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9615" windowHeight="12135" tabRatio="659"/>
  </bookViews>
  <sheets>
    <sheet name="CON" sheetId="8" r:id="rId1"/>
    <sheet name="FX" sheetId="11" r:id="rId2"/>
    <sheet name="AU" sheetId="1" r:id="rId3"/>
    <sheet name="US" sheetId="5" r:id="rId4"/>
    <sheet name="EU" sheetId="16" r:id="rId5"/>
    <sheet name="GB" sheetId="18" r:id="rId6"/>
    <sheet name="NZ" sheetId="19" r:id="rId7"/>
    <sheet name="HS" sheetId="14" r:id="rId8"/>
    <sheet name="IRS" sheetId="7" r:id="rId9"/>
    <sheet name="STR" sheetId="10" r:id="rId10"/>
    <sheet name="TBL" sheetId="12" r:id="rId11"/>
    <sheet name="HOL" sheetId="15" r:id="rId12"/>
    <sheet name="VER" sheetId="9" r:id="rId13"/>
  </sheets>
  <functionGroups/>
  <definedNames>
    <definedName name="Anniv" localSheetId="9">STR!$O$7</definedName>
    <definedName name="AUD.ZB">AU!$BG$52:$BG$57</definedName>
    <definedName name="AUD.ZB.1M">AU!$BG$54</definedName>
    <definedName name="AUD.ZB.1Y">AU!$BG$57</definedName>
    <definedName name="AUD.ZB.3M">AU!$BG$55</definedName>
    <definedName name="AUD.ZB.6M">AU!$BG$56</definedName>
    <definedName name="AUD.ZB.DISC">AU!$BG$52</definedName>
    <definedName name="AUD.ZB.ON">AU!$BG$53</definedName>
    <definedName name="AUD.ZBX">AU!$BG$59:$BG$64</definedName>
    <definedName name="AUD.ZBX.1M">AU!$BG$61</definedName>
    <definedName name="AUD.ZBX.1Y">AU!$BG$64</definedName>
    <definedName name="AUD.ZBX.3M">AU!$BG$62</definedName>
    <definedName name="AUD.ZBX.6M">AU!$BG$63</definedName>
    <definedName name="AUD.ZBX.DISC">AU!$BG$59</definedName>
    <definedName name="AUD.ZBX.ON">AU!$BG$60</definedName>
    <definedName name="AUD_CPI" localSheetId="7">HS!$I$13:$J$32</definedName>
    <definedName name="AUD_RateSets" localSheetId="7">HS!$L$12:$T$313</definedName>
    <definedName name="BonnetMgt" localSheetId="2">AU!$G$120</definedName>
    <definedName name="BonnetMgt" localSheetId="0">CON!$C$6</definedName>
    <definedName name="BonnetMgt" localSheetId="4">EU!$G$42</definedName>
    <definedName name="BonnetMgt" localSheetId="1">FX!$G$58</definedName>
    <definedName name="BonnetMgt" localSheetId="5">GB!$G$42</definedName>
    <definedName name="BonnetMgt" localSheetId="11">HOL!$C$4</definedName>
    <definedName name="BonnetMgt" localSheetId="7">HS!$F$4</definedName>
    <definedName name="BonnetMgt" localSheetId="8">IRS!$J$38</definedName>
    <definedName name="BonnetMgt" localSheetId="6">NZ!$G$30</definedName>
    <definedName name="BonnetMgt" localSheetId="9">STR!$C$31</definedName>
    <definedName name="BonnetMgt" localSheetId="10">TBL!$N$4</definedName>
    <definedName name="BonnetMgt" localSheetId="3">US!$I$51</definedName>
    <definedName name="BonnetMgt" localSheetId="12">VER!$C$5</definedName>
    <definedName name="BusDayAdj" localSheetId="8">IRS!$D$19</definedName>
    <definedName name="BusDayAdj1" localSheetId="9">STR!$BB$12</definedName>
    <definedName name="BusDayAdj2" localSheetId="9">STR!$DA$12</definedName>
    <definedName name="Calculation" localSheetId="9">STR!$DV$11</definedName>
    <definedName name="Cashflows1a" localSheetId="9">STR!$BH$18:$BH$517</definedName>
    <definedName name="Cashflows1b" localSheetId="9">STR!$BI$18:$BI$517</definedName>
    <definedName name="Cashflows2a" localSheetId="9">STR!$DG$18:$DG$517</definedName>
    <definedName name="Cashflows2b" localSheetId="9">STR!$DH$18:$DH$517</definedName>
    <definedName name="CCY" localSheetId="8">IRS!$D$6</definedName>
    <definedName name="CPI0_DATE" localSheetId="2">AU!$EQ$6</definedName>
    <definedName name="CPI0_VALUE" localSheetId="2">AU!$EQ$7</definedName>
    <definedName name="Currency1" localSheetId="9">STR!$P$12</definedName>
    <definedName name="Currency2" localSheetId="9">STR!$BO$12</definedName>
    <definedName name="Dates1" localSheetId="9">STR!$O$18:$O$517</definedName>
    <definedName name="Dates2" localSheetId="9">STR!$BN$18:$BN$517</definedName>
    <definedName name="DCC_Leg1_Fixed" localSheetId="9">STR!$BK$11</definedName>
    <definedName name="DCC_Leg1_Float" localSheetId="9">STR!$BK$12</definedName>
    <definedName name="DCC_Leg2_Fixed" localSheetId="9">STR!$DJ$11</definedName>
    <definedName name="DCC_Leg2_Float" localSheetId="9">STR!$DJ$12</definedName>
    <definedName name="DCCfixed" localSheetId="8">IRS!$D$27</definedName>
    <definedName name="DCCfloat" localSheetId="8">IRS!$F$27</definedName>
    <definedName name="DesiredFixedRate" localSheetId="8">IRS!$T$5</definedName>
    <definedName name="DesiredNPV" localSheetId="8">IRS!$BL$7</definedName>
    <definedName name="Discounting" localSheetId="8">IRS!$D$8</definedName>
    <definedName name="End" localSheetId="9">STR!$O$6</definedName>
    <definedName name="EndInput" localSheetId="8">IRS!$F$15</definedName>
    <definedName name="EOM" localSheetId="8">IRS!$F$19</definedName>
    <definedName name="EOM_1" localSheetId="9">STR!$BH$12</definedName>
    <definedName name="EOM_2" localSheetId="9">STR!$DG$12</definedName>
    <definedName name="EUR.ZB">EU!$BC$51:$BC$56</definedName>
    <definedName name="EUR.ZB.1M">EU!$BC$53</definedName>
    <definedName name="EUR.ZB.1Y">EU!$BC$56</definedName>
    <definedName name="EUR.ZB.3M">EU!$BC$54</definedName>
    <definedName name="EUR.ZB.6M">EU!$BC$55</definedName>
    <definedName name="EUR.ZB.DISC">EU!$BC$51</definedName>
    <definedName name="EUR.ZB.ON">EU!$BC$52</definedName>
    <definedName name="EUR.ZBX">EU!$BC$59:$BC$64</definedName>
    <definedName name="EUR.ZBX.1M">EU!$BC$61</definedName>
    <definedName name="EUR.ZBX.1Y">EU!$BC$64</definedName>
    <definedName name="EUR.ZBX.3M">EU!$BC$62</definedName>
    <definedName name="EUR.ZBX.6M">EU!$BC$63</definedName>
    <definedName name="EUR.ZBX.DISC">EU!$BC$59</definedName>
    <definedName name="EUR.ZBX.ON">EU!$BC$60</definedName>
    <definedName name="EUR_RateSets" localSheetId="7">HS!$AF$12:$AN$313</definedName>
    <definedName name="Face" localSheetId="8">IRS!$F$10</definedName>
    <definedName name="FACE1" localSheetId="9">STR!$BB$18:$BB$516</definedName>
    <definedName name="FACE2" localSheetId="9">STR!$DA$18:$DA$516</definedName>
    <definedName name="FaceFX" localSheetId="9">STR!$C$8</definedName>
    <definedName name="FaceFX_Input" localSheetId="9">STR!$DA$15</definedName>
    <definedName name="FaceInput" localSheetId="8">IRS!$D$10</definedName>
    <definedName name="Fees" localSheetId="8">IRS!$T$13:$T$512</definedName>
    <definedName name="FixedYrs1" localSheetId="9">STR!$BD$18:$BD$516</definedName>
    <definedName name="FixedYrs2" localSheetId="9">STR!$DC$18:$DC$516</definedName>
    <definedName name="FloatYrs1" localSheetId="9">STR!$BE$18:$BE$516</definedName>
    <definedName name="FloatYrs2" localSheetId="9">STR!$DD$18:$DD$516</definedName>
    <definedName name="Forwards1" localSheetId="9">STR!$AZ$18:$AZ$516</definedName>
    <definedName name="Forwards2" localSheetId="9">STR!$CY$18:$CY$516</definedName>
    <definedName name="Freq1" localSheetId="9">STR!$BB$11</definedName>
    <definedName name="Freq2" localSheetId="9">STR!$DA$11</definedName>
    <definedName name="FreqFixed" localSheetId="8">IRS!$D$25</definedName>
    <definedName name="FreqFloat" localSheetId="8">IRS!$F$25</definedName>
    <definedName name="FRM" localSheetId="8">IRS!$D$36</definedName>
    <definedName name="FRM" localSheetId="9">STR!$DV$4</definedName>
    <definedName name="FX" localSheetId="9">STR!$C$7</definedName>
    <definedName name="FXccys">FX!$I$68:$I$72</definedName>
    <definedName name="FxcurveAUD">FX!$AB$68</definedName>
    <definedName name="FxcurveEUR">FX!$AB$70</definedName>
    <definedName name="FxcurveGBP">FX!$AB$69</definedName>
    <definedName name="FxcurveNZD">FX!$AB$71</definedName>
    <definedName name="FXcurves">FX!$AB$68:$AB$72</definedName>
    <definedName name="FXspots">FX!$Y$68:$Y$72</definedName>
    <definedName name="GBP.ZB">GB!$BC$50:$BC$55</definedName>
    <definedName name="GBP.ZB.1M">GB!$BC$52</definedName>
    <definedName name="GBP.ZB.1Y">GB!$BC$55</definedName>
    <definedName name="GBP.ZB.3M">GB!$BC$53</definedName>
    <definedName name="GBP.ZB.6M">GB!$BC$54</definedName>
    <definedName name="GBP.ZB.DISC">GB!$BC$50</definedName>
    <definedName name="GBP.ZB.ON">GB!$BC$51</definedName>
    <definedName name="GBP.ZBX">GB!$BC$58:$BC$63</definedName>
    <definedName name="GBP.ZBX.1M">GB!$BC$60</definedName>
    <definedName name="GBP.ZBX.1Y">GB!$BC$63</definedName>
    <definedName name="GBP.ZBX.3M">GB!$BC$61</definedName>
    <definedName name="GBP.ZBX.6M">GB!$BC$62</definedName>
    <definedName name="GBP.ZBX.DISC">GB!$BC$58</definedName>
    <definedName name="GBP.ZBX.ON">GB!$BC$59</definedName>
    <definedName name="GBP_RATESETS" localSheetId="7">HS!$AP$12:$AX$313</definedName>
    <definedName name="GenRate_1a" localSheetId="9">STR!$BH$15</definedName>
    <definedName name="GenRate_1b" localSheetId="9">STR!$BI$15</definedName>
    <definedName name="GenRate_2a" localSheetId="9">STR!$DG$15</definedName>
    <definedName name="GenRate_2b" localSheetId="9">STR!$DH$15</definedName>
    <definedName name="GenType_1a" localSheetId="9">STR!$BH$14</definedName>
    <definedName name="GenType_1b" localSheetId="9">STR!$BI$14</definedName>
    <definedName name="GenType_2a" localSheetId="9">STR!$DG$14</definedName>
    <definedName name="GenType_2b" localSheetId="9">STR!$DH$14</definedName>
    <definedName name="HelpPopUps" localSheetId="0">CON!$I$12</definedName>
    <definedName name="HolidayOverride" localSheetId="8">IRS!$D$21</definedName>
    <definedName name="Holidays" localSheetId="9">STR!$DV$9</definedName>
    <definedName name="IncludePrincipals" localSheetId="8">IRS!$D$40</definedName>
    <definedName name="InterpTrigger" localSheetId="8">IRS!$D$38</definedName>
    <definedName name="InterpTrigger" localSheetId="9">STR!$DV$6</definedName>
    <definedName name="IRS?" localSheetId="9">STR!$C$4</definedName>
    <definedName name="IsBillFuturesExpiry?" localSheetId="2">AU!$G$122</definedName>
    <definedName name="IsBondFuturesExpiry?" localSheetId="2">AU!$G$123</definedName>
    <definedName name="Margin" localSheetId="8">IRS!$D$34</definedName>
    <definedName name="NZD.ZB">NZ!$BC$42:$BC$47</definedName>
    <definedName name="NZD.ZB.1M">NZ!$BC$44</definedName>
    <definedName name="NZD.ZB.1Y">NZ!$BC$47</definedName>
    <definedName name="NZD.ZB.3M">NZ!$BC$45</definedName>
    <definedName name="NZD.ZB.6M">NZ!$BC$46</definedName>
    <definedName name="NZD.ZB.DISC" localSheetId="6">NZ!$BC$42</definedName>
    <definedName name="NZD.ZB.ON">NZ!$BC$43</definedName>
    <definedName name="NZD.ZBX">NZ!$BC$50:$BC$55</definedName>
    <definedName name="NZD.ZBX.1M">NZ!$BC$52</definedName>
    <definedName name="NZD.ZBX.1Y">NZ!$BC$55</definedName>
    <definedName name="NZD.ZBX.3M">NZ!$BC$53</definedName>
    <definedName name="NZD.ZBX.6M">NZ!$BC$54</definedName>
    <definedName name="NZD.ZBX.DISC">NZ!$BC$50</definedName>
    <definedName name="NZD.ZBX.ON">NZ!$BC$51</definedName>
    <definedName name="NZD_RATESETS" localSheetId="7">HS!$AZ$12:$BH$313</definedName>
    <definedName name="OutlineLevel" localSheetId="2">AU!$G$118</definedName>
    <definedName name="OutlineLevel" localSheetId="4">EU!$G$40</definedName>
    <definedName name="OutlineLevel" localSheetId="1">FX!$G$55</definedName>
    <definedName name="OutlineLevel" localSheetId="5">GB!$G$40</definedName>
    <definedName name="OutlineLevel" localSheetId="8">IRS!$J$17</definedName>
    <definedName name="OutlineLevel" localSheetId="6">NZ!$G$28</definedName>
    <definedName name="OutlineLevel" localSheetId="9">STR!$C$29</definedName>
    <definedName name="OutlineLevel" localSheetId="3">US!$I$49</definedName>
    <definedName name="Override" localSheetId="2">AU!$AG$5:$AG$6,AU!$AG$9:$AG$15,AU!$AG$18:$AG$25,AU!$AG$28:$AG$43,AU!$AT$18:$AT$25,AU!$AT$28:$AT$38,AU!$BF$28:$BF$34,AU!$BF$18:$BF$23,AU!$BF$10:$BF$15,AU!$BR$28:$BR$37,AU!$BR$18:$BR$25,AU!$BR$10:$BR$15,AU!$CW$9:$CW$16,AU!$DJ$23:$DQ$33,AU!$EP$6:$EP$7,AU!$EP$11:$EP$19</definedName>
    <definedName name="Override" localSheetId="4">EU!$AE$5:$AE$12,EU!$AE$15:$AE$26,EU!$AE$29:$AE$48,EU!$AQ$50:$AQ$65,EU!$AQ$29:$AQ$44,EU!$BC$29:$BC$44,EU!$BO$29:$BO$44,EU!$BO$19:$BO$26,EU!$BC$19:$BC$26,EU!$BC$10:$BC$15,EU!$BO$10:$BO$15,EU!$CV$9:$CV$18</definedName>
    <definedName name="Override" localSheetId="1">FX!$AA$7:$AA$28,FX!$AA$32:$AA$46,FX!$AH$7:$AH$28,FX!$AH$32:$AH$43,FX!$AO$7:$AO$28,FX!$AO$32:$AO$44,FX!$AV$7:$AV$28,FX!$AV$32:$AV$40</definedName>
    <definedName name="Override" localSheetId="5">GB!$AE$5:$AE$12,GB!$AE$15:$AE$26,GB!$AE$29:$AE$45,GB!$AQ$49:$AQ$63,GB!$AQ$29:$AQ$43,GB!$BC$29:$BC$43,GB!$BO$29:$BO$43,GB!$BO$19:$BO$26,GB!$BC$19:$BC$26,GB!$BC$10:$BC$15,GB!$BO$10:$BO$15,GB!$CV$9:$CV$18</definedName>
    <definedName name="Override" localSheetId="6">NZ!$AE$4:$AE$11,NZ!$AE$15:$AE$19,NZ!$AE$22:$AE$34,NZ!$AQ$49:$AQ$63,NZ!$AQ$22:$AQ$43,NZ!$BC$22:$BC$28,NZ!$BO$34:$BO$43,NZ!$BO$10:$BO$21,NZ!$BC$19:$BC$20,NZ!$BC$10:$BC$15,NZ!$BO$10:$BO$15,NZ!$CM$9:$CM$15</definedName>
    <definedName name="Override" localSheetId="3">US!$AE$5:$AE$12,US!$AE$15:$AE$26,US!$AE$29:$AE$49,US!$AQ$45:$AQ$56,US!$AQ$29:$AQ$41,US!$BC$29:$BC$41,US!$BO$29:$BO$43,US!$BO$19:$BO$26,US!$BC$19:$BC$26,US!$BC$10:$BC$15,US!$BO$10:$BO$15,US!$CV$9:$CV$18,US!$AO$15:$AO$26</definedName>
    <definedName name="Page_1" localSheetId="9">STR!$N$1</definedName>
    <definedName name="Page_2" localSheetId="9">STR!$DT$1</definedName>
    <definedName name="Page_CBFS" localSheetId="10">TBL!$FF$1</definedName>
    <definedName name="Page_ConversionFactors" localSheetId="10">TBL!$BD$1</definedName>
    <definedName name="Page_CPI" localSheetId="2">AU!$EL$1</definedName>
    <definedName name="Page_CPI" localSheetId="4">EU!$DQ$1</definedName>
    <definedName name="Page_CPI" localSheetId="5">GB!$DQ$1</definedName>
    <definedName name="Page_CPI" localSheetId="6">NZ!$DH$1</definedName>
    <definedName name="Page_CPI" localSheetId="3">US!$DK$1</definedName>
    <definedName name="Page_ForwardFX" localSheetId="10">TBL!$DX$1</definedName>
    <definedName name="Page_ForwardSwaps" localSheetId="10">TBL!$D$1</definedName>
    <definedName name="Page_Rates" localSheetId="2">AU!$X$1</definedName>
    <definedName name="Page_Rates" localSheetId="4">EU!$V$1</definedName>
    <definedName name="Page_Rates" localSheetId="5">GB!$V$1</definedName>
    <definedName name="Page_Rates" localSheetId="6">NZ!$V$1</definedName>
    <definedName name="Page_Rates" localSheetId="3">US!$V$1</definedName>
    <definedName name="Page_Vols" localSheetId="2">AU!$CI$1</definedName>
    <definedName name="Page_Vols" localSheetId="4">EU!$CI$1</definedName>
    <definedName name="Page_Vols" localSheetId="5">GB!$CI$1</definedName>
    <definedName name="Page_Vols" localSheetId="6">NZ!$CD$1</definedName>
    <definedName name="Page_Vols" localSheetId="3">US!$CI$1</definedName>
    <definedName name="PerformFRM?" localSheetId="8">IRS!$J$23</definedName>
    <definedName name="PPP_Global">CON!$I$6</definedName>
    <definedName name="Principal1?" localSheetId="9">STR!$F$7</definedName>
    <definedName name="Principal2?" localSheetId="9">STR!$F$8</definedName>
    <definedName name="Principals?" localSheetId="9">STR!$F$7</definedName>
    <definedName name="ProjCurve_1M" localSheetId="8">IRS!$J$7</definedName>
    <definedName name="ProjCurve_1Y" localSheetId="8">IRS!$J$10</definedName>
    <definedName name="ProjCurve_3M" localSheetId="8">IRS!$J$8</definedName>
    <definedName name="ProjCurve_6M" localSheetId="8">IRS!$J$9</definedName>
    <definedName name="ProjCurve_ON" localSheetId="8">IRS!$J$6</definedName>
    <definedName name="PV_Leg1" localSheetId="9">STR!$BK$5</definedName>
    <definedName name="PV_Leg2" localSheetId="9">STR!$BK$6</definedName>
    <definedName name="PV_Total" localSheetId="9">STR!$BK$7</definedName>
    <definedName name="ReutersPARSED" localSheetId="2">AU!$S$18:$V$42</definedName>
    <definedName name="ReutersPARSED" localSheetId="4">EU!$Q$13:$T$25</definedName>
    <definedName name="ReutersPARSED" localSheetId="5">GB!$Q$13:$T$25</definedName>
    <definedName name="ReutersPARSED" localSheetId="6">NZ!$Q$13:$T$16</definedName>
    <definedName name="ReutersPARSED" localSheetId="3">US!$Q$16:$T$37</definedName>
    <definedName name="ReutersRAW" localSheetId="2">AU!$N$18:$Q$42</definedName>
    <definedName name="ReutersRAW" localSheetId="4">EU!$L$13:$O$25</definedName>
    <definedName name="ReutersRAW" localSheetId="5">GB!$L$13:$O$25</definedName>
    <definedName name="ReutersRAW" localSheetId="6">NZ!$L$13:$O$16</definedName>
    <definedName name="ReutersRAW" localSheetId="3">US!$L$16:$O$37</definedName>
    <definedName name="RollAnniv" localSheetId="8">IRS!$D$17</definedName>
    <definedName name="RTMODE_FX" localSheetId="1">FX!$G$4</definedName>
    <definedName name="RTMODE_RATES" localSheetId="2">AU!$AP$6</definedName>
    <definedName name="RTMODE_RATES" localSheetId="4">EU!$AY$6</definedName>
    <definedName name="RTMODE_RATES" localSheetId="5">GB!$AY$6</definedName>
    <definedName name="RTMODE_RATES" localSheetId="6">NZ!$AY$6</definedName>
    <definedName name="RTMODE_RATES" localSheetId="3">US!$AY$6</definedName>
    <definedName name="RTMODE_VOLS" localSheetId="2">AU!$CN$4</definedName>
    <definedName name="RTMODE_VOLS" localSheetId="4">EU!$CO$4</definedName>
    <definedName name="RTMODE_VOLS" localSheetId="5">GB!$CO$4</definedName>
    <definedName name="RTMODE_VOLS" localSheetId="6">NZ!$CI$4</definedName>
    <definedName name="RTMODE_VOLS" localSheetId="3">US!$CO$4</definedName>
    <definedName name="ServiceMode" localSheetId="0">CON!$I$9</definedName>
    <definedName name="SolverCalcScope" localSheetId="9">STR!$DV$15</definedName>
    <definedName name="SolveTarget_Leg1" localSheetId="9">STR!$J$5</definedName>
    <definedName name="SolveTarget_Leg1_Input" localSheetId="9">STR!$BO$5</definedName>
    <definedName name="SolveTarget_Leg2" localSheetId="9">STR!$J$6</definedName>
    <definedName name="SolveTarget_Leg2_Input" localSheetId="9">STR!$BO$6</definedName>
    <definedName name="SolveTarget_Total" localSheetId="9">STR!$J$7</definedName>
    <definedName name="SolveTarget_Total_Input" localSheetId="9">STR!$BO$7</definedName>
    <definedName name="Spot_AUD">FX!$Y$68</definedName>
    <definedName name="Spot_EUR">FX!$Y$70</definedName>
    <definedName name="Spot_GBP">FX!$Y$69</definedName>
    <definedName name="Spot_NZD">FX!$Y$71</definedName>
    <definedName name="Spot_USD">FX!$Y$72</definedName>
    <definedName name="Start" localSheetId="9">STR!$O$5</definedName>
    <definedName name="StartInput" localSheetId="8">IRS!$D$15</definedName>
    <definedName name="Stubs1" localSheetId="9">STR!$BH$11</definedName>
    <definedName name="Stubs2" localSheetId="9">STR!$DG$11</definedName>
    <definedName name="StubsFixed" localSheetId="8">IRS!$D$29</definedName>
    <definedName name="StubsFloat" localSheetId="8">IRS!$F$29</definedName>
    <definedName name="Today">AU!$AT$4</definedName>
    <definedName name="USD.ZB">US!$BC$48:$BC$53</definedName>
    <definedName name="USD.ZB.1M">US!$BC$50</definedName>
    <definedName name="USD.ZB.1Y">US!$BC$53</definedName>
    <definedName name="USD.ZB.3M">US!$BC$51</definedName>
    <definedName name="USD.ZB.6M">US!$BC$52</definedName>
    <definedName name="USD.ZB.DISC">US!$BC$48</definedName>
    <definedName name="USD.ZB.ON">US!$BC$49</definedName>
    <definedName name="USD.ZBX">US!$BC$48:$BC$53</definedName>
    <definedName name="USD.ZBX.1M">US!$BC$50</definedName>
    <definedName name="USD.ZBX.1Y">US!$BC$53</definedName>
    <definedName name="USD.ZBX.3M">US!$BC$51</definedName>
    <definedName name="USD.ZBX.6M">US!$BC$52</definedName>
    <definedName name="USD.ZBX.DISC">US!$BC$48</definedName>
    <definedName name="USD.ZBX.ON">US!$BC$49</definedName>
    <definedName name="USD_RateSets" localSheetId="7">HS!$V$12:$AD$313</definedName>
    <definedName name="XCS?" localSheetId="9">STR!$C$5</definedName>
    <definedName name="Yrs" localSheetId="8">IRS!$J$16</definedName>
    <definedName name="YTC">AU!$AH$6</definedName>
    <definedName name="YTT">AU!$AH$5</definedName>
  </definedNames>
  <calcPr calcId="125725"/>
</workbook>
</file>

<file path=xl/calcChain.xml><?xml version="1.0" encoding="utf-8"?>
<calcChain xmlns="http://schemas.openxmlformats.org/spreadsheetml/2006/main">
  <c r="CG16" i="10"/>
  <c r="AH16"/>
  <c r="AR11" i="7"/>
  <c r="Y4" i="1"/>
  <c r="CU23" i="5"/>
  <c r="CU24"/>
  <c r="CU25"/>
  <c r="CU26"/>
  <c r="CU27"/>
  <c r="CU28"/>
  <c r="CU29"/>
  <c r="CU30"/>
  <c r="CU31"/>
  <c r="CU32"/>
  <c r="CU33"/>
  <c r="CU34"/>
  <c r="G122" i="1"/>
  <c r="G9"/>
  <c r="G123"/>
  <c r="G6"/>
  <c r="AL2" l="1"/>
  <c r="CU23" i="16"/>
  <c r="CU24"/>
  <c r="CU25"/>
  <c r="CU26"/>
  <c r="CU27"/>
  <c r="CU28"/>
  <c r="CU29"/>
  <c r="CU30"/>
  <c r="CU31"/>
  <c r="CU32"/>
  <c r="CU33"/>
  <c r="CU34"/>
  <c r="CT25" i="18"/>
  <c r="CT26"/>
  <c r="CT27"/>
  <c r="CT28"/>
  <c r="CT29"/>
  <c r="CT30"/>
  <c r="CT31"/>
  <c r="CT32"/>
  <c r="CT33"/>
  <c r="CT34"/>
  <c r="CT24"/>
  <c r="CU23"/>
  <c r="CU24"/>
  <c r="CU25"/>
  <c r="CU26"/>
  <c r="CU27"/>
  <c r="CU28"/>
  <c r="CU29"/>
  <c r="CU30"/>
  <c r="CU31"/>
  <c r="CU32"/>
  <c r="CU33"/>
  <c r="CU34"/>
  <c r="CT23"/>
  <c r="CT25" i="16" l="1"/>
  <c r="CT26"/>
  <c r="CT27"/>
  <c r="CT28"/>
  <c r="CT29"/>
  <c r="CT30"/>
  <c r="CT31"/>
  <c r="CT32"/>
  <c r="CT33"/>
  <c r="CT34"/>
  <c r="CT23"/>
  <c r="CT24"/>
  <c r="CU21" i="1" l="1"/>
  <c r="CQ21" s="1"/>
  <c r="CR21" s="1"/>
  <c r="CU22"/>
  <c r="CQ22" s="1"/>
  <c r="CR22" s="1"/>
  <c r="CU23"/>
  <c r="CQ23" s="1"/>
  <c r="CR23" s="1"/>
  <c r="CU24"/>
  <c r="CQ24" s="1"/>
  <c r="CR24" s="1"/>
  <c r="CU25"/>
  <c r="CU26"/>
  <c r="CU27"/>
  <c r="CQ27" s="1"/>
  <c r="CR27" s="1"/>
  <c r="CU28"/>
  <c r="CQ28" s="1"/>
  <c r="CR28" s="1"/>
  <c r="DI23"/>
  <c r="DQ9" s="1"/>
  <c r="DI24"/>
  <c r="DQ10" s="1"/>
  <c r="DI25"/>
  <c r="DQ11" s="1"/>
  <c r="DI26"/>
  <c r="DQ12" s="1"/>
  <c r="DI27"/>
  <c r="DQ13" s="1"/>
  <c r="DI28"/>
  <c r="DQ14" s="1"/>
  <c r="DI29"/>
  <c r="DQ15" s="1"/>
  <c r="DI30"/>
  <c r="DQ16" s="1"/>
  <c r="DI31"/>
  <c r="DQ17" s="1"/>
  <c r="DI32"/>
  <c r="DQ18" s="1"/>
  <c r="DI33"/>
  <c r="DQ19" s="1"/>
  <c r="DJ9"/>
  <c r="DK9"/>
  <c r="DL9"/>
  <c r="DM9"/>
  <c r="DN9"/>
  <c r="DO9"/>
  <c r="DP9"/>
  <c r="DJ10"/>
  <c r="DK10"/>
  <c r="DL10"/>
  <c r="DM10"/>
  <c r="DN10"/>
  <c r="DO10"/>
  <c r="DP10"/>
  <c r="DJ11"/>
  <c r="DK11"/>
  <c r="DL11"/>
  <c r="DM11"/>
  <c r="DN11"/>
  <c r="DO11"/>
  <c r="DP11"/>
  <c r="DJ12"/>
  <c r="DK12"/>
  <c r="DL12"/>
  <c r="DM12"/>
  <c r="DN12"/>
  <c r="DO12"/>
  <c r="DP12"/>
  <c r="DJ13"/>
  <c r="DK13"/>
  <c r="DL13"/>
  <c r="DM13"/>
  <c r="DN13"/>
  <c r="DO13"/>
  <c r="DP13"/>
  <c r="DJ14"/>
  <c r="DK14"/>
  <c r="DL14"/>
  <c r="DM14"/>
  <c r="DN14"/>
  <c r="DO14"/>
  <c r="DP14"/>
  <c r="DJ15"/>
  <c r="DK15"/>
  <c r="DL15"/>
  <c r="DM15"/>
  <c r="DN15"/>
  <c r="DO15"/>
  <c r="DP15"/>
  <c r="DJ16"/>
  <c r="DK16"/>
  <c r="DL16"/>
  <c r="DM16"/>
  <c r="DN16"/>
  <c r="DO16"/>
  <c r="DP16"/>
  <c r="DJ17"/>
  <c r="DK17"/>
  <c r="DL17"/>
  <c r="DM17"/>
  <c r="DN17"/>
  <c r="DO17"/>
  <c r="DP17"/>
  <c r="DJ18"/>
  <c r="DK18"/>
  <c r="DL18"/>
  <c r="DM18"/>
  <c r="DN18"/>
  <c r="DO18"/>
  <c r="DP18"/>
  <c r="DJ19"/>
  <c r="DK19"/>
  <c r="DL19"/>
  <c r="DM19"/>
  <c r="DN19"/>
  <c r="DO19"/>
  <c r="DP19"/>
  <c r="DB9"/>
  <c r="DC9"/>
  <c r="DD9"/>
  <c r="DE9"/>
  <c r="DF9"/>
  <c r="DG9"/>
  <c r="DH9"/>
  <c r="DI9"/>
  <c r="DB10"/>
  <c r="DC10"/>
  <c r="DD10"/>
  <c r="DE10"/>
  <c r="DF10"/>
  <c r="DG10"/>
  <c r="DH10"/>
  <c r="DI10"/>
  <c r="DB11"/>
  <c r="DC11"/>
  <c r="DD11"/>
  <c r="DE11"/>
  <c r="DF11"/>
  <c r="DG11"/>
  <c r="DH11"/>
  <c r="DI11"/>
  <c r="DB12"/>
  <c r="DC12"/>
  <c r="DD12"/>
  <c r="DE12"/>
  <c r="DF12"/>
  <c r="DG12"/>
  <c r="DH12"/>
  <c r="DI12"/>
  <c r="DB13"/>
  <c r="DC13"/>
  <c r="DD13"/>
  <c r="DE13"/>
  <c r="DF13"/>
  <c r="DG13"/>
  <c r="DH13"/>
  <c r="DI13"/>
  <c r="DB14"/>
  <c r="DC14"/>
  <c r="DD14"/>
  <c r="DE14"/>
  <c r="DF14"/>
  <c r="DG14"/>
  <c r="DH14"/>
  <c r="DI14"/>
  <c r="DB15"/>
  <c r="DC15"/>
  <c r="DD15"/>
  <c r="DE15"/>
  <c r="DF15"/>
  <c r="DG15"/>
  <c r="DH15"/>
  <c r="DI15"/>
  <c r="DB16"/>
  <c r="DC16"/>
  <c r="DD16"/>
  <c r="DE16"/>
  <c r="DF16"/>
  <c r="DG16"/>
  <c r="DH16"/>
  <c r="DI16"/>
  <c r="DB17"/>
  <c r="DC17"/>
  <c r="DD17"/>
  <c r="DE17"/>
  <c r="DF17"/>
  <c r="DG17"/>
  <c r="DH17"/>
  <c r="DI17"/>
  <c r="DB18"/>
  <c r="DC18"/>
  <c r="DD18"/>
  <c r="DE18"/>
  <c r="DF18"/>
  <c r="DG18"/>
  <c r="DH18"/>
  <c r="DI18"/>
  <c r="DB19"/>
  <c r="DC19"/>
  <c r="DD19"/>
  <c r="DE19"/>
  <c r="DF19"/>
  <c r="DG19"/>
  <c r="DH19"/>
  <c r="DI19"/>
  <c r="CL9"/>
  <c r="CL10"/>
  <c r="CL11"/>
  <c r="CL12"/>
  <c r="CL13"/>
  <c r="CL14"/>
  <c r="CL15"/>
  <c r="CL16"/>
  <c r="CS23"/>
  <c r="CS21"/>
  <c r="CS26"/>
  <c r="CS22"/>
  <c r="CS27"/>
  <c r="CS28"/>
  <c r="CS25"/>
  <c r="CS24"/>
  <c r="CQ26" l="1"/>
  <c r="CR26" s="1"/>
  <c r="CQ25"/>
  <c r="CR25" s="1"/>
  <c r="CT23" i="5" l="1"/>
  <c r="CT24"/>
  <c r="CT25"/>
  <c r="CT26"/>
  <c r="CT27"/>
  <c r="CT28"/>
  <c r="CT29"/>
  <c r="CT30"/>
  <c r="CT31"/>
  <c r="CT32"/>
  <c r="CT33"/>
  <c r="CT34"/>
  <c r="S36" i="11" l="1"/>
  <c r="V44"/>
  <c r="V45"/>
  <c r="V46"/>
  <c r="U44"/>
  <c r="U45"/>
  <c r="U46"/>
  <c r="R44"/>
  <c r="R45"/>
  <c r="R46"/>
  <c r="Q44"/>
  <c r="Q45"/>
  <c r="Q46"/>
  <c r="J45"/>
  <c r="Z68"/>
  <c r="Z69"/>
  <c r="Z70"/>
  <c r="Z71"/>
  <c r="T41"/>
  <c r="T42"/>
  <c r="T43"/>
  <c r="T44"/>
  <c r="T46"/>
  <c r="V32"/>
  <c r="V33"/>
  <c r="V34"/>
  <c r="V35"/>
  <c r="V36"/>
  <c r="V37"/>
  <c r="V38"/>
  <c r="V39"/>
  <c r="V40"/>
  <c r="V41"/>
  <c r="V42"/>
  <c r="V43"/>
  <c r="U32"/>
  <c r="U33"/>
  <c r="U34"/>
  <c r="U35"/>
  <c r="U36"/>
  <c r="U37"/>
  <c r="U38"/>
  <c r="U39"/>
  <c r="U40"/>
  <c r="U41"/>
  <c r="U42"/>
  <c r="U43"/>
  <c r="S32"/>
  <c r="S33"/>
  <c r="S34"/>
  <c r="S35"/>
  <c r="S38"/>
  <c r="S41"/>
  <c r="S42"/>
  <c r="S43"/>
  <c r="S44"/>
  <c r="S46"/>
  <c r="T32"/>
  <c r="T33"/>
  <c r="T34"/>
  <c r="T35"/>
  <c r="T36"/>
  <c r="T38"/>
  <c r="Q32"/>
  <c r="R32"/>
  <c r="Q33"/>
  <c r="R33"/>
  <c r="Q34"/>
  <c r="R34"/>
  <c r="Q35"/>
  <c r="R35"/>
  <c r="Q36"/>
  <c r="R36"/>
  <c r="Q37"/>
  <c r="R37"/>
  <c r="Q38"/>
  <c r="R38"/>
  <c r="Q39"/>
  <c r="R39"/>
  <c r="Q40"/>
  <c r="R40"/>
  <c r="Q41"/>
  <c r="R41"/>
  <c r="Q42"/>
  <c r="R42"/>
  <c r="Q43"/>
  <c r="R43"/>
  <c r="J42"/>
  <c r="J40"/>
  <c r="J39"/>
  <c r="J37"/>
  <c r="J32"/>
  <c r="J33"/>
  <c r="J34"/>
  <c r="J35"/>
  <c r="J36"/>
  <c r="J38"/>
  <c r="J41"/>
  <c r="J43"/>
  <c r="J44"/>
  <c r="J46"/>
  <c r="F42" i="10"/>
  <c r="F41"/>
  <c r="F40"/>
  <c r="FM7" i="12"/>
  <c r="FM6"/>
  <c r="FM4"/>
  <c r="H4" i="9"/>
  <c r="C4" i="10"/>
  <c r="DV9" s="1"/>
  <c r="FI4" i="12"/>
  <c r="FZ5"/>
  <c r="GA5"/>
  <c r="FW5"/>
  <c r="FT5"/>
  <c r="FV5"/>
  <c r="FS5"/>
  <c r="GG5"/>
  <c r="BN18" i="10" a="1"/>
  <c r="O18" a="1"/>
  <c r="GB5" i="12"/>
  <c r="FX5"/>
  <c r="GE5"/>
  <c r="GC5"/>
  <c r="GF5"/>
  <c r="FU5"/>
  <c r="FY5"/>
  <c r="GD5"/>
  <c r="BN52" i="10" l="1"/>
  <c r="BN88"/>
  <c r="BN124"/>
  <c r="BN160"/>
  <c r="BN196"/>
  <c r="BN232"/>
  <c r="BN268"/>
  <c r="BN304"/>
  <c r="BN340"/>
  <c r="BN376"/>
  <c r="BN412"/>
  <c r="BN448"/>
  <c r="BN484"/>
  <c r="BN21"/>
  <c r="BN69"/>
  <c r="BN111"/>
  <c r="BN147"/>
  <c r="BN189"/>
  <c r="BN225"/>
  <c r="BN267"/>
  <c r="BN309"/>
  <c r="BN345"/>
  <c r="BN387"/>
  <c r="BN423"/>
  <c r="BN465"/>
  <c r="BN507"/>
  <c r="BN56"/>
  <c r="BN92"/>
  <c r="BN128"/>
  <c r="BN164"/>
  <c r="BN206"/>
  <c r="BN248"/>
  <c r="BN314"/>
  <c r="BN386"/>
  <c r="BN458"/>
  <c r="BN31"/>
  <c r="BN103"/>
  <c r="BN181"/>
  <c r="BN265"/>
  <c r="BN355"/>
  <c r="BN427"/>
  <c r="BN493"/>
  <c r="BN57"/>
  <c r="BN435"/>
  <c r="BN260"/>
  <c r="BN332"/>
  <c r="BN404"/>
  <c r="BN476"/>
  <c r="BN49"/>
  <c r="BN121"/>
  <c r="BN187"/>
  <c r="BN247"/>
  <c r="BN313"/>
  <c r="BN373"/>
  <c r="BN451"/>
  <c r="BN24"/>
  <c r="BN84"/>
  <c r="BN192"/>
  <c r="BN300"/>
  <c r="BN408"/>
  <c r="BN516"/>
  <c r="BN137"/>
  <c r="BN245"/>
  <c r="BN353"/>
  <c r="BN461"/>
  <c r="BN96"/>
  <c r="BN204"/>
  <c r="BN312"/>
  <c r="BN420"/>
  <c r="BN29"/>
  <c r="BN167"/>
  <c r="BN275"/>
  <c r="BN383"/>
  <c r="BN491"/>
  <c r="BN144"/>
  <c r="BN270"/>
  <c r="BN450"/>
  <c r="BN467"/>
  <c r="BN269"/>
  <c r="BN216"/>
  <c r="BN71"/>
  <c r="BN143"/>
  <c r="BN305"/>
  <c r="BN46"/>
  <c r="BN63"/>
  <c r="BN141"/>
  <c r="BN219"/>
  <c r="BN261"/>
  <c r="BN297"/>
  <c r="BN381"/>
  <c r="BN417"/>
  <c r="BN459"/>
  <c r="BN501"/>
  <c r="BN50"/>
  <c r="BN86"/>
  <c r="BN158"/>
  <c r="BN200"/>
  <c r="BN236"/>
  <c r="BN302"/>
  <c r="BN374"/>
  <c r="BN446"/>
  <c r="BN19"/>
  <c r="BN91"/>
  <c r="BN163"/>
  <c r="BN253"/>
  <c r="BN337"/>
  <c r="BN415"/>
  <c r="BN27"/>
  <c r="BN375"/>
  <c r="BN242"/>
  <c r="BN320"/>
  <c r="BN392"/>
  <c r="BN464"/>
  <c r="BN37"/>
  <c r="BN109"/>
  <c r="BN175"/>
  <c r="BN241"/>
  <c r="BN301"/>
  <c r="BN361"/>
  <c r="BN433"/>
  <c r="BN511"/>
  <c r="BN66"/>
  <c r="BN174"/>
  <c r="BN282"/>
  <c r="BN390"/>
  <c r="BN498"/>
  <c r="BN119"/>
  <c r="BN227"/>
  <c r="BN335"/>
  <c r="BN443"/>
  <c r="BN78"/>
  <c r="BN294"/>
  <c r="BN402"/>
  <c r="BN510"/>
  <c r="BN149"/>
  <c r="BN257"/>
  <c r="BN365"/>
  <c r="BN473"/>
  <c r="BN126"/>
  <c r="BN252"/>
  <c r="BN414"/>
  <c r="BN413"/>
  <c r="BN89"/>
  <c r="BN23"/>
  <c r="BN468"/>
  <c r="BN125"/>
  <c r="BN251"/>
  <c r="BN82"/>
  <c r="BN118"/>
  <c r="BN154"/>
  <c r="BN190"/>
  <c r="BN226"/>
  <c r="BN262"/>
  <c r="BN298"/>
  <c r="BN334"/>
  <c r="BN370"/>
  <c r="BN406"/>
  <c r="BN442"/>
  <c r="BN478"/>
  <c r="BN514"/>
  <c r="BN99"/>
  <c r="BN183"/>
  <c r="BN339"/>
  <c r="BN122"/>
  <c r="BN481"/>
  <c r="BN186"/>
  <c r="BN64"/>
  <c r="BN112"/>
  <c r="BN172"/>
  <c r="BN220"/>
  <c r="BN280"/>
  <c r="BN328"/>
  <c r="BN388"/>
  <c r="BN436"/>
  <c r="BN496"/>
  <c r="BN51"/>
  <c r="BN123"/>
  <c r="BN177"/>
  <c r="BN243"/>
  <c r="BN291"/>
  <c r="BN357"/>
  <c r="BN411"/>
  <c r="BN483"/>
  <c r="BN44"/>
  <c r="BN104"/>
  <c r="BN152"/>
  <c r="BN218"/>
  <c r="BN290"/>
  <c r="BN410"/>
  <c r="BN506"/>
  <c r="BN127"/>
  <c r="BN235"/>
  <c r="BN379"/>
  <c r="BN469"/>
  <c r="BN159"/>
  <c r="BN194"/>
  <c r="BN356"/>
  <c r="BN452"/>
  <c r="BN73"/>
  <c r="BN169"/>
  <c r="BN271"/>
  <c r="BN349"/>
  <c r="BN475"/>
  <c r="BN41"/>
  <c r="BN228"/>
  <c r="BN372"/>
  <c r="BN65"/>
  <c r="BN209"/>
  <c r="BN389"/>
  <c r="BN30"/>
  <c r="BN240"/>
  <c r="BN384"/>
  <c r="BN95"/>
  <c r="BN239"/>
  <c r="BN419"/>
  <c r="BN108"/>
  <c r="BN324"/>
  <c r="BN341"/>
  <c r="BN359"/>
  <c r="BN432"/>
  <c r="BN179"/>
  <c r="BN58"/>
  <c r="BN106"/>
  <c r="BN166"/>
  <c r="BN214"/>
  <c r="BN274"/>
  <c r="BN322"/>
  <c r="BN382"/>
  <c r="BN430"/>
  <c r="BN490"/>
  <c r="BN45"/>
  <c r="BN117"/>
  <c r="BN171"/>
  <c r="BN237"/>
  <c r="BN351"/>
  <c r="BN405"/>
  <c r="BN471"/>
  <c r="BN38"/>
  <c r="BN98"/>
  <c r="BN146"/>
  <c r="BN212"/>
  <c r="BN278"/>
  <c r="BN398"/>
  <c r="BN494"/>
  <c r="BN115"/>
  <c r="BN223"/>
  <c r="BN367"/>
  <c r="BN457"/>
  <c r="BN105"/>
  <c r="BN26"/>
  <c r="BN344"/>
  <c r="BN440"/>
  <c r="BN61"/>
  <c r="BN157"/>
  <c r="BN259"/>
  <c r="BN343"/>
  <c r="BN463"/>
  <c r="BN54"/>
  <c r="BN210"/>
  <c r="BN354"/>
  <c r="BN35"/>
  <c r="BN191"/>
  <c r="BN371"/>
  <c r="BN515"/>
  <c r="BN222"/>
  <c r="BN366"/>
  <c r="BN77"/>
  <c r="BN221"/>
  <c r="BN401"/>
  <c r="BN90"/>
  <c r="BN288"/>
  <c r="BN233"/>
  <c r="BN323"/>
  <c r="BN396"/>
  <c r="BN161"/>
  <c r="BN40"/>
  <c r="BN148"/>
  <c r="BN208"/>
  <c r="BN256"/>
  <c r="BN316"/>
  <c r="BN364"/>
  <c r="BN424"/>
  <c r="BN472"/>
  <c r="BN39"/>
  <c r="BN93"/>
  <c r="BN165"/>
  <c r="BN213"/>
  <c r="BN279"/>
  <c r="BN333"/>
  <c r="BN399"/>
  <c r="BN453"/>
  <c r="BN32"/>
  <c r="BN80"/>
  <c r="BN140"/>
  <c r="BN188"/>
  <c r="BN266"/>
  <c r="BN362"/>
  <c r="BN482"/>
  <c r="BN79"/>
  <c r="BN205"/>
  <c r="BN325"/>
  <c r="BN445"/>
  <c r="BN42"/>
  <c r="BN513"/>
  <c r="BN308"/>
  <c r="BN428"/>
  <c r="BN25"/>
  <c r="BN145"/>
  <c r="BN229"/>
  <c r="BN331"/>
  <c r="BN421"/>
  <c r="BN48"/>
  <c r="BN156"/>
  <c r="BN336"/>
  <c r="BN480"/>
  <c r="BN173"/>
  <c r="BN317"/>
  <c r="BN497"/>
  <c r="BN168"/>
  <c r="BN348"/>
  <c r="BN492"/>
  <c r="BN203"/>
  <c r="BN347"/>
  <c r="BN53"/>
  <c r="BN234"/>
  <c r="BN47"/>
  <c r="BN486"/>
  <c r="BN360"/>
  <c r="BN107"/>
  <c r="BN503"/>
  <c r="BN34"/>
  <c r="BN142"/>
  <c r="BN202"/>
  <c r="BN250"/>
  <c r="BN310"/>
  <c r="BN358"/>
  <c r="BN418"/>
  <c r="BN466"/>
  <c r="BN33"/>
  <c r="BN153"/>
  <c r="BN207"/>
  <c r="BN327"/>
  <c r="BN447"/>
  <c r="BN74"/>
  <c r="BN182"/>
  <c r="BN350"/>
  <c r="BN67"/>
  <c r="BN307"/>
  <c r="BN18"/>
  <c r="BN416"/>
  <c r="BN133"/>
  <c r="BN319"/>
  <c r="BN36"/>
  <c r="BN318"/>
  <c r="BN155"/>
  <c r="BN479"/>
  <c r="BN330"/>
  <c r="BN185"/>
  <c r="BN509"/>
  <c r="BN504"/>
  <c r="BN306"/>
  <c r="BN377"/>
  <c r="BN76"/>
  <c r="BN184"/>
  <c r="BN244"/>
  <c r="BN292"/>
  <c r="BN352"/>
  <c r="BN460"/>
  <c r="BN508"/>
  <c r="BN135"/>
  <c r="BN255"/>
  <c r="BN441"/>
  <c r="BN68"/>
  <c r="BN176"/>
  <c r="BN434"/>
  <c r="BN151"/>
  <c r="BN517"/>
  <c r="BN380"/>
  <c r="BN211"/>
  <c r="BN499"/>
  <c r="BN444"/>
  <c r="BN425"/>
  <c r="BN456"/>
  <c r="BN455"/>
  <c r="BN378"/>
  <c r="BN395"/>
  <c r="BN22"/>
  <c r="BN454"/>
  <c r="BN75"/>
  <c r="BN249"/>
  <c r="BN363"/>
  <c r="BN62"/>
  <c r="BN224"/>
  <c r="BN43"/>
  <c r="BN505"/>
  <c r="BN368"/>
  <c r="BN199"/>
  <c r="BN487"/>
  <c r="BN426"/>
  <c r="BN407"/>
  <c r="BN438"/>
  <c r="BN437"/>
  <c r="BN60"/>
  <c r="BN197"/>
  <c r="BN285"/>
  <c r="BN100"/>
  <c r="BN94"/>
  <c r="BN87"/>
  <c r="BN273"/>
  <c r="BN393"/>
  <c r="BN20"/>
  <c r="BN134"/>
  <c r="BN254"/>
  <c r="BN470"/>
  <c r="BN193"/>
  <c r="BN439"/>
  <c r="BN477"/>
  <c r="BN296"/>
  <c r="BN512"/>
  <c r="BN217"/>
  <c r="BN409"/>
  <c r="BN138"/>
  <c r="BN462"/>
  <c r="BN299"/>
  <c r="BN150"/>
  <c r="BN474"/>
  <c r="BN329"/>
  <c r="BN198"/>
  <c r="BN72"/>
  <c r="BN449"/>
  <c r="BN136"/>
  <c r="BN400"/>
  <c r="BN81"/>
  <c r="BN201"/>
  <c r="BN321"/>
  <c r="BN495"/>
  <c r="BN116"/>
  <c r="BN230"/>
  <c r="BN55"/>
  <c r="BN403"/>
  <c r="BN284"/>
  <c r="BN97"/>
  <c r="BN397"/>
  <c r="BN264"/>
  <c r="BN281"/>
  <c r="BN276"/>
  <c r="BN311"/>
  <c r="BN59"/>
  <c r="BN215"/>
  <c r="BN70"/>
  <c r="BN129"/>
  <c r="BN489"/>
  <c r="BN170"/>
  <c r="BN422"/>
  <c r="BN277"/>
  <c r="BN231"/>
  <c r="BN488"/>
  <c r="BN283"/>
  <c r="BN102"/>
  <c r="BN83"/>
  <c r="BN258"/>
  <c r="BN293"/>
  <c r="BN342"/>
  <c r="BN287"/>
  <c r="BN28"/>
  <c r="BN369"/>
  <c r="BN338"/>
  <c r="BN295"/>
  <c r="BN303"/>
  <c r="BN500"/>
  <c r="BN289"/>
  <c r="BN120"/>
  <c r="BN101"/>
  <c r="BN132"/>
  <c r="BN131"/>
  <c r="BN180"/>
  <c r="BN485"/>
  <c r="BN130"/>
  <c r="BN195"/>
  <c r="BN429"/>
  <c r="BN110"/>
  <c r="BN326"/>
  <c r="BN391"/>
  <c r="BN272"/>
  <c r="BN85"/>
  <c r="BN385"/>
  <c r="BN246"/>
  <c r="BN263"/>
  <c r="BN113"/>
  <c r="BN162"/>
  <c r="BN431"/>
  <c r="BN178"/>
  <c r="BN238"/>
  <c r="BN286"/>
  <c r="BN346"/>
  <c r="BN394"/>
  <c r="BN502"/>
  <c r="BN315"/>
  <c r="BN139"/>
  <c r="BN114"/>
  <c r="O40"/>
  <c r="O76"/>
  <c r="O112"/>
  <c r="O148"/>
  <c r="O184"/>
  <c r="O220"/>
  <c r="O256"/>
  <c r="O292"/>
  <c r="O328"/>
  <c r="O364"/>
  <c r="O400"/>
  <c r="O436"/>
  <c r="O472"/>
  <c r="O508"/>
  <c r="O51"/>
  <c r="O93"/>
  <c r="O129"/>
  <c r="O171"/>
  <c r="O207"/>
  <c r="O249"/>
  <c r="O285"/>
  <c r="O327"/>
  <c r="O363"/>
  <c r="O405"/>
  <c r="O441"/>
  <c r="O477"/>
  <c r="O20"/>
  <c r="O62"/>
  <c r="O98"/>
  <c r="O134"/>
  <c r="O170"/>
  <c r="O206"/>
  <c r="O242"/>
  <c r="O284"/>
  <c r="O320"/>
  <c r="O362"/>
  <c r="O434"/>
  <c r="O500"/>
  <c r="O49"/>
  <c r="O115"/>
  <c r="O181"/>
  <c r="O253"/>
  <c r="O325"/>
  <c r="O387"/>
  <c r="O380"/>
  <c r="O458"/>
  <c r="O67"/>
  <c r="O139"/>
  <c r="O211"/>
  <c r="O283"/>
  <c r="O48"/>
  <c r="O156"/>
  <c r="O264"/>
  <c r="O360"/>
  <c r="O432"/>
  <c r="O504"/>
  <c r="O101"/>
  <c r="O209"/>
  <c r="O317"/>
  <c r="O395"/>
  <c r="O467"/>
  <c r="O42"/>
  <c r="O150"/>
  <c r="O258"/>
  <c r="O355"/>
  <c r="O427"/>
  <c r="O499"/>
  <c r="O113"/>
  <c r="O221"/>
  <c r="O329"/>
  <c r="O402"/>
  <c r="O474"/>
  <c r="O72"/>
  <c r="O180"/>
  <c r="O288"/>
  <c r="O377"/>
  <c r="O449"/>
  <c r="O41"/>
  <c r="O125"/>
  <c r="O233"/>
  <c r="O337"/>
  <c r="O409"/>
  <c r="O481"/>
  <c r="O34"/>
  <c r="O70"/>
  <c r="O106"/>
  <c r="O142"/>
  <c r="O214"/>
  <c r="O250"/>
  <c r="O286"/>
  <c r="O322"/>
  <c r="O358"/>
  <c r="O394"/>
  <c r="O430"/>
  <c r="O466"/>
  <c r="O502"/>
  <c r="O45"/>
  <c r="O87"/>
  <c r="O123"/>
  <c r="O165"/>
  <c r="O201"/>
  <c r="O243"/>
  <c r="O279"/>
  <c r="O321"/>
  <c r="O399"/>
  <c r="O435"/>
  <c r="O471"/>
  <c r="O513"/>
  <c r="O56"/>
  <c r="O178"/>
  <c r="O28"/>
  <c r="O88"/>
  <c r="O136"/>
  <c r="O196"/>
  <c r="O244"/>
  <c r="O304"/>
  <c r="O352"/>
  <c r="O412"/>
  <c r="O460"/>
  <c r="O21"/>
  <c r="O75"/>
  <c r="O147"/>
  <c r="O195"/>
  <c r="O261"/>
  <c r="O309"/>
  <c r="O369"/>
  <c r="O423"/>
  <c r="O483"/>
  <c r="O44"/>
  <c r="O92"/>
  <c r="O140"/>
  <c r="O182"/>
  <c r="O224"/>
  <c r="O266"/>
  <c r="O314"/>
  <c r="O374"/>
  <c r="O452"/>
  <c r="O31"/>
  <c r="O85"/>
  <c r="O169"/>
  <c r="O265"/>
  <c r="O81"/>
  <c r="O278"/>
  <c r="O428"/>
  <c r="O25"/>
  <c r="O151"/>
  <c r="O235"/>
  <c r="O319"/>
  <c r="O120"/>
  <c r="O246"/>
  <c r="O372"/>
  <c r="O456"/>
  <c r="O47"/>
  <c r="O173"/>
  <c r="O299"/>
  <c r="O407"/>
  <c r="O491"/>
  <c r="O96"/>
  <c r="O222"/>
  <c r="O343"/>
  <c r="O439"/>
  <c r="O23"/>
  <c r="O167"/>
  <c r="O293"/>
  <c r="O390"/>
  <c r="O486"/>
  <c r="O108"/>
  <c r="O234"/>
  <c r="O353"/>
  <c r="O437"/>
  <c r="O36"/>
  <c r="O161"/>
  <c r="O287"/>
  <c r="O385"/>
  <c r="O469"/>
  <c r="O82"/>
  <c r="O130"/>
  <c r="O190"/>
  <c r="O238"/>
  <c r="O298"/>
  <c r="O346"/>
  <c r="O406"/>
  <c r="O454"/>
  <c r="O514"/>
  <c r="O69"/>
  <c r="O135"/>
  <c r="O189"/>
  <c r="O255"/>
  <c r="O303"/>
  <c r="O357"/>
  <c r="O417"/>
  <c r="O465"/>
  <c r="O38"/>
  <c r="O86"/>
  <c r="O128"/>
  <c r="O176"/>
  <c r="O218"/>
  <c r="O260"/>
  <c r="O308"/>
  <c r="O356"/>
  <c r="O446"/>
  <c r="O19"/>
  <c r="O73"/>
  <c r="O157"/>
  <c r="O241"/>
  <c r="O27"/>
  <c r="O26"/>
  <c r="O416"/>
  <c r="O506"/>
  <c r="O121"/>
  <c r="O223"/>
  <c r="O307"/>
  <c r="O102"/>
  <c r="O228"/>
  <c r="O348"/>
  <c r="O444"/>
  <c r="O29"/>
  <c r="O281"/>
  <c r="O383"/>
  <c r="O479"/>
  <c r="O78"/>
  <c r="O204"/>
  <c r="O330"/>
  <c r="O415"/>
  <c r="O511"/>
  <c r="O149"/>
  <c r="O275"/>
  <c r="O378"/>
  <c r="O462"/>
  <c r="O90"/>
  <c r="O216"/>
  <c r="O341"/>
  <c r="O425"/>
  <c r="O509"/>
  <c r="O143"/>
  <c r="O269"/>
  <c r="O373"/>
  <c r="O457"/>
  <c r="O64"/>
  <c r="O124"/>
  <c r="O172"/>
  <c r="O232"/>
  <c r="O280"/>
  <c r="O340"/>
  <c r="O388"/>
  <c r="O448"/>
  <c r="O496"/>
  <c r="O63"/>
  <c r="O117"/>
  <c r="O183"/>
  <c r="O237"/>
  <c r="O297"/>
  <c r="O351"/>
  <c r="O411"/>
  <c r="O459"/>
  <c r="O80"/>
  <c r="O122"/>
  <c r="O164"/>
  <c r="O212"/>
  <c r="O254"/>
  <c r="O302"/>
  <c r="O350"/>
  <c r="O422"/>
  <c r="O512"/>
  <c r="O61"/>
  <c r="O145"/>
  <c r="O229"/>
  <c r="O313"/>
  <c r="O489"/>
  <c r="O404"/>
  <c r="O494"/>
  <c r="O109"/>
  <c r="O199"/>
  <c r="O295"/>
  <c r="O210"/>
  <c r="O336"/>
  <c r="O420"/>
  <c r="O516"/>
  <c r="O137"/>
  <c r="O263"/>
  <c r="O371"/>
  <c r="O455"/>
  <c r="O60"/>
  <c r="O186"/>
  <c r="O312"/>
  <c r="O403"/>
  <c r="O487"/>
  <c r="O131"/>
  <c r="O257"/>
  <c r="O366"/>
  <c r="O54"/>
  <c r="O198"/>
  <c r="O324"/>
  <c r="O413"/>
  <c r="O497"/>
  <c r="O107"/>
  <c r="O251"/>
  <c r="O361"/>
  <c r="O445"/>
  <c r="O53"/>
  <c r="O118"/>
  <c r="O226"/>
  <c r="O334"/>
  <c r="O442"/>
  <c r="O57"/>
  <c r="O177"/>
  <c r="O291"/>
  <c r="O393"/>
  <c r="O507"/>
  <c r="O116"/>
  <c r="O200"/>
  <c r="O296"/>
  <c r="O410"/>
  <c r="O55"/>
  <c r="O217"/>
  <c r="O315"/>
  <c r="O392"/>
  <c r="O103"/>
  <c r="O187"/>
  <c r="O66"/>
  <c r="O318"/>
  <c r="O408"/>
  <c r="O119"/>
  <c r="O359"/>
  <c r="O443"/>
  <c r="O168"/>
  <c r="O391"/>
  <c r="O95"/>
  <c r="O239"/>
  <c r="O438"/>
  <c r="O162"/>
  <c r="O401"/>
  <c r="O89"/>
  <c r="O215"/>
  <c r="O433"/>
  <c r="O100"/>
  <c r="O268"/>
  <c r="O424"/>
  <c r="O39"/>
  <c r="O219"/>
  <c r="O381"/>
  <c r="O68"/>
  <c r="O152"/>
  <c r="O290"/>
  <c r="O476"/>
  <c r="O205"/>
  <c r="O231"/>
  <c r="O91"/>
  <c r="O30"/>
  <c r="O396"/>
  <c r="O227"/>
  <c r="O132"/>
  <c r="O463"/>
  <c r="O342"/>
  <c r="O144"/>
  <c r="O473"/>
  <c r="O323"/>
  <c r="O154"/>
  <c r="O310"/>
  <c r="O478"/>
  <c r="O213"/>
  <c r="O429"/>
  <c r="O104"/>
  <c r="O230"/>
  <c r="O386"/>
  <c r="O193"/>
  <c r="O440"/>
  <c r="O331"/>
  <c r="O468"/>
  <c r="O335"/>
  <c r="O240"/>
  <c r="O185"/>
  <c r="O498"/>
  <c r="O461"/>
  <c r="O493"/>
  <c r="O22"/>
  <c r="O155"/>
  <c r="O32"/>
  <c r="O84"/>
  <c r="O450"/>
  <c r="O58"/>
  <c r="O166"/>
  <c r="O274"/>
  <c r="O382"/>
  <c r="O490"/>
  <c r="O111"/>
  <c r="O225"/>
  <c r="O345"/>
  <c r="O453"/>
  <c r="O74"/>
  <c r="O158"/>
  <c r="O248"/>
  <c r="O338"/>
  <c r="O488"/>
  <c r="O133"/>
  <c r="O301"/>
  <c r="O482"/>
  <c r="O271"/>
  <c r="O192"/>
  <c r="O492"/>
  <c r="O245"/>
  <c r="O24"/>
  <c r="O294"/>
  <c r="O475"/>
  <c r="O354"/>
  <c r="O18"/>
  <c r="O306"/>
  <c r="O485"/>
  <c r="O349"/>
  <c r="O517"/>
  <c r="O160"/>
  <c r="O316"/>
  <c r="O484"/>
  <c r="O159"/>
  <c r="O339"/>
  <c r="O447"/>
  <c r="O110"/>
  <c r="O236"/>
  <c r="O332"/>
  <c r="O43"/>
  <c r="O289"/>
  <c r="O470"/>
  <c r="O259"/>
  <c r="O300"/>
  <c r="O480"/>
  <c r="O347"/>
  <c r="O515"/>
  <c r="O276"/>
  <c r="O77"/>
  <c r="O426"/>
  <c r="O270"/>
  <c r="O71"/>
  <c r="O421"/>
  <c r="O94"/>
  <c r="O262"/>
  <c r="O418"/>
  <c r="O153"/>
  <c r="O333"/>
  <c r="O495"/>
  <c r="O188"/>
  <c r="O326"/>
  <c r="O97"/>
  <c r="O141"/>
  <c r="O79"/>
  <c r="O247"/>
  <c r="O282"/>
  <c r="O65"/>
  <c r="O419"/>
  <c r="O114"/>
  <c r="O59"/>
  <c r="O414"/>
  <c r="O365"/>
  <c r="O397"/>
  <c r="O52"/>
  <c r="O208"/>
  <c r="O376"/>
  <c r="O105"/>
  <c r="O273"/>
  <c r="O501"/>
  <c r="O194"/>
  <c r="O398"/>
  <c r="O127"/>
  <c r="O368"/>
  <c r="O175"/>
  <c r="O174"/>
  <c r="O83"/>
  <c r="O431"/>
  <c r="O379"/>
  <c r="O203"/>
  <c r="O510"/>
  <c r="O389"/>
  <c r="O197"/>
  <c r="O505"/>
  <c r="O46"/>
  <c r="O202"/>
  <c r="O370"/>
  <c r="O33"/>
  <c r="O267"/>
  <c r="O375"/>
  <c r="O50"/>
  <c r="O146"/>
  <c r="O272"/>
  <c r="O37"/>
  <c r="O277"/>
  <c r="O344"/>
  <c r="O163"/>
  <c r="O138"/>
  <c r="O191"/>
  <c r="O503"/>
  <c r="O367"/>
  <c r="O311"/>
  <c r="O252"/>
  <c r="O179"/>
  <c r="O99"/>
  <c r="O464"/>
  <c r="O384"/>
  <c r="O451"/>
  <c r="O126"/>
  <c r="O35"/>
  <c r="O305"/>
  <c r="R87"/>
  <c r="R339"/>
  <c r="R92"/>
  <c r="R205"/>
  <c r="R241"/>
  <c r="R349"/>
  <c r="R457"/>
  <c r="R196"/>
  <c r="R340"/>
  <c r="R407"/>
  <c r="R425"/>
  <c r="R153"/>
  <c r="R333"/>
  <c r="R513"/>
  <c r="R50"/>
  <c r="R266"/>
  <c r="R302"/>
  <c r="R91"/>
  <c r="R379"/>
  <c r="R276"/>
  <c r="R456"/>
  <c r="R383"/>
  <c r="R485"/>
  <c r="R96"/>
  <c r="R467"/>
  <c r="R214"/>
  <c r="R342"/>
  <c r="R111"/>
  <c r="R147"/>
  <c r="R327"/>
  <c r="R363"/>
  <c r="R80"/>
  <c r="R260"/>
  <c r="R193"/>
  <c r="R229"/>
  <c r="R172"/>
  <c r="R360"/>
  <c r="R213"/>
  <c r="R453"/>
  <c r="R314"/>
  <c r="R175"/>
  <c r="R312"/>
  <c r="R257"/>
  <c r="R429"/>
  <c r="R434"/>
  <c r="R506"/>
  <c r="R79"/>
  <c r="R376"/>
  <c r="R228"/>
  <c r="R299"/>
  <c r="R279"/>
  <c r="R76"/>
  <c r="R165"/>
  <c r="R208"/>
  <c r="R204"/>
  <c r="R131"/>
  <c r="R294"/>
  <c r="R393"/>
  <c r="R182"/>
  <c r="R326"/>
  <c r="R115"/>
  <c r="R160"/>
  <c r="R478"/>
  <c r="R492"/>
  <c r="R227"/>
  <c r="R262"/>
  <c r="R315"/>
  <c r="R148"/>
  <c r="R372"/>
  <c r="R234"/>
  <c r="R411"/>
  <c r="R164"/>
  <c r="R475"/>
  <c r="R94"/>
  <c r="R114"/>
  <c r="R402"/>
  <c r="R491"/>
  <c r="R189"/>
  <c r="R441"/>
  <c r="R344"/>
  <c r="R82"/>
  <c r="R318"/>
  <c r="R197"/>
  <c r="R220"/>
  <c r="R103"/>
  <c r="R283"/>
  <c r="R141"/>
  <c r="R61"/>
  <c r="R313"/>
  <c r="R36"/>
  <c r="R418"/>
  <c r="R366"/>
  <c r="R510"/>
  <c r="R216"/>
  <c r="R218"/>
  <c r="R127"/>
  <c r="R235"/>
  <c r="R415"/>
  <c r="R487"/>
  <c r="R334"/>
  <c r="R328"/>
  <c r="R155"/>
  <c r="R57"/>
  <c r="R417"/>
  <c r="R356"/>
  <c r="R373"/>
  <c r="R18"/>
  <c r="R221"/>
  <c r="R100"/>
  <c r="R408"/>
  <c r="S45" i="11"/>
  <c r="W45" s="1"/>
  <c r="Y45" s="1"/>
  <c r="T39"/>
  <c r="X39" s="1"/>
  <c r="Z39" s="1"/>
  <c r="T45"/>
  <c r="X45" s="1"/>
  <c r="Z45" s="1"/>
  <c r="S39"/>
  <c r="S40" s="1"/>
  <c r="W40" s="1"/>
  <c r="Y40" s="1"/>
  <c r="S37"/>
  <c r="W37" s="1"/>
  <c r="Y37" s="1"/>
  <c r="T37"/>
  <c r="X37" s="1"/>
  <c r="Z37" s="1"/>
  <c r="W46"/>
  <c r="Y46" s="1"/>
  <c r="X44"/>
  <c r="Z44" s="1"/>
  <c r="X46"/>
  <c r="Z46" s="1"/>
  <c r="W44"/>
  <c r="Y44" s="1"/>
  <c r="X33"/>
  <c r="Z33" s="1"/>
  <c r="X36"/>
  <c r="Z36" s="1"/>
  <c r="X41"/>
  <c r="Z41" s="1"/>
  <c r="X38"/>
  <c r="Z38" s="1"/>
  <c r="X32"/>
  <c r="Z32" s="1"/>
  <c r="X42"/>
  <c r="Z42" s="1"/>
  <c r="W35"/>
  <c r="Y35" s="1"/>
  <c r="W36"/>
  <c r="Y36" s="1"/>
  <c r="X34"/>
  <c r="Z34" s="1"/>
  <c r="W33"/>
  <c r="Y33" s="1"/>
  <c r="W32"/>
  <c r="Y32" s="1"/>
  <c r="W42"/>
  <c r="Y42" s="1"/>
  <c r="W38"/>
  <c r="Y38" s="1"/>
  <c r="X35"/>
  <c r="Z35" s="1"/>
  <c r="W43"/>
  <c r="Y43" s="1"/>
  <c r="W34"/>
  <c r="Y34" s="1"/>
  <c r="W41"/>
  <c r="Y41" s="1"/>
  <c r="X43"/>
  <c r="Z43" s="1"/>
  <c r="C5" i="10"/>
  <c r="BI8" s="1"/>
  <c r="H12"/>
  <c r="B12"/>
  <c r="CF18"/>
  <c r="BZ18"/>
  <c r="CG18"/>
  <c r="CA18"/>
  <c r="CB18"/>
  <c r="CC18"/>
  <c r="CD18"/>
  <c r="CE18"/>
  <c r="CB26"/>
  <c r="CC26"/>
  <c r="CD26"/>
  <c r="CE26"/>
  <c r="CF26"/>
  <c r="BZ26"/>
  <c r="CG26"/>
  <c r="CA26"/>
  <c r="CD22"/>
  <c r="CE22"/>
  <c r="CF22"/>
  <c r="BZ22"/>
  <c r="CG22"/>
  <c r="CA22"/>
  <c r="CB22"/>
  <c r="CC22"/>
  <c r="CB29"/>
  <c r="CC29"/>
  <c r="CD29"/>
  <c r="CE29"/>
  <c r="CF29"/>
  <c r="BZ29"/>
  <c r="CG29"/>
  <c r="CA29"/>
  <c r="CF21"/>
  <c r="BZ21"/>
  <c r="CG21"/>
  <c r="CA21"/>
  <c r="CB21"/>
  <c r="CC21"/>
  <c r="CD21"/>
  <c r="CE21"/>
  <c r="CF27"/>
  <c r="BZ27"/>
  <c r="CG27"/>
  <c r="CA27"/>
  <c r="CB27"/>
  <c r="CC27"/>
  <c r="CD27"/>
  <c r="CE27"/>
  <c r="CD28"/>
  <c r="CE28"/>
  <c r="CF28"/>
  <c r="BZ28"/>
  <c r="CG28"/>
  <c r="CA28"/>
  <c r="CB28"/>
  <c r="CC28"/>
  <c r="CD25"/>
  <c r="CE25"/>
  <c r="CF25"/>
  <c r="BZ25"/>
  <c r="CG25"/>
  <c r="CA25"/>
  <c r="CB25"/>
  <c r="CC25"/>
  <c r="CD19"/>
  <c r="CE19"/>
  <c r="CF19"/>
  <c r="BZ19"/>
  <c r="CG19"/>
  <c r="CA19"/>
  <c r="CB19"/>
  <c r="CC19"/>
  <c r="CB20"/>
  <c r="CC20"/>
  <c r="CD20"/>
  <c r="CE20"/>
  <c r="CF20"/>
  <c r="BZ20"/>
  <c r="CG20"/>
  <c r="CA20"/>
  <c r="CB23"/>
  <c r="CC23"/>
  <c r="CD23"/>
  <c r="CE23"/>
  <c r="CF23"/>
  <c r="BZ23"/>
  <c r="CG23"/>
  <c r="CA23"/>
  <c r="CF24"/>
  <c r="BZ24"/>
  <c r="CG24"/>
  <c r="CA24"/>
  <c r="CB24"/>
  <c r="CC24"/>
  <c r="CD24"/>
  <c r="CE24"/>
  <c r="AG18"/>
  <c r="AA18"/>
  <c r="AH18"/>
  <c r="AB18"/>
  <c r="AC18"/>
  <c r="AD18"/>
  <c r="AE18"/>
  <c r="AF18"/>
  <c r="AG21"/>
  <c r="AA21"/>
  <c r="AH21"/>
  <c r="AB21"/>
  <c r="AC21"/>
  <c r="AD21"/>
  <c r="AE21"/>
  <c r="AF21"/>
  <c r="AG24"/>
  <c r="AA24"/>
  <c r="AH24"/>
  <c r="AB24"/>
  <c r="AC24"/>
  <c r="AD24"/>
  <c r="AE24"/>
  <c r="AF24"/>
  <c r="AC29"/>
  <c r="AD29"/>
  <c r="AE29"/>
  <c r="AF29"/>
  <c r="AG29"/>
  <c r="AA29"/>
  <c r="AH29"/>
  <c r="AB29"/>
  <c r="AE19"/>
  <c r="AF19"/>
  <c r="AG19"/>
  <c r="AA19"/>
  <c r="AH19"/>
  <c r="AB19"/>
  <c r="AC19"/>
  <c r="AD19"/>
  <c r="AG27"/>
  <c r="AA27"/>
  <c r="AH27"/>
  <c r="AB27"/>
  <c r="AC27"/>
  <c r="AD27"/>
  <c r="AE27"/>
  <c r="AF27"/>
  <c r="AE25"/>
  <c r="AF25"/>
  <c r="AG25"/>
  <c r="AA25"/>
  <c r="AH25"/>
  <c r="AB25"/>
  <c r="AC25"/>
  <c r="AD25"/>
  <c r="AC26"/>
  <c r="AD26"/>
  <c r="AE26"/>
  <c r="AF26"/>
  <c r="AG26"/>
  <c r="AA26"/>
  <c r="AH26"/>
  <c r="AB26"/>
  <c r="AE28"/>
  <c r="AF28"/>
  <c r="AG28"/>
  <c r="AA28"/>
  <c r="AH28"/>
  <c r="AB28"/>
  <c r="AC28"/>
  <c r="AD28"/>
  <c r="AC23"/>
  <c r="AD23"/>
  <c r="AE23"/>
  <c r="AF23"/>
  <c r="AG23"/>
  <c r="AA23"/>
  <c r="AH23"/>
  <c r="AB23"/>
  <c r="AC20"/>
  <c r="AD20"/>
  <c r="AE20"/>
  <c r="AF20"/>
  <c r="AG20"/>
  <c r="AA20"/>
  <c r="AH20"/>
  <c r="AB20"/>
  <c r="AE22"/>
  <c r="AF22"/>
  <c r="AG22"/>
  <c r="AA22"/>
  <c r="AH22"/>
  <c r="AB22"/>
  <c r="AC22"/>
  <c r="AD22"/>
  <c r="CE138" l="1"/>
  <c r="CB138"/>
  <c r="CA138"/>
  <c r="BZ138"/>
  <c r="CG138"/>
  <c r="CF138"/>
  <c r="CD138"/>
  <c r="CC138"/>
  <c r="BZ237"/>
  <c r="CF237"/>
  <c r="CE237"/>
  <c r="CB237"/>
  <c r="CA237"/>
  <c r="CD237"/>
  <c r="CC237"/>
  <c r="CG237"/>
  <c r="CB245"/>
  <c r="CA245"/>
  <c r="CG245"/>
  <c r="BZ245"/>
  <c r="CF245"/>
  <c r="CE245"/>
  <c r="CD245"/>
  <c r="CC245"/>
  <c r="CC109"/>
  <c r="CB109"/>
  <c r="CE109"/>
  <c r="CD109"/>
  <c r="CA109"/>
  <c r="CG109"/>
  <c r="CF109"/>
  <c r="BZ109"/>
  <c r="CC130"/>
  <c r="CA130"/>
  <c r="BZ130"/>
  <c r="CG130"/>
  <c r="CF130"/>
  <c r="CE130"/>
  <c r="CD130"/>
  <c r="CB130"/>
  <c r="CB302"/>
  <c r="BZ302"/>
  <c r="CG302"/>
  <c r="CF302"/>
  <c r="CE302"/>
  <c r="CD302"/>
  <c r="CC302"/>
  <c r="CA302"/>
  <c r="CB341"/>
  <c r="CE341"/>
  <c r="CD341"/>
  <c r="CC341"/>
  <c r="BZ341"/>
  <c r="CG341"/>
  <c r="CF341"/>
  <c r="CA341"/>
  <c r="CC487"/>
  <c r="CE487"/>
  <c r="CD487"/>
  <c r="CB487"/>
  <c r="CA487"/>
  <c r="BZ487"/>
  <c r="CG487"/>
  <c r="CF487"/>
  <c r="CA128"/>
  <c r="CG128"/>
  <c r="CC128"/>
  <c r="CB128"/>
  <c r="BZ128"/>
  <c r="CF128"/>
  <c r="CE128"/>
  <c r="CD128"/>
  <c r="CD280"/>
  <c r="CC280"/>
  <c r="CB280"/>
  <c r="CA280"/>
  <c r="CG280"/>
  <c r="CF280"/>
  <c r="CE280"/>
  <c r="BZ280"/>
  <c r="CE54"/>
  <c r="CD54"/>
  <c r="CC54"/>
  <c r="CB54"/>
  <c r="CA54"/>
  <c r="BZ54"/>
  <c r="CG54"/>
  <c r="CF54"/>
  <c r="CA80"/>
  <c r="CG80"/>
  <c r="BZ80"/>
  <c r="CF80"/>
  <c r="CC80"/>
  <c r="CB80"/>
  <c r="CE80"/>
  <c r="CD80"/>
  <c r="CD328"/>
  <c r="CA328"/>
  <c r="BZ328"/>
  <c r="CG328"/>
  <c r="CF328"/>
  <c r="CC328"/>
  <c r="CB328"/>
  <c r="CE328"/>
  <c r="CE408"/>
  <c r="CD408"/>
  <c r="CF408"/>
  <c r="CC408"/>
  <c r="CB408"/>
  <c r="CA408"/>
  <c r="BZ408"/>
  <c r="CG408"/>
  <c r="CE192"/>
  <c r="CB192"/>
  <c r="CA192"/>
  <c r="CG192"/>
  <c r="CF192"/>
  <c r="CD192"/>
  <c r="CC192"/>
  <c r="BZ192"/>
  <c r="CB272"/>
  <c r="CC272"/>
  <c r="CA272"/>
  <c r="BZ272"/>
  <c r="CG272"/>
  <c r="CE272"/>
  <c r="CD272"/>
  <c r="CF272"/>
  <c r="CA59"/>
  <c r="CG59"/>
  <c r="BZ59"/>
  <c r="CF59"/>
  <c r="CE59"/>
  <c r="CD59"/>
  <c r="CC59"/>
  <c r="CB59"/>
  <c r="CE198"/>
  <c r="CD198"/>
  <c r="CC198"/>
  <c r="CB198"/>
  <c r="CA198"/>
  <c r="BZ198"/>
  <c r="CF198"/>
  <c r="CG198"/>
  <c r="CB362"/>
  <c r="CC362"/>
  <c r="CA362"/>
  <c r="BZ362"/>
  <c r="CG362"/>
  <c r="CE362"/>
  <c r="CD362"/>
  <c r="CF362"/>
  <c r="CB377"/>
  <c r="CE377"/>
  <c r="CD377"/>
  <c r="CG377"/>
  <c r="CF377"/>
  <c r="CC377"/>
  <c r="CA377"/>
  <c r="BZ377"/>
  <c r="CE210"/>
  <c r="CB210"/>
  <c r="CA210"/>
  <c r="CD210"/>
  <c r="CC210"/>
  <c r="BZ210"/>
  <c r="CF210"/>
  <c r="CG210"/>
  <c r="CC67"/>
  <c r="CB67"/>
  <c r="CG67"/>
  <c r="CF67"/>
  <c r="CE67"/>
  <c r="CD67"/>
  <c r="CA67"/>
  <c r="BZ67"/>
  <c r="BZ351"/>
  <c r="CF351"/>
  <c r="CD351"/>
  <c r="CC351"/>
  <c r="CB351"/>
  <c r="CG351"/>
  <c r="CE351"/>
  <c r="CA351"/>
  <c r="CB305"/>
  <c r="CE305"/>
  <c r="CD305"/>
  <c r="CC305"/>
  <c r="BZ305"/>
  <c r="CG305"/>
  <c r="CF305"/>
  <c r="CA305"/>
  <c r="CC154"/>
  <c r="CD154"/>
  <c r="CB154"/>
  <c r="CA154"/>
  <c r="CG154"/>
  <c r="CF154"/>
  <c r="CE154"/>
  <c r="BZ154"/>
  <c r="CA446"/>
  <c r="CG446"/>
  <c r="CF446"/>
  <c r="BZ446"/>
  <c r="CE446"/>
  <c r="CD446"/>
  <c r="CC446"/>
  <c r="CB446"/>
  <c r="CE417"/>
  <c r="CD417"/>
  <c r="CF417"/>
  <c r="CC417"/>
  <c r="CB417"/>
  <c r="CA417"/>
  <c r="BZ417"/>
  <c r="CG417"/>
  <c r="CE33"/>
  <c r="CD33"/>
  <c r="CA33"/>
  <c r="BZ33"/>
  <c r="CG33"/>
  <c r="CF33"/>
  <c r="CC33"/>
  <c r="CB33"/>
  <c r="CB233"/>
  <c r="CA233"/>
  <c r="CG233"/>
  <c r="CF233"/>
  <c r="CE233"/>
  <c r="CD233"/>
  <c r="BZ233"/>
  <c r="CC233"/>
  <c r="CA167"/>
  <c r="CG167"/>
  <c r="BZ167"/>
  <c r="CF167"/>
  <c r="CC167"/>
  <c r="CB167"/>
  <c r="CE167"/>
  <c r="CD167"/>
  <c r="CA155"/>
  <c r="CG155"/>
  <c r="CC155"/>
  <c r="CB155"/>
  <c r="BZ155"/>
  <c r="CF155"/>
  <c r="CE155"/>
  <c r="CD155"/>
  <c r="BZ324"/>
  <c r="CF324"/>
  <c r="CD324"/>
  <c r="CC324"/>
  <c r="CB324"/>
  <c r="CG324"/>
  <c r="CE324"/>
  <c r="CA324"/>
  <c r="CC187"/>
  <c r="CF187"/>
  <c r="CE187"/>
  <c r="CD187"/>
  <c r="CB187"/>
  <c r="CA187"/>
  <c r="BZ187"/>
  <c r="CG187"/>
  <c r="CB332"/>
  <c r="CE332"/>
  <c r="CD332"/>
  <c r="CC332"/>
  <c r="BZ332"/>
  <c r="CG332"/>
  <c r="CF332"/>
  <c r="CA332"/>
  <c r="CE471"/>
  <c r="CC471"/>
  <c r="CB471"/>
  <c r="CA471"/>
  <c r="CG471"/>
  <c r="BZ471"/>
  <c r="CF471"/>
  <c r="CD471"/>
  <c r="CE147"/>
  <c r="CB147"/>
  <c r="CA147"/>
  <c r="BZ147"/>
  <c r="CG147"/>
  <c r="CF147"/>
  <c r="CD147"/>
  <c r="CC147"/>
  <c r="CB287"/>
  <c r="CE287"/>
  <c r="CD287"/>
  <c r="CC287"/>
  <c r="BZ287"/>
  <c r="CG287"/>
  <c r="CF287"/>
  <c r="CA287"/>
  <c r="CA221"/>
  <c r="CG221"/>
  <c r="BZ221"/>
  <c r="CF221"/>
  <c r="CC221"/>
  <c r="CB221"/>
  <c r="CD221"/>
  <c r="CE221"/>
  <c r="CA209"/>
  <c r="CG209"/>
  <c r="CC209"/>
  <c r="CB209"/>
  <c r="BZ209"/>
  <c r="CF209"/>
  <c r="CD209"/>
  <c r="CE209"/>
  <c r="CE60"/>
  <c r="CD60"/>
  <c r="CA60"/>
  <c r="BZ60"/>
  <c r="CG60"/>
  <c r="CF60"/>
  <c r="CC60"/>
  <c r="CB60"/>
  <c r="BZ366"/>
  <c r="CF366"/>
  <c r="CG366"/>
  <c r="CE366"/>
  <c r="CA366"/>
  <c r="CD366"/>
  <c r="CC366"/>
  <c r="CB366"/>
  <c r="CC211"/>
  <c r="CA211"/>
  <c r="BZ211"/>
  <c r="CG211"/>
  <c r="CF211"/>
  <c r="CE211"/>
  <c r="CD211"/>
  <c r="CB211"/>
  <c r="CB350"/>
  <c r="CE350"/>
  <c r="CD350"/>
  <c r="CC350"/>
  <c r="BZ350"/>
  <c r="CG350"/>
  <c r="CF350"/>
  <c r="CA350"/>
  <c r="CE429"/>
  <c r="CD429"/>
  <c r="BZ429"/>
  <c r="CG429"/>
  <c r="CF429"/>
  <c r="CC429"/>
  <c r="CB429"/>
  <c r="CA429"/>
  <c r="CE105"/>
  <c r="CD105"/>
  <c r="CA105"/>
  <c r="BZ105"/>
  <c r="CG105"/>
  <c r="CF105"/>
  <c r="CC105"/>
  <c r="CB105"/>
  <c r="CB323"/>
  <c r="CE323"/>
  <c r="CD323"/>
  <c r="CC323"/>
  <c r="BZ323"/>
  <c r="CG323"/>
  <c r="CF323"/>
  <c r="CA323"/>
  <c r="CB239"/>
  <c r="CA239"/>
  <c r="CG239"/>
  <c r="CD239"/>
  <c r="CC239"/>
  <c r="BZ239"/>
  <c r="CF239"/>
  <c r="CE239"/>
  <c r="CB227"/>
  <c r="CA227"/>
  <c r="CG227"/>
  <c r="BZ227"/>
  <c r="CF227"/>
  <c r="CE227"/>
  <c r="CD227"/>
  <c r="CC227"/>
  <c r="CE72"/>
  <c r="CD72"/>
  <c r="CC72"/>
  <c r="CB72"/>
  <c r="CA72"/>
  <c r="BZ72"/>
  <c r="CG72"/>
  <c r="CF72"/>
  <c r="BZ378"/>
  <c r="CF378"/>
  <c r="CD378"/>
  <c r="CC378"/>
  <c r="CA378"/>
  <c r="CG378"/>
  <c r="CE378"/>
  <c r="CB378"/>
  <c r="CC217"/>
  <c r="CD217"/>
  <c r="CB217"/>
  <c r="CA217"/>
  <c r="BZ217"/>
  <c r="CE217"/>
  <c r="CG217"/>
  <c r="CF217"/>
  <c r="CB356"/>
  <c r="BZ356"/>
  <c r="CG356"/>
  <c r="CF356"/>
  <c r="CE356"/>
  <c r="CD356"/>
  <c r="CC356"/>
  <c r="CA356"/>
  <c r="CE495"/>
  <c r="CF495"/>
  <c r="CD495"/>
  <c r="CA495"/>
  <c r="BZ495"/>
  <c r="CC495"/>
  <c r="CB495"/>
  <c r="CG495"/>
  <c r="CE171"/>
  <c r="CD171"/>
  <c r="CC171"/>
  <c r="CB171"/>
  <c r="CA171"/>
  <c r="BZ171"/>
  <c r="CG171"/>
  <c r="CF171"/>
  <c r="CB338"/>
  <c r="BZ338"/>
  <c r="CG338"/>
  <c r="CF338"/>
  <c r="CE338"/>
  <c r="CD338"/>
  <c r="CC338"/>
  <c r="CA338"/>
  <c r="CE405"/>
  <c r="CD405"/>
  <c r="CB405"/>
  <c r="CA405"/>
  <c r="BZ405"/>
  <c r="CG405"/>
  <c r="CF405"/>
  <c r="CC405"/>
  <c r="CE189"/>
  <c r="CD189"/>
  <c r="CC189"/>
  <c r="BZ189"/>
  <c r="CG189"/>
  <c r="CF189"/>
  <c r="CB189"/>
  <c r="CA189"/>
  <c r="CA467"/>
  <c r="CG467"/>
  <c r="BZ467"/>
  <c r="CF467"/>
  <c r="CB467"/>
  <c r="CE467"/>
  <c r="CD467"/>
  <c r="CC467"/>
  <c r="CA125"/>
  <c r="CG125"/>
  <c r="CE125"/>
  <c r="CD125"/>
  <c r="CC125"/>
  <c r="CF125"/>
  <c r="CB125"/>
  <c r="BZ125"/>
  <c r="CA401"/>
  <c r="CG401"/>
  <c r="BZ401"/>
  <c r="CF401"/>
  <c r="CE401"/>
  <c r="CC401"/>
  <c r="CD401"/>
  <c r="CB401"/>
  <c r="CC118"/>
  <c r="CD118"/>
  <c r="CB118"/>
  <c r="CA118"/>
  <c r="CG118"/>
  <c r="CF118"/>
  <c r="CE118"/>
  <c r="BZ118"/>
  <c r="CE510"/>
  <c r="BZ510"/>
  <c r="CG510"/>
  <c r="CC510"/>
  <c r="CB510"/>
  <c r="CF510"/>
  <c r="CD510"/>
  <c r="CA510"/>
  <c r="CE108"/>
  <c r="CD108"/>
  <c r="CC108"/>
  <c r="CB108"/>
  <c r="CA108"/>
  <c r="BZ108"/>
  <c r="CG108"/>
  <c r="CF108"/>
  <c r="CB374"/>
  <c r="BZ374"/>
  <c r="CG374"/>
  <c r="CF374"/>
  <c r="CA374"/>
  <c r="CE374"/>
  <c r="CD374"/>
  <c r="CC374"/>
  <c r="CE90"/>
  <c r="CD90"/>
  <c r="CC90"/>
  <c r="CB90"/>
  <c r="CA90"/>
  <c r="BZ90"/>
  <c r="CG90"/>
  <c r="CF90"/>
  <c r="CC199"/>
  <c r="CD199"/>
  <c r="CB199"/>
  <c r="CF199"/>
  <c r="CE199"/>
  <c r="CA199"/>
  <c r="BZ199"/>
  <c r="CG199"/>
  <c r="CA416"/>
  <c r="CG416"/>
  <c r="BZ416"/>
  <c r="CF416"/>
  <c r="CD416"/>
  <c r="CC416"/>
  <c r="CB416"/>
  <c r="CE416"/>
  <c r="CA62"/>
  <c r="CG62"/>
  <c r="BZ62"/>
  <c r="CF62"/>
  <c r="CC62"/>
  <c r="CB62"/>
  <c r="CE62"/>
  <c r="CD62"/>
  <c r="CD268"/>
  <c r="CC268"/>
  <c r="CF268"/>
  <c r="CE268"/>
  <c r="CB268"/>
  <c r="CG268"/>
  <c r="CA268"/>
  <c r="BZ268"/>
  <c r="CC382"/>
  <c r="CB382"/>
  <c r="CF382"/>
  <c r="CE382"/>
  <c r="CD382"/>
  <c r="CA382"/>
  <c r="BZ382"/>
  <c r="CG382"/>
  <c r="CA203"/>
  <c r="CG203"/>
  <c r="BZ203"/>
  <c r="CF203"/>
  <c r="CE203"/>
  <c r="CD203"/>
  <c r="CC203"/>
  <c r="CB203"/>
  <c r="CA515"/>
  <c r="CG515"/>
  <c r="CC515"/>
  <c r="CB515"/>
  <c r="BZ515"/>
  <c r="CF515"/>
  <c r="CE515"/>
  <c r="CD515"/>
  <c r="CE450"/>
  <c r="CD450"/>
  <c r="CB450"/>
  <c r="CA450"/>
  <c r="BZ450"/>
  <c r="CG450"/>
  <c r="CF450"/>
  <c r="CC450"/>
  <c r="CE48"/>
  <c r="CD48"/>
  <c r="CG48"/>
  <c r="CF48"/>
  <c r="CC48"/>
  <c r="CB48"/>
  <c r="CA48"/>
  <c r="BZ48"/>
  <c r="CA56"/>
  <c r="CG56"/>
  <c r="BZ56"/>
  <c r="CF56"/>
  <c r="CE56"/>
  <c r="CD56"/>
  <c r="CC56"/>
  <c r="CB56"/>
  <c r="CE102"/>
  <c r="CD102"/>
  <c r="CG102"/>
  <c r="CF102"/>
  <c r="CC102"/>
  <c r="CB102"/>
  <c r="CA102"/>
  <c r="BZ102"/>
  <c r="CC205"/>
  <c r="CF205"/>
  <c r="CE205"/>
  <c r="CA205"/>
  <c r="BZ205"/>
  <c r="CG205"/>
  <c r="CB205"/>
  <c r="CD205"/>
  <c r="CA464"/>
  <c r="CG464"/>
  <c r="BZ464"/>
  <c r="CF464"/>
  <c r="CE464"/>
  <c r="CD464"/>
  <c r="CC464"/>
  <c r="CB464"/>
  <c r="CB224"/>
  <c r="CA224"/>
  <c r="CG224"/>
  <c r="CF224"/>
  <c r="CE224"/>
  <c r="CD224"/>
  <c r="CC224"/>
  <c r="BZ224"/>
  <c r="CE483"/>
  <c r="CA483"/>
  <c r="BZ483"/>
  <c r="CG483"/>
  <c r="CF483"/>
  <c r="CD483"/>
  <c r="CC483"/>
  <c r="CB483"/>
  <c r="BZ267"/>
  <c r="CF267"/>
  <c r="CE267"/>
  <c r="CD267"/>
  <c r="CC267"/>
  <c r="CB267"/>
  <c r="CG267"/>
  <c r="CA267"/>
  <c r="CE51"/>
  <c r="CD51"/>
  <c r="CA51"/>
  <c r="BZ51"/>
  <c r="CG51"/>
  <c r="CF51"/>
  <c r="CC51"/>
  <c r="CB51"/>
  <c r="CD262"/>
  <c r="CC262"/>
  <c r="BZ262"/>
  <c r="CG262"/>
  <c r="CF262"/>
  <c r="CB262"/>
  <c r="CA262"/>
  <c r="CE262"/>
  <c r="CD325"/>
  <c r="CC325"/>
  <c r="CB325"/>
  <c r="CA325"/>
  <c r="CG325"/>
  <c r="CF325"/>
  <c r="CE325"/>
  <c r="BZ325"/>
  <c r="CA179"/>
  <c r="CG179"/>
  <c r="CE179"/>
  <c r="CD179"/>
  <c r="CC179"/>
  <c r="CB179"/>
  <c r="BZ179"/>
  <c r="CF179"/>
  <c r="CC499"/>
  <c r="CA499"/>
  <c r="BZ499"/>
  <c r="CG499"/>
  <c r="CF499"/>
  <c r="CE499"/>
  <c r="CD499"/>
  <c r="CB499"/>
  <c r="CD286"/>
  <c r="CF286"/>
  <c r="CE286"/>
  <c r="CC286"/>
  <c r="CG286"/>
  <c r="CB286"/>
  <c r="CA286"/>
  <c r="BZ286"/>
  <c r="BZ282"/>
  <c r="CF282"/>
  <c r="CB282"/>
  <c r="CA282"/>
  <c r="CG282"/>
  <c r="CE282"/>
  <c r="CD282"/>
  <c r="CC282"/>
  <c r="CB275"/>
  <c r="BZ275"/>
  <c r="CG275"/>
  <c r="CF275"/>
  <c r="CE275"/>
  <c r="CD275"/>
  <c r="CC275"/>
  <c r="CA275"/>
  <c r="CE402"/>
  <c r="CD402"/>
  <c r="BZ402"/>
  <c r="CG402"/>
  <c r="CF402"/>
  <c r="CC402"/>
  <c r="CB402"/>
  <c r="CA402"/>
  <c r="CA200"/>
  <c r="CG200"/>
  <c r="CC200"/>
  <c r="CB200"/>
  <c r="CF200"/>
  <c r="CE200"/>
  <c r="CD200"/>
  <c r="BZ200"/>
  <c r="CA197"/>
  <c r="CG197"/>
  <c r="CE197"/>
  <c r="CD197"/>
  <c r="BZ197"/>
  <c r="CF197"/>
  <c r="CB197"/>
  <c r="CC197"/>
  <c r="CA137"/>
  <c r="CG137"/>
  <c r="CC137"/>
  <c r="CB137"/>
  <c r="BZ137"/>
  <c r="CF137"/>
  <c r="CE137"/>
  <c r="CD137"/>
  <c r="CE438"/>
  <c r="CD438"/>
  <c r="BZ438"/>
  <c r="CG438"/>
  <c r="CF438"/>
  <c r="CC438"/>
  <c r="CB438"/>
  <c r="CA438"/>
  <c r="CA392"/>
  <c r="CG392"/>
  <c r="BZ392"/>
  <c r="CF392"/>
  <c r="CE392"/>
  <c r="CD392"/>
  <c r="CC392"/>
  <c r="CB392"/>
  <c r="CC196"/>
  <c r="CF196"/>
  <c r="CE196"/>
  <c r="CG196"/>
  <c r="CD196"/>
  <c r="CB196"/>
  <c r="BZ196"/>
  <c r="CA196"/>
  <c r="CE486"/>
  <c r="CF486"/>
  <c r="CD486"/>
  <c r="CC486"/>
  <c r="CB486"/>
  <c r="CA486"/>
  <c r="BZ486"/>
  <c r="CG486"/>
  <c r="CC61"/>
  <c r="CB61"/>
  <c r="CA61"/>
  <c r="BZ61"/>
  <c r="CG61"/>
  <c r="CF61"/>
  <c r="CE61"/>
  <c r="CD61"/>
  <c r="CC394"/>
  <c r="CB394"/>
  <c r="BZ394"/>
  <c r="CG394"/>
  <c r="CF394"/>
  <c r="CE394"/>
  <c r="CD394"/>
  <c r="CA394"/>
  <c r="CE498"/>
  <c r="CB498"/>
  <c r="CA498"/>
  <c r="BZ498"/>
  <c r="CG498"/>
  <c r="CF498"/>
  <c r="CD498"/>
  <c r="CC498"/>
  <c r="CC175"/>
  <c r="CA175"/>
  <c r="BZ175"/>
  <c r="CG175"/>
  <c r="CD175"/>
  <c r="CB175"/>
  <c r="CF175"/>
  <c r="CE175"/>
  <c r="CE459"/>
  <c r="CD459"/>
  <c r="CB459"/>
  <c r="CA459"/>
  <c r="BZ459"/>
  <c r="CG459"/>
  <c r="CF459"/>
  <c r="CC459"/>
  <c r="CD376"/>
  <c r="CF376"/>
  <c r="CE376"/>
  <c r="CG376"/>
  <c r="CC376"/>
  <c r="CB376"/>
  <c r="CA376"/>
  <c r="BZ376"/>
  <c r="CC415"/>
  <c r="CB415"/>
  <c r="CD415"/>
  <c r="CA415"/>
  <c r="CG415"/>
  <c r="BZ415"/>
  <c r="CF415"/>
  <c r="CE415"/>
  <c r="CE465"/>
  <c r="CD465"/>
  <c r="BZ465"/>
  <c r="CG465"/>
  <c r="CF465"/>
  <c r="CC465"/>
  <c r="CB465"/>
  <c r="CA465"/>
  <c r="CE141"/>
  <c r="BZ141"/>
  <c r="CG141"/>
  <c r="CF141"/>
  <c r="CD141"/>
  <c r="CC141"/>
  <c r="CB141"/>
  <c r="CA141"/>
  <c r="CC46"/>
  <c r="CB46"/>
  <c r="CE46"/>
  <c r="CD46"/>
  <c r="CA46"/>
  <c r="CG46"/>
  <c r="CF46"/>
  <c r="BZ46"/>
  <c r="CB347"/>
  <c r="BZ347"/>
  <c r="CG347"/>
  <c r="CF347"/>
  <c r="CE347"/>
  <c r="CD347"/>
  <c r="CC347"/>
  <c r="CA347"/>
  <c r="CB335"/>
  <c r="CC335"/>
  <c r="CA335"/>
  <c r="BZ335"/>
  <c r="CG335"/>
  <c r="CE335"/>
  <c r="CD335"/>
  <c r="CF335"/>
  <c r="CE144"/>
  <c r="CD144"/>
  <c r="CC144"/>
  <c r="CB144"/>
  <c r="CA144"/>
  <c r="BZ144"/>
  <c r="CG144"/>
  <c r="CF144"/>
  <c r="CE444"/>
  <c r="CD444"/>
  <c r="CF444"/>
  <c r="CC444"/>
  <c r="CB444"/>
  <c r="CA444"/>
  <c r="BZ444"/>
  <c r="CG444"/>
  <c r="CD265"/>
  <c r="CC265"/>
  <c r="CB265"/>
  <c r="CA265"/>
  <c r="BZ265"/>
  <c r="CG265"/>
  <c r="CF265"/>
  <c r="CE265"/>
  <c r="CA398"/>
  <c r="CG398"/>
  <c r="BZ398"/>
  <c r="CF398"/>
  <c r="CD398"/>
  <c r="CC398"/>
  <c r="CB398"/>
  <c r="CE398"/>
  <c r="CA38"/>
  <c r="CG38"/>
  <c r="BZ38"/>
  <c r="CF38"/>
  <c r="CE38"/>
  <c r="CD38"/>
  <c r="CC38"/>
  <c r="CB38"/>
  <c r="CE207"/>
  <c r="CD207"/>
  <c r="CC207"/>
  <c r="CG207"/>
  <c r="CF207"/>
  <c r="CB207"/>
  <c r="CA207"/>
  <c r="BZ207"/>
  <c r="CD232"/>
  <c r="CC232"/>
  <c r="CF232"/>
  <c r="CE232"/>
  <c r="CB232"/>
  <c r="CG232"/>
  <c r="CA232"/>
  <c r="BZ232"/>
  <c r="CB365"/>
  <c r="BZ365"/>
  <c r="CG365"/>
  <c r="CF365"/>
  <c r="CE365"/>
  <c r="CD365"/>
  <c r="CC365"/>
  <c r="CA365"/>
  <c r="CB353"/>
  <c r="CC353"/>
  <c r="CA353"/>
  <c r="BZ353"/>
  <c r="CG353"/>
  <c r="CE353"/>
  <c r="CD353"/>
  <c r="CF353"/>
  <c r="CE156"/>
  <c r="CB156"/>
  <c r="CA156"/>
  <c r="BZ156"/>
  <c r="CG156"/>
  <c r="CF156"/>
  <c r="CD156"/>
  <c r="CC156"/>
  <c r="CE456"/>
  <c r="CD456"/>
  <c r="BZ456"/>
  <c r="CG456"/>
  <c r="CF456"/>
  <c r="CC456"/>
  <c r="CB456"/>
  <c r="CA456"/>
  <c r="CD277"/>
  <c r="CF277"/>
  <c r="CE277"/>
  <c r="CC277"/>
  <c r="CG277"/>
  <c r="CB277"/>
  <c r="CA277"/>
  <c r="BZ277"/>
  <c r="CA404"/>
  <c r="CG404"/>
  <c r="BZ404"/>
  <c r="CF404"/>
  <c r="CB404"/>
  <c r="CE404"/>
  <c r="CD404"/>
  <c r="CC404"/>
  <c r="CE489"/>
  <c r="CC489"/>
  <c r="CB489"/>
  <c r="CA489"/>
  <c r="BZ489"/>
  <c r="CF489"/>
  <c r="CD489"/>
  <c r="CG489"/>
  <c r="CE165"/>
  <c r="CB165"/>
  <c r="CA165"/>
  <c r="BZ165"/>
  <c r="CG165"/>
  <c r="CF165"/>
  <c r="CD165"/>
  <c r="CC165"/>
  <c r="CD340"/>
  <c r="CF340"/>
  <c r="CE340"/>
  <c r="CC340"/>
  <c r="CG340"/>
  <c r="CB340"/>
  <c r="CA340"/>
  <c r="BZ340"/>
  <c r="CA383"/>
  <c r="CG383"/>
  <c r="BZ383"/>
  <c r="CF383"/>
  <c r="CE383"/>
  <c r="CC383"/>
  <c r="CD383"/>
  <c r="CB383"/>
  <c r="CB371"/>
  <c r="CC371"/>
  <c r="CA371"/>
  <c r="CD371"/>
  <c r="BZ371"/>
  <c r="CG371"/>
  <c r="CF371"/>
  <c r="CE371"/>
  <c r="CE168"/>
  <c r="BZ168"/>
  <c r="CG168"/>
  <c r="CF168"/>
  <c r="CD168"/>
  <c r="CC168"/>
  <c r="CB168"/>
  <c r="CA168"/>
  <c r="CE468"/>
  <c r="CD468"/>
  <c r="CB468"/>
  <c r="CA468"/>
  <c r="BZ468"/>
  <c r="CG468"/>
  <c r="CF468"/>
  <c r="CC468"/>
  <c r="CD289"/>
  <c r="CC289"/>
  <c r="CB289"/>
  <c r="CA289"/>
  <c r="CG289"/>
  <c r="CF289"/>
  <c r="CE289"/>
  <c r="BZ289"/>
  <c r="CA410"/>
  <c r="CG410"/>
  <c r="BZ410"/>
  <c r="CF410"/>
  <c r="CE410"/>
  <c r="CD410"/>
  <c r="CC410"/>
  <c r="CB410"/>
  <c r="CA50"/>
  <c r="CG50"/>
  <c r="BZ50"/>
  <c r="CF50"/>
  <c r="CE50"/>
  <c r="CD50"/>
  <c r="CC50"/>
  <c r="CB50"/>
  <c r="CE219"/>
  <c r="CB219"/>
  <c r="CA219"/>
  <c r="CG219"/>
  <c r="CF219"/>
  <c r="CD219"/>
  <c r="BZ219"/>
  <c r="CC219"/>
  <c r="CC121"/>
  <c r="CA121"/>
  <c r="BZ121"/>
  <c r="CG121"/>
  <c r="CF121"/>
  <c r="CE121"/>
  <c r="CD121"/>
  <c r="CB121"/>
  <c r="CE441"/>
  <c r="CD441"/>
  <c r="CB441"/>
  <c r="CA441"/>
  <c r="BZ441"/>
  <c r="CG441"/>
  <c r="CF441"/>
  <c r="CC441"/>
  <c r="BZ225"/>
  <c r="CF225"/>
  <c r="CE225"/>
  <c r="CG225"/>
  <c r="CD225"/>
  <c r="CA225"/>
  <c r="CC225"/>
  <c r="CB225"/>
  <c r="CC124"/>
  <c r="CF124"/>
  <c r="CE124"/>
  <c r="CD124"/>
  <c r="CB124"/>
  <c r="CA124"/>
  <c r="BZ124"/>
  <c r="CG124"/>
  <c r="CB251"/>
  <c r="CA251"/>
  <c r="CG251"/>
  <c r="CF251"/>
  <c r="CE251"/>
  <c r="CD251"/>
  <c r="BZ251"/>
  <c r="CC251"/>
  <c r="CA509"/>
  <c r="CG509"/>
  <c r="CB509"/>
  <c r="BZ509"/>
  <c r="CF509"/>
  <c r="CE509"/>
  <c r="CD509"/>
  <c r="CC509"/>
  <c r="CD226"/>
  <c r="CC226"/>
  <c r="BZ226"/>
  <c r="CG226"/>
  <c r="CF226"/>
  <c r="CA226"/>
  <c r="CB226"/>
  <c r="CE226"/>
  <c r="CA65"/>
  <c r="CG65"/>
  <c r="BZ65"/>
  <c r="CF65"/>
  <c r="CE65"/>
  <c r="CD65"/>
  <c r="CC65"/>
  <c r="CB65"/>
  <c r="CE174"/>
  <c r="CB174"/>
  <c r="CA174"/>
  <c r="BZ174"/>
  <c r="CG174"/>
  <c r="CF174"/>
  <c r="CD174"/>
  <c r="CC174"/>
  <c r="CD241"/>
  <c r="CC241"/>
  <c r="CF241"/>
  <c r="CE241"/>
  <c r="CB241"/>
  <c r="CG241"/>
  <c r="CA241"/>
  <c r="BZ241"/>
  <c r="CE162"/>
  <c r="CD162"/>
  <c r="CC162"/>
  <c r="CB162"/>
  <c r="CA162"/>
  <c r="BZ162"/>
  <c r="CG162"/>
  <c r="CF162"/>
  <c r="CD235"/>
  <c r="CC235"/>
  <c r="BZ235"/>
  <c r="CG235"/>
  <c r="CF235"/>
  <c r="CB235"/>
  <c r="CA235"/>
  <c r="CE235"/>
  <c r="CA458"/>
  <c r="CG458"/>
  <c r="BZ458"/>
  <c r="CF458"/>
  <c r="CB458"/>
  <c r="CD458"/>
  <c r="CE458"/>
  <c r="CC458"/>
  <c r="CA140"/>
  <c r="CG140"/>
  <c r="BZ140"/>
  <c r="CF140"/>
  <c r="CE140"/>
  <c r="CD140"/>
  <c r="CC140"/>
  <c r="CB140"/>
  <c r="CA215"/>
  <c r="CG215"/>
  <c r="CE215"/>
  <c r="CD215"/>
  <c r="CF215"/>
  <c r="CC215"/>
  <c r="BZ215"/>
  <c r="CB215"/>
  <c r="CC490"/>
  <c r="CB490"/>
  <c r="CA490"/>
  <c r="CG490"/>
  <c r="CF490"/>
  <c r="BZ490"/>
  <c r="CE490"/>
  <c r="CD490"/>
  <c r="CC136"/>
  <c r="CD136"/>
  <c r="CB136"/>
  <c r="CA136"/>
  <c r="CG136"/>
  <c r="CF136"/>
  <c r="CE136"/>
  <c r="BZ136"/>
  <c r="CE120"/>
  <c r="CB120"/>
  <c r="CA120"/>
  <c r="BZ120"/>
  <c r="CG120"/>
  <c r="CF120"/>
  <c r="CD120"/>
  <c r="CC120"/>
  <c r="CA434"/>
  <c r="CG434"/>
  <c r="BZ434"/>
  <c r="CF434"/>
  <c r="CD434"/>
  <c r="CC434"/>
  <c r="CB434"/>
  <c r="CE434"/>
  <c r="CE180"/>
  <c r="CD180"/>
  <c r="CC180"/>
  <c r="CG180"/>
  <c r="CF180"/>
  <c r="CB180"/>
  <c r="CA180"/>
  <c r="BZ180"/>
  <c r="CD247"/>
  <c r="CC247"/>
  <c r="CB247"/>
  <c r="CA247"/>
  <c r="BZ247"/>
  <c r="CG247"/>
  <c r="CF247"/>
  <c r="CE247"/>
  <c r="CA506"/>
  <c r="CG506"/>
  <c r="CC506"/>
  <c r="CF506"/>
  <c r="CB506"/>
  <c r="BZ506"/>
  <c r="CD506"/>
  <c r="CE506"/>
  <c r="CB266"/>
  <c r="CA266"/>
  <c r="CG266"/>
  <c r="CD266"/>
  <c r="CC266"/>
  <c r="BZ266"/>
  <c r="CF266"/>
  <c r="CE266"/>
  <c r="CA488"/>
  <c r="CG488"/>
  <c r="CD488"/>
  <c r="CC488"/>
  <c r="CB488"/>
  <c r="BZ488"/>
  <c r="CF488"/>
  <c r="CE488"/>
  <c r="CB311"/>
  <c r="BZ311"/>
  <c r="CG311"/>
  <c r="CF311"/>
  <c r="CE311"/>
  <c r="CD311"/>
  <c r="CC311"/>
  <c r="CA311"/>
  <c r="CC397"/>
  <c r="CB397"/>
  <c r="CD397"/>
  <c r="CA397"/>
  <c r="BZ397"/>
  <c r="CG397"/>
  <c r="CF397"/>
  <c r="CE397"/>
  <c r="BZ285"/>
  <c r="CF285"/>
  <c r="CG285"/>
  <c r="CE285"/>
  <c r="CD285"/>
  <c r="CB285"/>
  <c r="CA285"/>
  <c r="CC285"/>
  <c r="CC73"/>
  <c r="CB73"/>
  <c r="CE73"/>
  <c r="CD73"/>
  <c r="CA73"/>
  <c r="CG73"/>
  <c r="CF73"/>
  <c r="BZ73"/>
  <c r="BZ303"/>
  <c r="CF303"/>
  <c r="CG303"/>
  <c r="CE303"/>
  <c r="CD303"/>
  <c r="CB303"/>
  <c r="CA303"/>
  <c r="CC303"/>
  <c r="CC112"/>
  <c r="CB112"/>
  <c r="CG112"/>
  <c r="CF112"/>
  <c r="CE112"/>
  <c r="CD112"/>
  <c r="CA112"/>
  <c r="BZ112"/>
  <c r="CC484"/>
  <c r="BZ484"/>
  <c r="CG484"/>
  <c r="CF484"/>
  <c r="CE484"/>
  <c r="CD484"/>
  <c r="CB484"/>
  <c r="CA484"/>
  <c r="BZ288"/>
  <c r="CF288"/>
  <c r="CD288"/>
  <c r="CC288"/>
  <c r="CB288"/>
  <c r="CG288"/>
  <c r="CE288"/>
  <c r="CA288"/>
  <c r="CA101"/>
  <c r="CG101"/>
  <c r="BZ101"/>
  <c r="CF101"/>
  <c r="CE101"/>
  <c r="CD101"/>
  <c r="CC101"/>
  <c r="CB101"/>
  <c r="CC169"/>
  <c r="CF169"/>
  <c r="CE169"/>
  <c r="CG169"/>
  <c r="CD169"/>
  <c r="CB169"/>
  <c r="CA169"/>
  <c r="BZ169"/>
  <c r="CD283"/>
  <c r="CA283"/>
  <c r="BZ283"/>
  <c r="CG283"/>
  <c r="CF283"/>
  <c r="CC283"/>
  <c r="CB283"/>
  <c r="CE283"/>
  <c r="CB320"/>
  <c r="BZ320"/>
  <c r="CG320"/>
  <c r="CF320"/>
  <c r="CE320"/>
  <c r="CD320"/>
  <c r="CC320"/>
  <c r="CA320"/>
  <c r="CA71"/>
  <c r="CG71"/>
  <c r="BZ71"/>
  <c r="CF71"/>
  <c r="CC71"/>
  <c r="CB71"/>
  <c r="CE71"/>
  <c r="CD71"/>
  <c r="CA461"/>
  <c r="CG461"/>
  <c r="BZ461"/>
  <c r="CF461"/>
  <c r="CD461"/>
  <c r="CC461"/>
  <c r="CB461"/>
  <c r="CE461"/>
  <c r="CB284"/>
  <c r="BZ284"/>
  <c r="CG284"/>
  <c r="CF284"/>
  <c r="CE284"/>
  <c r="CD284"/>
  <c r="CC284"/>
  <c r="CA284"/>
  <c r="CD223"/>
  <c r="CC223"/>
  <c r="CF223"/>
  <c r="CE223"/>
  <c r="CB223"/>
  <c r="CG223"/>
  <c r="BZ223"/>
  <c r="CA223"/>
  <c r="CA443"/>
  <c r="CG443"/>
  <c r="BZ443"/>
  <c r="CF443"/>
  <c r="CD443"/>
  <c r="CC443"/>
  <c r="CB443"/>
  <c r="CE443"/>
  <c r="CE507"/>
  <c r="CB507"/>
  <c r="CA507"/>
  <c r="BZ507"/>
  <c r="CG507"/>
  <c r="CD507"/>
  <c r="CC507"/>
  <c r="CF507"/>
  <c r="CB329"/>
  <c r="BZ329"/>
  <c r="CG329"/>
  <c r="CF329"/>
  <c r="CE329"/>
  <c r="CD329"/>
  <c r="CC329"/>
  <c r="CA329"/>
  <c r="CC181"/>
  <c r="CD181"/>
  <c r="CB181"/>
  <c r="CG181"/>
  <c r="CF181"/>
  <c r="CE181"/>
  <c r="CA181"/>
  <c r="BZ181"/>
  <c r="CA32"/>
  <c r="CG32"/>
  <c r="BZ32"/>
  <c r="CF32"/>
  <c r="CE32"/>
  <c r="CD32"/>
  <c r="CC32"/>
  <c r="CB32"/>
  <c r="CE201"/>
  <c r="CB201"/>
  <c r="CA201"/>
  <c r="BZ201"/>
  <c r="CG201"/>
  <c r="CF201"/>
  <c r="CC201"/>
  <c r="CD201"/>
  <c r="CA491"/>
  <c r="CG491"/>
  <c r="CB491"/>
  <c r="BZ491"/>
  <c r="CF491"/>
  <c r="CD491"/>
  <c r="CE491"/>
  <c r="CC491"/>
  <c r="CA479"/>
  <c r="CG479"/>
  <c r="CD479"/>
  <c r="CC479"/>
  <c r="CB479"/>
  <c r="BZ479"/>
  <c r="CF479"/>
  <c r="CE479"/>
  <c r="BZ228"/>
  <c r="CF228"/>
  <c r="CE228"/>
  <c r="CB228"/>
  <c r="CA228"/>
  <c r="CD228"/>
  <c r="CC228"/>
  <c r="CG228"/>
  <c r="CD361"/>
  <c r="CC361"/>
  <c r="CB361"/>
  <c r="CA361"/>
  <c r="CG361"/>
  <c r="CF361"/>
  <c r="CE361"/>
  <c r="BZ361"/>
  <c r="CA92"/>
  <c r="CG92"/>
  <c r="BZ92"/>
  <c r="CF92"/>
  <c r="CE92"/>
  <c r="CD92"/>
  <c r="CC92"/>
  <c r="CB92"/>
  <c r="BZ258"/>
  <c r="CF258"/>
  <c r="CE258"/>
  <c r="CD258"/>
  <c r="CC258"/>
  <c r="CB258"/>
  <c r="CG258"/>
  <c r="CA258"/>
  <c r="CC64"/>
  <c r="CB64"/>
  <c r="CE64"/>
  <c r="CD64"/>
  <c r="CA64"/>
  <c r="CG64"/>
  <c r="CF64"/>
  <c r="BZ64"/>
  <c r="BZ261"/>
  <c r="CF261"/>
  <c r="CE261"/>
  <c r="CG261"/>
  <c r="CD261"/>
  <c r="CC261"/>
  <c r="CB261"/>
  <c r="CA261"/>
  <c r="CE123"/>
  <c r="BZ123"/>
  <c r="CG123"/>
  <c r="CF123"/>
  <c r="CD123"/>
  <c r="CC123"/>
  <c r="CB123"/>
  <c r="CA123"/>
  <c r="CE393"/>
  <c r="CD393"/>
  <c r="BZ393"/>
  <c r="CG393"/>
  <c r="CC393"/>
  <c r="CF393"/>
  <c r="CB393"/>
  <c r="CA393"/>
  <c r="CA161"/>
  <c r="CG161"/>
  <c r="CE161"/>
  <c r="CD161"/>
  <c r="CC161"/>
  <c r="CF161"/>
  <c r="CB161"/>
  <c r="BZ161"/>
  <c r="CD271"/>
  <c r="CC271"/>
  <c r="CB271"/>
  <c r="CA271"/>
  <c r="CG271"/>
  <c r="CF271"/>
  <c r="CE271"/>
  <c r="BZ271"/>
  <c r="CE129"/>
  <c r="CB129"/>
  <c r="CA129"/>
  <c r="BZ129"/>
  <c r="CG129"/>
  <c r="CF129"/>
  <c r="CD129"/>
  <c r="CC129"/>
  <c r="CA119"/>
  <c r="CG119"/>
  <c r="CC119"/>
  <c r="CB119"/>
  <c r="BZ119"/>
  <c r="CF119"/>
  <c r="CE119"/>
  <c r="CD119"/>
  <c r="CB368"/>
  <c r="CE368"/>
  <c r="CD368"/>
  <c r="CF368"/>
  <c r="CC368"/>
  <c r="CA368"/>
  <c r="BZ368"/>
  <c r="CG368"/>
  <c r="CC82"/>
  <c r="CB82"/>
  <c r="CE82"/>
  <c r="CD82"/>
  <c r="CA82"/>
  <c r="CG82"/>
  <c r="CF82"/>
  <c r="BZ82"/>
  <c r="CC421"/>
  <c r="CB421"/>
  <c r="BZ421"/>
  <c r="CG421"/>
  <c r="CE421"/>
  <c r="CF421"/>
  <c r="CD421"/>
  <c r="CA421"/>
  <c r="CC58"/>
  <c r="CB58"/>
  <c r="CG58"/>
  <c r="CF58"/>
  <c r="CE58"/>
  <c r="CD58"/>
  <c r="CA58"/>
  <c r="BZ58"/>
  <c r="CE96"/>
  <c r="CD96"/>
  <c r="CA96"/>
  <c r="BZ96"/>
  <c r="CG96"/>
  <c r="CF96"/>
  <c r="CC96"/>
  <c r="CB96"/>
  <c r="CA494"/>
  <c r="CG494"/>
  <c r="CE494"/>
  <c r="CD494"/>
  <c r="CC494"/>
  <c r="CF494"/>
  <c r="CB494"/>
  <c r="BZ494"/>
  <c r="CC448"/>
  <c r="CB448"/>
  <c r="BZ448"/>
  <c r="CG448"/>
  <c r="CF448"/>
  <c r="CE448"/>
  <c r="CD448"/>
  <c r="CA448"/>
  <c r="CD298"/>
  <c r="CC298"/>
  <c r="CB298"/>
  <c r="CA298"/>
  <c r="CG298"/>
  <c r="CF298"/>
  <c r="CE298"/>
  <c r="BZ298"/>
  <c r="CD295"/>
  <c r="CF295"/>
  <c r="CE295"/>
  <c r="CC295"/>
  <c r="CG295"/>
  <c r="CB295"/>
  <c r="CA295"/>
  <c r="BZ295"/>
  <c r="CC133"/>
  <c r="CF133"/>
  <c r="CE133"/>
  <c r="CD133"/>
  <c r="CB133"/>
  <c r="CA133"/>
  <c r="BZ133"/>
  <c r="CG133"/>
  <c r="CE99"/>
  <c r="CD99"/>
  <c r="CC99"/>
  <c r="CB99"/>
  <c r="CA99"/>
  <c r="BZ99"/>
  <c r="CG99"/>
  <c r="CF99"/>
  <c r="CC406"/>
  <c r="CB406"/>
  <c r="CD406"/>
  <c r="CA406"/>
  <c r="BZ406"/>
  <c r="CG406"/>
  <c r="CF406"/>
  <c r="CE406"/>
  <c r="CE42"/>
  <c r="CD42"/>
  <c r="CA42"/>
  <c r="BZ42"/>
  <c r="CG42"/>
  <c r="CF42"/>
  <c r="CC42"/>
  <c r="CB42"/>
  <c r="CE453"/>
  <c r="CD453"/>
  <c r="CF453"/>
  <c r="CC453"/>
  <c r="CA453"/>
  <c r="CB453"/>
  <c r="BZ453"/>
  <c r="CG453"/>
  <c r="CC424"/>
  <c r="CB424"/>
  <c r="CD424"/>
  <c r="CA424"/>
  <c r="BZ424"/>
  <c r="CG424"/>
  <c r="CF424"/>
  <c r="CE424"/>
  <c r="CE150"/>
  <c r="BZ150"/>
  <c r="CG150"/>
  <c r="CF150"/>
  <c r="CD150"/>
  <c r="CC150"/>
  <c r="CB150"/>
  <c r="CA150"/>
  <c r="CA134"/>
  <c r="CG134"/>
  <c r="CE134"/>
  <c r="CD134"/>
  <c r="CC134"/>
  <c r="CF134"/>
  <c r="CB134"/>
  <c r="BZ134"/>
  <c r="CE183"/>
  <c r="CB183"/>
  <c r="CA183"/>
  <c r="CD183"/>
  <c r="CC183"/>
  <c r="BZ183"/>
  <c r="CG183"/>
  <c r="CF183"/>
  <c r="CC184"/>
  <c r="CA184"/>
  <c r="BZ184"/>
  <c r="CG184"/>
  <c r="CF184"/>
  <c r="CE184"/>
  <c r="CD184"/>
  <c r="CB184"/>
  <c r="BZ318"/>
  <c r="CF318"/>
  <c r="CB318"/>
  <c r="CA318"/>
  <c r="CG318"/>
  <c r="CE318"/>
  <c r="CD318"/>
  <c r="CC318"/>
  <c r="CD349"/>
  <c r="CF349"/>
  <c r="CE349"/>
  <c r="CC349"/>
  <c r="CG349"/>
  <c r="CB349"/>
  <c r="CA349"/>
  <c r="BZ349"/>
  <c r="CA152"/>
  <c r="CG152"/>
  <c r="CE152"/>
  <c r="CD152"/>
  <c r="CC152"/>
  <c r="CF152"/>
  <c r="CB152"/>
  <c r="BZ152"/>
  <c r="BZ249"/>
  <c r="CF249"/>
  <c r="CE249"/>
  <c r="CD249"/>
  <c r="CC249"/>
  <c r="CB249"/>
  <c r="CG249"/>
  <c r="CA249"/>
  <c r="CB359"/>
  <c r="CE359"/>
  <c r="CD359"/>
  <c r="CC359"/>
  <c r="BZ359"/>
  <c r="CG359"/>
  <c r="CF359"/>
  <c r="CA359"/>
  <c r="CC202"/>
  <c r="CA202"/>
  <c r="BZ202"/>
  <c r="CG202"/>
  <c r="CD202"/>
  <c r="CB202"/>
  <c r="CE202"/>
  <c r="CF202"/>
  <c r="CC172"/>
  <c r="CD172"/>
  <c r="CB172"/>
  <c r="CF172"/>
  <c r="CE172"/>
  <c r="CA172"/>
  <c r="BZ172"/>
  <c r="CG172"/>
  <c r="BZ330"/>
  <c r="CF330"/>
  <c r="CG330"/>
  <c r="CE330"/>
  <c r="CD330"/>
  <c r="CB330"/>
  <c r="CA330"/>
  <c r="CC330"/>
  <c r="CA512"/>
  <c r="CG512"/>
  <c r="CE512"/>
  <c r="CD512"/>
  <c r="CB512"/>
  <c r="BZ512"/>
  <c r="CC512"/>
  <c r="CF512"/>
  <c r="CC481"/>
  <c r="CB481"/>
  <c r="CA481"/>
  <c r="BZ481"/>
  <c r="CG481"/>
  <c r="CF481"/>
  <c r="CE481"/>
  <c r="CD481"/>
  <c r="CC31"/>
  <c r="CB31"/>
  <c r="CG31"/>
  <c r="CF31"/>
  <c r="CE31"/>
  <c r="CD31"/>
  <c r="CA31"/>
  <c r="BZ31"/>
  <c r="CA164"/>
  <c r="CG164"/>
  <c r="CC164"/>
  <c r="CB164"/>
  <c r="BZ164"/>
  <c r="CF164"/>
  <c r="CE164"/>
  <c r="CD164"/>
  <c r="BZ315"/>
  <c r="CF315"/>
  <c r="CD315"/>
  <c r="CC315"/>
  <c r="CB315"/>
  <c r="CG315"/>
  <c r="CE315"/>
  <c r="CA315"/>
  <c r="CA395"/>
  <c r="CG395"/>
  <c r="BZ395"/>
  <c r="CF395"/>
  <c r="CB395"/>
  <c r="CE395"/>
  <c r="CD395"/>
  <c r="CC395"/>
  <c r="CC220"/>
  <c r="CA220"/>
  <c r="BZ220"/>
  <c r="CG220"/>
  <c r="CF220"/>
  <c r="CB220"/>
  <c r="CE220"/>
  <c r="CD220"/>
  <c r="CC190"/>
  <c r="CD190"/>
  <c r="CB190"/>
  <c r="CA190"/>
  <c r="BZ190"/>
  <c r="CG190"/>
  <c r="CF190"/>
  <c r="CE190"/>
  <c r="BZ342"/>
  <c r="CF342"/>
  <c r="CD342"/>
  <c r="CC342"/>
  <c r="CB342"/>
  <c r="CG342"/>
  <c r="CE342"/>
  <c r="CA342"/>
  <c r="CC493"/>
  <c r="CF493"/>
  <c r="CE493"/>
  <c r="CB493"/>
  <c r="CD493"/>
  <c r="BZ493"/>
  <c r="CG493"/>
  <c r="CA493"/>
  <c r="CC37"/>
  <c r="CB37"/>
  <c r="CE37"/>
  <c r="CD37"/>
  <c r="CA37"/>
  <c r="CG37"/>
  <c r="CF37"/>
  <c r="BZ37"/>
  <c r="CA116"/>
  <c r="CG116"/>
  <c r="BZ116"/>
  <c r="CF116"/>
  <c r="CC116"/>
  <c r="CB116"/>
  <c r="CE116"/>
  <c r="CD116"/>
  <c r="BZ273"/>
  <c r="CF273"/>
  <c r="CB273"/>
  <c r="CA273"/>
  <c r="CG273"/>
  <c r="CE273"/>
  <c r="CD273"/>
  <c r="CC273"/>
  <c r="CA431"/>
  <c r="CG431"/>
  <c r="BZ431"/>
  <c r="CF431"/>
  <c r="CB431"/>
  <c r="CE431"/>
  <c r="CD431"/>
  <c r="CC431"/>
  <c r="CD238"/>
  <c r="CC238"/>
  <c r="CB238"/>
  <c r="CA238"/>
  <c r="BZ238"/>
  <c r="CG238"/>
  <c r="CF238"/>
  <c r="CE238"/>
  <c r="CC208"/>
  <c r="CD208"/>
  <c r="CB208"/>
  <c r="CG208"/>
  <c r="CF208"/>
  <c r="CE208"/>
  <c r="BZ208"/>
  <c r="CA208"/>
  <c r="BZ348"/>
  <c r="CF348"/>
  <c r="CG348"/>
  <c r="CE348"/>
  <c r="CD348"/>
  <c r="CB348"/>
  <c r="CA348"/>
  <c r="CC348"/>
  <c r="CC193"/>
  <c r="CA193"/>
  <c r="BZ193"/>
  <c r="CG193"/>
  <c r="CF193"/>
  <c r="CE193"/>
  <c r="CB193"/>
  <c r="CD193"/>
  <c r="CC505"/>
  <c r="CD505"/>
  <c r="CB505"/>
  <c r="CA505"/>
  <c r="BZ505"/>
  <c r="CF505"/>
  <c r="CG505"/>
  <c r="CE505"/>
  <c r="CC43"/>
  <c r="CB43"/>
  <c r="CA43"/>
  <c r="BZ43"/>
  <c r="CG43"/>
  <c r="CF43"/>
  <c r="CE43"/>
  <c r="CD43"/>
  <c r="CA176"/>
  <c r="CG176"/>
  <c r="BZ176"/>
  <c r="CF176"/>
  <c r="CE176"/>
  <c r="CD176"/>
  <c r="CC176"/>
  <c r="CB176"/>
  <c r="BZ327"/>
  <c r="CF327"/>
  <c r="CB327"/>
  <c r="CA327"/>
  <c r="CG327"/>
  <c r="CE327"/>
  <c r="CD327"/>
  <c r="CC327"/>
  <c r="CA185"/>
  <c r="CG185"/>
  <c r="BZ185"/>
  <c r="CF185"/>
  <c r="CE185"/>
  <c r="CD185"/>
  <c r="CC185"/>
  <c r="CB185"/>
  <c r="CE513"/>
  <c r="CD513"/>
  <c r="CC513"/>
  <c r="BZ513"/>
  <c r="CB513"/>
  <c r="CA513"/>
  <c r="CG513"/>
  <c r="CF513"/>
  <c r="BZ297"/>
  <c r="CF297"/>
  <c r="CD297"/>
  <c r="CC297"/>
  <c r="CB297"/>
  <c r="CG297"/>
  <c r="CE297"/>
  <c r="CA297"/>
  <c r="CE81"/>
  <c r="CD81"/>
  <c r="CC81"/>
  <c r="CB81"/>
  <c r="CA81"/>
  <c r="BZ81"/>
  <c r="CG81"/>
  <c r="CF81"/>
  <c r="CC412"/>
  <c r="CB412"/>
  <c r="BZ412"/>
  <c r="CG412"/>
  <c r="CF412"/>
  <c r="CE412"/>
  <c r="CD412"/>
  <c r="CA412"/>
  <c r="CD256"/>
  <c r="CC256"/>
  <c r="CB256"/>
  <c r="CA256"/>
  <c r="BZ256"/>
  <c r="CG256"/>
  <c r="CF256"/>
  <c r="CE256"/>
  <c r="CC442"/>
  <c r="CB442"/>
  <c r="CD442"/>
  <c r="CA442"/>
  <c r="CG442"/>
  <c r="BZ442"/>
  <c r="CF442"/>
  <c r="CE442"/>
  <c r="CB281"/>
  <c r="CC281"/>
  <c r="CA281"/>
  <c r="BZ281"/>
  <c r="CG281"/>
  <c r="CE281"/>
  <c r="CD281"/>
  <c r="CF281"/>
  <c r="BZ300"/>
  <c r="CF300"/>
  <c r="CB300"/>
  <c r="CA300"/>
  <c r="CG300"/>
  <c r="CE300"/>
  <c r="CD300"/>
  <c r="CC300"/>
  <c r="CC391"/>
  <c r="CB391"/>
  <c r="CF391"/>
  <c r="CE391"/>
  <c r="CA391"/>
  <c r="CD391"/>
  <c r="BZ391"/>
  <c r="CG391"/>
  <c r="BZ336"/>
  <c r="CF336"/>
  <c r="CB336"/>
  <c r="CA336"/>
  <c r="CG336"/>
  <c r="CE336"/>
  <c r="CD336"/>
  <c r="CC336"/>
  <c r="CD373"/>
  <c r="CA373"/>
  <c r="BZ373"/>
  <c r="CG373"/>
  <c r="CF373"/>
  <c r="CC373"/>
  <c r="CE373"/>
  <c r="CB373"/>
  <c r="CC49"/>
  <c r="CB49"/>
  <c r="CG49"/>
  <c r="CF49"/>
  <c r="CE49"/>
  <c r="CD49"/>
  <c r="CA49"/>
  <c r="BZ49"/>
  <c r="CB260"/>
  <c r="CA260"/>
  <c r="CG260"/>
  <c r="CF260"/>
  <c r="CE260"/>
  <c r="CD260"/>
  <c r="BZ260"/>
  <c r="CC260"/>
  <c r="CC142"/>
  <c r="CF142"/>
  <c r="CE142"/>
  <c r="CD142"/>
  <c r="CB142"/>
  <c r="CA142"/>
  <c r="BZ142"/>
  <c r="CG142"/>
  <c r="CB269"/>
  <c r="CE269"/>
  <c r="CD269"/>
  <c r="CC269"/>
  <c r="BZ269"/>
  <c r="CG269"/>
  <c r="CF269"/>
  <c r="CA269"/>
  <c r="CD352"/>
  <c r="CC352"/>
  <c r="CB352"/>
  <c r="CA352"/>
  <c r="CG352"/>
  <c r="CF352"/>
  <c r="CE352"/>
  <c r="BZ352"/>
  <c r="CA191"/>
  <c r="CG191"/>
  <c r="CC191"/>
  <c r="CB191"/>
  <c r="CE191"/>
  <c r="CD191"/>
  <c r="BZ191"/>
  <c r="CF191"/>
  <c r="BZ246"/>
  <c r="CF246"/>
  <c r="CE246"/>
  <c r="CB246"/>
  <c r="CA246"/>
  <c r="CD246"/>
  <c r="CC246"/>
  <c r="CG246"/>
  <c r="CD331"/>
  <c r="CF331"/>
  <c r="CE331"/>
  <c r="CC331"/>
  <c r="CG331"/>
  <c r="CB331"/>
  <c r="CA331"/>
  <c r="BZ331"/>
  <c r="BZ354"/>
  <c r="CF354"/>
  <c r="CB354"/>
  <c r="CA354"/>
  <c r="CG354"/>
  <c r="CE354"/>
  <c r="CD354"/>
  <c r="CC354"/>
  <c r="CC385"/>
  <c r="CB385"/>
  <c r="BZ385"/>
  <c r="CG385"/>
  <c r="CE385"/>
  <c r="CF385"/>
  <c r="CD385"/>
  <c r="CA385"/>
  <c r="CC91"/>
  <c r="CB91"/>
  <c r="CE91"/>
  <c r="CD91"/>
  <c r="CA91"/>
  <c r="CG91"/>
  <c r="CF91"/>
  <c r="BZ91"/>
  <c r="CB344"/>
  <c r="CC344"/>
  <c r="CA344"/>
  <c r="BZ344"/>
  <c r="CG344"/>
  <c r="CE344"/>
  <c r="CD344"/>
  <c r="CF344"/>
  <c r="CA110"/>
  <c r="CG110"/>
  <c r="BZ110"/>
  <c r="CF110"/>
  <c r="CE110"/>
  <c r="CD110"/>
  <c r="CC110"/>
  <c r="CB110"/>
  <c r="CE159"/>
  <c r="BZ159"/>
  <c r="CG159"/>
  <c r="CF159"/>
  <c r="CD159"/>
  <c r="CC159"/>
  <c r="CB159"/>
  <c r="CA159"/>
  <c r="CE501"/>
  <c r="CA501"/>
  <c r="BZ501"/>
  <c r="CG501"/>
  <c r="CF501"/>
  <c r="CD501"/>
  <c r="CC501"/>
  <c r="CB501"/>
  <c r="CC430"/>
  <c r="CB430"/>
  <c r="BZ430"/>
  <c r="CG430"/>
  <c r="CF430"/>
  <c r="CE430"/>
  <c r="CD430"/>
  <c r="CA430"/>
  <c r="CE84"/>
  <c r="CD84"/>
  <c r="CG84"/>
  <c r="CF84"/>
  <c r="CC84"/>
  <c r="CB84"/>
  <c r="CA84"/>
  <c r="BZ84"/>
  <c r="CA194"/>
  <c r="CG194"/>
  <c r="BZ194"/>
  <c r="CF194"/>
  <c r="CC194"/>
  <c r="CB194"/>
  <c r="CD194"/>
  <c r="CE194"/>
  <c r="CC100"/>
  <c r="CB100"/>
  <c r="CE100"/>
  <c r="CD100"/>
  <c r="CA100"/>
  <c r="CG100"/>
  <c r="CF100"/>
  <c r="BZ100"/>
  <c r="CD337"/>
  <c r="CA337"/>
  <c r="BZ337"/>
  <c r="CG337"/>
  <c r="CF337"/>
  <c r="CC337"/>
  <c r="CB337"/>
  <c r="CE337"/>
  <c r="CB257"/>
  <c r="CA257"/>
  <c r="CG257"/>
  <c r="CD257"/>
  <c r="CC257"/>
  <c r="BZ257"/>
  <c r="CF257"/>
  <c r="CE257"/>
  <c r="BZ276"/>
  <c r="CF276"/>
  <c r="CG276"/>
  <c r="CE276"/>
  <c r="CD276"/>
  <c r="CB276"/>
  <c r="CA276"/>
  <c r="CC276"/>
  <c r="CC214"/>
  <c r="CF214"/>
  <c r="CE214"/>
  <c r="CD214"/>
  <c r="CB214"/>
  <c r="CA214"/>
  <c r="BZ214"/>
  <c r="CG214"/>
  <c r="CE396"/>
  <c r="CD396"/>
  <c r="CB396"/>
  <c r="CA396"/>
  <c r="BZ396"/>
  <c r="CG396"/>
  <c r="CF396"/>
  <c r="CC396"/>
  <c r="CC115"/>
  <c r="CB115"/>
  <c r="CA115"/>
  <c r="BZ115"/>
  <c r="CG115"/>
  <c r="CF115"/>
  <c r="CE115"/>
  <c r="CD115"/>
  <c r="CE135"/>
  <c r="CD135"/>
  <c r="CC135"/>
  <c r="CB135"/>
  <c r="CA135"/>
  <c r="BZ135"/>
  <c r="CG135"/>
  <c r="CF135"/>
  <c r="CA149"/>
  <c r="CG149"/>
  <c r="BZ149"/>
  <c r="CF149"/>
  <c r="CE149"/>
  <c r="CD149"/>
  <c r="CC149"/>
  <c r="CB149"/>
  <c r="CC511"/>
  <c r="CF511"/>
  <c r="CE511"/>
  <c r="CD511"/>
  <c r="CG511"/>
  <c r="CB511"/>
  <c r="BZ511"/>
  <c r="CA511"/>
  <c r="CD253"/>
  <c r="CC253"/>
  <c r="BZ253"/>
  <c r="CG253"/>
  <c r="CF253"/>
  <c r="CB253"/>
  <c r="CA253"/>
  <c r="CE253"/>
  <c r="CE93"/>
  <c r="CD93"/>
  <c r="CG93"/>
  <c r="CF93"/>
  <c r="CC93"/>
  <c r="CB93"/>
  <c r="CA93"/>
  <c r="BZ93"/>
  <c r="CA437"/>
  <c r="CG437"/>
  <c r="BZ437"/>
  <c r="CF437"/>
  <c r="CE437"/>
  <c r="CD437"/>
  <c r="CC437"/>
  <c r="CB437"/>
  <c r="CE504"/>
  <c r="CD504"/>
  <c r="CC504"/>
  <c r="CG504"/>
  <c r="CF504"/>
  <c r="CB504"/>
  <c r="BZ504"/>
  <c r="CA504"/>
  <c r="CA74"/>
  <c r="CG74"/>
  <c r="BZ74"/>
  <c r="CF74"/>
  <c r="CE74"/>
  <c r="CD74"/>
  <c r="CC74"/>
  <c r="CB74"/>
  <c r="CA455"/>
  <c r="CG455"/>
  <c r="BZ455"/>
  <c r="CF455"/>
  <c r="CE455"/>
  <c r="CD455"/>
  <c r="CC455"/>
  <c r="CB455"/>
  <c r="CE516"/>
  <c r="CB516"/>
  <c r="CA516"/>
  <c r="BZ516"/>
  <c r="CF516"/>
  <c r="CD516"/>
  <c r="CC516"/>
  <c r="CG516"/>
  <c r="CB254"/>
  <c r="CA254"/>
  <c r="CG254"/>
  <c r="BZ254"/>
  <c r="CF254"/>
  <c r="CE254"/>
  <c r="CD254"/>
  <c r="CC254"/>
  <c r="BZ243"/>
  <c r="CF243"/>
  <c r="CE243"/>
  <c r="CG243"/>
  <c r="CD243"/>
  <c r="CC243"/>
  <c r="CB243"/>
  <c r="CA243"/>
  <c r="CC508"/>
  <c r="CA508"/>
  <c r="BZ508"/>
  <c r="CG508"/>
  <c r="CE508"/>
  <c r="CF508"/>
  <c r="CD508"/>
  <c r="CB508"/>
  <c r="CA35"/>
  <c r="CG35"/>
  <c r="BZ35"/>
  <c r="CF35"/>
  <c r="CC35"/>
  <c r="CB35"/>
  <c r="CE35"/>
  <c r="CD35"/>
  <c r="CE66"/>
  <c r="CD66"/>
  <c r="CG66"/>
  <c r="CF66"/>
  <c r="CC66"/>
  <c r="CB66"/>
  <c r="CA66"/>
  <c r="BZ66"/>
  <c r="CA206"/>
  <c r="CG206"/>
  <c r="CE206"/>
  <c r="CD206"/>
  <c r="CC206"/>
  <c r="CB206"/>
  <c r="BZ206"/>
  <c r="CF206"/>
  <c r="BZ309"/>
  <c r="CF309"/>
  <c r="CB309"/>
  <c r="CA309"/>
  <c r="CG309"/>
  <c r="CE309"/>
  <c r="CD309"/>
  <c r="CC309"/>
  <c r="CC106"/>
  <c r="CB106"/>
  <c r="CA106"/>
  <c r="BZ106"/>
  <c r="CG106"/>
  <c r="CF106"/>
  <c r="CE106"/>
  <c r="CD106"/>
  <c r="CD346"/>
  <c r="CA346"/>
  <c r="BZ346"/>
  <c r="CG346"/>
  <c r="CF346"/>
  <c r="CC346"/>
  <c r="CB346"/>
  <c r="CE346"/>
  <c r="CD316"/>
  <c r="CC316"/>
  <c r="CB316"/>
  <c r="CA316"/>
  <c r="CF316"/>
  <c r="CG316"/>
  <c r="CE316"/>
  <c r="BZ316"/>
  <c r="CE420"/>
  <c r="CD420"/>
  <c r="BZ420"/>
  <c r="CG420"/>
  <c r="CF420"/>
  <c r="CC420"/>
  <c r="CB420"/>
  <c r="CA420"/>
  <c r="CD307"/>
  <c r="CC307"/>
  <c r="CB307"/>
  <c r="CA307"/>
  <c r="CG307"/>
  <c r="CF307"/>
  <c r="CE307"/>
  <c r="BZ307"/>
  <c r="CE78"/>
  <c r="CD78"/>
  <c r="CA78"/>
  <c r="BZ78"/>
  <c r="CG78"/>
  <c r="CF78"/>
  <c r="CC78"/>
  <c r="CB78"/>
  <c r="CC79"/>
  <c r="CB79"/>
  <c r="CA79"/>
  <c r="BZ79"/>
  <c r="CG79"/>
  <c r="CF79"/>
  <c r="CE79"/>
  <c r="CD79"/>
  <c r="CA212"/>
  <c r="CG212"/>
  <c r="BZ212"/>
  <c r="CF212"/>
  <c r="CE212"/>
  <c r="CD212"/>
  <c r="CB212"/>
  <c r="CC212"/>
  <c r="BZ363"/>
  <c r="CF363"/>
  <c r="CB363"/>
  <c r="CA363"/>
  <c r="CG363"/>
  <c r="CE363"/>
  <c r="CD363"/>
  <c r="CC363"/>
  <c r="CC160"/>
  <c r="CF160"/>
  <c r="CE160"/>
  <c r="CD160"/>
  <c r="CB160"/>
  <c r="CA160"/>
  <c r="BZ160"/>
  <c r="CG160"/>
  <c r="CC400"/>
  <c r="CB400"/>
  <c r="CF400"/>
  <c r="CE400"/>
  <c r="CD400"/>
  <c r="CA400"/>
  <c r="BZ400"/>
  <c r="CG400"/>
  <c r="CD370"/>
  <c r="CC370"/>
  <c r="CB370"/>
  <c r="BZ370"/>
  <c r="CG370"/>
  <c r="CF370"/>
  <c r="CE370"/>
  <c r="CA370"/>
  <c r="CE462"/>
  <c r="CD462"/>
  <c r="CF462"/>
  <c r="CC462"/>
  <c r="CB462"/>
  <c r="CA462"/>
  <c r="BZ462"/>
  <c r="CG462"/>
  <c r="CD343"/>
  <c r="CC343"/>
  <c r="CB343"/>
  <c r="CA343"/>
  <c r="CG343"/>
  <c r="CF343"/>
  <c r="CE343"/>
  <c r="BZ343"/>
  <c r="CE114"/>
  <c r="CD114"/>
  <c r="CA114"/>
  <c r="BZ114"/>
  <c r="CG114"/>
  <c r="CF114"/>
  <c r="CC114"/>
  <c r="CB114"/>
  <c r="CC97"/>
  <c r="CB97"/>
  <c r="CA97"/>
  <c r="BZ97"/>
  <c r="CG97"/>
  <c r="CF97"/>
  <c r="CE97"/>
  <c r="CD97"/>
  <c r="CA170"/>
  <c r="CG170"/>
  <c r="CE170"/>
  <c r="CD170"/>
  <c r="BZ170"/>
  <c r="CF170"/>
  <c r="CC170"/>
  <c r="CB170"/>
  <c r="BZ321"/>
  <c r="CF321"/>
  <c r="CG321"/>
  <c r="CE321"/>
  <c r="CD321"/>
  <c r="CB321"/>
  <c r="CA321"/>
  <c r="CC321"/>
  <c r="CC178"/>
  <c r="CF178"/>
  <c r="CE178"/>
  <c r="CA178"/>
  <c r="BZ178"/>
  <c r="CG178"/>
  <c r="CD178"/>
  <c r="CB178"/>
  <c r="CC418"/>
  <c r="CB418"/>
  <c r="CF418"/>
  <c r="CE418"/>
  <c r="CA418"/>
  <c r="CD418"/>
  <c r="BZ418"/>
  <c r="CG418"/>
  <c r="CC388"/>
  <c r="CB388"/>
  <c r="CD388"/>
  <c r="CA388"/>
  <c r="BZ388"/>
  <c r="CG388"/>
  <c r="CF388"/>
  <c r="CE388"/>
  <c r="CE474"/>
  <c r="CA474"/>
  <c r="BZ474"/>
  <c r="CG474"/>
  <c r="CF474"/>
  <c r="CC474"/>
  <c r="CD474"/>
  <c r="CB474"/>
  <c r="CD355"/>
  <c r="CA355"/>
  <c r="BZ355"/>
  <c r="CG355"/>
  <c r="CF355"/>
  <c r="CC355"/>
  <c r="CB355"/>
  <c r="CE355"/>
  <c r="CE126"/>
  <c r="CD126"/>
  <c r="CC126"/>
  <c r="CB126"/>
  <c r="CA126"/>
  <c r="BZ126"/>
  <c r="CG126"/>
  <c r="CF126"/>
  <c r="CC103"/>
  <c r="CB103"/>
  <c r="CG103"/>
  <c r="CF103"/>
  <c r="CE103"/>
  <c r="CD103"/>
  <c r="CA103"/>
  <c r="BZ103"/>
  <c r="CB242"/>
  <c r="CA242"/>
  <c r="CG242"/>
  <c r="CF242"/>
  <c r="CE242"/>
  <c r="CD242"/>
  <c r="BZ242"/>
  <c r="CC242"/>
  <c r="CE387"/>
  <c r="CD387"/>
  <c r="CB387"/>
  <c r="CA387"/>
  <c r="CG387"/>
  <c r="BZ387"/>
  <c r="CF387"/>
  <c r="CC387"/>
  <c r="CE63"/>
  <c r="CD63"/>
  <c r="CC63"/>
  <c r="CB63"/>
  <c r="CA63"/>
  <c r="BZ63"/>
  <c r="CG63"/>
  <c r="CF63"/>
  <c r="CA98"/>
  <c r="CG98"/>
  <c r="BZ98"/>
  <c r="CF98"/>
  <c r="CC98"/>
  <c r="CB98"/>
  <c r="CE98"/>
  <c r="CD98"/>
  <c r="BZ333"/>
  <c r="CF333"/>
  <c r="CD333"/>
  <c r="CC333"/>
  <c r="CB333"/>
  <c r="CG333"/>
  <c r="CE333"/>
  <c r="CA333"/>
  <c r="CE117"/>
  <c r="CD117"/>
  <c r="CC117"/>
  <c r="CB117"/>
  <c r="CA117"/>
  <c r="BZ117"/>
  <c r="CG117"/>
  <c r="CF117"/>
  <c r="CC88"/>
  <c r="CB88"/>
  <c r="CA88"/>
  <c r="BZ88"/>
  <c r="CG88"/>
  <c r="CF88"/>
  <c r="CE88"/>
  <c r="CD88"/>
  <c r="CD364"/>
  <c r="CA364"/>
  <c r="BZ364"/>
  <c r="CG364"/>
  <c r="CF364"/>
  <c r="CC364"/>
  <c r="CB364"/>
  <c r="CE364"/>
  <c r="CA77"/>
  <c r="CG77"/>
  <c r="BZ77"/>
  <c r="CF77"/>
  <c r="CE77"/>
  <c r="CD77"/>
  <c r="CC77"/>
  <c r="CB77"/>
  <c r="CA389"/>
  <c r="CG389"/>
  <c r="BZ389"/>
  <c r="CF389"/>
  <c r="CD389"/>
  <c r="CC389"/>
  <c r="CB389"/>
  <c r="CE389"/>
  <c r="BZ360"/>
  <c r="CF360"/>
  <c r="CD360"/>
  <c r="CC360"/>
  <c r="CB360"/>
  <c r="CG360"/>
  <c r="CE360"/>
  <c r="CA360"/>
  <c r="CC463"/>
  <c r="CB463"/>
  <c r="CF463"/>
  <c r="CE463"/>
  <c r="CD463"/>
  <c r="CA463"/>
  <c r="BZ463"/>
  <c r="CG463"/>
  <c r="CE414"/>
  <c r="CD414"/>
  <c r="CB414"/>
  <c r="CA414"/>
  <c r="BZ414"/>
  <c r="CG414"/>
  <c r="CF414"/>
  <c r="CC414"/>
  <c r="CC445"/>
  <c r="CB445"/>
  <c r="CF445"/>
  <c r="CE445"/>
  <c r="CD445"/>
  <c r="CA445"/>
  <c r="BZ445"/>
  <c r="CG445"/>
  <c r="CC85"/>
  <c r="CB85"/>
  <c r="CG85"/>
  <c r="CF85"/>
  <c r="CE85"/>
  <c r="CD85"/>
  <c r="CA85"/>
  <c r="BZ85"/>
  <c r="CB296"/>
  <c r="CE296"/>
  <c r="CD296"/>
  <c r="CC296"/>
  <c r="BZ296"/>
  <c r="CG296"/>
  <c r="CF296"/>
  <c r="CA296"/>
  <c r="CD304"/>
  <c r="CF304"/>
  <c r="CE304"/>
  <c r="CC304"/>
  <c r="CG304"/>
  <c r="CB304"/>
  <c r="CA304"/>
  <c r="BZ304"/>
  <c r="CA449"/>
  <c r="CG449"/>
  <c r="BZ449"/>
  <c r="CF449"/>
  <c r="CB449"/>
  <c r="CE449"/>
  <c r="CD449"/>
  <c r="CC449"/>
  <c r="CC166"/>
  <c r="CA166"/>
  <c r="BZ166"/>
  <c r="CG166"/>
  <c r="CF166"/>
  <c r="CE166"/>
  <c r="CD166"/>
  <c r="CB166"/>
  <c r="CC460"/>
  <c r="CB460"/>
  <c r="CD460"/>
  <c r="CA460"/>
  <c r="BZ460"/>
  <c r="CG460"/>
  <c r="CF460"/>
  <c r="CE460"/>
  <c r="CB299"/>
  <c r="CC299"/>
  <c r="CA299"/>
  <c r="BZ299"/>
  <c r="CG299"/>
  <c r="CE299"/>
  <c r="CD299"/>
  <c r="CF299"/>
  <c r="BZ312"/>
  <c r="CF312"/>
  <c r="CG312"/>
  <c r="CE312"/>
  <c r="CD312"/>
  <c r="CB312"/>
  <c r="CA312"/>
  <c r="CC312"/>
  <c r="CC403"/>
  <c r="CB403"/>
  <c r="BZ403"/>
  <c r="CG403"/>
  <c r="CE403"/>
  <c r="CF403"/>
  <c r="CD403"/>
  <c r="CA403"/>
  <c r="CE426"/>
  <c r="CD426"/>
  <c r="CF426"/>
  <c r="CC426"/>
  <c r="CA426"/>
  <c r="CB426"/>
  <c r="BZ426"/>
  <c r="CG426"/>
  <c r="CC457"/>
  <c r="CB457"/>
  <c r="BZ457"/>
  <c r="CG457"/>
  <c r="CF457"/>
  <c r="CE457"/>
  <c r="CD457"/>
  <c r="CA457"/>
  <c r="CC127"/>
  <c r="CD127"/>
  <c r="CB127"/>
  <c r="CA127"/>
  <c r="CG127"/>
  <c r="CF127"/>
  <c r="CE127"/>
  <c r="BZ127"/>
  <c r="CA386"/>
  <c r="CG386"/>
  <c r="BZ386"/>
  <c r="CF386"/>
  <c r="CB386"/>
  <c r="CE386"/>
  <c r="CD386"/>
  <c r="CC386"/>
  <c r="CA146"/>
  <c r="CG146"/>
  <c r="CC146"/>
  <c r="CB146"/>
  <c r="BZ146"/>
  <c r="CF146"/>
  <c r="CE146"/>
  <c r="CD146"/>
  <c r="CE411"/>
  <c r="CD411"/>
  <c r="BZ411"/>
  <c r="CG411"/>
  <c r="CC411"/>
  <c r="CF411"/>
  <c r="CB411"/>
  <c r="CA411"/>
  <c r="CE195"/>
  <c r="BZ195"/>
  <c r="CG195"/>
  <c r="CF195"/>
  <c r="CD195"/>
  <c r="CC195"/>
  <c r="CB195"/>
  <c r="CA195"/>
  <c r="CA113"/>
  <c r="CG113"/>
  <c r="BZ113"/>
  <c r="CF113"/>
  <c r="CE113"/>
  <c r="CD113"/>
  <c r="CC113"/>
  <c r="CB113"/>
  <c r="CC478"/>
  <c r="CE478"/>
  <c r="CD478"/>
  <c r="CB478"/>
  <c r="CA478"/>
  <c r="CG478"/>
  <c r="BZ478"/>
  <c r="CF478"/>
  <c r="CE87"/>
  <c r="CD87"/>
  <c r="CA87"/>
  <c r="BZ87"/>
  <c r="CG87"/>
  <c r="CF87"/>
  <c r="CC87"/>
  <c r="CB87"/>
  <c r="BZ345"/>
  <c r="CF345"/>
  <c r="CB345"/>
  <c r="CA345"/>
  <c r="CG345"/>
  <c r="CE345"/>
  <c r="CD345"/>
  <c r="CC345"/>
  <c r="CE390"/>
  <c r="CD390"/>
  <c r="CF390"/>
  <c r="CC390"/>
  <c r="CB390"/>
  <c r="CA390"/>
  <c r="BZ390"/>
  <c r="CG390"/>
  <c r="CD310"/>
  <c r="CA310"/>
  <c r="BZ310"/>
  <c r="CG310"/>
  <c r="CF310"/>
  <c r="CC310"/>
  <c r="CB310"/>
  <c r="CE310"/>
  <c r="CA476"/>
  <c r="CG476"/>
  <c r="CF476"/>
  <c r="CE476"/>
  <c r="CD476"/>
  <c r="CC476"/>
  <c r="CB476"/>
  <c r="BZ476"/>
  <c r="CA425"/>
  <c r="CG425"/>
  <c r="BZ425"/>
  <c r="CF425"/>
  <c r="CD425"/>
  <c r="CC425"/>
  <c r="CB425"/>
  <c r="CE425"/>
  <c r="CC433"/>
  <c r="CB433"/>
  <c r="CD433"/>
  <c r="CA433"/>
  <c r="BZ433"/>
  <c r="CG433"/>
  <c r="CF433"/>
  <c r="CE433"/>
  <c r="CE75"/>
  <c r="CD75"/>
  <c r="CG75"/>
  <c r="CF75"/>
  <c r="CC75"/>
  <c r="CB75"/>
  <c r="CA75"/>
  <c r="BZ75"/>
  <c r="CE132"/>
  <c r="BZ132"/>
  <c r="CG132"/>
  <c r="CF132"/>
  <c r="CD132"/>
  <c r="CC132"/>
  <c r="CB132"/>
  <c r="CA132"/>
  <c r="CA485"/>
  <c r="CG485"/>
  <c r="CF485"/>
  <c r="CE485"/>
  <c r="CD485"/>
  <c r="CB485"/>
  <c r="CC485"/>
  <c r="BZ485"/>
  <c r="CA41"/>
  <c r="CG41"/>
  <c r="BZ41"/>
  <c r="CF41"/>
  <c r="CE41"/>
  <c r="CD41"/>
  <c r="CC41"/>
  <c r="CB41"/>
  <c r="CA452"/>
  <c r="CG452"/>
  <c r="BZ452"/>
  <c r="CF452"/>
  <c r="CD452"/>
  <c r="CC452"/>
  <c r="CB452"/>
  <c r="CE452"/>
  <c r="BZ255"/>
  <c r="CF255"/>
  <c r="CE255"/>
  <c r="CB255"/>
  <c r="CA255"/>
  <c r="CD255"/>
  <c r="CC255"/>
  <c r="CG255"/>
  <c r="CD322"/>
  <c r="CF322"/>
  <c r="CE322"/>
  <c r="CC322"/>
  <c r="CG322"/>
  <c r="CB322"/>
  <c r="CA322"/>
  <c r="BZ322"/>
  <c r="CC76"/>
  <c r="CB76"/>
  <c r="CG76"/>
  <c r="CF76"/>
  <c r="CE76"/>
  <c r="CD76"/>
  <c r="CA76"/>
  <c r="BZ76"/>
  <c r="CC34"/>
  <c r="CB34"/>
  <c r="CA34"/>
  <c r="BZ34"/>
  <c r="CG34"/>
  <c r="CF34"/>
  <c r="CE34"/>
  <c r="CD34"/>
  <c r="CA104"/>
  <c r="CG104"/>
  <c r="BZ104"/>
  <c r="CF104"/>
  <c r="CE104"/>
  <c r="CD104"/>
  <c r="CC104"/>
  <c r="CB104"/>
  <c r="CA470"/>
  <c r="CG470"/>
  <c r="BZ470"/>
  <c r="CD470"/>
  <c r="CC470"/>
  <c r="CB470"/>
  <c r="CF470"/>
  <c r="CE470"/>
  <c r="CA44"/>
  <c r="CG44"/>
  <c r="BZ44"/>
  <c r="CF44"/>
  <c r="CC44"/>
  <c r="CB44"/>
  <c r="CE44"/>
  <c r="CD44"/>
  <c r="CE213"/>
  <c r="BZ213"/>
  <c r="CG213"/>
  <c r="CF213"/>
  <c r="CB213"/>
  <c r="CA213"/>
  <c r="CC213"/>
  <c r="CD213"/>
  <c r="CD358"/>
  <c r="CF358"/>
  <c r="CE358"/>
  <c r="CC358"/>
  <c r="CG358"/>
  <c r="CB358"/>
  <c r="CA358"/>
  <c r="BZ358"/>
  <c r="CC94"/>
  <c r="CB94"/>
  <c r="CG94"/>
  <c r="CF94"/>
  <c r="CE94"/>
  <c r="CD94"/>
  <c r="CA94"/>
  <c r="BZ94"/>
  <c r="BZ270"/>
  <c r="CF270"/>
  <c r="CD270"/>
  <c r="CC270"/>
  <c r="CB270"/>
  <c r="CG270"/>
  <c r="CE270"/>
  <c r="CA270"/>
  <c r="CA158"/>
  <c r="CG158"/>
  <c r="BZ158"/>
  <c r="CF158"/>
  <c r="CE158"/>
  <c r="CD158"/>
  <c r="CC158"/>
  <c r="CB158"/>
  <c r="CC409"/>
  <c r="CB409"/>
  <c r="CF409"/>
  <c r="CE409"/>
  <c r="CA409"/>
  <c r="CD409"/>
  <c r="BZ409"/>
  <c r="CG409"/>
  <c r="CA482"/>
  <c r="CG482"/>
  <c r="CB482"/>
  <c r="BZ482"/>
  <c r="CF482"/>
  <c r="CE482"/>
  <c r="CD482"/>
  <c r="CC482"/>
  <c r="CA122"/>
  <c r="CG122"/>
  <c r="BZ122"/>
  <c r="CF122"/>
  <c r="CE122"/>
  <c r="CD122"/>
  <c r="CC122"/>
  <c r="CB122"/>
  <c r="BZ279"/>
  <c r="CF279"/>
  <c r="CD279"/>
  <c r="CC279"/>
  <c r="CB279"/>
  <c r="CG279"/>
  <c r="CE279"/>
  <c r="CA279"/>
  <c r="CE480"/>
  <c r="CC480"/>
  <c r="CB480"/>
  <c r="CA480"/>
  <c r="BZ480"/>
  <c r="CF480"/>
  <c r="CG480"/>
  <c r="CD480"/>
  <c r="CE477"/>
  <c r="CF477"/>
  <c r="CD477"/>
  <c r="CC477"/>
  <c r="CB477"/>
  <c r="CA477"/>
  <c r="BZ477"/>
  <c r="CG477"/>
  <c r="CD250"/>
  <c r="CC250"/>
  <c r="CF250"/>
  <c r="CE250"/>
  <c r="CB250"/>
  <c r="CG250"/>
  <c r="CA250"/>
  <c r="BZ250"/>
  <c r="CA413"/>
  <c r="CG413"/>
  <c r="BZ413"/>
  <c r="CF413"/>
  <c r="CB413"/>
  <c r="CE413"/>
  <c r="CD413"/>
  <c r="CC413"/>
  <c r="CC148"/>
  <c r="CA148"/>
  <c r="BZ148"/>
  <c r="CG148"/>
  <c r="CF148"/>
  <c r="CE148"/>
  <c r="CD148"/>
  <c r="CB148"/>
  <c r="CD334"/>
  <c r="CC334"/>
  <c r="CB334"/>
  <c r="CA334"/>
  <c r="CG334"/>
  <c r="CF334"/>
  <c r="CE334"/>
  <c r="BZ334"/>
  <c r="CA173"/>
  <c r="CG173"/>
  <c r="CC173"/>
  <c r="CB173"/>
  <c r="CF173"/>
  <c r="CE173"/>
  <c r="CD173"/>
  <c r="BZ173"/>
  <c r="BZ240"/>
  <c r="CF240"/>
  <c r="CE240"/>
  <c r="CD240"/>
  <c r="CC240"/>
  <c r="CB240"/>
  <c r="CG240"/>
  <c r="CA240"/>
  <c r="CD319"/>
  <c r="CA319"/>
  <c r="BZ319"/>
  <c r="CG319"/>
  <c r="CF319"/>
  <c r="CC319"/>
  <c r="CB319"/>
  <c r="CE319"/>
  <c r="BZ252"/>
  <c r="CF252"/>
  <c r="CE252"/>
  <c r="CG252"/>
  <c r="CD252"/>
  <c r="CC252"/>
  <c r="CB252"/>
  <c r="CA252"/>
  <c r="CD301"/>
  <c r="CA301"/>
  <c r="BZ301"/>
  <c r="CG301"/>
  <c r="CF301"/>
  <c r="CC301"/>
  <c r="CB301"/>
  <c r="CE301"/>
  <c r="CA500"/>
  <c r="CG500"/>
  <c r="BZ500"/>
  <c r="CF500"/>
  <c r="CD500"/>
  <c r="CB500"/>
  <c r="CE500"/>
  <c r="CC500"/>
  <c r="CA218"/>
  <c r="CG218"/>
  <c r="CC218"/>
  <c r="CB218"/>
  <c r="CE218"/>
  <c r="CD218"/>
  <c r="BZ218"/>
  <c r="CF218"/>
  <c r="CC70"/>
  <c r="CB70"/>
  <c r="CA70"/>
  <c r="BZ70"/>
  <c r="CG70"/>
  <c r="CF70"/>
  <c r="CE70"/>
  <c r="CD70"/>
  <c r="CA143"/>
  <c r="CG143"/>
  <c r="CE143"/>
  <c r="CD143"/>
  <c r="CC143"/>
  <c r="CF143"/>
  <c r="CB143"/>
  <c r="BZ143"/>
  <c r="CA419"/>
  <c r="CG419"/>
  <c r="BZ419"/>
  <c r="CF419"/>
  <c r="CE419"/>
  <c r="CD419"/>
  <c r="CC419"/>
  <c r="CB419"/>
  <c r="CD244"/>
  <c r="CC244"/>
  <c r="BZ244"/>
  <c r="CG244"/>
  <c r="CF244"/>
  <c r="CB244"/>
  <c r="CA244"/>
  <c r="CE244"/>
  <c r="CA83"/>
  <c r="CG83"/>
  <c r="BZ83"/>
  <c r="CF83"/>
  <c r="CE83"/>
  <c r="CD83"/>
  <c r="CC83"/>
  <c r="CB83"/>
  <c r="CE186"/>
  <c r="BZ186"/>
  <c r="CG186"/>
  <c r="CF186"/>
  <c r="CB186"/>
  <c r="CA186"/>
  <c r="CD186"/>
  <c r="CC186"/>
  <c r="CD259"/>
  <c r="CC259"/>
  <c r="CF259"/>
  <c r="CE259"/>
  <c r="CB259"/>
  <c r="CG259"/>
  <c r="CA259"/>
  <c r="BZ259"/>
  <c r="BZ264"/>
  <c r="CF264"/>
  <c r="CE264"/>
  <c r="CB264"/>
  <c r="CA264"/>
  <c r="CD264"/>
  <c r="CC264"/>
  <c r="CG264"/>
  <c r="CD313"/>
  <c r="CF313"/>
  <c r="CE313"/>
  <c r="CC313"/>
  <c r="CG313"/>
  <c r="CB313"/>
  <c r="CA313"/>
  <c r="BZ313"/>
  <c r="CC55"/>
  <c r="CB55"/>
  <c r="CE55"/>
  <c r="CD55"/>
  <c r="CA55"/>
  <c r="CG55"/>
  <c r="CF55"/>
  <c r="BZ55"/>
  <c r="CB308"/>
  <c r="CC308"/>
  <c r="CA308"/>
  <c r="BZ308"/>
  <c r="CG308"/>
  <c r="CE308"/>
  <c r="CD308"/>
  <c r="CF308"/>
  <c r="CA68"/>
  <c r="CG68"/>
  <c r="BZ68"/>
  <c r="CF68"/>
  <c r="CE68"/>
  <c r="CD68"/>
  <c r="CC68"/>
  <c r="CB68"/>
  <c r="BZ339"/>
  <c r="CF339"/>
  <c r="CG339"/>
  <c r="CE339"/>
  <c r="CD339"/>
  <c r="CB339"/>
  <c r="CA339"/>
  <c r="CC339"/>
  <c r="BZ375"/>
  <c r="CF375"/>
  <c r="CG375"/>
  <c r="CE375"/>
  <c r="CC375"/>
  <c r="CB375"/>
  <c r="CA375"/>
  <c r="CD375"/>
  <c r="CB314"/>
  <c r="CE314"/>
  <c r="CD314"/>
  <c r="CC314"/>
  <c r="BZ314"/>
  <c r="CG314"/>
  <c r="CF314"/>
  <c r="CA314"/>
  <c r="CE177"/>
  <c r="BZ177"/>
  <c r="CG177"/>
  <c r="CF177"/>
  <c r="CD177"/>
  <c r="CC177"/>
  <c r="CB177"/>
  <c r="CA177"/>
  <c r="CE384"/>
  <c r="CD384"/>
  <c r="BZ384"/>
  <c r="CG384"/>
  <c r="CF384"/>
  <c r="CC384"/>
  <c r="CB384"/>
  <c r="CA384"/>
  <c r="CA428"/>
  <c r="CG428"/>
  <c r="BZ428"/>
  <c r="CF428"/>
  <c r="CE428"/>
  <c r="CD428"/>
  <c r="CC428"/>
  <c r="CB428"/>
  <c r="CA131"/>
  <c r="CG131"/>
  <c r="BZ131"/>
  <c r="CF131"/>
  <c r="CE131"/>
  <c r="CD131"/>
  <c r="CC131"/>
  <c r="CB131"/>
  <c r="BZ294"/>
  <c r="CF294"/>
  <c r="CG294"/>
  <c r="CE294"/>
  <c r="CD294"/>
  <c r="CB294"/>
  <c r="CA294"/>
  <c r="CC294"/>
  <c r="CD292"/>
  <c r="CA292"/>
  <c r="BZ292"/>
  <c r="CG292"/>
  <c r="CF292"/>
  <c r="CC292"/>
  <c r="CB292"/>
  <c r="CE292"/>
  <c r="CB230"/>
  <c r="CA230"/>
  <c r="CG230"/>
  <c r="CD230"/>
  <c r="CC230"/>
  <c r="BZ230"/>
  <c r="CF230"/>
  <c r="CE230"/>
  <c r="CE69"/>
  <c r="CD69"/>
  <c r="CA69"/>
  <c r="BZ69"/>
  <c r="CG69"/>
  <c r="CF69"/>
  <c r="CC69"/>
  <c r="CB69"/>
  <c r="CB263"/>
  <c r="CA263"/>
  <c r="CG263"/>
  <c r="BZ263"/>
  <c r="CF263"/>
  <c r="CE263"/>
  <c r="CD263"/>
  <c r="CC263"/>
  <c r="CD229"/>
  <c r="CC229"/>
  <c r="CB229"/>
  <c r="CA229"/>
  <c r="BZ229"/>
  <c r="CG229"/>
  <c r="CF229"/>
  <c r="CE229"/>
  <c r="CE399"/>
  <c r="CD399"/>
  <c r="CF399"/>
  <c r="CC399"/>
  <c r="CA399"/>
  <c r="CB399"/>
  <c r="BZ399"/>
  <c r="CG399"/>
  <c r="CA473"/>
  <c r="CG473"/>
  <c r="CB473"/>
  <c r="BZ473"/>
  <c r="CF473"/>
  <c r="CE473"/>
  <c r="CD473"/>
  <c r="CC473"/>
  <c r="CE216"/>
  <c r="CD216"/>
  <c r="CC216"/>
  <c r="BZ216"/>
  <c r="CG216"/>
  <c r="CA216"/>
  <c r="CF216"/>
  <c r="CB216"/>
  <c r="CC469"/>
  <c r="CB469"/>
  <c r="CD469"/>
  <c r="CA469"/>
  <c r="BZ469"/>
  <c r="CF469"/>
  <c r="CG469"/>
  <c r="CE469"/>
  <c r="CA86"/>
  <c r="CG86"/>
  <c r="BZ86"/>
  <c r="CF86"/>
  <c r="CE86"/>
  <c r="CD86"/>
  <c r="CC86"/>
  <c r="CB86"/>
  <c r="CC436"/>
  <c r="CB436"/>
  <c r="CF436"/>
  <c r="CE436"/>
  <c r="CD436"/>
  <c r="CA436"/>
  <c r="BZ436"/>
  <c r="CG436"/>
  <c r="CD367"/>
  <c r="CF367"/>
  <c r="CE367"/>
  <c r="CB367"/>
  <c r="CA367"/>
  <c r="BZ367"/>
  <c r="CG367"/>
  <c r="CC367"/>
  <c r="CB248"/>
  <c r="CA248"/>
  <c r="CG248"/>
  <c r="CD248"/>
  <c r="CC248"/>
  <c r="BZ248"/>
  <c r="CF248"/>
  <c r="CE248"/>
  <c r="CC454"/>
  <c r="CB454"/>
  <c r="CF454"/>
  <c r="CE454"/>
  <c r="CD454"/>
  <c r="CA454"/>
  <c r="BZ454"/>
  <c r="CG454"/>
  <c r="CC379"/>
  <c r="CB379"/>
  <c r="CD379"/>
  <c r="CA379"/>
  <c r="CG379"/>
  <c r="BZ379"/>
  <c r="CF379"/>
  <c r="CE379"/>
  <c r="CA440"/>
  <c r="CG440"/>
  <c r="BZ440"/>
  <c r="CF440"/>
  <c r="CB440"/>
  <c r="CE440"/>
  <c r="CD440"/>
  <c r="CC440"/>
  <c r="BZ291"/>
  <c r="CF291"/>
  <c r="CB291"/>
  <c r="CA291"/>
  <c r="CG291"/>
  <c r="CE291"/>
  <c r="CD291"/>
  <c r="CC291"/>
  <c r="CA503"/>
  <c r="CG503"/>
  <c r="CE503"/>
  <c r="CD503"/>
  <c r="CC503"/>
  <c r="CB503"/>
  <c r="BZ503"/>
  <c r="CF503"/>
  <c r="CB317"/>
  <c r="CC317"/>
  <c r="CA317"/>
  <c r="BZ317"/>
  <c r="CG317"/>
  <c r="CE317"/>
  <c r="CD317"/>
  <c r="CF317"/>
  <c r="BZ306"/>
  <c r="CF306"/>
  <c r="CD306"/>
  <c r="CC306"/>
  <c r="CB306"/>
  <c r="CG306"/>
  <c r="CE306"/>
  <c r="CA306"/>
  <c r="CB326"/>
  <c r="CC326"/>
  <c r="CA326"/>
  <c r="BZ326"/>
  <c r="CG326"/>
  <c r="CE326"/>
  <c r="CD326"/>
  <c r="CF326"/>
  <c r="BZ357"/>
  <c r="CF357"/>
  <c r="CG357"/>
  <c r="CE357"/>
  <c r="CD357"/>
  <c r="CB357"/>
  <c r="CA357"/>
  <c r="CC357"/>
  <c r="CC502"/>
  <c r="CF502"/>
  <c r="CE502"/>
  <c r="BZ502"/>
  <c r="CD502"/>
  <c r="CB502"/>
  <c r="CA502"/>
  <c r="CG502"/>
  <c r="CC52"/>
  <c r="CB52"/>
  <c r="CA52"/>
  <c r="BZ52"/>
  <c r="CG52"/>
  <c r="CF52"/>
  <c r="CE52"/>
  <c r="CD52"/>
  <c r="CC496"/>
  <c r="CD496"/>
  <c r="CB496"/>
  <c r="CA496"/>
  <c r="CG496"/>
  <c r="CF496"/>
  <c r="CE496"/>
  <c r="BZ496"/>
  <c r="CA47"/>
  <c r="CG47"/>
  <c r="BZ47"/>
  <c r="CF47"/>
  <c r="CE47"/>
  <c r="CD47"/>
  <c r="CC47"/>
  <c r="CB47"/>
  <c r="CC427"/>
  <c r="CB427"/>
  <c r="CF427"/>
  <c r="CE427"/>
  <c r="CD427"/>
  <c r="CA427"/>
  <c r="BZ427"/>
  <c r="CG427"/>
  <c r="CE204"/>
  <c r="BZ204"/>
  <c r="CG204"/>
  <c r="CF204"/>
  <c r="CD204"/>
  <c r="CC204"/>
  <c r="CA204"/>
  <c r="CB204"/>
  <c r="CC139"/>
  <c r="CA139"/>
  <c r="BZ139"/>
  <c r="CG139"/>
  <c r="CF139"/>
  <c r="CE139"/>
  <c r="CD139"/>
  <c r="CB139"/>
  <c r="CB278"/>
  <c r="CE278"/>
  <c r="CD278"/>
  <c r="CC278"/>
  <c r="BZ278"/>
  <c r="CG278"/>
  <c r="CF278"/>
  <c r="CA278"/>
  <c r="CE423"/>
  <c r="CD423"/>
  <c r="CB423"/>
  <c r="CA423"/>
  <c r="BZ423"/>
  <c r="CG423"/>
  <c r="CF423"/>
  <c r="CC423"/>
  <c r="CE39"/>
  <c r="CD39"/>
  <c r="CG39"/>
  <c r="CF39"/>
  <c r="CC39"/>
  <c r="CB39"/>
  <c r="CA39"/>
  <c r="BZ39"/>
  <c r="CA89"/>
  <c r="CG89"/>
  <c r="BZ89"/>
  <c r="CF89"/>
  <c r="CC89"/>
  <c r="CB89"/>
  <c r="CE89"/>
  <c r="CD89"/>
  <c r="CC514"/>
  <c r="CD514"/>
  <c r="CA514"/>
  <c r="CG514"/>
  <c r="CB514"/>
  <c r="BZ514"/>
  <c r="CE514"/>
  <c r="CF514"/>
  <c r="CA53"/>
  <c r="CG53"/>
  <c r="BZ53"/>
  <c r="CF53"/>
  <c r="CC53"/>
  <c r="CB53"/>
  <c r="CE53"/>
  <c r="CD53"/>
  <c r="CC439"/>
  <c r="CB439"/>
  <c r="BZ439"/>
  <c r="CG439"/>
  <c r="CF439"/>
  <c r="CE439"/>
  <c r="CD439"/>
  <c r="CA439"/>
  <c r="BZ222"/>
  <c r="CF222"/>
  <c r="CE222"/>
  <c r="CD222"/>
  <c r="CC222"/>
  <c r="CB222"/>
  <c r="CG222"/>
  <c r="CA222"/>
  <c r="CC145"/>
  <c r="CD145"/>
  <c r="CB145"/>
  <c r="CA145"/>
  <c r="CG145"/>
  <c r="CF145"/>
  <c r="CE145"/>
  <c r="BZ145"/>
  <c r="CB236"/>
  <c r="CA236"/>
  <c r="CG236"/>
  <c r="BZ236"/>
  <c r="CF236"/>
  <c r="CE236"/>
  <c r="CD236"/>
  <c r="CC236"/>
  <c r="CE381"/>
  <c r="CD381"/>
  <c r="CF381"/>
  <c r="CC381"/>
  <c r="CB381"/>
  <c r="CA381"/>
  <c r="BZ381"/>
  <c r="CG381"/>
  <c r="CE57"/>
  <c r="CD57"/>
  <c r="CG57"/>
  <c r="CF57"/>
  <c r="CC57"/>
  <c r="CB57"/>
  <c r="CA57"/>
  <c r="BZ57"/>
  <c r="CA107"/>
  <c r="CG107"/>
  <c r="BZ107"/>
  <c r="CF107"/>
  <c r="CC107"/>
  <c r="CB107"/>
  <c r="CE107"/>
  <c r="CD107"/>
  <c r="CC40"/>
  <c r="CB40"/>
  <c r="CG40"/>
  <c r="CF40"/>
  <c r="CE40"/>
  <c r="CD40"/>
  <c r="CA40"/>
  <c r="BZ40"/>
  <c r="CC451"/>
  <c r="CB451"/>
  <c r="CD451"/>
  <c r="CA451"/>
  <c r="BZ451"/>
  <c r="CG451"/>
  <c r="CF451"/>
  <c r="CE451"/>
  <c r="BZ234"/>
  <c r="CF234"/>
  <c r="CE234"/>
  <c r="CG234"/>
  <c r="CD234"/>
  <c r="CC234"/>
  <c r="CB234"/>
  <c r="CA234"/>
  <c r="CC151"/>
  <c r="CF151"/>
  <c r="CE151"/>
  <c r="CD151"/>
  <c r="CB151"/>
  <c r="CA151"/>
  <c r="BZ151"/>
  <c r="CG151"/>
  <c r="CB290"/>
  <c r="CC290"/>
  <c r="CA290"/>
  <c r="BZ290"/>
  <c r="CG290"/>
  <c r="CE290"/>
  <c r="CD290"/>
  <c r="CF290"/>
  <c r="CE435"/>
  <c r="CD435"/>
  <c r="CF435"/>
  <c r="CC435"/>
  <c r="CB435"/>
  <c r="CA435"/>
  <c r="BZ435"/>
  <c r="CG435"/>
  <c r="CE111"/>
  <c r="CD111"/>
  <c r="CG111"/>
  <c r="CF111"/>
  <c r="CC111"/>
  <c r="CB111"/>
  <c r="CA111"/>
  <c r="BZ111"/>
  <c r="CA182"/>
  <c r="CG182"/>
  <c r="CC182"/>
  <c r="CB182"/>
  <c r="BZ182"/>
  <c r="CF182"/>
  <c r="CE182"/>
  <c r="CD182"/>
  <c r="BZ369"/>
  <c r="CF369"/>
  <c r="CD369"/>
  <c r="CC369"/>
  <c r="CG369"/>
  <c r="CE369"/>
  <c r="CB369"/>
  <c r="CA369"/>
  <c r="CE153"/>
  <c r="CD153"/>
  <c r="CC153"/>
  <c r="CB153"/>
  <c r="CA153"/>
  <c r="BZ153"/>
  <c r="CG153"/>
  <c r="CF153"/>
  <c r="CC472"/>
  <c r="CB472"/>
  <c r="CA472"/>
  <c r="BZ472"/>
  <c r="CE472"/>
  <c r="CG472"/>
  <c r="CF472"/>
  <c r="CD472"/>
  <c r="CB293"/>
  <c r="BZ293"/>
  <c r="CG293"/>
  <c r="CF293"/>
  <c r="CE293"/>
  <c r="CD293"/>
  <c r="CC293"/>
  <c r="CA293"/>
  <c r="CA497"/>
  <c r="CG497"/>
  <c r="CD497"/>
  <c r="CC497"/>
  <c r="CB497"/>
  <c r="CF497"/>
  <c r="CE497"/>
  <c r="BZ497"/>
  <c r="CE432"/>
  <c r="CD432"/>
  <c r="CB432"/>
  <c r="CA432"/>
  <c r="BZ432"/>
  <c r="CG432"/>
  <c r="CF432"/>
  <c r="CC432"/>
  <c r="CE36"/>
  <c r="CD36"/>
  <c r="CC36"/>
  <c r="CB36"/>
  <c r="CA36"/>
  <c r="BZ36"/>
  <c r="CG36"/>
  <c r="CF36"/>
  <c r="CC157"/>
  <c r="CA157"/>
  <c r="BZ157"/>
  <c r="CG157"/>
  <c r="CF157"/>
  <c r="CE157"/>
  <c r="CD157"/>
  <c r="CB157"/>
  <c r="CA380"/>
  <c r="CG380"/>
  <c r="BZ380"/>
  <c r="CF380"/>
  <c r="CD380"/>
  <c r="CC380"/>
  <c r="CB380"/>
  <c r="CE380"/>
  <c r="CE45"/>
  <c r="CD45"/>
  <c r="CC45"/>
  <c r="CB45"/>
  <c r="CA45"/>
  <c r="BZ45"/>
  <c r="CG45"/>
  <c r="CF45"/>
  <c r="CC466"/>
  <c r="CB466"/>
  <c r="BZ466"/>
  <c r="CG466"/>
  <c r="CE466"/>
  <c r="CF466"/>
  <c r="CD466"/>
  <c r="CA466"/>
  <c r="CD274"/>
  <c r="CA274"/>
  <c r="BZ274"/>
  <c r="CG274"/>
  <c r="CF274"/>
  <c r="CC274"/>
  <c r="CB274"/>
  <c r="CE274"/>
  <c r="CA95"/>
  <c r="CG95"/>
  <c r="BZ95"/>
  <c r="CF95"/>
  <c r="CE95"/>
  <c r="CD95"/>
  <c r="CC95"/>
  <c r="CB95"/>
  <c r="CA407"/>
  <c r="CG407"/>
  <c r="BZ407"/>
  <c r="CF407"/>
  <c r="CD407"/>
  <c r="CC407"/>
  <c r="CB407"/>
  <c r="CE407"/>
  <c r="BZ372"/>
  <c r="CF372"/>
  <c r="CB372"/>
  <c r="CA372"/>
  <c r="CE372"/>
  <c r="CD372"/>
  <c r="CC372"/>
  <c r="CG372"/>
  <c r="CC475"/>
  <c r="BZ475"/>
  <c r="CG475"/>
  <c r="CF475"/>
  <c r="CE475"/>
  <c r="CD475"/>
  <c r="CB475"/>
  <c r="CA475"/>
  <c r="CE492"/>
  <c r="CA492"/>
  <c r="BZ492"/>
  <c r="CG492"/>
  <c r="CF492"/>
  <c r="CD492"/>
  <c r="CC492"/>
  <c r="CB492"/>
  <c r="CE30"/>
  <c r="CD30"/>
  <c r="CG30"/>
  <c r="CF30"/>
  <c r="CC30"/>
  <c r="CB30"/>
  <c r="CA30"/>
  <c r="BZ30"/>
  <c r="CC163"/>
  <c r="CD163"/>
  <c r="CB163"/>
  <c r="CA163"/>
  <c r="CG163"/>
  <c r="CF163"/>
  <c r="CE163"/>
  <c r="BZ163"/>
  <c r="CA422"/>
  <c r="CG422"/>
  <c r="BZ422"/>
  <c r="CF422"/>
  <c r="CB422"/>
  <c r="CE422"/>
  <c r="CD422"/>
  <c r="CC422"/>
  <c r="CA188"/>
  <c r="CG188"/>
  <c r="CE188"/>
  <c r="CD188"/>
  <c r="CF188"/>
  <c r="CC188"/>
  <c r="CB188"/>
  <c r="BZ188"/>
  <c r="CE447"/>
  <c r="CD447"/>
  <c r="BZ447"/>
  <c r="CG447"/>
  <c r="CC447"/>
  <c r="CF447"/>
  <c r="CB447"/>
  <c r="CA447"/>
  <c r="BZ231"/>
  <c r="CF231"/>
  <c r="CE231"/>
  <c r="CD231"/>
  <c r="CC231"/>
  <c r="CB231"/>
  <c r="CG231"/>
  <c r="CA231"/>
  <c r="R450"/>
  <c r="AD450"/>
  <c r="AC450"/>
  <c r="AG450"/>
  <c r="AF450"/>
  <c r="AE450"/>
  <c r="AB450"/>
  <c r="AA450"/>
  <c r="AH450"/>
  <c r="R310"/>
  <c r="AB310"/>
  <c r="AH310"/>
  <c r="AD310"/>
  <c r="AC310"/>
  <c r="AA310"/>
  <c r="AF310"/>
  <c r="AG310"/>
  <c r="AE310"/>
  <c r="R343"/>
  <c r="AB343"/>
  <c r="AH343"/>
  <c r="AF343"/>
  <c r="AE343"/>
  <c r="AG343"/>
  <c r="AD343"/>
  <c r="AC343"/>
  <c r="AA343"/>
  <c r="R374"/>
  <c r="AF374"/>
  <c r="AC374"/>
  <c r="AB374"/>
  <c r="AG374"/>
  <c r="AD374"/>
  <c r="AE374"/>
  <c r="AA374"/>
  <c r="AH374"/>
  <c r="R504"/>
  <c r="AD504"/>
  <c r="AB504"/>
  <c r="AA504"/>
  <c r="AF504"/>
  <c r="AH504"/>
  <c r="AG504"/>
  <c r="AE504"/>
  <c r="AC504"/>
  <c r="R430"/>
  <c r="AB430"/>
  <c r="AH430"/>
  <c r="AA430"/>
  <c r="AG430"/>
  <c r="AE430"/>
  <c r="AD430"/>
  <c r="AC430"/>
  <c r="AF430"/>
  <c r="R397"/>
  <c r="AB397"/>
  <c r="AH397"/>
  <c r="AA397"/>
  <c r="AG397"/>
  <c r="AF397"/>
  <c r="AE397"/>
  <c r="AD397"/>
  <c r="AC397"/>
  <c r="R207"/>
  <c r="AE207"/>
  <c r="AB207"/>
  <c r="AA207"/>
  <c r="AH207"/>
  <c r="AF207"/>
  <c r="AD207"/>
  <c r="AC207"/>
  <c r="AG207"/>
  <c r="R113"/>
  <c r="AA113"/>
  <c r="AG113"/>
  <c r="AF113"/>
  <c r="AH113"/>
  <c r="AE113"/>
  <c r="AD113"/>
  <c r="AC113"/>
  <c r="AB113"/>
  <c r="R140"/>
  <c r="AA140"/>
  <c r="AG140"/>
  <c r="AE140"/>
  <c r="AD140"/>
  <c r="AB140"/>
  <c r="AH140"/>
  <c r="AF140"/>
  <c r="AC140"/>
  <c r="R152"/>
  <c r="AA152"/>
  <c r="AG152"/>
  <c r="AC152"/>
  <c r="AB152"/>
  <c r="AD152"/>
  <c r="AF152"/>
  <c r="AE152"/>
  <c r="AH152"/>
  <c r="R269"/>
  <c r="AF269"/>
  <c r="AE269"/>
  <c r="AG269"/>
  <c r="AD269"/>
  <c r="AC269"/>
  <c r="AH269"/>
  <c r="AB269"/>
  <c r="AA269"/>
  <c r="R479"/>
  <c r="AF479"/>
  <c r="AA479"/>
  <c r="AH479"/>
  <c r="AG479"/>
  <c r="AE479"/>
  <c r="AD479"/>
  <c r="AC479"/>
  <c r="AB479"/>
  <c r="R331"/>
  <c r="AB331"/>
  <c r="AH331"/>
  <c r="AA331"/>
  <c r="AG331"/>
  <c r="AF331"/>
  <c r="AD331"/>
  <c r="AC331"/>
  <c r="AE331"/>
  <c r="R483"/>
  <c r="AD483"/>
  <c r="AE483"/>
  <c r="AC483"/>
  <c r="AB483"/>
  <c r="AA483"/>
  <c r="AH483"/>
  <c r="AG483"/>
  <c r="AF483"/>
  <c r="R305"/>
  <c r="AF305"/>
  <c r="AA305"/>
  <c r="AH305"/>
  <c r="AG305"/>
  <c r="AE305"/>
  <c r="AD305"/>
  <c r="AC305"/>
  <c r="AB305"/>
  <c r="R244"/>
  <c r="AB244"/>
  <c r="AH244"/>
  <c r="AA244"/>
  <c r="AG244"/>
  <c r="AF244"/>
  <c r="AE244"/>
  <c r="AD244"/>
  <c r="AC244"/>
  <c r="R132"/>
  <c r="AE132"/>
  <c r="AD132"/>
  <c r="AC132"/>
  <c r="AA132"/>
  <c r="AH132"/>
  <c r="AG132"/>
  <c r="AF132"/>
  <c r="AB132"/>
  <c r="R452"/>
  <c r="AF452"/>
  <c r="AE452"/>
  <c r="AA452"/>
  <c r="AH452"/>
  <c r="AG452"/>
  <c r="AD452"/>
  <c r="AC452"/>
  <c r="AB452"/>
  <c r="R273"/>
  <c r="AD273"/>
  <c r="AE273"/>
  <c r="AC273"/>
  <c r="AB273"/>
  <c r="AG273"/>
  <c r="AF273"/>
  <c r="AA273"/>
  <c r="AH273"/>
  <c r="R154"/>
  <c r="AC154"/>
  <c r="AA154"/>
  <c r="AH154"/>
  <c r="AG154"/>
  <c r="AF154"/>
  <c r="AE154"/>
  <c r="AD154"/>
  <c r="AB154"/>
  <c r="R239"/>
  <c r="AF239"/>
  <c r="AE239"/>
  <c r="AC239"/>
  <c r="AB239"/>
  <c r="AA239"/>
  <c r="AH239"/>
  <c r="AG239"/>
  <c r="AD239"/>
  <c r="R385"/>
  <c r="AB385"/>
  <c r="AA385"/>
  <c r="AH385"/>
  <c r="AG385"/>
  <c r="AE385"/>
  <c r="AD385"/>
  <c r="AC385"/>
  <c r="AF385"/>
  <c r="R309"/>
  <c r="AD309"/>
  <c r="AE309"/>
  <c r="AC309"/>
  <c r="AB309"/>
  <c r="AG309"/>
  <c r="AF309"/>
  <c r="AA309"/>
  <c r="AH309"/>
  <c r="R462"/>
  <c r="AD462"/>
  <c r="AG462"/>
  <c r="AF462"/>
  <c r="AB462"/>
  <c r="AC462"/>
  <c r="AE462"/>
  <c r="AA462"/>
  <c r="AH462"/>
  <c r="R230"/>
  <c r="AF230"/>
  <c r="AE230"/>
  <c r="AC230"/>
  <c r="AB230"/>
  <c r="AA230"/>
  <c r="AG230"/>
  <c r="AH230"/>
  <c r="AD230"/>
  <c r="R380"/>
  <c r="AF380"/>
  <c r="AE380"/>
  <c r="AD380"/>
  <c r="AB380"/>
  <c r="AA380"/>
  <c r="AH380"/>
  <c r="AG380"/>
  <c r="AC380"/>
  <c r="R432"/>
  <c r="AD432"/>
  <c r="AC432"/>
  <c r="AG432"/>
  <c r="AF432"/>
  <c r="AB432"/>
  <c r="AA432"/>
  <c r="AE432"/>
  <c r="AH432"/>
  <c r="R238"/>
  <c r="AB238"/>
  <c r="AH238"/>
  <c r="AA238"/>
  <c r="AG238"/>
  <c r="AC238"/>
  <c r="AE238"/>
  <c r="AD238"/>
  <c r="AF238"/>
  <c r="R118"/>
  <c r="AC118"/>
  <c r="AB118"/>
  <c r="AH118"/>
  <c r="AE118"/>
  <c r="AD118"/>
  <c r="AA118"/>
  <c r="AG118"/>
  <c r="AF118"/>
  <c r="R391"/>
  <c r="AB391"/>
  <c r="AH391"/>
  <c r="AA391"/>
  <c r="AG391"/>
  <c r="AC391"/>
  <c r="AF391"/>
  <c r="AE391"/>
  <c r="AD391"/>
  <c r="R199"/>
  <c r="AC199"/>
  <c r="AA199"/>
  <c r="AH199"/>
  <c r="AG199"/>
  <c r="AE199"/>
  <c r="AD199"/>
  <c r="AB199"/>
  <c r="AF199"/>
  <c r="R56"/>
  <c r="AA56"/>
  <c r="AG56"/>
  <c r="AF56"/>
  <c r="AE56"/>
  <c r="AD56"/>
  <c r="AC56"/>
  <c r="AB56"/>
  <c r="AH56"/>
  <c r="R444"/>
  <c r="AD444"/>
  <c r="AC444"/>
  <c r="AA444"/>
  <c r="AH444"/>
  <c r="AF444"/>
  <c r="AE444"/>
  <c r="AG444"/>
  <c r="AB444"/>
  <c r="R323"/>
  <c r="AF323"/>
  <c r="AA323"/>
  <c r="AH323"/>
  <c r="AG323"/>
  <c r="AE323"/>
  <c r="AC323"/>
  <c r="AD323"/>
  <c r="AB323"/>
  <c r="R486"/>
  <c r="AD486"/>
  <c r="AB486"/>
  <c r="AA486"/>
  <c r="AE486"/>
  <c r="AH486"/>
  <c r="AG486"/>
  <c r="AF486"/>
  <c r="AC486"/>
  <c r="R370"/>
  <c r="AB370"/>
  <c r="AH370"/>
  <c r="AF370"/>
  <c r="AE370"/>
  <c r="AG370"/>
  <c r="AD370"/>
  <c r="AC370"/>
  <c r="AA370"/>
  <c r="R209"/>
  <c r="AA209"/>
  <c r="AG209"/>
  <c r="AH209"/>
  <c r="AF209"/>
  <c r="AB209"/>
  <c r="AD209"/>
  <c r="AC209"/>
  <c r="AE209"/>
  <c r="R488"/>
  <c r="AF488"/>
  <c r="AA488"/>
  <c r="AH488"/>
  <c r="AG488"/>
  <c r="AE488"/>
  <c r="AD488"/>
  <c r="AC488"/>
  <c r="AB488"/>
  <c r="R421"/>
  <c r="AB421"/>
  <c r="AH421"/>
  <c r="AA421"/>
  <c r="AG421"/>
  <c r="AE421"/>
  <c r="AD421"/>
  <c r="AC421"/>
  <c r="AF421"/>
  <c r="R121"/>
  <c r="AC121"/>
  <c r="AB121"/>
  <c r="AH121"/>
  <c r="AG121"/>
  <c r="AF121"/>
  <c r="AE121"/>
  <c r="AD121"/>
  <c r="AA121"/>
  <c r="R236"/>
  <c r="AF236"/>
  <c r="AE236"/>
  <c r="AA236"/>
  <c r="AH236"/>
  <c r="AG236"/>
  <c r="AC236"/>
  <c r="AB236"/>
  <c r="AD236"/>
  <c r="R387"/>
  <c r="AD387"/>
  <c r="AC387"/>
  <c r="AG387"/>
  <c r="AF387"/>
  <c r="AE387"/>
  <c r="AB387"/>
  <c r="AA387"/>
  <c r="AH387"/>
  <c r="R63"/>
  <c r="AE63"/>
  <c r="AD63"/>
  <c r="AC63"/>
  <c r="AB63"/>
  <c r="AA63"/>
  <c r="AH63"/>
  <c r="AG63"/>
  <c r="AF63"/>
  <c r="R424"/>
  <c r="AB424"/>
  <c r="AH424"/>
  <c r="AG424"/>
  <c r="AA424"/>
  <c r="AF424"/>
  <c r="AE424"/>
  <c r="AD424"/>
  <c r="AC424"/>
  <c r="R274"/>
  <c r="AB274"/>
  <c r="AH274"/>
  <c r="AD274"/>
  <c r="AC274"/>
  <c r="AA274"/>
  <c r="AG274"/>
  <c r="AF274"/>
  <c r="AE274"/>
  <c r="R77"/>
  <c r="AA77"/>
  <c r="AG77"/>
  <c r="AF77"/>
  <c r="AH77"/>
  <c r="AE77"/>
  <c r="AD77"/>
  <c r="AC77"/>
  <c r="AB77"/>
  <c r="R347"/>
  <c r="AF347"/>
  <c r="AC347"/>
  <c r="AB347"/>
  <c r="AG347"/>
  <c r="AE347"/>
  <c r="AD347"/>
  <c r="AA347"/>
  <c r="AH347"/>
  <c r="R505"/>
  <c r="AB505"/>
  <c r="AH505"/>
  <c r="AA505"/>
  <c r="AG505"/>
  <c r="AD505"/>
  <c r="AE505"/>
  <c r="AC505"/>
  <c r="AF505"/>
  <c r="R72"/>
  <c r="AE72"/>
  <c r="AD72"/>
  <c r="AC72"/>
  <c r="AB72"/>
  <c r="AA72"/>
  <c r="AH72"/>
  <c r="AG72"/>
  <c r="AF72"/>
  <c r="R217"/>
  <c r="AC217"/>
  <c r="AA217"/>
  <c r="AH217"/>
  <c r="AG217"/>
  <c r="AB217"/>
  <c r="AE217"/>
  <c r="AD217"/>
  <c r="AF217"/>
  <c r="R416"/>
  <c r="AF416"/>
  <c r="AE416"/>
  <c r="AA416"/>
  <c r="AH416"/>
  <c r="AC416"/>
  <c r="AG416"/>
  <c r="AD416"/>
  <c r="AB416"/>
  <c r="R68"/>
  <c r="AA68"/>
  <c r="AG68"/>
  <c r="AF68"/>
  <c r="AH68"/>
  <c r="AE68"/>
  <c r="AD68"/>
  <c r="AC68"/>
  <c r="AB68"/>
  <c r="R237"/>
  <c r="AD237"/>
  <c r="AC237"/>
  <c r="AA237"/>
  <c r="AH237"/>
  <c r="AG237"/>
  <c r="AF237"/>
  <c r="AE237"/>
  <c r="AB237"/>
  <c r="R286"/>
  <c r="AB286"/>
  <c r="AH286"/>
  <c r="AA286"/>
  <c r="AG286"/>
  <c r="AF286"/>
  <c r="AD286"/>
  <c r="AC286"/>
  <c r="AE286"/>
  <c r="R107"/>
  <c r="AA107"/>
  <c r="AG107"/>
  <c r="AF107"/>
  <c r="AC107"/>
  <c r="AB107"/>
  <c r="AH107"/>
  <c r="AE107"/>
  <c r="AD107"/>
  <c r="R438"/>
  <c r="AD438"/>
  <c r="AC438"/>
  <c r="AE438"/>
  <c r="AB438"/>
  <c r="AH438"/>
  <c r="AA438"/>
  <c r="AG438"/>
  <c r="AF438"/>
  <c r="R298"/>
  <c r="AB298"/>
  <c r="AH298"/>
  <c r="AF298"/>
  <c r="AE298"/>
  <c r="AD298"/>
  <c r="AG298"/>
  <c r="AC298"/>
  <c r="AA298"/>
  <c r="R119"/>
  <c r="AA119"/>
  <c r="AG119"/>
  <c r="AF119"/>
  <c r="AE119"/>
  <c r="AD119"/>
  <c r="AC119"/>
  <c r="AB119"/>
  <c r="AH119"/>
  <c r="R277"/>
  <c r="AB277"/>
  <c r="AH277"/>
  <c r="AA277"/>
  <c r="AG277"/>
  <c r="AF277"/>
  <c r="AD277"/>
  <c r="AC277"/>
  <c r="AE277"/>
  <c r="R451"/>
  <c r="AB451"/>
  <c r="AH451"/>
  <c r="AG451"/>
  <c r="AA451"/>
  <c r="AF451"/>
  <c r="AE451"/>
  <c r="AD451"/>
  <c r="AC451"/>
  <c r="R139"/>
  <c r="AC139"/>
  <c r="AF139"/>
  <c r="AE139"/>
  <c r="AH139"/>
  <c r="AG139"/>
  <c r="AB139"/>
  <c r="AA139"/>
  <c r="AD139"/>
  <c r="R308"/>
  <c r="AF308"/>
  <c r="AE308"/>
  <c r="AD308"/>
  <c r="AC308"/>
  <c r="AA308"/>
  <c r="AH308"/>
  <c r="AG308"/>
  <c r="AB308"/>
  <c r="R459"/>
  <c r="AD459"/>
  <c r="AB459"/>
  <c r="AH459"/>
  <c r="AA459"/>
  <c r="AF459"/>
  <c r="AG459"/>
  <c r="AE459"/>
  <c r="AC459"/>
  <c r="R135"/>
  <c r="AE135"/>
  <c r="AB135"/>
  <c r="AA135"/>
  <c r="AH135"/>
  <c r="AG135"/>
  <c r="AF135"/>
  <c r="AD135"/>
  <c r="AC135"/>
  <c r="R470"/>
  <c r="AF470"/>
  <c r="AA470"/>
  <c r="AH470"/>
  <c r="AG470"/>
  <c r="AE470"/>
  <c r="AD470"/>
  <c r="AC470"/>
  <c r="AB470"/>
  <c r="R200"/>
  <c r="AA200"/>
  <c r="AG200"/>
  <c r="AH200"/>
  <c r="AF200"/>
  <c r="AE200"/>
  <c r="AD200"/>
  <c r="AC200"/>
  <c r="AB200"/>
  <c r="R465"/>
  <c r="AD465"/>
  <c r="AE465"/>
  <c r="AC465"/>
  <c r="AG465"/>
  <c r="AH465"/>
  <c r="AB465"/>
  <c r="AA465"/>
  <c r="AF465"/>
  <c r="R249"/>
  <c r="AD249"/>
  <c r="AC249"/>
  <c r="AE249"/>
  <c r="AB249"/>
  <c r="AA249"/>
  <c r="AG249"/>
  <c r="AF249"/>
  <c r="AH249"/>
  <c r="R480"/>
  <c r="AD480"/>
  <c r="AG480"/>
  <c r="AF480"/>
  <c r="AE480"/>
  <c r="AC480"/>
  <c r="AB480"/>
  <c r="AA480"/>
  <c r="AH480"/>
  <c r="R448"/>
  <c r="AB448"/>
  <c r="AH448"/>
  <c r="AA448"/>
  <c r="AG448"/>
  <c r="AE448"/>
  <c r="AD448"/>
  <c r="AC448"/>
  <c r="AF448"/>
  <c r="R401"/>
  <c r="AF401"/>
  <c r="AE401"/>
  <c r="AC401"/>
  <c r="AH401"/>
  <c r="AB401"/>
  <c r="AA401"/>
  <c r="AG401"/>
  <c r="AD401"/>
  <c r="R354"/>
  <c r="AD354"/>
  <c r="AE354"/>
  <c r="AC354"/>
  <c r="AF354"/>
  <c r="AB354"/>
  <c r="AA354"/>
  <c r="AH354"/>
  <c r="AG354"/>
  <c r="R316"/>
  <c r="AB316"/>
  <c r="AH316"/>
  <c r="AF316"/>
  <c r="AE316"/>
  <c r="AD316"/>
  <c r="AA316"/>
  <c r="AG316"/>
  <c r="AC316"/>
  <c r="R263"/>
  <c r="AF263"/>
  <c r="AE263"/>
  <c r="AA263"/>
  <c r="AH263"/>
  <c r="AG263"/>
  <c r="AC263"/>
  <c r="AB263"/>
  <c r="AD263"/>
  <c r="R66"/>
  <c r="AE66"/>
  <c r="AD66"/>
  <c r="AG66"/>
  <c r="AF66"/>
  <c r="AC66"/>
  <c r="AH66"/>
  <c r="AB66"/>
  <c r="AA66"/>
  <c r="R180"/>
  <c r="AE180"/>
  <c r="AB180"/>
  <c r="AA180"/>
  <c r="AH180"/>
  <c r="AF180"/>
  <c r="AD180"/>
  <c r="AC180"/>
  <c r="AG180"/>
  <c r="R319"/>
  <c r="AB319"/>
  <c r="AH319"/>
  <c r="AD319"/>
  <c r="AC319"/>
  <c r="AA319"/>
  <c r="AF319"/>
  <c r="AG319"/>
  <c r="AE319"/>
  <c r="R97"/>
  <c r="AC97"/>
  <c r="AB97"/>
  <c r="AH97"/>
  <c r="AA97"/>
  <c r="AG97"/>
  <c r="AF97"/>
  <c r="AE97"/>
  <c r="AD97"/>
  <c r="R362"/>
  <c r="AF362"/>
  <c r="AE362"/>
  <c r="AD362"/>
  <c r="AG362"/>
  <c r="AB362"/>
  <c r="AA362"/>
  <c r="AC362"/>
  <c r="AH362"/>
  <c r="R128"/>
  <c r="AA128"/>
  <c r="AG128"/>
  <c r="AF128"/>
  <c r="AE128"/>
  <c r="AD128"/>
  <c r="AH128"/>
  <c r="AC128"/>
  <c r="AB128"/>
  <c r="R399"/>
  <c r="AD399"/>
  <c r="AC399"/>
  <c r="AA399"/>
  <c r="AH399"/>
  <c r="AG399"/>
  <c r="AF399"/>
  <c r="AE399"/>
  <c r="AB399"/>
  <c r="R183"/>
  <c r="AE183"/>
  <c r="AG183"/>
  <c r="AF183"/>
  <c r="AC183"/>
  <c r="AB183"/>
  <c r="AA183"/>
  <c r="AH183"/>
  <c r="AD183"/>
  <c r="R49"/>
  <c r="AC49"/>
  <c r="AB49"/>
  <c r="AH49"/>
  <c r="AG49"/>
  <c r="AF49"/>
  <c r="AE49"/>
  <c r="AD49"/>
  <c r="AA49"/>
  <c r="R58"/>
  <c r="AC58"/>
  <c r="AB58"/>
  <c r="AH58"/>
  <c r="AG58"/>
  <c r="AF58"/>
  <c r="AE58"/>
  <c r="AD58"/>
  <c r="AA58"/>
  <c r="R42"/>
  <c r="AE42"/>
  <c r="AD42"/>
  <c r="AA42"/>
  <c r="AH42"/>
  <c r="AG42"/>
  <c r="AF42"/>
  <c r="AC42"/>
  <c r="AB42"/>
  <c r="R381"/>
  <c r="AD381"/>
  <c r="AE381"/>
  <c r="AC381"/>
  <c r="AF381"/>
  <c r="AB381"/>
  <c r="AA381"/>
  <c r="AH381"/>
  <c r="AG381"/>
  <c r="R90"/>
  <c r="AE90"/>
  <c r="AD90"/>
  <c r="AC90"/>
  <c r="AB90"/>
  <c r="AA90"/>
  <c r="AH90"/>
  <c r="AG90"/>
  <c r="AF90"/>
  <c r="R358"/>
  <c r="AB358"/>
  <c r="AH358"/>
  <c r="AA358"/>
  <c r="AG358"/>
  <c r="AE358"/>
  <c r="AC358"/>
  <c r="AD358"/>
  <c r="AF358"/>
  <c r="R52"/>
  <c r="AC52"/>
  <c r="AB52"/>
  <c r="AH52"/>
  <c r="AA52"/>
  <c r="AG52"/>
  <c r="AF52"/>
  <c r="AE52"/>
  <c r="AD52"/>
  <c r="R335"/>
  <c r="AF335"/>
  <c r="AE335"/>
  <c r="AD335"/>
  <c r="AG335"/>
  <c r="AC335"/>
  <c r="AA335"/>
  <c r="AB335"/>
  <c r="AH335"/>
  <c r="R163"/>
  <c r="AC163"/>
  <c r="AA163"/>
  <c r="AH163"/>
  <c r="AG163"/>
  <c r="AB163"/>
  <c r="AE163"/>
  <c r="AD163"/>
  <c r="AF163"/>
  <c r="R123"/>
  <c r="AE123"/>
  <c r="AD123"/>
  <c r="AA123"/>
  <c r="AH123"/>
  <c r="AG123"/>
  <c r="AF123"/>
  <c r="AC123"/>
  <c r="AB123"/>
  <c r="R377"/>
  <c r="AF377"/>
  <c r="AA377"/>
  <c r="AH377"/>
  <c r="AG377"/>
  <c r="AD377"/>
  <c r="AC377"/>
  <c r="AB377"/>
  <c r="AE377"/>
  <c r="R443"/>
  <c r="AF443"/>
  <c r="AE443"/>
  <c r="AA443"/>
  <c r="AH443"/>
  <c r="AG443"/>
  <c r="AC443"/>
  <c r="AD443"/>
  <c r="AB443"/>
  <c r="R156"/>
  <c r="AE156"/>
  <c r="AG156"/>
  <c r="AF156"/>
  <c r="AC156"/>
  <c r="AB156"/>
  <c r="AA156"/>
  <c r="AH156"/>
  <c r="AD156"/>
  <c r="R259"/>
  <c r="AB259"/>
  <c r="AH259"/>
  <c r="AA259"/>
  <c r="AG259"/>
  <c r="AE259"/>
  <c r="AD259"/>
  <c r="AC259"/>
  <c r="AF259"/>
  <c r="R134"/>
  <c r="AA134"/>
  <c r="AG134"/>
  <c r="AC134"/>
  <c r="AB134"/>
  <c r="AF134"/>
  <c r="AE134"/>
  <c r="AD134"/>
  <c r="AH134"/>
  <c r="R233"/>
  <c r="AF233"/>
  <c r="AE233"/>
  <c r="AG233"/>
  <c r="AD233"/>
  <c r="AC233"/>
  <c r="AH233"/>
  <c r="AB233"/>
  <c r="AA233"/>
  <c r="R406"/>
  <c r="AB406"/>
  <c r="AH406"/>
  <c r="AG406"/>
  <c r="AA406"/>
  <c r="AF406"/>
  <c r="AE406"/>
  <c r="AD406"/>
  <c r="AC406"/>
  <c r="R427"/>
  <c r="AB427"/>
  <c r="AH427"/>
  <c r="AA427"/>
  <c r="AG427"/>
  <c r="AC427"/>
  <c r="AE427"/>
  <c r="AF427"/>
  <c r="AD427"/>
  <c r="R30"/>
  <c r="AE30"/>
  <c r="AD30"/>
  <c r="AG30"/>
  <c r="AF30"/>
  <c r="AC30"/>
  <c r="AH30"/>
  <c r="AB30"/>
  <c r="AA30"/>
  <c r="R181"/>
  <c r="AC181"/>
  <c r="AA181"/>
  <c r="AH181"/>
  <c r="AG181"/>
  <c r="AF181"/>
  <c r="AE181"/>
  <c r="AD181"/>
  <c r="AB181"/>
  <c r="R21"/>
  <c r="R512"/>
  <c r="AF512"/>
  <c r="AC512"/>
  <c r="AB512"/>
  <c r="AE512"/>
  <c r="AD512"/>
  <c r="AA512"/>
  <c r="AG512"/>
  <c r="AH512"/>
  <c r="R242"/>
  <c r="AF242"/>
  <c r="AE242"/>
  <c r="AG242"/>
  <c r="AD242"/>
  <c r="AC242"/>
  <c r="AH242"/>
  <c r="AB242"/>
  <c r="AA242"/>
  <c r="R501"/>
  <c r="AD501"/>
  <c r="AE501"/>
  <c r="AC501"/>
  <c r="AG501"/>
  <c r="AH501"/>
  <c r="AF501"/>
  <c r="AB501"/>
  <c r="AA501"/>
  <c r="R33"/>
  <c r="AE33"/>
  <c r="AD33"/>
  <c r="AA33"/>
  <c r="AH33"/>
  <c r="AG33"/>
  <c r="AF33"/>
  <c r="AC33"/>
  <c r="AB33"/>
  <c r="R40"/>
  <c r="AC40"/>
  <c r="AB40"/>
  <c r="AH40"/>
  <c r="AG40"/>
  <c r="AF40"/>
  <c r="AE40"/>
  <c r="AD40"/>
  <c r="AA40"/>
  <c r="R473"/>
  <c r="AF473"/>
  <c r="AE473"/>
  <c r="AB473"/>
  <c r="AA473"/>
  <c r="AD473"/>
  <c r="AC473"/>
  <c r="AH473"/>
  <c r="AG473"/>
  <c r="R426"/>
  <c r="AD426"/>
  <c r="AC426"/>
  <c r="AA426"/>
  <c r="AH426"/>
  <c r="AG426"/>
  <c r="AF426"/>
  <c r="AE426"/>
  <c r="AB426"/>
  <c r="R394"/>
  <c r="AB394"/>
  <c r="AH394"/>
  <c r="AA394"/>
  <c r="AG394"/>
  <c r="AE394"/>
  <c r="AD394"/>
  <c r="AC394"/>
  <c r="AF394"/>
  <c r="R359"/>
  <c r="AF359"/>
  <c r="AA359"/>
  <c r="AH359"/>
  <c r="AG359"/>
  <c r="AE359"/>
  <c r="AC359"/>
  <c r="AD359"/>
  <c r="AB359"/>
  <c r="R138"/>
  <c r="AE138"/>
  <c r="AG138"/>
  <c r="AF138"/>
  <c r="AH138"/>
  <c r="AD138"/>
  <c r="AC138"/>
  <c r="AB138"/>
  <c r="AA138"/>
  <c r="R361"/>
  <c r="AB361"/>
  <c r="AH361"/>
  <c r="AF361"/>
  <c r="AE361"/>
  <c r="AC361"/>
  <c r="AA361"/>
  <c r="AG361"/>
  <c r="AD361"/>
  <c r="R133"/>
  <c r="AC133"/>
  <c r="AD133"/>
  <c r="AB133"/>
  <c r="AE133"/>
  <c r="AA133"/>
  <c r="AG133"/>
  <c r="AF133"/>
  <c r="AH133"/>
  <c r="R170"/>
  <c r="AA170"/>
  <c r="AG170"/>
  <c r="AC170"/>
  <c r="AB170"/>
  <c r="AH170"/>
  <c r="AF170"/>
  <c r="AE170"/>
  <c r="AD170"/>
  <c r="R219"/>
  <c r="AE219"/>
  <c r="AG219"/>
  <c r="AF219"/>
  <c r="AH219"/>
  <c r="AD219"/>
  <c r="AC219"/>
  <c r="AB219"/>
  <c r="AA219"/>
  <c r="R403"/>
  <c r="AB403"/>
  <c r="AH403"/>
  <c r="AA403"/>
  <c r="AG403"/>
  <c r="AE403"/>
  <c r="AD403"/>
  <c r="AC403"/>
  <c r="AF403"/>
  <c r="R288"/>
  <c r="AD288"/>
  <c r="AG288"/>
  <c r="AF288"/>
  <c r="AE288"/>
  <c r="AB288"/>
  <c r="AA288"/>
  <c r="AH288"/>
  <c r="AC288"/>
  <c r="R125"/>
  <c r="AA125"/>
  <c r="AG125"/>
  <c r="AF125"/>
  <c r="AC125"/>
  <c r="AB125"/>
  <c r="AH125"/>
  <c r="AE125"/>
  <c r="AD125"/>
  <c r="R378"/>
  <c r="AD378"/>
  <c r="AG378"/>
  <c r="AF378"/>
  <c r="AH378"/>
  <c r="AE378"/>
  <c r="AC378"/>
  <c r="AB378"/>
  <c r="AA378"/>
  <c r="R70"/>
  <c r="AC70"/>
  <c r="AB70"/>
  <c r="AH70"/>
  <c r="AA70"/>
  <c r="AG70"/>
  <c r="AF70"/>
  <c r="AE70"/>
  <c r="AD70"/>
  <c r="R184"/>
  <c r="AC184"/>
  <c r="AF184"/>
  <c r="AE184"/>
  <c r="AG184"/>
  <c r="AD184"/>
  <c r="AB184"/>
  <c r="AH184"/>
  <c r="AA184"/>
  <c r="R341"/>
  <c r="AF341"/>
  <c r="AA341"/>
  <c r="AH341"/>
  <c r="AG341"/>
  <c r="AB341"/>
  <c r="AE341"/>
  <c r="AD341"/>
  <c r="AC341"/>
  <c r="R437"/>
  <c r="AF437"/>
  <c r="AE437"/>
  <c r="AC437"/>
  <c r="AB437"/>
  <c r="AA437"/>
  <c r="AH437"/>
  <c r="AG437"/>
  <c r="AD437"/>
  <c r="R176"/>
  <c r="AA176"/>
  <c r="AG176"/>
  <c r="AE176"/>
  <c r="AD176"/>
  <c r="AF176"/>
  <c r="AC176"/>
  <c r="AB176"/>
  <c r="AH176"/>
  <c r="R130"/>
  <c r="AC130"/>
  <c r="AF130"/>
  <c r="AE130"/>
  <c r="AG130"/>
  <c r="AD130"/>
  <c r="AB130"/>
  <c r="AA130"/>
  <c r="AH130"/>
  <c r="R511"/>
  <c r="AB511"/>
  <c r="AH511"/>
  <c r="AD511"/>
  <c r="AA511"/>
  <c r="AC511"/>
  <c r="AF511"/>
  <c r="AE511"/>
  <c r="AG511"/>
  <c r="R508"/>
  <c r="AB508"/>
  <c r="AH508"/>
  <c r="AF508"/>
  <c r="AD508"/>
  <c r="AE508"/>
  <c r="AA508"/>
  <c r="AC508"/>
  <c r="AG508"/>
  <c r="R464"/>
  <c r="AF464"/>
  <c r="AE464"/>
  <c r="AD464"/>
  <c r="AB464"/>
  <c r="AC464"/>
  <c r="AH464"/>
  <c r="AA464"/>
  <c r="AG464"/>
  <c r="R245"/>
  <c r="AF245"/>
  <c r="AE245"/>
  <c r="AA245"/>
  <c r="AH245"/>
  <c r="AG245"/>
  <c r="AC245"/>
  <c r="AB245"/>
  <c r="AD245"/>
  <c r="R285"/>
  <c r="AD285"/>
  <c r="AB285"/>
  <c r="AA285"/>
  <c r="AH285"/>
  <c r="AG285"/>
  <c r="AF285"/>
  <c r="AE285"/>
  <c r="AC285"/>
  <c r="R435"/>
  <c r="AD435"/>
  <c r="AC435"/>
  <c r="AA435"/>
  <c r="AF435"/>
  <c r="AH435"/>
  <c r="AE435"/>
  <c r="AG435"/>
  <c r="AB435"/>
  <c r="R290"/>
  <c r="AF290"/>
  <c r="AE290"/>
  <c r="AD290"/>
  <c r="AC290"/>
  <c r="AA290"/>
  <c r="AH290"/>
  <c r="AG290"/>
  <c r="AB290"/>
  <c r="R62"/>
  <c r="AA62"/>
  <c r="AG62"/>
  <c r="AF62"/>
  <c r="AC62"/>
  <c r="AB62"/>
  <c r="AH62"/>
  <c r="AE62"/>
  <c r="AD62"/>
  <c r="R251"/>
  <c r="AF251"/>
  <c r="AE251"/>
  <c r="AG251"/>
  <c r="AD251"/>
  <c r="AC251"/>
  <c r="AH251"/>
  <c r="AB251"/>
  <c r="AA251"/>
  <c r="R45"/>
  <c r="AE45"/>
  <c r="AD45"/>
  <c r="AC45"/>
  <c r="AB45"/>
  <c r="AA45"/>
  <c r="AH45"/>
  <c r="AG45"/>
  <c r="AF45"/>
  <c r="R375"/>
  <c r="AD375"/>
  <c r="AB375"/>
  <c r="AA375"/>
  <c r="AH375"/>
  <c r="AG375"/>
  <c r="AF375"/>
  <c r="AE375"/>
  <c r="AC375"/>
  <c r="R332"/>
  <c r="AF332"/>
  <c r="AA332"/>
  <c r="AH332"/>
  <c r="AG332"/>
  <c r="AE332"/>
  <c r="AD332"/>
  <c r="AC332"/>
  <c r="AB332"/>
  <c r="R158"/>
  <c r="AA158"/>
  <c r="AG158"/>
  <c r="AE158"/>
  <c r="AD158"/>
  <c r="AH158"/>
  <c r="AF158"/>
  <c r="AB158"/>
  <c r="AC158"/>
  <c r="R73"/>
  <c r="AC73"/>
  <c r="AB73"/>
  <c r="AH73"/>
  <c r="AE73"/>
  <c r="AD73"/>
  <c r="AA73"/>
  <c r="AG73"/>
  <c r="AF73"/>
  <c r="R192"/>
  <c r="AE192"/>
  <c r="AG192"/>
  <c r="AF192"/>
  <c r="AH192"/>
  <c r="AD192"/>
  <c r="AC192"/>
  <c r="AB192"/>
  <c r="AA192"/>
  <c r="R99"/>
  <c r="AE99"/>
  <c r="AD99"/>
  <c r="AC99"/>
  <c r="AB99"/>
  <c r="AA99"/>
  <c r="AH99"/>
  <c r="AG99"/>
  <c r="AF99"/>
  <c r="R102"/>
  <c r="AE102"/>
  <c r="AD102"/>
  <c r="AG102"/>
  <c r="AF102"/>
  <c r="AC102"/>
  <c r="AH102"/>
  <c r="AB102"/>
  <c r="AA102"/>
  <c r="R412"/>
  <c r="AB412"/>
  <c r="AH412"/>
  <c r="AG412"/>
  <c r="AA412"/>
  <c r="AE412"/>
  <c r="AD412"/>
  <c r="AC412"/>
  <c r="AF412"/>
  <c r="R296"/>
  <c r="AF296"/>
  <c r="AA296"/>
  <c r="AH296"/>
  <c r="AG296"/>
  <c r="AE296"/>
  <c r="AD296"/>
  <c r="AC296"/>
  <c r="AB296"/>
  <c r="R203"/>
  <c r="AA203"/>
  <c r="AG203"/>
  <c r="AE203"/>
  <c r="AD203"/>
  <c r="AF203"/>
  <c r="AC203"/>
  <c r="AB203"/>
  <c r="AH203"/>
  <c r="R297"/>
  <c r="AD297"/>
  <c r="AG297"/>
  <c r="AF297"/>
  <c r="AE297"/>
  <c r="AB297"/>
  <c r="AA297"/>
  <c r="AH297"/>
  <c r="AC297"/>
  <c r="R368"/>
  <c r="AF368"/>
  <c r="AA368"/>
  <c r="AH368"/>
  <c r="AG368"/>
  <c r="AB368"/>
  <c r="AE368"/>
  <c r="AD368"/>
  <c r="AC368"/>
  <c r="R252"/>
  <c r="AD252"/>
  <c r="AC252"/>
  <c r="AG252"/>
  <c r="AF252"/>
  <c r="AE252"/>
  <c r="AA252"/>
  <c r="AH252"/>
  <c r="AB252"/>
  <c r="R178"/>
  <c r="AC178"/>
  <c r="AD178"/>
  <c r="AB178"/>
  <c r="AH178"/>
  <c r="AG178"/>
  <c r="AF178"/>
  <c r="AE178"/>
  <c r="AA178"/>
  <c r="R145"/>
  <c r="AC145"/>
  <c r="AA145"/>
  <c r="AH145"/>
  <c r="AG145"/>
  <c r="AE145"/>
  <c r="AD145"/>
  <c r="AB145"/>
  <c r="AF145"/>
  <c r="R202"/>
  <c r="AC202"/>
  <c r="AF202"/>
  <c r="AE202"/>
  <c r="AB202"/>
  <c r="AA202"/>
  <c r="AH202"/>
  <c r="AG202"/>
  <c r="AD202"/>
  <c r="R104"/>
  <c r="AA104"/>
  <c r="AG104"/>
  <c r="AF104"/>
  <c r="AH104"/>
  <c r="AE104"/>
  <c r="AD104"/>
  <c r="AB104"/>
  <c r="AC104"/>
  <c r="R246"/>
  <c r="AD246"/>
  <c r="AC246"/>
  <c r="AA246"/>
  <c r="AH246"/>
  <c r="AG246"/>
  <c r="AF246"/>
  <c r="AE246"/>
  <c r="AB246"/>
  <c r="R494"/>
  <c r="AF494"/>
  <c r="AC494"/>
  <c r="AA494"/>
  <c r="AE494"/>
  <c r="AB494"/>
  <c r="AG494"/>
  <c r="AH494"/>
  <c r="AD494"/>
  <c r="R514"/>
  <c r="AB514"/>
  <c r="AH514"/>
  <c r="AA514"/>
  <c r="AG514"/>
  <c r="AF514"/>
  <c r="AC514"/>
  <c r="AE514"/>
  <c r="AD514"/>
  <c r="R338"/>
  <c r="AF338"/>
  <c r="AC338"/>
  <c r="AB338"/>
  <c r="AD338"/>
  <c r="AA338"/>
  <c r="AH338"/>
  <c r="AG338"/>
  <c r="AE338"/>
  <c r="R293"/>
  <c r="AF293"/>
  <c r="AC293"/>
  <c r="AB293"/>
  <c r="AA293"/>
  <c r="AH293"/>
  <c r="AE293"/>
  <c r="AD293"/>
  <c r="AG293"/>
  <c r="R481"/>
  <c r="AB481"/>
  <c r="AH481"/>
  <c r="AF481"/>
  <c r="AD481"/>
  <c r="AE481"/>
  <c r="AA481"/>
  <c r="AC481"/>
  <c r="AG481"/>
  <c r="R489"/>
  <c r="AD489"/>
  <c r="AG489"/>
  <c r="AF489"/>
  <c r="AE489"/>
  <c r="AB489"/>
  <c r="AC489"/>
  <c r="AA489"/>
  <c r="AH489"/>
  <c r="R83"/>
  <c r="AA83"/>
  <c r="AG83"/>
  <c r="AF83"/>
  <c r="AE83"/>
  <c r="AD83"/>
  <c r="AC83"/>
  <c r="AB83"/>
  <c r="AH83"/>
  <c r="R439"/>
  <c r="AB439"/>
  <c r="AH439"/>
  <c r="AA439"/>
  <c r="AG439"/>
  <c r="AE439"/>
  <c r="AD439"/>
  <c r="AC439"/>
  <c r="AF439"/>
  <c r="R212"/>
  <c r="AA212"/>
  <c r="AG212"/>
  <c r="AE212"/>
  <c r="AD212"/>
  <c r="AH212"/>
  <c r="AF212"/>
  <c r="AB212"/>
  <c r="AC212"/>
  <c r="R143"/>
  <c r="AA143"/>
  <c r="AG143"/>
  <c r="AC143"/>
  <c r="AB143"/>
  <c r="AH143"/>
  <c r="AF143"/>
  <c r="AE143"/>
  <c r="AD143"/>
  <c r="R151"/>
  <c r="AC151"/>
  <c r="AD151"/>
  <c r="AB151"/>
  <c r="AH151"/>
  <c r="AG151"/>
  <c r="AF151"/>
  <c r="AE151"/>
  <c r="AA151"/>
  <c r="R267"/>
  <c r="AD267"/>
  <c r="AC267"/>
  <c r="AE267"/>
  <c r="AB267"/>
  <c r="AA267"/>
  <c r="AG267"/>
  <c r="AF267"/>
  <c r="AH267"/>
  <c r="R442"/>
  <c r="AB442"/>
  <c r="AH442"/>
  <c r="AA442"/>
  <c r="AG442"/>
  <c r="AF442"/>
  <c r="AD442"/>
  <c r="AE442"/>
  <c r="AC442"/>
  <c r="R186"/>
  <c r="AE186"/>
  <c r="AD186"/>
  <c r="AC186"/>
  <c r="AA186"/>
  <c r="AH186"/>
  <c r="AG186"/>
  <c r="AF186"/>
  <c r="AB186"/>
  <c r="R117"/>
  <c r="AE117"/>
  <c r="AD117"/>
  <c r="AC117"/>
  <c r="AB117"/>
  <c r="AA117"/>
  <c r="AH117"/>
  <c r="AG117"/>
  <c r="AF117"/>
  <c r="R256"/>
  <c r="AB256"/>
  <c r="AH256"/>
  <c r="AA256"/>
  <c r="AG256"/>
  <c r="AC256"/>
  <c r="AE256"/>
  <c r="AD256"/>
  <c r="AF256"/>
  <c r="R419"/>
  <c r="AF419"/>
  <c r="AE419"/>
  <c r="AC419"/>
  <c r="AB419"/>
  <c r="AA419"/>
  <c r="AG419"/>
  <c r="AH419"/>
  <c r="AD419"/>
  <c r="R60"/>
  <c r="AE60"/>
  <c r="AD60"/>
  <c r="AA60"/>
  <c r="AH60"/>
  <c r="AG60"/>
  <c r="AF60"/>
  <c r="AC60"/>
  <c r="AB60"/>
  <c r="R495"/>
  <c r="AD495"/>
  <c r="AB495"/>
  <c r="AA495"/>
  <c r="AH495"/>
  <c r="AG495"/>
  <c r="AF495"/>
  <c r="AE495"/>
  <c r="AC495"/>
  <c r="R461"/>
  <c r="AF461"/>
  <c r="AA461"/>
  <c r="AH461"/>
  <c r="AG461"/>
  <c r="AE461"/>
  <c r="AC461"/>
  <c r="AD461"/>
  <c r="AB461"/>
  <c r="R307"/>
  <c r="AB307"/>
  <c r="AH307"/>
  <c r="AF307"/>
  <c r="AE307"/>
  <c r="AD307"/>
  <c r="AG307"/>
  <c r="AC307"/>
  <c r="AA307"/>
  <c r="R188"/>
  <c r="AA188"/>
  <c r="AG188"/>
  <c r="AC188"/>
  <c r="AB188"/>
  <c r="AF188"/>
  <c r="AE188"/>
  <c r="AD188"/>
  <c r="AH188"/>
  <c r="R468"/>
  <c r="AD468"/>
  <c r="AB468"/>
  <c r="AA468"/>
  <c r="AH468"/>
  <c r="AG468"/>
  <c r="AF468"/>
  <c r="AE468"/>
  <c r="AC468"/>
  <c r="R166"/>
  <c r="AC166"/>
  <c r="AF166"/>
  <c r="AE166"/>
  <c r="AH166"/>
  <c r="AG166"/>
  <c r="AB166"/>
  <c r="AA166"/>
  <c r="AD166"/>
  <c r="R371"/>
  <c r="AF371"/>
  <c r="AE371"/>
  <c r="AD371"/>
  <c r="AG371"/>
  <c r="AH371"/>
  <c r="AC371"/>
  <c r="AB371"/>
  <c r="AA371"/>
  <c r="R84"/>
  <c r="AE84"/>
  <c r="AD84"/>
  <c r="AG84"/>
  <c r="AF84"/>
  <c r="AC84"/>
  <c r="AH84"/>
  <c r="AB84"/>
  <c r="AA84"/>
  <c r="R422"/>
  <c r="AF422"/>
  <c r="AE422"/>
  <c r="AG422"/>
  <c r="AD422"/>
  <c r="AC422"/>
  <c r="AB422"/>
  <c r="AA422"/>
  <c r="AH422"/>
  <c r="R243"/>
  <c r="AD243"/>
  <c r="AC243"/>
  <c r="AG243"/>
  <c r="AF243"/>
  <c r="AE243"/>
  <c r="AA243"/>
  <c r="AH243"/>
  <c r="AB243"/>
  <c r="R278"/>
  <c r="AF278"/>
  <c r="AA278"/>
  <c r="AH278"/>
  <c r="AG278"/>
  <c r="AE278"/>
  <c r="AD278"/>
  <c r="AC278"/>
  <c r="AB278"/>
  <c r="R321"/>
  <c r="AD321"/>
  <c r="AB321"/>
  <c r="AA321"/>
  <c r="AH321"/>
  <c r="AG321"/>
  <c r="AF321"/>
  <c r="AE321"/>
  <c r="AC321"/>
  <c r="R498"/>
  <c r="AD498"/>
  <c r="AG498"/>
  <c r="AF498"/>
  <c r="AE498"/>
  <c r="AB498"/>
  <c r="AC498"/>
  <c r="AA498"/>
  <c r="AH498"/>
  <c r="R169"/>
  <c r="AC169"/>
  <c r="AD169"/>
  <c r="AB169"/>
  <c r="AG169"/>
  <c r="AF169"/>
  <c r="AE169"/>
  <c r="AH169"/>
  <c r="AA169"/>
  <c r="R304"/>
  <c r="AB304"/>
  <c r="AH304"/>
  <c r="AA304"/>
  <c r="AG304"/>
  <c r="AF304"/>
  <c r="AD304"/>
  <c r="AC304"/>
  <c r="AE304"/>
  <c r="R98"/>
  <c r="AA98"/>
  <c r="AG98"/>
  <c r="AF98"/>
  <c r="AC98"/>
  <c r="AB98"/>
  <c r="AH98"/>
  <c r="AE98"/>
  <c r="AD98"/>
  <c r="R190"/>
  <c r="AC190"/>
  <c r="AA190"/>
  <c r="AH190"/>
  <c r="AG190"/>
  <c r="AB190"/>
  <c r="AE190"/>
  <c r="AD190"/>
  <c r="AF190"/>
  <c r="R271"/>
  <c r="AB271"/>
  <c r="AH271"/>
  <c r="AF271"/>
  <c r="AE271"/>
  <c r="AD271"/>
  <c r="AG271"/>
  <c r="AC271"/>
  <c r="AA271"/>
  <c r="R369"/>
  <c r="AD369"/>
  <c r="AG369"/>
  <c r="AF369"/>
  <c r="AC369"/>
  <c r="AB369"/>
  <c r="AA369"/>
  <c r="AH369"/>
  <c r="AE369"/>
  <c r="R509"/>
  <c r="AF509"/>
  <c r="AE509"/>
  <c r="AD509"/>
  <c r="AA509"/>
  <c r="AG509"/>
  <c r="AB509"/>
  <c r="AC509"/>
  <c r="AH509"/>
  <c r="R174"/>
  <c r="AE174"/>
  <c r="AG174"/>
  <c r="AF174"/>
  <c r="AA174"/>
  <c r="AH174"/>
  <c r="AC174"/>
  <c r="AB174"/>
  <c r="AD174"/>
  <c r="R272"/>
  <c r="AF272"/>
  <c r="AE272"/>
  <c r="AD272"/>
  <c r="AC272"/>
  <c r="AA272"/>
  <c r="AH272"/>
  <c r="AG272"/>
  <c r="AB272"/>
  <c r="R364"/>
  <c r="AB364"/>
  <c r="AH364"/>
  <c r="AD364"/>
  <c r="AC364"/>
  <c r="AG364"/>
  <c r="AF364"/>
  <c r="AE364"/>
  <c r="AA364"/>
  <c r="R281"/>
  <c r="AF281"/>
  <c r="AE281"/>
  <c r="AD281"/>
  <c r="AC281"/>
  <c r="AA281"/>
  <c r="AH281"/>
  <c r="AG281"/>
  <c r="AB281"/>
  <c r="R187"/>
  <c r="AC187"/>
  <c r="AD187"/>
  <c r="AB187"/>
  <c r="AE187"/>
  <c r="AA187"/>
  <c r="AG187"/>
  <c r="AF187"/>
  <c r="AH187"/>
  <c r="R93"/>
  <c r="AE93"/>
  <c r="AD93"/>
  <c r="AG93"/>
  <c r="AF93"/>
  <c r="AC93"/>
  <c r="AH93"/>
  <c r="AB93"/>
  <c r="AA93"/>
  <c r="R275"/>
  <c r="AF275"/>
  <c r="AC275"/>
  <c r="AB275"/>
  <c r="AA275"/>
  <c r="AH275"/>
  <c r="AE275"/>
  <c r="AD275"/>
  <c r="AG275"/>
  <c r="R469"/>
  <c r="AB469"/>
  <c r="AH469"/>
  <c r="AA469"/>
  <c r="AF469"/>
  <c r="AE469"/>
  <c r="AD469"/>
  <c r="AG469"/>
  <c r="AC469"/>
  <c r="R446"/>
  <c r="AF446"/>
  <c r="AE446"/>
  <c r="AC446"/>
  <c r="AB446"/>
  <c r="AH446"/>
  <c r="AA446"/>
  <c r="AG446"/>
  <c r="AD446"/>
  <c r="R516"/>
  <c r="AD516"/>
  <c r="AG516"/>
  <c r="AB516"/>
  <c r="AF516"/>
  <c r="AC516"/>
  <c r="AE516"/>
  <c r="AH516"/>
  <c r="AA516"/>
  <c r="R474"/>
  <c r="AD474"/>
  <c r="AE474"/>
  <c r="AC474"/>
  <c r="AA474"/>
  <c r="AB474"/>
  <c r="AH474"/>
  <c r="AG474"/>
  <c r="AF474"/>
  <c r="R270"/>
  <c r="AD270"/>
  <c r="AC270"/>
  <c r="AG270"/>
  <c r="AF270"/>
  <c r="AE270"/>
  <c r="AA270"/>
  <c r="AH270"/>
  <c r="AB270"/>
  <c r="R247"/>
  <c r="AB247"/>
  <c r="AH247"/>
  <c r="AA247"/>
  <c r="AG247"/>
  <c r="AC247"/>
  <c r="AE247"/>
  <c r="AD247"/>
  <c r="AF247"/>
  <c r="R110"/>
  <c r="AA110"/>
  <c r="AG110"/>
  <c r="AF110"/>
  <c r="AE110"/>
  <c r="AD110"/>
  <c r="AC110"/>
  <c r="AB110"/>
  <c r="AH110"/>
  <c r="R449"/>
  <c r="AF449"/>
  <c r="AE449"/>
  <c r="AG449"/>
  <c r="AD449"/>
  <c r="AB449"/>
  <c r="AA449"/>
  <c r="AC449"/>
  <c r="AH449"/>
  <c r="R460"/>
  <c r="AB460"/>
  <c r="AH460"/>
  <c r="AA460"/>
  <c r="AG460"/>
  <c r="AE460"/>
  <c r="AF460"/>
  <c r="AD460"/>
  <c r="AC460"/>
  <c r="R330"/>
  <c r="AD330"/>
  <c r="AB330"/>
  <c r="AA330"/>
  <c r="AH330"/>
  <c r="AG330"/>
  <c r="AE330"/>
  <c r="AF330"/>
  <c r="AC330"/>
  <c r="R428"/>
  <c r="AF428"/>
  <c r="AE428"/>
  <c r="AC428"/>
  <c r="AB428"/>
  <c r="AH428"/>
  <c r="AA428"/>
  <c r="AG428"/>
  <c r="AD428"/>
  <c r="R472"/>
  <c r="AB472"/>
  <c r="AH472"/>
  <c r="AF472"/>
  <c r="AE472"/>
  <c r="AD472"/>
  <c r="AC472"/>
  <c r="AA472"/>
  <c r="AG472"/>
  <c r="R395"/>
  <c r="AF395"/>
  <c r="AE395"/>
  <c r="AG395"/>
  <c r="AD395"/>
  <c r="AB395"/>
  <c r="AC395"/>
  <c r="AA395"/>
  <c r="AH395"/>
  <c r="R289"/>
  <c r="AB289"/>
  <c r="AH289"/>
  <c r="AF289"/>
  <c r="AE289"/>
  <c r="AD289"/>
  <c r="AG289"/>
  <c r="AC289"/>
  <c r="AA289"/>
  <c r="R423"/>
  <c r="AD423"/>
  <c r="AC423"/>
  <c r="AG423"/>
  <c r="AF423"/>
  <c r="AA423"/>
  <c r="AB423"/>
  <c r="AE423"/>
  <c r="AH423"/>
  <c r="R400"/>
  <c r="AB400"/>
  <c r="AH400"/>
  <c r="AA400"/>
  <c r="AG400"/>
  <c r="AC400"/>
  <c r="AF400"/>
  <c r="AE400"/>
  <c r="AD400"/>
  <c r="R167"/>
  <c r="AA167"/>
  <c r="AG167"/>
  <c r="AE167"/>
  <c r="AD167"/>
  <c r="AB167"/>
  <c r="AH167"/>
  <c r="AF167"/>
  <c r="AC167"/>
  <c r="R65"/>
  <c r="AA65"/>
  <c r="AG65"/>
  <c r="AF65"/>
  <c r="AE65"/>
  <c r="AD65"/>
  <c r="AC65"/>
  <c r="AB65"/>
  <c r="AH65"/>
  <c r="R54"/>
  <c r="AE54"/>
  <c r="AD54"/>
  <c r="AC54"/>
  <c r="AB54"/>
  <c r="AA54"/>
  <c r="AH54"/>
  <c r="AG54"/>
  <c r="AF54"/>
  <c r="R392"/>
  <c r="AF392"/>
  <c r="AE392"/>
  <c r="AC392"/>
  <c r="AB392"/>
  <c r="AA392"/>
  <c r="AH392"/>
  <c r="AG392"/>
  <c r="AD392"/>
  <c r="R225"/>
  <c r="AD225"/>
  <c r="AC225"/>
  <c r="AG225"/>
  <c r="AF225"/>
  <c r="AE225"/>
  <c r="AA225"/>
  <c r="AH225"/>
  <c r="AB225"/>
  <c r="R106"/>
  <c r="AC106"/>
  <c r="AB106"/>
  <c r="AH106"/>
  <c r="AA106"/>
  <c r="AG106"/>
  <c r="AF106"/>
  <c r="AD106"/>
  <c r="AE106"/>
  <c r="R365"/>
  <c r="AF365"/>
  <c r="AC365"/>
  <c r="AB365"/>
  <c r="AD365"/>
  <c r="AA365"/>
  <c r="AH365"/>
  <c r="AG365"/>
  <c r="AE365"/>
  <c r="R515"/>
  <c r="AF515"/>
  <c r="AA515"/>
  <c r="AH515"/>
  <c r="AG515"/>
  <c r="AE515"/>
  <c r="AD515"/>
  <c r="AB515"/>
  <c r="AC515"/>
  <c r="R108"/>
  <c r="AE108"/>
  <c r="AD108"/>
  <c r="AC108"/>
  <c r="AB108"/>
  <c r="AA108"/>
  <c r="AH108"/>
  <c r="AF108"/>
  <c r="AG108"/>
  <c r="R144"/>
  <c r="AE144"/>
  <c r="AB144"/>
  <c r="AA144"/>
  <c r="AH144"/>
  <c r="AC144"/>
  <c r="AF144"/>
  <c r="AD144"/>
  <c r="AG144"/>
  <c r="R253"/>
  <c r="AB253"/>
  <c r="AH253"/>
  <c r="AA253"/>
  <c r="AG253"/>
  <c r="AF253"/>
  <c r="AE253"/>
  <c r="AD253"/>
  <c r="AC253"/>
  <c r="R410"/>
  <c r="AF410"/>
  <c r="AE410"/>
  <c r="AC410"/>
  <c r="AB410"/>
  <c r="AA410"/>
  <c r="AH410"/>
  <c r="AG410"/>
  <c r="AD410"/>
  <c r="R231"/>
  <c r="AD231"/>
  <c r="AC231"/>
  <c r="AE231"/>
  <c r="AB231"/>
  <c r="AA231"/>
  <c r="AG231"/>
  <c r="AF231"/>
  <c r="AH231"/>
  <c r="R268"/>
  <c r="AB268"/>
  <c r="AH268"/>
  <c r="AA268"/>
  <c r="AG268"/>
  <c r="AE268"/>
  <c r="AD268"/>
  <c r="AC268"/>
  <c r="AF268"/>
  <c r="R89"/>
  <c r="AA89"/>
  <c r="AG89"/>
  <c r="AF89"/>
  <c r="AC89"/>
  <c r="AB89"/>
  <c r="AH89"/>
  <c r="AE89"/>
  <c r="AD89"/>
  <c r="R414"/>
  <c r="AD414"/>
  <c r="AC414"/>
  <c r="AG414"/>
  <c r="AF414"/>
  <c r="AE414"/>
  <c r="AB414"/>
  <c r="AA414"/>
  <c r="AH414"/>
  <c r="R280"/>
  <c r="AB280"/>
  <c r="AH280"/>
  <c r="AF280"/>
  <c r="AE280"/>
  <c r="AD280"/>
  <c r="AG280"/>
  <c r="AC280"/>
  <c r="AA280"/>
  <c r="R306"/>
  <c r="AD306"/>
  <c r="AG306"/>
  <c r="AF306"/>
  <c r="AE306"/>
  <c r="AB306"/>
  <c r="AA306"/>
  <c r="AH306"/>
  <c r="AC306"/>
  <c r="R26"/>
  <c r="R355"/>
  <c r="AB355"/>
  <c r="AH355"/>
  <c r="AD355"/>
  <c r="AC355"/>
  <c r="AG355"/>
  <c r="AE355"/>
  <c r="AF355"/>
  <c r="AA355"/>
  <c r="R85"/>
  <c r="AC85"/>
  <c r="AB85"/>
  <c r="AH85"/>
  <c r="AG85"/>
  <c r="AF85"/>
  <c r="AE85"/>
  <c r="AD85"/>
  <c r="AA85"/>
  <c r="R254"/>
  <c r="AF254"/>
  <c r="AE254"/>
  <c r="AA254"/>
  <c r="AH254"/>
  <c r="AG254"/>
  <c r="AC254"/>
  <c r="AB254"/>
  <c r="AD254"/>
  <c r="R405"/>
  <c r="AD405"/>
  <c r="AC405"/>
  <c r="AG405"/>
  <c r="AB405"/>
  <c r="AF405"/>
  <c r="AE405"/>
  <c r="AA405"/>
  <c r="AH405"/>
  <c r="R81"/>
  <c r="AE81"/>
  <c r="AD81"/>
  <c r="AC81"/>
  <c r="AB81"/>
  <c r="AA81"/>
  <c r="AH81"/>
  <c r="AG81"/>
  <c r="AF81"/>
  <c r="R436"/>
  <c r="AB436"/>
  <c r="AH436"/>
  <c r="AG436"/>
  <c r="AA436"/>
  <c r="AC436"/>
  <c r="AE436"/>
  <c r="AF436"/>
  <c r="AD436"/>
  <c r="R292"/>
  <c r="AB292"/>
  <c r="AH292"/>
  <c r="AD292"/>
  <c r="AC292"/>
  <c r="AA292"/>
  <c r="AG292"/>
  <c r="AF292"/>
  <c r="AE292"/>
  <c r="R95"/>
  <c r="AA95"/>
  <c r="AG95"/>
  <c r="AF95"/>
  <c r="AH95"/>
  <c r="AE95"/>
  <c r="AD95"/>
  <c r="AC95"/>
  <c r="AB95"/>
  <c r="R455"/>
  <c r="AF455"/>
  <c r="AE455"/>
  <c r="AC455"/>
  <c r="AB455"/>
  <c r="AH455"/>
  <c r="AA455"/>
  <c r="AG455"/>
  <c r="AD455"/>
  <c r="R150"/>
  <c r="AE150"/>
  <c r="AD150"/>
  <c r="AC150"/>
  <c r="AH150"/>
  <c r="AG150"/>
  <c r="AF150"/>
  <c r="AA150"/>
  <c r="AB150"/>
  <c r="R168"/>
  <c r="AE168"/>
  <c r="AD168"/>
  <c r="AC168"/>
  <c r="AF168"/>
  <c r="AB168"/>
  <c r="AA168"/>
  <c r="AH168"/>
  <c r="AG168"/>
  <c r="R265"/>
  <c r="AB265"/>
  <c r="AH265"/>
  <c r="AA265"/>
  <c r="AG265"/>
  <c r="AC265"/>
  <c r="AE265"/>
  <c r="AD265"/>
  <c r="AF265"/>
  <c r="R482"/>
  <c r="AF482"/>
  <c r="AE482"/>
  <c r="AD482"/>
  <c r="AB482"/>
  <c r="AH482"/>
  <c r="AC482"/>
  <c r="AA482"/>
  <c r="AG482"/>
  <c r="R146"/>
  <c r="AA146"/>
  <c r="AG146"/>
  <c r="AH146"/>
  <c r="AF146"/>
  <c r="AE146"/>
  <c r="AD146"/>
  <c r="AC146"/>
  <c r="AB146"/>
  <c r="R303"/>
  <c r="AD303"/>
  <c r="AB303"/>
  <c r="AA303"/>
  <c r="AH303"/>
  <c r="AG303"/>
  <c r="AF303"/>
  <c r="AE303"/>
  <c r="AC303"/>
  <c r="R177"/>
  <c r="AE177"/>
  <c r="AD177"/>
  <c r="AC177"/>
  <c r="AH177"/>
  <c r="AG177"/>
  <c r="AF177"/>
  <c r="AA177"/>
  <c r="AB177"/>
  <c r="R320"/>
  <c r="AF320"/>
  <c r="AC320"/>
  <c r="AB320"/>
  <c r="AA320"/>
  <c r="AH320"/>
  <c r="AE320"/>
  <c r="AD320"/>
  <c r="AG320"/>
  <c r="R86"/>
  <c r="AA86"/>
  <c r="AG86"/>
  <c r="AF86"/>
  <c r="AH86"/>
  <c r="AE86"/>
  <c r="AD86"/>
  <c r="AC86"/>
  <c r="AB86"/>
  <c r="R357"/>
  <c r="AD357"/>
  <c r="AB357"/>
  <c r="AA357"/>
  <c r="AH357"/>
  <c r="AC357"/>
  <c r="AG357"/>
  <c r="AF357"/>
  <c r="AE357"/>
  <c r="R105"/>
  <c r="AE105"/>
  <c r="AD105"/>
  <c r="AA105"/>
  <c r="AH105"/>
  <c r="AG105"/>
  <c r="AF105"/>
  <c r="AC105"/>
  <c r="AB105"/>
  <c r="R232"/>
  <c r="AB232"/>
  <c r="AH232"/>
  <c r="AA232"/>
  <c r="AG232"/>
  <c r="AE232"/>
  <c r="AD232"/>
  <c r="AC232"/>
  <c r="AF232"/>
  <c r="R179"/>
  <c r="AA179"/>
  <c r="AG179"/>
  <c r="AC179"/>
  <c r="AB179"/>
  <c r="AD179"/>
  <c r="AF179"/>
  <c r="AE179"/>
  <c r="AH179"/>
  <c r="R112"/>
  <c r="AC112"/>
  <c r="AB112"/>
  <c r="AH112"/>
  <c r="AG112"/>
  <c r="AF112"/>
  <c r="AE112"/>
  <c r="AD112"/>
  <c r="AA112"/>
  <c r="R41"/>
  <c r="AA41"/>
  <c r="AG41"/>
  <c r="AF41"/>
  <c r="AH41"/>
  <c r="AE41"/>
  <c r="AD41"/>
  <c r="AC41"/>
  <c r="AB41"/>
  <c r="R503"/>
  <c r="AF503"/>
  <c r="AC503"/>
  <c r="AB503"/>
  <c r="AH503"/>
  <c r="AA503"/>
  <c r="AG503"/>
  <c r="AE503"/>
  <c r="AD503"/>
  <c r="R282"/>
  <c r="AD282"/>
  <c r="AE282"/>
  <c r="AC282"/>
  <c r="AB282"/>
  <c r="AG282"/>
  <c r="AF282"/>
  <c r="AA282"/>
  <c r="AH282"/>
  <c r="R386"/>
  <c r="AF386"/>
  <c r="AE386"/>
  <c r="AG386"/>
  <c r="AC386"/>
  <c r="AD386"/>
  <c r="AB386"/>
  <c r="AA386"/>
  <c r="AH386"/>
  <c r="R499"/>
  <c r="AB499"/>
  <c r="AH499"/>
  <c r="AF499"/>
  <c r="AD499"/>
  <c r="AC499"/>
  <c r="AG499"/>
  <c r="AE499"/>
  <c r="AA499"/>
  <c r="AC205"/>
  <c r="AD205"/>
  <c r="AB205"/>
  <c r="AH205"/>
  <c r="AG205"/>
  <c r="AF205"/>
  <c r="AE205"/>
  <c r="AA205"/>
  <c r="R476"/>
  <c r="AF476"/>
  <c r="AC476"/>
  <c r="AH476"/>
  <c r="AE476"/>
  <c r="AB476"/>
  <c r="AA476"/>
  <c r="AG476"/>
  <c r="AD476"/>
  <c r="R248"/>
  <c r="AF248"/>
  <c r="AE248"/>
  <c r="AC248"/>
  <c r="AB248"/>
  <c r="AA248"/>
  <c r="AH248"/>
  <c r="AG248"/>
  <c r="AD248"/>
  <c r="R507"/>
  <c r="AD507"/>
  <c r="AG507"/>
  <c r="AF507"/>
  <c r="AC507"/>
  <c r="AE507"/>
  <c r="AH507"/>
  <c r="AB507"/>
  <c r="AA507"/>
  <c r="R291"/>
  <c r="AD291"/>
  <c r="AE291"/>
  <c r="AC291"/>
  <c r="AB291"/>
  <c r="AG291"/>
  <c r="AF291"/>
  <c r="AA291"/>
  <c r="AH291"/>
  <c r="R75"/>
  <c r="AE75"/>
  <c r="AD75"/>
  <c r="AG75"/>
  <c r="AF75"/>
  <c r="AC75"/>
  <c r="AH75"/>
  <c r="AB75"/>
  <c r="AA75"/>
  <c r="R463"/>
  <c r="AB463"/>
  <c r="AH463"/>
  <c r="AF463"/>
  <c r="AE463"/>
  <c r="AD463"/>
  <c r="AC463"/>
  <c r="AA463"/>
  <c r="AG463"/>
  <c r="R502"/>
  <c r="AB502"/>
  <c r="AH502"/>
  <c r="AD502"/>
  <c r="AA502"/>
  <c r="AG502"/>
  <c r="AE502"/>
  <c r="AC502"/>
  <c r="AF502"/>
  <c r="AE36"/>
  <c r="AD36"/>
  <c r="AC36"/>
  <c r="AB36"/>
  <c r="AA36"/>
  <c r="AH36"/>
  <c r="AG36"/>
  <c r="AF36"/>
  <c r="R32"/>
  <c r="AA32"/>
  <c r="AG32"/>
  <c r="AF32"/>
  <c r="AH32"/>
  <c r="AE32"/>
  <c r="AD32"/>
  <c r="AC32"/>
  <c r="AB32"/>
  <c r="R388"/>
  <c r="AB388"/>
  <c r="AH388"/>
  <c r="AA388"/>
  <c r="AG388"/>
  <c r="AD388"/>
  <c r="AC388"/>
  <c r="AF388"/>
  <c r="AE388"/>
  <c r="R173"/>
  <c r="AA173"/>
  <c r="AG173"/>
  <c r="AH173"/>
  <c r="AF173"/>
  <c r="AE173"/>
  <c r="AD173"/>
  <c r="AC173"/>
  <c r="AB173"/>
  <c r="R500"/>
  <c r="AF500"/>
  <c r="AE500"/>
  <c r="AD500"/>
  <c r="AC500"/>
  <c r="AH500"/>
  <c r="AB500"/>
  <c r="AA500"/>
  <c r="AG500"/>
  <c r="R396"/>
  <c r="AD396"/>
  <c r="AC396"/>
  <c r="AG396"/>
  <c r="AF396"/>
  <c r="AB396"/>
  <c r="AE396"/>
  <c r="AA396"/>
  <c r="AH396"/>
  <c r="R64"/>
  <c r="AC64"/>
  <c r="AB64"/>
  <c r="AH64"/>
  <c r="AE64"/>
  <c r="AD64"/>
  <c r="AA64"/>
  <c r="AG64"/>
  <c r="AF64"/>
  <c r="R325"/>
  <c r="AB325"/>
  <c r="AH325"/>
  <c r="AF325"/>
  <c r="AE325"/>
  <c r="AD325"/>
  <c r="AG325"/>
  <c r="AA325"/>
  <c r="AC325"/>
  <c r="R261"/>
  <c r="AD261"/>
  <c r="AC261"/>
  <c r="AG261"/>
  <c r="AF261"/>
  <c r="AE261"/>
  <c r="AA261"/>
  <c r="AH261"/>
  <c r="AB261"/>
  <c r="AC76"/>
  <c r="AB76"/>
  <c r="AH76"/>
  <c r="AG76"/>
  <c r="AF76"/>
  <c r="AE76"/>
  <c r="AD76"/>
  <c r="AA76"/>
  <c r="R258"/>
  <c r="AD258"/>
  <c r="AC258"/>
  <c r="AE258"/>
  <c r="AB258"/>
  <c r="AA258"/>
  <c r="AG258"/>
  <c r="AF258"/>
  <c r="AH258"/>
  <c r="R109"/>
  <c r="AC109"/>
  <c r="AB109"/>
  <c r="AH109"/>
  <c r="AE109"/>
  <c r="AD109"/>
  <c r="AA109"/>
  <c r="AG109"/>
  <c r="AF109"/>
  <c r="R159"/>
  <c r="AE159"/>
  <c r="AD159"/>
  <c r="AC159"/>
  <c r="AA159"/>
  <c r="AH159"/>
  <c r="AG159"/>
  <c r="AF159"/>
  <c r="AB159"/>
  <c r="R353"/>
  <c r="AF353"/>
  <c r="AE353"/>
  <c r="AD353"/>
  <c r="AB353"/>
  <c r="AA353"/>
  <c r="AH353"/>
  <c r="AG353"/>
  <c r="AC353"/>
  <c r="R191"/>
  <c r="AA191"/>
  <c r="AG191"/>
  <c r="AH191"/>
  <c r="AF191"/>
  <c r="AD191"/>
  <c r="AC191"/>
  <c r="AB191"/>
  <c r="AE191"/>
  <c r="R337"/>
  <c r="AB337"/>
  <c r="AH337"/>
  <c r="AD337"/>
  <c r="AC337"/>
  <c r="AG337"/>
  <c r="AF337"/>
  <c r="AE337"/>
  <c r="AA337"/>
  <c r="R224"/>
  <c r="AF224"/>
  <c r="AE224"/>
  <c r="AG224"/>
  <c r="AD224"/>
  <c r="AC224"/>
  <c r="AH224"/>
  <c r="AB224"/>
  <c r="AA224"/>
  <c r="AE57"/>
  <c r="AD57"/>
  <c r="AG57"/>
  <c r="AF57"/>
  <c r="AC57"/>
  <c r="AH57"/>
  <c r="AB57"/>
  <c r="AA57"/>
  <c r="AD492"/>
  <c r="AE492"/>
  <c r="AC492"/>
  <c r="AB492"/>
  <c r="AA492"/>
  <c r="AH492"/>
  <c r="AG492"/>
  <c r="AF492"/>
  <c r="AF467"/>
  <c r="AC467"/>
  <c r="AB467"/>
  <c r="AA467"/>
  <c r="AH467"/>
  <c r="AG467"/>
  <c r="AE467"/>
  <c r="AD467"/>
  <c r="AC103"/>
  <c r="AB103"/>
  <c r="AH103"/>
  <c r="AG103"/>
  <c r="AF103"/>
  <c r="AE103"/>
  <c r="AD103"/>
  <c r="AA103"/>
  <c r="R322"/>
  <c r="AB322"/>
  <c r="AH322"/>
  <c r="AA322"/>
  <c r="AG322"/>
  <c r="AF322"/>
  <c r="AD322"/>
  <c r="AC322"/>
  <c r="AE322"/>
  <c r="R226"/>
  <c r="AB226"/>
  <c r="AH226"/>
  <c r="AA226"/>
  <c r="AG226"/>
  <c r="AF226"/>
  <c r="AE226"/>
  <c r="AD226"/>
  <c r="AC226"/>
  <c r="AB475"/>
  <c r="AH475"/>
  <c r="AD475"/>
  <c r="AC475"/>
  <c r="AA475"/>
  <c r="AG475"/>
  <c r="AF475"/>
  <c r="AE475"/>
  <c r="R38"/>
  <c r="AA38"/>
  <c r="AG38"/>
  <c r="AF38"/>
  <c r="AE38"/>
  <c r="AD38"/>
  <c r="AC38"/>
  <c r="AB38"/>
  <c r="AH38"/>
  <c r="R88"/>
  <c r="AC88"/>
  <c r="AB88"/>
  <c r="AH88"/>
  <c r="AA88"/>
  <c r="AG88"/>
  <c r="AF88"/>
  <c r="AE88"/>
  <c r="AD88"/>
  <c r="R390"/>
  <c r="AD390"/>
  <c r="AC390"/>
  <c r="AA390"/>
  <c r="AH390"/>
  <c r="AG390"/>
  <c r="AF390"/>
  <c r="AE390"/>
  <c r="AB390"/>
  <c r="R317"/>
  <c r="AF317"/>
  <c r="AE317"/>
  <c r="AD317"/>
  <c r="AC317"/>
  <c r="AA317"/>
  <c r="AH317"/>
  <c r="AG317"/>
  <c r="AB317"/>
  <c r="AE216"/>
  <c r="AB216"/>
  <c r="AA216"/>
  <c r="AH216"/>
  <c r="AG216"/>
  <c r="AF216"/>
  <c r="AD216"/>
  <c r="AC216"/>
  <c r="AF506"/>
  <c r="AA506"/>
  <c r="AH506"/>
  <c r="AG506"/>
  <c r="AE506"/>
  <c r="AB506"/>
  <c r="AD506"/>
  <c r="AC506"/>
  <c r="AD333"/>
  <c r="AG333"/>
  <c r="AF333"/>
  <c r="AA333"/>
  <c r="AE333"/>
  <c r="AH333"/>
  <c r="AC333"/>
  <c r="AB333"/>
  <c r="R250"/>
  <c r="AB250"/>
  <c r="AH250"/>
  <c r="AA250"/>
  <c r="AG250"/>
  <c r="AE250"/>
  <c r="AD250"/>
  <c r="AC250"/>
  <c r="AF250"/>
  <c r="R53"/>
  <c r="AA53"/>
  <c r="AG53"/>
  <c r="AF53"/>
  <c r="AC53"/>
  <c r="AB53"/>
  <c r="AH53"/>
  <c r="AE53"/>
  <c r="AD53"/>
  <c r="R311"/>
  <c r="AF311"/>
  <c r="AC311"/>
  <c r="AB311"/>
  <c r="AA311"/>
  <c r="AH311"/>
  <c r="AE311"/>
  <c r="AD311"/>
  <c r="AG311"/>
  <c r="R136"/>
  <c r="AC136"/>
  <c r="AA136"/>
  <c r="AH136"/>
  <c r="AG136"/>
  <c r="AB136"/>
  <c r="AE136"/>
  <c r="AD136"/>
  <c r="AF136"/>
  <c r="R198"/>
  <c r="AE198"/>
  <c r="AB198"/>
  <c r="AA198"/>
  <c r="AH198"/>
  <c r="AC198"/>
  <c r="AF198"/>
  <c r="AD198"/>
  <c r="AG198"/>
  <c r="AD228"/>
  <c r="AC228"/>
  <c r="AA228"/>
  <c r="AH228"/>
  <c r="AG228"/>
  <c r="AE228"/>
  <c r="AF228"/>
  <c r="AB228"/>
  <c r="R301"/>
  <c r="AB301"/>
  <c r="AH301"/>
  <c r="AD301"/>
  <c r="AC301"/>
  <c r="AA301"/>
  <c r="AG301"/>
  <c r="AF301"/>
  <c r="AE301"/>
  <c r="R458"/>
  <c r="AF458"/>
  <c r="AC458"/>
  <c r="AB458"/>
  <c r="AE458"/>
  <c r="AH458"/>
  <c r="AA458"/>
  <c r="AG458"/>
  <c r="AD458"/>
  <c r="R116"/>
  <c r="AA116"/>
  <c r="AG116"/>
  <c r="AF116"/>
  <c r="AC116"/>
  <c r="AB116"/>
  <c r="AH116"/>
  <c r="AE116"/>
  <c r="AD116"/>
  <c r="AD279"/>
  <c r="AG279"/>
  <c r="AF279"/>
  <c r="AE279"/>
  <c r="AB279"/>
  <c r="AA279"/>
  <c r="AH279"/>
  <c r="AC279"/>
  <c r="AD372"/>
  <c r="AE372"/>
  <c r="AC372"/>
  <c r="AA372"/>
  <c r="AG372"/>
  <c r="AH372"/>
  <c r="AF372"/>
  <c r="AB372"/>
  <c r="R215"/>
  <c r="AA215"/>
  <c r="AG215"/>
  <c r="AC215"/>
  <c r="AB215"/>
  <c r="AF215"/>
  <c r="AE215"/>
  <c r="AD215"/>
  <c r="AH215"/>
  <c r="AD510"/>
  <c r="AE510"/>
  <c r="AC510"/>
  <c r="AH510"/>
  <c r="AB510"/>
  <c r="AA510"/>
  <c r="AG510"/>
  <c r="AF510"/>
  <c r="R382"/>
  <c r="AB382"/>
  <c r="AH382"/>
  <c r="AD382"/>
  <c r="AC382"/>
  <c r="AG382"/>
  <c r="AA382"/>
  <c r="AF382"/>
  <c r="AE382"/>
  <c r="R101"/>
  <c r="AA101"/>
  <c r="AG101"/>
  <c r="AF101"/>
  <c r="AE101"/>
  <c r="AD101"/>
  <c r="AC101"/>
  <c r="AB101"/>
  <c r="AH101"/>
  <c r="R445"/>
  <c r="AB445"/>
  <c r="AH445"/>
  <c r="AA445"/>
  <c r="AG445"/>
  <c r="AC445"/>
  <c r="AF445"/>
  <c r="AE445"/>
  <c r="AD445"/>
  <c r="AC127"/>
  <c r="AB127"/>
  <c r="AH127"/>
  <c r="AE127"/>
  <c r="AD127"/>
  <c r="AF127"/>
  <c r="AA127"/>
  <c r="AG127"/>
  <c r="AF302"/>
  <c r="AC302"/>
  <c r="AB302"/>
  <c r="AA302"/>
  <c r="AH302"/>
  <c r="AE302"/>
  <c r="AD302"/>
  <c r="AG302"/>
  <c r="AD453"/>
  <c r="AC453"/>
  <c r="AA453"/>
  <c r="AH453"/>
  <c r="AG453"/>
  <c r="AF453"/>
  <c r="AE453"/>
  <c r="AB453"/>
  <c r="R129"/>
  <c r="AE129"/>
  <c r="AD129"/>
  <c r="AG129"/>
  <c r="AF129"/>
  <c r="AB129"/>
  <c r="AA129"/>
  <c r="AH129"/>
  <c r="AC129"/>
  <c r="R35"/>
  <c r="AA35"/>
  <c r="AG35"/>
  <c r="AF35"/>
  <c r="AC35"/>
  <c r="AB35"/>
  <c r="AH35"/>
  <c r="AE35"/>
  <c r="AD35"/>
  <c r="R389"/>
  <c r="AF389"/>
  <c r="AE389"/>
  <c r="AA389"/>
  <c r="AH389"/>
  <c r="AG389"/>
  <c r="AD389"/>
  <c r="AC389"/>
  <c r="AB389"/>
  <c r="AA221"/>
  <c r="AG221"/>
  <c r="AE221"/>
  <c r="AD221"/>
  <c r="AB221"/>
  <c r="AH221"/>
  <c r="AF221"/>
  <c r="AC221"/>
  <c r="R46"/>
  <c r="AC46"/>
  <c r="AB46"/>
  <c r="AH46"/>
  <c r="AE46"/>
  <c r="AD46"/>
  <c r="AA46"/>
  <c r="AG46"/>
  <c r="AF46"/>
  <c r="AD234"/>
  <c r="AC234"/>
  <c r="AG234"/>
  <c r="AF234"/>
  <c r="AE234"/>
  <c r="AA234"/>
  <c r="AH234"/>
  <c r="AB234"/>
  <c r="R264"/>
  <c r="AD264"/>
  <c r="AC264"/>
  <c r="AA264"/>
  <c r="AH264"/>
  <c r="AG264"/>
  <c r="AF264"/>
  <c r="AE264"/>
  <c r="AB264"/>
  <c r="AB313"/>
  <c r="AH313"/>
  <c r="AA313"/>
  <c r="AG313"/>
  <c r="AF313"/>
  <c r="AD313"/>
  <c r="AC313"/>
  <c r="AE313"/>
  <c r="R43"/>
  <c r="AC43"/>
  <c r="AB43"/>
  <c r="AH43"/>
  <c r="AA43"/>
  <c r="AG43"/>
  <c r="AF43"/>
  <c r="AE43"/>
  <c r="AD43"/>
  <c r="R194"/>
  <c r="AA194"/>
  <c r="AG194"/>
  <c r="AE194"/>
  <c r="AD194"/>
  <c r="AB194"/>
  <c r="AH194"/>
  <c r="AF194"/>
  <c r="AC194"/>
  <c r="R351"/>
  <c r="AD351"/>
  <c r="AG351"/>
  <c r="AF351"/>
  <c r="AH351"/>
  <c r="AE351"/>
  <c r="AC351"/>
  <c r="AB351"/>
  <c r="AA351"/>
  <c r="R398"/>
  <c r="AF398"/>
  <c r="AE398"/>
  <c r="AA398"/>
  <c r="AH398"/>
  <c r="AD398"/>
  <c r="AG398"/>
  <c r="AC398"/>
  <c r="AB398"/>
  <c r="R122"/>
  <c r="AA122"/>
  <c r="AG122"/>
  <c r="AF122"/>
  <c r="AH122"/>
  <c r="AE122"/>
  <c r="AD122"/>
  <c r="AC122"/>
  <c r="AB122"/>
  <c r="AD393"/>
  <c r="AC393"/>
  <c r="AE393"/>
  <c r="AB393"/>
  <c r="AA393"/>
  <c r="AH393"/>
  <c r="AG393"/>
  <c r="AF393"/>
  <c r="AE141"/>
  <c r="AD141"/>
  <c r="AC141"/>
  <c r="AF141"/>
  <c r="AB141"/>
  <c r="AA141"/>
  <c r="AH141"/>
  <c r="AG141"/>
  <c r="R336"/>
  <c r="AD336"/>
  <c r="AE336"/>
  <c r="AC336"/>
  <c r="AH336"/>
  <c r="AB336"/>
  <c r="AG336"/>
  <c r="AF336"/>
  <c r="AA336"/>
  <c r="R287"/>
  <c r="AF287"/>
  <c r="AA287"/>
  <c r="AH287"/>
  <c r="AG287"/>
  <c r="AE287"/>
  <c r="AD287"/>
  <c r="AC287"/>
  <c r="AB287"/>
  <c r="AC220"/>
  <c r="AF220"/>
  <c r="AE220"/>
  <c r="AH220"/>
  <c r="AG220"/>
  <c r="AB220"/>
  <c r="AA220"/>
  <c r="AD220"/>
  <c r="R149"/>
  <c r="AA149"/>
  <c r="AG149"/>
  <c r="AE149"/>
  <c r="AD149"/>
  <c r="AF149"/>
  <c r="AC149"/>
  <c r="AB149"/>
  <c r="AH149"/>
  <c r="AC100"/>
  <c r="AB100"/>
  <c r="AH100"/>
  <c r="AE100"/>
  <c r="AD100"/>
  <c r="AA100"/>
  <c r="AG100"/>
  <c r="AF100"/>
  <c r="R47"/>
  <c r="AA47"/>
  <c r="AG47"/>
  <c r="AF47"/>
  <c r="AE47"/>
  <c r="AD47"/>
  <c r="AC47"/>
  <c r="AB47"/>
  <c r="AH47"/>
  <c r="AB379"/>
  <c r="AH379"/>
  <c r="AF379"/>
  <c r="AE379"/>
  <c r="AG379"/>
  <c r="AD379"/>
  <c r="AC379"/>
  <c r="AA379"/>
  <c r="R48"/>
  <c r="AE48"/>
  <c r="AD48"/>
  <c r="AG48"/>
  <c r="AF48"/>
  <c r="AC48"/>
  <c r="AH48"/>
  <c r="AB48"/>
  <c r="AA48"/>
  <c r="AB241"/>
  <c r="AH241"/>
  <c r="AA241"/>
  <c r="AG241"/>
  <c r="AE241"/>
  <c r="AD241"/>
  <c r="AC241"/>
  <c r="AF241"/>
  <c r="R284"/>
  <c r="AF284"/>
  <c r="AC284"/>
  <c r="AB284"/>
  <c r="AA284"/>
  <c r="AH284"/>
  <c r="AE284"/>
  <c r="AD284"/>
  <c r="AG284"/>
  <c r="AA50"/>
  <c r="AG50"/>
  <c r="AF50"/>
  <c r="AH50"/>
  <c r="AE50"/>
  <c r="AD50"/>
  <c r="AC50"/>
  <c r="AB50"/>
  <c r="AD327"/>
  <c r="AE327"/>
  <c r="AC327"/>
  <c r="AB327"/>
  <c r="AG327"/>
  <c r="AF327"/>
  <c r="AA327"/>
  <c r="AH327"/>
  <c r="AE111"/>
  <c r="AD111"/>
  <c r="AG111"/>
  <c r="AF111"/>
  <c r="AC111"/>
  <c r="AH111"/>
  <c r="AB111"/>
  <c r="AA111"/>
  <c r="R162"/>
  <c r="AE162"/>
  <c r="AB162"/>
  <c r="AA162"/>
  <c r="AH162"/>
  <c r="AG162"/>
  <c r="AF162"/>
  <c r="AD162"/>
  <c r="AC162"/>
  <c r="R126"/>
  <c r="AE126"/>
  <c r="AD126"/>
  <c r="AC126"/>
  <c r="AB126"/>
  <c r="AH126"/>
  <c r="AG126"/>
  <c r="AF126"/>
  <c r="AA126"/>
  <c r="R78"/>
  <c r="AE78"/>
  <c r="AD78"/>
  <c r="AA78"/>
  <c r="AH78"/>
  <c r="AG78"/>
  <c r="AF78"/>
  <c r="AC78"/>
  <c r="AB78"/>
  <c r="R346"/>
  <c r="AB346"/>
  <c r="AH346"/>
  <c r="AD346"/>
  <c r="AC346"/>
  <c r="AE346"/>
  <c r="AA346"/>
  <c r="AG346"/>
  <c r="AF346"/>
  <c r="R484"/>
  <c r="AB484"/>
  <c r="AH484"/>
  <c r="AD484"/>
  <c r="AA484"/>
  <c r="AG484"/>
  <c r="AC484"/>
  <c r="AF484"/>
  <c r="AE484"/>
  <c r="R300"/>
  <c r="AD300"/>
  <c r="AE300"/>
  <c r="AC300"/>
  <c r="AB300"/>
  <c r="AG300"/>
  <c r="AF300"/>
  <c r="AA300"/>
  <c r="AH300"/>
  <c r="R31"/>
  <c r="AC31"/>
  <c r="AB31"/>
  <c r="AH31"/>
  <c r="AG31"/>
  <c r="AF31"/>
  <c r="AE31"/>
  <c r="AD31"/>
  <c r="AA31"/>
  <c r="R477"/>
  <c r="AD477"/>
  <c r="AB477"/>
  <c r="AA477"/>
  <c r="AH477"/>
  <c r="AE477"/>
  <c r="AG477"/>
  <c r="AF477"/>
  <c r="AC477"/>
  <c r="R67"/>
  <c r="AC67"/>
  <c r="AB67"/>
  <c r="AH67"/>
  <c r="AG67"/>
  <c r="AF67"/>
  <c r="AE67"/>
  <c r="AD67"/>
  <c r="AA67"/>
  <c r="R295"/>
  <c r="AB295"/>
  <c r="AH295"/>
  <c r="AA295"/>
  <c r="AG295"/>
  <c r="AF295"/>
  <c r="AD295"/>
  <c r="AC295"/>
  <c r="AE295"/>
  <c r="R454"/>
  <c r="AB454"/>
  <c r="AH454"/>
  <c r="AA454"/>
  <c r="AG454"/>
  <c r="AC454"/>
  <c r="AE454"/>
  <c r="AF454"/>
  <c r="AD454"/>
  <c r="R447"/>
  <c r="AD447"/>
  <c r="AC447"/>
  <c r="AE447"/>
  <c r="AB447"/>
  <c r="AA447"/>
  <c r="AG447"/>
  <c r="AH447"/>
  <c r="AF447"/>
  <c r="R120"/>
  <c r="AE120"/>
  <c r="AD120"/>
  <c r="AG120"/>
  <c r="AF120"/>
  <c r="AC120"/>
  <c r="AH120"/>
  <c r="AB120"/>
  <c r="AA120"/>
  <c r="R384"/>
  <c r="AD384"/>
  <c r="AB384"/>
  <c r="AA384"/>
  <c r="AH384"/>
  <c r="AC384"/>
  <c r="AG384"/>
  <c r="AF384"/>
  <c r="AE384"/>
  <c r="R195"/>
  <c r="AE195"/>
  <c r="AD195"/>
  <c r="AC195"/>
  <c r="AF195"/>
  <c r="AB195"/>
  <c r="AA195"/>
  <c r="AH195"/>
  <c r="AG195"/>
  <c r="R404"/>
  <c r="AF404"/>
  <c r="AE404"/>
  <c r="AG404"/>
  <c r="AD404"/>
  <c r="AB404"/>
  <c r="AC404"/>
  <c r="AA404"/>
  <c r="AH404"/>
  <c r="R34"/>
  <c r="AC34"/>
  <c r="AB34"/>
  <c r="AH34"/>
  <c r="AA34"/>
  <c r="AG34"/>
  <c r="AF34"/>
  <c r="AE34"/>
  <c r="AD34"/>
  <c r="R137"/>
  <c r="AA137"/>
  <c r="AG137"/>
  <c r="AH137"/>
  <c r="AF137"/>
  <c r="AD137"/>
  <c r="AC137"/>
  <c r="AB137"/>
  <c r="AE137"/>
  <c r="R201"/>
  <c r="AE201"/>
  <c r="AG201"/>
  <c r="AF201"/>
  <c r="AA201"/>
  <c r="AH201"/>
  <c r="AC201"/>
  <c r="AB201"/>
  <c r="AD201"/>
  <c r="R367"/>
  <c r="AB367"/>
  <c r="AH367"/>
  <c r="AA367"/>
  <c r="AG367"/>
  <c r="AE367"/>
  <c r="AF367"/>
  <c r="AD367"/>
  <c r="AC367"/>
  <c r="R413"/>
  <c r="AF413"/>
  <c r="AE413"/>
  <c r="AG413"/>
  <c r="AD413"/>
  <c r="AA413"/>
  <c r="AC413"/>
  <c r="AB413"/>
  <c r="AH413"/>
  <c r="R420"/>
  <c r="AD420"/>
  <c r="AC420"/>
  <c r="AE420"/>
  <c r="AH420"/>
  <c r="AB420"/>
  <c r="AA420"/>
  <c r="AG420"/>
  <c r="AF420"/>
  <c r="R348"/>
  <c r="AD348"/>
  <c r="AB348"/>
  <c r="AA348"/>
  <c r="AH348"/>
  <c r="AE348"/>
  <c r="AG348"/>
  <c r="AF348"/>
  <c r="AC348"/>
  <c r="R157"/>
  <c r="AC157"/>
  <c r="AF157"/>
  <c r="AE157"/>
  <c r="AG157"/>
  <c r="AD157"/>
  <c r="AB157"/>
  <c r="AH157"/>
  <c r="AA157"/>
  <c r="R497"/>
  <c r="AF497"/>
  <c r="AA497"/>
  <c r="AH497"/>
  <c r="AG497"/>
  <c r="AE497"/>
  <c r="AC497"/>
  <c r="AD497"/>
  <c r="AB497"/>
  <c r="R161"/>
  <c r="AA161"/>
  <c r="AG161"/>
  <c r="AC161"/>
  <c r="AB161"/>
  <c r="AF161"/>
  <c r="AE161"/>
  <c r="AD161"/>
  <c r="AH161"/>
  <c r="R409"/>
  <c r="AB409"/>
  <c r="AH409"/>
  <c r="AA409"/>
  <c r="AG409"/>
  <c r="AC409"/>
  <c r="AE409"/>
  <c r="AF409"/>
  <c r="AD409"/>
  <c r="R496"/>
  <c r="AB496"/>
  <c r="AH496"/>
  <c r="AA496"/>
  <c r="AF496"/>
  <c r="AE496"/>
  <c r="AC496"/>
  <c r="AG496"/>
  <c r="AD496"/>
  <c r="R59"/>
  <c r="AA59"/>
  <c r="AG59"/>
  <c r="AF59"/>
  <c r="AH59"/>
  <c r="AE59"/>
  <c r="AD59"/>
  <c r="AC59"/>
  <c r="AB59"/>
  <c r="R493"/>
  <c r="AB493"/>
  <c r="AH493"/>
  <c r="AD493"/>
  <c r="AC493"/>
  <c r="AG493"/>
  <c r="AA493"/>
  <c r="AF493"/>
  <c r="AE493"/>
  <c r="R211"/>
  <c r="AC211"/>
  <c r="AF211"/>
  <c r="AE211"/>
  <c r="AG211"/>
  <c r="AD211"/>
  <c r="AB211"/>
  <c r="AH211"/>
  <c r="AA211"/>
  <c r="R350"/>
  <c r="AF350"/>
  <c r="AA350"/>
  <c r="AH350"/>
  <c r="AG350"/>
  <c r="AD350"/>
  <c r="AB350"/>
  <c r="AC350"/>
  <c r="AE350"/>
  <c r="R171"/>
  <c r="AE171"/>
  <c r="AB171"/>
  <c r="AA171"/>
  <c r="AH171"/>
  <c r="AC171"/>
  <c r="AF171"/>
  <c r="AD171"/>
  <c r="AG171"/>
  <c r="R142"/>
  <c r="AC142"/>
  <c r="AD142"/>
  <c r="AB142"/>
  <c r="AG142"/>
  <c r="AF142"/>
  <c r="AE142"/>
  <c r="AH142"/>
  <c r="AA142"/>
  <c r="R329"/>
  <c r="AF329"/>
  <c r="AC329"/>
  <c r="AB329"/>
  <c r="AA329"/>
  <c r="AH329"/>
  <c r="AE329"/>
  <c r="AD329"/>
  <c r="AG329"/>
  <c r="R222"/>
  <c r="AD222"/>
  <c r="AC222"/>
  <c r="AE222"/>
  <c r="AB222"/>
  <c r="AA222"/>
  <c r="AG222"/>
  <c r="AF222"/>
  <c r="AH222"/>
  <c r="R240"/>
  <c r="AD240"/>
  <c r="AC240"/>
  <c r="AE240"/>
  <c r="AB240"/>
  <c r="AA240"/>
  <c r="AG240"/>
  <c r="AF240"/>
  <c r="AH240"/>
  <c r="R37"/>
  <c r="AC37"/>
  <c r="AB37"/>
  <c r="AH37"/>
  <c r="AE37"/>
  <c r="AD37"/>
  <c r="AA37"/>
  <c r="AG37"/>
  <c r="AF37"/>
  <c r="R345"/>
  <c r="AD345"/>
  <c r="AE345"/>
  <c r="AC345"/>
  <c r="AA345"/>
  <c r="AH345"/>
  <c r="AG345"/>
  <c r="AF345"/>
  <c r="AB345"/>
  <c r="R352"/>
  <c r="AB352"/>
  <c r="AH352"/>
  <c r="AF352"/>
  <c r="AE352"/>
  <c r="AD352"/>
  <c r="AG352"/>
  <c r="AC352"/>
  <c r="AA352"/>
  <c r="R490"/>
  <c r="AB490"/>
  <c r="AH490"/>
  <c r="AF490"/>
  <c r="AE490"/>
  <c r="AD490"/>
  <c r="AA490"/>
  <c r="AG490"/>
  <c r="AC490"/>
  <c r="R223"/>
  <c r="AB223"/>
  <c r="AH223"/>
  <c r="AA223"/>
  <c r="AG223"/>
  <c r="AE223"/>
  <c r="AD223"/>
  <c r="AC223"/>
  <c r="AF223"/>
  <c r="R74"/>
  <c r="AA74"/>
  <c r="AG74"/>
  <c r="AF74"/>
  <c r="AE74"/>
  <c r="AD74"/>
  <c r="AC74"/>
  <c r="AB74"/>
  <c r="AH74"/>
  <c r="R55"/>
  <c r="AC55"/>
  <c r="AB55"/>
  <c r="AH55"/>
  <c r="AE55"/>
  <c r="AD55"/>
  <c r="AA55"/>
  <c r="AG55"/>
  <c r="AF55"/>
  <c r="R44"/>
  <c r="AA44"/>
  <c r="AG44"/>
  <c r="AF44"/>
  <c r="AC44"/>
  <c r="AB44"/>
  <c r="AH44"/>
  <c r="AE44"/>
  <c r="AD44"/>
  <c r="R69"/>
  <c r="AE69"/>
  <c r="AD69"/>
  <c r="AA69"/>
  <c r="AH69"/>
  <c r="AG69"/>
  <c r="AF69"/>
  <c r="AC69"/>
  <c r="AB69"/>
  <c r="R124"/>
  <c r="AC124"/>
  <c r="AB124"/>
  <c r="AH124"/>
  <c r="AA124"/>
  <c r="AG124"/>
  <c r="AF124"/>
  <c r="AE124"/>
  <c r="AD124"/>
  <c r="R71"/>
  <c r="AA71"/>
  <c r="AG71"/>
  <c r="AF71"/>
  <c r="AC71"/>
  <c r="AB71"/>
  <c r="AH71"/>
  <c r="AE71"/>
  <c r="AD71"/>
  <c r="R466"/>
  <c r="AB466"/>
  <c r="AH466"/>
  <c r="AD466"/>
  <c r="AA466"/>
  <c r="AG466"/>
  <c r="AC466"/>
  <c r="AF466"/>
  <c r="AE466"/>
  <c r="R431"/>
  <c r="AF431"/>
  <c r="AE431"/>
  <c r="AG431"/>
  <c r="AD431"/>
  <c r="AC431"/>
  <c r="AB431"/>
  <c r="AA431"/>
  <c r="AH431"/>
  <c r="R210"/>
  <c r="AE210"/>
  <c r="AG210"/>
  <c r="AF210"/>
  <c r="AC210"/>
  <c r="AB210"/>
  <c r="AA210"/>
  <c r="AH210"/>
  <c r="AD210"/>
  <c r="R324"/>
  <c r="AD324"/>
  <c r="AG324"/>
  <c r="AF324"/>
  <c r="AE324"/>
  <c r="AB324"/>
  <c r="AA324"/>
  <c r="AH324"/>
  <c r="AC324"/>
  <c r="R433"/>
  <c r="AB433"/>
  <c r="AH433"/>
  <c r="AA433"/>
  <c r="AG433"/>
  <c r="AF433"/>
  <c r="AE433"/>
  <c r="AD433"/>
  <c r="AC433"/>
  <c r="R440"/>
  <c r="AF440"/>
  <c r="AE440"/>
  <c r="AG440"/>
  <c r="AD440"/>
  <c r="AC440"/>
  <c r="AA440"/>
  <c r="AB440"/>
  <c r="AH440"/>
  <c r="R206"/>
  <c r="AA206"/>
  <c r="AG206"/>
  <c r="AC206"/>
  <c r="AB206"/>
  <c r="AD206"/>
  <c r="AF206"/>
  <c r="AE206"/>
  <c r="AH206"/>
  <c r="R471"/>
  <c r="AD471"/>
  <c r="AG471"/>
  <c r="AF471"/>
  <c r="AC471"/>
  <c r="AE471"/>
  <c r="AB471"/>
  <c r="AA471"/>
  <c r="AH471"/>
  <c r="R255"/>
  <c r="AD255"/>
  <c r="AC255"/>
  <c r="AA255"/>
  <c r="AH255"/>
  <c r="AG255"/>
  <c r="AF255"/>
  <c r="AE255"/>
  <c r="AB255"/>
  <c r="R39"/>
  <c r="AE39"/>
  <c r="AD39"/>
  <c r="AG39"/>
  <c r="AF39"/>
  <c r="AC39"/>
  <c r="AH39"/>
  <c r="AB39"/>
  <c r="AA39"/>
  <c r="R185"/>
  <c r="AA185"/>
  <c r="AG185"/>
  <c r="AE185"/>
  <c r="AD185"/>
  <c r="AH185"/>
  <c r="AF185"/>
  <c r="AB185"/>
  <c r="AC185"/>
  <c r="AF383"/>
  <c r="AC383"/>
  <c r="AB383"/>
  <c r="AH383"/>
  <c r="AG383"/>
  <c r="AE383"/>
  <c r="AD383"/>
  <c r="AA383"/>
  <c r="AD366"/>
  <c r="AB366"/>
  <c r="AA366"/>
  <c r="AH366"/>
  <c r="AF366"/>
  <c r="AE366"/>
  <c r="AC366"/>
  <c r="AG366"/>
  <c r="AD276"/>
  <c r="AB276"/>
  <c r="AA276"/>
  <c r="AH276"/>
  <c r="AG276"/>
  <c r="AF276"/>
  <c r="AE276"/>
  <c r="AC276"/>
  <c r="AF266"/>
  <c r="AE266"/>
  <c r="AC266"/>
  <c r="AB266"/>
  <c r="AA266"/>
  <c r="AH266"/>
  <c r="AG266"/>
  <c r="AD266"/>
  <c r="AC196"/>
  <c r="AD196"/>
  <c r="AB196"/>
  <c r="AG196"/>
  <c r="AF196"/>
  <c r="AE196"/>
  <c r="AH196"/>
  <c r="AA196"/>
  <c r="AC82"/>
  <c r="AB82"/>
  <c r="AH82"/>
  <c r="AE82"/>
  <c r="AD82"/>
  <c r="AA82"/>
  <c r="AG82"/>
  <c r="AF82"/>
  <c r="AC193"/>
  <c r="AF193"/>
  <c r="AE193"/>
  <c r="AH193"/>
  <c r="AG193"/>
  <c r="AB193"/>
  <c r="AA193"/>
  <c r="AD193"/>
  <c r="R51"/>
  <c r="AE51"/>
  <c r="AD51"/>
  <c r="AA51"/>
  <c r="AH51"/>
  <c r="AG51"/>
  <c r="AF51"/>
  <c r="AC51"/>
  <c r="AB51"/>
  <c r="AB418"/>
  <c r="AH418"/>
  <c r="AA418"/>
  <c r="AG418"/>
  <c r="AC418"/>
  <c r="AE418"/>
  <c r="AF418"/>
  <c r="AD418"/>
  <c r="AE96"/>
  <c r="AD96"/>
  <c r="AA96"/>
  <c r="AH96"/>
  <c r="AG96"/>
  <c r="AF96"/>
  <c r="AC96"/>
  <c r="AB96"/>
  <c r="AD417"/>
  <c r="AC417"/>
  <c r="AA417"/>
  <c r="AH417"/>
  <c r="AF417"/>
  <c r="AG417"/>
  <c r="AE417"/>
  <c r="AB417"/>
  <c r="AF425"/>
  <c r="AE425"/>
  <c r="AA425"/>
  <c r="AD425"/>
  <c r="AH425"/>
  <c r="AG425"/>
  <c r="AC425"/>
  <c r="AB425"/>
  <c r="AF299"/>
  <c r="AE299"/>
  <c r="AD299"/>
  <c r="AC299"/>
  <c r="AA299"/>
  <c r="AH299"/>
  <c r="AG299"/>
  <c r="AB299"/>
  <c r="AB235"/>
  <c r="AH235"/>
  <c r="AA235"/>
  <c r="AG235"/>
  <c r="AF235"/>
  <c r="AE235"/>
  <c r="AD235"/>
  <c r="AC235"/>
  <c r="AD315"/>
  <c r="AG315"/>
  <c r="AF315"/>
  <c r="AE315"/>
  <c r="AB315"/>
  <c r="AA315"/>
  <c r="AH315"/>
  <c r="AC315"/>
  <c r="AF491"/>
  <c r="AE491"/>
  <c r="AB491"/>
  <c r="AD491"/>
  <c r="AC491"/>
  <c r="AH491"/>
  <c r="AG491"/>
  <c r="AA491"/>
  <c r="AB487"/>
  <c r="AH487"/>
  <c r="AA487"/>
  <c r="AG487"/>
  <c r="AE487"/>
  <c r="AF487"/>
  <c r="AD487"/>
  <c r="AC487"/>
  <c r="AF344"/>
  <c r="AE344"/>
  <c r="AD344"/>
  <c r="AG344"/>
  <c r="AC344"/>
  <c r="AH344"/>
  <c r="AB344"/>
  <c r="AA344"/>
  <c r="AE165"/>
  <c r="AG165"/>
  <c r="AF165"/>
  <c r="AH165"/>
  <c r="AD165"/>
  <c r="AC165"/>
  <c r="AB165"/>
  <c r="AA165"/>
  <c r="AB334"/>
  <c r="AH334"/>
  <c r="AF334"/>
  <c r="AE334"/>
  <c r="AC334"/>
  <c r="AA334"/>
  <c r="AG334"/>
  <c r="AD334"/>
  <c r="AB229"/>
  <c r="AH229"/>
  <c r="AA229"/>
  <c r="AG229"/>
  <c r="AC229"/>
  <c r="AE229"/>
  <c r="AD229"/>
  <c r="AF229"/>
  <c r="AE153"/>
  <c r="AB153"/>
  <c r="AA153"/>
  <c r="AH153"/>
  <c r="AF153"/>
  <c r="AD153"/>
  <c r="AC153"/>
  <c r="AG153"/>
  <c r="AA131"/>
  <c r="AG131"/>
  <c r="AE131"/>
  <c r="AD131"/>
  <c r="AH131"/>
  <c r="AF131"/>
  <c r="AC131"/>
  <c r="AB131"/>
  <c r="AE204"/>
  <c r="AD204"/>
  <c r="AC204"/>
  <c r="AH204"/>
  <c r="AG204"/>
  <c r="AF204"/>
  <c r="AA204"/>
  <c r="AB204"/>
  <c r="AA218"/>
  <c r="AG218"/>
  <c r="AH218"/>
  <c r="AF218"/>
  <c r="AD218"/>
  <c r="AC218"/>
  <c r="AB218"/>
  <c r="AE218"/>
  <c r="AC214"/>
  <c r="AD214"/>
  <c r="AB214"/>
  <c r="AE214"/>
  <c r="AA214"/>
  <c r="AG214"/>
  <c r="AF214"/>
  <c r="AH214"/>
  <c r="AC94"/>
  <c r="AB94"/>
  <c r="AH94"/>
  <c r="AG94"/>
  <c r="AF94"/>
  <c r="AE94"/>
  <c r="AD94"/>
  <c r="AA94"/>
  <c r="AF407"/>
  <c r="AE407"/>
  <c r="AA407"/>
  <c r="AH407"/>
  <c r="AD407"/>
  <c r="AG407"/>
  <c r="AC407"/>
  <c r="AB407"/>
  <c r="AF314"/>
  <c r="AA314"/>
  <c r="AH314"/>
  <c r="AG314"/>
  <c r="AE314"/>
  <c r="AC314"/>
  <c r="AD314"/>
  <c r="AB314"/>
  <c r="AC115"/>
  <c r="AB115"/>
  <c r="AH115"/>
  <c r="AA115"/>
  <c r="AG115"/>
  <c r="AF115"/>
  <c r="AE115"/>
  <c r="AD115"/>
  <c r="AD441"/>
  <c r="AC441"/>
  <c r="AG441"/>
  <c r="AB441"/>
  <c r="AA441"/>
  <c r="AF441"/>
  <c r="AE441"/>
  <c r="AH441"/>
  <c r="AD360"/>
  <c r="AG360"/>
  <c r="AF360"/>
  <c r="AA360"/>
  <c r="AH360"/>
  <c r="AE360"/>
  <c r="AC360"/>
  <c r="AB360"/>
  <c r="AA197"/>
  <c r="AG197"/>
  <c r="AC197"/>
  <c r="AB197"/>
  <c r="AH197"/>
  <c r="AF197"/>
  <c r="AE197"/>
  <c r="AD197"/>
  <c r="AD402"/>
  <c r="AC402"/>
  <c r="AE402"/>
  <c r="AB402"/>
  <c r="AA402"/>
  <c r="AH402"/>
  <c r="AG402"/>
  <c r="AF402"/>
  <c r="AB262"/>
  <c r="AH262"/>
  <c r="AA262"/>
  <c r="AG262"/>
  <c r="AF262"/>
  <c r="AE262"/>
  <c r="AD262"/>
  <c r="AC262"/>
  <c r="AD294"/>
  <c r="AB294"/>
  <c r="AA294"/>
  <c r="AH294"/>
  <c r="AG294"/>
  <c r="AF294"/>
  <c r="AE294"/>
  <c r="AC294"/>
  <c r="AD312"/>
  <c r="AB312"/>
  <c r="AA312"/>
  <c r="AH312"/>
  <c r="AG312"/>
  <c r="AF312"/>
  <c r="AE312"/>
  <c r="AC312"/>
  <c r="AB349"/>
  <c r="AH349"/>
  <c r="AA349"/>
  <c r="AG349"/>
  <c r="AC349"/>
  <c r="AF349"/>
  <c r="AE349"/>
  <c r="AD349"/>
  <c r="AC79"/>
  <c r="AB79"/>
  <c r="AH79"/>
  <c r="AA79"/>
  <c r="AG79"/>
  <c r="AF79"/>
  <c r="AE79"/>
  <c r="AD79"/>
  <c r="AA182"/>
  <c r="AG182"/>
  <c r="AH182"/>
  <c r="AF182"/>
  <c r="AB182"/>
  <c r="AD182"/>
  <c r="AC182"/>
  <c r="AE182"/>
  <c r="AD339"/>
  <c r="AB339"/>
  <c r="AA339"/>
  <c r="AH339"/>
  <c r="AF339"/>
  <c r="AE339"/>
  <c r="AC339"/>
  <c r="AG339"/>
  <c r="AD456"/>
  <c r="AC456"/>
  <c r="AE456"/>
  <c r="AB456"/>
  <c r="AA456"/>
  <c r="AH456"/>
  <c r="AG456"/>
  <c r="AF456"/>
  <c r="AB340"/>
  <c r="AH340"/>
  <c r="AA340"/>
  <c r="AG340"/>
  <c r="AD340"/>
  <c r="AF340"/>
  <c r="AE340"/>
  <c r="AC340"/>
  <c r="AC148"/>
  <c r="AF148"/>
  <c r="AE148"/>
  <c r="AB148"/>
  <c r="AA148"/>
  <c r="AH148"/>
  <c r="AG148"/>
  <c r="AD148"/>
  <c r="AB478"/>
  <c r="AH478"/>
  <c r="AA478"/>
  <c r="AG478"/>
  <c r="AF478"/>
  <c r="AE478"/>
  <c r="AD478"/>
  <c r="AC478"/>
  <c r="AF227"/>
  <c r="AE227"/>
  <c r="AA227"/>
  <c r="AH227"/>
  <c r="AG227"/>
  <c r="AC227"/>
  <c r="AB227"/>
  <c r="AD227"/>
  <c r="AB415"/>
  <c r="AH415"/>
  <c r="AA415"/>
  <c r="AG415"/>
  <c r="AD415"/>
  <c r="AF415"/>
  <c r="AE415"/>
  <c r="AC415"/>
  <c r="AC175"/>
  <c r="AF175"/>
  <c r="AE175"/>
  <c r="AB175"/>
  <c r="AA175"/>
  <c r="AH175"/>
  <c r="AG175"/>
  <c r="AD175"/>
  <c r="AF356"/>
  <c r="AC356"/>
  <c r="AB356"/>
  <c r="AE356"/>
  <c r="AH356"/>
  <c r="AG356"/>
  <c r="AD356"/>
  <c r="AA356"/>
  <c r="AD513"/>
  <c r="AB513"/>
  <c r="AA513"/>
  <c r="AG513"/>
  <c r="AF513"/>
  <c r="AH513"/>
  <c r="AE513"/>
  <c r="AC513"/>
  <c r="AE189"/>
  <c r="AB189"/>
  <c r="AA189"/>
  <c r="AH189"/>
  <c r="AG189"/>
  <c r="AF189"/>
  <c r="AD189"/>
  <c r="AC189"/>
  <c r="AC160"/>
  <c r="AD160"/>
  <c r="AB160"/>
  <c r="AE160"/>
  <c r="AA160"/>
  <c r="AG160"/>
  <c r="AF160"/>
  <c r="AH160"/>
  <c r="AF485"/>
  <c r="AC485"/>
  <c r="AB485"/>
  <c r="AH485"/>
  <c r="AA485"/>
  <c r="AG485"/>
  <c r="AE485"/>
  <c r="AD485"/>
  <c r="AD342"/>
  <c r="AG342"/>
  <c r="AF342"/>
  <c r="AC342"/>
  <c r="AB342"/>
  <c r="AA342"/>
  <c r="AH342"/>
  <c r="AE342"/>
  <c r="AC172"/>
  <c r="AA172"/>
  <c r="AH172"/>
  <c r="AG172"/>
  <c r="AE172"/>
  <c r="AD172"/>
  <c r="AB172"/>
  <c r="AF172"/>
  <c r="AD318"/>
  <c r="AE318"/>
  <c r="AC318"/>
  <c r="AB318"/>
  <c r="AG318"/>
  <c r="AF318"/>
  <c r="AA318"/>
  <c r="AH318"/>
  <c r="AA80"/>
  <c r="AG80"/>
  <c r="AF80"/>
  <c r="AC80"/>
  <c r="AB80"/>
  <c r="AH80"/>
  <c r="AE80"/>
  <c r="AD80"/>
  <c r="AB373"/>
  <c r="AH373"/>
  <c r="AD373"/>
  <c r="AC373"/>
  <c r="AE373"/>
  <c r="AA373"/>
  <c r="AG373"/>
  <c r="AF373"/>
  <c r="AC91"/>
  <c r="AB91"/>
  <c r="AH91"/>
  <c r="AE91"/>
  <c r="AD91"/>
  <c r="AA91"/>
  <c r="AG91"/>
  <c r="AF91"/>
  <c r="AF260"/>
  <c r="AE260"/>
  <c r="AG260"/>
  <c r="AD260"/>
  <c r="AC260"/>
  <c r="AH260"/>
  <c r="AB260"/>
  <c r="AA260"/>
  <c r="AD411"/>
  <c r="AC411"/>
  <c r="AE411"/>
  <c r="AH411"/>
  <c r="AB411"/>
  <c r="AA411"/>
  <c r="AG411"/>
  <c r="AF411"/>
  <c r="AE87"/>
  <c r="AD87"/>
  <c r="AA87"/>
  <c r="AH87"/>
  <c r="AG87"/>
  <c r="AF87"/>
  <c r="AC87"/>
  <c r="AB87"/>
  <c r="AF434"/>
  <c r="AE434"/>
  <c r="AA434"/>
  <c r="AH434"/>
  <c r="AG434"/>
  <c r="AD434"/>
  <c r="AC434"/>
  <c r="AB434"/>
  <c r="AA164"/>
  <c r="AG164"/>
  <c r="AH164"/>
  <c r="AF164"/>
  <c r="AD164"/>
  <c r="AC164"/>
  <c r="AB164"/>
  <c r="AE164"/>
  <c r="AD429"/>
  <c r="AC429"/>
  <c r="AE429"/>
  <c r="AB429"/>
  <c r="AA429"/>
  <c r="AG429"/>
  <c r="AH429"/>
  <c r="AF429"/>
  <c r="AE213"/>
  <c r="AD213"/>
  <c r="AC213"/>
  <c r="AA213"/>
  <c r="AH213"/>
  <c r="AG213"/>
  <c r="AF213"/>
  <c r="AB213"/>
  <c r="AD408"/>
  <c r="AC408"/>
  <c r="AA408"/>
  <c r="AH408"/>
  <c r="AF408"/>
  <c r="AE408"/>
  <c r="AG408"/>
  <c r="AB408"/>
  <c r="AB376"/>
  <c r="AH376"/>
  <c r="AA376"/>
  <c r="AG376"/>
  <c r="AC376"/>
  <c r="AF376"/>
  <c r="AE376"/>
  <c r="AD376"/>
  <c r="AB328"/>
  <c r="AH328"/>
  <c r="AD328"/>
  <c r="AC328"/>
  <c r="AA328"/>
  <c r="AF328"/>
  <c r="AG328"/>
  <c r="AE328"/>
  <c r="AF257"/>
  <c r="AE257"/>
  <c r="AC257"/>
  <c r="AB257"/>
  <c r="AA257"/>
  <c r="AH257"/>
  <c r="AG257"/>
  <c r="AD257"/>
  <c r="AC208"/>
  <c r="AA208"/>
  <c r="AH208"/>
  <c r="AG208"/>
  <c r="AF208"/>
  <c r="AE208"/>
  <c r="AD208"/>
  <c r="AB208"/>
  <c r="AA155"/>
  <c r="AG155"/>
  <c r="AH155"/>
  <c r="AF155"/>
  <c r="AB155"/>
  <c r="AD155"/>
  <c r="AC155"/>
  <c r="AE155"/>
  <c r="AB457"/>
  <c r="AH457"/>
  <c r="AD457"/>
  <c r="AC457"/>
  <c r="AG457"/>
  <c r="AA457"/>
  <c r="AF457"/>
  <c r="AE457"/>
  <c r="AE114"/>
  <c r="AD114"/>
  <c r="AA114"/>
  <c r="AH114"/>
  <c r="AG114"/>
  <c r="AF114"/>
  <c r="AC114"/>
  <c r="AB114"/>
  <c r="AB283"/>
  <c r="AH283"/>
  <c r="AD283"/>
  <c r="AC283"/>
  <c r="AA283"/>
  <c r="AG283"/>
  <c r="AF283"/>
  <c r="AE283"/>
  <c r="AC61"/>
  <c r="AB61"/>
  <c r="AH61"/>
  <c r="AA61"/>
  <c r="AG61"/>
  <c r="AF61"/>
  <c r="AE61"/>
  <c r="AD61"/>
  <c r="AF326"/>
  <c r="AE326"/>
  <c r="AD326"/>
  <c r="AC326"/>
  <c r="AA326"/>
  <c r="AH326"/>
  <c r="AG326"/>
  <c r="AB326"/>
  <c r="AA92"/>
  <c r="AG92"/>
  <c r="AF92"/>
  <c r="AE92"/>
  <c r="AD92"/>
  <c r="AC92"/>
  <c r="AB92"/>
  <c r="AH92"/>
  <c r="AD363"/>
  <c r="AE363"/>
  <c r="AC363"/>
  <c r="AH363"/>
  <c r="AG363"/>
  <c r="AF363"/>
  <c r="AB363"/>
  <c r="AA363"/>
  <c r="AE147"/>
  <c r="AG147"/>
  <c r="AF147"/>
  <c r="AA147"/>
  <c r="AH147"/>
  <c r="AC147"/>
  <c r="AB147"/>
  <c r="AD147"/>
  <c r="R25"/>
  <c r="R19"/>
  <c r="R23"/>
  <c r="R24"/>
  <c r="R20"/>
  <c r="R27"/>
  <c r="R29"/>
  <c r="R28"/>
  <c r="R22"/>
  <c r="BA472"/>
  <c r="BA467"/>
  <c r="BA406"/>
  <c r="BA449"/>
  <c r="BA456"/>
  <c r="BA414"/>
  <c r="BA378"/>
  <c r="BA364"/>
  <c r="BA395"/>
  <c r="BA492"/>
  <c r="BA511"/>
  <c r="BA475"/>
  <c r="BA439"/>
  <c r="BA403"/>
  <c r="BA367"/>
  <c r="BA484"/>
  <c r="BA401"/>
  <c r="BA500"/>
  <c r="BA464"/>
  <c r="BA428"/>
  <c r="BA392"/>
  <c r="BA356"/>
  <c r="BA418"/>
  <c r="BA413"/>
  <c r="BA501"/>
  <c r="BA465"/>
  <c r="BA429"/>
  <c r="BA393"/>
  <c r="BA357"/>
  <c r="BA436"/>
  <c r="BA473"/>
  <c r="BA468"/>
  <c r="BA420"/>
  <c r="BA384"/>
  <c r="BA400"/>
  <c r="BA425"/>
  <c r="BA504"/>
  <c r="BA444"/>
  <c r="BA481"/>
  <c r="BA445"/>
  <c r="BA409"/>
  <c r="BA373"/>
  <c r="BA514"/>
  <c r="BA370"/>
  <c r="BA419"/>
  <c r="BA506"/>
  <c r="BA470"/>
  <c r="BA434"/>
  <c r="BA398"/>
  <c r="BA362"/>
  <c r="BA448"/>
  <c r="BA443"/>
  <c r="BA507"/>
  <c r="BA471"/>
  <c r="BA435"/>
  <c r="BA399"/>
  <c r="BA363"/>
  <c r="BA460"/>
  <c r="BA497"/>
  <c r="BA365"/>
  <c r="BA498"/>
  <c r="BA426"/>
  <c r="BA390"/>
  <c r="BA354"/>
  <c r="BA430"/>
  <c r="BA455"/>
  <c r="BA510"/>
  <c r="BA462"/>
  <c r="BA487"/>
  <c r="BA451"/>
  <c r="BA415"/>
  <c r="BA379"/>
  <c r="BA394"/>
  <c r="BA437"/>
  <c r="BA512"/>
  <c r="BA476"/>
  <c r="BA440"/>
  <c r="BA404"/>
  <c r="BA368"/>
  <c r="BA513"/>
  <c r="BA477"/>
  <c r="BA441"/>
  <c r="BA405"/>
  <c r="BA369"/>
  <c r="BA376"/>
  <c r="BA496"/>
  <c r="BA515"/>
  <c r="BA389"/>
  <c r="BA432"/>
  <c r="BA396"/>
  <c r="BA360"/>
  <c r="BA454"/>
  <c r="BA479"/>
  <c r="BA516"/>
  <c r="BA474"/>
  <c r="BA493"/>
  <c r="BA457"/>
  <c r="BA421"/>
  <c r="BA385"/>
  <c r="BA412"/>
  <c r="BA461"/>
  <c r="BA482"/>
  <c r="BA446"/>
  <c r="BA410"/>
  <c r="BA374"/>
  <c r="BA490"/>
  <c r="BA491"/>
  <c r="BA483"/>
  <c r="BA447"/>
  <c r="BA411"/>
  <c r="BA375"/>
  <c r="BA424"/>
  <c r="BA358"/>
  <c r="BA407"/>
  <c r="BA438"/>
  <c r="BA402"/>
  <c r="BA366"/>
  <c r="BA478"/>
  <c r="BA503"/>
  <c r="BA480"/>
  <c r="BA499"/>
  <c r="BA463"/>
  <c r="BA427"/>
  <c r="BA391"/>
  <c r="BA355"/>
  <c r="BA442"/>
  <c r="BA485"/>
  <c r="BA488"/>
  <c r="BA452"/>
  <c r="BA416"/>
  <c r="BA380"/>
  <c r="BA359"/>
  <c r="BA489"/>
  <c r="BA453"/>
  <c r="BA417"/>
  <c r="BA381"/>
  <c r="BA508"/>
  <c r="BA382"/>
  <c r="BA431"/>
  <c r="BA450"/>
  <c r="BA408"/>
  <c r="BA372"/>
  <c r="BA502"/>
  <c r="BA371"/>
  <c r="BA486"/>
  <c r="BA505"/>
  <c r="BA469"/>
  <c r="BA433"/>
  <c r="BA397"/>
  <c r="BA361"/>
  <c r="BA466"/>
  <c r="BA509"/>
  <c r="BA377"/>
  <c r="BA494"/>
  <c r="BA458"/>
  <c r="BA422"/>
  <c r="BA386"/>
  <c r="BA388"/>
  <c r="BA383"/>
  <c r="BA495"/>
  <c r="BA459"/>
  <c r="BA423"/>
  <c r="BA387"/>
  <c r="W39" i="11"/>
  <c r="Y39" s="1"/>
  <c r="AB39" s="1"/>
  <c r="T40"/>
  <c r="X40" s="1"/>
  <c r="Z40" s="1"/>
  <c r="AB40" s="1"/>
  <c r="AB45"/>
  <c r="AB46"/>
  <c r="AB44"/>
  <c r="AB36"/>
  <c r="AB33"/>
  <c r="AB32"/>
  <c r="AB41"/>
  <c r="AB42"/>
  <c r="AB35"/>
  <c r="AB38"/>
  <c r="AB43"/>
  <c r="AB34"/>
  <c r="AB37"/>
  <c r="F37" i="10"/>
  <c r="F36"/>
  <c r="AZ13" i="14" l="1"/>
  <c r="AP13"/>
  <c r="BD8"/>
  <c r="AJ8"/>
  <c r="AT8"/>
  <c r="AF13" l="1"/>
  <c r="V13"/>
  <c r="L13"/>
  <c r="S18" i="10" a="1"/>
  <c r="P9" i="14"/>
  <c r="P8"/>
  <c r="Z8"/>
  <c r="X35" i="10" l="1"/>
  <c r="X62"/>
  <c r="X89"/>
  <c r="X116"/>
  <c r="X143"/>
  <c r="X170"/>
  <c r="X197"/>
  <c r="W32"/>
  <c r="U31"/>
  <c r="W65"/>
  <c r="S98"/>
  <c r="V130"/>
  <c r="Y162"/>
  <c r="T195"/>
  <c r="X224"/>
  <c r="Z23"/>
  <c r="Y61"/>
  <c r="Y71"/>
  <c r="Y110"/>
  <c r="W149"/>
  <c r="V188"/>
  <c r="V224"/>
  <c r="X255"/>
  <c r="X282"/>
  <c r="X309"/>
  <c r="X336"/>
  <c r="X363"/>
  <c r="X390"/>
  <c r="X417"/>
  <c r="X444"/>
  <c r="X471"/>
  <c r="S63"/>
  <c r="Z101"/>
  <c r="Y140"/>
  <c r="W179"/>
  <c r="S217"/>
  <c r="U87"/>
  <c r="W145"/>
  <c r="Z203"/>
  <c r="Y246"/>
  <c r="Y279"/>
  <c r="T312"/>
  <c r="T25"/>
  <c r="T52"/>
  <c r="T79"/>
  <c r="T106"/>
  <c r="T133"/>
  <c r="T160"/>
  <c r="T187"/>
  <c r="S22"/>
  <c r="U26"/>
  <c r="S53"/>
  <c r="V85"/>
  <c r="Y117"/>
  <c r="T150"/>
  <c r="W182"/>
  <c r="T214"/>
  <c r="T241"/>
  <c r="U49"/>
  <c r="S55"/>
  <c r="W95"/>
  <c r="V134"/>
  <c r="U173"/>
  <c r="Y211"/>
  <c r="U244"/>
  <c r="T272"/>
  <c r="T299"/>
  <c r="T326"/>
  <c r="T353"/>
  <c r="T380"/>
  <c r="T407"/>
  <c r="T434"/>
  <c r="T461"/>
  <c r="T44"/>
  <c r="Y86"/>
  <c r="W125"/>
  <c r="V164"/>
  <c r="V203"/>
  <c r="W64"/>
  <c r="Z122"/>
  <c r="U181"/>
  <c r="Y231"/>
  <c r="T267"/>
  <c r="W299"/>
  <c r="W24"/>
  <c r="V42"/>
  <c r="V69"/>
  <c r="V96"/>
  <c r="V123"/>
  <c r="V150"/>
  <c r="V177"/>
  <c r="V204"/>
  <c r="U39"/>
  <c r="U41"/>
  <c r="X73"/>
  <c r="S106"/>
  <c r="W138"/>
  <c r="Z170"/>
  <c r="U203"/>
  <c r="V231"/>
  <c r="Y36"/>
  <c r="X36"/>
  <c r="W81"/>
  <c r="U120"/>
  <c r="U159"/>
  <c r="T198"/>
  <c r="W232"/>
  <c r="V262"/>
  <c r="V289"/>
  <c r="V316"/>
  <c r="V343"/>
  <c r="V370"/>
  <c r="V397"/>
  <c r="V424"/>
  <c r="V451"/>
  <c r="V478"/>
  <c r="X72"/>
  <c r="X111"/>
  <c r="W150"/>
  <c r="U189"/>
  <c r="X37"/>
  <c r="Y101"/>
  <c r="Z159"/>
  <c r="Z216"/>
  <c r="V255"/>
  <c r="Y287"/>
  <c r="U320"/>
  <c r="X32"/>
  <c r="X59"/>
  <c r="X86"/>
  <c r="X113"/>
  <c r="X140"/>
  <c r="X167"/>
  <c r="X194"/>
  <c r="W29"/>
  <c r="T24"/>
  <c r="S62"/>
  <c r="V94"/>
  <c r="Y126"/>
  <c r="T159"/>
  <c r="W191"/>
  <c r="X221"/>
  <c r="X248"/>
  <c r="U58"/>
  <c r="W67"/>
  <c r="V106"/>
  <c r="U145"/>
  <c r="S184"/>
  <c r="Y220"/>
  <c r="X252"/>
  <c r="X279"/>
  <c r="X306"/>
  <c r="X333"/>
  <c r="X360"/>
  <c r="X387"/>
  <c r="X414"/>
  <c r="X441"/>
  <c r="X468"/>
  <c r="X57"/>
  <c r="W97"/>
  <c r="V136"/>
  <c r="U175"/>
  <c r="W213"/>
  <c r="Y80"/>
  <c r="S139"/>
  <c r="V197"/>
  <c r="W242"/>
  <c r="T276"/>
  <c r="W308"/>
  <c r="S23"/>
  <c r="Z40"/>
  <c r="Z67"/>
  <c r="Z94"/>
  <c r="Z121"/>
  <c r="Z148"/>
  <c r="Z175"/>
  <c r="Z202"/>
  <c r="Y37"/>
  <c r="T39"/>
  <c r="Z71"/>
  <c r="U104"/>
  <c r="X136"/>
  <c r="S169"/>
  <c r="W201"/>
  <c r="Z229"/>
  <c r="W34"/>
  <c r="T33"/>
  <c r="V79"/>
  <c r="U118"/>
  <c r="S157"/>
  <c r="Z195"/>
  <c r="Y230"/>
  <c r="Z260"/>
  <c r="Z287"/>
  <c r="Z314"/>
  <c r="Z341"/>
  <c r="Z368"/>
  <c r="Z395"/>
  <c r="Z422"/>
  <c r="Z449"/>
  <c r="Z476"/>
  <c r="W70"/>
  <c r="V109"/>
  <c r="U148"/>
  <c r="U187"/>
  <c r="Z32"/>
  <c r="V98"/>
  <c r="Y156"/>
  <c r="U214"/>
  <c r="X253"/>
  <c r="S286"/>
  <c r="V318"/>
  <c r="Z142"/>
  <c r="S97"/>
  <c r="Z60"/>
  <c r="Z254"/>
  <c r="Z416"/>
  <c r="W178"/>
  <c r="Y278"/>
  <c r="Y350"/>
  <c r="Z29"/>
  <c r="Y96"/>
  <c r="T155"/>
  <c r="Z212"/>
  <c r="W252"/>
  <c r="S285"/>
  <c r="V317"/>
  <c r="Y349"/>
  <c r="Y89"/>
  <c r="S148"/>
  <c r="V206"/>
  <c r="W248"/>
  <c r="U281"/>
  <c r="X313"/>
  <c r="S346"/>
  <c r="T83"/>
  <c r="W141"/>
  <c r="Y199"/>
  <c r="S244"/>
  <c r="W277"/>
  <c r="Z309"/>
  <c r="U342"/>
  <c r="W76"/>
  <c r="Y134"/>
  <c r="S193"/>
  <c r="W239"/>
  <c r="Y273"/>
  <c r="V138"/>
  <c r="X91"/>
  <c r="W55"/>
  <c r="V250"/>
  <c r="V412"/>
  <c r="S172"/>
  <c r="V273"/>
  <c r="Z349"/>
  <c r="V25"/>
  <c r="T31"/>
  <c r="T58"/>
  <c r="T85"/>
  <c r="T112"/>
  <c r="T139"/>
  <c r="T166"/>
  <c r="T193"/>
  <c r="S28"/>
  <c r="X19"/>
  <c r="T60"/>
  <c r="W92"/>
  <c r="S125"/>
  <c r="V157"/>
  <c r="Y189"/>
  <c r="T220"/>
  <c r="T247"/>
  <c r="V56"/>
  <c r="U65"/>
  <c r="T104"/>
  <c r="T143"/>
  <c r="S182"/>
  <c r="S219"/>
  <c r="T251"/>
  <c r="T278"/>
  <c r="T305"/>
  <c r="T332"/>
  <c r="T359"/>
  <c r="T386"/>
  <c r="T413"/>
  <c r="T440"/>
  <c r="T467"/>
  <c r="Z54"/>
  <c r="V95"/>
  <c r="U134"/>
  <c r="T173"/>
  <c r="X211"/>
  <c r="W77"/>
  <c r="Z135"/>
  <c r="T194"/>
  <c r="U240"/>
  <c r="U274"/>
  <c r="Y306"/>
  <c r="X20"/>
  <c r="X47"/>
  <c r="X74"/>
  <c r="X101"/>
  <c r="X128"/>
  <c r="X155"/>
  <c r="X182"/>
  <c r="X209"/>
  <c r="Y21"/>
  <c r="W47"/>
  <c r="S80"/>
  <c r="V112"/>
  <c r="Y144"/>
  <c r="T177"/>
  <c r="W209"/>
  <c r="X236"/>
  <c r="Y43"/>
  <c r="S47"/>
  <c r="T89"/>
  <c r="S128"/>
  <c r="Y166"/>
  <c r="X205"/>
  <c r="Y238"/>
  <c r="X267"/>
  <c r="X294"/>
  <c r="X321"/>
  <c r="X348"/>
  <c r="X375"/>
  <c r="X402"/>
  <c r="X429"/>
  <c r="X456"/>
  <c r="S35"/>
  <c r="U80"/>
  <c r="T119"/>
  <c r="S158"/>
  <c r="Y196"/>
  <c r="X52"/>
  <c r="T113"/>
  <c r="W171"/>
  <c r="T225"/>
  <c r="Y261"/>
  <c r="T294"/>
  <c r="S20"/>
  <c r="Z37"/>
  <c r="Z64"/>
  <c r="Z91"/>
  <c r="Z118"/>
  <c r="Z145"/>
  <c r="Z172"/>
  <c r="Z199"/>
  <c r="Y34"/>
  <c r="X34"/>
  <c r="U68"/>
  <c r="X100"/>
  <c r="S133"/>
  <c r="W165"/>
  <c r="Z197"/>
  <c r="Z226"/>
  <c r="V29"/>
  <c r="V23"/>
  <c r="S75"/>
  <c r="Z113"/>
  <c r="Y152"/>
  <c r="Y191"/>
  <c r="T227"/>
  <c r="Z257"/>
  <c r="Z284"/>
  <c r="Z311"/>
  <c r="Z338"/>
  <c r="Z365"/>
  <c r="Z392"/>
  <c r="Z419"/>
  <c r="Z446"/>
  <c r="Z473"/>
  <c r="T66"/>
  <c r="S105"/>
  <c r="S144"/>
  <c r="Z182"/>
  <c r="Y219"/>
  <c r="S92"/>
  <c r="U150"/>
  <c r="W208"/>
  <c r="S250"/>
  <c r="V282"/>
  <c r="Y314"/>
  <c r="T28"/>
  <c r="T55"/>
  <c r="T82"/>
  <c r="T109"/>
  <c r="T136"/>
  <c r="T163"/>
  <c r="T190"/>
  <c r="S25"/>
  <c r="U29"/>
  <c r="W56"/>
  <c r="S89"/>
  <c r="V121"/>
  <c r="Y153"/>
  <c r="T186"/>
  <c r="T217"/>
  <c r="T244"/>
  <c r="Y52"/>
  <c r="W60"/>
  <c r="Z99"/>
  <c r="Y138"/>
  <c r="X177"/>
  <c r="V215"/>
  <c r="Y247"/>
  <c r="T275"/>
  <c r="T302"/>
  <c r="T329"/>
  <c r="T356"/>
  <c r="T383"/>
  <c r="T410"/>
  <c r="T437"/>
  <c r="T464"/>
  <c r="W49"/>
  <c r="S91"/>
  <c r="Z129"/>
  <c r="Y168"/>
  <c r="X207"/>
  <c r="T71"/>
  <c r="U129"/>
  <c r="X187"/>
  <c r="S236"/>
  <c r="Y270"/>
  <c r="T303"/>
  <c r="W18"/>
  <c r="V36"/>
  <c r="V63"/>
  <c r="V90"/>
  <c r="V117"/>
  <c r="V144"/>
  <c r="V171"/>
  <c r="V198"/>
  <c r="U33"/>
  <c r="V32"/>
  <c r="W66"/>
  <c r="Z98"/>
  <c r="U131"/>
  <c r="X163"/>
  <c r="S196"/>
  <c r="V225"/>
  <c r="T26"/>
  <c r="Y62"/>
  <c r="Z72"/>
  <c r="Y111"/>
  <c r="X150"/>
  <c r="W189"/>
  <c r="U225"/>
  <c r="V256"/>
  <c r="V283"/>
  <c r="V310"/>
  <c r="V337"/>
  <c r="V364"/>
  <c r="V391"/>
  <c r="V418"/>
  <c r="V445"/>
  <c r="V472"/>
  <c r="S64"/>
  <c r="Z102"/>
  <c r="Y141"/>
  <c r="X180"/>
  <c r="S218"/>
  <c r="X88"/>
  <c r="S147"/>
  <c r="V205"/>
  <c r="S248"/>
  <c r="X280"/>
  <c r="S313"/>
  <c r="Z115"/>
  <c r="X64"/>
  <c r="X21"/>
  <c r="W223"/>
  <c r="Z389"/>
  <c r="X139"/>
  <c r="Y245"/>
  <c r="V345"/>
  <c r="Y377"/>
  <c r="S87"/>
  <c r="V145"/>
  <c r="Y203"/>
  <c r="X246"/>
  <c r="W279"/>
  <c r="S312"/>
  <c r="V344"/>
  <c r="T80"/>
  <c r="U138"/>
  <c r="X196"/>
  <c r="T242"/>
  <c r="Y275"/>
  <c r="U308"/>
  <c r="X340"/>
  <c r="V73"/>
  <c r="Y131"/>
  <c r="S190"/>
  <c r="X237"/>
  <c r="S272"/>
  <c r="W304"/>
  <c r="Z336"/>
  <c r="Y66"/>
  <c r="T125"/>
  <c r="U183"/>
  <c r="T233"/>
  <c r="U268"/>
  <c r="V111"/>
  <c r="U59"/>
  <c r="V246"/>
  <c r="T218"/>
  <c r="V385"/>
  <c r="U133"/>
  <c r="U239"/>
  <c r="W344"/>
  <c r="Z376"/>
  <c r="X26"/>
  <c r="X53"/>
  <c r="X80"/>
  <c r="X107"/>
  <c r="X134"/>
  <c r="X161"/>
  <c r="X188"/>
  <c r="W23"/>
  <c r="Y27"/>
  <c r="Y54"/>
  <c r="T87"/>
  <c r="W119"/>
  <c r="S152"/>
  <c r="V184"/>
  <c r="X215"/>
  <c r="X242"/>
  <c r="S51"/>
  <c r="Y57"/>
  <c r="X97"/>
  <c r="W136"/>
  <c r="W175"/>
  <c r="X213"/>
  <c r="S246"/>
  <c r="X273"/>
  <c r="X300"/>
  <c r="X327"/>
  <c r="X354"/>
  <c r="X381"/>
  <c r="X408"/>
  <c r="X435"/>
  <c r="X462"/>
  <c r="Y46"/>
  <c r="Y88"/>
  <c r="Y127"/>
  <c r="X166"/>
  <c r="W205"/>
  <c r="Y67"/>
  <c r="T126"/>
  <c r="W184"/>
  <c r="Z233"/>
  <c r="Z268"/>
  <c r="U301"/>
  <c r="U25"/>
  <c r="T43"/>
  <c r="T70"/>
  <c r="T97"/>
  <c r="T124"/>
  <c r="T151"/>
  <c r="T178"/>
  <c r="T205"/>
  <c r="S40"/>
  <c r="T42"/>
  <c r="W74"/>
  <c r="S107"/>
  <c r="V139"/>
  <c r="Y171"/>
  <c r="T204"/>
  <c r="T232"/>
  <c r="S38"/>
  <c r="V38"/>
  <c r="W82"/>
  <c r="W121"/>
  <c r="V160"/>
  <c r="U199"/>
  <c r="V233"/>
  <c r="T263"/>
  <c r="T290"/>
  <c r="T317"/>
  <c r="T344"/>
  <c r="T371"/>
  <c r="T398"/>
  <c r="T425"/>
  <c r="T452"/>
  <c r="T20"/>
  <c r="Y73"/>
  <c r="X112"/>
  <c r="W151"/>
  <c r="V190"/>
  <c r="X40"/>
  <c r="W103"/>
  <c r="Y161"/>
  <c r="V218"/>
  <c r="U256"/>
  <c r="Y288"/>
  <c r="T321"/>
  <c r="V33"/>
  <c r="V60"/>
  <c r="V87"/>
  <c r="V114"/>
  <c r="V141"/>
  <c r="V168"/>
  <c r="V195"/>
  <c r="U30"/>
  <c r="V26"/>
  <c r="Z62"/>
  <c r="U95"/>
  <c r="X127"/>
  <c r="S160"/>
  <c r="W192"/>
  <c r="V222"/>
  <c r="V249"/>
  <c r="T59"/>
  <c r="W68"/>
  <c r="V107"/>
  <c r="U146"/>
  <c r="T185"/>
  <c r="Y221"/>
  <c r="V253"/>
  <c r="V280"/>
  <c r="V307"/>
  <c r="V334"/>
  <c r="V361"/>
  <c r="V388"/>
  <c r="V415"/>
  <c r="T49"/>
  <c r="T103"/>
  <c r="T157"/>
  <c r="S19"/>
  <c r="V49"/>
  <c r="T114"/>
  <c r="S179"/>
  <c r="T238"/>
  <c r="X49"/>
  <c r="S130"/>
  <c r="Z207"/>
  <c r="T269"/>
  <c r="T323"/>
  <c r="T377"/>
  <c r="T431"/>
  <c r="U38"/>
  <c r="U121"/>
  <c r="S199"/>
  <c r="V116"/>
  <c r="V227"/>
  <c r="Z295"/>
  <c r="X38"/>
  <c r="X92"/>
  <c r="X146"/>
  <c r="X200"/>
  <c r="Z35"/>
  <c r="W101"/>
  <c r="V166"/>
  <c r="X227"/>
  <c r="T27"/>
  <c r="Z114"/>
  <c r="Y192"/>
  <c r="X258"/>
  <c r="X312"/>
  <c r="X366"/>
  <c r="X420"/>
  <c r="X474"/>
  <c r="U106"/>
  <c r="Z183"/>
  <c r="Y93"/>
  <c r="U210"/>
  <c r="U283"/>
  <c r="Z28"/>
  <c r="Z82"/>
  <c r="Z136"/>
  <c r="Z190"/>
  <c r="S30"/>
  <c r="Z89"/>
  <c r="X154"/>
  <c r="Z217"/>
  <c r="Y53"/>
  <c r="S101"/>
  <c r="X178"/>
  <c r="Y248"/>
  <c r="Z302"/>
  <c r="Z356"/>
  <c r="Z410"/>
  <c r="V460"/>
  <c r="Y58"/>
  <c r="W124"/>
  <c r="V176"/>
  <c r="W62"/>
  <c r="W140"/>
  <c r="W230"/>
  <c r="S277"/>
  <c r="Y23"/>
  <c r="X50"/>
  <c r="X95"/>
  <c r="X131"/>
  <c r="X176"/>
  <c r="W20"/>
  <c r="V40"/>
  <c r="W83"/>
  <c r="W137"/>
  <c r="Y180"/>
  <c r="X230"/>
  <c r="V47"/>
  <c r="V80"/>
  <c r="U132"/>
  <c r="T197"/>
  <c r="V242"/>
  <c r="X288"/>
  <c r="X324"/>
  <c r="X369"/>
  <c r="X405"/>
  <c r="X450"/>
  <c r="V41"/>
  <c r="V110"/>
  <c r="U162"/>
  <c r="V35"/>
  <c r="Y119"/>
  <c r="Y215"/>
  <c r="U265"/>
  <c r="U319"/>
  <c r="Z31"/>
  <c r="Z76"/>
  <c r="Z112"/>
  <c r="Z157"/>
  <c r="Z193"/>
  <c r="S24"/>
  <c r="S61"/>
  <c r="S115"/>
  <c r="U158"/>
  <c r="Z211"/>
  <c r="Z247"/>
  <c r="Z50"/>
  <c r="U105"/>
  <c r="T170"/>
  <c r="Z219"/>
  <c r="Z269"/>
  <c r="Z305"/>
  <c r="Z350"/>
  <c r="Z386"/>
  <c r="Z431"/>
  <c r="Z467"/>
  <c r="V83"/>
  <c r="U135"/>
  <c r="T200"/>
  <c r="Z78"/>
  <c r="T176"/>
  <c r="V241"/>
  <c r="Y296"/>
  <c r="Z88"/>
  <c r="Z161"/>
  <c r="V187"/>
  <c r="Z470"/>
  <c r="S202"/>
  <c r="X361"/>
  <c r="V77"/>
  <c r="X174"/>
  <c r="T240"/>
  <c r="Y295"/>
  <c r="S339"/>
  <c r="U109"/>
  <c r="Z186"/>
  <c r="X259"/>
  <c r="Y302"/>
  <c r="W39"/>
  <c r="S122"/>
  <c r="X217"/>
  <c r="X266"/>
  <c r="X320"/>
  <c r="V55"/>
  <c r="U154"/>
  <c r="X226"/>
  <c r="V30"/>
  <c r="W31"/>
  <c r="S103"/>
  <c r="V358"/>
  <c r="Y75"/>
  <c r="T339"/>
  <c r="U54"/>
  <c r="W114"/>
  <c r="Y172"/>
  <c r="S226"/>
  <c r="W262"/>
  <c r="Z294"/>
  <c r="U327"/>
  <c r="S46"/>
  <c r="Y107"/>
  <c r="S166"/>
  <c r="W221"/>
  <c r="Y258"/>
  <c r="T291"/>
  <c r="W323"/>
  <c r="U37"/>
  <c r="T101"/>
  <c r="W159"/>
  <c r="W216"/>
  <c r="S255"/>
  <c r="V287"/>
  <c r="Y319"/>
  <c r="X22"/>
  <c r="S94"/>
  <c r="V152"/>
  <c r="X210"/>
  <c r="Z25"/>
  <c r="Z187"/>
  <c r="S151"/>
  <c r="X96"/>
  <c r="Z299"/>
  <c r="Z461"/>
  <c r="S66"/>
  <c r="W326"/>
  <c r="Y359"/>
  <c r="W52"/>
  <c r="S113"/>
  <c r="U171"/>
  <c r="S225"/>
  <c r="W261"/>
  <c r="S294"/>
  <c r="V326"/>
  <c r="X43"/>
  <c r="Z105"/>
  <c r="U164"/>
  <c r="W220"/>
  <c r="Y257"/>
  <c r="U290"/>
  <c r="X322"/>
  <c r="U34"/>
  <c r="U99"/>
  <c r="X157"/>
  <c r="S215"/>
  <c r="S254"/>
  <c r="W286"/>
  <c r="Z318"/>
  <c r="T18"/>
  <c r="Y92"/>
  <c r="Z150"/>
  <c r="U209"/>
  <c r="V21"/>
  <c r="V183"/>
  <c r="X145"/>
  <c r="T90"/>
  <c r="V295"/>
  <c r="V457"/>
  <c r="W54"/>
  <c r="X325"/>
  <c r="Z358"/>
  <c r="V50"/>
  <c r="T111"/>
  <c r="W169"/>
  <c r="S224"/>
  <c r="X260"/>
  <c r="S293"/>
  <c r="W325"/>
  <c r="Z41"/>
  <c r="W104"/>
  <c r="Z162"/>
  <c r="U219"/>
  <c r="Z256"/>
  <c r="X44"/>
  <c r="X98"/>
  <c r="X152"/>
  <c r="X206"/>
  <c r="S44"/>
  <c r="Y108"/>
  <c r="W173"/>
  <c r="X233"/>
  <c r="W41"/>
  <c r="X123"/>
  <c r="U201"/>
  <c r="X264"/>
  <c r="X318"/>
  <c r="X372"/>
  <c r="X426"/>
  <c r="Z26"/>
  <c r="Y114"/>
  <c r="X192"/>
  <c r="X106"/>
  <c r="S221"/>
  <c r="W290"/>
  <c r="T34"/>
  <c r="T88"/>
  <c r="T142"/>
  <c r="T196"/>
  <c r="U28"/>
  <c r="T96"/>
  <c r="S161"/>
  <c r="T223"/>
  <c r="S60"/>
  <c r="W108"/>
  <c r="U186"/>
  <c r="T254"/>
  <c r="T308"/>
  <c r="T362"/>
  <c r="T416"/>
  <c r="T470"/>
  <c r="X99"/>
  <c r="W177"/>
  <c r="S84"/>
  <c r="Y200"/>
  <c r="Z277"/>
  <c r="V24"/>
  <c r="V78"/>
  <c r="V132"/>
  <c r="V186"/>
  <c r="W25"/>
  <c r="W84"/>
  <c r="U149"/>
  <c r="V213"/>
  <c r="U48"/>
  <c r="W94"/>
  <c r="U172"/>
  <c r="U243"/>
  <c r="V298"/>
  <c r="V352"/>
  <c r="V406"/>
  <c r="Z455"/>
  <c r="Y50"/>
  <c r="S118"/>
  <c r="Y169"/>
  <c r="W50"/>
  <c r="Y130"/>
  <c r="T224"/>
  <c r="X271"/>
  <c r="U19"/>
  <c r="T46"/>
  <c r="T91"/>
  <c r="T127"/>
  <c r="T172"/>
  <c r="T208"/>
  <c r="X33"/>
  <c r="T78"/>
  <c r="T132"/>
  <c r="V175"/>
  <c r="T226"/>
  <c r="S42"/>
  <c r="S74"/>
  <c r="Y125"/>
  <c r="W190"/>
  <c r="S237"/>
  <c r="T284"/>
  <c r="T320"/>
  <c r="T365"/>
  <c r="T401"/>
  <c r="T446"/>
  <c r="V31"/>
  <c r="S104"/>
  <c r="Z155"/>
  <c r="Z218"/>
  <c r="S110"/>
  <c r="T207"/>
  <c r="Z259"/>
  <c r="Z313"/>
  <c r="V27"/>
  <c r="V72"/>
  <c r="V108"/>
  <c r="V153"/>
  <c r="V189"/>
  <c r="W19"/>
  <c r="X55"/>
  <c r="X109"/>
  <c r="Z152"/>
  <c r="Z206"/>
  <c r="V243"/>
  <c r="Y42"/>
  <c r="Y98"/>
  <c r="W163"/>
  <c r="W214"/>
  <c r="V265"/>
  <c r="V301"/>
  <c r="V346"/>
  <c r="V382"/>
  <c r="V427"/>
  <c r="V463"/>
  <c r="S77"/>
  <c r="Z128"/>
  <c r="X193"/>
  <c r="U69"/>
  <c r="W166"/>
  <c r="Z234"/>
  <c r="V291"/>
  <c r="Z61"/>
  <c r="W129"/>
  <c r="W148"/>
  <c r="Z443"/>
  <c r="Y143"/>
  <c r="U356"/>
  <c r="X67"/>
  <c r="Z164"/>
  <c r="Y233"/>
  <c r="V290"/>
  <c r="W333"/>
  <c r="W99"/>
  <c r="U177"/>
  <c r="U254"/>
  <c r="V297"/>
  <c r="X18"/>
  <c r="U112"/>
  <c r="V209"/>
  <c r="U261"/>
  <c r="U315"/>
  <c r="V43"/>
  <c r="W144"/>
  <c r="U220"/>
  <c r="T279"/>
  <c r="U27"/>
  <c r="U64"/>
  <c r="V331"/>
  <c r="Y210"/>
  <c r="Y333"/>
  <c r="U42"/>
  <c r="Y104"/>
  <c r="S163"/>
  <c r="W219"/>
  <c r="S257"/>
  <c r="W289"/>
  <c r="Z321"/>
  <c r="T32"/>
  <c r="T98"/>
  <c r="U156"/>
  <c r="Z213"/>
  <c r="U253"/>
  <c r="Y285"/>
  <c r="T318"/>
  <c r="W350"/>
  <c r="V91"/>
  <c r="Y149"/>
  <c r="S208"/>
  <c r="W249"/>
  <c r="S282"/>
  <c r="V314"/>
  <c r="Y346"/>
  <c r="U84"/>
  <c r="X142"/>
  <c r="S201"/>
  <c r="S245"/>
  <c r="Z160"/>
  <c r="X118"/>
  <c r="U56"/>
  <c r="Z272"/>
  <c r="Z434"/>
  <c r="W204"/>
  <c r="V300"/>
  <c r="V354"/>
  <c r="W40"/>
  <c r="U103"/>
  <c r="W161"/>
  <c r="U218"/>
  <c r="T256"/>
  <c r="W288"/>
  <c r="S321"/>
  <c r="X28"/>
  <c r="U96"/>
  <c r="W154"/>
  <c r="V212"/>
  <c r="V252"/>
  <c r="Y284"/>
  <c r="U317"/>
  <c r="X349"/>
  <c r="W89"/>
  <c r="Z147"/>
  <c r="U206"/>
  <c r="V248"/>
  <c r="S281"/>
  <c r="W313"/>
  <c r="Z345"/>
  <c r="S83"/>
  <c r="U141"/>
  <c r="W199"/>
  <c r="Z243"/>
  <c r="V156"/>
  <c r="U113"/>
  <c r="T48"/>
  <c r="V268"/>
  <c r="V430"/>
  <c r="S198"/>
  <c r="S295"/>
  <c r="W353"/>
  <c r="W37"/>
  <c r="V101"/>
  <c r="Y159"/>
  <c r="Y216"/>
  <c r="U255"/>
  <c r="X287"/>
  <c r="S320"/>
  <c r="Z24"/>
  <c r="Y94"/>
  <c r="T153"/>
  <c r="U211"/>
  <c r="W251"/>
  <c r="T40"/>
  <c r="T94"/>
  <c r="T148"/>
  <c r="T202"/>
  <c r="T38"/>
  <c r="V103"/>
  <c r="T168"/>
  <c r="T229"/>
  <c r="X31"/>
  <c r="T117"/>
  <c r="Z194"/>
  <c r="T260"/>
  <c r="T314"/>
  <c r="T368"/>
  <c r="T422"/>
  <c r="T476"/>
  <c r="U108"/>
  <c r="S186"/>
  <c r="Z96"/>
  <c r="S213"/>
  <c r="T285"/>
  <c r="X29"/>
  <c r="X83"/>
  <c r="X137"/>
  <c r="X191"/>
  <c r="Y30"/>
  <c r="Y90"/>
  <c r="W155"/>
  <c r="X218"/>
  <c r="X54"/>
  <c r="S102"/>
  <c r="Y179"/>
  <c r="X249"/>
  <c r="X303"/>
  <c r="X357"/>
  <c r="X411"/>
  <c r="X465"/>
  <c r="T93"/>
  <c r="S171"/>
  <c r="U74"/>
  <c r="S191"/>
  <c r="W272"/>
  <c r="Z19"/>
  <c r="Z73"/>
  <c r="Z127"/>
  <c r="Z181"/>
  <c r="S21"/>
  <c r="S79"/>
  <c r="Z143"/>
  <c r="X208"/>
  <c r="Z42"/>
  <c r="Z87"/>
  <c r="Y165"/>
  <c r="Z237"/>
  <c r="Z293"/>
  <c r="Z347"/>
  <c r="Z401"/>
  <c r="V442"/>
  <c r="X42"/>
  <c r="W98"/>
  <c r="V163"/>
  <c r="V214"/>
  <c r="S121"/>
  <c r="Z198"/>
  <c r="U266"/>
  <c r="V309"/>
  <c r="X41"/>
  <c r="X77"/>
  <c r="X122"/>
  <c r="X158"/>
  <c r="X203"/>
  <c r="Y24"/>
  <c r="Y72"/>
  <c r="S116"/>
  <c r="S170"/>
  <c r="X212"/>
  <c r="Y35"/>
  <c r="V52"/>
  <c r="U119"/>
  <c r="T171"/>
  <c r="X231"/>
  <c r="X270"/>
  <c r="X315"/>
  <c r="X351"/>
  <c r="X396"/>
  <c r="X432"/>
  <c r="X477"/>
  <c r="X84"/>
  <c r="V149"/>
  <c r="T201"/>
  <c r="U100"/>
  <c r="Z177"/>
  <c r="W254"/>
  <c r="Y297"/>
  <c r="Z22"/>
  <c r="Z58"/>
  <c r="Z103"/>
  <c r="Z139"/>
  <c r="Z184"/>
  <c r="Y28"/>
  <c r="U50"/>
  <c r="W93"/>
  <c r="W147"/>
  <c r="X190"/>
  <c r="Z238"/>
  <c r="U57"/>
  <c r="U92"/>
  <c r="T144"/>
  <c r="S209"/>
  <c r="Z251"/>
  <c r="Z296"/>
  <c r="Z332"/>
  <c r="Z377"/>
  <c r="Z413"/>
  <c r="Z458"/>
  <c r="T56"/>
  <c r="V122"/>
  <c r="T174"/>
  <c r="X58"/>
  <c r="U137"/>
  <c r="W228"/>
  <c r="U275"/>
  <c r="Z34"/>
  <c r="Y29"/>
  <c r="W109"/>
  <c r="Z362"/>
  <c r="W85"/>
  <c r="S340"/>
  <c r="Y56"/>
  <c r="X135"/>
  <c r="U227"/>
  <c r="T274"/>
  <c r="T328"/>
  <c r="V70"/>
  <c r="W167"/>
  <c r="X235"/>
  <c r="S292"/>
  <c r="U335"/>
  <c r="X102"/>
  <c r="U180"/>
  <c r="Z255"/>
  <c r="S299"/>
  <c r="X27"/>
  <c r="V115"/>
  <c r="T212"/>
  <c r="Z262"/>
  <c r="V192"/>
  <c r="V219"/>
  <c r="V304"/>
  <c r="U94"/>
  <c r="V327"/>
  <c r="W371"/>
  <c r="S95"/>
  <c r="U153"/>
  <c r="V211"/>
  <c r="X251"/>
  <c r="S284"/>
  <c r="W316"/>
  <c r="Z348"/>
  <c r="V88"/>
  <c r="Y146"/>
  <c r="Z204"/>
  <c r="W247"/>
  <c r="U280"/>
  <c r="Y312"/>
  <c r="T345"/>
  <c r="X81"/>
  <c r="S140"/>
  <c r="U198"/>
  <c r="S243"/>
  <c r="W276"/>
  <c r="S309"/>
  <c r="V341"/>
  <c r="Y74"/>
  <c r="Z132"/>
  <c r="U191"/>
  <c r="W238"/>
  <c r="Z133"/>
  <c r="U86"/>
  <c r="T50"/>
  <c r="T245"/>
  <c r="Z407"/>
  <c r="X165"/>
  <c r="S268"/>
  <c r="S349"/>
  <c r="Z20"/>
  <c r="X93"/>
  <c r="Y151"/>
  <c r="T210"/>
  <c r="Y250"/>
  <c r="T283"/>
  <c r="W315"/>
  <c r="S348"/>
  <c r="W86"/>
  <c r="Z144"/>
  <c r="T203"/>
  <c r="W246"/>
  <c r="V279"/>
  <c r="Y311"/>
  <c r="U344"/>
  <c r="Y79"/>
  <c r="T138"/>
  <c r="W196"/>
  <c r="S242"/>
  <c r="X275"/>
  <c r="S308"/>
  <c r="W340"/>
  <c r="U73"/>
  <c r="W131"/>
  <c r="Z189"/>
  <c r="W237"/>
  <c r="V129"/>
  <c r="Z80"/>
  <c r="Y44"/>
  <c r="Y239"/>
  <c r="V403"/>
  <c r="S159"/>
  <c r="X262"/>
  <c r="T348"/>
  <c r="W380"/>
  <c r="Y91"/>
  <c r="S150"/>
  <c r="V208"/>
  <c r="Z249"/>
  <c r="U282"/>
  <c r="X314"/>
  <c r="S347"/>
  <c r="S85"/>
  <c r="V143"/>
  <c r="Y201"/>
  <c r="V245"/>
  <c r="W278"/>
  <c r="T22"/>
  <c r="T76"/>
  <c r="T130"/>
  <c r="T184"/>
  <c r="U23"/>
  <c r="Y81"/>
  <c r="W146"/>
  <c r="T211"/>
  <c r="X45"/>
  <c r="U91"/>
  <c r="Z168"/>
  <c r="X240"/>
  <c r="T296"/>
  <c r="T350"/>
  <c r="T404"/>
  <c r="T458"/>
  <c r="V82"/>
  <c r="U160"/>
  <c r="Z56"/>
  <c r="Y174"/>
  <c r="W263"/>
  <c r="Y20"/>
  <c r="X65"/>
  <c r="X119"/>
  <c r="X173"/>
  <c r="W35"/>
  <c r="T69"/>
  <c r="S134"/>
  <c r="Y198"/>
  <c r="Z30"/>
  <c r="S76"/>
  <c r="Z153"/>
  <c r="S228"/>
  <c r="X285"/>
  <c r="X339"/>
  <c r="X393"/>
  <c r="X447"/>
  <c r="U67"/>
  <c r="S145"/>
  <c r="T21"/>
  <c r="T152"/>
  <c r="Z250"/>
  <c r="Y315"/>
  <c r="Z55"/>
  <c r="Z109"/>
  <c r="Z163"/>
  <c r="Y25"/>
  <c r="W57"/>
  <c r="U122"/>
  <c r="S187"/>
  <c r="Z244"/>
  <c r="X61"/>
  <c r="Y139"/>
  <c r="U216"/>
  <c r="Z275"/>
  <c r="Z329"/>
  <c r="Z383"/>
  <c r="Z437"/>
  <c r="S33"/>
  <c r="T92"/>
  <c r="Z156"/>
  <c r="Y208"/>
  <c r="U111"/>
  <c r="T189"/>
  <c r="Y260"/>
  <c r="S304"/>
  <c r="T37"/>
  <c r="T73"/>
  <c r="T118"/>
  <c r="T154"/>
  <c r="T199"/>
  <c r="U20"/>
  <c r="V67"/>
  <c r="W110"/>
  <c r="W164"/>
  <c r="Y207"/>
  <c r="Z27"/>
  <c r="U44"/>
  <c r="Y112"/>
  <c r="Y164"/>
  <c r="U226"/>
  <c r="T266"/>
  <c r="T311"/>
  <c r="T347"/>
  <c r="T392"/>
  <c r="T428"/>
  <c r="T473"/>
  <c r="S78"/>
  <c r="Y142"/>
  <c r="Y194"/>
  <c r="W90"/>
  <c r="U168"/>
  <c r="S249"/>
  <c r="U292"/>
  <c r="V18"/>
  <c r="V54"/>
  <c r="V99"/>
  <c r="V135"/>
  <c r="V180"/>
  <c r="U24"/>
  <c r="Z44"/>
  <c r="S88"/>
  <c r="S142"/>
  <c r="U185"/>
  <c r="V234"/>
  <c r="Z51"/>
  <c r="Y85"/>
  <c r="Y137"/>
  <c r="W202"/>
  <c r="Z246"/>
  <c r="V292"/>
  <c r="V328"/>
  <c r="V373"/>
  <c r="V409"/>
  <c r="V454"/>
  <c r="S48"/>
  <c r="Y115"/>
  <c r="Y167"/>
  <c r="V46"/>
  <c r="W127"/>
  <c r="S222"/>
  <c r="Y269"/>
  <c r="Y323"/>
  <c r="Y31"/>
  <c r="X70"/>
  <c r="Z335"/>
  <c r="T216"/>
  <c r="X334"/>
  <c r="V44"/>
  <c r="S126"/>
  <c r="X220"/>
  <c r="Y268"/>
  <c r="Y322"/>
  <c r="Z59"/>
  <c r="Y157"/>
  <c r="U229"/>
  <c r="X286"/>
  <c r="Y329"/>
  <c r="Z92"/>
  <c r="W170"/>
  <c r="W250"/>
  <c r="X293"/>
  <c r="X347"/>
  <c r="X105"/>
  <c r="Y202"/>
  <c r="W257"/>
  <c r="V165"/>
  <c r="Z188"/>
  <c r="V277"/>
  <c r="V53"/>
  <c r="Y305"/>
  <c r="T366"/>
  <c r="U85"/>
  <c r="W143"/>
  <c r="Z201"/>
  <c r="W245"/>
  <c r="X278"/>
  <c r="S311"/>
  <c r="W343"/>
  <c r="X78"/>
  <c r="S137"/>
  <c r="U195"/>
  <c r="S241"/>
  <c r="Z274"/>
  <c r="U307"/>
  <c r="Y339"/>
  <c r="S72"/>
  <c r="U130"/>
  <c r="W188"/>
  <c r="W236"/>
  <c r="T271"/>
  <c r="W303"/>
  <c r="S336"/>
  <c r="S65"/>
  <c r="U123"/>
  <c r="W181"/>
  <c r="S232"/>
  <c r="Z106"/>
  <c r="Z53"/>
  <c r="Z241"/>
  <c r="Y212"/>
  <c r="Z380"/>
  <c r="X126"/>
  <c r="Y232"/>
  <c r="X343"/>
  <c r="S376"/>
  <c r="Z83"/>
  <c r="U142"/>
  <c r="V200"/>
  <c r="W244"/>
  <c r="Y277"/>
  <c r="T310"/>
  <c r="W342"/>
  <c r="Y76"/>
  <c r="T135"/>
  <c r="W193"/>
  <c r="S240"/>
  <c r="S274"/>
  <c r="V306"/>
  <c r="Y338"/>
  <c r="U70"/>
  <c r="V128"/>
  <c r="Y186"/>
  <c r="W235"/>
  <c r="U270"/>
  <c r="X302"/>
  <c r="S335"/>
  <c r="W63"/>
  <c r="Y121"/>
  <c r="T180"/>
  <c r="S231"/>
  <c r="V102"/>
  <c r="W48"/>
  <c r="V237"/>
  <c r="Y206"/>
  <c r="V376"/>
  <c r="T120"/>
  <c r="V226"/>
  <c r="Y342"/>
  <c r="T375"/>
  <c r="S82"/>
  <c r="V140"/>
  <c r="X198"/>
  <c r="W243"/>
  <c r="Z276"/>
  <c r="U309"/>
  <c r="X341"/>
  <c r="U75"/>
  <c r="X133"/>
  <c r="S192"/>
  <c r="S239"/>
  <c r="T273"/>
  <c r="Y26"/>
  <c r="X71"/>
  <c r="X125"/>
  <c r="X179"/>
  <c r="Y18"/>
  <c r="V76"/>
  <c r="T141"/>
  <c r="S206"/>
  <c r="U40"/>
  <c r="Y84"/>
  <c r="W162"/>
  <c r="U235"/>
  <c r="X291"/>
  <c r="X345"/>
  <c r="X399"/>
  <c r="X453"/>
  <c r="Z75"/>
  <c r="X153"/>
  <c r="W44"/>
  <c r="S165"/>
  <c r="T258"/>
  <c r="Z322"/>
  <c r="T61"/>
  <c r="T115"/>
  <c r="T169"/>
  <c r="S31"/>
  <c r="Y63"/>
  <c r="W128"/>
  <c r="V193"/>
  <c r="V19"/>
  <c r="X69"/>
  <c r="U147"/>
  <c r="X222"/>
  <c r="T281"/>
  <c r="T335"/>
  <c r="T389"/>
  <c r="T443"/>
  <c r="U60"/>
  <c r="X138"/>
  <c r="U215"/>
  <c r="V142"/>
  <c r="X244"/>
  <c r="U310"/>
  <c r="V51"/>
  <c r="V105"/>
  <c r="V159"/>
  <c r="U21"/>
  <c r="S52"/>
  <c r="Z116"/>
  <c r="X181"/>
  <c r="V240"/>
  <c r="W53"/>
  <c r="V133"/>
  <c r="Z210"/>
  <c r="V271"/>
  <c r="V325"/>
  <c r="V379"/>
  <c r="V433"/>
  <c r="V469"/>
  <c r="X85"/>
  <c r="V137"/>
  <c r="U202"/>
  <c r="U82"/>
  <c r="V179"/>
  <c r="X243"/>
  <c r="X298"/>
  <c r="X23"/>
  <c r="X68"/>
  <c r="X104"/>
  <c r="X149"/>
  <c r="X185"/>
  <c r="W38"/>
  <c r="T51"/>
  <c r="T105"/>
  <c r="V148"/>
  <c r="V202"/>
  <c r="X239"/>
  <c r="T35"/>
  <c r="U93"/>
  <c r="T158"/>
  <c r="S210"/>
  <c r="X261"/>
  <c r="X297"/>
  <c r="X342"/>
  <c r="X378"/>
  <c r="X423"/>
  <c r="X459"/>
  <c r="W71"/>
  <c r="W123"/>
  <c r="U188"/>
  <c r="Y60"/>
  <c r="W158"/>
  <c r="W229"/>
  <c r="Z286"/>
  <c r="T330"/>
  <c r="Z49"/>
  <c r="Z85"/>
  <c r="Z130"/>
  <c r="Z166"/>
  <c r="Y19"/>
  <c r="Z21"/>
  <c r="X82"/>
  <c r="Z125"/>
  <c r="Z179"/>
  <c r="Z220"/>
  <c r="W46"/>
  <c r="U66"/>
  <c r="T131"/>
  <c r="S183"/>
  <c r="W241"/>
  <c r="Z278"/>
  <c r="Z323"/>
  <c r="Z359"/>
  <c r="Z404"/>
  <c r="Z440"/>
  <c r="Y39"/>
  <c r="W96"/>
  <c r="U161"/>
  <c r="W212"/>
  <c r="Z117"/>
  <c r="X195"/>
  <c r="V264"/>
  <c r="X307"/>
  <c r="Z196"/>
  <c r="Z223"/>
  <c r="Z308"/>
  <c r="Y100"/>
  <c r="U328"/>
  <c r="V372"/>
  <c r="U116"/>
  <c r="S194"/>
  <c r="V263"/>
  <c r="W306"/>
  <c r="Z47"/>
  <c r="Y128"/>
  <c r="Y222"/>
  <c r="V270"/>
  <c r="V324"/>
  <c r="X63"/>
  <c r="Y160"/>
  <c r="T231"/>
  <c r="U288"/>
  <c r="W331"/>
  <c r="Z95"/>
  <c r="Y173"/>
  <c r="T252"/>
  <c r="V84"/>
  <c r="W156"/>
  <c r="Z180"/>
  <c r="V466"/>
  <c r="U192"/>
  <c r="Y360"/>
  <c r="X75"/>
  <c r="Y133"/>
  <c r="T192"/>
  <c r="T239"/>
  <c r="U273"/>
  <c r="X305"/>
  <c r="S338"/>
  <c r="Z68"/>
  <c r="U127"/>
  <c r="W185"/>
  <c r="X234"/>
  <c r="W269"/>
  <c r="Z301"/>
  <c r="U334"/>
  <c r="T62"/>
  <c r="X120"/>
  <c r="Y178"/>
  <c r="T230"/>
  <c r="Y265"/>
  <c r="T298"/>
  <c r="W330"/>
  <c r="U53"/>
  <c r="W113"/>
  <c r="Z171"/>
  <c r="X225"/>
  <c r="Z79"/>
  <c r="S27"/>
  <c r="Z214"/>
  <c r="U174"/>
  <c r="Z353"/>
  <c r="Y87"/>
  <c r="Y182"/>
  <c r="U338"/>
  <c r="X370"/>
  <c r="T74"/>
  <c r="W132"/>
  <c r="Y190"/>
  <c r="S238"/>
  <c r="V272"/>
  <c r="Y304"/>
  <c r="T337"/>
  <c r="S67"/>
  <c r="V125"/>
  <c r="Y183"/>
  <c r="W233"/>
  <c r="X268"/>
  <c r="S301"/>
  <c r="V333"/>
  <c r="Y59"/>
  <c r="Y118"/>
  <c r="S177"/>
  <c r="S229"/>
  <c r="Z264"/>
  <c r="U297"/>
  <c r="X329"/>
  <c r="W51"/>
  <c r="S112"/>
  <c r="V170"/>
  <c r="W224"/>
  <c r="V75"/>
  <c r="W22"/>
  <c r="V210"/>
  <c r="Z167"/>
  <c r="V349"/>
  <c r="U81"/>
  <c r="S173"/>
  <c r="U337"/>
  <c r="Y369"/>
  <c r="U72"/>
  <c r="X130"/>
  <c r="S189"/>
  <c r="Z236"/>
  <c r="W271"/>
  <c r="Z303"/>
  <c r="U336"/>
  <c r="Y65"/>
  <c r="Z123"/>
  <c r="U182"/>
  <c r="V232"/>
  <c r="Y267"/>
  <c r="U22"/>
  <c r="T67"/>
  <c r="T121"/>
  <c r="T175"/>
  <c r="S37"/>
  <c r="S71"/>
  <c r="Y135"/>
  <c r="W200"/>
  <c r="W33"/>
  <c r="U78"/>
  <c r="S156"/>
  <c r="Y229"/>
  <c r="T287"/>
  <c r="T341"/>
  <c r="T395"/>
  <c r="T449"/>
  <c r="W69"/>
  <c r="T147"/>
  <c r="T30"/>
  <c r="U155"/>
  <c r="Y252"/>
  <c r="W317"/>
  <c r="X56"/>
  <c r="X110"/>
  <c r="X164"/>
  <c r="W26"/>
  <c r="V58"/>
  <c r="T123"/>
  <c r="S188"/>
  <c r="X245"/>
  <c r="T63"/>
  <c r="Z140"/>
  <c r="U217"/>
  <c r="X276"/>
  <c r="X330"/>
  <c r="X384"/>
  <c r="X438"/>
  <c r="U52"/>
  <c r="S132"/>
  <c r="Z209"/>
  <c r="X132"/>
  <c r="U238"/>
  <c r="Z304"/>
  <c r="Z46"/>
  <c r="Z100"/>
  <c r="Z154"/>
  <c r="Z208"/>
  <c r="X46"/>
  <c r="W111"/>
  <c r="U176"/>
  <c r="Z235"/>
  <c r="W45"/>
  <c r="Z126"/>
  <c r="X204"/>
  <c r="Z266"/>
  <c r="Z320"/>
  <c r="Z374"/>
  <c r="Z428"/>
  <c r="Z464"/>
  <c r="U79"/>
  <c r="S131"/>
  <c r="Y195"/>
  <c r="W72"/>
  <c r="X169"/>
  <c r="T237"/>
  <c r="U293"/>
  <c r="T19"/>
  <c r="T64"/>
  <c r="T100"/>
  <c r="T145"/>
  <c r="T181"/>
  <c r="S34"/>
  <c r="Y45"/>
  <c r="Y99"/>
  <c r="S143"/>
  <c r="S197"/>
  <c r="T235"/>
  <c r="V20"/>
  <c r="Z86"/>
  <c r="X151"/>
  <c r="W203"/>
  <c r="T257"/>
  <c r="T293"/>
  <c r="T338"/>
  <c r="T374"/>
  <c r="T419"/>
  <c r="T455"/>
  <c r="T65"/>
  <c r="S117"/>
  <c r="Y181"/>
  <c r="Y48"/>
  <c r="Y148"/>
  <c r="S223"/>
  <c r="W281"/>
  <c r="Y324"/>
  <c r="V45"/>
  <c r="V81"/>
  <c r="V126"/>
  <c r="V162"/>
  <c r="V207"/>
  <c r="W28"/>
  <c r="U77"/>
  <c r="W120"/>
  <c r="W174"/>
  <c r="V216"/>
  <c r="T41"/>
  <c r="S59"/>
  <c r="X124"/>
  <c r="W176"/>
  <c r="T236"/>
  <c r="V274"/>
  <c r="V319"/>
  <c r="V355"/>
  <c r="V400"/>
  <c r="V436"/>
  <c r="S29"/>
  <c r="S90"/>
  <c r="Y154"/>
  <c r="W206"/>
  <c r="T108"/>
  <c r="Z185"/>
  <c r="S259"/>
  <c r="U302"/>
  <c r="Z169"/>
  <c r="U194"/>
  <c r="Z281"/>
  <c r="W61"/>
  <c r="U311"/>
  <c r="S367"/>
  <c r="W106"/>
  <c r="U184"/>
  <c r="S258"/>
  <c r="T301"/>
  <c r="V34"/>
  <c r="S119"/>
  <c r="T215"/>
  <c r="S265"/>
  <c r="S319"/>
  <c r="X51"/>
  <c r="U151"/>
  <c r="Y224"/>
  <c r="Z282"/>
  <c r="S326"/>
  <c r="T86"/>
  <c r="S164"/>
  <c r="T246"/>
  <c r="V57"/>
  <c r="S124"/>
  <c r="Z141"/>
  <c r="V439"/>
  <c r="T134"/>
  <c r="U355"/>
  <c r="Z65"/>
  <c r="U124"/>
  <c r="V182"/>
  <c r="X232"/>
  <c r="Z267"/>
  <c r="U300"/>
  <c r="X332"/>
  <c r="S58"/>
  <c r="W117"/>
  <c r="Y175"/>
  <c r="T228"/>
  <c r="T264"/>
  <c r="W296"/>
  <c r="Z328"/>
  <c r="Y49"/>
  <c r="Z110"/>
  <c r="U169"/>
  <c r="X223"/>
  <c r="V260"/>
  <c r="Y292"/>
  <c r="T325"/>
  <c r="S41"/>
  <c r="Y103"/>
  <c r="T162"/>
  <c r="Y218"/>
  <c r="Z52"/>
  <c r="Y22"/>
  <c r="W183"/>
  <c r="W135"/>
  <c r="Z326"/>
  <c r="U45"/>
  <c r="V124"/>
  <c r="Y332"/>
  <c r="U365"/>
  <c r="V64"/>
  <c r="Y122"/>
  <c r="S181"/>
  <c r="W231"/>
  <c r="S267"/>
  <c r="V299"/>
  <c r="Y331"/>
  <c r="S56"/>
  <c r="X115"/>
  <c r="S174"/>
  <c r="S227"/>
  <c r="U263"/>
  <c r="X295"/>
  <c r="S328"/>
  <c r="Y47"/>
  <c r="S109"/>
  <c r="V167"/>
  <c r="W222"/>
  <c r="W259"/>
  <c r="Z291"/>
  <c r="U324"/>
  <c r="Z38"/>
  <c r="U102"/>
  <c r="X160"/>
  <c r="W217"/>
  <c r="V48"/>
  <c r="U18"/>
  <c r="S178"/>
  <c r="S129"/>
  <c r="V322"/>
  <c r="W36"/>
  <c r="X114"/>
  <c r="Z331"/>
  <c r="U364"/>
  <c r="V62"/>
  <c r="Z120"/>
  <c r="U179"/>
  <c r="V230"/>
  <c r="S266"/>
  <c r="W298"/>
  <c r="Z330"/>
  <c r="T54"/>
  <c r="U114"/>
  <c r="W172"/>
  <c r="Z225"/>
  <c r="U262"/>
  <c r="Y294"/>
  <c r="T327"/>
  <c r="Z45"/>
  <c r="W107"/>
  <c r="Z165"/>
  <c r="V221"/>
  <c r="W258"/>
  <c r="S291"/>
  <c r="V323"/>
  <c r="T36"/>
  <c r="W100"/>
  <c r="Z158"/>
  <c r="S216"/>
  <c r="V39"/>
  <c r="V201"/>
  <c r="U167"/>
  <c r="T116"/>
  <c r="V313"/>
  <c r="V475"/>
  <c r="T95"/>
  <c r="U329"/>
  <c r="W362"/>
  <c r="W58"/>
  <c r="X117"/>
  <c r="U316"/>
  <c r="S32"/>
  <c r="U117"/>
  <c r="V185"/>
  <c r="Z240"/>
  <c r="T280"/>
  <c r="S318"/>
  <c r="S49"/>
  <c r="S120"/>
  <c r="T188"/>
  <c r="Z242"/>
  <c r="V174"/>
  <c r="X199"/>
  <c r="Y193"/>
  <c r="V394"/>
  <c r="S185"/>
  <c r="X316"/>
  <c r="Z367"/>
  <c r="Y78"/>
  <c r="Z146"/>
  <c r="U205"/>
  <c r="X247"/>
  <c r="W280"/>
  <c r="Z312"/>
  <c r="U345"/>
  <c r="Z81"/>
  <c r="T140"/>
  <c r="W198"/>
  <c r="T243"/>
  <c r="Y276"/>
  <c r="T309"/>
  <c r="W341"/>
  <c r="T75"/>
  <c r="W133"/>
  <c r="Z191"/>
  <c r="X238"/>
  <c r="S273"/>
  <c r="V305"/>
  <c r="Y337"/>
  <c r="T68"/>
  <c r="W126"/>
  <c r="Y184"/>
  <c r="T234"/>
  <c r="U269"/>
  <c r="X301"/>
  <c r="S334"/>
  <c r="U63"/>
  <c r="X121"/>
  <c r="S180"/>
  <c r="T358"/>
  <c r="U394"/>
  <c r="Z124"/>
  <c r="U257"/>
  <c r="Z248"/>
  <c r="S200"/>
  <c r="S135"/>
  <c r="Z69"/>
  <c r="T270"/>
  <c r="X310"/>
  <c r="U349"/>
  <c r="X103"/>
  <c r="V173"/>
  <c r="U361"/>
  <c r="U403"/>
  <c r="U439"/>
  <c r="Y471"/>
  <c r="Z499"/>
  <c r="Y244"/>
  <c r="X368"/>
  <c r="T403"/>
  <c r="W435"/>
  <c r="Z468"/>
  <c r="W497"/>
  <c r="T250"/>
  <c r="W369"/>
  <c r="Z403"/>
  <c r="U436"/>
  <c r="X469"/>
  <c r="Z498"/>
  <c r="W265"/>
  <c r="Y372"/>
  <c r="W406"/>
  <c r="Y439"/>
  <c r="S473"/>
  <c r="U503"/>
  <c r="S297"/>
  <c r="S379"/>
  <c r="Y411"/>
  <c r="T444"/>
  <c r="W476"/>
  <c r="Z503"/>
  <c r="W301"/>
  <c r="Z379"/>
  <c r="W412"/>
  <c r="Z232"/>
  <c r="U374"/>
  <c r="V308"/>
  <c r="U272"/>
  <c r="U233"/>
  <c r="Z176"/>
  <c r="X283"/>
  <c r="U322"/>
  <c r="T53"/>
  <c r="Y124"/>
  <c r="V239"/>
  <c r="V375"/>
  <c r="S415"/>
  <c r="U449"/>
  <c r="T481"/>
  <c r="T508"/>
  <c r="S305"/>
  <c r="X380"/>
  <c r="S413"/>
  <c r="W445"/>
  <c r="Y478"/>
  <c r="Y505"/>
  <c r="W309"/>
  <c r="V381"/>
  <c r="Y413"/>
  <c r="U446"/>
  <c r="T480"/>
  <c r="T507"/>
  <c r="Z324"/>
  <c r="S384"/>
  <c r="V416"/>
  <c r="X449"/>
  <c r="Y483"/>
  <c r="W511"/>
  <c r="S352"/>
  <c r="U389"/>
  <c r="X421"/>
  <c r="S454"/>
  <c r="T485"/>
  <c r="T512"/>
  <c r="Z352"/>
  <c r="S390"/>
  <c r="V422"/>
  <c r="Z344"/>
  <c r="T129"/>
  <c r="Z63"/>
  <c r="X331"/>
  <c r="W295"/>
  <c r="U250"/>
  <c r="U295"/>
  <c r="Z334"/>
  <c r="U76"/>
  <c r="Y145"/>
  <c r="V311"/>
  <c r="S388"/>
  <c r="Y426"/>
  <c r="T459"/>
  <c r="V489"/>
  <c r="V516"/>
  <c r="X353"/>
  <c r="W390"/>
  <c r="S423"/>
  <c r="U456"/>
  <c r="S487"/>
  <c r="Y514"/>
  <c r="W354"/>
  <c r="U391"/>
  <c r="Y423"/>
  <c r="T456"/>
  <c r="V488"/>
  <c r="V515"/>
  <c r="W357"/>
  <c r="Z393"/>
  <c r="U426"/>
  <c r="W459"/>
  <c r="S492"/>
  <c r="X214"/>
  <c r="Z363"/>
  <c r="T399"/>
  <c r="W431"/>
  <c r="Z463"/>
  <c r="V493"/>
  <c r="T221"/>
  <c r="Y364"/>
  <c r="Z399"/>
  <c r="Z43"/>
  <c r="Z104"/>
  <c r="V229"/>
  <c r="Y170"/>
  <c r="Y105"/>
  <c r="Z33"/>
  <c r="X265"/>
  <c r="Z307"/>
  <c r="X346"/>
  <c r="U97"/>
  <c r="S167"/>
  <c r="S357"/>
  <c r="X400"/>
  <c r="X436"/>
  <c r="S469"/>
  <c r="X497"/>
  <c r="W225"/>
  <c r="W365"/>
  <c r="W400"/>
  <c r="Z432"/>
  <c r="T466"/>
  <c r="U495"/>
  <c r="Z230"/>
  <c r="V366"/>
  <c r="U401"/>
  <c r="X433"/>
  <c r="Z466"/>
  <c r="X496"/>
  <c r="T249"/>
  <c r="V369"/>
  <c r="Y403"/>
  <c r="S437"/>
  <c r="V470"/>
  <c r="U500"/>
  <c r="Y280"/>
  <c r="Y375"/>
  <c r="S409"/>
  <c r="V441"/>
  <c r="Y473"/>
  <c r="X501"/>
  <c r="U285"/>
  <c r="X376"/>
  <c r="Y409"/>
  <c r="Z178"/>
  <c r="S322"/>
  <c r="Y259"/>
  <c r="Y217"/>
  <c r="V154"/>
  <c r="V89"/>
  <c r="Z271"/>
  <c r="U313"/>
  <c r="W27"/>
  <c r="Y106"/>
  <c r="Y176"/>
  <c r="W363"/>
  <c r="S406"/>
  <c r="T441"/>
  <c r="W473"/>
  <c r="V501"/>
  <c r="W256"/>
  <c r="Z370"/>
  <c r="S405"/>
  <c r="V437"/>
  <c r="X470"/>
  <c r="S499"/>
  <c r="S261"/>
  <c r="Y371"/>
  <c r="Y405"/>
  <c r="T438"/>
  <c r="V471"/>
  <c r="V500"/>
  <c r="U276"/>
  <c r="Y374"/>
  <c r="U408"/>
  <c r="W441"/>
  <c r="Y475"/>
  <c r="Y504"/>
  <c r="Y307"/>
  <c r="T381"/>
  <c r="W413"/>
  <c r="Z445"/>
  <c r="U478"/>
  <c r="V505"/>
  <c r="U312"/>
  <c r="Z381"/>
  <c r="U414"/>
  <c r="X446"/>
  <c r="S479"/>
  <c r="S506"/>
  <c r="V86"/>
  <c r="Y163"/>
  <c r="W210"/>
  <c r="T364"/>
  <c r="S402"/>
  <c r="T500"/>
  <c r="W489"/>
  <c r="X250"/>
  <c r="U410"/>
  <c r="V467"/>
  <c r="X311"/>
  <c r="S333"/>
  <c r="Y356"/>
  <c r="Y357"/>
  <c r="Z360"/>
  <c r="T367"/>
  <c r="S368"/>
  <c r="V458"/>
  <c r="S494"/>
  <c r="W486"/>
  <c r="W283"/>
  <c r="W448"/>
  <c r="V315"/>
  <c r="U139"/>
  <c r="T514"/>
  <c r="W512"/>
  <c r="T513"/>
  <c r="W186"/>
  <c r="V194"/>
  <c r="U450"/>
  <c r="W498"/>
  <c r="S370"/>
  <c r="Y334"/>
  <c r="Z39"/>
  <c r="U286"/>
  <c r="Y417"/>
  <c r="Z414"/>
  <c r="X415"/>
  <c r="T418"/>
  <c r="V423"/>
  <c r="S462"/>
  <c r="Z475"/>
  <c r="W480"/>
  <c r="X144"/>
  <c r="Z174"/>
  <c r="S251"/>
  <c r="W255"/>
  <c r="Z270"/>
  <c r="V302"/>
  <c r="Z306"/>
  <c r="Z453"/>
  <c r="U490"/>
  <c r="U236"/>
  <c r="Y445"/>
  <c r="S500"/>
  <c r="V476"/>
  <c r="Y286"/>
  <c r="S149"/>
  <c r="Z310"/>
  <c r="Y348"/>
  <c r="Y97"/>
  <c r="X175"/>
  <c r="W234"/>
  <c r="Y274"/>
  <c r="W312"/>
  <c r="V350"/>
  <c r="U110"/>
  <c r="V178"/>
  <c r="V236"/>
  <c r="V147"/>
  <c r="Z134"/>
  <c r="S155"/>
  <c r="V367"/>
  <c r="T146"/>
  <c r="U284"/>
  <c r="T357"/>
  <c r="S69"/>
  <c r="T137"/>
  <c r="W195"/>
  <c r="U241"/>
  <c r="S275"/>
  <c r="W307"/>
  <c r="Z339"/>
  <c r="T72"/>
  <c r="W130"/>
  <c r="Y188"/>
  <c r="Y236"/>
  <c r="U271"/>
  <c r="Y303"/>
  <c r="T336"/>
  <c r="V65"/>
  <c r="Y123"/>
  <c r="T182"/>
  <c r="U232"/>
  <c r="W267"/>
  <c r="S300"/>
  <c r="V332"/>
  <c r="T57"/>
  <c r="Y116"/>
  <c r="S175"/>
  <c r="Y227"/>
  <c r="Y263"/>
  <c r="U296"/>
  <c r="X328"/>
  <c r="U51"/>
  <c r="Z111"/>
  <c r="U170"/>
  <c r="W351"/>
  <c r="Z388"/>
  <c r="U421"/>
  <c r="W152"/>
  <c r="S207"/>
  <c r="X141"/>
  <c r="X76"/>
  <c r="X338"/>
  <c r="T261"/>
  <c r="U304"/>
  <c r="S343"/>
  <c r="X90"/>
  <c r="S162"/>
  <c r="Y353"/>
  <c r="S397"/>
  <c r="Z433"/>
  <c r="U466"/>
  <c r="V495"/>
  <c r="Z200"/>
  <c r="U362"/>
  <c r="Y397"/>
  <c r="T430"/>
  <c r="W463"/>
  <c r="S493"/>
  <c r="V199"/>
  <c r="T363"/>
  <c r="W398"/>
  <c r="Z430"/>
  <c r="U464"/>
  <c r="V494"/>
  <c r="X229"/>
  <c r="U366"/>
  <c r="S401"/>
  <c r="V434"/>
  <c r="X467"/>
  <c r="S498"/>
  <c r="W264"/>
  <c r="W372"/>
  <c r="U406"/>
  <c r="Y438"/>
  <c r="T471"/>
  <c r="V499"/>
  <c r="S269"/>
  <c r="W373"/>
  <c r="S407"/>
  <c r="S43"/>
  <c r="Y341"/>
  <c r="S276"/>
  <c r="Y237"/>
  <c r="X183"/>
  <c r="W118"/>
  <c r="V276"/>
  <c r="S316"/>
  <c r="S36"/>
  <c r="V113"/>
  <c r="T183"/>
  <c r="Y367"/>
  <c r="Y408"/>
  <c r="Y443"/>
  <c r="U476"/>
  <c r="X503"/>
  <c r="X272"/>
  <c r="S374"/>
  <c r="X407"/>
  <c r="S440"/>
  <c r="V473"/>
  <c r="U501"/>
  <c r="T277"/>
  <c r="S375"/>
  <c r="V408"/>
  <c r="Y440"/>
  <c r="T474"/>
  <c r="X502"/>
  <c r="W292"/>
  <c r="T378"/>
  <c r="S411"/>
  <c r="U444"/>
  <c r="U479"/>
  <c r="S507"/>
  <c r="S324"/>
  <c r="Y383"/>
  <c r="U416"/>
  <c r="X448"/>
  <c r="X480"/>
  <c r="X507"/>
  <c r="W328"/>
  <c r="W384"/>
  <c r="S417"/>
  <c r="V161"/>
  <c r="Y70"/>
  <c r="V335"/>
  <c r="U299"/>
  <c r="S263"/>
  <c r="U222"/>
  <c r="S289"/>
  <c r="Y327"/>
  <c r="Y64"/>
  <c r="W134"/>
  <c r="W273"/>
  <c r="Y381"/>
  <c r="V420"/>
  <c r="Y453"/>
  <c r="Z484"/>
  <c r="Z511"/>
  <c r="S332"/>
  <c r="T385"/>
  <c r="W417"/>
  <c r="S450"/>
  <c r="W482"/>
  <c r="U510"/>
  <c r="W336"/>
  <c r="Z385"/>
  <c r="U418"/>
  <c r="Y450"/>
  <c r="Z483"/>
  <c r="Z510"/>
  <c r="T351"/>
  <c r="W388"/>
  <c r="Z420"/>
  <c r="T454"/>
  <c r="W487"/>
  <c r="U515"/>
  <c r="V357"/>
  <c r="Y393"/>
  <c r="T426"/>
  <c r="W458"/>
  <c r="Z488"/>
  <c r="Z515"/>
  <c r="U358"/>
  <c r="W394"/>
  <c r="Z426"/>
  <c r="T23"/>
  <c r="Y177"/>
  <c r="W112"/>
  <c r="W43"/>
  <c r="W322"/>
  <c r="X256"/>
  <c r="Y300"/>
  <c r="U340"/>
  <c r="S86"/>
  <c r="V155"/>
  <c r="Y343"/>
  <c r="V393"/>
  <c r="U431"/>
  <c r="X463"/>
  <c r="T493"/>
  <c r="Y476"/>
  <c r="S359"/>
  <c r="S395"/>
  <c r="W427"/>
  <c r="Y460"/>
  <c r="Y490"/>
  <c r="Z516"/>
  <c r="S360"/>
  <c r="Y395"/>
  <c r="U428"/>
  <c r="W461"/>
  <c r="T492"/>
  <c r="Y501"/>
  <c r="S363"/>
  <c r="V398"/>
  <c r="Y430"/>
  <c r="S465"/>
  <c r="Y495"/>
  <c r="T248"/>
  <c r="U369"/>
  <c r="X403"/>
  <c r="S436"/>
  <c r="V468"/>
  <c r="T497"/>
  <c r="Z252"/>
  <c r="T370"/>
  <c r="V404"/>
  <c r="S26"/>
  <c r="W42"/>
  <c r="Z222"/>
  <c r="T161"/>
  <c r="S96"/>
  <c r="W349"/>
  <c r="Y264"/>
  <c r="T306"/>
  <c r="Y345"/>
  <c r="Y95"/>
  <c r="T165"/>
  <c r="Z355"/>
  <c r="Y398"/>
  <c r="Y435"/>
  <c r="T468"/>
  <c r="Z496"/>
  <c r="W218"/>
  <c r="W364"/>
  <c r="W399"/>
  <c r="S432"/>
  <c r="U465"/>
  <c r="W494"/>
  <c r="U224"/>
  <c r="V365"/>
  <c r="U400"/>
  <c r="Y432"/>
  <c r="S466"/>
  <c r="Z495"/>
  <c r="Y242"/>
  <c r="V368"/>
  <c r="Z402"/>
  <c r="T436"/>
  <c r="W469"/>
  <c r="W499"/>
  <c r="V275"/>
  <c r="X374"/>
  <c r="T408"/>
  <c r="W440"/>
  <c r="Z472"/>
  <c r="Z500"/>
  <c r="Z279"/>
  <c r="W375"/>
  <c r="Z408"/>
  <c r="U441"/>
  <c r="X473"/>
  <c r="W501"/>
  <c r="V151"/>
  <c r="Z93"/>
  <c r="T496"/>
  <c r="V217"/>
  <c r="U367"/>
  <c r="X439"/>
  <c r="W465"/>
  <c r="Y491"/>
  <c r="T475"/>
  <c r="T442"/>
  <c r="Y347"/>
  <c r="U152"/>
  <c r="S508"/>
  <c r="X189"/>
  <c r="X431"/>
  <c r="S235"/>
  <c r="W240"/>
  <c r="T451"/>
  <c r="Y488"/>
  <c r="T469"/>
  <c r="V411"/>
  <c r="U339"/>
  <c r="Z18"/>
  <c r="Y69"/>
  <c r="T487"/>
  <c r="Y484"/>
  <c r="T486"/>
  <c r="Y489"/>
  <c r="T491"/>
  <c r="S444"/>
  <c r="U487"/>
  <c r="U43"/>
  <c r="Y412"/>
  <c r="W507"/>
  <c r="V196"/>
  <c r="W378"/>
  <c r="W382"/>
  <c r="U383"/>
  <c r="Y385"/>
  <c r="S391"/>
  <c r="Y436"/>
  <c r="U377"/>
  <c r="Y454"/>
  <c r="Y209"/>
  <c r="W105"/>
  <c r="X500"/>
  <c r="U498"/>
  <c r="X499"/>
  <c r="S504"/>
  <c r="X504"/>
  <c r="W447"/>
  <c r="S485"/>
  <c r="Y493"/>
  <c r="T433"/>
  <c r="Y494"/>
  <c r="Y509"/>
  <c r="W513"/>
  <c r="W79"/>
  <c r="W305"/>
  <c r="U343"/>
  <c r="U88"/>
  <c r="T156"/>
  <c r="Z227"/>
  <c r="V269"/>
  <c r="T307"/>
  <c r="S345"/>
  <c r="Z90"/>
  <c r="X168"/>
  <c r="S230"/>
  <c r="V120"/>
  <c r="W102"/>
  <c r="T77"/>
  <c r="V340"/>
  <c r="U107"/>
  <c r="Y251"/>
  <c r="Y351"/>
  <c r="U46"/>
  <c r="V127"/>
  <c r="Y185"/>
  <c r="Y234"/>
  <c r="X269"/>
  <c r="S302"/>
  <c r="W334"/>
  <c r="U62"/>
  <c r="Y120"/>
  <c r="T179"/>
  <c r="U230"/>
  <c r="Z265"/>
  <c r="U298"/>
  <c r="Y330"/>
  <c r="S54"/>
  <c r="S114"/>
  <c r="V172"/>
  <c r="Y225"/>
  <c r="T262"/>
  <c r="W294"/>
  <c r="S327"/>
  <c r="T45"/>
  <c r="T107"/>
  <c r="U165"/>
  <c r="U221"/>
  <c r="V258"/>
  <c r="Y290"/>
  <c r="U323"/>
  <c r="Y38"/>
  <c r="T102"/>
  <c r="W160"/>
  <c r="T322"/>
  <c r="W383"/>
  <c r="Z415"/>
  <c r="Z398"/>
  <c r="X148"/>
  <c r="U83"/>
  <c r="V342"/>
  <c r="U306"/>
  <c r="Z253"/>
  <c r="S298"/>
  <c r="Y336"/>
  <c r="W327"/>
  <c r="Y390"/>
  <c r="W428"/>
  <c r="Z460"/>
  <c r="Z490"/>
  <c r="X452"/>
  <c r="Y355"/>
  <c r="V392"/>
  <c r="Y424"/>
  <c r="S458"/>
  <c r="W488"/>
  <c r="U516"/>
  <c r="X356"/>
  <c r="T393"/>
  <c r="W425"/>
  <c r="Y458"/>
  <c r="Z489"/>
  <c r="Y187"/>
  <c r="X359"/>
  <c r="X395"/>
  <c r="S428"/>
  <c r="V461"/>
  <c r="W493"/>
  <c r="X228"/>
  <c r="S366"/>
  <c r="Z400"/>
  <c r="U433"/>
  <c r="Y465"/>
  <c r="Z494"/>
  <c r="S234"/>
  <c r="Z366"/>
  <c r="X401"/>
  <c r="Z97"/>
  <c r="X219"/>
  <c r="U242"/>
  <c r="U190"/>
  <c r="U125"/>
  <c r="W59"/>
  <c r="V267"/>
  <c r="Y309"/>
  <c r="V348"/>
  <c r="V100"/>
  <c r="X171"/>
  <c r="U360"/>
  <c r="V402"/>
  <c r="V438"/>
  <c r="Y470"/>
  <c r="T499"/>
  <c r="V238"/>
  <c r="X367"/>
  <c r="U402"/>
  <c r="X434"/>
  <c r="S468"/>
  <c r="Y496"/>
  <c r="Y243"/>
  <c r="W368"/>
  <c r="S403"/>
  <c r="V435"/>
  <c r="Y468"/>
  <c r="T498"/>
  <c r="S260"/>
  <c r="X371"/>
  <c r="W405"/>
  <c r="Z438"/>
  <c r="T472"/>
  <c r="W502"/>
  <c r="W291"/>
  <c r="S378"/>
  <c r="Y410"/>
  <c r="U443"/>
  <c r="X475"/>
  <c r="T503"/>
  <c r="S296"/>
  <c r="Z378"/>
  <c r="W411"/>
  <c r="S205"/>
  <c r="Y368"/>
  <c r="S303"/>
  <c r="Y266"/>
  <c r="Y226"/>
  <c r="T167"/>
  <c r="Y282"/>
  <c r="V321"/>
  <c r="Z48"/>
  <c r="S123"/>
  <c r="S233"/>
  <c r="V374"/>
  <c r="T414"/>
  <c r="U448"/>
  <c r="V480"/>
  <c r="V507"/>
  <c r="X299"/>
  <c r="W379"/>
  <c r="T412"/>
  <c r="W444"/>
  <c r="Z477"/>
  <c r="S505"/>
  <c r="T304"/>
  <c r="V380"/>
  <c r="Z412"/>
  <c r="U445"/>
  <c r="V479"/>
  <c r="V506"/>
  <c r="W319"/>
  <c r="S383"/>
  <c r="W415"/>
  <c r="Y448"/>
  <c r="S483"/>
  <c r="Y510"/>
  <c r="S351"/>
  <c r="U388"/>
  <c r="Y420"/>
  <c r="T453"/>
  <c r="V484"/>
  <c r="V511"/>
  <c r="Z351"/>
  <c r="S389"/>
  <c r="W421"/>
  <c r="Z317"/>
  <c r="V119"/>
  <c r="Y51"/>
  <c r="U326"/>
  <c r="S290"/>
  <c r="U249"/>
  <c r="V294"/>
  <c r="T333"/>
  <c r="V74"/>
  <c r="U144"/>
  <c r="S306"/>
  <c r="T387"/>
  <c r="Y425"/>
  <c r="U458"/>
  <c r="X488"/>
  <c r="X515"/>
  <c r="W352"/>
  <c r="X389"/>
  <c r="S422"/>
  <c r="V455"/>
  <c r="U486"/>
  <c r="S514"/>
  <c r="V353"/>
  <c r="V390"/>
  <c r="Y422"/>
  <c r="X487"/>
  <c r="X514"/>
  <c r="W356"/>
  <c r="S393"/>
  <c r="V425"/>
  <c r="X458"/>
  <c r="Y205"/>
  <c r="Y362"/>
  <c r="U398"/>
  <c r="X430"/>
  <c r="S463"/>
  <c r="X492"/>
  <c r="T213"/>
  <c r="Y363"/>
  <c r="S399"/>
  <c r="V431"/>
  <c r="Z452"/>
  <c r="S168"/>
  <c r="Y102"/>
  <c r="V28"/>
  <c r="S317"/>
  <c r="Y255"/>
  <c r="Y299"/>
  <c r="W338"/>
  <c r="T84"/>
  <c r="S154"/>
  <c r="V338"/>
  <c r="W392"/>
  <c r="U430"/>
  <c r="Y462"/>
  <c r="V492"/>
  <c r="T209"/>
  <c r="Z357"/>
  <c r="T394"/>
  <c r="W426"/>
  <c r="Z459"/>
  <c r="S490"/>
  <c r="S457"/>
  <c r="Y358"/>
  <c r="Z394"/>
  <c r="U427"/>
  <c r="X460"/>
  <c r="V491"/>
  <c r="Z474"/>
  <c r="Z361"/>
  <c r="W397"/>
  <c r="Z429"/>
  <c r="T463"/>
  <c r="S495"/>
  <c r="X241"/>
  <c r="U368"/>
  <c r="Y402"/>
  <c r="T435"/>
  <c r="T300"/>
  <c r="Z337"/>
  <c r="W78"/>
  <c r="V146"/>
  <c r="Y213"/>
  <c r="S264"/>
  <c r="Y301"/>
  <c r="W339"/>
  <c r="T81"/>
  <c r="T149"/>
  <c r="V223"/>
  <c r="V93"/>
  <c r="S70"/>
  <c r="T29"/>
  <c r="V286"/>
  <c r="V68"/>
  <c r="W211"/>
  <c r="U346"/>
  <c r="Y32"/>
  <c r="S108"/>
  <c r="S176"/>
  <c r="U228"/>
  <c r="U264"/>
  <c r="X296"/>
  <c r="S329"/>
  <c r="S50"/>
  <c r="S111"/>
  <c r="V169"/>
  <c r="Y223"/>
  <c r="W260"/>
  <c r="Z292"/>
  <c r="U325"/>
  <c r="Y41"/>
  <c r="V104"/>
  <c r="X162"/>
  <c r="T219"/>
  <c r="Y256"/>
  <c r="T289"/>
  <c r="W321"/>
  <c r="X30"/>
  <c r="V97"/>
  <c r="Y155"/>
  <c r="U213"/>
  <c r="S253"/>
  <c r="U289"/>
  <c r="W332"/>
  <c r="Y68"/>
  <c r="Y136"/>
  <c r="Y204"/>
  <c r="T253"/>
  <c r="V296"/>
  <c r="T334"/>
  <c r="V71"/>
  <c r="W139"/>
  <c r="W207"/>
  <c r="V66"/>
  <c r="Z36"/>
  <c r="U32"/>
  <c r="V259"/>
  <c r="V448"/>
  <c r="W153"/>
  <c r="Z340"/>
  <c r="Y378"/>
  <c r="U98"/>
  <c r="U166"/>
  <c r="Z221"/>
  <c r="Z258"/>
  <c r="U291"/>
  <c r="X323"/>
  <c r="V37"/>
  <c r="U101"/>
  <c r="X159"/>
  <c r="Z283"/>
  <c r="Y321"/>
  <c r="Z57"/>
  <c r="S127"/>
  <c r="S195"/>
  <c r="V247"/>
  <c r="W285"/>
  <c r="Y328"/>
  <c r="V61"/>
  <c r="Y129"/>
  <c r="Y197"/>
  <c r="W21"/>
  <c r="U36"/>
  <c r="V228"/>
  <c r="Z228"/>
  <c r="V421"/>
  <c r="X25"/>
  <c r="W335"/>
  <c r="U373"/>
  <c r="W88"/>
  <c r="X156"/>
  <c r="S214"/>
  <c r="W253"/>
  <c r="Z285"/>
  <c r="U318"/>
  <c r="X350"/>
  <c r="W91"/>
  <c r="Z149"/>
  <c r="U208"/>
  <c r="Y249"/>
  <c r="T282"/>
  <c r="W314"/>
  <c r="Z346"/>
  <c r="Z84"/>
  <c r="U143"/>
  <c r="X201"/>
  <c r="U245"/>
  <c r="V278"/>
  <c r="Y310"/>
  <c r="T343"/>
  <c r="Z77"/>
  <c r="U136"/>
  <c r="W194"/>
  <c r="Y240"/>
  <c r="X274"/>
  <c r="S307"/>
  <c r="V339"/>
  <c r="S73"/>
  <c r="V131"/>
  <c r="S220"/>
  <c r="X364"/>
  <c r="Y399"/>
  <c r="W75"/>
  <c r="U347"/>
  <c r="V281"/>
  <c r="V244"/>
  <c r="U193"/>
  <c r="U128"/>
  <c r="U277"/>
  <c r="Z316"/>
  <c r="Y40"/>
  <c r="U115"/>
  <c r="Z192"/>
  <c r="S369"/>
  <c r="X409"/>
  <c r="Y444"/>
  <c r="X94"/>
  <c r="W348"/>
  <c r="V285"/>
  <c r="V92"/>
  <c r="W377"/>
  <c r="U90"/>
  <c r="Z273"/>
  <c r="V330"/>
  <c r="V284"/>
  <c r="W455"/>
  <c r="V513"/>
  <c r="S387"/>
  <c r="Y451"/>
  <c r="Y511"/>
  <c r="Y387"/>
  <c r="W452"/>
  <c r="V512"/>
  <c r="U390"/>
  <c r="S456"/>
  <c r="Y516"/>
  <c r="W395"/>
  <c r="U460"/>
  <c r="X184"/>
  <c r="U396"/>
  <c r="Y113"/>
  <c r="Z131"/>
  <c r="U333"/>
  <c r="V303"/>
  <c r="U89"/>
  <c r="Y352"/>
  <c r="S433"/>
  <c r="X494"/>
  <c r="T361"/>
  <c r="U429"/>
  <c r="U492"/>
  <c r="S362"/>
  <c r="S430"/>
  <c r="X493"/>
  <c r="S365"/>
  <c r="W433"/>
  <c r="U497"/>
  <c r="V371"/>
  <c r="Y437"/>
  <c r="X498"/>
  <c r="U372"/>
  <c r="S18"/>
  <c r="W270"/>
  <c r="Z173"/>
  <c r="W275"/>
  <c r="Y33"/>
  <c r="V181"/>
  <c r="Y407"/>
  <c r="U475"/>
  <c r="U267"/>
  <c r="Y406"/>
  <c r="W472"/>
  <c r="Y271"/>
  <c r="W407"/>
  <c r="U473"/>
  <c r="S287"/>
  <c r="S410"/>
  <c r="W478"/>
  <c r="W318"/>
  <c r="U415"/>
  <c r="Z479"/>
  <c r="S323"/>
  <c r="S416"/>
  <c r="X60"/>
  <c r="Y293"/>
  <c r="Y214"/>
  <c r="Y326"/>
  <c r="Y132"/>
  <c r="Y380"/>
  <c r="Y452"/>
  <c r="T511"/>
  <c r="U384"/>
  <c r="S449"/>
  <c r="W509"/>
  <c r="S385"/>
  <c r="Y449"/>
  <c r="X505"/>
  <c r="T382"/>
  <c r="Z447"/>
  <c r="W505"/>
  <c r="S382"/>
  <c r="Y446"/>
  <c r="T506"/>
  <c r="Y382"/>
  <c r="U140"/>
  <c r="T292"/>
  <c r="U212"/>
  <c r="Z280"/>
  <c r="S45"/>
  <c r="S212"/>
  <c r="U412"/>
  <c r="Z478"/>
  <c r="Z288"/>
  <c r="V410"/>
  <c r="S476"/>
  <c r="V293"/>
  <c r="T411"/>
  <c r="Y477"/>
  <c r="X308"/>
  <c r="X413"/>
  <c r="W481"/>
  <c r="T340"/>
  <c r="Z418"/>
  <c r="W467"/>
  <c r="V514"/>
  <c r="T369"/>
  <c r="S425"/>
  <c r="U468"/>
  <c r="S515"/>
  <c r="Z343"/>
  <c r="X398"/>
  <c r="T495"/>
  <c r="S408"/>
  <c r="W475"/>
  <c r="Y480"/>
  <c r="S93"/>
  <c r="V429"/>
  <c r="U489"/>
  <c r="S429"/>
  <c r="X495"/>
  <c r="S471"/>
  <c r="V449"/>
  <c r="T504"/>
  <c r="S100"/>
  <c r="U385"/>
  <c r="W453"/>
  <c r="T391"/>
  <c r="U461"/>
  <c r="Y463"/>
  <c r="S138"/>
  <c r="S435"/>
  <c r="U246"/>
  <c r="X482"/>
  <c r="V320"/>
  <c r="U485"/>
  <c r="S355"/>
  <c r="W508"/>
  <c r="V254"/>
  <c r="U404"/>
  <c r="Y469"/>
  <c r="V407"/>
  <c r="V477"/>
  <c r="W466"/>
  <c r="S512"/>
  <c r="Z471"/>
  <c r="U499"/>
  <c r="S491"/>
  <c r="Y283"/>
  <c r="S502"/>
  <c r="T379"/>
  <c r="Y507"/>
  <c r="W449"/>
  <c r="W385"/>
  <c r="Y340"/>
  <c r="Z289"/>
  <c r="S279"/>
  <c r="X485"/>
  <c r="W418"/>
  <c r="S342"/>
  <c r="X484"/>
  <c r="Y421"/>
  <c r="W358"/>
  <c r="V359"/>
  <c r="W187"/>
  <c r="U259"/>
  <c r="U157"/>
  <c r="W464"/>
  <c r="S396"/>
  <c r="W197"/>
  <c r="V462"/>
  <c r="U399"/>
  <c r="Y253"/>
  <c r="U469"/>
  <c r="U405"/>
  <c r="Z224"/>
  <c r="U314"/>
  <c r="X365"/>
  <c r="T502"/>
  <c r="U438"/>
  <c r="Z372"/>
  <c r="S439"/>
  <c r="W346"/>
  <c r="Y486"/>
  <c r="Y419"/>
  <c r="S350"/>
  <c r="X48"/>
  <c r="T206"/>
  <c r="X129"/>
  <c r="Z451"/>
  <c r="V383"/>
  <c r="Y508"/>
  <c r="Z448"/>
  <c r="X386"/>
  <c r="Y513"/>
  <c r="Y456"/>
  <c r="S356"/>
  <c r="W457"/>
  <c r="U467"/>
  <c r="U407"/>
  <c r="Z425"/>
  <c r="X490"/>
  <c r="Z444"/>
  <c r="Y512"/>
  <c r="Z387"/>
  <c r="V396"/>
  <c r="U508"/>
  <c r="T319"/>
  <c r="U480"/>
  <c r="X486"/>
  <c r="Z151"/>
  <c r="S404"/>
  <c r="X412"/>
  <c r="Y500"/>
  <c r="U511"/>
  <c r="V251"/>
  <c r="W284"/>
  <c r="V486"/>
  <c r="V419"/>
  <c r="V347"/>
  <c r="V485"/>
  <c r="X422"/>
  <c r="Z427"/>
  <c r="V360"/>
  <c r="U197"/>
  <c r="T342"/>
  <c r="T396"/>
  <c r="W477"/>
  <c r="W462"/>
  <c r="X397"/>
  <c r="U223"/>
  <c r="Y466"/>
  <c r="V405"/>
  <c r="X263"/>
  <c r="V336"/>
  <c r="Z108"/>
  <c r="T110"/>
  <c r="Z442"/>
  <c r="S373"/>
  <c r="W500"/>
  <c r="Z439"/>
  <c r="S377"/>
  <c r="U506"/>
  <c r="Y447"/>
  <c r="X383"/>
  <c r="S330"/>
  <c r="T288"/>
  <c r="T268"/>
  <c r="T484"/>
  <c r="X416"/>
  <c r="T331"/>
  <c r="X478"/>
  <c r="U482"/>
  <c r="T479"/>
  <c r="S358"/>
  <c r="Y147"/>
  <c r="V118"/>
  <c r="W446"/>
  <c r="V377"/>
  <c r="W503"/>
  <c r="Z504"/>
  <c r="S447"/>
  <c r="W386"/>
  <c r="Z491"/>
  <c r="S398"/>
  <c r="W492"/>
  <c r="Y434"/>
  <c r="S270"/>
  <c r="U502"/>
  <c r="U393"/>
  <c r="Y401"/>
  <c r="W504"/>
  <c r="W474"/>
  <c r="U348"/>
  <c r="W429"/>
  <c r="Y502"/>
  <c r="T128"/>
  <c r="X508"/>
  <c r="U496"/>
  <c r="Z369"/>
  <c r="S434"/>
  <c r="S443"/>
  <c r="S146"/>
  <c r="V384"/>
  <c r="W479"/>
  <c r="Z480"/>
  <c r="W484"/>
  <c r="Z485"/>
  <c r="Z138"/>
  <c r="Y335"/>
  <c r="S460"/>
  <c r="T457"/>
  <c r="Z457"/>
  <c r="W460"/>
  <c r="Y464"/>
  <c r="U163"/>
  <c r="Y308"/>
  <c r="V498"/>
  <c r="S496"/>
  <c r="V497"/>
  <c r="S501"/>
  <c r="V502"/>
  <c r="W297"/>
  <c r="W226"/>
  <c r="U294"/>
  <c r="Y298"/>
  <c r="X281"/>
  <c r="W514"/>
  <c r="T515"/>
  <c r="X39"/>
  <c r="U71"/>
  <c r="Z487"/>
  <c r="T421"/>
  <c r="Z421"/>
  <c r="W424"/>
  <c r="Y361"/>
  <c r="X392"/>
  <c r="W215"/>
  <c r="S453"/>
  <c r="X491"/>
  <c r="Y482"/>
  <c r="V456"/>
  <c r="S482"/>
  <c r="Z315"/>
  <c r="S203"/>
  <c r="Y404"/>
  <c r="Y479"/>
  <c r="S509"/>
  <c r="V59"/>
  <c r="W483"/>
  <c r="W439"/>
  <c r="Y461"/>
  <c r="W402"/>
  <c r="S503"/>
  <c r="U279"/>
  <c r="W423"/>
  <c r="S470"/>
  <c r="S461"/>
  <c r="X509"/>
  <c r="Y497"/>
  <c r="X79"/>
  <c r="Y370"/>
  <c r="Y472"/>
  <c r="X24"/>
  <c r="T316"/>
  <c r="S280"/>
  <c r="Y82"/>
  <c r="S371"/>
  <c r="X379"/>
  <c r="Z239"/>
  <c r="T324"/>
  <c r="Z245"/>
  <c r="T450"/>
  <c r="Z508"/>
  <c r="W381"/>
  <c r="V446"/>
  <c r="W506"/>
  <c r="U382"/>
  <c r="T447"/>
  <c r="Z507"/>
  <c r="Z384"/>
  <c r="W450"/>
  <c r="U512"/>
  <c r="T390"/>
  <c r="Z454"/>
  <c r="Z512"/>
  <c r="Z390"/>
  <c r="Z371"/>
  <c r="W73"/>
  <c r="Z300"/>
  <c r="T297"/>
  <c r="Y77"/>
  <c r="Y316"/>
  <c r="X427"/>
  <c r="T490"/>
  <c r="Y354"/>
  <c r="Z423"/>
  <c r="Y487"/>
  <c r="X355"/>
  <c r="X424"/>
  <c r="T489"/>
  <c r="X358"/>
  <c r="T427"/>
  <c r="Y492"/>
  <c r="Z364"/>
  <c r="V432"/>
  <c r="T494"/>
  <c r="Y365"/>
  <c r="Z70"/>
  <c r="Y235"/>
  <c r="W115"/>
  <c r="W266"/>
  <c r="W347"/>
  <c r="W168"/>
  <c r="W401"/>
  <c r="Z469"/>
  <c r="Z231"/>
  <c r="V401"/>
  <c r="S467"/>
  <c r="U237"/>
  <c r="T402"/>
  <c r="Y467"/>
  <c r="X254"/>
  <c r="X404"/>
  <c r="U471"/>
  <c r="T286"/>
  <c r="Z409"/>
  <c r="Y474"/>
  <c r="X290"/>
  <c r="X410"/>
  <c r="V363"/>
  <c r="V261"/>
  <c r="W157"/>
  <c r="W320"/>
  <c r="Z119"/>
  <c r="T373"/>
  <c r="V447"/>
  <c r="X506"/>
  <c r="V378"/>
  <c r="X443"/>
  <c r="U504"/>
  <c r="U379"/>
  <c r="V444"/>
  <c r="T501"/>
  <c r="Z375"/>
  <c r="W442"/>
  <c r="U491"/>
  <c r="V356"/>
  <c r="U425"/>
  <c r="T488"/>
  <c r="U357"/>
  <c r="S426"/>
  <c r="Y109"/>
  <c r="Y320"/>
  <c r="U248"/>
  <c r="U332"/>
  <c r="W142"/>
  <c r="U386"/>
  <c r="U457"/>
  <c r="Z514"/>
  <c r="Y388"/>
  <c r="W454"/>
  <c r="U513"/>
  <c r="W389"/>
  <c r="U454"/>
  <c r="Z513"/>
  <c r="S392"/>
  <c r="Y457"/>
  <c r="U196"/>
  <c r="U397"/>
  <c r="T462"/>
  <c r="Z509"/>
  <c r="X362"/>
  <c r="X419"/>
  <c r="Z462"/>
  <c r="W510"/>
  <c r="U305"/>
  <c r="U363"/>
  <c r="T465"/>
  <c r="W274"/>
  <c r="X455"/>
  <c r="U303"/>
  <c r="V158"/>
  <c r="X391"/>
  <c r="S459"/>
  <c r="W396"/>
  <c r="X466"/>
  <c r="X464"/>
  <c r="Y391"/>
  <c r="S288"/>
  <c r="Z263"/>
  <c r="T295"/>
  <c r="U420"/>
  <c r="U354"/>
  <c r="Y428"/>
  <c r="W456"/>
  <c r="X352"/>
  <c r="T509"/>
  <c r="S283"/>
  <c r="S451"/>
  <c r="U507"/>
  <c r="W451"/>
  <c r="X513"/>
  <c r="U380"/>
  <c r="X289"/>
  <c r="V362"/>
  <c r="W436"/>
  <c r="Y373"/>
  <c r="S445"/>
  <c r="T460"/>
  <c r="Y506"/>
  <c r="U459"/>
  <c r="W516"/>
  <c r="S418"/>
  <c r="Z319"/>
  <c r="U247"/>
  <c r="U350"/>
  <c r="Y289"/>
  <c r="U234"/>
  <c r="S310"/>
  <c r="Y291"/>
  <c r="Z137"/>
  <c r="T423"/>
  <c r="V504"/>
  <c r="U375"/>
  <c r="S441"/>
  <c r="T376"/>
  <c r="Y441"/>
  <c r="V503"/>
  <c r="T445"/>
  <c r="Y384"/>
  <c r="V508"/>
  <c r="U200"/>
  <c r="W268"/>
  <c r="X66"/>
  <c r="U422"/>
  <c r="W337"/>
  <c r="U483"/>
  <c r="U419"/>
  <c r="T352"/>
  <c r="U488"/>
  <c r="S427"/>
  <c r="X489"/>
  <c r="Y427"/>
  <c r="Y55"/>
  <c r="U341"/>
  <c r="U395"/>
  <c r="Z215"/>
  <c r="X461"/>
  <c r="Y396"/>
  <c r="U207"/>
  <c r="Z465"/>
  <c r="W404"/>
  <c r="U258"/>
  <c r="S331"/>
  <c r="T99"/>
  <c r="X108"/>
  <c r="S442"/>
  <c r="S372"/>
  <c r="Y499"/>
  <c r="T483"/>
  <c r="S420"/>
  <c r="W345"/>
  <c r="X483"/>
  <c r="W420"/>
  <c r="V288"/>
  <c r="Z325"/>
  <c r="Y379"/>
  <c r="V510"/>
  <c r="T448"/>
  <c r="T384"/>
  <c r="V509"/>
  <c r="V452"/>
  <c r="Z391"/>
  <c r="V496"/>
  <c r="W403"/>
  <c r="S497"/>
  <c r="S262"/>
  <c r="Y431"/>
  <c r="T424"/>
  <c r="U376"/>
  <c r="S81"/>
  <c r="X425"/>
  <c r="U434"/>
  <c r="Y515"/>
  <c r="W116"/>
  <c r="U331"/>
  <c r="V453"/>
  <c r="X437"/>
  <c r="X442"/>
  <c r="S252"/>
  <c r="X335"/>
  <c r="Z441"/>
  <c r="V22"/>
  <c r="W470"/>
  <c r="V440"/>
  <c r="W374"/>
  <c r="U481"/>
  <c r="W287"/>
  <c r="U204"/>
  <c r="Y344"/>
  <c r="V257"/>
  <c r="S39"/>
  <c r="X277"/>
  <c r="U126"/>
  <c r="Y416"/>
  <c r="Z342"/>
  <c r="S484"/>
  <c r="T420"/>
  <c r="U353"/>
  <c r="S489"/>
  <c r="W359"/>
  <c r="V490"/>
  <c r="X428"/>
  <c r="Z66"/>
  <c r="U260"/>
  <c r="Y158"/>
  <c r="V465"/>
  <c r="Z396"/>
  <c r="S464"/>
  <c r="U463"/>
  <c r="T400"/>
  <c r="T259"/>
  <c r="U470"/>
  <c r="T406"/>
  <c r="U231"/>
  <c r="T315"/>
  <c r="Y366"/>
  <c r="Z502"/>
  <c r="T439"/>
  <c r="Z373"/>
  <c r="Z501"/>
  <c r="V443"/>
  <c r="Z382"/>
  <c r="Z506"/>
  <c r="W122"/>
  <c r="X257"/>
  <c r="U61"/>
  <c r="W419"/>
  <c r="X326"/>
  <c r="Y481"/>
  <c r="V417"/>
  <c r="S314"/>
  <c r="W414"/>
  <c r="T313"/>
  <c r="V414"/>
  <c r="X317"/>
  <c r="T415"/>
  <c r="S256"/>
  <c r="X319"/>
  <c r="T372"/>
  <c r="Z505"/>
  <c r="Y442"/>
  <c r="U378"/>
  <c r="W443"/>
  <c r="U381"/>
  <c r="U509"/>
  <c r="U451"/>
  <c r="X344"/>
  <c r="S452"/>
  <c r="S344"/>
  <c r="V399"/>
  <c r="Y503"/>
  <c r="S478"/>
  <c r="X337"/>
  <c r="Y459"/>
  <c r="W438"/>
  <c r="U278"/>
  <c r="X292"/>
  <c r="S421"/>
  <c r="W360"/>
  <c r="U514"/>
  <c r="U35"/>
  <c r="U447"/>
  <c r="Y455"/>
  <c r="W311"/>
  <c r="U437"/>
  <c r="S380"/>
  <c r="S472"/>
  <c r="S211"/>
  <c r="Y317"/>
  <c r="W410"/>
  <c r="T346"/>
  <c r="S68"/>
  <c r="W310"/>
  <c r="S315"/>
  <c r="U330"/>
  <c r="S353"/>
  <c r="S354"/>
  <c r="S337"/>
  <c r="X147"/>
  <c r="T191"/>
  <c r="W515"/>
  <c r="T516"/>
  <c r="T222"/>
  <c r="W227"/>
  <c r="U47"/>
  <c r="U359"/>
  <c r="W366"/>
  <c r="W367"/>
  <c r="W370"/>
  <c r="Y376"/>
  <c r="X377"/>
  <c r="V220"/>
  <c r="U413"/>
  <c r="U411"/>
  <c r="S412"/>
  <c r="T409"/>
  <c r="Y392"/>
  <c r="W393"/>
  <c r="X284"/>
  <c r="W300"/>
  <c r="V351"/>
  <c r="U352"/>
  <c r="Z486"/>
  <c r="W490"/>
  <c r="Y429"/>
  <c r="S247"/>
  <c r="Z435"/>
  <c r="Z397"/>
  <c r="V464"/>
  <c r="X202"/>
  <c r="V386"/>
  <c r="V426"/>
  <c r="U432"/>
  <c r="Z107"/>
  <c r="Y241"/>
  <c r="X388"/>
  <c r="T397"/>
  <c r="W409"/>
  <c r="S57"/>
  <c r="X481"/>
  <c r="Y418"/>
  <c r="X472"/>
  <c r="S474"/>
  <c r="X373"/>
  <c r="V450"/>
  <c r="S513"/>
  <c r="X440"/>
  <c r="T478"/>
  <c r="X445"/>
  <c r="W495"/>
  <c r="U505"/>
  <c r="T255"/>
  <c r="Y150"/>
  <c r="V235"/>
  <c r="Z481"/>
  <c r="S414"/>
  <c r="Y414"/>
  <c r="U417"/>
  <c r="W422"/>
  <c r="U423"/>
  <c r="U251"/>
  <c r="Y389"/>
  <c r="W391"/>
  <c r="U392"/>
  <c r="Y394"/>
  <c r="S400"/>
  <c r="Y400"/>
  <c r="W180"/>
  <c r="S99"/>
  <c r="W437"/>
  <c r="Y433"/>
  <c r="W434"/>
  <c r="S438"/>
  <c r="U442"/>
  <c r="X172"/>
  <c r="T47"/>
  <c r="X479"/>
  <c r="S477"/>
  <c r="U472"/>
  <c r="X476"/>
  <c r="X457"/>
  <c r="Z290"/>
  <c r="W293"/>
  <c r="Z424"/>
  <c r="W485"/>
  <c r="W355"/>
  <c r="V487"/>
  <c r="S488"/>
  <c r="Y498"/>
  <c r="Z298"/>
  <c r="U494"/>
  <c r="X385"/>
  <c r="Z456"/>
  <c r="Y485"/>
  <c r="T354"/>
  <c r="S271"/>
  <c r="V413"/>
  <c r="U484"/>
  <c r="Y262"/>
  <c r="U387"/>
  <c r="Z354"/>
  <c r="S431"/>
  <c r="Y318"/>
  <c r="Y254"/>
  <c r="U462"/>
  <c r="U477"/>
  <c r="S446"/>
  <c r="U351"/>
  <c r="W361"/>
  <c r="T505"/>
  <c r="S325"/>
  <c r="T482"/>
  <c r="U440"/>
  <c r="S381"/>
  <c r="U493"/>
  <c r="Y281"/>
  <c r="X216"/>
  <c r="S153"/>
  <c r="X87"/>
  <c r="V312"/>
  <c r="S141"/>
  <c r="T405"/>
  <c r="Y313"/>
  <c r="X186"/>
  <c r="U55"/>
  <c r="W376"/>
  <c r="T477"/>
  <c r="S278"/>
  <c r="W408"/>
  <c r="U474"/>
  <c r="W282"/>
  <c r="U409"/>
  <c r="S475"/>
  <c r="Z297"/>
  <c r="Z411"/>
  <c r="S480"/>
  <c r="V329"/>
  <c r="T417"/>
  <c r="V481"/>
  <c r="Z333"/>
  <c r="Z417"/>
  <c r="W80"/>
  <c r="X304"/>
  <c r="Y228"/>
  <c r="W329"/>
  <c r="S136"/>
  <c r="X382"/>
  <c r="X454"/>
  <c r="X512"/>
  <c r="S386"/>
  <c r="Z450"/>
  <c r="S511"/>
  <c r="Y386"/>
  <c r="X451"/>
  <c r="X511"/>
  <c r="V389"/>
  <c r="S455"/>
  <c r="S516"/>
  <c r="X394"/>
  <c r="V459"/>
  <c r="X516"/>
  <c r="V395"/>
  <c r="Z74"/>
  <c r="T122"/>
  <c r="Z327"/>
  <c r="W302"/>
  <c r="W87"/>
  <c r="T349"/>
  <c r="T432"/>
  <c r="Z493"/>
  <c r="T360"/>
  <c r="V428"/>
  <c r="W491"/>
  <c r="S361"/>
  <c r="T429"/>
  <c r="Z492"/>
  <c r="S364"/>
  <c r="W432"/>
  <c r="W496"/>
  <c r="U370"/>
  <c r="Z436"/>
  <c r="Z497"/>
  <c r="U371"/>
  <c r="Z205"/>
  <c r="T265"/>
  <c r="T164"/>
  <c r="Y272"/>
  <c r="W30"/>
  <c r="U178"/>
  <c r="Z406"/>
  <c r="V474"/>
  <c r="Z261"/>
  <c r="Z405"/>
  <c r="W471"/>
  <c r="V266"/>
  <c r="X406"/>
  <c r="U455"/>
  <c r="T510"/>
  <c r="W387"/>
  <c r="U453"/>
  <c r="S510"/>
  <c r="V387"/>
  <c r="U452"/>
  <c r="X510"/>
  <c r="T388"/>
  <c r="Y83"/>
  <c r="W324"/>
  <c r="U252"/>
  <c r="U287"/>
  <c r="X418"/>
  <c r="V483"/>
  <c r="U321"/>
  <c r="Y415"/>
  <c r="S481"/>
  <c r="Y325"/>
  <c r="W416"/>
  <c r="V482"/>
  <c r="S341"/>
  <c r="S419"/>
  <c r="S486"/>
  <c r="T355"/>
  <c r="U424"/>
  <c r="Z482"/>
  <c r="S204"/>
  <c r="W430"/>
  <c r="V191"/>
  <c r="U435"/>
  <c r="S394"/>
  <c r="S424"/>
  <c r="S448"/>
  <c r="W468"/>
  <c r="Y38" i="18"/>
  <c r="AF8" i="14"/>
  <c r="L8"/>
  <c r="AZ8"/>
  <c r="I8"/>
  <c r="V8"/>
  <c r="AP8"/>
  <c r="AS9" i="11" l="1"/>
  <c r="AS10"/>
  <c r="AL9"/>
  <c r="AL10"/>
  <c r="AE9"/>
  <c r="AE10"/>
  <c r="J9"/>
  <c r="J10"/>
  <c r="Y48" i="16"/>
  <c r="Y47"/>
  <c r="Y46"/>
  <c r="Y45"/>
  <c r="Y44"/>
  <c r="Y43"/>
  <c r="Y40"/>
  <c r="Y38"/>
  <c r="Y37"/>
  <c r="Y36"/>
  <c r="Y35"/>
  <c r="Y34"/>
  <c r="Y33"/>
  <c r="Y32"/>
  <c r="Y31"/>
  <c r="Y30"/>
  <c r="Y29"/>
  <c r="Y30" i="18" l="1"/>
  <c r="Y31"/>
  <c r="Y32"/>
  <c r="Y33"/>
  <c r="Y34"/>
  <c r="Y35"/>
  <c r="Y36"/>
  <c r="Y37"/>
  <c r="Y39"/>
  <c r="Y40"/>
  <c r="Y41"/>
  <c r="Y42"/>
  <c r="Y43"/>
  <c r="Y44"/>
  <c r="Y45"/>
  <c r="Z18" i="12" a="1"/>
  <c r="Z22" s="1"/>
  <c r="R18" a="1"/>
  <c r="R22" s="1"/>
  <c r="AG8" a="1"/>
  <c r="AG12" s="1"/>
  <c r="AI7"/>
  <c r="Z30" l="1"/>
  <c r="Z24"/>
  <c r="Z31"/>
  <c r="Z19"/>
  <c r="Z33"/>
  <c r="Z27"/>
  <c r="Z21"/>
  <c r="Z29"/>
  <c r="Z23"/>
  <c r="Z18"/>
  <c r="Z25"/>
  <c r="Z32"/>
  <c r="Z26"/>
  <c r="Z20"/>
  <c r="Z28"/>
  <c r="R29"/>
  <c r="R23"/>
  <c r="R30"/>
  <c r="R24"/>
  <c r="R18"/>
  <c r="R31"/>
  <c r="R25"/>
  <c r="R19"/>
  <c r="R32"/>
  <c r="R26"/>
  <c r="R20"/>
  <c r="R33"/>
  <c r="R27"/>
  <c r="R21"/>
  <c r="R28"/>
  <c r="AG19"/>
  <c r="AG13"/>
  <c r="AG20"/>
  <c r="AG14"/>
  <c r="AG8"/>
  <c r="AG21"/>
  <c r="AG15"/>
  <c r="AG9"/>
  <c r="AG22"/>
  <c r="AG16"/>
  <c r="AG10"/>
  <c r="AG17"/>
  <c r="AG11"/>
  <c r="AG18"/>
  <c r="AW9" i="11"/>
  <c r="AW10"/>
  <c r="AP9"/>
  <c r="AP10"/>
  <c r="AI9"/>
  <c r="AI10"/>
  <c r="AI11"/>
  <c r="AI12"/>
  <c r="AB9"/>
  <c r="AB10"/>
  <c r="AL11"/>
  <c r="AL12"/>
  <c r="AL13"/>
  <c r="AS11"/>
  <c r="AS12"/>
  <c r="AS13"/>
  <c r="AW12"/>
  <c r="AW11"/>
  <c r="AW8"/>
  <c r="AW7"/>
  <c r="AP12"/>
  <c r="AP11"/>
  <c r="AP8"/>
  <c r="AP7"/>
  <c r="AI8"/>
  <c r="AI7"/>
  <c r="AE11"/>
  <c r="AE12"/>
  <c r="AE13"/>
  <c r="AE14"/>
  <c r="AB11"/>
  <c r="AB12"/>
  <c r="AB13"/>
  <c r="AB14"/>
  <c r="J11"/>
  <c r="J12"/>
  <c r="AS21"/>
  <c r="AS22"/>
  <c r="AS23"/>
  <c r="AS24"/>
  <c r="AS25"/>
  <c r="AS26"/>
  <c r="AS27"/>
  <c r="AS28"/>
  <c r="AW28"/>
  <c r="AW27"/>
  <c r="AW26"/>
  <c r="AW25"/>
  <c r="AW24"/>
  <c r="AW23"/>
  <c r="AW22"/>
  <c r="AP28"/>
  <c r="AP27"/>
  <c r="AP26"/>
  <c r="AP25"/>
  <c r="AP24"/>
  <c r="AP23"/>
  <c r="AP22"/>
  <c r="AL21"/>
  <c r="AL22"/>
  <c r="AL23"/>
  <c r="AL24"/>
  <c r="AL25"/>
  <c r="AL26"/>
  <c r="AL27"/>
  <c r="AL28"/>
  <c r="AE21"/>
  <c r="AE22"/>
  <c r="AE23"/>
  <c r="AE24"/>
  <c r="AE25"/>
  <c r="AE26"/>
  <c r="AE27"/>
  <c r="AE28"/>
  <c r="AI28"/>
  <c r="AI27"/>
  <c r="AI26"/>
  <c r="AI25"/>
  <c r="AI24"/>
  <c r="AI23"/>
  <c r="AI22"/>
  <c r="AB21"/>
  <c r="AB22"/>
  <c r="AB23"/>
  <c r="AB24"/>
  <c r="AB25"/>
  <c r="AB26"/>
  <c r="AB27"/>
  <c r="AB28"/>
  <c r="J27"/>
  <c r="J26"/>
  <c r="J25"/>
  <c r="J24"/>
  <c r="J23"/>
  <c r="J22"/>
  <c r="AS8"/>
  <c r="AS14"/>
  <c r="AS15"/>
  <c r="AS16"/>
  <c r="AS17"/>
  <c r="AS18"/>
  <c r="AS19"/>
  <c r="AS20"/>
  <c r="AL8"/>
  <c r="AL14"/>
  <c r="AL15"/>
  <c r="AL16"/>
  <c r="AL17"/>
  <c r="AL18"/>
  <c r="AL19"/>
  <c r="AL20"/>
  <c r="AE8"/>
  <c r="AE15"/>
  <c r="AE16"/>
  <c r="AE17"/>
  <c r="AE18"/>
  <c r="AE19"/>
  <c r="AE20"/>
  <c r="J8"/>
  <c r="J13"/>
  <c r="J14"/>
  <c r="J15"/>
  <c r="J16"/>
  <c r="J17"/>
  <c r="J18"/>
  <c r="J19"/>
  <c r="J20"/>
  <c r="J21"/>
  <c r="J28"/>
  <c r="EK11" i="12" l="1"/>
  <c r="EH11"/>
  <c r="ES7"/>
  <c r="EO7" s="1"/>
  <c r="EF36"/>
  <c r="EF37"/>
  <c r="EF38"/>
  <c r="EF39"/>
  <c r="EF40"/>
  <c r="EF35"/>
  <c r="ET39" l="1"/>
  <c r="EP39" s="1"/>
  <c r="ES39"/>
  <c r="EO39" s="1"/>
  <c r="ET40"/>
  <c r="EP40" s="1"/>
  <c r="ES40"/>
  <c r="EO40" s="1"/>
  <c r="ES36"/>
  <c r="EO36" s="1"/>
  <c r="ET36"/>
  <c r="EP36" s="1"/>
  <c r="ET37"/>
  <c r="EP37" s="1"/>
  <c r="ES37"/>
  <c r="EO37" s="1"/>
  <c r="ET38"/>
  <c r="EP38" s="1"/>
  <c r="ES38"/>
  <c r="EO38" s="1"/>
  <c r="ED11"/>
  <c r="BK512" i="7"/>
  <c r="EF14" i="12"/>
  <c r="EF21"/>
  <c r="EF23"/>
  <c r="EF29"/>
  <c r="EF26"/>
  <c r="EF15"/>
  <c r="EF20"/>
  <c r="EF18"/>
  <c r="EF19"/>
  <c r="EF24"/>
  <c r="EF27"/>
  <c r="EF22"/>
  <c r="EF25"/>
  <c r="EF28"/>
  <c r="EQ40" l="1"/>
  <c r="EQ37"/>
  <c r="EQ39"/>
  <c r="EQ38"/>
  <c r="EQ36"/>
  <c r="EF34"/>
  <c r="Y512" i="7"/>
  <c r="Z512"/>
  <c r="EF13" i="12"/>
  <c r="EF33"/>
  <c r="EF32"/>
  <c r="EF16"/>
  <c r="ET30" l="1"/>
  <c r="D20" i="10"/>
  <c r="D22" s="1"/>
  <c r="G20" i="19"/>
  <c r="G21"/>
  <c r="G22"/>
  <c r="G23"/>
  <c r="G24"/>
  <c r="G102" i="1"/>
  <c r="G103"/>
  <c r="G104"/>
  <c r="G105"/>
  <c r="G106"/>
  <c r="G107"/>
  <c r="CG9" i="19"/>
  <c r="CG10"/>
  <c r="CG11"/>
  <c r="CG12"/>
  <c r="CG13"/>
  <c r="CG14"/>
  <c r="CG15"/>
  <c r="AK64" i="18"/>
  <c r="AR64"/>
  <c r="AK65"/>
  <c r="AR65"/>
  <c r="BI44"/>
  <c r="BI45"/>
  <c r="AW44"/>
  <c r="BD44"/>
  <c r="AW45"/>
  <c r="BD45"/>
  <c r="BB22" i="19"/>
  <c r="BB23"/>
  <c r="BB24"/>
  <c r="BB25"/>
  <c r="BB26"/>
  <c r="BB27"/>
  <c r="BB28"/>
  <c r="BA22"/>
  <c r="BA23"/>
  <c r="BA24"/>
  <c r="BA25"/>
  <c r="BA26"/>
  <c r="BA27"/>
  <c r="BA28"/>
  <c r="AP22"/>
  <c r="AP23"/>
  <c r="AP24"/>
  <c r="AP25"/>
  <c r="AP26"/>
  <c r="AP27"/>
  <c r="AP28"/>
  <c r="AO22"/>
  <c r="AO23"/>
  <c r="AO24"/>
  <c r="AO25"/>
  <c r="AO26"/>
  <c r="AO27"/>
  <c r="AO28"/>
  <c r="AZ22" a="1"/>
  <c r="AZ26" s="1"/>
  <c r="EF17" i="12"/>
  <c r="D21" i="10" l="1"/>
  <c r="D26"/>
  <c r="D25"/>
  <c r="D24"/>
  <c r="D23"/>
  <c r="BD24" i="19"/>
  <c r="AZ27"/>
  <c r="BD27"/>
  <c r="BD25"/>
  <c r="BD23"/>
  <c r="BD28"/>
  <c r="BD26"/>
  <c r="BD22"/>
  <c r="AZ28"/>
  <c r="AZ22"/>
  <c r="AZ23"/>
  <c r="AZ24"/>
  <c r="AZ25"/>
  <c r="AW10"/>
  <c r="AW11"/>
  <c r="AW12"/>
  <c r="AW13"/>
  <c r="AW14"/>
  <c r="AW15"/>
  <c r="AN22" a="1"/>
  <c r="AN26" s="1"/>
  <c r="Y22"/>
  <c r="Y23"/>
  <c r="Y24"/>
  <c r="Y25"/>
  <c r="Y26"/>
  <c r="Y27"/>
  <c r="Y28"/>
  <c r="Y29"/>
  <c r="Y30"/>
  <c r="Y31"/>
  <c r="Y32"/>
  <c r="Y33"/>
  <c r="Y34"/>
  <c r="AK6"/>
  <c r="AK7"/>
  <c r="AK8"/>
  <c r="AK9"/>
  <c r="AK10"/>
  <c r="AK11"/>
  <c r="G7"/>
  <c r="G6"/>
  <c r="BI21"/>
  <c r="BI20"/>
  <c r="BI19"/>
  <c r="BI18"/>
  <c r="BI17"/>
  <c r="BI16"/>
  <c r="BI15"/>
  <c r="BI14"/>
  <c r="BI13"/>
  <c r="BI12"/>
  <c r="Y11"/>
  <c r="BI11"/>
  <c r="Y10"/>
  <c r="BI10"/>
  <c r="Y9"/>
  <c r="Y8"/>
  <c r="Y7"/>
  <c r="Y6"/>
  <c r="AR28" l="1"/>
  <c r="AN27"/>
  <c r="AR22"/>
  <c r="AR23"/>
  <c r="AR24"/>
  <c r="AR25"/>
  <c r="AR26"/>
  <c r="AR27"/>
  <c r="AN28"/>
  <c r="AN22"/>
  <c r="AN23"/>
  <c r="AN24"/>
  <c r="AN25"/>
  <c r="AF34"/>
  <c r="AF33"/>
  <c r="AF32"/>
  <c r="AF31"/>
  <c r="AF30"/>
  <c r="AF29"/>
  <c r="AF28"/>
  <c r="AF27"/>
  <c r="AF26"/>
  <c r="AF25"/>
  <c r="AF24"/>
  <c r="AF23"/>
  <c r="AF22"/>
  <c r="BP21" l="1"/>
  <c r="BP20" l="1"/>
  <c r="BP19" l="1"/>
  <c r="CN15" l="1"/>
  <c r="BP18"/>
  <c r="BP17" l="1"/>
  <c r="BP16" l="1"/>
  <c r="CN14" l="1"/>
  <c r="BP15"/>
  <c r="BD15"/>
  <c r="AC15" a="1"/>
  <c r="AC15" s="1"/>
  <c r="AD15" l="1"/>
  <c r="AF15" s="1"/>
  <c r="BP14"/>
  <c r="BD14"/>
  <c r="AQ15" l="1"/>
  <c r="AC16" a="1"/>
  <c r="CN13"/>
  <c r="BP13"/>
  <c r="BD13"/>
  <c r="AD16" l="1"/>
  <c r="AC16"/>
  <c r="CN12"/>
  <c r="BP12"/>
  <c r="BD12"/>
  <c r="AF16" l="1"/>
  <c r="AQ16" s="1"/>
  <c r="AF11"/>
  <c r="CN11"/>
  <c r="BP11"/>
  <c r="BD11"/>
  <c r="AF10"/>
  <c r="CN10"/>
  <c r="BP10"/>
  <c r="BD10"/>
  <c r="AF9"/>
  <c r="CN9"/>
  <c r="AP15" s="1"/>
  <c r="AF8"/>
  <c r="AP16" l="1"/>
  <c r="AR16" s="1"/>
  <c r="AC17" a="1"/>
  <c r="AC17" s="1"/>
  <c r="AR15"/>
  <c r="AF7"/>
  <c r="AF6"/>
  <c r="AY6"/>
  <c r="AY21"/>
  <c r="AA21"/>
  <c r="AM21"/>
  <c r="AA4"/>
  <c r="K20"/>
  <c r="AD17" l="1"/>
  <c r="AF17" s="1"/>
  <c r="AC18" s="1" a="1"/>
  <c r="AF5"/>
  <c r="O6"/>
  <c r="F13"/>
  <c r="AQ17" l="1"/>
  <c r="AC18"/>
  <c r="AD18"/>
  <c r="AD14"/>
  <c r="CI4"/>
  <c r="F14"/>
  <c r="CG8"/>
  <c r="K6"/>
  <c r="AP17" l="1"/>
  <c r="AR17" s="1"/>
  <c r="AF18"/>
  <c r="BC4"/>
  <c r="AU10" i="1"/>
  <c r="AU11"/>
  <c r="AU12"/>
  <c r="AU13"/>
  <c r="AU14"/>
  <c r="AU15"/>
  <c r="AT10"/>
  <c r="AT11"/>
  <c r="AT12"/>
  <c r="AT13"/>
  <c r="AT14"/>
  <c r="AT15"/>
  <c r="AE9"/>
  <c r="Q82"/>
  <c r="AJ51" s="1"/>
  <c r="Q83" a="1"/>
  <c r="Q87" s="1"/>
  <c r="AJ56" s="1"/>
  <c r="P83" a="1"/>
  <c r="P87" s="1"/>
  <c r="P82"/>
  <c r="O66" a="1"/>
  <c r="O70" s="1"/>
  <c r="O82" a="1"/>
  <c r="O86" s="1"/>
  <c r="F15" i="19"/>
  <c r="AQ18" l="1"/>
  <c r="O77" i="1"/>
  <c r="O71"/>
  <c r="Q94"/>
  <c r="AJ63" s="1"/>
  <c r="O87"/>
  <c r="Q88"/>
  <c r="AJ57" s="1"/>
  <c r="O93"/>
  <c r="Q95"/>
  <c r="AJ64" s="1"/>
  <c r="Q89"/>
  <c r="AJ58" s="1"/>
  <c r="Q83"/>
  <c r="AJ52" s="1"/>
  <c r="Q96"/>
  <c r="AJ65" s="1"/>
  <c r="Q90"/>
  <c r="AJ59" s="1"/>
  <c r="Q84"/>
  <c r="AJ53" s="1"/>
  <c r="Q97"/>
  <c r="AJ66" s="1"/>
  <c r="Q91"/>
  <c r="AJ60" s="1"/>
  <c r="Q85"/>
  <c r="AJ54" s="1"/>
  <c r="Q92"/>
  <c r="AJ61" s="1"/>
  <c r="Q86"/>
  <c r="AJ55" s="1"/>
  <c r="Q93"/>
  <c r="AJ62" s="1"/>
  <c r="P95"/>
  <c r="P89"/>
  <c r="P83"/>
  <c r="P96"/>
  <c r="P90"/>
  <c r="P84"/>
  <c r="P97"/>
  <c r="P91"/>
  <c r="P85"/>
  <c r="P92"/>
  <c r="P86"/>
  <c r="P94"/>
  <c r="P88"/>
  <c r="P93"/>
  <c r="O78"/>
  <c r="O72"/>
  <c r="O66"/>
  <c r="O79"/>
  <c r="O73"/>
  <c r="O67"/>
  <c r="O74"/>
  <c r="O68"/>
  <c r="O75"/>
  <c r="O69"/>
  <c r="O76"/>
  <c r="O94"/>
  <c r="O88"/>
  <c r="O82"/>
  <c r="O95"/>
  <c r="O89"/>
  <c r="O83"/>
  <c r="O96"/>
  <c r="O90"/>
  <c r="O84"/>
  <c r="O97"/>
  <c r="O91"/>
  <c r="O85"/>
  <c r="O92"/>
  <c r="P65" a="1"/>
  <c r="P65" s="1"/>
  <c r="P80" a="1"/>
  <c r="Q80" s="1"/>
  <c r="P78" a="1"/>
  <c r="Q78" s="1"/>
  <c r="Q66"/>
  <c r="Q67"/>
  <c r="Q68"/>
  <c r="Q69"/>
  <c r="Q70"/>
  <c r="Q71"/>
  <c r="Q72"/>
  <c r="Q73"/>
  <c r="Q74"/>
  <c r="Q75"/>
  <c r="Q76"/>
  <c r="Q77"/>
  <c r="Q79"/>
  <c r="P66"/>
  <c r="P67"/>
  <c r="P68"/>
  <c r="P69"/>
  <c r="P70"/>
  <c r="P71"/>
  <c r="P72"/>
  <c r="P73"/>
  <c r="P74"/>
  <c r="P75"/>
  <c r="P76"/>
  <c r="P77"/>
  <c r="P79"/>
  <c r="F16" i="19"/>
  <c r="AP18" l="1"/>
  <c r="AR18" s="1"/>
  <c r="G13" a="1"/>
  <c r="W15" a="1"/>
  <c r="AI51" i="1" a="1"/>
  <c r="AI64" s="1"/>
  <c r="Q65"/>
  <c r="AH51" s="1" a="1"/>
  <c r="AH55" s="1"/>
  <c r="P80"/>
  <c r="P78"/>
  <c r="AE51" a="1"/>
  <c r="AF51" s="1"/>
  <c r="AF52" a="1"/>
  <c r="AF56" s="1"/>
  <c r="AE52" a="1"/>
  <c r="AE56" s="1"/>
  <c r="BP18" a="1"/>
  <c r="BQ18" s="1"/>
  <c r="AE6" a="1"/>
  <c r="AF6" s="1"/>
  <c r="AE5" a="1"/>
  <c r="AF5" s="1"/>
  <c r="AE18" a="1"/>
  <c r="AF18" s="1"/>
  <c r="BM19" i="5" a="1"/>
  <c r="BN19" s="1"/>
  <c r="AC15" a="1"/>
  <c r="AD15" s="1"/>
  <c r="AC15" i="16" a="1"/>
  <c r="AC15" s="1"/>
  <c r="G15" i="19" l="1"/>
  <c r="G16"/>
  <c r="G14"/>
  <c r="G13"/>
  <c r="W15"/>
  <c r="AI15" s="1"/>
  <c r="W17"/>
  <c r="AI17" s="1"/>
  <c r="W16"/>
  <c r="AI16" s="1"/>
  <c r="W18"/>
  <c r="AI18" s="1"/>
  <c r="AG51" i="1" a="1"/>
  <c r="AG55" s="1"/>
  <c r="AI54"/>
  <c r="AI57"/>
  <c r="AI55"/>
  <c r="AI59"/>
  <c r="AI58"/>
  <c r="AI53"/>
  <c r="AI66"/>
  <c r="AI52"/>
  <c r="AI56"/>
  <c r="AI65"/>
  <c r="AI61"/>
  <c r="AI62"/>
  <c r="AI51"/>
  <c r="AI60"/>
  <c r="AI63"/>
  <c r="AH53"/>
  <c r="AH66"/>
  <c r="AH57"/>
  <c r="AH51"/>
  <c r="AH54"/>
  <c r="AH60"/>
  <c r="AH64"/>
  <c r="AH58"/>
  <c r="AH62"/>
  <c r="AH52"/>
  <c r="AH61"/>
  <c r="AH56"/>
  <c r="AH65"/>
  <c r="AH63"/>
  <c r="AH59"/>
  <c r="AD15" i="16"/>
  <c r="AE51" i="1"/>
  <c r="AF64"/>
  <c r="AF52"/>
  <c r="AF59"/>
  <c r="AF66"/>
  <c r="AF54"/>
  <c r="AF61"/>
  <c r="AF55"/>
  <c r="AF63"/>
  <c r="AF57"/>
  <c r="AF58"/>
  <c r="AF65"/>
  <c r="AF53"/>
  <c r="AF60"/>
  <c r="AF62"/>
  <c r="AE57"/>
  <c r="AE63"/>
  <c r="AE64"/>
  <c r="AE58"/>
  <c r="AE52"/>
  <c r="AE65"/>
  <c r="AE59"/>
  <c r="AE53"/>
  <c r="AE66"/>
  <c r="AE60"/>
  <c r="AE54"/>
  <c r="AE61"/>
  <c r="AE55"/>
  <c r="AE62"/>
  <c r="BP18"/>
  <c r="AE6"/>
  <c r="AE5"/>
  <c r="AE18"/>
  <c r="BM19" i="5"/>
  <c r="AC15"/>
  <c r="S12" i="1"/>
  <c r="S9"/>
  <c r="S6"/>
  <c r="G12"/>
  <c r="G13" s="1"/>
  <c r="G10"/>
  <c r="G7"/>
  <c r="AA11"/>
  <c r="AA12"/>
  <c r="AA13"/>
  <c r="AA14"/>
  <c r="AA15"/>
  <c r="AA10"/>
  <c r="BL29"/>
  <c r="BL30"/>
  <c r="BL31"/>
  <c r="BL32"/>
  <c r="BL33"/>
  <c r="BL34"/>
  <c r="BL35"/>
  <c r="BL36"/>
  <c r="BL37"/>
  <c r="BL28"/>
  <c r="BL10"/>
  <c r="BL11"/>
  <c r="BL12"/>
  <c r="BL13"/>
  <c r="BL14"/>
  <c r="BL15"/>
  <c r="AZ28"/>
  <c r="AZ29"/>
  <c r="AZ30"/>
  <c r="AZ31"/>
  <c r="AZ32"/>
  <c r="AZ33"/>
  <c r="AZ34"/>
  <c r="AZ10"/>
  <c r="AZ11"/>
  <c r="AZ12"/>
  <c r="AZ13"/>
  <c r="AZ14"/>
  <c r="AZ15"/>
  <c r="AN28"/>
  <c r="AN29"/>
  <c r="AN30"/>
  <c r="AN31"/>
  <c r="AN32"/>
  <c r="AN33"/>
  <c r="AN34"/>
  <c r="AN35"/>
  <c r="AN36"/>
  <c r="AN37"/>
  <c r="AN38"/>
  <c r="AN10"/>
  <c r="AN11"/>
  <c r="AN12"/>
  <c r="AN13"/>
  <c r="AN14"/>
  <c r="AN15"/>
  <c r="BL19" i="5" a="1"/>
  <c r="BL23" s="1"/>
  <c r="CM9" i="18"/>
  <c r="CM10"/>
  <c r="CM11"/>
  <c r="CM12"/>
  <c r="CM13"/>
  <c r="CM14"/>
  <c r="CM15"/>
  <c r="CM16"/>
  <c r="CM17"/>
  <c r="CM18"/>
  <c r="CL9"/>
  <c r="CL10"/>
  <c r="CL11"/>
  <c r="CL12"/>
  <c r="CL13"/>
  <c r="CL14"/>
  <c r="CL15"/>
  <c r="CL16"/>
  <c r="CL17"/>
  <c r="CL18"/>
  <c r="AS32" i="11"/>
  <c r="AS33"/>
  <c r="AS34"/>
  <c r="AS35"/>
  <c r="AS36"/>
  <c r="AS37"/>
  <c r="AS38"/>
  <c r="AS39"/>
  <c r="AS40"/>
  <c r="AE43"/>
  <c r="AI43"/>
  <c r="AE42"/>
  <c r="AI42"/>
  <c r="AL44"/>
  <c r="AP44"/>
  <c r="AP34"/>
  <c r="AP35"/>
  <c r="AP36"/>
  <c r="AP37"/>
  <c r="AP38"/>
  <c r="AP39"/>
  <c r="AP40"/>
  <c r="AP41"/>
  <c r="AP42"/>
  <c r="AP43"/>
  <c r="AL43"/>
  <c r="AL41"/>
  <c r="BP29" i="18"/>
  <c r="BP30"/>
  <c r="BP31"/>
  <c r="BP32"/>
  <c r="BP33"/>
  <c r="BP34"/>
  <c r="BP35"/>
  <c r="BP36"/>
  <c r="BP37"/>
  <c r="BP38"/>
  <c r="BP39"/>
  <c r="BP40"/>
  <c r="BP41"/>
  <c r="BP42"/>
  <c r="BP43"/>
  <c r="BP44" s="1"/>
  <c r="BP45" s="1"/>
  <c r="BI29"/>
  <c r="BI30"/>
  <c r="BI31"/>
  <c r="BI32"/>
  <c r="BI33"/>
  <c r="BI34"/>
  <c r="BI35"/>
  <c r="BI36"/>
  <c r="BI37"/>
  <c r="BI38"/>
  <c r="BI39"/>
  <c r="BI40"/>
  <c r="BI41"/>
  <c r="BI42"/>
  <c r="BI43"/>
  <c r="BI10"/>
  <c r="BI11"/>
  <c r="BI12"/>
  <c r="BI13"/>
  <c r="BI14"/>
  <c r="BI15"/>
  <c r="BI16"/>
  <c r="BI17"/>
  <c r="BI18"/>
  <c r="BI19"/>
  <c r="BI20"/>
  <c r="BI21"/>
  <c r="Y7"/>
  <c r="Y8"/>
  <c r="Y9"/>
  <c r="Y10"/>
  <c r="Y11"/>
  <c r="Y12"/>
  <c r="AK7"/>
  <c r="AK8"/>
  <c r="AK9"/>
  <c r="AK10"/>
  <c r="AK11"/>
  <c r="AK12"/>
  <c r="AW29"/>
  <c r="AW30"/>
  <c r="AW31"/>
  <c r="AW32"/>
  <c r="AW33"/>
  <c r="AW34"/>
  <c r="AW35"/>
  <c r="AW36"/>
  <c r="AW37"/>
  <c r="AW38"/>
  <c r="AW39"/>
  <c r="AW40"/>
  <c r="AW41"/>
  <c r="AW42"/>
  <c r="AW43"/>
  <c r="AK49"/>
  <c r="AK50"/>
  <c r="AK51"/>
  <c r="AK52"/>
  <c r="AK53"/>
  <c r="AK54"/>
  <c r="AK55"/>
  <c r="AK56"/>
  <c r="AK57"/>
  <c r="AK58"/>
  <c r="AK59"/>
  <c r="AK60"/>
  <c r="AK61"/>
  <c r="AK62"/>
  <c r="AK63"/>
  <c r="AK29"/>
  <c r="AK30"/>
  <c r="AK31"/>
  <c r="AK32"/>
  <c r="AK33"/>
  <c r="AK34"/>
  <c r="AK35"/>
  <c r="AK36"/>
  <c r="AK37"/>
  <c r="AK38"/>
  <c r="AK39"/>
  <c r="AK40"/>
  <c r="AK41"/>
  <c r="AK42"/>
  <c r="AK43"/>
  <c r="AK44"/>
  <c r="AK45"/>
  <c r="Y29"/>
  <c r="AC15" a="1"/>
  <c r="AD15" s="1"/>
  <c r="G7"/>
  <c r="G6"/>
  <c r="AW19" a="1"/>
  <c r="AW22" s="1"/>
  <c r="AW10" a="1"/>
  <c r="AW11" s="1"/>
  <c r="AR63"/>
  <c r="AR62"/>
  <c r="AR61"/>
  <c r="AR60"/>
  <c r="AR59"/>
  <c r="AR58"/>
  <c r="AR57"/>
  <c r="AR56"/>
  <c r="AR55"/>
  <c r="AR54"/>
  <c r="AR53"/>
  <c r="AR52"/>
  <c r="AR51"/>
  <c r="AR50"/>
  <c r="AR49"/>
  <c r="G18" i="1"/>
  <c r="F23"/>
  <c r="F32"/>
  <c r="BQ17" l="1"/>
  <c r="AG4"/>
  <c r="AF17"/>
  <c r="CX19" s="1"/>
  <c r="AG52"/>
  <c r="AG63"/>
  <c r="AG57"/>
  <c r="AG56"/>
  <c r="AG62"/>
  <c r="AG66"/>
  <c r="AG53"/>
  <c r="AG64"/>
  <c r="AG51"/>
  <c r="AG61"/>
  <c r="AG60"/>
  <c r="AG65"/>
  <c r="AG58"/>
  <c r="AG59"/>
  <c r="AG54"/>
  <c r="G19"/>
  <c r="BL24" i="5"/>
  <c r="BL25"/>
  <c r="BL19"/>
  <c r="BL26"/>
  <c r="BL20"/>
  <c r="BL21"/>
  <c r="BL22"/>
  <c r="AW21" i="18"/>
  <c r="AC15"/>
  <c r="AW10"/>
  <c r="AW15"/>
  <c r="AW20"/>
  <c r="AW26"/>
  <c r="AW14"/>
  <c r="AW19"/>
  <c r="AW25"/>
  <c r="AW24"/>
  <c r="AW12"/>
  <c r="AW23"/>
  <c r="AW13"/>
  <c r="AF45"/>
  <c r="AF44"/>
  <c r="AR45"/>
  <c r="AF43"/>
  <c r="AR44"/>
  <c r="AF42"/>
  <c r="BD43"/>
  <c r="AR43"/>
  <c r="AF41"/>
  <c r="BD42"/>
  <c r="AR42"/>
  <c r="AF40"/>
  <c r="BD41"/>
  <c r="AR41"/>
  <c r="BD40"/>
  <c r="AR40"/>
  <c r="BD39"/>
  <c r="AR39"/>
  <c r="AF39"/>
  <c r="BD38"/>
  <c r="AR38"/>
  <c r="AF38"/>
  <c r="BD37"/>
  <c r="AR37"/>
  <c r="AF37"/>
  <c r="BD36"/>
  <c r="AR36"/>
  <c r="AF36"/>
  <c r="BD35"/>
  <c r="AR35"/>
  <c r="AF35"/>
  <c r="BD34"/>
  <c r="AR34"/>
  <c r="AF34"/>
  <c r="BD33"/>
  <c r="AR33"/>
  <c r="AF33"/>
  <c r="BD32"/>
  <c r="AR32"/>
  <c r="AF32"/>
  <c r="BD31"/>
  <c r="AR31"/>
  <c r="AF31"/>
  <c r="BD30"/>
  <c r="AR30"/>
  <c r="AF30"/>
  <c r="BD29"/>
  <c r="AR29"/>
  <c r="AF29"/>
  <c r="F33" i="1"/>
  <c r="F24"/>
  <c r="BD26" i="18" l="1"/>
  <c r="BD25"/>
  <c r="BD24"/>
  <c r="BD23"/>
  <c r="BD22"/>
  <c r="BP21"/>
  <c r="BD21"/>
  <c r="BP20"/>
  <c r="BD20"/>
  <c r="BP19"/>
  <c r="BD19"/>
  <c r="F34" i="1"/>
  <c r="F25"/>
  <c r="CW18" i="18" l="1"/>
  <c r="BP18"/>
  <c r="CW17"/>
  <c r="BP17"/>
  <c r="CW16"/>
  <c r="BP16"/>
  <c r="G32" a="1"/>
  <c r="G32" s="1"/>
  <c r="F26" i="1"/>
  <c r="F35"/>
  <c r="G37" i="18" l="1"/>
  <c r="G35"/>
  <c r="G34"/>
  <c r="G36"/>
  <c r="G33"/>
  <c r="CW15"/>
  <c r="BP15"/>
  <c r="BD15"/>
  <c r="F27" i="1"/>
  <c r="F36"/>
  <c r="AF15" i="18" l="1"/>
  <c r="CW14"/>
  <c r="BP14"/>
  <c r="BD14"/>
  <c r="F28" i="1"/>
  <c r="F37"/>
  <c r="AC16" i="18" l="1" a="1"/>
  <c r="AC16" s="1"/>
  <c r="AQ15"/>
  <c r="CW13"/>
  <c r="BP13"/>
  <c r="BD13"/>
  <c r="F38" i="1"/>
  <c r="F29"/>
  <c r="AD16" i="18" l="1"/>
  <c r="AF16" s="1"/>
  <c r="CW12"/>
  <c r="BP12"/>
  <c r="BD12"/>
  <c r="AR12"/>
  <c r="AF12"/>
  <c r="CW11"/>
  <c r="BP11"/>
  <c r="BD11"/>
  <c r="AR11"/>
  <c r="AF11"/>
  <c r="CW10"/>
  <c r="BP10"/>
  <c r="BD10"/>
  <c r="AR10"/>
  <c r="AF10"/>
  <c r="CW9"/>
  <c r="F30" i="1"/>
  <c r="F39"/>
  <c r="AC17" i="18" l="1" a="1"/>
  <c r="AC17" s="1"/>
  <c r="Y18" i="1" a="1"/>
  <c r="Y25" s="1"/>
  <c r="G32" a="1"/>
  <c r="G37" s="1"/>
  <c r="AQ16" i="18"/>
  <c r="G23" i="1" a="1"/>
  <c r="AR9" i="18"/>
  <c r="AF9"/>
  <c r="AR8"/>
  <c r="AF8"/>
  <c r="AR7"/>
  <c r="AF7"/>
  <c r="AY6"/>
  <c r="AY18"/>
  <c r="AM48"/>
  <c r="BK9"/>
  <c r="AY9"/>
  <c r="AY28"/>
  <c r="BK28"/>
  <c r="AA28"/>
  <c r="K32"/>
  <c r="AM28"/>
  <c r="K6"/>
  <c r="AD17" l="1"/>
  <c r="AF17" s="1"/>
  <c r="Y18" i="1"/>
  <c r="Y22"/>
  <c r="Y20"/>
  <c r="Y23"/>
  <c r="Y24"/>
  <c r="Y21"/>
  <c r="Y19"/>
  <c r="G39"/>
  <c r="G36"/>
  <c r="G32"/>
  <c r="G38"/>
  <c r="G35"/>
  <c r="G34"/>
  <c r="G33"/>
  <c r="G24"/>
  <c r="G25"/>
  <c r="G26"/>
  <c r="G27"/>
  <c r="G28"/>
  <c r="G29"/>
  <c r="G23"/>
  <c r="G30"/>
  <c r="AF6" i="18"/>
  <c r="O6"/>
  <c r="AM6"/>
  <c r="CJ21" i="1" l="1" a="1"/>
  <c r="CJ28" s="1"/>
  <c r="AC18" i="18" a="1"/>
  <c r="AQ17"/>
  <c r="AD14"/>
  <c r="CW21" s="1"/>
  <c r="CO4"/>
  <c r="F13"/>
  <c r="CL28" i="1"/>
  <c r="CM8" i="18"/>
  <c r="CL8"/>
  <c r="AA5"/>
  <c r="CJ25" i="1" l="1"/>
  <c r="CJ23"/>
  <c r="CJ21"/>
  <c r="CJ26"/>
  <c r="CJ27"/>
  <c r="CJ22"/>
  <c r="CJ24"/>
  <c r="AC18" i="18"/>
  <c r="AD18"/>
  <c r="BC4"/>
  <c r="AR29" i="16"/>
  <c r="AR30"/>
  <c r="AR31"/>
  <c r="AR32"/>
  <c r="AR33"/>
  <c r="AR34"/>
  <c r="AR35"/>
  <c r="AR36"/>
  <c r="AR37"/>
  <c r="AR38"/>
  <c r="AR39"/>
  <c r="AR40"/>
  <c r="AR41"/>
  <c r="AR42"/>
  <c r="AR43"/>
  <c r="AR44"/>
  <c r="AR45"/>
  <c r="AR46"/>
  <c r="AR50"/>
  <c r="AR51"/>
  <c r="AR52"/>
  <c r="AR53"/>
  <c r="AR54"/>
  <c r="AR55"/>
  <c r="AR56"/>
  <c r="AR57"/>
  <c r="AR58"/>
  <c r="AR59"/>
  <c r="AR60"/>
  <c r="AR61"/>
  <c r="AR62"/>
  <c r="AR63"/>
  <c r="AR64"/>
  <c r="AR65"/>
  <c r="AR7" i="5"/>
  <c r="AR8"/>
  <c r="AR9"/>
  <c r="AR10"/>
  <c r="AR11"/>
  <c r="AR12"/>
  <c r="Q9"/>
  <c r="G9"/>
  <c r="G10"/>
  <c r="Q6"/>
  <c r="G6"/>
  <c r="G7"/>
  <c r="F16"/>
  <c r="F29"/>
  <c r="CL25" i="1"/>
  <c r="CL26"/>
  <c r="CL27"/>
  <c r="CL21"/>
  <c r="CL24"/>
  <c r="F14" i="18"/>
  <c r="CL22" i="1"/>
  <c r="CL23"/>
  <c r="AF18" i="18" l="1"/>
  <c r="BP18" i="5"/>
  <c r="AD14"/>
  <c r="CW21" s="1"/>
  <c r="BP19"/>
  <c r="BM20" s="1" a="1"/>
  <c r="Q6" i="16"/>
  <c r="G6"/>
  <c r="G7"/>
  <c r="AE36" i="11"/>
  <c r="AI36"/>
  <c r="AI37"/>
  <c r="AE32"/>
  <c r="AE33"/>
  <c r="AE34"/>
  <c r="AE35"/>
  <c r="AE37"/>
  <c r="AE38"/>
  <c r="AE39"/>
  <c r="AE40"/>
  <c r="AE41"/>
  <c r="AL32"/>
  <c r="AL33"/>
  <c r="AL34"/>
  <c r="AL35"/>
  <c r="AL36"/>
  <c r="AL37"/>
  <c r="AL38"/>
  <c r="AL39"/>
  <c r="AL40"/>
  <c r="AL42"/>
  <c r="AK60" i="16"/>
  <c r="AK58"/>
  <c r="AK57"/>
  <c r="AK55"/>
  <c r="AK50"/>
  <c r="AK51"/>
  <c r="AK52"/>
  <c r="AK53"/>
  <c r="AK54"/>
  <c r="AK56"/>
  <c r="AK59"/>
  <c r="AK61"/>
  <c r="AK62"/>
  <c r="AK63"/>
  <c r="AK64"/>
  <c r="AK65"/>
  <c r="BI10"/>
  <c r="BI11"/>
  <c r="BI12"/>
  <c r="BI13"/>
  <c r="BI14"/>
  <c r="BI15"/>
  <c r="BI16"/>
  <c r="BI17"/>
  <c r="BI18"/>
  <c r="BI19"/>
  <c r="BI20"/>
  <c r="BI21"/>
  <c r="BP35"/>
  <c r="BP36"/>
  <c r="BP37"/>
  <c r="BP38"/>
  <c r="BP39"/>
  <c r="BP40"/>
  <c r="BP41"/>
  <c r="BI39"/>
  <c r="BI37"/>
  <c r="BI36"/>
  <c r="BP33"/>
  <c r="BP34"/>
  <c r="BI34"/>
  <c r="BI29"/>
  <c r="BI30"/>
  <c r="BI31"/>
  <c r="BI32"/>
  <c r="BI33"/>
  <c r="BI35"/>
  <c r="BI38"/>
  <c r="BI40"/>
  <c r="BI41"/>
  <c r="BI42"/>
  <c r="BI43"/>
  <c r="BI44"/>
  <c r="BD29"/>
  <c r="BD30"/>
  <c r="BD31"/>
  <c r="BD32"/>
  <c r="BD33"/>
  <c r="BD34"/>
  <c r="BD35"/>
  <c r="BD36"/>
  <c r="BD37"/>
  <c r="BD38"/>
  <c r="BD39"/>
  <c r="BD40"/>
  <c r="BD41"/>
  <c r="BD42"/>
  <c r="BD43"/>
  <c r="BD44"/>
  <c r="AW40"/>
  <c r="AW39"/>
  <c r="AW37"/>
  <c r="AW36"/>
  <c r="AW33"/>
  <c r="AW29"/>
  <c r="AW30"/>
  <c r="AW31"/>
  <c r="AW32"/>
  <c r="AW34"/>
  <c r="AW35"/>
  <c r="AW38"/>
  <c r="AW41"/>
  <c r="AW42"/>
  <c r="AW43"/>
  <c r="AW44"/>
  <c r="F13"/>
  <c r="F17" i="5"/>
  <c r="F30"/>
  <c r="F15" i="18"/>
  <c r="AQ18" l="1"/>
  <c r="AC19" a="1"/>
  <c r="AC19" s="1"/>
  <c r="BM20" i="5"/>
  <c r="BN20"/>
  <c r="AF15" i="16"/>
  <c r="AD14"/>
  <c r="CW21" s="1"/>
  <c r="AK37"/>
  <c r="AK36"/>
  <c r="AK34"/>
  <c r="AK39"/>
  <c r="AK29"/>
  <c r="AK30"/>
  <c r="AK31"/>
  <c r="AK32"/>
  <c r="AK33"/>
  <c r="AK35"/>
  <c r="AK38"/>
  <c r="AK40"/>
  <c r="AK41"/>
  <c r="AK42"/>
  <c r="AK43"/>
  <c r="AK44"/>
  <c r="AK45"/>
  <c r="AK46"/>
  <c r="BP16"/>
  <c r="BP17"/>
  <c r="BP18"/>
  <c r="BP19"/>
  <c r="BP20"/>
  <c r="BP21"/>
  <c r="BP11"/>
  <c r="BP12"/>
  <c r="BP13"/>
  <c r="BP14"/>
  <c r="BP15"/>
  <c r="BP10"/>
  <c r="BP29"/>
  <c r="BP30"/>
  <c r="BP31"/>
  <c r="BP32"/>
  <c r="BP42"/>
  <c r="BP43"/>
  <c r="BP44"/>
  <c r="F14"/>
  <c r="F18" i="5"/>
  <c r="F31"/>
  <c r="F16" i="18"/>
  <c r="AD19" l="1"/>
  <c r="AF19" s="1"/>
  <c r="AC16" i="16" a="1"/>
  <c r="AC16" s="1"/>
  <c r="BP20" i="5"/>
  <c r="BM21" s="1" a="1"/>
  <c r="BM21" s="1"/>
  <c r="G30" i="16" a="1"/>
  <c r="G34" s="1"/>
  <c r="AK7" a="1"/>
  <c r="AK11" s="1"/>
  <c r="Y7" a="1"/>
  <c r="Y11" s="1"/>
  <c r="F32" i="5"/>
  <c r="F17" i="18"/>
  <c r="F15" i="16"/>
  <c r="F19" i="5"/>
  <c r="AC20" i="18" l="1" a="1"/>
  <c r="AC20" s="1"/>
  <c r="AD16" i="16"/>
  <c r="AF16" s="1"/>
  <c r="AQ19" i="18"/>
  <c r="BN21" i="5"/>
  <c r="BP21" s="1"/>
  <c r="BM22" s="1" a="1"/>
  <c r="BN22" s="1"/>
  <c r="Y12" i="16"/>
  <c r="G35"/>
  <c r="AK12"/>
  <c r="G30"/>
  <c r="G31"/>
  <c r="G32"/>
  <c r="G33"/>
  <c r="AK7"/>
  <c r="AK8"/>
  <c r="AK9"/>
  <c r="AK10"/>
  <c r="Y7"/>
  <c r="Y8"/>
  <c r="Y9"/>
  <c r="Y10"/>
  <c r="F18" i="18"/>
  <c r="F20" i="5"/>
  <c r="F16" i="16"/>
  <c r="F33" i="5"/>
  <c r="AD20" i="18" l="1"/>
  <c r="AF20" s="1"/>
  <c r="AC17" i="16" a="1"/>
  <c r="AD17" s="1"/>
  <c r="BM22" i="5"/>
  <c r="BP22" s="1"/>
  <c r="BM23" s="1" a="1"/>
  <c r="BM23" s="1"/>
  <c r="AW10" i="16" a="1"/>
  <c r="AW13" s="1"/>
  <c r="AW19" a="1"/>
  <c r="AW23" s="1"/>
  <c r="AF47"/>
  <c r="AF46"/>
  <c r="AF45"/>
  <c r="F21" i="5"/>
  <c r="F34"/>
  <c r="F19" i="18"/>
  <c r="F17" i="16"/>
  <c r="AC21" i="18" l="1" a="1"/>
  <c r="AD21" s="1"/>
  <c r="AQ20"/>
  <c r="AC17" i="16"/>
  <c r="AF17" s="1"/>
  <c r="BN23" i="5"/>
  <c r="BP23" s="1"/>
  <c r="BM24" s="1" a="1"/>
  <c r="BN24" s="1"/>
  <c r="AW25" i="16"/>
  <c r="AW22"/>
  <c r="AW19"/>
  <c r="AW26"/>
  <c r="AW21"/>
  <c r="AW20"/>
  <c r="AW10"/>
  <c r="AW11"/>
  <c r="AW14"/>
  <c r="AW15"/>
  <c r="AW12"/>
  <c r="AW24"/>
  <c r="AF48"/>
  <c r="AF44"/>
  <c r="AF43"/>
  <c r="F20" i="18"/>
  <c r="F35" i="5"/>
  <c r="F22"/>
  <c r="F18" i="16"/>
  <c r="AM49"/>
  <c r="AC21" i="18" l="1"/>
  <c r="AF21" s="1"/>
  <c r="AC18" i="16" a="1"/>
  <c r="AD18" s="1"/>
  <c r="BM24" i="5"/>
  <c r="BP24" s="1"/>
  <c r="BM25" s="1" a="1"/>
  <c r="BM25" s="1"/>
  <c r="AF40" i="16"/>
  <c r="AF41" s="1"/>
  <c r="AF42" s="1"/>
  <c r="AF38"/>
  <c r="AF37"/>
  <c r="AF36"/>
  <c r="AF35"/>
  <c r="AF34"/>
  <c r="AF33"/>
  <c r="AF32"/>
  <c r="AF31"/>
  <c r="F36" i="5"/>
  <c r="F19" i="16"/>
  <c r="F21" i="18"/>
  <c r="F23" i="5"/>
  <c r="AQ21" i="18" l="1"/>
  <c r="AC22" a="1"/>
  <c r="AC22" s="1"/>
  <c r="AC18" i="16"/>
  <c r="AF18" s="1"/>
  <c r="BN25" i="5"/>
  <c r="BP25" s="1"/>
  <c r="BM26" s="1" a="1"/>
  <c r="AF39" i="16"/>
  <c r="AF30"/>
  <c r="AF29"/>
  <c r="F22" i="18"/>
  <c r="F24" i="5"/>
  <c r="F20" i="16"/>
  <c r="AD22" i="18" l="1"/>
  <c r="AF22" s="1"/>
  <c r="AC19" i="16" a="1"/>
  <c r="BM26" i="5"/>
  <c r="BN26"/>
  <c r="BD26" i="16"/>
  <c r="F21"/>
  <c r="F25" i="5"/>
  <c r="F23" i="18"/>
  <c r="AC23" l="1" a="1"/>
  <c r="AD23" s="1"/>
  <c r="AQ22"/>
  <c r="AC19" i="16"/>
  <c r="AD19"/>
  <c r="BP26" i="5"/>
  <c r="BD25" i="16"/>
  <c r="F24" i="18"/>
  <c r="F26" i="5"/>
  <c r="F22" i="16"/>
  <c r="G13" i="18" l="1" a="1"/>
  <c r="G15" s="1"/>
  <c r="W15" a="1"/>
  <c r="W22" s="1"/>
  <c r="AC23"/>
  <c r="AF23" s="1"/>
  <c r="AF19" i="16"/>
  <c r="BD24"/>
  <c r="BD23"/>
  <c r="BD22"/>
  <c r="BD21"/>
  <c r="BD20"/>
  <c r="BD19"/>
  <c r="F27" i="5"/>
  <c r="F23" i="16"/>
  <c r="W16" i="18" l="1"/>
  <c r="AI16" s="1"/>
  <c r="W25"/>
  <c r="AI25" s="1"/>
  <c r="G19"/>
  <c r="G23"/>
  <c r="W19"/>
  <c r="AI19" s="1"/>
  <c r="W21"/>
  <c r="AI21" s="1"/>
  <c r="G22"/>
  <c r="G24"/>
  <c r="W17"/>
  <c r="AI17" s="1"/>
  <c r="W24"/>
  <c r="AI24" s="1"/>
  <c r="G13"/>
  <c r="W18"/>
  <c r="W26"/>
  <c r="AI26" s="1"/>
  <c r="G21"/>
  <c r="G18"/>
  <c r="W20"/>
  <c r="AI20" s="1"/>
  <c r="W23"/>
  <c r="AI23" s="1"/>
  <c r="G16"/>
  <c r="G14"/>
  <c r="G17"/>
  <c r="W15"/>
  <c r="AI15" s="1"/>
  <c r="G20"/>
  <c r="G16" i="5" a="1"/>
  <c r="AQ23" i="18"/>
  <c r="AC24" a="1"/>
  <c r="AC24" s="1"/>
  <c r="AI18"/>
  <c r="AI22"/>
  <c r="AC20" i="16" a="1"/>
  <c r="CW18"/>
  <c r="F24"/>
  <c r="CJ23" i="18" l="1" a="1"/>
  <c r="CJ33" s="1"/>
  <c r="G13" i="16" a="1"/>
  <c r="G20" i="5"/>
  <c r="G27"/>
  <c r="G21"/>
  <c r="G18"/>
  <c r="G26"/>
  <c r="G24"/>
  <c r="G17"/>
  <c r="G23"/>
  <c r="G16"/>
  <c r="G19"/>
  <c r="G22"/>
  <c r="G25"/>
  <c r="AD24" i="18"/>
  <c r="AF24" s="1"/>
  <c r="AD20" i="16"/>
  <c r="AC20"/>
  <c r="CW17"/>
  <c r="CW16"/>
  <c r="CW15"/>
  <c r="BD15"/>
  <c r="CW14"/>
  <c r="BD14"/>
  <c r="CL33" i="18"/>
  <c r="CJ29" l="1"/>
  <c r="CJ34"/>
  <c r="CJ27"/>
  <c r="CJ30"/>
  <c r="CJ23"/>
  <c r="CJ26"/>
  <c r="CJ31"/>
  <c r="CJ32"/>
  <c r="CJ25"/>
  <c r="CJ24"/>
  <c r="CJ28"/>
  <c r="G17" i="16"/>
  <c r="G18"/>
  <c r="G15"/>
  <c r="G24"/>
  <c r="G21"/>
  <c r="G22"/>
  <c r="G14"/>
  <c r="G20"/>
  <c r="G13"/>
  <c r="G23"/>
  <c r="G19"/>
  <c r="G16"/>
  <c r="AQ24" i="18"/>
  <c r="AC25" a="1"/>
  <c r="AD25" s="1"/>
  <c r="AF20" i="16"/>
  <c r="CW13"/>
  <c r="BD13"/>
  <c r="CL26" i="18"/>
  <c r="CL23"/>
  <c r="CM33"/>
  <c r="CM23"/>
  <c r="CM24"/>
  <c r="CM30"/>
  <c r="CL24"/>
  <c r="CL28"/>
  <c r="CL27"/>
  <c r="CM28"/>
  <c r="CM26"/>
  <c r="CL31"/>
  <c r="CL25"/>
  <c r="CM34"/>
  <c r="CL32"/>
  <c r="CM29"/>
  <c r="AC25" l="1"/>
  <c r="AF25" s="1"/>
  <c r="AC21" i="16" a="1"/>
  <c r="CW12"/>
  <c r="BD12"/>
  <c r="AR12"/>
  <c r="AF12"/>
  <c r="CM31" i="18"/>
  <c r="CL29"/>
  <c r="CL30"/>
  <c r="CM25"/>
  <c r="CM32"/>
  <c r="CL34"/>
  <c r="CM27"/>
  <c r="AC26" l="1" a="1"/>
  <c r="AC26" s="1"/>
  <c r="AQ25"/>
  <c r="AC21" i="16"/>
  <c r="AD21"/>
  <c r="AQ20"/>
  <c r="AQ18"/>
  <c r="AQ19"/>
  <c r="AQ16"/>
  <c r="AQ17"/>
  <c r="AQ15"/>
  <c r="CW11"/>
  <c r="BD11"/>
  <c r="AR11"/>
  <c r="AF11"/>
  <c r="CW10"/>
  <c r="BD10"/>
  <c r="AR10"/>
  <c r="AF10"/>
  <c r="AD26" i="18" l="1"/>
  <c r="AF26" s="1"/>
  <c r="AF21" i="16"/>
  <c r="CW9"/>
  <c r="CM9" a="1"/>
  <c r="CM13" s="1"/>
  <c r="CL9" a="1"/>
  <c r="CL18" s="1"/>
  <c r="AQ26" i="18" l="1"/>
  <c r="AC22" i="16" a="1"/>
  <c r="AQ21"/>
  <c r="CL14"/>
  <c r="CM9"/>
  <c r="CM15"/>
  <c r="CL13"/>
  <c r="CL11"/>
  <c r="CL17"/>
  <c r="CM12"/>
  <c r="CM18"/>
  <c r="CL10"/>
  <c r="CL16"/>
  <c r="CM11"/>
  <c r="CM17"/>
  <c r="CL9"/>
  <c r="CL15"/>
  <c r="CM10"/>
  <c r="CM16"/>
  <c r="CM14"/>
  <c r="CL12"/>
  <c r="AR9"/>
  <c r="AF9"/>
  <c r="AR8"/>
  <c r="AF8"/>
  <c r="AR7"/>
  <c r="AF7"/>
  <c r="AY6"/>
  <c r="K30"/>
  <c r="AA5"/>
  <c r="BK9"/>
  <c r="AY18"/>
  <c r="AA28"/>
  <c r="BK28"/>
  <c r="AY9"/>
  <c r="AY28"/>
  <c r="AM28"/>
  <c r="AC22" l="1"/>
  <c r="AD22"/>
  <c r="AF6"/>
  <c r="CO4"/>
  <c r="CM8"/>
  <c r="CL8"/>
  <c r="AM6"/>
  <c r="AF22" l="1"/>
  <c r="BC4"/>
  <c r="AC23" l="1" a="1"/>
  <c r="AD23" s="1"/>
  <c r="AQ22"/>
  <c r="F21" i="7"/>
  <c r="EI6" i="1" a="1"/>
  <c r="EI8" s="1"/>
  <c r="BM11" i="7"/>
  <c r="DN10" i="12"/>
  <c r="DB10"/>
  <c r="CP10"/>
  <c r="CD10"/>
  <c r="BR10"/>
  <c r="DM13" a="1"/>
  <c r="DM13" s="1"/>
  <c r="DN9"/>
  <c r="DP13"/>
  <c r="DD13"/>
  <c r="CN4" i="1"/>
  <c r="AY6" i="5"/>
  <c r="AP6" i="1"/>
  <c r="EE4"/>
  <c r="G4" i="11"/>
  <c r="CO4" i="5"/>
  <c r="X13" i="7" a="1"/>
  <c r="P13" a="1"/>
  <c r="AP27" i="1"/>
  <c r="M90"/>
  <c r="M76"/>
  <c r="M18"/>
  <c r="M83"/>
  <c r="M92"/>
  <c r="M70"/>
  <c r="M95"/>
  <c r="AP9"/>
  <c r="AE6" i="11"/>
  <c r="M67" i="1"/>
  <c r="DH22"/>
  <c r="DC22"/>
  <c r="M6"/>
  <c r="M69"/>
  <c r="M87"/>
  <c r="M73"/>
  <c r="M102"/>
  <c r="M48"/>
  <c r="M88"/>
  <c r="DE22"/>
  <c r="M109"/>
  <c r="DD22"/>
  <c r="K41" i="5"/>
  <c r="AS6" i="11"/>
  <c r="M97" i="1"/>
  <c r="M84"/>
  <c r="P31" i="11"/>
  <c r="BB9" i="1"/>
  <c r="DB22"/>
  <c r="K6" i="5"/>
  <c r="J6" i="11"/>
  <c r="DF22" i="1"/>
  <c r="M75"/>
  <c r="M94"/>
  <c r="O31" i="11"/>
  <c r="DG22" i="1"/>
  <c r="M72"/>
  <c r="M86"/>
  <c r="AC8"/>
  <c r="BB17"/>
  <c r="M66"/>
  <c r="BN9"/>
  <c r="M82"/>
  <c r="CL8"/>
  <c r="M96"/>
  <c r="M41"/>
  <c r="M85"/>
  <c r="M65"/>
  <c r="M71"/>
  <c r="M77"/>
  <c r="M79"/>
  <c r="M74"/>
  <c r="BB27"/>
  <c r="M91"/>
  <c r="K9" i="5"/>
  <c r="M89" i="1"/>
  <c r="M93"/>
  <c r="BN27"/>
  <c r="M68"/>
  <c r="AL6" i="11"/>
  <c r="AC23" i="16" l="1"/>
  <c r="AF23" s="1"/>
  <c r="X47" i="7"/>
  <c r="X83"/>
  <c r="X119"/>
  <c r="X155"/>
  <c r="X191"/>
  <c r="X227"/>
  <c r="X263"/>
  <c r="X299"/>
  <c r="X335"/>
  <c r="X371"/>
  <c r="X407"/>
  <c r="X443"/>
  <c r="X479"/>
  <c r="X16"/>
  <c r="X52"/>
  <c r="X88"/>
  <c r="X124"/>
  <c r="X160"/>
  <c r="X196"/>
  <c r="X232"/>
  <c r="X268"/>
  <c r="X304"/>
  <c r="X340"/>
  <c r="X376"/>
  <c r="X412"/>
  <c r="X448"/>
  <c r="X484"/>
  <c r="X21"/>
  <c r="X57"/>
  <c r="X93"/>
  <c r="X129"/>
  <c r="X165"/>
  <c r="X201"/>
  <c r="X237"/>
  <c r="X273"/>
  <c r="X309"/>
  <c r="X345"/>
  <c r="X381"/>
  <c r="X417"/>
  <c r="X453"/>
  <c r="X489"/>
  <c r="X26"/>
  <c r="X43"/>
  <c r="X120"/>
  <c r="X192"/>
  <c r="X264"/>
  <c r="X336"/>
  <c r="X408"/>
  <c r="X480"/>
  <c r="X188"/>
  <c r="X284"/>
  <c r="X380"/>
  <c r="X464"/>
  <c r="X415"/>
  <c r="X474"/>
  <c r="X104"/>
  <c r="X260"/>
  <c r="X463"/>
  <c r="X19"/>
  <c r="X103"/>
  <c r="X175"/>
  <c r="X247"/>
  <c r="X319"/>
  <c r="X439"/>
  <c r="X54"/>
  <c r="X126"/>
  <c r="X198"/>
  <c r="X270"/>
  <c r="X342"/>
  <c r="X13"/>
  <c r="X98"/>
  <c r="X170"/>
  <c r="X242"/>
  <c r="X314"/>
  <c r="X386"/>
  <c r="X458"/>
  <c r="X48"/>
  <c r="X121"/>
  <c r="X193"/>
  <c r="X265"/>
  <c r="X337"/>
  <c r="X421"/>
  <c r="X493"/>
  <c r="X41"/>
  <c r="X77"/>
  <c r="X113"/>
  <c r="X149"/>
  <c r="X185"/>
  <c r="X221"/>
  <c r="X257"/>
  <c r="X293"/>
  <c r="X329"/>
  <c r="X365"/>
  <c r="X401"/>
  <c r="X437"/>
  <c r="X473"/>
  <c r="X509"/>
  <c r="X46"/>
  <c r="X82"/>
  <c r="X118"/>
  <c r="X154"/>
  <c r="X190"/>
  <c r="X226"/>
  <c r="X262"/>
  <c r="X298"/>
  <c r="X334"/>
  <c r="X370"/>
  <c r="X406"/>
  <c r="X442"/>
  <c r="X478"/>
  <c r="X15"/>
  <c r="X51"/>
  <c r="X87"/>
  <c r="X123"/>
  <c r="X159"/>
  <c r="X195"/>
  <c r="X231"/>
  <c r="X267"/>
  <c r="X303"/>
  <c r="X339"/>
  <c r="X375"/>
  <c r="X411"/>
  <c r="X447"/>
  <c r="X483"/>
  <c r="X20"/>
  <c r="X25"/>
  <c r="X108"/>
  <c r="X180"/>
  <c r="X252"/>
  <c r="X324"/>
  <c r="X396"/>
  <c r="X468"/>
  <c r="X164"/>
  <c r="X272"/>
  <c r="X356"/>
  <c r="X452"/>
  <c r="X391"/>
  <c r="X438"/>
  <c r="X92"/>
  <c r="X212"/>
  <c r="X427"/>
  <c r="X486"/>
  <c r="X91"/>
  <c r="X163"/>
  <c r="X235"/>
  <c r="X307"/>
  <c r="X403"/>
  <c r="X36"/>
  <c r="X114"/>
  <c r="X186"/>
  <c r="X258"/>
  <c r="X330"/>
  <c r="X510"/>
  <c r="X86"/>
  <c r="X158"/>
  <c r="X230"/>
  <c r="X302"/>
  <c r="X374"/>
  <c r="X446"/>
  <c r="X30"/>
  <c r="X109"/>
  <c r="X181"/>
  <c r="X253"/>
  <c r="X325"/>
  <c r="X409"/>
  <c r="X481"/>
  <c r="X35"/>
  <c r="X71"/>
  <c r="X107"/>
  <c r="X143"/>
  <c r="X179"/>
  <c r="X215"/>
  <c r="X251"/>
  <c r="X287"/>
  <c r="X323"/>
  <c r="X359"/>
  <c r="X395"/>
  <c r="X431"/>
  <c r="X467"/>
  <c r="X503"/>
  <c r="X40"/>
  <c r="X76"/>
  <c r="X112"/>
  <c r="X148"/>
  <c r="X184"/>
  <c r="X220"/>
  <c r="X256"/>
  <c r="X292"/>
  <c r="X328"/>
  <c r="X364"/>
  <c r="X400"/>
  <c r="X436"/>
  <c r="X472"/>
  <c r="X508"/>
  <c r="X45"/>
  <c r="X81"/>
  <c r="X117"/>
  <c r="X153"/>
  <c r="X189"/>
  <c r="X225"/>
  <c r="X261"/>
  <c r="X297"/>
  <c r="X333"/>
  <c r="X369"/>
  <c r="X405"/>
  <c r="X441"/>
  <c r="X477"/>
  <c r="X14"/>
  <c r="X50"/>
  <c r="X96"/>
  <c r="X168"/>
  <c r="X240"/>
  <c r="X312"/>
  <c r="X384"/>
  <c r="X456"/>
  <c r="X140"/>
  <c r="X248"/>
  <c r="X344"/>
  <c r="X440"/>
  <c r="X367"/>
  <c r="X402"/>
  <c r="X80"/>
  <c r="X176"/>
  <c r="X488"/>
  <c r="X450"/>
  <c r="X79"/>
  <c r="X151"/>
  <c r="X223"/>
  <c r="X295"/>
  <c r="X379"/>
  <c r="X18"/>
  <c r="X102"/>
  <c r="X174"/>
  <c r="X246"/>
  <c r="X318"/>
  <c r="X426"/>
  <c r="X74"/>
  <c r="X146"/>
  <c r="X218"/>
  <c r="X290"/>
  <c r="X362"/>
  <c r="X434"/>
  <c r="X506"/>
  <c r="X97"/>
  <c r="X169"/>
  <c r="X241"/>
  <c r="X313"/>
  <c r="X397"/>
  <c r="X469"/>
  <c r="X29"/>
  <c r="X65"/>
  <c r="X101"/>
  <c r="X137"/>
  <c r="X173"/>
  <c r="X209"/>
  <c r="X245"/>
  <c r="X281"/>
  <c r="X317"/>
  <c r="X353"/>
  <c r="X389"/>
  <c r="X425"/>
  <c r="X461"/>
  <c r="X497"/>
  <c r="X34"/>
  <c r="X70"/>
  <c r="X106"/>
  <c r="X142"/>
  <c r="X178"/>
  <c r="X214"/>
  <c r="X250"/>
  <c r="X286"/>
  <c r="X322"/>
  <c r="X358"/>
  <c r="X394"/>
  <c r="X430"/>
  <c r="X466"/>
  <c r="X502"/>
  <c r="X39"/>
  <c r="X75"/>
  <c r="X111"/>
  <c r="X147"/>
  <c r="X183"/>
  <c r="X219"/>
  <c r="X255"/>
  <c r="X291"/>
  <c r="X327"/>
  <c r="X363"/>
  <c r="X399"/>
  <c r="X435"/>
  <c r="X471"/>
  <c r="X507"/>
  <c r="X44"/>
  <c r="X84"/>
  <c r="X156"/>
  <c r="X228"/>
  <c r="X300"/>
  <c r="X372"/>
  <c r="X444"/>
  <c r="X68"/>
  <c r="X236"/>
  <c r="X332"/>
  <c r="X416"/>
  <c r="X512"/>
  <c r="X511"/>
  <c r="X56"/>
  <c r="X152"/>
  <c r="X428"/>
  <c r="X414"/>
  <c r="X67"/>
  <c r="X139"/>
  <c r="X211"/>
  <c r="X283"/>
  <c r="X355"/>
  <c r="X498"/>
  <c r="X90"/>
  <c r="X162"/>
  <c r="X234"/>
  <c r="X306"/>
  <c r="X390"/>
  <c r="X62"/>
  <c r="X134"/>
  <c r="X206"/>
  <c r="X278"/>
  <c r="X350"/>
  <c r="X422"/>
  <c r="X494"/>
  <c r="X85"/>
  <c r="X157"/>
  <c r="X229"/>
  <c r="X301"/>
  <c r="X385"/>
  <c r="X457"/>
  <c r="X23"/>
  <c r="X59"/>
  <c r="X95"/>
  <c r="X131"/>
  <c r="X167"/>
  <c r="X203"/>
  <c r="X239"/>
  <c r="X275"/>
  <c r="X311"/>
  <c r="X347"/>
  <c r="X383"/>
  <c r="X419"/>
  <c r="X455"/>
  <c r="X491"/>
  <c r="X28"/>
  <c r="X64"/>
  <c r="X100"/>
  <c r="X136"/>
  <c r="X172"/>
  <c r="X208"/>
  <c r="X244"/>
  <c r="X280"/>
  <c r="X316"/>
  <c r="X352"/>
  <c r="X388"/>
  <c r="X424"/>
  <c r="X460"/>
  <c r="X496"/>
  <c r="X33"/>
  <c r="X69"/>
  <c r="X105"/>
  <c r="X141"/>
  <c r="X177"/>
  <c r="X213"/>
  <c r="X249"/>
  <c r="X285"/>
  <c r="X321"/>
  <c r="X357"/>
  <c r="X393"/>
  <c r="X429"/>
  <c r="X465"/>
  <c r="X501"/>
  <c r="X38"/>
  <c r="X72"/>
  <c r="X144"/>
  <c r="X216"/>
  <c r="X288"/>
  <c r="X360"/>
  <c r="X432"/>
  <c r="X504"/>
  <c r="X224"/>
  <c r="X320"/>
  <c r="X404"/>
  <c r="X500"/>
  <c r="X475"/>
  <c r="X42"/>
  <c r="X128"/>
  <c r="X368"/>
  <c r="X378"/>
  <c r="X55"/>
  <c r="X127"/>
  <c r="X199"/>
  <c r="X271"/>
  <c r="X343"/>
  <c r="X462"/>
  <c r="X78"/>
  <c r="X150"/>
  <c r="X222"/>
  <c r="X294"/>
  <c r="X366"/>
  <c r="X49"/>
  <c r="X122"/>
  <c r="X194"/>
  <c r="X266"/>
  <c r="X338"/>
  <c r="X410"/>
  <c r="X482"/>
  <c r="X73"/>
  <c r="X145"/>
  <c r="X217"/>
  <c r="X289"/>
  <c r="X361"/>
  <c r="X445"/>
  <c r="X373"/>
  <c r="X17"/>
  <c r="X53"/>
  <c r="X89"/>
  <c r="X125"/>
  <c r="X161"/>
  <c r="X197"/>
  <c r="X233"/>
  <c r="X269"/>
  <c r="X305"/>
  <c r="X341"/>
  <c r="X377"/>
  <c r="X413"/>
  <c r="X449"/>
  <c r="X485"/>
  <c r="X22"/>
  <c r="X58"/>
  <c r="X94"/>
  <c r="X130"/>
  <c r="X166"/>
  <c r="X202"/>
  <c r="X238"/>
  <c r="X274"/>
  <c r="X310"/>
  <c r="X346"/>
  <c r="X382"/>
  <c r="X418"/>
  <c r="X454"/>
  <c r="X490"/>
  <c r="X27"/>
  <c r="X63"/>
  <c r="X99"/>
  <c r="X135"/>
  <c r="X171"/>
  <c r="X207"/>
  <c r="X243"/>
  <c r="X279"/>
  <c r="X315"/>
  <c r="X351"/>
  <c r="X387"/>
  <c r="X423"/>
  <c r="X459"/>
  <c r="X495"/>
  <c r="X32"/>
  <c r="X60"/>
  <c r="X132"/>
  <c r="X204"/>
  <c r="X276"/>
  <c r="X348"/>
  <c r="X420"/>
  <c r="X492"/>
  <c r="X200"/>
  <c r="X296"/>
  <c r="X392"/>
  <c r="X476"/>
  <c r="X451"/>
  <c r="X24"/>
  <c r="X116"/>
  <c r="X308"/>
  <c r="X499"/>
  <c r="X37"/>
  <c r="X115"/>
  <c r="X187"/>
  <c r="X259"/>
  <c r="X331"/>
  <c r="X487"/>
  <c r="X66"/>
  <c r="X138"/>
  <c r="X210"/>
  <c r="X282"/>
  <c r="X354"/>
  <c r="X31"/>
  <c r="X110"/>
  <c r="X182"/>
  <c r="X254"/>
  <c r="X326"/>
  <c r="X398"/>
  <c r="X470"/>
  <c r="X61"/>
  <c r="X133"/>
  <c r="X205"/>
  <c r="X277"/>
  <c r="X349"/>
  <c r="X433"/>
  <c r="X505"/>
  <c r="P35"/>
  <c r="P71"/>
  <c r="P107"/>
  <c r="P143"/>
  <c r="P179"/>
  <c r="P215"/>
  <c r="P251"/>
  <c r="P287"/>
  <c r="P323"/>
  <c r="P359"/>
  <c r="P395"/>
  <c r="P431"/>
  <c r="P467"/>
  <c r="P503"/>
  <c r="P40"/>
  <c r="P76"/>
  <c r="P112"/>
  <c r="P148"/>
  <c r="P184"/>
  <c r="P220"/>
  <c r="P256"/>
  <c r="P292"/>
  <c r="P328"/>
  <c r="P364"/>
  <c r="P400"/>
  <c r="P436"/>
  <c r="P472"/>
  <c r="P508"/>
  <c r="P45"/>
  <c r="P81"/>
  <c r="P117"/>
  <c r="P153"/>
  <c r="P189"/>
  <c r="P225"/>
  <c r="P261"/>
  <c r="P297"/>
  <c r="P333"/>
  <c r="P369"/>
  <c r="P405"/>
  <c r="P441"/>
  <c r="P477"/>
  <c r="P14"/>
  <c r="P50"/>
  <c r="P96"/>
  <c r="P168"/>
  <c r="P240"/>
  <c r="P312"/>
  <c r="P384"/>
  <c r="P456"/>
  <c r="P42"/>
  <c r="P116"/>
  <c r="P188"/>
  <c r="P260"/>
  <c r="P332"/>
  <c r="P404"/>
  <c r="P476"/>
  <c r="P55"/>
  <c r="P127"/>
  <c r="P199"/>
  <c r="P271"/>
  <c r="P343"/>
  <c r="P415"/>
  <c r="P487"/>
  <c r="P66"/>
  <c r="P138"/>
  <c r="P210"/>
  <c r="P282"/>
  <c r="P354"/>
  <c r="P426"/>
  <c r="P498"/>
  <c r="P74"/>
  <c r="P146"/>
  <c r="P218"/>
  <c r="P290"/>
  <c r="P362"/>
  <c r="P434"/>
  <c r="P506"/>
  <c r="P97"/>
  <c r="P169"/>
  <c r="P241"/>
  <c r="P313"/>
  <c r="P385"/>
  <c r="P457"/>
  <c r="P461"/>
  <c r="P106"/>
  <c r="P178"/>
  <c r="P250"/>
  <c r="P286"/>
  <c r="P322"/>
  <c r="P394"/>
  <c r="P430"/>
  <c r="P466"/>
  <c r="P502"/>
  <c r="P39"/>
  <c r="P111"/>
  <c r="P147"/>
  <c r="P183"/>
  <c r="P219"/>
  <c r="P255"/>
  <c r="P291"/>
  <c r="P327"/>
  <c r="P399"/>
  <c r="P435"/>
  <c r="P471"/>
  <c r="P507"/>
  <c r="P44"/>
  <c r="P84"/>
  <c r="P156"/>
  <c r="P228"/>
  <c r="P300"/>
  <c r="P372"/>
  <c r="P444"/>
  <c r="P104"/>
  <c r="P176"/>
  <c r="P248"/>
  <c r="P320"/>
  <c r="P392"/>
  <c r="P464"/>
  <c r="P37"/>
  <c r="P115"/>
  <c r="P187"/>
  <c r="P259"/>
  <c r="P331"/>
  <c r="P403"/>
  <c r="P475"/>
  <c r="P126"/>
  <c r="P198"/>
  <c r="P270"/>
  <c r="P342"/>
  <c r="P414"/>
  <c r="P486"/>
  <c r="P62"/>
  <c r="P134"/>
  <c r="P206"/>
  <c r="P278"/>
  <c r="P350"/>
  <c r="P422"/>
  <c r="P494"/>
  <c r="P85"/>
  <c r="P157"/>
  <c r="P229"/>
  <c r="P301"/>
  <c r="P373"/>
  <c r="P445"/>
  <c r="P114"/>
  <c r="P330"/>
  <c r="P474"/>
  <c r="P49"/>
  <c r="P194"/>
  <c r="P266"/>
  <c r="P338"/>
  <c r="P410"/>
  <c r="P73"/>
  <c r="P145"/>
  <c r="P217"/>
  <c r="P289"/>
  <c r="P361"/>
  <c r="P433"/>
  <c r="P505"/>
  <c r="P368"/>
  <c r="P307"/>
  <c r="P451"/>
  <c r="P174"/>
  <c r="P31"/>
  <c r="P326"/>
  <c r="P205"/>
  <c r="P493"/>
  <c r="P29"/>
  <c r="P65"/>
  <c r="P101"/>
  <c r="P137"/>
  <c r="P173"/>
  <c r="P209"/>
  <c r="P245"/>
  <c r="P281"/>
  <c r="P317"/>
  <c r="P353"/>
  <c r="P389"/>
  <c r="P425"/>
  <c r="P497"/>
  <c r="P34"/>
  <c r="P70"/>
  <c r="P142"/>
  <c r="P214"/>
  <c r="P358"/>
  <c r="P75"/>
  <c r="P363"/>
  <c r="P24"/>
  <c r="P54"/>
  <c r="P91"/>
  <c r="P102"/>
  <c r="P110"/>
  <c r="P133"/>
  <c r="P23"/>
  <c r="P59"/>
  <c r="P95"/>
  <c r="P131"/>
  <c r="P167"/>
  <c r="P203"/>
  <c r="P239"/>
  <c r="P275"/>
  <c r="P311"/>
  <c r="P347"/>
  <c r="P383"/>
  <c r="P419"/>
  <c r="P455"/>
  <c r="P491"/>
  <c r="P28"/>
  <c r="P64"/>
  <c r="P100"/>
  <c r="P136"/>
  <c r="P172"/>
  <c r="P208"/>
  <c r="P244"/>
  <c r="P280"/>
  <c r="P316"/>
  <c r="P352"/>
  <c r="P388"/>
  <c r="P424"/>
  <c r="P460"/>
  <c r="P496"/>
  <c r="P33"/>
  <c r="P69"/>
  <c r="P105"/>
  <c r="P141"/>
  <c r="P177"/>
  <c r="P213"/>
  <c r="P249"/>
  <c r="P285"/>
  <c r="P321"/>
  <c r="P357"/>
  <c r="P393"/>
  <c r="P429"/>
  <c r="P465"/>
  <c r="P501"/>
  <c r="P38"/>
  <c r="P72"/>
  <c r="P144"/>
  <c r="P216"/>
  <c r="P288"/>
  <c r="P360"/>
  <c r="P432"/>
  <c r="P504"/>
  <c r="P92"/>
  <c r="P164"/>
  <c r="P236"/>
  <c r="P308"/>
  <c r="P380"/>
  <c r="P452"/>
  <c r="P19"/>
  <c r="P103"/>
  <c r="P175"/>
  <c r="P247"/>
  <c r="P319"/>
  <c r="P391"/>
  <c r="P463"/>
  <c r="P36"/>
  <c r="P186"/>
  <c r="P258"/>
  <c r="P402"/>
  <c r="P122"/>
  <c r="P482"/>
  <c r="P390"/>
  <c r="P470"/>
  <c r="P421"/>
  <c r="P17"/>
  <c r="P53"/>
  <c r="P89"/>
  <c r="P125"/>
  <c r="P161"/>
  <c r="P197"/>
  <c r="P233"/>
  <c r="P269"/>
  <c r="P305"/>
  <c r="P341"/>
  <c r="P377"/>
  <c r="P413"/>
  <c r="P449"/>
  <c r="P485"/>
  <c r="P22"/>
  <c r="P58"/>
  <c r="P94"/>
  <c r="P130"/>
  <c r="P166"/>
  <c r="P202"/>
  <c r="P238"/>
  <c r="P274"/>
  <c r="P310"/>
  <c r="P346"/>
  <c r="P382"/>
  <c r="P418"/>
  <c r="P454"/>
  <c r="P490"/>
  <c r="P27"/>
  <c r="P63"/>
  <c r="P99"/>
  <c r="P135"/>
  <c r="P171"/>
  <c r="P207"/>
  <c r="P243"/>
  <c r="P279"/>
  <c r="P315"/>
  <c r="P351"/>
  <c r="P387"/>
  <c r="P423"/>
  <c r="P459"/>
  <c r="P495"/>
  <c r="P32"/>
  <c r="P60"/>
  <c r="P132"/>
  <c r="P204"/>
  <c r="P276"/>
  <c r="P348"/>
  <c r="P420"/>
  <c r="P492"/>
  <c r="P80"/>
  <c r="P152"/>
  <c r="P224"/>
  <c r="P440"/>
  <c r="P163"/>
  <c r="P379"/>
  <c r="P182"/>
  <c r="P47"/>
  <c r="P83"/>
  <c r="P119"/>
  <c r="P155"/>
  <c r="P191"/>
  <c r="P227"/>
  <c r="P263"/>
  <c r="P299"/>
  <c r="P335"/>
  <c r="P371"/>
  <c r="P407"/>
  <c r="P443"/>
  <c r="P479"/>
  <c r="P16"/>
  <c r="P52"/>
  <c r="P88"/>
  <c r="P124"/>
  <c r="P160"/>
  <c r="P196"/>
  <c r="P232"/>
  <c r="P268"/>
  <c r="P304"/>
  <c r="P340"/>
  <c r="P376"/>
  <c r="P412"/>
  <c r="P448"/>
  <c r="P484"/>
  <c r="P21"/>
  <c r="P57"/>
  <c r="P93"/>
  <c r="P129"/>
  <c r="P165"/>
  <c r="P201"/>
  <c r="P237"/>
  <c r="P273"/>
  <c r="P309"/>
  <c r="P345"/>
  <c r="P381"/>
  <c r="P417"/>
  <c r="P453"/>
  <c r="P489"/>
  <c r="P26"/>
  <c r="P43"/>
  <c r="P120"/>
  <c r="P192"/>
  <c r="P264"/>
  <c r="P336"/>
  <c r="P408"/>
  <c r="P480"/>
  <c r="P68"/>
  <c r="P140"/>
  <c r="P212"/>
  <c r="P284"/>
  <c r="P356"/>
  <c r="P428"/>
  <c r="P500"/>
  <c r="P79"/>
  <c r="P151"/>
  <c r="P223"/>
  <c r="P295"/>
  <c r="P367"/>
  <c r="P439"/>
  <c r="P511"/>
  <c r="P90"/>
  <c r="P162"/>
  <c r="P234"/>
  <c r="P306"/>
  <c r="P378"/>
  <c r="P450"/>
  <c r="P13"/>
  <c r="P98"/>
  <c r="P170"/>
  <c r="P242"/>
  <c r="P314"/>
  <c r="P386"/>
  <c r="P458"/>
  <c r="P48"/>
  <c r="P121"/>
  <c r="P193"/>
  <c r="P265"/>
  <c r="P337"/>
  <c r="P409"/>
  <c r="P481"/>
  <c r="P512"/>
  <c r="P318"/>
  <c r="P398"/>
  <c r="P277"/>
  <c r="P41"/>
  <c r="P77"/>
  <c r="P113"/>
  <c r="P149"/>
  <c r="P185"/>
  <c r="P221"/>
  <c r="P257"/>
  <c r="P293"/>
  <c r="P329"/>
  <c r="P365"/>
  <c r="P401"/>
  <c r="P437"/>
  <c r="P473"/>
  <c r="P509"/>
  <c r="P46"/>
  <c r="P82"/>
  <c r="P118"/>
  <c r="P154"/>
  <c r="P190"/>
  <c r="P226"/>
  <c r="P262"/>
  <c r="P298"/>
  <c r="P334"/>
  <c r="P370"/>
  <c r="P406"/>
  <c r="P442"/>
  <c r="P478"/>
  <c r="P15"/>
  <c r="P51"/>
  <c r="P87"/>
  <c r="P123"/>
  <c r="P159"/>
  <c r="P195"/>
  <c r="P231"/>
  <c r="P267"/>
  <c r="P303"/>
  <c r="P339"/>
  <c r="P375"/>
  <c r="P411"/>
  <c r="P447"/>
  <c r="P483"/>
  <c r="P20"/>
  <c r="P25"/>
  <c r="P108"/>
  <c r="P180"/>
  <c r="P252"/>
  <c r="P324"/>
  <c r="P396"/>
  <c r="P468"/>
  <c r="P56"/>
  <c r="P128"/>
  <c r="P200"/>
  <c r="P272"/>
  <c r="P344"/>
  <c r="P416"/>
  <c r="P488"/>
  <c r="P67"/>
  <c r="P139"/>
  <c r="P211"/>
  <c r="P283"/>
  <c r="P355"/>
  <c r="P427"/>
  <c r="P499"/>
  <c r="P78"/>
  <c r="P150"/>
  <c r="P222"/>
  <c r="P294"/>
  <c r="P366"/>
  <c r="P438"/>
  <c r="P510"/>
  <c r="P86"/>
  <c r="P158"/>
  <c r="P230"/>
  <c r="P302"/>
  <c r="P374"/>
  <c r="P446"/>
  <c r="P30"/>
  <c r="P109"/>
  <c r="P181"/>
  <c r="P253"/>
  <c r="P325"/>
  <c r="P397"/>
  <c r="P469"/>
  <c r="P296"/>
  <c r="P235"/>
  <c r="P18"/>
  <c r="P246"/>
  <c r="P462"/>
  <c r="P254"/>
  <c r="P61"/>
  <c r="P349"/>
  <c r="J34"/>
  <c r="EJ20" i="1"/>
  <c r="EJ23"/>
  <c r="EJ8"/>
  <c r="EJ11"/>
  <c r="EJ14"/>
  <c r="EJ17"/>
  <c r="EI24"/>
  <c r="EI21"/>
  <c r="EI18"/>
  <c r="EI15"/>
  <c r="EI12"/>
  <c r="EI9"/>
  <c r="EI6"/>
  <c r="EJ24"/>
  <c r="EJ21"/>
  <c r="EJ18"/>
  <c r="EJ15"/>
  <c r="EJ12"/>
  <c r="EJ9"/>
  <c r="EJ6"/>
  <c r="EI25"/>
  <c r="EI22"/>
  <c r="EI19"/>
  <c r="EI16"/>
  <c r="EI13"/>
  <c r="EI10"/>
  <c r="EI7"/>
  <c r="EJ25"/>
  <c r="EJ22"/>
  <c r="EJ19"/>
  <c r="EJ16"/>
  <c r="EJ13"/>
  <c r="EJ10"/>
  <c r="EJ7"/>
  <c r="EI23"/>
  <c r="EI20"/>
  <c r="EI17"/>
  <c r="EI14"/>
  <c r="EI11"/>
  <c r="DO13" i="12"/>
  <c r="DN13"/>
  <c r="DA13" a="1"/>
  <c r="DA13" s="1"/>
  <c r="DB9"/>
  <c r="CR13"/>
  <c r="AB14" i="7"/>
  <c r="AB22"/>
  <c r="AB20"/>
  <c r="AB19"/>
  <c r="AB21"/>
  <c r="AB18"/>
  <c r="AB15"/>
  <c r="AB24"/>
  <c r="AB16"/>
  <c r="AB25"/>
  <c r="AQ19"/>
  <c r="AK19"/>
  <c r="AR19"/>
  <c r="AL19"/>
  <c r="AM19"/>
  <c r="AN19"/>
  <c r="AO19"/>
  <c r="AP19"/>
  <c r="AO20"/>
  <c r="AP20"/>
  <c r="AQ20"/>
  <c r="AK20"/>
  <c r="AR20"/>
  <c r="AL20"/>
  <c r="AM20"/>
  <c r="AN20"/>
  <c r="AQ22"/>
  <c r="AK22"/>
  <c r="AR22"/>
  <c r="AL22"/>
  <c r="AM22"/>
  <c r="AN22"/>
  <c r="AO22"/>
  <c r="AP22"/>
  <c r="AM21"/>
  <c r="AN21"/>
  <c r="AO21"/>
  <c r="AP21"/>
  <c r="AQ21"/>
  <c r="AK21"/>
  <c r="AR21"/>
  <c r="AL21"/>
  <c r="AQ13"/>
  <c r="AK13"/>
  <c r="AR13"/>
  <c r="AL13"/>
  <c r="AM13"/>
  <c r="AN13"/>
  <c r="AO13"/>
  <c r="AP13"/>
  <c r="AO14"/>
  <c r="AP14"/>
  <c r="AQ14"/>
  <c r="AK14"/>
  <c r="AR14"/>
  <c r="AL14"/>
  <c r="AM14"/>
  <c r="AN14"/>
  <c r="AM24"/>
  <c r="AN24"/>
  <c r="AO24"/>
  <c r="AP24"/>
  <c r="AQ24"/>
  <c r="AK24"/>
  <c r="AR24"/>
  <c r="AL24"/>
  <c r="AM15"/>
  <c r="AN15"/>
  <c r="AO15"/>
  <c r="AP15"/>
  <c r="AQ15"/>
  <c r="AK15"/>
  <c r="AR15"/>
  <c r="AL15"/>
  <c r="AM18"/>
  <c r="AN18"/>
  <c r="AO18"/>
  <c r="AP18"/>
  <c r="AQ18"/>
  <c r="AK18"/>
  <c r="AR18"/>
  <c r="AL18"/>
  <c r="AO23"/>
  <c r="AP23"/>
  <c r="AQ23"/>
  <c r="AK23"/>
  <c r="AR23"/>
  <c r="AL23"/>
  <c r="AM23"/>
  <c r="AN23"/>
  <c r="AO17"/>
  <c r="AP17"/>
  <c r="AQ17"/>
  <c r="AK17"/>
  <c r="AR17"/>
  <c r="AL17"/>
  <c r="AM17"/>
  <c r="AN17"/>
  <c r="AQ16"/>
  <c r="AK16"/>
  <c r="AR16"/>
  <c r="AL16"/>
  <c r="AM16"/>
  <c r="AN16"/>
  <c r="AO16"/>
  <c r="AP16"/>
  <c r="AQ25"/>
  <c r="AK25"/>
  <c r="AR25"/>
  <c r="AL25"/>
  <c r="AM25"/>
  <c r="AN25"/>
  <c r="AO25"/>
  <c r="AP25"/>
  <c r="AB349" l="1"/>
  <c r="AM349"/>
  <c r="AK349"/>
  <c r="AR349"/>
  <c r="AQ349"/>
  <c r="AP349"/>
  <c r="AO349"/>
  <c r="AL349"/>
  <c r="AN349"/>
  <c r="AB398"/>
  <c r="AK398"/>
  <c r="AQ398"/>
  <c r="AP398"/>
  <c r="AR398"/>
  <c r="AO398"/>
  <c r="AN398"/>
  <c r="AM398"/>
  <c r="AL398"/>
  <c r="AB354"/>
  <c r="AO354"/>
  <c r="AN354"/>
  <c r="AM354"/>
  <c r="AP354"/>
  <c r="AR354"/>
  <c r="AQ354"/>
  <c r="AL354"/>
  <c r="AK354"/>
  <c r="AB331"/>
  <c r="AM331"/>
  <c r="AK331"/>
  <c r="AR331"/>
  <c r="AQ331"/>
  <c r="AP331"/>
  <c r="AO331"/>
  <c r="AN331"/>
  <c r="AL331"/>
  <c r="AB308"/>
  <c r="AK308"/>
  <c r="AQ308"/>
  <c r="AO308"/>
  <c r="AN308"/>
  <c r="AM308"/>
  <c r="AR308"/>
  <c r="AP308"/>
  <c r="AL308"/>
  <c r="AB296"/>
  <c r="AK296"/>
  <c r="AQ296"/>
  <c r="AR296"/>
  <c r="AP296"/>
  <c r="AO296"/>
  <c r="AN296"/>
  <c r="AM296"/>
  <c r="AL296"/>
  <c r="AB204"/>
  <c r="AN204"/>
  <c r="AO204"/>
  <c r="AM204"/>
  <c r="AL204"/>
  <c r="AK204"/>
  <c r="AR204"/>
  <c r="AQ204"/>
  <c r="AP204"/>
  <c r="AB423"/>
  <c r="AO423"/>
  <c r="AN423"/>
  <c r="AQ423"/>
  <c r="AM423"/>
  <c r="AP423"/>
  <c r="AK423"/>
  <c r="AL423"/>
  <c r="AR423"/>
  <c r="AB207"/>
  <c r="AN207"/>
  <c r="AL207"/>
  <c r="AK207"/>
  <c r="AR207"/>
  <c r="AQ207"/>
  <c r="AP207"/>
  <c r="AO207"/>
  <c r="AM207"/>
  <c r="AB490"/>
  <c r="AM490"/>
  <c r="AO490"/>
  <c r="AL490"/>
  <c r="AN490"/>
  <c r="AR490"/>
  <c r="AK490"/>
  <c r="AQ490"/>
  <c r="AP490"/>
  <c r="AB274"/>
  <c r="AM274"/>
  <c r="AN274"/>
  <c r="AL274"/>
  <c r="AK274"/>
  <c r="AR274"/>
  <c r="AQ274"/>
  <c r="AP274"/>
  <c r="AO274"/>
  <c r="AB58"/>
  <c r="AL58"/>
  <c r="AR58"/>
  <c r="AK58"/>
  <c r="AQ58"/>
  <c r="AN58"/>
  <c r="AM58"/>
  <c r="AP58"/>
  <c r="AO58"/>
  <c r="AB341"/>
  <c r="AK341"/>
  <c r="AQ341"/>
  <c r="AR341"/>
  <c r="AP341"/>
  <c r="AO341"/>
  <c r="AN341"/>
  <c r="AL341"/>
  <c r="AM341"/>
  <c r="AB125"/>
  <c r="AP125"/>
  <c r="AM125"/>
  <c r="AL125"/>
  <c r="AK125"/>
  <c r="AR125"/>
  <c r="AQ125"/>
  <c r="AO125"/>
  <c r="AN125"/>
  <c r="AB361"/>
  <c r="AM361"/>
  <c r="AP361"/>
  <c r="AO361"/>
  <c r="AR361"/>
  <c r="AN361"/>
  <c r="AL361"/>
  <c r="AQ361"/>
  <c r="AK361"/>
  <c r="AB410"/>
  <c r="AK410"/>
  <c r="AQ410"/>
  <c r="AP410"/>
  <c r="AM410"/>
  <c r="AL410"/>
  <c r="AR410"/>
  <c r="AO410"/>
  <c r="AN410"/>
  <c r="AB366"/>
  <c r="AO366"/>
  <c r="AL366"/>
  <c r="AK366"/>
  <c r="AR366"/>
  <c r="AQ366"/>
  <c r="AP366"/>
  <c r="AN366"/>
  <c r="AM366"/>
  <c r="AB343"/>
  <c r="AM343"/>
  <c r="AP343"/>
  <c r="AO343"/>
  <c r="AK343"/>
  <c r="AQ343"/>
  <c r="AR343"/>
  <c r="AN343"/>
  <c r="AL343"/>
  <c r="AB368"/>
  <c r="AK368"/>
  <c r="AQ368"/>
  <c r="AR368"/>
  <c r="AP368"/>
  <c r="AO368"/>
  <c r="AM368"/>
  <c r="AN368"/>
  <c r="AL368"/>
  <c r="AB320"/>
  <c r="AK320"/>
  <c r="AQ320"/>
  <c r="AM320"/>
  <c r="AL320"/>
  <c r="AP320"/>
  <c r="AR320"/>
  <c r="AO320"/>
  <c r="AN320"/>
  <c r="AB216"/>
  <c r="AN216"/>
  <c r="AL216"/>
  <c r="AK216"/>
  <c r="AR216"/>
  <c r="AO216"/>
  <c r="AM216"/>
  <c r="AQ216"/>
  <c r="AP216"/>
  <c r="AB429"/>
  <c r="AO429"/>
  <c r="AN429"/>
  <c r="AM429"/>
  <c r="AL429"/>
  <c r="AK429"/>
  <c r="AR429"/>
  <c r="AQ429"/>
  <c r="AP429"/>
  <c r="AB213"/>
  <c r="AN213"/>
  <c r="AO213"/>
  <c r="AM213"/>
  <c r="AQ213"/>
  <c r="AP213"/>
  <c r="AL213"/>
  <c r="AR213"/>
  <c r="AK213"/>
  <c r="AB496"/>
  <c r="AM496"/>
  <c r="AQ496"/>
  <c r="AP496"/>
  <c r="AL496"/>
  <c r="AO496"/>
  <c r="AN496"/>
  <c r="AK496"/>
  <c r="AR496"/>
  <c r="AB280"/>
  <c r="AM280"/>
  <c r="AP280"/>
  <c r="AO280"/>
  <c r="AN280"/>
  <c r="AL280"/>
  <c r="AK280"/>
  <c r="AR280"/>
  <c r="AQ280"/>
  <c r="AB64"/>
  <c r="AL64"/>
  <c r="AR64"/>
  <c r="AK64"/>
  <c r="AQ64"/>
  <c r="AP64"/>
  <c r="AO64"/>
  <c r="AN64"/>
  <c r="AM64"/>
  <c r="AB347"/>
  <c r="AK347"/>
  <c r="AQ347"/>
  <c r="AM347"/>
  <c r="AL347"/>
  <c r="AP347"/>
  <c r="AR347"/>
  <c r="AO347"/>
  <c r="AN347"/>
  <c r="AB131"/>
  <c r="AP131"/>
  <c r="AO131"/>
  <c r="AN131"/>
  <c r="AM131"/>
  <c r="AL131"/>
  <c r="AK131"/>
  <c r="AQ131"/>
  <c r="AR131"/>
  <c r="AB301"/>
  <c r="AM301"/>
  <c r="AN301"/>
  <c r="AL301"/>
  <c r="AK301"/>
  <c r="AR301"/>
  <c r="AQ301"/>
  <c r="AP301"/>
  <c r="AO301"/>
  <c r="AB350"/>
  <c r="AK350"/>
  <c r="AQ350"/>
  <c r="AR350"/>
  <c r="AP350"/>
  <c r="AN350"/>
  <c r="AO350"/>
  <c r="AM350"/>
  <c r="AL350"/>
  <c r="AB306"/>
  <c r="AO306"/>
  <c r="AQ306"/>
  <c r="AP306"/>
  <c r="AN306"/>
  <c r="AR306"/>
  <c r="AM306"/>
  <c r="AL306"/>
  <c r="AK306"/>
  <c r="AB283"/>
  <c r="AM283"/>
  <c r="AN283"/>
  <c r="AL283"/>
  <c r="AK283"/>
  <c r="AR283"/>
  <c r="AQ283"/>
  <c r="AP283"/>
  <c r="AO283"/>
  <c r="AB152"/>
  <c r="AP152"/>
  <c r="AM152"/>
  <c r="AL152"/>
  <c r="AR152"/>
  <c r="AQ152"/>
  <c r="AO152"/>
  <c r="AN152"/>
  <c r="AK152"/>
  <c r="AB236"/>
  <c r="AK236"/>
  <c r="AQ236"/>
  <c r="AP236"/>
  <c r="AR236"/>
  <c r="AO236"/>
  <c r="AN236"/>
  <c r="AM236"/>
  <c r="AL236"/>
  <c r="AB156"/>
  <c r="AN156"/>
  <c r="AQ156"/>
  <c r="AP156"/>
  <c r="AR156"/>
  <c r="AO156"/>
  <c r="AM156"/>
  <c r="AL156"/>
  <c r="AK156"/>
  <c r="AB399"/>
  <c r="AO399"/>
  <c r="AN399"/>
  <c r="AK399"/>
  <c r="AR399"/>
  <c r="AQ399"/>
  <c r="AP399"/>
  <c r="AM399"/>
  <c r="AL399"/>
  <c r="AB183"/>
  <c r="AN183"/>
  <c r="AQ183"/>
  <c r="AP183"/>
  <c r="AR183"/>
  <c r="AO183"/>
  <c r="AM183"/>
  <c r="AL183"/>
  <c r="AK183"/>
  <c r="AB466"/>
  <c r="AM466"/>
  <c r="AL466"/>
  <c r="AK466"/>
  <c r="AR466"/>
  <c r="AP466"/>
  <c r="AQ466"/>
  <c r="AO466"/>
  <c r="AN466"/>
  <c r="AB250"/>
  <c r="AM250"/>
  <c r="AL250"/>
  <c r="AR250"/>
  <c r="AO250"/>
  <c r="AN250"/>
  <c r="AK250"/>
  <c r="AQ250"/>
  <c r="AP250"/>
  <c r="AB34"/>
  <c r="AL34"/>
  <c r="AR34"/>
  <c r="AK34"/>
  <c r="AQ34"/>
  <c r="AP34"/>
  <c r="AO34"/>
  <c r="AN34"/>
  <c r="AM34"/>
  <c r="AB317"/>
  <c r="AK317"/>
  <c r="AQ317"/>
  <c r="AO317"/>
  <c r="AN317"/>
  <c r="AM317"/>
  <c r="AL317"/>
  <c r="AR317"/>
  <c r="AP317"/>
  <c r="AB101"/>
  <c r="AP101"/>
  <c r="AK101"/>
  <c r="AR101"/>
  <c r="AQ101"/>
  <c r="AO101"/>
  <c r="AN101"/>
  <c r="AL101"/>
  <c r="AM101"/>
  <c r="AB241"/>
  <c r="AM241"/>
  <c r="AL241"/>
  <c r="AR241"/>
  <c r="AO241"/>
  <c r="AN241"/>
  <c r="AK241"/>
  <c r="AQ241"/>
  <c r="AP241"/>
  <c r="AB290"/>
  <c r="AK290"/>
  <c r="AQ290"/>
  <c r="AO290"/>
  <c r="AN290"/>
  <c r="AM290"/>
  <c r="AR290"/>
  <c r="AP290"/>
  <c r="AL290"/>
  <c r="AB246"/>
  <c r="AO246"/>
  <c r="AN246"/>
  <c r="AK246"/>
  <c r="AR246"/>
  <c r="AQ246"/>
  <c r="AP246"/>
  <c r="AM246"/>
  <c r="AL246"/>
  <c r="AB223"/>
  <c r="AM223"/>
  <c r="AL223"/>
  <c r="AR223"/>
  <c r="AO223"/>
  <c r="AN223"/>
  <c r="AK223"/>
  <c r="AQ223"/>
  <c r="AP223"/>
  <c r="AB80"/>
  <c r="AP80"/>
  <c r="AO80"/>
  <c r="AR80"/>
  <c r="AQ80"/>
  <c r="AN80"/>
  <c r="AM80"/>
  <c r="AL80"/>
  <c r="AK80"/>
  <c r="AB140"/>
  <c r="AP140"/>
  <c r="AO140"/>
  <c r="AN140"/>
  <c r="AR140"/>
  <c r="AQ140"/>
  <c r="AM140"/>
  <c r="AL140"/>
  <c r="AK140"/>
  <c r="AB96"/>
  <c r="AN96"/>
  <c r="AO96"/>
  <c r="AM96"/>
  <c r="AL96"/>
  <c r="AR96"/>
  <c r="AQ96"/>
  <c r="AP96"/>
  <c r="AK96"/>
  <c r="AB369"/>
  <c r="AO369"/>
  <c r="AQ369"/>
  <c r="AP369"/>
  <c r="AN369"/>
  <c r="AM369"/>
  <c r="AR369"/>
  <c r="AL369"/>
  <c r="AK369"/>
  <c r="AB153"/>
  <c r="AN153"/>
  <c r="AL153"/>
  <c r="AK153"/>
  <c r="AR153"/>
  <c r="AQ153"/>
  <c r="AP153"/>
  <c r="AO153"/>
  <c r="AM153"/>
  <c r="AB436"/>
  <c r="AM436"/>
  <c r="AL436"/>
  <c r="AR436"/>
  <c r="AK436"/>
  <c r="AP436"/>
  <c r="AO436"/>
  <c r="AQ436"/>
  <c r="AN436"/>
  <c r="AB220"/>
  <c r="AM220"/>
  <c r="AL220"/>
  <c r="AR220"/>
  <c r="AK220"/>
  <c r="AQ220"/>
  <c r="AP220"/>
  <c r="AO220"/>
  <c r="AN220"/>
  <c r="AB503"/>
  <c r="AK503"/>
  <c r="AQ503"/>
  <c r="AL503"/>
  <c r="AO503"/>
  <c r="AN503"/>
  <c r="AR503"/>
  <c r="AP503"/>
  <c r="AM503"/>
  <c r="AB287"/>
  <c r="AK287"/>
  <c r="AQ287"/>
  <c r="AR287"/>
  <c r="AP287"/>
  <c r="AO287"/>
  <c r="AN287"/>
  <c r="AM287"/>
  <c r="AL287"/>
  <c r="AB71"/>
  <c r="AP71"/>
  <c r="AO71"/>
  <c r="AR71"/>
  <c r="AQ71"/>
  <c r="AN71"/>
  <c r="AM71"/>
  <c r="AL71"/>
  <c r="AK71"/>
  <c r="AB181"/>
  <c r="AL181"/>
  <c r="AR181"/>
  <c r="AK181"/>
  <c r="AQ181"/>
  <c r="AN181"/>
  <c r="AM181"/>
  <c r="AP181"/>
  <c r="AO181"/>
  <c r="AB230"/>
  <c r="AK230"/>
  <c r="AQ230"/>
  <c r="AP230"/>
  <c r="AM230"/>
  <c r="AL230"/>
  <c r="AR230"/>
  <c r="AO230"/>
  <c r="AN230"/>
  <c r="AB186"/>
  <c r="AN186"/>
  <c r="AO186"/>
  <c r="AM186"/>
  <c r="AQ186"/>
  <c r="AP186"/>
  <c r="AL186"/>
  <c r="AR186"/>
  <c r="AK186"/>
  <c r="AB163"/>
  <c r="AL163"/>
  <c r="AR163"/>
  <c r="AK163"/>
  <c r="AQ163"/>
  <c r="AP163"/>
  <c r="AO163"/>
  <c r="AN163"/>
  <c r="AM163"/>
  <c r="AB438"/>
  <c r="AO438"/>
  <c r="AN438"/>
  <c r="AM438"/>
  <c r="AL438"/>
  <c r="AR438"/>
  <c r="AK438"/>
  <c r="AQ438"/>
  <c r="AP438"/>
  <c r="AB468"/>
  <c r="AO468"/>
  <c r="AK468"/>
  <c r="AR468"/>
  <c r="AM468"/>
  <c r="AQ468"/>
  <c r="AP468"/>
  <c r="AN468"/>
  <c r="AL468"/>
  <c r="AB339"/>
  <c r="AO339"/>
  <c r="AL339"/>
  <c r="AK339"/>
  <c r="AR339"/>
  <c r="AP339"/>
  <c r="AQ339"/>
  <c r="AN339"/>
  <c r="AM339"/>
  <c r="AB123"/>
  <c r="AN123"/>
  <c r="AO123"/>
  <c r="AM123"/>
  <c r="AL123"/>
  <c r="AR123"/>
  <c r="AQ123"/>
  <c r="AP123"/>
  <c r="AK123"/>
  <c r="AB406"/>
  <c r="AM406"/>
  <c r="AL406"/>
  <c r="AR406"/>
  <c r="AQ406"/>
  <c r="AP406"/>
  <c r="AO406"/>
  <c r="AN406"/>
  <c r="AK406"/>
  <c r="AB190"/>
  <c r="AL190"/>
  <c r="AR190"/>
  <c r="AK190"/>
  <c r="AQ190"/>
  <c r="AP190"/>
  <c r="AO190"/>
  <c r="AN190"/>
  <c r="AM190"/>
  <c r="AB473"/>
  <c r="AK473"/>
  <c r="AQ473"/>
  <c r="AN473"/>
  <c r="AM473"/>
  <c r="AL473"/>
  <c r="AP473"/>
  <c r="AR473"/>
  <c r="AO473"/>
  <c r="AB257"/>
  <c r="AK257"/>
  <c r="AQ257"/>
  <c r="AP257"/>
  <c r="AM257"/>
  <c r="AL257"/>
  <c r="AR257"/>
  <c r="AO257"/>
  <c r="AN257"/>
  <c r="AB41"/>
  <c r="AP41"/>
  <c r="AO41"/>
  <c r="AN41"/>
  <c r="AM41"/>
  <c r="AL41"/>
  <c r="AK41"/>
  <c r="AR41"/>
  <c r="AQ41"/>
  <c r="AB121"/>
  <c r="AL121"/>
  <c r="AR121"/>
  <c r="AP121"/>
  <c r="AO121"/>
  <c r="AN121"/>
  <c r="AQ121"/>
  <c r="AM121"/>
  <c r="AK121"/>
  <c r="AB170"/>
  <c r="AP170"/>
  <c r="AM170"/>
  <c r="AL170"/>
  <c r="AO170"/>
  <c r="AN170"/>
  <c r="AK170"/>
  <c r="AR170"/>
  <c r="AQ170"/>
  <c r="AB126"/>
  <c r="AN126"/>
  <c r="AL126"/>
  <c r="AK126"/>
  <c r="AR126"/>
  <c r="AQ126"/>
  <c r="AP126"/>
  <c r="AM126"/>
  <c r="AO126"/>
  <c r="AB103"/>
  <c r="AL103"/>
  <c r="AR103"/>
  <c r="AP103"/>
  <c r="AO103"/>
  <c r="AN103"/>
  <c r="AQ103"/>
  <c r="AM103"/>
  <c r="AK103"/>
  <c r="AB415"/>
  <c r="AM415"/>
  <c r="AL415"/>
  <c r="AR415"/>
  <c r="AQ415"/>
  <c r="AO415"/>
  <c r="AN415"/>
  <c r="AK415"/>
  <c r="AP415"/>
  <c r="AB408"/>
  <c r="AO408"/>
  <c r="AN408"/>
  <c r="AK408"/>
  <c r="AR408"/>
  <c r="AP408"/>
  <c r="AQ408"/>
  <c r="AM408"/>
  <c r="AL408"/>
  <c r="AB26"/>
  <c r="AP26"/>
  <c r="AO26"/>
  <c r="AR26"/>
  <c r="AQ26"/>
  <c r="AN26"/>
  <c r="AM26"/>
  <c r="AL26"/>
  <c r="AK26"/>
  <c r="AB309"/>
  <c r="AO309"/>
  <c r="AN309"/>
  <c r="AM309"/>
  <c r="AL309"/>
  <c r="AK309"/>
  <c r="AR309"/>
  <c r="AQ309"/>
  <c r="AP309"/>
  <c r="AB93"/>
  <c r="AN93"/>
  <c r="AM93"/>
  <c r="AL93"/>
  <c r="AK93"/>
  <c r="AR93"/>
  <c r="AQ93"/>
  <c r="AP93"/>
  <c r="AO93"/>
  <c r="AB376"/>
  <c r="AM376"/>
  <c r="AK376"/>
  <c r="AR376"/>
  <c r="AQ376"/>
  <c r="AP376"/>
  <c r="AO376"/>
  <c r="AL376"/>
  <c r="AN376"/>
  <c r="AB160"/>
  <c r="AL160"/>
  <c r="AR160"/>
  <c r="AN160"/>
  <c r="AM160"/>
  <c r="AQ160"/>
  <c r="AP160"/>
  <c r="AO160"/>
  <c r="AK160"/>
  <c r="AB443"/>
  <c r="AK443"/>
  <c r="AQ443"/>
  <c r="AP443"/>
  <c r="AR443"/>
  <c r="AO443"/>
  <c r="AN443"/>
  <c r="AM443"/>
  <c r="AL443"/>
  <c r="AB227"/>
  <c r="AK227"/>
  <c r="AQ227"/>
  <c r="AP227"/>
  <c r="AR227"/>
  <c r="AO227"/>
  <c r="AN227"/>
  <c r="AM227"/>
  <c r="AL227"/>
  <c r="AB433"/>
  <c r="AM433"/>
  <c r="AL433"/>
  <c r="AR433"/>
  <c r="AQ433"/>
  <c r="AO433"/>
  <c r="AN433"/>
  <c r="AK433"/>
  <c r="AP433"/>
  <c r="AB470"/>
  <c r="AK470"/>
  <c r="AQ470"/>
  <c r="AP470"/>
  <c r="AO470"/>
  <c r="AN470"/>
  <c r="AM470"/>
  <c r="AL470"/>
  <c r="AR470"/>
  <c r="AB31"/>
  <c r="AL31"/>
  <c r="AR31"/>
  <c r="AK31"/>
  <c r="AQ31"/>
  <c r="AN31"/>
  <c r="AM31"/>
  <c r="AP31"/>
  <c r="AO31"/>
  <c r="AB487"/>
  <c r="AM487"/>
  <c r="AQ487"/>
  <c r="AO487"/>
  <c r="AP487"/>
  <c r="AN487"/>
  <c r="AL487"/>
  <c r="AK487"/>
  <c r="AR487"/>
  <c r="AB499"/>
  <c r="AM499"/>
  <c r="AO499"/>
  <c r="AN499"/>
  <c r="AR499"/>
  <c r="AQ499"/>
  <c r="AL499"/>
  <c r="AK499"/>
  <c r="AP499"/>
  <c r="AB392"/>
  <c r="AK392"/>
  <c r="AQ392"/>
  <c r="AP392"/>
  <c r="AM392"/>
  <c r="AL392"/>
  <c r="AO392"/>
  <c r="AR392"/>
  <c r="AN392"/>
  <c r="AB276"/>
  <c r="AO276"/>
  <c r="AL276"/>
  <c r="AK276"/>
  <c r="AR276"/>
  <c r="AQ276"/>
  <c r="AP276"/>
  <c r="AN276"/>
  <c r="AM276"/>
  <c r="AB459"/>
  <c r="AO459"/>
  <c r="AN459"/>
  <c r="AQ459"/>
  <c r="AP459"/>
  <c r="AM459"/>
  <c r="AL459"/>
  <c r="AK459"/>
  <c r="AR459"/>
  <c r="AB243"/>
  <c r="AO243"/>
  <c r="AN243"/>
  <c r="AQ243"/>
  <c r="AP243"/>
  <c r="AM243"/>
  <c r="AR243"/>
  <c r="AL243"/>
  <c r="AK243"/>
  <c r="AB27"/>
  <c r="AN27"/>
  <c r="AM27"/>
  <c r="AR27"/>
  <c r="AQ27"/>
  <c r="AP27"/>
  <c r="AO27"/>
  <c r="AL27"/>
  <c r="AK27"/>
  <c r="AB310"/>
  <c r="AM310"/>
  <c r="AN310"/>
  <c r="AL310"/>
  <c r="AK310"/>
  <c r="AR310"/>
  <c r="AQ310"/>
  <c r="AP310"/>
  <c r="AO310"/>
  <c r="AB94"/>
  <c r="AL94"/>
  <c r="AR94"/>
  <c r="AK94"/>
  <c r="AQ94"/>
  <c r="AN94"/>
  <c r="AM94"/>
  <c r="AP94"/>
  <c r="AO94"/>
  <c r="AB377"/>
  <c r="AK377"/>
  <c r="AQ377"/>
  <c r="AR377"/>
  <c r="AP377"/>
  <c r="AO377"/>
  <c r="AN377"/>
  <c r="AM377"/>
  <c r="AL377"/>
  <c r="AB161"/>
  <c r="AP161"/>
  <c r="AM161"/>
  <c r="AL161"/>
  <c r="AK161"/>
  <c r="AR161"/>
  <c r="AQ161"/>
  <c r="AO161"/>
  <c r="AN161"/>
  <c r="AB445"/>
  <c r="AM445"/>
  <c r="AL445"/>
  <c r="AR445"/>
  <c r="AK445"/>
  <c r="AQ445"/>
  <c r="AP445"/>
  <c r="AO445"/>
  <c r="AN445"/>
  <c r="AB482"/>
  <c r="AK482"/>
  <c r="AQ482"/>
  <c r="AN482"/>
  <c r="AR482"/>
  <c r="AM482"/>
  <c r="AL482"/>
  <c r="AP482"/>
  <c r="AO482"/>
  <c r="AB49"/>
  <c r="AL49"/>
  <c r="AR49"/>
  <c r="AK49"/>
  <c r="AQ49"/>
  <c r="AN49"/>
  <c r="AM49"/>
  <c r="AP49"/>
  <c r="AO49"/>
  <c r="AB462"/>
  <c r="AO462"/>
  <c r="AN462"/>
  <c r="AK462"/>
  <c r="AR462"/>
  <c r="AQ462"/>
  <c r="AP462"/>
  <c r="AM462"/>
  <c r="AL462"/>
  <c r="AB378"/>
  <c r="AO378"/>
  <c r="AQ378"/>
  <c r="AP378"/>
  <c r="AL378"/>
  <c r="AK378"/>
  <c r="AR378"/>
  <c r="AN378"/>
  <c r="AM378"/>
  <c r="AB404"/>
  <c r="AK404"/>
  <c r="AQ404"/>
  <c r="AP404"/>
  <c r="AO404"/>
  <c r="AN404"/>
  <c r="AM404"/>
  <c r="AL404"/>
  <c r="AR404"/>
  <c r="AB288"/>
  <c r="AO288"/>
  <c r="AQ288"/>
  <c r="AP288"/>
  <c r="AN288"/>
  <c r="AR288"/>
  <c r="AM288"/>
  <c r="AL288"/>
  <c r="AK288"/>
  <c r="AB465"/>
  <c r="AO465"/>
  <c r="AM465"/>
  <c r="AK465"/>
  <c r="AP465"/>
  <c r="AL465"/>
  <c r="AR465"/>
  <c r="AQ465"/>
  <c r="AN465"/>
  <c r="AB249"/>
  <c r="AO249"/>
  <c r="AN249"/>
  <c r="AM249"/>
  <c r="AL249"/>
  <c r="AK249"/>
  <c r="AR249"/>
  <c r="AQ249"/>
  <c r="AP249"/>
  <c r="AB33"/>
  <c r="AN33"/>
  <c r="AM33"/>
  <c r="AP33"/>
  <c r="AO33"/>
  <c r="AL33"/>
  <c r="AR33"/>
  <c r="AQ33"/>
  <c r="AK33"/>
  <c r="AB316"/>
  <c r="AM316"/>
  <c r="AP316"/>
  <c r="AO316"/>
  <c r="AK316"/>
  <c r="AR316"/>
  <c r="AQ316"/>
  <c r="AN316"/>
  <c r="AL316"/>
  <c r="AB100"/>
  <c r="AL100"/>
  <c r="AR100"/>
  <c r="AK100"/>
  <c r="AQ100"/>
  <c r="AP100"/>
  <c r="AO100"/>
  <c r="AN100"/>
  <c r="AM100"/>
  <c r="AB383"/>
  <c r="AK383"/>
  <c r="AQ383"/>
  <c r="AP383"/>
  <c r="AM383"/>
  <c r="AL383"/>
  <c r="AR383"/>
  <c r="AO383"/>
  <c r="AN383"/>
  <c r="AB167"/>
  <c r="AP167"/>
  <c r="AO167"/>
  <c r="AN167"/>
  <c r="AR167"/>
  <c r="AQ167"/>
  <c r="AM167"/>
  <c r="AL167"/>
  <c r="AK167"/>
  <c r="AB385"/>
  <c r="AM385"/>
  <c r="AL385"/>
  <c r="AR385"/>
  <c r="AO385"/>
  <c r="AN385"/>
  <c r="AK385"/>
  <c r="AQ385"/>
  <c r="AP385"/>
  <c r="AB422"/>
  <c r="AK422"/>
  <c r="AQ422"/>
  <c r="AP422"/>
  <c r="AO422"/>
  <c r="AN422"/>
  <c r="AL422"/>
  <c r="AM422"/>
  <c r="AR422"/>
  <c r="AB390"/>
  <c r="AO390"/>
  <c r="AN390"/>
  <c r="AK390"/>
  <c r="AR390"/>
  <c r="AP390"/>
  <c r="AQ390"/>
  <c r="AM390"/>
  <c r="AL390"/>
  <c r="AB355"/>
  <c r="AM355"/>
  <c r="AN355"/>
  <c r="AL355"/>
  <c r="AK355"/>
  <c r="AQ355"/>
  <c r="AR355"/>
  <c r="AP355"/>
  <c r="AO355"/>
  <c r="AB428"/>
  <c r="AK428"/>
  <c r="AQ428"/>
  <c r="AP428"/>
  <c r="AM428"/>
  <c r="AL428"/>
  <c r="AR428"/>
  <c r="AO428"/>
  <c r="AN428"/>
  <c r="AB332"/>
  <c r="AK332"/>
  <c r="AQ332"/>
  <c r="AR332"/>
  <c r="AP332"/>
  <c r="AM332"/>
  <c r="AL332"/>
  <c r="AO332"/>
  <c r="AN332"/>
  <c r="AB228"/>
  <c r="AO228"/>
  <c r="AN228"/>
  <c r="AK228"/>
  <c r="AR228"/>
  <c r="AQ228"/>
  <c r="AP228"/>
  <c r="AM228"/>
  <c r="AL228"/>
  <c r="AB435"/>
  <c r="AO435"/>
  <c r="AN435"/>
  <c r="AK435"/>
  <c r="AR435"/>
  <c r="AQ435"/>
  <c r="AP435"/>
  <c r="AM435"/>
  <c r="AL435"/>
  <c r="AB219"/>
  <c r="AO219"/>
  <c r="AN219"/>
  <c r="AK219"/>
  <c r="AR219"/>
  <c r="AQ219"/>
  <c r="AP219"/>
  <c r="AM219"/>
  <c r="AL219"/>
  <c r="AB502"/>
  <c r="AM502"/>
  <c r="AL502"/>
  <c r="AK502"/>
  <c r="AR502"/>
  <c r="AQ502"/>
  <c r="AO502"/>
  <c r="AN502"/>
  <c r="AP502"/>
  <c r="AB286"/>
  <c r="AM286"/>
  <c r="AK286"/>
  <c r="AR286"/>
  <c r="AQ286"/>
  <c r="AP286"/>
  <c r="AO286"/>
  <c r="AN286"/>
  <c r="AL286"/>
  <c r="AB70"/>
  <c r="AL70"/>
  <c r="AR70"/>
  <c r="AK70"/>
  <c r="AQ70"/>
  <c r="AP70"/>
  <c r="AO70"/>
  <c r="AN70"/>
  <c r="AM70"/>
  <c r="AB353"/>
  <c r="AK353"/>
  <c r="AQ353"/>
  <c r="AO353"/>
  <c r="AN353"/>
  <c r="AR353"/>
  <c r="AM353"/>
  <c r="AP353"/>
  <c r="AL353"/>
  <c r="AB137"/>
  <c r="AP137"/>
  <c r="AK137"/>
  <c r="AR137"/>
  <c r="AQ137"/>
  <c r="AO137"/>
  <c r="AN137"/>
  <c r="AM137"/>
  <c r="AL137"/>
  <c r="AB313"/>
  <c r="AM313"/>
  <c r="AK313"/>
  <c r="AR313"/>
  <c r="AQ313"/>
  <c r="AP313"/>
  <c r="AO313"/>
  <c r="AN313"/>
  <c r="AL313"/>
  <c r="AB362"/>
  <c r="AK362"/>
  <c r="AQ362"/>
  <c r="AO362"/>
  <c r="AN362"/>
  <c r="AR362"/>
  <c r="AP362"/>
  <c r="AM362"/>
  <c r="AL362"/>
  <c r="AB318"/>
  <c r="AO318"/>
  <c r="AN318"/>
  <c r="AM318"/>
  <c r="AQ318"/>
  <c r="AP318"/>
  <c r="AL318"/>
  <c r="AK318"/>
  <c r="AR318"/>
  <c r="AB295"/>
  <c r="AM295"/>
  <c r="AK295"/>
  <c r="AR295"/>
  <c r="AQ295"/>
  <c r="AP295"/>
  <c r="AO295"/>
  <c r="AN295"/>
  <c r="AL295"/>
  <c r="AB176"/>
  <c r="AP176"/>
  <c r="AO176"/>
  <c r="AN176"/>
  <c r="AK176"/>
  <c r="AR176"/>
  <c r="AQ176"/>
  <c r="AM176"/>
  <c r="AL176"/>
  <c r="AB248"/>
  <c r="AK248"/>
  <c r="AQ248"/>
  <c r="AP248"/>
  <c r="AM248"/>
  <c r="AL248"/>
  <c r="AR248"/>
  <c r="AO248"/>
  <c r="AN248"/>
  <c r="AB168"/>
  <c r="AN168"/>
  <c r="AO168"/>
  <c r="AM168"/>
  <c r="AR168"/>
  <c r="AQ168"/>
  <c r="AP168"/>
  <c r="AL168"/>
  <c r="AK168"/>
  <c r="AB405"/>
  <c r="AO405"/>
  <c r="AN405"/>
  <c r="AQ405"/>
  <c r="AL405"/>
  <c r="AP405"/>
  <c r="AM405"/>
  <c r="AK405"/>
  <c r="AR405"/>
  <c r="AB189"/>
  <c r="AN189"/>
  <c r="AL189"/>
  <c r="AK189"/>
  <c r="AR189"/>
  <c r="AO189"/>
  <c r="AM189"/>
  <c r="AQ189"/>
  <c r="AP189"/>
  <c r="AB472"/>
  <c r="AM472"/>
  <c r="AO472"/>
  <c r="AK472"/>
  <c r="AN472"/>
  <c r="AL472"/>
  <c r="AQ472"/>
  <c r="AR472"/>
  <c r="AP472"/>
  <c r="AB256"/>
  <c r="AM256"/>
  <c r="AL256"/>
  <c r="AR256"/>
  <c r="AK256"/>
  <c r="AQ256"/>
  <c r="AP256"/>
  <c r="AO256"/>
  <c r="AN256"/>
  <c r="AB40"/>
  <c r="AL40"/>
  <c r="AR40"/>
  <c r="AK40"/>
  <c r="AQ40"/>
  <c r="AN40"/>
  <c r="AM40"/>
  <c r="AP40"/>
  <c r="AO40"/>
  <c r="AB323"/>
  <c r="AK323"/>
  <c r="AQ323"/>
  <c r="AR323"/>
  <c r="AP323"/>
  <c r="AN323"/>
  <c r="AO323"/>
  <c r="AM323"/>
  <c r="AL323"/>
  <c r="AB107"/>
  <c r="AP107"/>
  <c r="AM107"/>
  <c r="AL107"/>
  <c r="AK107"/>
  <c r="AR107"/>
  <c r="AQ107"/>
  <c r="AO107"/>
  <c r="AN107"/>
  <c r="AB253"/>
  <c r="AM253"/>
  <c r="AL253"/>
  <c r="AR253"/>
  <c r="AQ253"/>
  <c r="AP253"/>
  <c r="AO253"/>
  <c r="AN253"/>
  <c r="AK253"/>
  <c r="AB302"/>
  <c r="AK302"/>
  <c r="AQ302"/>
  <c r="AM302"/>
  <c r="AL302"/>
  <c r="AR302"/>
  <c r="AP302"/>
  <c r="AO302"/>
  <c r="AN302"/>
  <c r="AB258"/>
  <c r="AO258"/>
  <c r="AN258"/>
  <c r="AM258"/>
  <c r="AL258"/>
  <c r="AK258"/>
  <c r="AR258"/>
  <c r="AQ258"/>
  <c r="AP258"/>
  <c r="AB235"/>
  <c r="AM235"/>
  <c r="AL235"/>
  <c r="AR235"/>
  <c r="AQ235"/>
  <c r="AP235"/>
  <c r="AO235"/>
  <c r="AN235"/>
  <c r="AK235"/>
  <c r="AB92"/>
  <c r="AP92"/>
  <c r="AO92"/>
  <c r="AL92"/>
  <c r="AK92"/>
  <c r="AR92"/>
  <c r="AQ92"/>
  <c r="AN92"/>
  <c r="AM92"/>
  <c r="AB164"/>
  <c r="AP164"/>
  <c r="AK164"/>
  <c r="AR164"/>
  <c r="AQ164"/>
  <c r="AO164"/>
  <c r="AN164"/>
  <c r="AM164"/>
  <c r="AL164"/>
  <c r="AB108"/>
  <c r="AN108"/>
  <c r="AL108"/>
  <c r="AK108"/>
  <c r="AR108"/>
  <c r="AQ108"/>
  <c r="AP108"/>
  <c r="AM108"/>
  <c r="AO108"/>
  <c r="AB375"/>
  <c r="AO375"/>
  <c r="AL375"/>
  <c r="AK375"/>
  <c r="AR375"/>
  <c r="AN375"/>
  <c r="AM375"/>
  <c r="AQ375"/>
  <c r="AP375"/>
  <c r="AB159"/>
  <c r="AN159"/>
  <c r="AO159"/>
  <c r="AM159"/>
  <c r="AQ159"/>
  <c r="AP159"/>
  <c r="AL159"/>
  <c r="AR159"/>
  <c r="AK159"/>
  <c r="AB442"/>
  <c r="AM442"/>
  <c r="AL442"/>
  <c r="AR442"/>
  <c r="AQ442"/>
  <c r="AP442"/>
  <c r="AO442"/>
  <c r="AN442"/>
  <c r="AK442"/>
  <c r="AB226"/>
  <c r="AM226"/>
  <c r="AL226"/>
  <c r="AR226"/>
  <c r="AQ226"/>
  <c r="AP226"/>
  <c r="AO226"/>
  <c r="AN226"/>
  <c r="AK226"/>
  <c r="AB509"/>
  <c r="AK509"/>
  <c r="AQ509"/>
  <c r="AN509"/>
  <c r="AM509"/>
  <c r="AO509"/>
  <c r="AL509"/>
  <c r="AR509"/>
  <c r="AP509"/>
  <c r="AB293"/>
  <c r="AK293"/>
  <c r="AQ293"/>
  <c r="AM293"/>
  <c r="AL293"/>
  <c r="AR293"/>
  <c r="AP293"/>
  <c r="AO293"/>
  <c r="AN293"/>
  <c r="AB77"/>
  <c r="AP77"/>
  <c r="AO77"/>
  <c r="AN77"/>
  <c r="AM77"/>
  <c r="AL77"/>
  <c r="AK77"/>
  <c r="AR77"/>
  <c r="AQ77"/>
  <c r="AB193"/>
  <c r="AL193"/>
  <c r="AR193"/>
  <c r="AP193"/>
  <c r="AO193"/>
  <c r="AN193"/>
  <c r="AM193"/>
  <c r="AK193"/>
  <c r="AQ193"/>
  <c r="AB242"/>
  <c r="AK242"/>
  <c r="AQ242"/>
  <c r="AP242"/>
  <c r="AO242"/>
  <c r="AN242"/>
  <c r="AM242"/>
  <c r="AL242"/>
  <c r="AR242"/>
  <c r="AB198"/>
  <c r="AN198"/>
  <c r="AL198"/>
  <c r="AK198"/>
  <c r="AR198"/>
  <c r="AQ198"/>
  <c r="AP198"/>
  <c r="AO198"/>
  <c r="AM198"/>
  <c r="AB175"/>
  <c r="AL175"/>
  <c r="AR175"/>
  <c r="AP175"/>
  <c r="AO175"/>
  <c r="AQ175"/>
  <c r="AN175"/>
  <c r="AM175"/>
  <c r="AK175"/>
  <c r="AB474"/>
  <c r="AO474"/>
  <c r="AM474"/>
  <c r="AL474"/>
  <c r="AR474"/>
  <c r="AK474"/>
  <c r="AQ474"/>
  <c r="AP474"/>
  <c r="AN474"/>
  <c r="AB480"/>
  <c r="AO480"/>
  <c r="AP480"/>
  <c r="AN480"/>
  <c r="AM480"/>
  <c r="AK480"/>
  <c r="AL480"/>
  <c r="AR480"/>
  <c r="AQ480"/>
  <c r="AB43"/>
  <c r="AL43"/>
  <c r="AR43"/>
  <c r="AK43"/>
  <c r="AQ43"/>
  <c r="AP43"/>
  <c r="AO43"/>
  <c r="AN43"/>
  <c r="AM43"/>
  <c r="AB345"/>
  <c r="AO345"/>
  <c r="AN345"/>
  <c r="AM345"/>
  <c r="AQ345"/>
  <c r="AP345"/>
  <c r="AK345"/>
  <c r="AL345"/>
  <c r="AR345"/>
  <c r="AB129"/>
  <c r="AN129"/>
  <c r="AQ129"/>
  <c r="AP129"/>
  <c r="AR129"/>
  <c r="AO129"/>
  <c r="AK129"/>
  <c r="AM129"/>
  <c r="AL129"/>
  <c r="AB412"/>
  <c r="AM412"/>
  <c r="AL412"/>
  <c r="AR412"/>
  <c r="AO412"/>
  <c r="AN412"/>
  <c r="AK412"/>
  <c r="AQ412"/>
  <c r="AP412"/>
  <c r="AB196"/>
  <c r="AL196"/>
  <c r="AR196"/>
  <c r="AN196"/>
  <c r="AM196"/>
  <c r="AK196"/>
  <c r="AQ196"/>
  <c r="AP196"/>
  <c r="AO196"/>
  <c r="AB479"/>
  <c r="AK479"/>
  <c r="AQ479"/>
  <c r="AP479"/>
  <c r="AN479"/>
  <c r="AO479"/>
  <c r="AM479"/>
  <c r="AL479"/>
  <c r="AR479"/>
  <c r="AB263"/>
  <c r="AK263"/>
  <c r="AQ263"/>
  <c r="AO263"/>
  <c r="AN263"/>
  <c r="AM263"/>
  <c r="AR263"/>
  <c r="AP263"/>
  <c r="AL263"/>
  <c r="AB47"/>
  <c r="AP47"/>
  <c r="AO47"/>
  <c r="AL47"/>
  <c r="AK47"/>
  <c r="AR47"/>
  <c r="AQ47"/>
  <c r="AN47"/>
  <c r="AM47"/>
  <c r="AB505"/>
  <c r="AM505"/>
  <c r="AQ505"/>
  <c r="AP505"/>
  <c r="AK505"/>
  <c r="AN505"/>
  <c r="AO505"/>
  <c r="AL505"/>
  <c r="AR505"/>
  <c r="AB61"/>
  <c r="AL61"/>
  <c r="AR61"/>
  <c r="AK61"/>
  <c r="AQ61"/>
  <c r="AP61"/>
  <c r="AO61"/>
  <c r="AN61"/>
  <c r="AM61"/>
  <c r="AB110"/>
  <c r="AP110"/>
  <c r="AK110"/>
  <c r="AR110"/>
  <c r="AQ110"/>
  <c r="AO110"/>
  <c r="AN110"/>
  <c r="AL110"/>
  <c r="AM110"/>
  <c r="AB66"/>
  <c r="AN66"/>
  <c r="AM66"/>
  <c r="AL66"/>
  <c r="AK66"/>
  <c r="AR66"/>
  <c r="AQ66"/>
  <c r="AP66"/>
  <c r="AO66"/>
  <c r="AB37"/>
  <c r="AL37"/>
  <c r="AR37"/>
  <c r="AK37"/>
  <c r="AQ37"/>
  <c r="AP37"/>
  <c r="AO37"/>
  <c r="AN37"/>
  <c r="AM37"/>
  <c r="AB476"/>
  <c r="AK476"/>
  <c r="AQ476"/>
  <c r="AL476"/>
  <c r="AR476"/>
  <c r="AP476"/>
  <c r="AO476"/>
  <c r="AN476"/>
  <c r="AM476"/>
  <c r="AB348"/>
  <c r="AO348"/>
  <c r="AL348"/>
  <c r="AK348"/>
  <c r="AR348"/>
  <c r="AN348"/>
  <c r="AM348"/>
  <c r="AQ348"/>
  <c r="AP348"/>
  <c r="AB495"/>
  <c r="AO495"/>
  <c r="AK495"/>
  <c r="AR495"/>
  <c r="AQ495"/>
  <c r="AP495"/>
  <c r="AM495"/>
  <c r="AN495"/>
  <c r="AL495"/>
  <c r="AB279"/>
  <c r="AO279"/>
  <c r="AQ279"/>
  <c r="AP279"/>
  <c r="AN279"/>
  <c r="AR279"/>
  <c r="AM279"/>
  <c r="AL279"/>
  <c r="AK279"/>
  <c r="AB63"/>
  <c r="AN63"/>
  <c r="AM63"/>
  <c r="AR63"/>
  <c r="AQ63"/>
  <c r="AP63"/>
  <c r="AO63"/>
  <c r="AL63"/>
  <c r="AK63"/>
  <c r="AB346"/>
  <c r="AM346"/>
  <c r="AN346"/>
  <c r="AL346"/>
  <c r="AR346"/>
  <c r="AQ346"/>
  <c r="AP346"/>
  <c r="AO346"/>
  <c r="AK346"/>
  <c r="AB130"/>
  <c r="AL130"/>
  <c r="AR130"/>
  <c r="AP130"/>
  <c r="AO130"/>
  <c r="AK130"/>
  <c r="AM130"/>
  <c r="AQ130"/>
  <c r="AN130"/>
  <c r="AB413"/>
  <c r="AK413"/>
  <c r="AQ413"/>
  <c r="AP413"/>
  <c r="AO413"/>
  <c r="AN413"/>
  <c r="AM413"/>
  <c r="AL413"/>
  <c r="AR413"/>
  <c r="AB197"/>
  <c r="AP197"/>
  <c r="AM197"/>
  <c r="AL197"/>
  <c r="AO197"/>
  <c r="AN197"/>
  <c r="AK197"/>
  <c r="AR197"/>
  <c r="AQ197"/>
  <c r="AB373"/>
  <c r="AM373"/>
  <c r="AN373"/>
  <c r="AL373"/>
  <c r="AR373"/>
  <c r="AP373"/>
  <c r="AO373"/>
  <c r="AQ373"/>
  <c r="AK373"/>
  <c r="AB73"/>
  <c r="AL73"/>
  <c r="AR73"/>
  <c r="AK73"/>
  <c r="AQ73"/>
  <c r="AP73"/>
  <c r="AO73"/>
  <c r="AN73"/>
  <c r="AM73"/>
  <c r="AB122"/>
  <c r="AP122"/>
  <c r="AO122"/>
  <c r="AN122"/>
  <c r="AM122"/>
  <c r="AL122"/>
  <c r="AK122"/>
  <c r="AQ122"/>
  <c r="AR122"/>
  <c r="AB78"/>
  <c r="AN78"/>
  <c r="AM78"/>
  <c r="AP78"/>
  <c r="AO78"/>
  <c r="AL78"/>
  <c r="AR78"/>
  <c r="AQ78"/>
  <c r="AK78"/>
  <c r="AB55"/>
  <c r="AL55"/>
  <c r="AR55"/>
  <c r="AK55"/>
  <c r="AQ55"/>
  <c r="AP55"/>
  <c r="AO55"/>
  <c r="AN55"/>
  <c r="AM55"/>
  <c r="AB500"/>
  <c r="AK500"/>
  <c r="AQ500"/>
  <c r="AN500"/>
  <c r="AM500"/>
  <c r="AL500"/>
  <c r="AO500"/>
  <c r="AR500"/>
  <c r="AP500"/>
  <c r="AB360"/>
  <c r="AO360"/>
  <c r="AQ360"/>
  <c r="AP360"/>
  <c r="AN360"/>
  <c r="AM360"/>
  <c r="AK360"/>
  <c r="AL360"/>
  <c r="AR360"/>
  <c r="AB501"/>
  <c r="AO501"/>
  <c r="AM501"/>
  <c r="AL501"/>
  <c r="AK501"/>
  <c r="AQ501"/>
  <c r="AR501"/>
  <c r="AP501"/>
  <c r="AN501"/>
  <c r="AB285"/>
  <c r="AO285"/>
  <c r="AL285"/>
  <c r="AK285"/>
  <c r="AR285"/>
  <c r="AQ285"/>
  <c r="AP285"/>
  <c r="AN285"/>
  <c r="AM285"/>
  <c r="AB69"/>
  <c r="AN69"/>
  <c r="AM69"/>
  <c r="AP69"/>
  <c r="AO69"/>
  <c r="AL69"/>
  <c r="AR69"/>
  <c r="AQ69"/>
  <c r="AK69"/>
  <c r="AB352"/>
  <c r="AM352"/>
  <c r="AP352"/>
  <c r="AO352"/>
  <c r="AN352"/>
  <c r="AL352"/>
  <c r="AK352"/>
  <c r="AR352"/>
  <c r="AQ352"/>
  <c r="AB136"/>
  <c r="AL136"/>
  <c r="AR136"/>
  <c r="AK136"/>
  <c r="AQ136"/>
  <c r="AP136"/>
  <c r="AO136"/>
  <c r="AN136"/>
  <c r="AM136"/>
  <c r="AB419"/>
  <c r="AK419"/>
  <c r="AQ419"/>
  <c r="AP419"/>
  <c r="AM419"/>
  <c r="AL419"/>
  <c r="AO419"/>
  <c r="AR419"/>
  <c r="AN419"/>
  <c r="AB203"/>
  <c r="AP203"/>
  <c r="AO203"/>
  <c r="AN203"/>
  <c r="AK203"/>
  <c r="AR203"/>
  <c r="AQ203"/>
  <c r="AM203"/>
  <c r="AL203"/>
  <c r="AB457"/>
  <c r="AM457"/>
  <c r="AL457"/>
  <c r="AR457"/>
  <c r="AO457"/>
  <c r="AN457"/>
  <c r="AK457"/>
  <c r="AQ457"/>
  <c r="AP457"/>
  <c r="AB494"/>
  <c r="AK494"/>
  <c r="AQ494"/>
  <c r="AL494"/>
  <c r="AP494"/>
  <c r="AO494"/>
  <c r="AR494"/>
  <c r="AN494"/>
  <c r="AM494"/>
  <c r="AB62"/>
  <c r="AP62"/>
  <c r="AO62"/>
  <c r="AR62"/>
  <c r="AQ62"/>
  <c r="AN62"/>
  <c r="AM62"/>
  <c r="AL62"/>
  <c r="AK62"/>
  <c r="AB498"/>
  <c r="AO498"/>
  <c r="AP498"/>
  <c r="AN498"/>
  <c r="AM498"/>
  <c r="AR498"/>
  <c r="AL498"/>
  <c r="AK498"/>
  <c r="AQ498"/>
  <c r="AB414"/>
  <c r="AO414"/>
  <c r="AN414"/>
  <c r="AQ414"/>
  <c r="AP414"/>
  <c r="AM414"/>
  <c r="AL414"/>
  <c r="AK414"/>
  <c r="AR414"/>
  <c r="AB416"/>
  <c r="AK416"/>
  <c r="AQ416"/>
  <c r="AP416"/>
  <c r="AR416"/>
  <c r="AO416"/>
  <c r="AN416"/>
  <c r="AM416"/>
  <c r="AL416"/>
  <c r="AB300"/>
  <c r="AO300"/>
  <c r="AN300"/>
  <c r="AM300"/>
  <c r="AL300"/>
  <c r="AK300"/>
  <c r="AR300"/>
  <c r="AQ300"/>
  <c r="AP300"/>
  <c r="AB471"/>
  <c r="AO471"/>
  <c r="AP471"/>
  <c r="AN471"/>
  <c r="AM471"/>
  <c r="AK471"/>
  <c r="AR471"/>
  <c r="AL471"/>
  <c r="AQ471"/>
  <c r="AB255"/>
  <c r="AO255"/>
  <c r="AN255"/>
  <c r="AK255"/>
  <c r="AR255"/>
  <c r="AQ255"/>
  <c r="AP255"/>
  <c r="AM255"/>
  <c r="AL255"/>
  <c r="AB39"/>
  <c r="AN39"/>
  <c r="AM39"/>
  <c r="AL39"/>
  <c r="AK39"/>
  <c r="AR39"/>
  <c r="AQ39"/>
  <c r="AP39"/>
  <c r="AO39"/>
  <c r="AB322"/>
  <c r="AM322"/>
  <c r="AK322"/>
  <c r="AR322"/>
  <c r="AQ322"/>
  <c r="AP322"/>
  <c r="AO322"/>
  <c r="AL322"/>
  <c r="AN322"/>
  <c r="AB106"/>
  <c r="AL106"/>
  <c r="AR106"/>
  <c r="AN106"/>
  <c r="AM106"/>
  <c r="AK106"/>
  <c r="AQ106"/>
  <c r="AO106"/>
  <c r="AP106"/>
  <c r="AB389"/>
  <c r="AK389"/>
  <c r="AQ389"/>
  <c r="AP389"/>
  <c r="AR389"/>
  <c r="AO389"/>
  <c r="AN389"/>
  <c r="AM389"/>
  <c r="AL389"/>
  <c r="AB173"/>
  <c r="AP173"/>
  <c r="AK173"/>
  <c r="AR173"/>
  <c r="AQ173"/>
  <c r="AM173"/>
  <c r="AL173"/>
  <c r="AO173"/>
  <c r="AN173"/>
  <c r="AB397"/>
  <c r="AM397"/>
  <c r="AL397"/>
  <c r="AR397"/>
  <c r="AQ397"/>
  <c r="AP397"/>
  <c r="AN397"/>
  <c r="AO397"/>
  <c r="AK397"/>
  <c r="AB434"/>
  <c r="AK434"/>
  <c r="AQ434"/>
  <c r="AP434"/>
  <c r="AR434"/>
  <c r="AO434"/>
  <c r="AN434"/>
  <c r="AM434"/>
  <c r="AL434"/>
  <c r="AB426"/>
  <c r="AO426"/>
  <c r="AN426"/>
  <c r="AK426"/>
  <c r="AR426"/>
  <c r="AQ426"/>
  <c r="AM426"/>
  <c r="AP426"/>
  <c r="AL426"/>
  <c r="AB379"/>
  <c r="AM379"/>
  <c r="AP379"/>
  <c r="AO379"/>
  <c r="AN379"/>
  <c r="AL379"/>
  <c r="AK379"/>
  <c r="AR379"/>
  <c r="AQ379"/>
  <c r="AB488"/>
  <c r="AK488"/>
  <c r="AQ488"/>
  <c r="AP488"/>
  <c r="AO488"/>
  <c r="AL488"/>
  <c r="AN488"/>
  <c r="AM488"/>
  <c r="AR488"/>
  <c r="AB344"/>
  <c r="AK344"/>
  <c r="AQ344"/>
  <c r="AO344"/>
  <c r="AN344"/>
  <c r="AM344"/>
  <c r="AL344"/>
  <c r="AR344"/>
  <c r="AP344"/>
  <c r="AB240"/>
  <c r="AO240"/>
  <c r="AN240"/>
  <c r="AM240"/>
  <c r="AL240"/>
  <c r="AK240"/>
  <c r="AR240"/>
  <c r="AQ240"/>
  <c r="AP240"/>
  <c r="AB441"/>
  <c r="AO441"/>
  <c r="AN441"/>
  <c r="AQ441"/>
  <c r="AK441"/>
  <c r="AP441"/>
  <c r="AM441"/>
  <c r="AL441"/>
  <c r="AR441"/>
  <c r="AB225"/>
  <c r="AO225"/>
  <c r="AN225"/>
  <c r="AQ225"/>
  <c r="AP225"/>
  <c r="AM225"/>
  <c r="AR225"/>
  <c r="AL225"/>
  <c r="AK225"/>
  <c r="AB508"/>
  <c r="AM508"/>
  <c r="AO508"/>
  <c r="AR508"/>
  <c r="AN508"/>
  <c r="AL508"/>
  <c r="AK508"/>
  <c r="AP508"/>
  <c r="AQ508"/>
  <c r="AB292"/>
  <c r="AM292"/>
  <c r="AN292"/>
  <c r="AL292"/>
  <c r="AK292"/>
  <c r="AR292"/>
  <c r="AQ292"/>
  <c r="AP292"/>
  <c r="AO292"/>
  <c r="AB76"/>
  <c r="AL76"/>
  <c r="AR76"/>
  <c r="AK76"/>
  <c r="AQ76"/>
  <c r="AN76"/>
  <c r="AM76"/>
  <c r="AP76"/>
  <c r="AO76"/>
  <c r="AB359"/>
  <c r="AK359"/>
  <c r="AQ359"/>
  <c r="AR359"/>
  <c r="AP359"/>
  <c r="AM359"/>
  <c r="AL359"/>
  <c r="AO359"/>
  <c r="AN359"/>
  <c r="AB143"/>
  <c r="AP143"/>
  <c r="AM143"/>
  <c r="AL143"/>
  <c r="AO143"/>
  <c r="AN143"/>
  <c r="AK143"/>
  <c r="AR143"/>
  <c r="AQ143"/>
  <c r="AB325"/>
  <c r="AM325"/>
  <c r="AP325"/>
  <c r="AO325"/>
  <c r="AN325"/>
  <c r="AL325"/>
  <c r="AK325"/>
  <c r="AR325"/>
  <c r="AQ325"/>
  <c r="AB374"/>
  <c r="AK374"/>
  <c r="AQ374"/>
  <c r="AM374"/>
  <c r="AL374"/>
  <c r="AR374"/>
  <c r="AP374"/>
  <c r="AO374"/>
  <c r="AN374"/>
  <c r="AB330"/>
  <c r="AO330"/>
  <c r="AL330"/>
  <c r="AK330"/>
  <c r="AR330"/>
  <c r="AQ330"/>
  <c r="AP330"/>
  <c r="AM330"/>
  <c r="AN330"/>
  <c r="AB307"/>
  <c r="AM307"/>
  <c r="AP307"/>
  <c r="AO307"/>
  <c r="AN307"/>
  <c r="AL307"/>
  <c r="AK307"/>
  <c r="AR307"/>
  <c r="AQ307"/>
  <c r="AB212"/>
  <c r="AP212"/>
  <c r="AO212"/>
  <c r="AN212"/>
  <c r="AM212"/>
  <c r="AL212"/>
  <c r="AK212"/>
  <c r="AR212"/>
  <c r="AQ212"/>
  <c r="AB272"/>
  <c r="AK272"/>
  <c r="AQ272"/>
  <c r="AO272"/>
  <c r="AN272"/>
  <c r="AM272"/>
  <c r="AR272"/>
  <c r="AP272"/>
  <c r="AL272"/>
  <c r="AB180"/>
  <c r="AN180"/>
  <c r="AL180"/>
  <c r="AK180"/>
  <c r="AR180"/>
  <c r="AQ180"/>
  <c r="AP180"/>
  <c r="AO180"/>
  <c r="AM180"/>
  <c r="AB411"/>
  <c r="AO411"/>
  <c r="AN411"/>
  <c r="AM411"/>
  <c r="AL411"/>
  <c r="AR411"/>
  <c r="AK411"/>
  <c r="AQ411"/>
  <c r="AP411"/>
  <c r="AB195"/>
  <c r="AN195"/>
  <c r="AO195"/>
  <c r="AM195"/>
  <c r="AR195"/>
  <c r="AQ195"/>
  <c r="AP195"/>
  <c r="AL195"/>
  <c r="AK195"/>
  <c r="AB478"/>
  <c r="AM478"/>
  <c r="AQ478"/>
  <c r="AP478"/>
  <c r="AN478"/>
  <c r="AO478"/>
  <c r="AL478"/>
  <c r="AK478"/>
  <c r="AR478"/>
  <c r="AB262"/>
  <c r="AM262"/>
  <c r="AP262"/>
  <c r="AO262"/>
  <c r="AN262"/>
  <c r="AL262"/>
  <c r="AK262"/>
  <c r="AR262"/>
  <c r="AQ262"/>
  <c r="AB46"/>
  <c r="AL46"/>
  <c r="AR46"/>
  <c r="AK46"/>
  <c r="AQ46"/>
  <c r="AP46"/>
  <c r="AO46"/>
  <c r="AN46"/>
  <c r="AM46"/>
  <c r="AB329"/>
  <c r="AK329"/>
  <c r="AQ329"/>
  <c r="AM329"/>
  <c r="AL329"/>
  <c r="AO329"/>
  <c r="AN329"/>
  <c r="AR329"/>
  <c r="AP329"/>
  <c r="AB113"/>
  <c r="AP113"/>
  <c r="AO113"/>
  <c r="AN113"/>
  <c r="AM113"/>
  <c r="AL113"/>
  <c r="AK113"/>
  <c r="AQ113"/>
  <c r="AR113"/>
  <c r="AB265"/>
  <c r="AM265"/>
  <c r="AN265"/>
  <c r="AL265"/>
  <c r="AK265"/>
  <c r="AR265"/>
  <c r="AQ265"/>
  <c r="AP265"/>
  <c r="AO265"/>
  <c r="AB314"/>
  <c r="AK314"/>
  <c r="AQ314"/>
  <c r="AR314"/>
  <c r="AP314"/>
  <c r="AO314"/>
  <c r="AN314"/>
  <c r="AM314"/>
  <c r="AL314"/>
  <c r="AB270"/>
  <c r="AO270"/>
  <c r="AQ270"/>
  <c r="AP270"/>
  <c r="AN270"/>
  <c r="AR270"/>
  <c r="AM270"/>
  <c r="AL270"/>
  <c r="AK270"/>
  <c r="AB247"/>
  <c r="AM247"/>
  <c r="AL247"/>
  <c r="AR247"/>
  <c r="AK247"/>
  <c r="AQ247"/>
  <c r="AP247"/>
  <c r="AO247"/>
  <c r="AN247"/>
  <c r="AB104"/>
  <c r="AP104"/>
  <c r="AO104"/>
  <c r="AN104"/>
  <c r="AM104"/>
  <c r="AL104"/>
  <c r="AK104"/>
  <c r="AQ104"/>
  <c r="AR104"/>
  <c r="AB188"/>
  <c r="AP188"/>
  <c r="AM188"/>
  <c r="AL188"/>
  <c r="AK188"/>
  <c r="AR188"/>
  <c r="AQ188"/>
  <c r="AO188"/>
  <c r="AN188"/>
  <c r="AB120"/>
  <c r="AN120"/>
  <c r="AQ120"/>
  <c r="AP120"/>
  <c r="AO120"/>
  <c r="AM120"/>
  <c r="AL120"/>
  <c r="AK120"/>
  <c r="AR120"/>
  <c r="AB381"/>
  <c r="AO381"/>
  <c r="AN381"/>
  <c r="AM381"/>
  <c r="AR381"/>
  <c r="AQ381"/>
  <c r="AP381"/>
  <c r="AL381"/>
  <c r="AK381"/>
  <c r="AB165"/>
  <c r="AN165"/>
  <c r="AQ165"/>
  <c r="AP165"/>
  <c r="AL165"/>
  <c r="AK165"/>
  <c r="AR165"/>
  <c r="AO165"/>
  <c r="AM165"/>
  <c r="AB448"/>
  <c r="AM448"/>
  <c r="AR448"/>
  <c r="AL448"/>
  <c r="AO448"/>
  <c r="AN448"/>
  <c r="AK448"/>
  <c r="AQ448"/>
  <c r="AP448"/>
  <c r="AB232"/>
  <c r="AM232"/>
  <c r="AL232"/>
  <c r="AR232"/>
  <c r="AO232"/>
  <c r="AN232"/>
  <c r="AK232"/>
  <c r="AQ232"/>
  <c r="AP232"/>
  <c r="AB299"/>
  <c r="AK299"/>
  <c r="AQ299"/>
  <c r="AO299"/>
  <c r="AN299"/>
  <c r="AM299"/>
  <c r="AR299"/>
  <c r="AP299"/>
  <c r="AL299"/>
  <c r="AB83"/>
  <c r="AP83"/>
  <c r="AO83"/>
  <c r="AL83"/>
  <c r="AK83"/>
  <c r="AR83"/>
  <c r="AQ83"/>
  <c r="AN83"/>
  <c r="AM83"/>
  <c r="AB133"/>
  <c r="AL133"/>
  <c r="AR133"/>
  <c r="AN133"/>
  <c r="AM133"/>
  <c r="AQ133"/>
  <c r="AP133"/>
  <c r="AO133"/>
  <c r="AK133"/>
  <c r="AB182"/>
  <c r="AP182"/>
  <c r="AK182"/>
  <c r="AR182"/>
  <c r="AQ182"/>
  <c r="AO182"/>
  <c r="AN182"/>
  <c r="AM182"/>
  <c r="AL182"/>
  <c r="AB138"/>
  <c r="AN138"/>
  <c r="AQ138"/>
  <c r="AP138"/>
  <c r="AL138"/>
  <c r="AK138"/>
  <c r="AR138"/>
  <c r="AO138"/>
  <c r="AM138"/>
  <c r="AB115"/>
  <c r="AL115"/>
  <c r="AR115"/>
  <c r="AN115"/>
  <c r="AM115"/>
  <c r="AK115"/>
  <c r="AQ115"/>
  <c r="AO115"/>
  <c r="AP115"/>
  <c r="AB451"/>
  <c r="AM451"/>
  <c r="AL451"/>
  <c r="AR451"/>
  <c r="AQ451"/>
  <c r="AP451"/>
  <c r="AK451"/>
  <c r="AN451"/>
  <c r="AO451"/>
  <c r="AB420"/>
  <c r="AO420"/>
  <c r="AN420"/>
  <c r="AM420"/>
  <c r="AK420"/>
  <c r="AL420"/>
  <c r="AR420"/>
  <c r="AQ420"/>
  <c r="AP420"/>
  <c r="AB32"/>
  <c r="AP32"/>
  <c r="AO32"/>
  <c r="AN32"/>
  <c r="AM32"/>
  <c r="AL32"/>
  <c r="AK32"/>
  <c r="AR32"/>
  <c r="AQ32"/>
  <c r="AB315"/>
  <c r="AO315"/>
  <c r="AQ315"/>
  <c r="AP315"/>
  <c r="AR315"/>
  <c r="AN315"/>
  <c r="AM315"/>
  <c r="AL315"/>
  <c r="AK315"/>
  <c r="AB99"/>
  <c r="AN99"/>
  <c r="AL99"/>
  <c r="AK99"/>
  <c r="AR99"/>
  <c r="AQ99"/>
  <c r="AP99"/>
  <c r="AM99"/>
  <c r="AO99"/>
  <c r="AB382"/>
  <c r="AM382"/>
  <c r="AL382"/>
  <c r="AR382"/>
  <c r="AK382"/>
  <c r="AQ382"/>
  <c r="AP382"/>
  <c r="AO382"/>
  <c r="AN382"/>
  <c r="AB166"/>
  <c r="AL166"/>
  <c r="AR166"/>
  <c r="AP166"/>
  <c r="AO166"/>
  <c r="AN166"/>
  <c r="AM166"/>
  <c r="AK166"/>
  <c r="AQ166"/>
  <c r="AB449"/>
  <c r="AK449"/>
  <c r="AQ449"/>
  <c r="AP449"/>
  <c r="AO449"/>
  <c r="AN449"/>
  <c r="AM449"/>
  <c r="AL449"/>
  <c r="AR449"/>
  <c r="AB233"/>
  <c r="AK233"/>
  <c r="AQ233"/>
  <c r="AP233"/>
  <c r="AO233"/>
  <c r="AN233"/>
  <c r="AM233"/>
  <c r="AL233"/>
  <c r="AR233"/>
  <c r="AB145"/>
  <c r="AL145"/>
  <c r="AR145"/>
  <c r="AK145"/>
  <c r="AQ145"/>
  <c r="AP145"/>
  <c r="AO145"/>
  <c r="AN145"/>
  <c r="AM145"/>
  <c r="AB194"/>
  <c r="AP194"/>
  <c r="AO194"/>
  <c r="AN194"/>
  <c r="AR194"/>
  <c r="AQ194"/>
  <c r="AM194"/>
  <c r="AL194"/>
  <c r="AK194"/>
  <c r="AB150"/>
  <c r="AN150"/>
  <c r="AO150"/>
  <c r="AM150"/>
  <c r="AL150"/>
  <c r="AK150"/>
  <c r="AR150"/>
  <c r="AQ150"/>
  <c r="AP150"/>
  <c r="AB127"/>
  <c r="AL127"/>
  <c r="AR127"/>
  <c r="AK127"/>
  <c r="AQ127"/>
  <c r="AN127"/>
  <c r="AM127"/>
  <c r="AO127"/>
  <c r="AP127"/>
  <c r="AB475"/>
  <c r="AM475"/>
  <c r="AL475"/>
  <c r="AR475"/>
  <c r="AQ475"/>
  <c r="AP475"/>
  <c r="AK475"/>
  <c r="AO475"/>
  <c r="AN475"/>
  <c r="AB432"/>
  <c r="AO432"/>
  <c r="AN432"/>
  <c r="AQ432"/>
  <c r="AP432"/>
  <c r="AM432"/>
  <c r="AL432"/>
  <c r="AK432"/>
  <c r="AR432"/>
  <c r="AB38"/>
  <c r="AP38"/>
  <c r="AO38"/>
  <c r="AL38"/>
  <c r="AK38"/>
  <c r="AR38"/>
  <c r="AQ38"/>
  <c r="AN38"/>
  <c r="AM38"/>
  <c r="AB321"/>
  <c r="AO321"/>
  <c r="AL321"/>
  <c r="AK321"/>
  <c r="AR321"/>
  <c r="AN321"/>
  <c r="AM321"/>
  <c r="AQ321"/>
  <c r="AP321"/>
  <c r="AB105"/>
  <c r="AN105"/>
  <c r="AO105"/>
  <c r="AM105"/>
  <c r="AL105"/>
  <c r="AR105"/>
  <c r="AQ105"/>
  <c r="AP105"/>
  <c r="AK105"/>
  <c r="AB388"/>
  <c r="AM388"/>
  <c r="AL388"/>
  <c r="AR388"/>
  <c r="AQ388"/>
  <c r="AO388"/>
  <c r="AP388"/>
  <c r="AN388"/>
  <c r="AK388"/>
  <c r="AB172"/>
  <c r="AL172"/>
  <c r="AR172"/>
  <c r="AK172"/>
  <c r="AQ172"/>
  <c r="AP172"/>
  <c r="AO172"/>
  <c r="AN172"/>
  <c r="AM172"/>
  <c r="AB455"/>
  <c r="AK455"/>
  <c r="AQ455"/>
  <c r="AP455"/>
  <c r="AM455"/>
  <c r="AL455"/>
  <c r="AO455"/>
  <c r="AR455"/>
  <c r="AN455"/>
  <c r="AB239"/>
  <c r="AK239"/>
  <c r="AQ239"/>
  <c r="AP239"/>
  <c r="AM239"/>
  <c r="AL239"/>
  <c r="AR239"/>
  <c r="AO239"/>
  <c r="AN239"/>
  <c r="AB85"/>
  <c r="AL85"/>
  <c r="AR85"/>
  <c r="AK85"/>
  <c r="AQ85"/>
  <c r="AN85"/>
  <c r="AM85"/>
  <c r="AP85"/>
  <c r="AO85"/>
  <c r="AB134"/>
  <c r="AP134"/>
  <c r="AM134"/>
  <c r="AL134"/>
  <c r="AK134"/>
  <c r="AR134"/>
  <c r="AN134"/>
  <c r="AQ134"/>
  <c r="AO134"/>
  <c r="AB90"/>
  <c r="AN90"/>
  <c r="AM90"/>
  <c r="AR90"/>
  <c r="AQ90"/>
  <c r="AP90"/>
  <c r="AO90"/>
  <c r="AL90"/>
  <c r="AK90"/>
  <c r="AB67"/>
  <c r="AL67"/>
  <c r="AR67"/>
  <c r="AK67"/>
  <c r="AQ67"/>
  <c r="AN67"/>
  <c r="AM67"/>
  <c r="AP67"/>
  <c r="AO67"/>
  <c r="AB512"/>
  <c r="AK512"/>
  <c r="AQ512"/>
  <c r="AL512"/>
  <c r="AR512"/>
  <c r="AP512"/>
  <c r="AO512"/>
  <c r="AM512"/>
  <c r="AN512"/>
  <c r="AB372"/>
  <c r="AO372"/>
  <c r="AN372"/>
  <c r="AM372"/>
  <c r="AQ372"/>
  <c r="AP372"/>
  <c r="AL372"/>
  <c r="AK372"/>
  <c r="AR372"/>
  <c r="AB507"/>
  <c r="AO507"/>
  <c r="AP507"/>
  <c r="AN507"/>
  <c r="AM507"/>
  <c r="AR507"/>
  <c r="AK507"/>
  <c r="AQ507"/>
  <c r="AL507"/>
  <c r="AB291"/>
  <c r="AO291"/>
  <c r="AN291"/>
  <c r="AM291"/>
  <c r="AL291"/>
  <c r="AK291"/>
  <c r="AR291"/>
  <c r="AQ291"/>
  <c r="AP291"/>
  <c r="AB75"/>
  <c r="AN75"/>
  <c r="AM75"/>
  <c r="AL75"/>
  <c r="AK75"/>
  <c r="AR75"/>
  <c r="AQ75"/>
  <c r="AP75"/>
  <c r="AO75"/>
  <c r="AB358"/>
  <c r="AM358"/>
  <c r="AK358"/>
  <c r="AR358"/>
  <c r="AQ358"/>
  <c r="AP358"/>
  <c r="AO358"/>
  <c r="AN358"/>
  <c r="AL358"/>
  <c r="AB142"/>
  <c r="AL142"/>
  <c r="AR142"/>
  <c r="AN142"/>
  <c r="AM142"/>
  <c r="AK142"/>
  <c r="AQ142"/>
  <c r="AP142"/>
  <c r="AO142"/>
  <c r="AB425"/>
  <c r="AK425"/>
  <c r="AQ425"/>
  <c r="AP425"/>
  <c r="AR425"/>
  <c r="AO425"/>
  <c r="AN425"/>
  <c r="AM425"/>
  <c r="AL425"/>
  <c r="AB209"/>
  <c r="AP209"/>
  <c r="AK209"/>
  <c r="AR209"/>
  <c r="AQ209"/>
  <c r="AO209"/>
  <c r="AN209"/>
  <c r="AM209"/>
  <c r="AL209"/>
  <c r="AB469"/>
  <c r="AM469"/>
  <c r="AQ469"/>
  <c r="AP469"/>
  <c r="AO469"/>
  <c r="AN469"/>
  <c r="AL469"/>
  <c r="AK469"/>
  <c r="AR469"/>
  <c r="AB506"/>
  <c r="AK506"/>
  <c r="AQ506"/>
  <c r="AP506"/>
  <c r="AM506"/>
  <c r="AO506"/>
  <c r="AN506"/>
  <c r="AL506"/>
  <c r="AR506"/>
  <c r="AB74"/>
  <c r="AP74"/>
  <c r="AO74"/>
  <c r="AL74"/>
  <c r="AK74"/>
  <c r="AR74"/>
  <c r="AQ74"/>
  <c r="AN74"/>
  <c r="AM74"/>
  <c r="AB450"/>
  <c r="AO450"/>
  <c r="AN450"/>
  <c r="AQ450"/>
  <c r="AP450"/>
  <c r="AM450"/>
  <c r="AL450"/>
  <c r="AK450"/>
  <c r="AR450"/>
  <c r="AB440"/>
  <c r="AK440"/>
  <c r="AQ440"/>
  <c r="AP440"/>
  <c r="AO440"/>
  <c r="AN440"/>
  <c r="AM440"/>
  <c r="AL440"/>
  <c r="AR440"/>
  <c r="AB312"/>
  <c r="AO312"/>
  <c r="AL312"/>
  <c r="AK312"/>
  <c r="AR312"/>
  <c r="AQ312"/>
  <c r="AP312"/>
  <c r="AN312"/>
  <c r="AM312"/>
  <c r="AB477"/>
  <c r="AO477"/>
  <c r="AK477"/>
  <c r="AR477"/>
  <c r="AP477"/>
  <c r="AM477"/>
  <c r="AQ477"/>
  <c r="AN477"/>
  <c r="AL477"/>
  <c r="AB261"/>
  <c r="AO261"/>
  <c r="AN261"/>
  <c r="AQ261"/>
  <c r="AP261"/>
  <c r="AM261"/>
  <c r="AR261"/>
  <c r="AL261"/>
  <c r="AK261"/>
  <c r="AB45"/>
  <c r="AN45"/>
  <c r="AM45"/>
  <c r="AR45"/>
  <c r="AQ45"/>
  <c r="AP45"/>
  <c r="AO45"/>
  <c r="AL45"/>
  <c r="AK45"/>
  <c r="AB328"/>
  <c r="AM328"/>
  <c r="AN328"/>
  <c r="AL328"/>
  <c r="AK328"/>
  <c r="AQ328"/>
  <c r="AR328"/>
  <c r="AP328"/>
  <c r="AO328"/>
  <c r="AB112"/>
  <c r="AL112"/>
  <c r="AR112"/>
  <c r="AP112"/>
  <c r="AO112"/>
  <c r="AN112"/>
  <c r="AQ112"/>
  <c r="AM112"/>
  <c r="AK112"/>
  <c r="AB395"/>
  <c r="AK395"/>
  <c r="AQ395"/>
  <c r="AP395"/>
  <c r="AO395"/>
  <c r="AN395"/>
  <c r="AM395"/>
  <c r="AL395"/>
  <c r="AR395"/>
  <c r="AB179"/>
  <c r="AP179"/>
  <c r="AM179"/>
  <c r="AL179"/>
  <c r="AR179"/>
  <c r="AQ179"/>
  <c r="AO179"/>
  <c r="AN179"/>
  <c r="AK179"/>
  <c r="AB409"/>
  <c r="AM409"/>
  <c r="AL409"/>
  <c r="AR409"/>
  <c r="AK409"/>
  <c r="AQ409"/>
  <c r="AP409"/>
  <c r="AO409"/>
  <c r="AN409"/>
  <c r="AB446"/>
  <c r="AK446"/>
  <c r="AQ446"/>
  <c r="AP446"/>
  <c r="AM446"/>
  <c r="AO446"/>
  <c r="AL446"/>
  <c r="AR446"/>
  <c r="AN446"/>
  <c r="AB510"/>
  <c r="AO510"/>
  <c r="AM510"/>
  <c r="AK510"/>
  <c r="AP510"/>
  <c r="AL510"/>
  <c r="AR510"/>
  <c r="AQ510"/>
  <c r="AN510"/>
  <c r="AB403"/>
  <c r="AM403"/>
  <c r="AL403"/>
  <c r="AR403"/>
  <c r="AO403"/>
  <c r="AN403"/>
  <c r="AK403"/>
  <c r="AQ403"/>
  <c r="AP403"/>
  <c r="AB427"/>
  <c r="AM427"/>
  <c r="AL427"/>
  <c r="AR427"/>
  <c r="AK427"/>
  <c r="AQ427"/>
  <c r="AO427"/>
  <c r="AP427"/>
  <c r="AN427"/>
  <c r="AB356"/>
  <c r="AK356"/>
  <c r="AQ356"/>
  <c r="AM356"/>
  <c r="AL356"/>
  <c r="AO356"/>
  <c r="AN356"/>
  <c r="AR356"/>
  <c r="AP356"/>
  <c r="AB252"/>
  <c r="AO252"/>
  <c r="AN252"/>
  <c r="AQ252"/>
  <c r="AP252"/>
  <c r="AM252"/>
  <c r="AR252"/>
  <c r="AL252"/>
  <c r="AK252"/>
  <c r="AB447"/>
  <c r="AO447"/>
  <c r="AN447"/>
  <c r="AM447"/>
  <c r="AL447"/>
  <c r="AR447"/>
  <c r="AK447"/>
  <c r="AQ447"/>
  <c r="AP447"/>
  <c r="AB231"/>
  <c r="AO231"/>
  <c r="AN231"/>
  <c r="AM231"/>
  <c r="AL231"/>
  <c r="AK231"/>
  <c r="AR231"/>
  <c r="AQ231"/>
  <c r="AP231"/>
  <c r="AB298"/>
  <c r="AM298"/>
  <c r="AP298"/>
  <c r="AO298"/>
  <c r="AN298"/>
  <c r="AL298"/>
  <c r="AK298"/>
  <c r="AR298"/>
  <c r="AQ298"/>
  <c r="AB82"/>
  <c r="AL82"/>
  <c r="AR82"/>
  <c r="AK82"/>
  <c r="AQ82"/>
  <c r="AP82"/>
  <c r="AO82"/>
  <c r="AN82"/>
  <c r="AM82"/>
  <c r="AB365"/>
  <c r="AK365"/>
  <c r="AQ365"/>
  <c r="AM365"/>
  <c r="AL365"/>
  <c r="AR365"/>
  <c r="AO365"/>
  <c r="AN365"/>
  <c r="AP365"/>
  <c r="AB149"/>
  <c r="AP149"/>
  <c r="AO149"/>
  <c r="AN149"/>
  <c r="AK149"/>
  <c r="AR149"/>
  <c r="AQ149"/>
  <c r="AM149"/>
  <c r="AL149"/>
  <c r="AB337"/>
  <c r="AM337"/>
  <c r="AN337"/>
  <c r="AL337"/>
  <c r="AP337"/>
  <c r="AO337"/>
  <c r="AK337"/>
  <c r="AR337"/>
  <c r="AQ337"/>
  <c r="AB386"/>
  <c r="AK386"/>
  <c r="AQ386"/>
  <c r="AP386"/>
  <c r="AO386"/>
  <c r="AN386"/>
  <c r="AM386"/>
  <c r="AL386"/>
  <c r="AR386"/>
  <c r="AB342"/>
  <c r="AO342"/>
  <c r="AQ342"/>
  <c r="AP342"/>
  <c r="AR342"/>
  <c r="AN342"/>
  <c r="AM342"/>
  <c r="AL342"/>
  <c r="AK342"/>
  <c r="AB319"/>
  <c r="AM319"/>
  <c r="AN319"/>
  <c r="AL319"/>
  <c r="AR319"/>
  <c r="AP319"/>
  <c r="AQ319"/>
  <c r="AO319"/>
  <c r="AK319"/>
  <c r="AB260"/>
  <c r="AK260"/>
  <c r="AQ260"/>
  <c r="AP260"/>
  <c r="AO260"/>
  <c r="AN260"/>
  <c r="AM260"/>
  <c r="AL260"/>
  <c r="AR260"/>
  <c r="AB284"/>
  <c r="AK284"/>
  <c r="AQ284"/>
  <c r="AM284"/>
  <c r="AL284"/>
  <c r="AR284"/>
  <c r="AP284"/>
  <c r="AO284"/>
  <c r="AN284"/>
  <c r="AB192"/>
  <c r="AN192"/>
  <c r="AQ192"/>
  <c r="AP192"/>
  <c r="AL192"/>
  <c r="AK192"/>
  <c r="AR192"/>
  <c r="AO192"/>
  <c r="AM192"/>
  <c r="AB417"/>
  <c r="AO417"/>
  <c r="AN417"/>
  <c r="AK417"/>
  <c r="AR417"/>
  <c r="AQ417"/>
  <c r="AP417"/>
  <c r="AM417"/>
  <c r="AL417"/>
  <c r="AB201"/>
  <c r="AN201"/>
  <c r="AQ201"/>
  <c r="AP201"/>
  <c r="AO201"/>
  <c r="AM201"/>
  <c r="AL201"/>
  <c r="AK201"/>
  <c r="AR201"/>
  <c r="AB484"/>
  <c r="AM484"/>
  <c r="AL484"/>
  <c r="AK484"/>
  <c r="AR484"/>
  <c r="AQ484"/>
  <c r="AP484"/>
  <c r="AO484"/>
  <c r="AN484"/>
  <c r="AB268"/>
  <c r="AM268"/>
  <c r="AK268"/>
  <c r="AR268"/>
  <c r="AQ268"/>
  <c r="AP268"/>
  <c r="AO268"/>
  <c r="AN268"/>
  <c r="AL268"/>
  <c r="AB52"/>
  <c r="AL52"/>
  <c r="AR52"/>
  <c r="AK52"/>
  <c r="AQ52"/>
  <c r="AP52"/>
  <c r="AO52"/>
  <c r="AN52"/>
  <c r="AM52"/>
  <c r="AB335"/>
  <c r="AK335"/>
  <c r="AQ335"/>
  <c r="AO335"/>
  <c r="AN335"/>
  <c r="AP335"/>
  <c r="AR335"/>
  <c r="AM335"/>
  <c r="AL335"/>
  <c r="AB119"/>
  <c r="AP119"/>
  <c r="AK119"/>
  <c r="AR119"/>
  <c r="AQ119"/>
  <c r="AO119"/>
  <c r="AN119"/>
  <c r="AL119"/>
  <c r="AM119"/>
  <c r="AB205"/>
  <c r="AL205"/>
  <c r="AR205"/>
  <c r="AN205"/>
  <c r="AM205"/>
  <c r="AP205"/>
  <c r="AO205"/>
  <c r="AK205"/>
  <c r="AQ205"/>
  <c r="AB254"/>
  <c r="AK254"/>
  <c r="AQ254"/>
  <c r="AP254"/>
  <c r="AR254"/>
  <c r="AO254"/>
  <c r="AN254"/>
  <c r="AM254"/>
  <c r="AL254"/>
  <c r="AB210"/>
  <c r="AN210"/>
  <c r="AQ210"/>
  <c r="AP210"/>
  <c r="AR210"/>
  <c r="AO210"/>
  <c r="AM210"/>
  <c r="AL210"/>
  <c r="AK210"/>
  <c r="AB187"/>
  <c r="AL187"/>
  <c r="AR187"/>
  <c r="AN187"/>
  <c r="AM187"/>
  <c r="AQ187"/>
  <c r="AP187"/>
  <c r="AO187"/>
  <c r="AK187"/>
  <c r="AB492"/>
  <c r="AO492"/>
  <c r="AM492"/>
  <c r="AK492"/>
  <c r="AP492"/>
  <c r="AL492"/>
  <c r="AR492"/>
  <c r="AQ492"/>
  <c r="AN492"/>
  <c r="AB60"/>
  <c r="AN60"/>
  <c r="AM60"/>
  <c r="AP60"/>
  <c r="AO60"/>
  <c r="AL60"/>
  <c r="AR60"/>
  <c r="AQ60"/>
  <c r="AK60"/>
  <c r="AB351"/>
  <c r="AO351"/>
  <c r="AQ351"/>
  <c r="AP351"/>
  <c r="AL351"/>
  <c r="AK351"/>
  <c r="AR351"/>
  <c r="AN351"/>
  <c r="AM351"/>
  <c r="AB135"/>
  <c r="AN135"/>
  <c r="AL135"/>
  <c r="AK135"/>
  <c r="AR135"/>
  <c r="AO135"/>
  <c r="AM135"/>
  <c r="AP135"/>
  <c r="AQ135"/>
  <c r="AB418"/>
  <c r="AM418"/>
  <c r="AR418"/>
  <c r="AL418"/>
  <c r="AK418"/>
  <c r="AP418"/>
  <c r="AQ418"/>
  <c r="AO418"/>
  <c r="AN418"/>
  <c r="AB202"/>
  <c r="AL202"/>
  <c r="AR202"/>
  <c r="AP202"/>
  <c r="AO202"/>
  <c r="AQ202"/>
  <c r="AN202"/>
  <c r="AM202"/>
  <c r="AK202"/>
  <c r="AB485"/>
  <c r="AK485"/>
  <c r="AQ485"/>
  <c r="AL485"/>
  <c r="AR485"/>
  <c r="AP485"/>
  <c r="AO485"/>
  <c r="AN485"/>
  <c r="AM485"/>
  <c r="AB269"/>
  <c r="AK269"/>
  <c r="AQ269"/>
  <c r="AR269"/>
  <c r="AP269"/>
  <c r="AO269"/>
  <c r="AN269"/>
  <c r="AM269"/>
  <c r="AL269"/>
  <c r="AB53"/>
  <c r="AP53"/>
  <c r="AO53"/>
  <c r="AR53"/>
  <c r="AQ53"/>
  <c r="AN53"/>
  <c r="AM53"/>
  <c r="AL53"/>
  <c r="AK53"/>
  <c r="AB217"/>
  <c r="AL217"/>
  <c r="AR217"/>
  <c r="AK217"/>
  <c r="AQ217"/>
  <c r="AP217"/>
  <c r="AO217"/>
  <c r="AN217"/>
  <c r="AM217"/>
  <c r="AB266"/>
  <c r="AK266"/>
  <c r="AQ266"/>
  <c r="AM266"/>
  <c r="AL266"/>
  <c r="AR266"/>
  <c r="AP266"/>
  <c r="AO266"/>
  <c r="AN266"/>
  <c r="AB222"/>
  <c r="AO222"/>
  <c r="AN222"/>
  <c r="AM222"/>
  <c r="AL222"/>
  <c r="AK222"/>
  <c r="AR222"/>
  <c r="AQ222"/>
  <c r="AP222"/>
  <c r="AB199"/>
  <c r="AL199"/>
  <c r="AR199"/>
  <c r="AK199"/>
  <c r="AQ199"/>
  <c r="AP199"/>
  <c r="AO199"/>
  <c r="AN199"/>
  <c r="AM199"/>
  <c r="AB42"/>
  <c r="AN42"/>
  <c r="AM42"/>
  <c r="AP42"/>
  <c r="AO42"/>
  <c r="AL42"/>
  <c r="AR42"/>
  <c r="AQ42"/>
  <c r="AK42"/>
  <c r="AB504"/>
  <c r="AO504"/>
  <c r="AK504"/>
  <c r="AR504"/>
  <c r="AQ504"/>
  <c r="AP504"/>
  <c r="AN504"/>
  <c r="AL504"/>
  <c r="AM504"/>
  <c r="AB72"/>
  <c r="AN72"/>
  <c r="AM72"/>
  <c r="AR72"/>
  <c r="AQ72"/>
  <c r="AP72"/>
  <c r="AO72"/>
  <c r="AL72"/>
  <c r="AK72"/>
  <c r="AB357"/>
  <c r="AO357"/>
  <c r="AL357"/>
  <c r="AK357"/>
  <c r="AR357"/>
  <c r="AQ357"/>
  <c r="AP357"/>
  <c r="AN357"/>
  <c r="AM357"/>
  <c r="AB141"/>
  <c r="AN141"/>
  <c r="AO141"/>
  <c r="AM141"/>
  <c r="AR141"/>
  <c r="AQ141"/>
  <c r="AP141"/>
  <c r="AL141"/>
  <c r="AK141"/>
  <c r="AB424"/>
  <c r="AM424"/>
  <c r="AR424"/>
  <c r="AL424"/>
  <c r="AQ424"/>
  <c r="AP424"/>
  <c r="AK424"/>
  <c r="AO424"/>
  <c r="AN424"/>
  <c r="AB208"/>
  <c r="AL208"/>
  <c r="AR208"/>
  <c r="AK208"/>
  <c r="AQ208"/>
  <c r="AN208"/>
  <c r="AM208"/>
  <c r="AP208"/>
  <c r="AO208"/>
  <c r="AB491"/>
  <c r="AK491"/>
  <c r="AQ491"/>
  <c r="AN491"/>
  <c r="AM491"/>
  <c r="AR491"/>
  <c r="AL491"/>
  <c r="AP491"/>
  <c r="AO491"/>
  <c r="AB275"/>
  <c r="AK275"/>
  <c r="AQ275"/>
  <c r="AM275"/>
  <c r="AL275"/>
  <c r="AR275"/>
  <c r="AP275"/>
  <c r="AO275"/>
  <c r="AN275"/>
  <c r="AB59"/>
  <c r="AP59"/>
  <c r="AO59"/>
  <c r="AN59"/>
  <c r="AM59"/>
  <c r="AL59"/>
  <c r="AK59"/>
  <c r="AR59"/>
  <c r="AQ59"/>
  <c r="AB157"/>
  <c r="AL157"/>
  <c r="AR157"/>
  <c r="AP157"/>
  <c r="AO157"/>
  <c r="AK157"/>
  <c r="AQ157"/>
  <c r="AN157"/>
  <c r="AM157"/>
  <c r="AB206"/>
  <c r="AP206"/>
  <c r="AM206"/>
  <c r="AL206"/>
  <c r="AR206"/>
  <c r="AQ206"/>
  <c r="AO206"/>
  <c r="AN206"/>
  <c r="AK206"/>
  <c r="AB162"/>
  <c r="AN162"/>
  <c r="AL162"/>
  <c r="AK162"/>
  <c r="AR162"/>
  <c r="AO162"/>
  <c r="AM162"/>
  <c r="AQ162"/>
  <c r="AP162"/>
  <c r="AB139"/>
  <c r="AL139"/>
  <c r="AR139"/>
  <c r="AP139"/>
  <c r="AO139"/>
  <c r="AN139"/>
  <c r="AM139"/>
  <c r="AK139"/>
  <c r="AQ139"/>
  <c r="AB511"/>
  <c r="AM511"/>
  <c r="AL511"/>
  <c r="AK511"/>
  <c r="AQ511"/>
  <c r="AP511"/>
  <c r="AR511"/>
  <c r="AO511"/>
  <c r="AN511"/>
  <c r="AB444"/>
  <c r="AO444"/>
  <c r="AN444"/>
  <c r="AK444"/>
  <c r="AR444"/>
  <c r="AM444"/>
  <c r="AQ444"/>
  <c r="AP444"/>
  <c r="AL444"/>
  <c r="AB44"/>
  <c r="AP44"/>
  <c r="AO44"/>
  <c r="AR44"/>
  <c r="AQ44"/>
  <c r="AN44"/>
  <c r="AM44"/>
  <c r="AL44"/>
  <c r="AK44"/>
  <c r="AB327"/>
  <c r="AO327"/>
  <c r="AN327"/>
  <c r="AM327"/>
  <c r="AR327"/>
  <c r="AP327"/>
  <c r="AQ327"/>
  <c r="AL327"/>
  <c r="AK327"/>
  <c r="AB111"/>
  <c r="AN111"/>
  <c r="AQ111"/>
  <c r="AP111"/>
  <c r="AO111"/>
  <c r="AM111"/>
  <c r="AL111"/>
  <c r="AK111"/>
  <c r="AR111"/>
  <c r="AB394"/>
  <c r="AM394"/>
  <c r="AL394"/>
  <c r="AR394"/>
  <c r="AO394"/>
  <c r="AN394"/>
  <c r="AK394"/>
  <c r="AQ394"/>
  <c r="AP394"/>
  <c r="AB178"/>
  <c r="AL178"/>
  <c r="AR178"/>
  <c r="AN178"/>
  <c r="AM178"/>
  <c r="AP178"/>
  <c r="AO178"/>
  <c r="AK178"/>
  <c r="AQ178"/>
  <c r="AB461"/>
  <c r="AK461"/>
  <c r="AQ461"/>
  <c r="AP461"/>
  <c r="AO461"/>
  <c r="AR461"/>
  <c r="AN461"/>
  <c r="AM461"/>
  <c r="AL461"/>
  <c r="AB245"/>
  <c r="AK245"/>
  <c r="AQ245"/>
  <c r="AP245"/>
  <c r="AR245"/>
  <c r="AO245"/>
  <c r="AN245"/>
  <c r="AM245"/>
  <c r="AL245"/>
  <c r="AB29"/>
  <c r="AP29"/>
  <c r="AO29"/>
  <c r="AL29"/>
  <c r="AK29"/>
  <c r="AR29"/>
  <c r="AQ29"/>
  <c r="AN29"/>
  <c r="AM29"/>
  <c r="AB97"/>
  <c r="AL97"/>
  <c r="AR97"/>
  <c r="AN97"/>
  <c r="AM97"/>
  <c r="AK97"/>
  <c r="AQ97"/>
  <c r="AP97"/>
  <c r="AO97"/>
  <c r="AB146"/>
  <c r="AP146"/>
  <c r="AK146"/>
  <c r="AR146"/>
  <c r="AQ146"/>
  <c r="AM146"/>
  <c r="AL146"/>
  <c r="AO146"/>
  <c r="AN146"/>
  <c r="AB102"/>
  <c r="AN102"/>
  <c r="AQ102"/>
  <c r="AP102"/>
  <c r="AO102"/>
  <c r="AM102"/>
  <c r="AL102"/>
  <c r="AK102"/>
  <c r="AR102"/>
  <c r="AB79"/>
  <c r="AL79"/>
  <c r="AR79"/>
  <c r="AK79"/>
  <c r="AQ79"/>
  <c r="AP79"/>
  <c r="AO79"/>
  <c r="AN79"/>
  <c r="AM79"/>
  <c r="AB367"/>
  <c r="AM367"/>
  <c r="AK367"/>
  <c r="AR367"/>
  <c r="AQ367"/>
  <c r="AN367"/>
  <c r="AL367"/>
  <c r="AP367"/>
  <c r="AO367"/>
  <c r="AB384"/>
  <c r="AO384"/>
  <c r="AN384"/>
  <c r="AM384"/>
  <c r="AL384"/>
  <c r="AK384"/>
  <c r="AR384"/>
  <c r="AQ384"/>
  <c r="AP384"/>
  <c r="AB297"/>
  <c r="AO297"/>
  <c r="AQ297"/>
  <c r="AP297"/>
  <c r="AN297"/>
  <c r="AR297"/>
  <c r="AM297"/>
  <c r="AL297"/>
  <c r="AK297"/>
  <c r="AB81"/>
  <c r="AN81"/>
  <c r="AM81"/>
  <c r="AR81"/>
  <c r="AQ81"/>
  <c r="AP81"/>
  <c r="AO81"/>
  <c r="AL81"/>
  <c r="AK81"/>
  <c r="AB364"/>
  <c r="AM364"/>
  <c r="AN364"/>
  <c r="AL364"/>
  <c r="AP364"/>
  <c r="AO364"/>
  <c r="AK364"/>
  <c r="AR364"/>
  <c r="AQ364"/>
  <c r="AB148"/>
  <c r="AL148"/>
  <c r="AR148"/>
  <c r="AP148"/>
  <c r="AO148"/>
  <c r="AQ148"/>
  <c r="AN148"/>
  <c r="AM148"/>
  <c r="AK148"/>
  <c r="AB431"/>
  <c r="AK431"/>
  <c r="AQ431"/>
  <c r="AP431"/>
  <c r="AO431"/>
  <c r="AN431"/>
  <c r="AM431"/>
  <c r="AL431"/>
  <c r="AR431"/>
  <c r="AB215"/>
  <c r="AP215"/>
  <c r="AM215"/>
  <c r="AL215"/>
  <c r="AK215"/>
  <c r="AR215"/>
  <c r="AQ215"/>
  <c r="AO215"/>
  <c r="AN215"/>
  <c r="AB481"/>
  <c r="AM481"/>
  <c r="AO481"/>
  <c r="AN481"/>
  <c r="AL481"/>
  <c r="AK481"/>
  <c r="AQ481"/>
  <c r="AR481"/>
  <c r="AP481"/>
  <c r="AB30"/>
  <c r="AN30"/>
  <c r="AM30"/>
  <c r="AL30"/>
  <c r="AK30"/>
  <c r="AR30"/>
  <c r="AQ30"/>
  <c r="AP30"/>
  <c r="AO30"/>
  <c r="AB86"/>
  <c r="AP86"/>
  <c r="AO86"/>
  <c r="AN86"/>
  <c r="AM86"/>
  <c r="AL86"/>
  <c r="AK86"/>
  <c r="AR86"/>
  <c r="AQ86"/>
  <c r="AB36"/>
  <c r="AN36"/>
  <c r="AM36"/>
  <c r="AR36"/>
  <c r="AQ36"/>
  <c r="AP36"/>
  <c r="AO36"/>
  <c r="AL36"/>
  <c r="AK36"/>
  <c r="AB486"/>
  <c r="AO486"/>
  <c r="AK486"/>
  <c r="AR486"/>
  <c r="AQ486"/>
  <c r="AP486"/>
  <c r="AN486"/>
  <c r="AM486"/>
  <c r="AL486"/>
  <c r="AB452"/>
  <c r="AK452"/>
  <c r="AQ452"/>
  <c r="AP452"/>
  <c r="AR452"/>
  <c r="AO452"/>
  <c r="AN452"/>
  <c r="AM452"/>
  <c r="AL452"/>
  <c r="AB324"/>
  <c r="AO324"/>
  <c r="AQ324"/>
  <c r="AP324"/>
  <c r="AL324"/>
  <c r="AK324"/>
  <c r="AR324"/>
  <c r="AN324"/>
  <c r="AM324"/>
  <c r="AB483"/>
  <c r="AO483"/>
  <c r="AM483"/>
  <c r="AL483"/>
  <c r="AK483"/>
  <c r="AR483"/>
  <c r="AQ483"/>
  <c r="AP483"/>
  <c r="AN483"/>
  <c r="AB267"/>
  <c r="AO267"/>
  <c r="AL267"/>
  <c r="AK267"/>
  <c r="AR267"/>
  <c r="AQ267"/>
  <c r="AP267"/>
  <c r="AN267"/>
  <c r="AM267"/>
  <c r="AB51"/>
  <c r="AN51"/>
  <c r="AM51"/>
  <c r="AP51"/>
  <c r="AO51"/>
  <c r="AL51"/>
  <c r="AR51"/>
  <c r="AQ51"/>
  <c r="AK51"/>
  <c r="AB334"/>
  <c r="AM334"/>
  <c r="AP334"/>
  <c r="AO334"/>
  <c r="AR334"/>
  <c r="AQ334"/>
  <c r="AL334"/>
  <c r="AN334"/>
  <c r="AK334"/>
  <c r="AB118"/>
  <c r="AL118"/>
  <c r="AR118"/>
  <c r="AK118"/>
  <c r="AQ118"/>
  <c r="AP118"/>
  <c r="AO118"/>
  <c r="AN118"/>
  <c r="AM118"/>
  <c r="AB401"/>
  <c r="AK401"/>
  <c r="AQ401"/>
  <c r="AP401"/>
  <c r="AM401"/>
  <c r="AL401"/>
  <c r="AR401"/>
  <c r="AO401"/>
  <c r="AN401"/>
  <c r="AB185"/>
  <c r="AP185"/>
  <c r="AO185"/>
  <c r="AN185"/>
  <c r="AM185"/>
  <c r="AL185"/>
  <c r="AK185"/>
  <c r="AR185"/>
  <c r="AQ185"/>
  <c r="AB421"/>
  <c r="AM421"/>
  <c r="AL421"/>
  <c r="AR421"/>
  <c r="AO421"/>
  <c r="AN421"/>
  <c r="AK421"/>
  <c r="AQ421"/>
  <c r="AP421"/>
  <c r="AB458"/>
  <c r="AK458"/>
  <c r="AQ458"/>
  <c r="AP458"/>
  <c r="AO458"/>
  <c r="AM458"/>
  <c r="AL458"/>
  <c r="AN458"/>
  <c r="AR458"/>
  <c r="AB439"/>
  <c r="AM439"/>
  <c r="AR439"/>
  <c r="AL439"/>
  <c r="AO439"/>
  <c r="AN439"/>
  <c r="AK439"/>
  <c r="AQ439"/>
  <c r="AP439"/>
  <c r="AB463"/>
  <c r="AM463"/>
  <c r="AL463"/>
  <c r="AR463"/>
  <c r="AK463"/>
  <c r="AQ463"/>
  <c r="AP463"/>
  <c r="AO463"/>
  <c r="AN463"/>
  <c r="AB380"/>
  <c r="AK380"/>
  <c r="AQ380"/>
  <c r="AO380"/>
  <c r="AN380"/>
  <c r="AR380"/>
  <c r="AP380"/>
  <c r="AM380"/>
  <c r="AL380"/>
  <c r="AB264"/>
  <c r="AO264"/>
  <c r="AN264"/>
  <c r="AM264"/>
  <c r="AL264"/>
  <c r="AK264"/>
  <c r="AR264"/>
  <c r="AQ264"/>
  <c r="AP264"/>
  <c r="AB453"/>
  <c r="AO453"/>
  <c r="AN453"/>
  <c r="AK453"/>
  <c r="AQ453"/>
  <c r="AR453"/>
  <c r="AM453"/>
  <c r="AP453"/>
  <c r="AL453"/>
  <c r="AB237"/>
  <c r="AO237"/>
  <c r="AN237"/>
  <c r="AK237"/>
  <c r="AR237"/>
  <c r="AQ237"/>
  <c r="AP237"/>
  <c r="AM237"/>
  <c r="AL237"/>
  <c r="AB304"/>
  <c r="AM304"/>
  <c r="AK304"/>
  <c r="AR304"/>
  <c r="AQ304"/>
  <c r="AP304"/>
  <c r="AO304"/>
  <c r="AN304"/>
  <c r="AL304"/>
  <c r="AB88"/>
  <c r="AL88"/>
  <c r="AR88"/>
  <c r="AK88"/>
  <c r="AQ88"/>
  <c r="AP88"/>
  <c r="AO88"/>
  <c r="AN88"/>
  <c r="AM88"/>
  <c r="AB371"/>
  <c r="AK371"/>
  <c r="AQ371"/>
  <c r="AO371"/>
  <c r="AN371"/>
  <c r="AM371"/>
  <c r="AL371"/>
  <c r="AR371"/>
  <c r="AP371"/>
  <c r="AB155"/>
  <c r="AP155"/>
  <c r="AK155"/>
  <c r="AR155"/>
  <c r="AQ155"/>
  <c r="AO155"/>
  <c r="AN155"/>
  <c r="AM155"/>
  <c r="AL155"/>
  <c r="AB277"/>
  <c r="AM277"/>
  <c r="AK277"/>
  <c r="AR277"/>
  <c r="AQ277"/>
  <c r="AP277"/>
  <c r="AO277"/>
  <c r="AN277"/>
  <c r="AL277"/>
  <c r="AB326"/>
  <c r="AK326"/>
  <c r="AQ326"/>
  <c r="AO326"/>
  <c r="AN326"/>
  <c r="AR326"/>
  <c r="AP326"/>
  <c r="AL326"/>
  <c r="AM326"/>
  <c r="AB282"/>
  <c r="AO282"/>
  <c r="AN282"/>
  <c r="AM282"/>
  <c r="AL282"/>
  <c r="AK282"/>
  <c r="AR282"/>
  <c r="AQ282"/>
  <c r="AP282"/>
  <c r="AB259"/>
  <c r="AM259"/>
  <c r="AL259"/>
  <c r="AR259"/>
  <c r="AO259"/>
  <c r="AN259"/>
  <c r="AK259"/>
  <c r="AQ259"/>
  <c r="AP259"/>
  <c r="AB116"/>
  <c r="AP116"/>
  <c r="AM116"/>
  <c r="AL116"/>
  <c r="AK116"/>
  <c r="AR116"/>
  <c r="AQ116"/>
  <c r="AO116"/>
  <c r="AN116"/>
  <c r="AB200"/>
  <c r="AP200"/>
  <c r="AK200"/>
  <c r="AR200"/>
  <c r="AQ200"/>
  <c r="AM200"/>
  <c r="AL200"/>
  <c r="AO200"/>
  <c r="AN200"/>
  <c r="AB132"/>
  <c r="AN132"/>
  <c r="AO132"/>
  <c r="AM132"/>
  <c r="AQ132"/>
  <c r="AP132"/>
  <c r="AL132"/>
  <c r="AR132"/>
  <c r="AK132"/>
  <c r="AB387"/>
  <c r="AO387"/>
  <c r="AN387"/>
  <c r="AQ387"/>
  <c r="AP387"/>
  <c r="AL387"/>
  <c r="AM387"/>
  <c r="AK387"/>
  <c r="AR387"/>
  <c r="AB171"/>
  <c r="AN171"/>
  <c r="AL171"/>
  <c r="AK171"/>
  <c r="AR171"/>
  <c r="AQ171"/>
  <c r="AP171"/>
  <c r="AO171"/>
  <c r="AM171"/>
  <c r="AB454"/>
  <c r="AM454"/>
  <c r="AL454"/>
  <c r="AR454"/>
  <c r="AK454"/>
  <c r="AP454"/>
  <c r="AQ454"/>
  <c r="AO454"/>
  <c r="AN454"/>
  <c r="AB238"/>
  <c r="AM238"/>
  <c r="AL238"/>
  <c r="AR238"/>
  <c r="AK238"/>
  <c r="AQ238"/>
  <c r="AP238"/>
  <c r="AO238"/>
  <c r="AN238"/>
  <c r="AB305"/>
  <c r="AK305"/>
  <c r="AQ305"/>
  <c r="AR305"/>
  <c r="AP305"/>
  <c r="AO305"/>
  <c r="AN305"/>
  <c r="AM305"/>
  <c r="AL305"/>
  <c r="AB89"/>
  <c r="AP89"/>
  <c r="AO89"/>
  <c r="AR89"/>
  <c r="AQ89"/>
  <c r="AN89"/>
  <c r="AM89"/>
  <c r="AL89"/>
  <c r="AK89"/>
  <c r="AB289"/>
  <c r="AM289"/>
  <c r="AP289"/>
  <c r="AO289"/>
  <c r="AN289"/>
  <c r="AL289"/>
  <c r="AK289"/>
  <c r="AR289"/>
  <c r="AQ289"/>
  <c r="AB338"/>
  <c r="AK338"/>
  <c r="AQ338"/>
  <c r="AM338"/>
  <c r="AL338"/>
  <c r="AR338"/>
  <c r="AP338"/>
  <c r="AN338"/>
  <c r="AO338"/>
  <c r="AB294"/>
  <c r="AO294"/>
  <c r="AL294"/>
  <c r="AK294"/>
  <c r="AR294"/>
  <c r="AQ294"/>
  <c r="AP294"/>
  <c r="AN294"/>
  <c r="AM294"/>
  <c r="AB271"/>
  <c r="AM271"/>
  <c r="AP271"/>
  <c r="AO271"/>
  <c r="AN271"/>
  <c r="AL271"/>
  <c r="AK271"/>
  <c r="AR271"/>
  <c r="AQ271"/>
  <c r="AB128"/>
  <c r="AP128"/>
  <c r="AK128"/>
  <c r="AR128"/>
  <c r="AQ128"/>
  <c r="AO128"/>
  <c r="AN128"/>
  <c r="AM128"/>
  <c r="AL128"/>
  <c r="AB224"/>
  <c r="AK224"/>
  <c r="AQ224"/>
  <c r="AP224"/>
  <c r="AO224"/>
  <c r="AN224"/>
  <c r="AM224"/>
  <c r="AL224"/>
  <c r="AR224"/>
  <c r="AB144"/>
  <c r="AN144"/>
  <c r="AL144"/>
  <c r="AK144"/>
  <c r="AR144"/>
  <c r="AQ144"/>
  <c r="AP144"/>
  <c r="AO144"/>
  <c r="AM144"/>
  <c r="AB393"/>
  <c r="AO393"/>
  <c r="AN393"/>
  <c r="AM393"/>
  <c r="AL393"/>
  <c r="AR393"/>
  <c r="AQ393"/>
  <c r="AK393"/>
  <c r="AP393"/>
  <c r="AB177"/>
  <c r="AN177"/>
  <c r="AO177"/>
  <c r="AM177"/>
  <c r="AL177"/>
  <c r="AK177"/>
  <c r="AR177"/>
  <c r="AQ177"/>
  <c r="AP177"/>
  <c r="AB460"/>
  <c r="AM460"/>
  <c r="AR460"/>
  <c r="AL460"/>
  <c r="AQ460"/>
  <c r="AP460"/>
  <c r="AN460"/>
  <c r="AK460"/>
  <c r="AO460"/>
  <c r="AB244"/>
  <c r="AM244"/>
  <c r="AL244"/>
  <c r="AR244"/>
  <c r="AQ244"/>
  <c r="AP244"/>
  <c r="AO244"/>
  <c r="AN244"/>
  <c r="AK244"/>
  <c r="AB28"/>
  <c r="AL28"/>
  <c r="AR28"/>
  <c r="AK28"/>
  <c r="AQ28"/>
  <c r="AP28"/>
  <c r="AO28"/>
  <c r="AN28"/>
  <c r="AM28"/>
  <c r="AB311"/>
  <c r="AK311"/>
  <c r="AQ311"/>
  <c r="AM311"/>
  <c r="AL311"/>
  <c r="AR311"/>
  <c r="AP311"/>
  <c r="AO311"/>
  <c r="AN311"/>
  <c r="AB95"/>
  <c r="AP95"/>
  <c r="AO95"/>
  <c r="AN95"/>
  <c r="AM95"/>
  <c r="AL95"/>
  <c r="AK95"/>
  <c r="AR95"/>
  <c r="AQ95"/>
  <c r="AB229"/>
  <c r="AM229"/>
  <c r="AL229"/>
  <c r="AR229"/>
  <c r="AK229"/>
  <c r="AQ229"/>
  <c r="AP229"/>
  <c r="AO229"/>
  <c r="AN229"/>
  <c r="AB278"/>
  <c r="AK278"/>
  <c r="AQ278"/>
  <c r="AR278"/>
  <c r="AP278"/>
  <c r="AO278"/>
  <c r="AN278"/>
  <c r="AM278"/>
  <c r="AL278"/>
  <c r="AB234"/>
  <c r="AO234"/>
  <c r="AN234"/>
  <c r="AQ234"/>
  <c r="AP234"/>
  <c r="AM234"/>
  <c r="AL234"/>
  <c r="AR234"/>
  <c r="AK234"/>
  <c r="AB211"/>
  <c r="AL211"/>
  <c r="AR211"/>
  <c r="AP211"/>
  <c r="AO211"/>
  <c r="AK211"/>
  <c r="AQ211"/>
  <c r="AN211"/>
  <c r="AM211"/>
  <c r="AB56"/>
  <c r="AP56"/>
  <c r="AO56"/>
  <c r="AL56"/>
  <c r="AK56"/>
  <c r="AR56"/>
  <c r="AQ56"/>
  <c r="AN56"/>
  <c r="AM56"/>
  <c r="AB68"/>
  <c r="AP68"/>
  <c r="AO68"/>
  <c r="AN68"/>
  <c r="AM68"/>
  <c r="AL68"/>
  <c r="AK68"/>
  <c r="AR68"/>
  <c r="AQ68"/>
  <c r="AB84"/>
  <c r="AN84"/>
  <c r="AM84"/>
  <c r="AL84"/>
  <c r="AK84"/>
  <c r="AR84"/>
  <c r="AQ84"/>
  <c r="AP84"/>
  <c r="AO84"/>
  <c r="AB363"/>
  <c r="AO363"/>
  <c r="AN363"/>
  <c r="AM363"/>
  <c r="AL363"/>
  <c r="AK363"/>
  <c r="AR363"/>
  <c r="AQ363"/>
  <c r="AP363"/>
  <c r="AB147"/>
  <c r="AN147"/>
  <c r="AQ147"/>
  <c r="AP147"/>
  <c r="AO147"/>
  <c r="AM147"/>
  <c r="AL147"/>
  <c r="AK147"/>
  <c r="AR147"/>
  <c r="AB430"/>
  <c r="AM430"/>
  <c r="AR430"/>
  <c r="AL430"/>
  <c r="AO430"/>
  <c r="AN430"/>
  <c r="AK430"/>
  <c r="AQ430"/>
  <c r="AP430"/>
  <c r="AB214"/>
  <c r="AL214"/>
  <c r="AR214"/>
  <c r="AN214"/>
  <c r="AM214"/>
  <c r="AQ214"/>
  <c r="AP214"/>
  <c r="AO214"/>
  <c r="AK214"/>
  <c r="AB497"/>
  <c r="AK497"/>
  <c r="AQ497"/>
  <c r="AP497"/>
  <c r="AM497"/>
  <c r="AO497"/>
  <c r="AN497"/>
  <c r="AL497"/>
  <c r="AR497"/>
  <c r="AB281"/>
  <c r="AK281"/>
  <c r="AQ281"/>
  <c r="AO281"/>
  <c r="AN281"/>
  <c r="AM281"/>
  <c r="AR281"/>
  <c r="AP281"/>
  <c r="AL281"/>
  <c r="AB65"/>
  <c r="AP65"/>
  <c r="AO65"/>
  <c r="AL65"/>
  <c r="AK65"/>
  <c r="AR65"/>
  <c r="AQ65"/>
  <c r="AN65"/>
  <c r="AM65"/>
  <c r="AB169"/>
  <c r="AL169"/>
  <c r="AR169"/>
  <c r="AN169"/>
  <c r="AM169"/>
  <c r="AK169"/>
  <c r="AQ169"/>
  <c r="AP169"/>
  <c r="AO169"/>
  <c r="AB218"/>
  <c r="AK218"/>
  <c r="AQ218"/>
  <c r="AP218"/>
  <c r="AR218"/>
  <c r="AO218"/>
  <c r="AN218"/>
  <c r="AM218"/>
  <c r="AL218"/>
  <c r="AB174"/>
  <c r="AN174"/>
  <c r="AQ174"/>
  <c r="AP174"/>
  <c r="AO174"/>
  <c r="AM174"/>
  <c r="AL174"/>
  <c r="AK174"/>
  <c r="AR174"/>
  <c r="AB151"/>
  <c r="AL151"/>
  <c r="AR151"/>
  <c r="AN151"/>
  <c r="AM151"/>
  <c r="AP151"/>
  <c r="AO151"/>
  <c r="AK151"/>
  <c r="AQ151"/>
  <c r="AB402"/>
  <c r="AO402"/>
  <c r="AN402"/>
  <c r="AM402"/>
  <c r="AL402"/>
  <c r="AK402"/>
  <c r="AR402"/>
  <c r="AQ402"/>
  <c r="AP402"/>
  <c r="AB456"/>
  <c r="AO456"/>
  <c r="AN456"/>
  <c r="AM456"/>
  <c r="AL456"/>
  <c r="AK456"/>
  <c r="AR456"/>
  <c r="AQ456"/>
  <c r="AP456"/>
  <c r="AB50"/>
  <c r="AP50"/>
  <c r="AO50"/>
  <c r="AN50"/>
  <c r="AM50"/>
  <c r="AL50"/>
  <c r="AK50"/>
  <c r="AR50"/>
  <c r="AQ50"/>
  <c r="AB333"/>
  <c r="AO333"/>
  <c r="AQ333"/>
  <c r="AP333"/>
  <c r="AN333"/>
  <c r="AK333"/>
  <c r="AM333"/>
  <c r="AL333"/>
  <c r="AR333"/>
  <c r="AB117"/>
  <c r="AN117"/>
  <c r="AL117"/>
  <c r="AK117"/>
  <c r="AR117"/>
  <c r="AQ117"/>
  <c r="AP117"/>
  <c r="AM117"/>
  <c r="AO117"/>
  <c r="AB400"/>
  <c r="AM400"/>
  <c r="AL400"/>
  <c r="AR400"/>
  <c r="AK400"/>
  <c r="AQ400"/>
  <c r="AP400"/>
  <c r="AO400"/>
  <c r="AN400"/>
  <c r="AB184"/>
  <c r="AL184"/>
  <c r="AR184"/>
  <c r="AP184"/>
  <c r="AO184"/>
  <c r="AK184"/>
  <c r="AQ184"/>
  <c r="AN184"/>
  <c r="AM184"/>
  <c r="AB467"/>
  <c r="AK467"/>
  <c r="AQ467"/>
  <c r="AL467"/>
  <c r="AR467"/>
  <c r="AP467"/>
  <c r="AO467"/>
  <c r="AN467"/>
  <c r="AM467"/>
  <c r="AB251"/>
  <c r="AK251"/>
  <c r="AQ251"/>
  <c r="AP251"/>
  <c r="AO251"/>
  <c r="AN251"/>
  <c r="AM251"/>
  <c r="AL251"/>
  <c r="AR251"/>
  <c r="AB35"/>
  <c r="AP35"/>
  <c r="AO35"/>
  <c r="AR35"/>
  <c r="AQ35"/>
  <c r="AN35"/>
  <c r="AM35"/>
  <c r="AL35"/>
  <c r="AK35"/>
  <c r="AB109"/>
  <c r="AL109"/>
  <c r="AR109"/>
  <c r="AK109"/>
  <c r="AQ109"/>
  <c r="AP109"/>
  <c r="AO109"/>
  <c r="AN109"/>
  <c r="AM109"/>
  <c r="AB158"/>
  <c r="AP158"/>
  <c r="AO158"/>
  <c r="AN158"/>
  <c r="AM158"/>
  <c r="AL158"/>
  <c r="AK158"/>
  <c r="AR158"/>
  <c r="AQ158"/>
  <c r="AB114"/>
  <c r="AN114"/>
  <c r="AO114"/>
  <c r="AM114"/>
  <c r="AL114"/>
  <c r="AR114"/>
  <c r="AQ114"/>
  <c r="AP114"/>
  <c r="AK114"/>
  <c r="AB91"/>
  <c r="AL91"/>
  <c r="AR91"/>
  <c r="AK91"/>
  <c r="AQ91"/>
  <c r="AP91"/>
  <c r="AO91"/>
  <c r="AN91"/>
  <c r="AM91"/>
  <c r="AB391"/>
  <c r="AM391"/>
  <c r="AL391"/>
  <c r="AR391"/>
  <c r="AK391"/>
  <c r="AQ391"/>
  <c r="AP391"/>
  <c r="AO391"/>
  <c r="AN391"/>
  <c r="AB396"/>
  <c r="AO396"/>
  <c r="AN396"/>
  <c r="AQ396"/>
  <c r="AP396"/>
  <c r="AM396"/>
  <c r="AL396"/>
  <c r="AK396"/>
  <c r="AR396"/>
  <c r="AB303"/>
  <c r="AO303"/>
  <c r="AL303"/>
  <c r="AK303"/>
  <c r="AR303"/>
  <c r="AQ303"/>
  <c r="AP303"/>
  <c r="AN303"/>
  <c r="AM303"/>
  <c r="AB87"/>
  <c r="AN87"/>
  <c r="AM87"/>
  <c r="AP87"/>
  <c r="AO87"/>
  <c r="AL87"/>
  <c r="AR87"/>
  <c r="AQ87"/>
  <c r="AK87"/>
  <c r="AB370"/>
  <c r="AM370"/>
  <c r="AP370"/>
  <c r="AO370"/>
  <c r="AK370"/>
  <c r="AR370"/>
  <c r="AQ370"/>
  <c r="AN370"/>
  <c r="AL370"/>
  <c r="AB154"/>
  <c r="AL154"/>
  <c r="AR154"/>
  <c r="AK154"/>
  <c r="AQ154"/>
  <c r="AN154"/>
  <c r="AM154"/>
  <c r="AP154"/>
  <c r="AO154"/>
  <c r="AB437"/>
  <c r="AK437"/>
  <c r="AQ437"/>
  <c r="AP437"/>
  <c r="AM437"/>
  <c r="AL437"/>
  <c r="AR437"/>
  <c r="AO437"/>
  <c r="AN437"/>
  <c r="AB221"/>
  <c r="AK221"/>
  <c r="AQ221"/>
  <c r="AP221"/>
  <c r="AM221"/>
  <c r="AL221"/>
  <c r="AR221"/>
  <c r="AO221"/>
  <c r="AN221"/>
  <c r="AB493"/>
  <c r="AM493"/>
  <c r="AL493"/>
  <c r="AK493"/>
  <c r="AR493"/>
  <c r="AQ493"/>
  <c r="AP493"/>
  <c r="AO493"/>
  <c r="AN493"/>
  <c r="AB48"/>
  <c r="AN48"/>
  <c r="AM48"/>
  <c r="AL48"/>
  <c r="AK48"/>
  <c r="AR48"/>
  <c r="AQ48"/>
  <c r="AP48"/>
  <c r="AO48"/>
  <c r="AB98"/>
  <c r="AP98"/>
  <c r="AM98"/>
  <c r="AL98"/>
  <c r="AK98"/>
  <c r="AR98"/>
  <c r="AQ98"/>
  <c r="AO98"/>
  <c r="AN98"/>
  <c r="AB54"/>
  <c r="AN54"/>
  <c r="AM54"/>
  <c r="AR54"/>
  <c r="AQ54"/>
  <c r="AP54"/>
  <c r="AO54"/>
  <c r="AL54"/>
  <c r="AK54"/>
  <c r="AB464"/>
  <c r="AK464"/>
  <c r="AQ464"/>
  <c r="AP464"/>
  <c r="AM464"/>
  <c r="AL464"/>
  <c r="AR464"/>
  <c r="AO464"/>
  <c r="AN464"/>
  <c r="AB336"/>
  <c r="AO336"/>
  <c r="AN336"/>
  <c r="AM336"/>
  <c r="AL336"/>
  <c r="AK336"/>
  <c r="AR336"/>
  <c r="AQ336"/>
  <c r="AP336"/>
  <c r="AB489"/>
  <c r="AO489"/>
  <c r="AP489"/>
  <c r="AN489"/>
  <c r="AL489"/>
  <c r="AK489"/>
  <c r="AM489"/>
  <c r="AR489"/>
  <c r="AQ489"/>
  <c r="AB273"/>
  <c r="AO273"/>
  <c r="AN273"/>
  <c r="AM273"/>
  <c r="AL273"/>
  <c r="AK273"/>
  <c r="AR273"/>
  <c r="AQ273"/>
  <c r="AP273"/>
  <c r="AB57"/>
  <c r="AN57"/>
  <c r="AM57"/>
  <c r="AL57"/>
  <c r="AK57"/>
  <c r="AR57"/>
  <c r="AQ57"/>
  <c r="AP57"/>
  <c r="AO57"/>
  <c r="AB340"/>
  <c r="AM340"/>
  <c r="AK340"/>
  <c r="AR340"/>
  <c r="AQ340"/>
  <c r="AN340"/>
  <c r="AL340"/>
  <c r="AP340"/>
  <c r="AO340"/>
  <c r="AB124"/>
  <c r="AL124"/>
  <c r="AR124"/>
  <c r="AN124"/>
  <c r="AM124"/>
  <c r="AK124"/>
  <c r="AQ124"/>
  <c r="AO124"/>
  <c r="AP124"/>
  <c r="AB407"/>
  <c r="AK407"/>
  <c r="AQ407"/>
  <c r="AP407"/>
  <c r="AR407"/>
  <c r="AO407"/>
  <c r="AN407"/>
  <c r="AM407"/>
  <c r="AL407"/>
  <c r="AB191"/>
  <c r="AP191"/>
  <c r="AK191"/>
  <c r="AR191"/>
  <c r="AQ191"/>
  <c r="AO191"/>
  <c r="AN191"/>
  <c r="AM191"/>
  <c r="AL191"/>
  <c r="I45"/>
  <c r="J43" s="1"/>
  <c r="AC24" i="16" a="1"/>
  <c r="AD24" s="1"/>
  <c r="AQ23"/>
  <c r="J16" i="7"/>
  <c r="DC13" i="12"/>
  <c r="DB13"/>
  <c r="CO13" a="1"/>
  <c r="CP13" s="1"/>
  <c r="CP9"/>
  <c r="BT13"/>
  <c r="AB13" i="7"/>
  <c r="AB23"/>
  <c r="AB17"/>
  <c r="AC13" a="1"/>
  <c r="J44" l="1"/>
  <c r="AC24" i="16"/>
  <c r="AF24" s="1"/>
  <c r="AE35" i="7"/>
  <c r="AE62"/>
  <c r="AE89"/>
  <c r="AE116"/>
  <c r="AE143"/>
  <c r="AE170"/>
  <c r="AE197"/>
  <c r="AD36"/>
  <c r="AG68"/>
  <c r="AJ100"/>
  <c r="AE133"/>
  <c r="AH165"/>
  <c r="AD198"/>
  <c r="AE226"/>
  <c r="AE253"/>
  <c r="AE280"/>
  <c r="AE307"/>
  <c r="AE334"/>
  <c r="AE361"/>
  <c r="AE388"/>
  <c r="AE415"/>
  <c r="AI28"/>
  <c r="AD61"/>
  <c r="AG93"/>
  <c r="AJ125"/>
  <c r="AH43"/>
  <c r="AD92"/>
  <c r="AD140"/>
  <c r="AC179"/>
  <c r="AJ215"/>
  <c r="AE248"/>
  <c r="AC38"/>
  <c r="AH86"/>
  <c r="AE135"/>
  <c r="AG174"/>
  <c r="AD212"/>
  <c r="AG244"/>
  <c r="AJ276"/>
  <c r="AD32"/>
  <c r="AI80"/>
  <c r="AF129"/>
  <c r="AC170"/>
  <c r="AG16"/>
  <c r="AG43"/>
  <c r="AG70"/>
  <c r="AG97"/>
  <c r="AG124"/>
  <c r="AG151"/>
  <c r="AG178"/>
  <c r="AH13"/>
  <c r="AC46"/>
  <c r="AF78"/>
  <c r="AI110"/>
  <c r="AD143"/>
  <c r="AH175"/>
  <c r="AG207"/>
  <c r="AG234"/>
  <c r="AG261"/>
  <c r="AG288"/>
  <c r="AG315"/>
  <c r="AG342"/>
  <c r="AG369"/>
  <c r="AG396"/>
  <c r="AG423"/>
  <c r="AH38"/>
  <c r="AC71"/>
  <c r="AF103"/>
  <c r="AJ135"/>
  <c r="AE58"/>
  <c r="AJ106"/>
  <c r="AC152"/>
  <c r="AC191"/>
  <c r="AI225"/>
  <c r="AD258"/>
  <c r="AI52"/>
  <c r="AF101"/>
  <c r="AG147"/>
  <c r="AG186"/>
  <c r="AI24"/>
  <c r="AI51"/>
  <c r="AI78"/>
  <c r="AI105"/>
  <c r="AI132"/>
  <c r="AI159"/>
  <c r="AI186"/>
  <c r="AG23"/>
  <c r="AJ55"/>
  <c r="AE88"/>
  <c r="AH120"/>
  <c r="AD153"/>
  <c r="AG185"/>
  <c r="AI215"/>
  <c r="AI242"/>
  <c r="AI269"/>
  <c r="AI296"/>
  <c r="AI323"/>
  <c r="AI350"/>
  <c r="AI377"/>
  <c r="AI404"/>
  <c r="AD16"/>
  <c r="AG48"/>
  <c r="AJ80"/>
  <c r="AF113"/>
  <c r="AH24"/>
  <c r="AE73"/>
  <c r="AJ121"/>
  <c r="AC164"/>
  <c r="AJ202"/>
  <c r="AH235"/>
  <c r="AD19"/>
  <c r="AI67"/>
  <c r="AG37"/>
  <c r="AG91"/>
  <c r="AG145"/>
  <c r="AG199"/>
  <c r="AD71"/>
  <c r="AC136"/>
  <c r="AI200"/>
  <c r="AG255"/>
  <c r="AG309"/>
  <c r="AG363"/>
  <c r="AG417"/>
  <c r="AJ63"/>
  <c r="AH128"/>
  <c r="AD96"/>
  <c r="AF182"/>
  <c r="AJ250"/>
  <c r="AG90"/>
  <c r="AG159"/>
  <c r="AI214"/>
  <c r="AG253"/>
  <c r="AD292"/>
  <c r="AD66"/>
  <c r="AC124"/>
  <c r="AF173"/>
  <c r="AG215"/>
  <c r="AJ247"/>
  <c r="AF280"/>
  <c r="AC47"/>
  <c r="AH95"/>
  <c r="AJ142"/>
  <c r="AI181"/>
  <c r="AD218"/>
  <c r="AG250"/>
  <c r="AJ282"/>
  <c r="AD48"/>
  <c r="AH96"/>
  <c r="AI143"/>
  <c r="AH182"/>
  <c r="AJ218"/>
  <c r="AE251"/>
  <c r="AC14"/>
  <c r="AH62"/>
  <c r="AE111"/>
  <c r="AI63"/>
  <c r="AI117"/>
  <c r="AI171"/>
  <c r="AJ37"/>
  <c r="AH102"/>
  <c r="AG167"/>
  <c r="AI227"/>
  <c r="AI281"/>
  <c r="AI335"/>
  <c r="AI389"/>
  <c r="AG30"/>
  <c r="AF95"/>
  <c r="AE46"/>
  <c r="AF142"/>
  <c r="AH217"/>
  <c r="AI40"/>
  <c r="AF128"/>
  <c r="AH188"/>
  <c r="AI232"/>
  <c r="AF272"/>
  <c r="AJ34"/>
  <c r="AD93"/>
  <c r="AF148"/>
  <c r="AJ194"/>
  <c r="AJ230"/>
  <c r="AE263"/>
  <c r="AE21"/>
  <c r="AJ69"/>
  <c r="AF118"/>
  <c r="AF161"/>
  <c r="AD200"/>
  <c r="AF233"/>
  <c r="AI265"/>
  <c r="AE22"/>
  <c r="AJ70"/>
  <c r="AG119"/>
  <c r="AE162"/>
  <c r="AD201"/>
  <c r="AD234"/>
  <c r="AG266"/>
  <c r="AD37"/>
  <c r="AI85"/>
  <c r="AC27"/>
  <c r="AC81"/>
  <c r="AC135"/>
  <c r="AC189"/>
  <c r="AH58"/>
  <c r="AC78"/>
  <c r="AC186"/>
  <c r="AH112"/>
  <c r="AC209"/>
  <c r="AC290"/>
  <c r="AC371"/>
  <c r="AF40"/>
  <c r="AH137"/>
  <c r="AE154"/>
  <c r="AJ259"/>
  <c r="AJ137"/>
  <c r="AE219"/>
  <c r="AI277"/>
  <c r="AG71"/>
  <c r="AC155"/>
  <c r="AD219"/>
  <c r="AI267"/>
  <c r="AF52"/>
  <c r="AF125"/>
  <c r="AD186"/>
  <c r="AJ237"/>
  <c r="AG286"/>
  <c r="AI77"/>
  <c r="AD148"/>
  <c r="AE206"/>
  <c r="AJ254"/>
  <c r="AI43"/>
  <c r="AH116"/>
  <c r="AD177"/>
  <c r="AD300"/>
  <c r="AG332"/>
  <c r="AJ364"/>
  <c r="AF397"/>
  <c r="AH429"/>
  <c r="AH456"/>
  <c r="AH483"/>
  <c r="AH510"/>
  <c r="AI446"/>
  <c r="AG498"/>
  <c r="AH476"/>
  <c r="AC454"/>
  <c r="AD298"/>
  <c r="AH330"/>
  <c r="AI364"/>
  <c r="AI400"/>
  <c r="AE457"/>
  <c r="AI512"/>
  <c r="AE113"/>
  <c r="AG32"/>
  <c r="AF141"/>
  <c r="AC233"/>
  <c r="AC314"/>
  <c r="AC395"/>
  <c r="AE69"/>
  <c r="AI30"/>
  <c r="AI57"/>
  <c r="AI84"/>
  <c r="AI111"/>
  <c r="AI138"/>
  <c r="AI165"/>
  <c r="AI192"/>
  <c r="AH30"/>
  <c r="AD63"/>
  <c r="AG95"/>
  <c r="AJ127"/>
  <c r="AE160"/>
  <c r="AH192"/>
  <c r="AI221"/>
  <c r="AI248"/>
  <c r="AI275"/>
  <c r="AI302"/>
  <c r="AI329"/>
  <c r="AI356"/>
  <c r="AI383"/>
  <c r="AI410"/>
  <c r="AF23"/>
  <c r="AI55"/>
  <c r="AD88"/>
  <c r="AG120"/>
  <c r="AG35"/>
  <c r="AD84"/>
  <c r="AH132"/>
  <c r="AH172"/>
  <c r="AF210"/>
  <c r="AJ242"/>
  <c r="AJ29"/>
  <c r="AG78"/>
  <c r="AD127"/>
  <c r="AD168"/>
  <c r="AH206"/>
  <c r="AD239"/>
  <c r="AG271"/>
  <c r="AD24"/>
  <c r="AH72"/>
  <c r="AE121"/>
  <c r="AH163"/>
  <c r="AF202"/>
  <c r="AC39"/>
  <c r="AC66"/>
  <c r="AC93"/>
  <c r="AC120"/>
  <c r="AC147"/>
  <c r="AC174"/>
  <c r="AC201"/>
  <c r="AH40"/>
  <c r="AC73"/>
  <c r="AF105"/>
  <c r="AI137"/>
  <c r="AD170"/>
  <c r="AH202"/>
  <c r="AC230"/>
  <c r="AC257"/>
  <c r="AC284"/>
  <c r="AC311"/>
  <c r="AC338"/>
  <c r="AC365"/>
  <c r="AC392"/>
  <c r="AC419"/>
  <c r="AE33"/>
  <c r="AH65"/>
  <c r="AC98"/>
  <c r="AF130"/>
  <c r="AD50"/>
  <c r="AI98"/>
  <c r="AH145"/>
  <c r="AF184"/>
  <c r="AF220"/>
  <c r="AI252"/>
  <c r="AH44"/>
  <c r="AE93"/>
  <c r="AD141"/>
  <c r="AJ179"/>
  <c r="AE20"/>
  <c r="AE47"/>
  <c r="AE74"/>
  <c r="AE101"/>
  <c r="AE128"/>
  <c r="AE155"/>
  <c r="AE182"/>
  <c r="AD18"/>
  <c r="AG50"/>
  <c r="AJ82"/>
  <c r="AE115"/>
  <c r="AH147"/>
  <c r="AD180"/>
  <c r="AE211"/>
  <c r="AE238"/>
  <c r="AE265"/>
  <c r="AE292"/>
  <c r="AE319"/>
  <c r="AE346"/>
  <c r="AE373"/>
  <c r="AE400"/>
  <c r="AE427"/>
  <c r="AD43"/>
  <c r="AG75"/>
  <c r="AJ107"/>
  <c r="AH16"/>
  <c r="AD65"/>
  <c r="AI113"/>
  <c r="AF157"/>
  <c r="AF196"/>
  <c r="AE230"/>
  <c r="AH262"/>
  <c r="AH59"/>
  <c r="AG28"/>
  <c r="AG82"/>
  <c r="AG136"/>
  <c r="AG190"/>
  <c r="AF60"/>
  <c r="AD125"/>
  <c r="AC190"/>
  <c r="AG246"/>
  <c r="AG300"/>
  <c r="AG354"/>
  <c r="AG408"/>
  <c r="AC53"/>
  <c r="AJ117"/>
  <c r="AJ79"/>
  <c r="AF169"/>
  <c r="AD240"/>
  <c r="AF74"/>
  <c r="AJ150"/>
  <c r="AG208"/>
  <c r="AD247"/>
  <c r="AJ285"/>
  <c r="AE55"/>
  <c r="AH114"/>
  <c r="AJ165"/>
  <c r="AD210"/>
  <c r="AG242"/>
  <c r="AJ274"/>
  <c r="AJ38"/>
  <c r="AG87"/>
  <c r="AD136"/>
  <c r="AE175"/>
  <c r="AH212"/>
  <c r="AD245"/>
  <c r="AG277"/>
  <c r="AC40"/>
  <c r="AH88"/>
  <c r="AD137"/>
  <c r="AD176"/>
  <c r="AF213"/>
  <c r="AJ245"/>
  <c r="AE278"/>
  <c r="AG54"/>
  <c r="AD103"/>
  <c r="AI54"/>
  <c r="AI108"/>
  <c r="AI162"/>
  <c r="AD27"/>
  <c r="AJ91"/>
  <c r="AH156"/>
  <c r="AI218"/>
  <c r="AI272"/>
  <c r="AI326"/>
  <c r="AI380"/>
  <c r="AI19"/>
  <c r="AG84"/>
  <c r="AD30"/>
  <c r="AE127"/>
  <c r="AJ206"/>
  <c r="AG24"/>
  <c r="AJ114"/>
  <c r="AJ177"/>
  <c r="AG226"/>
  <c r="AD265"/>
  <c r="AH25"/>
  <c r="AG83"/>
  <c r="AJ140"/>
  <c r="AF187"/>
  <c r="AF225"/>
  <c r="AJ257"/>
  <c r="AD13"/>
  <c r="AI61"/>
  <c r="AF110"/>
  <c r="AI154"/>
  <c r="AI193"/>
  <c r="AC228"/>
  <c r="AF260"/>
  <c r="AD14"/>
  <c r="AI62"/>
  <c r="AF111"/>
  <c r="AH155"/>
  <c r="AH194"/>
  <c r="AI228"/>
  <c r="AD261"/>
  <c r="AC29"/>
  <c r="AH77"/>
  <c r="AC18"/>
  <c r="AC72"/>
  <c r="AC126"/>
  <c r="AC180"/>
  <c r="AI47"/>
  <c r="AC60"/>
  <c r="AC168"/>
  <c r="AE97"/>
  <c r="AG194"/>
  <c r="AE277"/>
  <c r="AE358"/>
  <c r="AD25"/>
  <c r="AF122"/>
  <c r="AF135"/>
  <c r="AH244"/>
  <c r="AI121"/>
  <c r="AE210"/>
  <c r="AI268"/>
  <c r="AD59"/>
  <c r="AE145"/>
  <c r="AJ211"/>
  <c r="AG260"/>
  <c r="AH41"/>
  <c r="AG114"/>
  <c r="AG177"/>
  <c r="AH230"/>
  <c r="AE279"/>
  <c r="AC67"/>
  <c r="AF139"/>
  <c r="AI197"/>
  <c r="AH247"/>
  <c r="AJ32"/>
  <c r="AJ105"/>
  <c r="AF154"/>
  <c r="AF294"/>
  <c r="AD327"/>
  <c r="AG359"/>
  <c r="AJ391"/>
  <c r="AF424"/>
  <c r="AD452"/>
  <c r="AD479"/>
  <c r="AD506"/>
  <c r="AI437"/>
  <c r="AG489"/>
  <c r="AH464"/>
  <c r="AG431"/>
  <c r="AC292"/>
  <c r="AD325"/>
  <c r="AG358"/>
  <c r="AH393"/>
  <c r="AG447"/>
  <c r="AI503"/>
  <c r="AE95"/>
  <c r="AE203"/>
  <c r="AI128"/>
  <c r="AG222"/>
  <c r="AG303"/>
  <c r="AG384"/>
  <c r="AH56"/>
  <c r="AE26"/>
  <c r="AE53"/>
  <c r="AE80"/>
  <c r="AE107"/>
  <c r="AE134"/>
  <c r="AE161"/>
  <c r="AE188"/>
  <c r="AE25"/>
  <c r="AH57"/>
  <c r="AD90"/>
  <c r="AG122"/>
  <c r="AJ154"/>
  <c r="AE187"/>
  <c r="AE217"/>
  <c r="AE244"/>
  <c r="AE271"/>
  <c r="AE298"/>
  <c r="AE325"/>
  <c r="AE352"/>
  <c r="AE379"/>
  <c r="AE406"/>
  <c r="AJ17"/>
  <c r="AF50"/>
  <c r="AI82"/>
  <c r="AD115"/>
  <c r="AF27"/>
  <c r="AC76"/>
  <c r="AH124"/>
  <c r="AD166"/>
  <c r="AC205"/>
  <c r="AF237"/>
  <c r="AJ21"/>
  <c r="AF70"/>
  <c r="AC119"/>
  <c r="AH161"/>
  <c r="AG200"/>
  <c r="AH233"/>
  <c r="AD266"/>
  <c r="AC16"/>
  <c r="AH64"/>
  <c r="AD113"/>
  <c r="AD157"/>
  <c r="AC196"/>
  <c r="AG34"/>
  <c r="AG61"/>
  <c r="AG88"/>
  <c r="AG115"/>
  <c r="AG142"/>
  <c r="AG169"/>
  <c r="AG196"/>
  <c r="AD35"/>
  <c r="AH67"/>
  <c r="AC100"/>
  <c r="AF132"/>
  <c r="AI164"/>
  <c r="AD197"/>
  <c r="AG225"/>
  <c r="AG252"/>
  <c r="AG279"/>
  <c r="AG306"/>
  <c r="AG333"/>
  <c r="AG360"/>
  <c r="AG387"/>
  <c r="AG414"/>
  <c r="AJ27"/>
  <c r="AE60"/>
  <c r="AH92"/>
  <c r="AC125"/>
  <c r="AD42"/>
  <c r="AH90"/>
  <c r="AD139"/>
  <c r="AC178"/>
  <c r="AJ214"/>
  <c r="AF247"/>
  <c r="AG36"/>
  <c r="AD85"/>
  <c r="AI133"/>
  <c r="AG173"/>
  <c r="AI15"/>
  <c r="AI42"/>
  <c r="AI69"/>
  <c r="AI96"/>
  <c r="AI123"/>
  <c r="AI150"/>
  <c r="AI177"/>
  <c r="AI204"/>
  <c r="AD45"/>
  <c r="AG77"/>
  <c r="AJ109"/>
  <c r="AE142"/>
  <c r="AH174"/>
  <c r="AI206"/>
  <c r="AI233"/>
  <c r="AI260"/>
  <c r="AI287"/>
  <c r="AI314"/>
  <c r="AI341"/>
  <c r="AI368"/>
  <c r="AI395"/>
  <c r="AI422"/>
  <c r="AI37"/>
  <c r="AD70"/>
  <c r="AG102"/>
  <c r="AJ134"/>
  <c r="AD57"/>
  <c r="AH105"/>
  <c r="AC151"/>
  <c r="AJ189"/>
  <c r="AJ224"/>
  <c r="AE257"/>
  <c r="AG51"/>
  <c r="AG19"/>
  <c r="AG73"/>
  <c r="AG127"/>
  <c r="AG181"/>
  <c r="AH49"/>
  <c r="AF114"/>
  <c r="AD179"/>
  <c r="AG237"/>
  <c r="AG291"/>
  <c r="AG345"/>
  <c r="AG399"/>
  <c r="AE42"/>
  <c r="AC107"/>
  <c r="AH63"/>
  <c r="AF156"/>
  <c r="AF229"/>
  <c r="AD58"/>
  <c r="AC140"/>
  <c r="AF198"/>
  <c r="AJ240"/>
  <c r="AH279"/>
  <c r="AH45"/>
  <c r="AJ103"/>
  <c r="AD158"/>
  <c r="AH204"/>
  <c r="AD237"/>
  <c r="AG269"/>
  <c r="AJ30"/>
  <c r="AF79"/>
  <c r="AC128"/>
  <c r="AJ168"/>
  <c r="AE207"/>
  <c r="AH239"/>
  <c r="AD272"/>
  <c r="AJ31"/>
  <c r="AG80"/>
  <c r="AD129"/>
  <c r="AI169"/>
  <c r="AC208"/>
  <c r="AF240"/>
  <c r="AJ272"/>
  <c r="AF46"/>
  <c r="AC95"/>
  <c r="AI45"/>
  <c r="AI99"/>
  <c r="AI153"/>
  <c r="AE16"/>
  <c r="AD81"/>
  <c r="AJ145"/>
  <c r="AI209"/>
  <c r="AI263"/>
  <c r="AI317"/>
  <c r="AI371"/>
  <c r="AI425"/>
  <c r="AI73"/>
  <c r="AJ13"/>
  <c r="AD111"/>
  <c r="AD194"/>
  <c r="AJ260"/>
  <c r="AC104"/>
  <c r="AD169"/>
  <c r="AD220"/>
  <c r="AJ258"/>
  <c r="AI14"/>
  <c r="AD74"/>
  <c r="AD132"/>
  <c r="AI179"/>
  <c r="AC220"/>
  <c r="AF252"/>
  <c r="AJ284"/>
  <c r="AH53"/>
  <c r="AE102"/>
  <c r="AE148"/>
  <c r="AD187"/>
  <c r="AH222"/>
  <c r="AC255"/>
  <c r="AF287"/>
  <c r="AH54"/>
  <c r="AE103"/>
  <c r="AD149"/>
  <c r="AC188"/>
  <c r="AF223"/>
  <c r="AI255"/>
  <c r="AJ20"/>
  <c r="AG69"/>
  <c r="AD118"/>
  <c r="AC63"/>
  <c r="AC117"/>
  <c r="AC171"/>
  <c r="AC37"/>
  <c r="AC42"/>
  <c r="AC150"/>
  <c r="AH76"/>
  <c r="AF177"/>
  <c r="AC263"/>
  <c r="AC344"/>
  <c r="AC425"/>
  <c r="AE105"/>
  <c r="AH109"/>
  <c r="AG227"/>
  <c r="AD100"/>
  <c r="AD196"/>
  <c r="AC258"/>
  <c r="AC43"/>
  <c r="AJ130"/>
  <c r="AF201"/>
  <c r="AG251"/>
  <c r="AD28"/>
  <c r="AC101"/>
  <c r="AI166"/>
  <c r="AH221"/>
  <c r="AE270"/>
  <c r="AG53"/>
  <c r="AF126"/>
  <c r="AC187"/>
  <c r="AH238"/>
  <c r="AF19"/>
  <c r="AF92"/>
  <c r="AC148"/>
  <c r="AD286"/>
  <c r="AI321"/>
  <c r="AD354"/>
  <c r="AG386"/>
  <c r="AJ418"/>
  <c r="AH447"/>
  <c r="AH474"/>
  <c r="AH501"/>
  <c r="AG429"/>
  <c r="AG480"/>
  <c r="AF450"/>
  <c r="AH407"/>
  <c r="AH281"/>
  <c r="AI319"/>
  <c r="AD353"/>
  <c r="AE387"/>
  <c r="AG438"/>
  <c r="AI494"/>
  <c r="AE77"/>
  <c r="AE185"/>
  <c r="AC109"/>
  <c r="AC206"/>
  <c r="AC287"/>
  <c r="AC368"/>
  <c r="AJ36"/>
  <c r="AI21"/>
  <c r="AI48"/>
  <c r="AI75"/>
  <c r="AI102"/>
  <c r="AI129"/>
  <c r="AI156"/>
  <c r="AI183"/>
  <c r="AJ19"/>
  <c r="AE52"/>
  <c r="AH84"/>
  <c r="AD117"/>
  <c r="AG149"/>
  <c r="AJ181"/>
  <c r="AI212"/>
  <c r="AI239"/>
  <c r="AI266"/>
  <c r="AI293"/>
  <c r="AI320"/>
  <c r="AI347"/>
  <c r="AI374"/>
  <c r="AI401"/>
  <c r="AI428"/>
  <c r="AJ44"/>
  <c r="AF77"/>
  <c r="AI109"/>
  <c r="AE19"/>
  <c r="AJ67"/>
  <c r="AG116"/>
  <c r="AH159"/>
  <c r="AG198"/>
  <c r="AC232"/>
  <c r="AI13"/>
  <c r="AF62"/>
  <c r="AJ110"/>
  <c r="AD155"/>
  <c r="AC194"/>
  <c r="AE228"/>
  <c r="AH260"/>
  <c r="AD293"/>
  <c r="AG56"/>
  <c r="AD105"/>
  <c r="AH150"/>
  <c r="AG189"/>
  <c r="AC30"/>
  <c r="AC57"/>
  <c r="AC84"/>
  <c r="AC111"/>
  <c r="AC138"/>
  <c r="AC165"/>
  <c r="AC192"/>
  <c r="AI29"/>
  <c r="AD62"/>
  <c r="AH94"/>
  <c r="AC127"/>
  <c r="AF159"/>
  <c r="AI191"/>
  <c r="AC221"/>
  <c r="AC248"/>
  <c r="AC275"/>
  <c r="AC302"/>
  <c r="AC329"/>
  <c r="AC356"/>
  <c r="AC383"/>
  <c r="AC410"/>
  <c r="AF22"/>
  <c r="AJ54"/>
  <c r="AE87"/>
  <c r="AH119"/>
  <c r="AC34"/>
  <c r="AH82"/>
  <c r="AD131"/>
  <c r="AG171"/>
  <c r="AG209"/>
  <c r="AJ241"/>
  <c r="AF28"/>
  <c r="AC77"/>
  <c r="AH125"/>
  <c r="AC167"/>
  <c r="AI205"/>
  <c r="AE38"/>
  <c r="AE65"/>
  <c r="AE92"/>
  <c r="AE119"/>
  <c r="AE146"/>
  <c r="AE173"/>
  <c r="AE200"/>
  <c r="AH39"/>
  <c r="AD72"/>
  <c r="AG104"/>
  <c r="AJ136"/>
  <c r="AE169"/>
  <c r="AH201"/>
  <c r="AE229"/>
  <c r="AE256"/>
  <c r="AE283"/>
  <c r="AE310"/>
  <c r="AE337"/>
  <c r="AE364"/>
  <c r="AE391"/>
  <c r="AE418"/>
  <c r="AF32"/>
  <c r="AI64"/>
  <c r="AD97"/>
  <c r="AG129"/>
  <c r="AC49"/>
  <c r="AH97"/>
  <c r="AG144"/>
  <c r="AF183"/>
  <c r="AF219"/>
  <c r="AJ251"/>
  <c r="AF43"/>
  <c r="AC92"/>
  <c r="AG64"/>
  <c r="AG118"/>
  <c r="AG172"/>
  <c r="AI38"/>
  <c r="AH103"/>
  <c r="AF168"/>
  <c r="AG228"/>
  <c r="AG282"/>
  <c r="AG336"/>
  <c r="AG390"/>
  <c r="AF31"/>
  <c r="AE96"/>
  <c r="AG47"/>
  <c r="AG143"/>
  <c r="AG218"/>
  <c r="AJ41"/>
  <c r="AJ129"/>
  <c r="AH189"/>
  <c r="AH234"/>
  <c r="AE273"/>
  <c r="AF36"/>
  <c r="AE94"/>
  <c r="AH149"/>
  <c r="AC197"/>
  <c r="AI231"/>
  <c r="AD264"/>
  <c r="AI22"/>
  <c r="AF71"/>
  <c r="AJ119"/>
  <c r="AF162"/>
  <c r="AE201"/>
  <c r="AE234"/>
  <c r="AH266"/>
  <c r="AI23"/>
  <c r="AF72"/>
  <c r="AC121"/>
  <c r="AE163"/>
  <c r="AD202"/>
  <c r="AC235"/>
  <c r="AF267"/>
  <c r="AF38"/>
  <c r="AJ86"/>
  <c r="AI36"/>
  <c r="AI90"/>
  <c r="AI144"/>
  <c r="AI198"/>
  <c r="AE70"/>
  <c r="AD135"/>
  <c r="AJ199"/>
  <c r="AI254"/>
  <c r="AI308"/>
  <c r="AI362"/>
  <c r="AI416"/>
  <c r="AJ62"/>
  <c r="AI127"/>
  <c r="AJ94"/>
  <c r="AE181"/>
  <c r="AC250"/>
  <c r="AF89"/>
  <c r="AF158"/>
  <c r="AJ213"/>
  <c r="AH252"/>
  <c r="AE291"/>
  <c r="AF63"/>
  <c r="AI122"/>
  <c r="AE172"/>
  <c r="AH214"/>
  <c r="AC247"/>
  <c r="AF279"/>
  <c r="AG45"/>
  <c r="AD94"/>
  <c r="AJ141"/>
  <c r="AH180"/>
  <c r="AD217"/>
  <c r="AH249"/>
  <c r="AC282"/>
  <c r="AH46"/>
  <c r="AD95"/>
  <c r="AI142"/>
  <c r="AH181"/>
  <c r="AJ217"/>
  <c r="AF250"/>
  <c r="AI282"/>
  <c r="AF61"/>
  <c r="AC110"/>
  <c r="AC54"/>
  <c r="AC108"/>
  <c r="AC162"/>
  <c r="AD26"/>
  <c r="AC24"/>
  <c r="AC132"/>
  <c r="AC55"/>
  <c r="AD162"/>
  <c r="AE250"/>
  <c r="AE331"/>
  <c r="AE412"/>
  <c r="AJ89"/>
  <c r="AI86"/>
  <c r="AE212"/>
  <c r="AE81"/>
  <c r="AE183"/>
  <c r="AC249"/>
  <c r="AG29"/>
  <c r="AF117"/>
  <c r="AH191"/>
  <c r="AF244"/>
  <c r="AF17"/>
  <c r="AE90"/>
  <c r="AC158"/>
  <c r="AG214"/>
  <c r="AD263"/>
  <c r="AH42"/>
  <c r="AH115"/>
  <c r="AF178"/>
  <c r="AF231"/>
  <c r="AC280"/>
  <c r="AG81"/>
  <c r="AG141"/>
  <c r="AH271"/>
  <c r="AF316"/>
  <c r="AI348"/>
  <c r="AD381"/>
  <c r="AG413"/>
  <c r="AD443"/>
  <c r="AD470"/>
  <c r="AD497"/>
  <c r="AJ417"/>
  <c r="AG471"/>
  <c r="AD433"/>
  <c r="AJ369"/>
  <c r="AG265"/>
  <c r="AF314"/>
  <c r="AH347"/>
  <c r="AJ381"/>
  <c r="AH428"/>
  <c r="AI485"/>
  <c r="AE59"/>
  <c r="AE167"/>
  <c r="AF96"/>
  <c r="AH193"/>
  <c r="AG276"/>
  <c r="AG357"/>
  <c r="AE24"/>
  <c r="AF121"/>
  <c r="AE17"/>
  <c r="AE44"/>
  <c r="AE71"/>
  <c r="AE98"/>
  <c r="AE125"/>
  <c r="AE152"/>
  <c r="AE179"/>
  <c r="AG14"/>
  <c r="AJ46"/>
  <c r="AE79"/>
  <c r="AH111"/>
  <c r="AD144"/>
  <c r="AG176"/>
  <c r="AE208"/>
  <c r="AE235"/>
  <c r="AE262"/>
  <c r="AE289"/>
  <c r="AE316"/>
  <c r="AE343"/>
  <c r="AE370"/>
  <c r="AE397"/>
  <c r="AE424"/>
  <c r="AG39"/>
  <c r="AJ71"/>
  <c r="AF104"/>
  <c r="AI136"/>
  <c r="AI59"/>
  <c r="AF108"/>
  <c r="AE153"/>
  <c r="AD192"/>
  <c r="AH226"/>
  <c r="AC259"/>
  <c r="AE54"/>
  <c r="AJ102"/>
  <c r="AI148"/>
  <c r="AH187"/>
  <c r="AJ222"/>
  <c r="AE255"/>
  <c r="AH287"/>
  <c r="AF48"/>
  <c r="AC97"/>
  <c r="AE144"/>
  <c r="AD183"/>
  <c r="AG25"/>
  <c r="AG52"/>
  <c r="AG79"/>
  <c r="AG106"/>
  <c r="AG133"/>
  <c r="AG160"/>
  <c r="AG187"/>
  <c r="AF24"/>
  <c r="AI56"/>
  <c r="AD89"/>
  <c r="AH121"/>
  <c r="AC154"/>
  <c r="AF186"/>
  <c r="AG216"/>
  <c r="AG243"/>
  <c r="AG270"/>
  <c r="AG297"/>
  <c r="AG324"/>
  <c r="AG351"/>
  <c r="AG378"/>
  <c r="AG405"/>
  <c r="AC17"/>
  <c r="AF49"/>
  <c r="AJ81"/>
  <c r="AE114"/>
  <c r="AJ25"/>
  <c r="AG74"/>
  <c r="AD123"/>
  <c r="AD165"/>
  <c r="AJ203"/>
  <c r="AG236"/>
  <c r="AF20"/>
  <c r="AJ68"/>
  <c r="AG117"/>
  <c r="AH160"/>
  <c r="AF199"/>
  <c r="AI33"/>
  <c r="AI60"/>
  <c r="AI87"/>
  <c r="AI114"/>
  <c r="AI141"/>
  <c r="AI168"/>
  <c r="AI195"/>
  <c r="AE34"/>
  <c r="AH66"/>
  <c r="AD99"/>
  <c r="AG131"/>
  <c r="AJ163"/>
  <c r="AE196"/>
  <c r="AI224"/>
  <c r="AI251"/>
  <c r="AI278"/>
  <c r="AI305"/>
  <c r="AI332"/>
  <c r="AI359"/>
  <c r="AI386"/>
  <c r="AI413"/>
  <c r="AJ26"/>
  <c r="AF59"/>
  <c r="AI91"/>
  <c r="AD124"/>
  <c r="AJ40"/>
  <c r="AG89"/>
  <c r="AD138"/>
  <c r="AJ176"/>
  <c r="AC214"/>
  <c r="AF246"/>
  <c r="AF35"/>
  <c r="AJ83"/>
  <c r="AG55"/>
  <c r="AG109"/>
  <c r="AG163"/>
  <c r="AC28"/>
  <c r="AI92"/>
  <c r="AH157"/>
  <c r="AG219"/>
  <c r="AG273"/>
  <c r="AG327"/>
  <c r="AG381"/>
  <c r="AH20"/>
  <c r="AF85"/>
  <c r="AE31"/>
  <c r="AG128"/>
  <c r="AI207"/>
  <c r="AI25"/>
  <c r="AF116"/>
  <c r="AJ178"/>
  <c r="AF227"/>
  <c r="AC267"/>
  <c r="AI26"/>
  <c r="AC85"/>
  <c r="AC142"/>
  <c r="AG188"/>
  <c r="AF226"/>
  <c r="AI258"/>
  <c r="AH14"/>
  <c r="AE63"/>
  <c r="AJ111"/>
  <c r="AJ155"/>
  <c r="AI194"/>
  <c r="AJ228"/>
  <c r="AE261"/>
  <c r="AH15"/>
  <c r="AE64"/>
  <c r="AJ112"/>
  <c r="AJ156"/>
  <c r="AH195"/>
  <c r="AH229"/>
  <c r="AC262"/>
  <c r="AE30"/>
  <c r="AJ78"/>
  <c r="AI27"/>
  <c r="AI81"/>
  <c r="AI135"/>
  <c r="AI189"/>
  <c r="AG59"/>
  <c r="AE124"/>
  <c r="AD189"/>
  <c r="AI245"/>
  <c r="AI299"/>
  <c r="AI353"/>
  <c r="AI407"/>
  <c r="AD52"/>
  <c r="AJ116"/>
  <c r="AH78"/>
  <c r="AE168"/>
  <c r="AE239"/>
  <c r="AD73"/>
  <c r="AI149"/>
  <c r="AH207"/>
  <c r="AE246"/>
  <c r="AC285"/>
  <c r="AI53"/>
  <c r="AC112"/>
  <c r="AH164"/>
  <c r="AE209"/>
  <c r="AH241"/>
  <c r="AC274"/>
  <c r="AF37"/>
  <c r="AC86"/>
  <c r="AH134"/>
  <c r="AE174"/>
  <c r="AI211"/>
  <c r="AD244"/>
  <c r="AH276"/>
  <c r="AG38"/>
  <c r="AD87"/>
  <c r="AH135"/>
  <c r="AD175"/>
  <c r="AG212"/>
  <c r="AJ244"/>
  <c r="AF277"/>
  <c r="AF53"/>
  <c r="AJ101"/>
  <c r="AC45"/>
  <c r="AC99"/>
  <c r="AC153"/>
  <c r="AF15"/>
  <c r="AD80"/>
  <c r="AC114"/>
  <c r="AF33"/>
  <c r="AC145"/>
  <c r="AC236"/>
  <c r="AC317"/>
  <c r="AC398"/>
  <c r="AJ72"/>
  <c r="AC61"/>
  <c r="AD193"/>
  <c r="AF55"/>
  <c r="AC166"/>
  <c r="AD238"/>
  <c r="AE13"/>
  <c r="AD101"/>
  <c r="AI178"/>
  <c r="AF235"/>
  <c r="AJ283"/>
  <c r="AI76"/>
  <c r="AE147"/>
  <c r="AG205"/>
  <c r="AD254"/>
  <c r="AD29"/>
  <c r="AD102"/>
  <c r="AH167"/>
  <c r="AF222"/>
  <c r="AC271"/>
  <c r="AC68"/>
  <c r="AF134"/>
  <c r="AH246"/>
  <c r="AJ310"/>
  <c r="AF343"/>
  <c r="AI375"/>
  <c r="AD408"/>
  <c r="AH438"/>
  <c r="AH465"/>
  <c r="AH492"/>
  <c r="AE405"/>
  <c r="AC464"/>
  <c r="AH373"/>
  <c r="AF507"/>
  <c r="AJ234"/>
  <c r="AC309"/>
  <c r="AE342"/>
  <c r="AH375"/>
  <c r="AI418"/>
  <c r="AI476"/>
  <c r="AE41"/>
  <c r="AE149"/>
  <c r="AH75"/>
  <c r="AI173"/>
  <c r="AC260"/>
  <c r="AC341"/>
  <c r="AC422"/>
  <c r="AH101"/>
  <c r="AI39"/>
  <c r="AI66"/>
  <c r="AI93"/>
  <c r="AI120"/>
  <c r="AI147"/>
  <c r="AI174"/>
  <c r="AI201"/>
  <c r="AG41"/>
  <c r="AJ73"/>
  <c r="AE106"/>
  <c r="AH138"/>
  <c r="AD171"/>
  <c r="AG203"/>
  <c r="AI230"/>
  <c r="AI257"/>
  <c r="AI284"/>
  <c r="AI311"/>
  <c r="AI338"/>
  <c r="AI365"/>
  <c r="AI392"/>
  <c r="AI419"/>
  <c r="AD34"/>
  <c r="AG66"/>
  <c r="AJ98"/>
  <c r="AF131"/>
  <c r="AH51"/>
  <c r="AE100"/>
  <c r="AH146"/>
  <c r="AH185"/>
  <c r="AE221"/>
  <c r="AH253"/>
  <c r="AD46"/>
  <c r="AI94"/>
  <c r="AD142"/>
  <c r="AD181"/>
  <c r="AG217"/>
  <c r="AJ249"/>
  <c r="AE282"/>
  <c r="AE40"/>
  <c r="AJ88"/>
  <c r="AG137"/>
  <c r="AH176"/>
  <c r="AC21"/>
  <c r="AC48"/>
  <c r="AC75"/>
  <c r="AC102"/>
  <c r="AC129"/>
  <c r="AC156"/>
  <c r="AC183"/>
  <c r="AC19"/>
  <c r="AF51"/>
  <c r="AI83"/>
  <c r="AD116"/>
  <c r="AH148"/>
  <c r="AC181"/>
  <c r="AC212"/>
  <c r="AC239"/>
  <c r="AC266"/>
  <c r="AC293"/>
  <c r="AC320"/>
  <c r="AC347"/>
  <c r="AC374"/>
  <c r="AC401"/>
  <c r="AC428"/>
  <c r="AC44"/>
  <c r="AF76"/>
  <c r="AJ108"/>
  <c r="AI17"/>
  <c r="AF66"/>
  <c r="AC115"/>
  <c r="AH158"/>
  <c r="AG197"/>
  <c r="AD231"/>
  <c r="AG263"/>
  <c r="AJ60"/>
  <c r="AF109"/>
  <c r="AD154"/>
  <c r="AC193"/>
  <c r="AE29"/>
  <c r="AE56"/>
  <c r="AE83"/>
  <c r="AE110"/>
  <c r="AE137"/>
  <c r="AE164"/>
  <c r="AE191"/>
  <c r="AJ28"/>
  <c r="AE61"/>
  <c r="AH93"/>
  <c r="AD126"/>
  <c r="AG158"/>
  <c r="AJ190"/>
  <c r="AE220"/>
  <c r="AE247"/>
  <c r="AE274"/>
  <c r="AE301"/>
  <c r="AE328"/>
  <c r="AE355"/>
  <c r="AE382"/>
  <c r="AE409"/>
  <c r="AG21"/>
  <c r="AJ53"/>
  <c r="AF86"/>
  <c r="AI118"/>
  <c r="AI32"/>
  <c r="AF81"/>
  <c r="AC130"/>
  <c r="AG170"/>
  <c r="AH208"/>
  <c r="AC241"/>
  <c r="AE27"/>
  <c r="AJ75"/>
  <c r="AG46"/>
  <c r="AG100"/>
  <c r="AG154"/>
  <c r="AD17"/>
  <c r="AC82"/>
  <c r="AI146"/>
  <c r="AG210"/>
  <c r="AG264"/>
  <c r="AG318"/>
  <c r="AG372"/>
  <c r="AG426"/>
  <c r="AH74"/>
  <c r="AD15"/>
  <c r="AE112"/>
  <c r="AE195"/>
  <c r="AI261"/>
  <c r="AG105"/>
  <c r="AF170"/>
  <c r="AD221"/>
  <c r="AI259"/>
  <c r="AG17"/>
  <c r="AF75"/>
  <c r="AH133"/>
  <c r="AJ180"/>
  <c r="AJ220"/>
  <c r="AF253"/>
  <c r="AI285"/>
  <c r="AD55"/>
  <c r="AI103"/>
  <c r="AF149"/>
  <c r="AF188"/>
  <c r="AG223"/>
  <c r="AJ255"/>
  <c r="AE288"/>
  <c r="AD56"/>
  <c r="AI104"/>
  <c r="AE150"/>
  <c r="AE189"/>
  <c r="AE224"/>
  <c r="AH256"/>
  <c r="AD22"/>
  <c r="AI70"/>
  <c r="AI18"/>
  <c r="AI72"/>
  <c r="AI126"/>
  <c r="AI180"/>
  <c r="AH48"/>
  <c r="AG113"/>
  <c r="AE178"/>
  <c r="AI236"/>
  <c r="AI290"/>
  <c r="AI344"/>
  <c r="AI398"/>
  <c r="AF41"/>
  <c r="AD106"/>
  <c r="AG62"/>
  <c r="AF155"/>
  <c r="AF228"/>
  <c r="AJ56"/>
  <c r="AC139"/>
  <c r="AF197"/>
  <c r="AC240"/>
  <c r="AH278"/>
  <c r="AG44"/>
  <c r="AF102"/>
  <c r="AD156"/>
  <c r="AH203"/>
  <c r="AE236"/>
  <c r="AH268"/>
  <c r="AF29"/>
  <c r="AJ77"/>
  <c r="AG126"/>
  <c r="AI167"/>
  <c r="AF206"/>
  <c r="AI238"/>
  <c r="AD271"/>
  <c r="AF30"/>
  <c r="AC79"/>
  <c r="AH127"/>
  <c r="AH168"/>
  <c r="AD207"/>
  <c r="AG239"/>
  <c r="AJ271"/>
  <c r="AE45"/>
  <c r="AJ93"/>
  <c r="AC36"/>
  <c r="AC90"/>
  <c r="AC144"/>
  <c r="AC198"/>
  <c r="AF69"/>
  <c r="AC96"/>
  <c r="AC204"/>
  <c r="AD38"/>
  <c r="AH87"/>
  <c r="AJ196"/>
  <c r="AJ263"/>
  <c r="AF370"/>
  <c r="AC455"/>
  <c r="AD370"/>
  <c r="AD161"/>
  <c r="AH36"/>
  <c r="AH173"/>
  <c r="AD31"/>
  <c r="AJ151"/>
  <c r="AD229"/>
  <c r="AI286"/>
  <c r="AD86"/>
  <c r="AJ166"/>
  <c r="AE227"/>
  <c r="AJ275"/>
  <c r="AF64"/>
  <c r="AF137"/>
  <c r="AJ195"/>
  <c r="AC246"/>
  <c r="AJ16"/>
  <c r="AI89"/>
  <c r="AJ157"/>
  <c r="AF214"/>
  <c r="AJ262"/>
  <c r="AC56"/>
  <c r="AI124"/>
  <c r="AI208"/>
  <c r="AH304"/>
  <c r="AC337"/>
  <c r="AF369"/>
  <c r="AJ401"/>
  <c r="AF433"/>
  <c r="AF460"/>
  <c r="AF487"/>
  <c r="AH339"/>
  <c r="AE454"/>
  <c r="AC506"/>
  <c r="AJ487"/>
  <c r="AG195"/>
  <c r="AH302"/>
  <c r="AD335"/>
  <c r="AE369"/>
  <c r="AD407"/>
  <c r="AG465"/>
  <c r="AE404"/>
  <c r="AD505"/>
  <c r="AD250"/>
  <c r="AG76"/>
  <c r="AG184"/>
  <c r="AD108"/>
  <c r="AE205"/>
  <c r="AE286"/>
  <c r="AE367"/>
  <c r="AJ35"/>
  <c r="AD133"/>
  <c r="AJ148"/>
  <c r="AF255"/>
  <c r="AG132"/>
  <c r="AH216"/>
  <c r="AD275"/>
  <c r="AI68"/>
  <c r="AI152"/>
  <c r="AF217"/>
  <c r="AJ265"/>
  <c r="AI49"/>
  <c r="AH122"/>
  <c r="AC184"/>
  <c r="AD236"/>
  <c r="AH284"/>
  <c r="AD75"/>
  <c r="AC146"/>
  <c r="AE204"/>
  <c r="AC253"/>
  <c r="AC41"/>
  <c r="AJ113"/>
  <c r="AD164"/>
  <c r="AF298"/>
  <c r="AI330"/>
  <c r="AD363"/>
  <c r="AG395"/>
  <c r="AJ427"/>
  <c r="AD455"/>
  <c r="AD482"/>
  <c r="AD509"/>
  <c r="AI443"/>
  <c r="AG495"/>
  <c r="AJ472"/>
  <c r="AI445"/>
  <c r="AF296"/>
  <c r="AI328"/>
  <c r="AC105"/>
  <c r="AH22"/>
  <c r="AH139"/>
  <c r="AG231"/>
  <c r="AG312"/>
  <c r="AG393"/>
  <c r="AE104"/>
  <c r="AH21"/>
  <c r="AG103"/>
  <c r="AI20"/>
  <c r="AH130"/>
  <c r="AC224"/>
  <c r="AC305"/>
  <c r="AC386"/>
  <c r="AF58"/>
  <c r="AF39"/>
  <c r="AJ175"/>
  <c r="AJ33"/>
  <c r="AE156"/>
  <c r="AC231"/>
  <c r="AG289"/>
  <c r="AD134"/>
  <c r="AF112"/>
  <c r="AD112"/>
  <c r="AD51"/>
  <c r="AI213"/>
  <c r="AF44"/>
  <c r="AH179"/>
  <c r="AD281"/>
  <c r="AH141"/>
  <c r="AF249"/>
  <c r="AG108"/>
  <c r="AG296"/>
  <c r="AF361"/>
  <c r="AD426"/>
  <c r="AH480"/>
  <c r="AI440"/>
  <c r="AF468"/>
  <c r="AE294"/>
  <c r="AC354"/>
  <c r="AH410"/>
  <c r="AE496"/>
  <c r="AJ490"/>
  <c r="AH255"/>
  <c r="AE314"/>
  <c r="AF348"/>
  <c r="AH382"/>
  <c r="AF420"/>
  <c r="AD487"/>
  <c r="AE447"/>
  <c r="AD296"/>
  <c r="AG328"/>
  <c r="AD367"/>
  <c r="AC433"/>
  <c r="AJ277"/>
  <c r="AF318"/>
  <c r="AJ350"/>
  <c r="AE383"/>
  <c r="AJ225"/>
  <c r="AG307"/>
  <c r="AJ339"/>
  <c r="AE372"/>
  <c r="AH404"/>
  <c r="AE376"/>
  <c r="AE180"/>
  <c r="AJ231"/>
  <c r="AF146"/>
  <c r="AF261"/>
  <c r="AI115"/>
  <c r="AH231"/>
  <c r="AD68"/>
  <c r="AJ198"/>
  <c r="AF34"/>
  <c r="AG155"/>
  <c r="AC328"/>
  <c r="AJ392"/>
  <c r="AJ452"/>
  <c r="AJ506"/>
  <c r="AC491"/>
  <c r="AE435"/>
  <c r="AD326"/>
  <c r="AF377"/>
  <c r="AG450"/>
  <c r="AH440"/>
  <c r="AH425"/>
  <c r="AD297"/>
  <c r="AG329"/>
  <c r="AI363"/>
  <c r="AI399"/>
  <c r="AF444"/>
  <c r="AF374"/>
  <c r="AE249"/>
  <c r="AF311"/>
  <c r="AG346"/>
  <c r="AI388"/>
  <c r="AI185"/>
  <c r="AF301"/>
  <c r="AI333"/>
  <c r="AD366"/>
  <c r="AG398"/>
  <c r="AD288"/>
  <c r="AI322"/>
  <c r="AD355"/>
  <c r="AH387"/>
  <c r="AC420"/>
  <c r="AG448"/>
  <c r="AG475"/>
  <c r="AI487"/>
  <c r="AJ501"/>
  <c r="AC508"/>
  <c r="AF503"/>
  <c r="AF455"/>
  <c r="AC472"/>
  <c r="AG508"/>
  <c r="AH383"/>
  <c r="AF410"/>
  <c r="AD333"/>
  <c r="AG410"/>
  <c r="AC414"/>
  <c r="AI325"/>
  <c r="AH426"/>
  <c r="AI315"/>
  <c r="AG380"/>
  <c r="AD310"/>
  <c r="AC375"/>
  <c r="AC438"/>
  <c r="AF458"/>
  <c r="AG57"/>
  <c r="AH288"/>
  <c r="AG138"/>
  <c r="AE215"/>
  <c r="AJ337"/>
  <c r="AJ363"/>
  <c r="AC336"/>
  <c r="AD54"/>
  <c r="AC134"/>
  <c r="AJ149"/>
  <c r="AF256"/>
  <c r="AF136"/>
  <c r="AF218"/>
  <c r="AC276"/>
  <c r="AC70"/>
  <c r="AJ153"/>
  <c r="AE218"/>
  <c r="AJ266"/>
  <c r="AJ50"/>
  <c r="AJ123"/>
  <c r="AC185"/>
  <c r="AC237"/>
  <c r="AH285"/>
  <c r="AE76"/>
  <c r="AD147"/>
  <c r="AF205"/>
  <c r="AJ253"/>
  <c r="AG42"/>
  <c r="AF115"/>
  <c r="AH170"/>
  <c r="AE299"/>
  <c r="AH331"/>
  <c r="AC364"/>
  <c r="AF396"/>
  <c r="AJ428"/>
  <c r="AJ455"/>
  <c r="AJ482"/>
  <c r="AJ509"/>
  <c r="AE445"/>
  <c r="AC497"/>
  <c r="AF474"/>
  <c r="AG449"/>
  <c r="AE297"/>
  <c r="AH329"/>
  <c r="AC363"/>
  <c r="AC399"/>
  <c r="AI455"/>
  <c r="AE511"/>
  <c r="AD493"/>
  <c r="AI217"/>
  <c r="AG58"/>
  <c r="AG166"/>
  <c r="AC91"/>
  <c r="AD188"/>
  <c r="AC272"/>
  <c r="AC353"/>
  <c r="AJ18"/>
  <c r="AC116"/>
  <c r="AI125"/>
  <c r="AF238"/>
  <c r="AH113"/>
  <c r="AJ204"/>
  <c r="AE264"/>
  <c r="AH52"/>
  <c r="AJ139"/>
  <c r="AF208"/>
  <c r="AJ256"/>
  <c r="AE36"/>
  <c r="AD109"/>
  <c r="AD173"/>
  <c r="AD227"/>
  <c r="AH275"/>
  <c r="AH61"/>
  <c r="AG134"/>
  <c r="AF193"/>
  <c r="AC244"/>
  <c r="AG27"/>
  <c r="AF100"/>
  <c r="AF152"/>
  <c r="AF292"/>
  <c r="AF325"/>
  <c r="AI357"/>
  <c r="AD390"/>
  <c r="AG422"/>
  <c r="AH450"/>
  <c r="AH477"/>
  <c r="AH504"/>
  <c r="AG435"/>
  <c r="AG486"/>
  <c r="AD460"/>
  <c r="AC423"/>
  <c r="AH289"/>
  <c r="AF323"/>
  <c r="AC87"/>
  <c r="AC195"/>
  <c r="AI119"/>
  <c r="AC215"/>
  <c r="AC296"/>
  <c r="AC377"/>
  <c r="AE86"/>
  <c r="AE194"/>
  <c r="AG85"/>
  <c r="AG193"/>
  <c r="AC118"/>
  <c r="AG213"/>
  <c r="AG294"/>
  <c r="AG375"/>
  <c r="AJ45"/>
  <c r="AG20"/>
  <c r="AI160"/>
  <c r="AJ14"/>
  <c r="AF143"/>
  <c r="AC222"/>
  <c r="AG280"/>
  <c r="AJ76"/>
  <c r="AF67"/>
  <c r="AF47"/>
  <c r="AC294"/>
  <c r="AJ193"/>
  <c r="AC20"/>
  <c r="AD160"/>
  <c r="AJ264"/>
  <c r="AE118"/>
  <c r="AE233"/>
  <c r="AE84"/>
  <c r="AC277"/>
  <c r="AG350"/>
  <c r="AF415"/>
  <c r="AH471"/>
  <c r="AF422"/>
  <c r="AD439"/>
  <c r="AJ270"/>
  <c r="AC345"/>
  <c r="AD397"/>
  <c r="AE481"/>
  <c r="AJ475"/>
  <c r="AF212"/>
  <c r="AJ308"/>
  <c r="AE341"/>
  <c r="AE377"/>
  <c r="AE413"/>
  <c r="AD472"/>
  <c r="AJ423"/>
  <c r="AJ288"/>
  <c r="AD323"/>
  <c r="AC360"/>
  <c r="AG418"/>
  <c r="AD259"/>
  <c r="AC313"/>
  <c r="AF345"/>
  <c r="AJ377"/>
  <c r="AD191"/>
  <c r="AD302"/>
  <c r="AG334"/>
  <c r="AJ366"/>
  <c r="AE399"/>
  <c r="AE295"/>
  <c r="AD119"/>
  <c r="AI202"/>
  <c r="AH118"/>
  <c r="AE245"/>
  <c r="AF91"/>
  <c r="AF215"/>
  <c r="AJ43"/>
  <c r="AG179"/>
  <c r="AJ280"/>
  <c r="AH142"/>
  <c r="AE317"/>
  <c r="AC382"/>
  <c r="AJ443"/>
  <c r="AJ497"/>
  <c r="AC473"/>
  <c r="AI379"/>
  <c r="AE315"/>
  <c r="AF368"/>
  <c r="AI434"/>
  <c r="AJ389"/>
  <c r="AC378"/>
  <c r="AH290"/>
  <c r="AD324"/>
  <c r="AF358"/>
  <c r="AF394"/>
  <c r="AF435"/>
  <c r="AF510"/>
  <c r="AJ216"/>
  <c r="AC306"/>
  <c r="AD341"/>
  <c r="AH380"/>
  <c r="AG455"/>
  <c r="AJ295"/>
  <c r="AF328"/>
  <c r="AI360"/>
  <c r="AD393"/>
  <c r="AG274"/>
  <c r="AF317"/>
  <c r="AI349"/>
  <c r="AD382"/>
  <c r="AH414"/>
  <c r="AC444"/>
  <c r="AC471"/>
  <c r="AF476"/>
  <c r="AG479"/>
  <c r="AC507"/>
  <c r="AC495"/>
  <c r="AE428"/>
  <c r="AG458"/>
  <c r="AH508"/>
  <c r="AD399"/>
  <c r="AD499"/>
  <c r="AF322"/>
  <c r="AJ397"/>
  <c r="AH353"/>
  <c r="AC315"/>
  <c r="AD395"/>
  <c r="AJ304"/>
  <c r="AI369"/>
  <c r="AF299"/>
  <c r="AD364"/>
  <c r="AC429"/>
  <c r="AC483"/>
  <c r="AE385"/>
  <c r="AD230"/>
  <c r="AJ65"/>
  <c r="AJ158"/>
  <c r="AG305"/>
  <c r="AD488"/>
  <c r="AH303"/>
  <c r="AE131"/>
  <c r="AC89"/>
  <c r="AJ133"/>
  <c r="AI243"/>
  <c r="AE120"/>
  <c r="AF209"/>
  <c r="AJ267"/>
  <c r="AC58"/>
  <c r="AC143"/>
  <c r="AC211"/>
  <c r="AH259"/>
  <c r="AD40"/>
  <c r="AC113"/>
  <c r="AF176"/>
  <c r="AI229"/>
  <c r="AF278"/>
  <c r="AG65"/>
  <c r="AF138"/>
  <c r="AI196"/>
  <c r="AI246"/>
  <c r="AI31"/>
  <c r="AH104"/>
  <c r="AF153"/>
  <c r="AF293"/>
  <c r="AE326"/>
  <c r="AH358"/>
  <c r="AC391"/>
  <c r="AF423"/>
  <c r="AF451"/>
  <c r="AF478"/>
  <c r="AF505"/>
  <c r="AE436"/>
  <c r="AC488"/>
  <c r="AF462"/>
  <c r="AG427"/>
  <c r="AJ290"/>
  <c r="AE324"/>
  <c r="AH357"/>
  <c r="AH392"/>
  <c r="AC446"/>
  <c r="AE502"/>
  <c r="AH479"/>
  <c r="AF181"/>
  <c r="AG40"/>
  <c r="AG148"/>
  <c r="AI74"/>
  <c r="AJ172"/>
  <c r="AE259"/>
  <c r="AE340"/>
  <c r="AE421"/>
  <c r="AI100"/>
  <c r="AC103"/>
  <c r="AC223"/>
  <c r="AF97"/>
  <c r="AJ191"/>
  <c r="AD256"/>
  <c r="AD39"/>
  <c r="AH126"/>
  <c r="AE199"/>
  <c r="AI249"/>
  <c r="AF25"/>
  <c r="AF98"/>
  <c r="AG164"/>
  <c r="AJ219"/>
  <c r="AG268"/>
  <c r="AI50"/>
  <c r="AH123"/>
  <c r="AJ184"/>
  <c r="AJ236"/>
  <c r="AI16"/>
  <c r="AH89"/>
  <c r="AI145"/>
  <c r="AF282"/>
  <c r="AJ319"/>
  <c r="AF352"/>
  <c r="AI384"/>
  <c r="AD417"/>
  <c r="AD446"/>
  <c r="AD473"/>
  <c r="AD500"/>
  <c r="AC426"/>
  <c r="AG477"/>
  <c r="AD445"/>
  <c r="AG400"/>
  <c r="AE276"/>
  <c r="AC318"/>
  <c r="AC69"/>
  <c r="AC177"/>
  <c r="AD107"/>
  <c r="AF204"/>
  <c r="AG285"/>
  <c r="AG366"/>
  <c r="AE68"/>
  <c r="AE176"/>
  <c r="AG67"/>
  <c r="AG175"/>
  <c r="AD98"/>
  <c r="AF195"/>
  <c r="AC278"/>
  <c r="AC359"/>
  <c r="AC26"/>
  <c r="AE123"/>
  <c r="AH136"/>
  <c r="AG245"/>
  <c r="AJ122"/>
  <c r="AD211"/>
  <c r="AH269"/>
  <c r="AH60"/>
  <c r="AE15"/>
  <c r="AI234"/>
  <c r="AF263"/>
  <c r="AE171"/>
  <c r="AG278"/>
  <c r="AI140"/>
  <c r="AH248"/>
  <c r="AC94"/>
  <c r="AC217"/>
  <c r="AJ59"/>
  <c r="AC225"/>
  <c r="AI339"/>
  <c r="AG404"/>
  <c r="AH462"/>
  <c r="AD389"/>
  <c r="AG510"/>
  <c r="AE213"/>
  <c r="AJ336"/>
  <c r="AD388"/>
  <c r="AE469"/>
  <c r="AH461"/>
  <c r="AE456"/>
  <c r="AF303"/>
  <c r="AJ335"/>
  <c r="AC370"/>
  <c r="AJ407"/>
  <c r="AF456"/>
  <c r="AJ405"/>
  <c r="AF275"/>
  <c r="AH317"/>
  <c r="AI352"/>
  <c r="AF401"/>
  <c r="AI226"/>
  <c r="AH307"/>
  <c r="AC340"/>
  <c r="AF372"/>
  <c r="AJ404"/>
  <c r="AH296"/>
  <c r="AD329"/>
  <c r="AG361"/>
  <c r="AJ393"/>
  <c r="AE214"/>
  <c r="AI44"/>
  <c r="AE157"/>
  <c r="AF90"/>
  <c r="AC229"/>
  <c r="AD67"/>
  <c r="AJ197"/>
  <c r="AH19"/>
  <c r="AC160"/>
  <c r="AI264"/>
  <c r="AF127"/>
  <c r="AF306"/>
  <c r="AE371"/>
  <c r="AJ434"/>
  <c r="AJ488"/>
  <c r="AG456"/>
  <c r="AF492"/>
  <c r="AG304"/>
  <c r="AE360"/>
  <c r="AG421"/>
  <c r="AI506"/>
  <c r="AJ502"/>
  <c r="AD276"/>
  <c r="AI318"/>
  <c r="AJ352"/>
  <c r="AD387"/>
  <c r="AH427"/>
  <c r="AF498"/>
  <c r="AF180"/>
  <c r="AH300"/>
  <c r="AC333"/>
  <c r="AH372"/>
  <c r="AI442"/>
  <c r="AI288"/>
  <c r="AJ322"/>
  <c r="AF355"/>
  <c r="AI387"/>
  <c r="AJ252"/>
  <c r="AC312"/>
  <c r="AF344"/>
  <c r="AI376"/>
  <c r="AD409"/>
  <c r="AG439"/>
  <c r="AG466"/>
  <c r="AJ462"/>
  <c r="AG487"/>
  <c r="AH484"/>
  <c r="AJ477"/>
  <c r="AC493"/>
  <c r="AD432"/>
  <c r="AE512"/>
  <c r="AC511"/>
  <c r="AJ451"/>
  <c r="AG311"/>
  <c r="AF385"/>
  <c r="AJ493"/>
  <c r="AD304"/>
  <c r="AD377"/>
  <c r="AH293"/>
  <c r="AJ358"/>
  <c r="AG284"/>
  <c r="AF353"/>
  <c r="AD418"/>
  <c r="AC474"/>
  <c r="AG509"/>
  <c r="AE304"/>
  <c r="AJ152"/>
  <c r="AI276"/>
  <c r="AE91"/>
  <c r="AD214"/>
  <c r="AD461"/>
  <c r="AC202"/>
  <c r="AE23"/>
  <c r="AG411"/>
  <c r="AD104"/>
  <c r="AJ223"/>
  <c r="AH98"/>
  <c r="AD195"/>
  <c r="AD257"/>
  <c r="AI41"/>
  <c r="AD128"/>
  <c r="AF200"/>
  <c r="AH250"/>
  <c r="AH26"/>
  <c r="AG99"/>
  <c r="AG165"/>
  <c r="AI220"/>
  <c r="AF269"/>
  <c r="AC52"/>
  <c r="AJ124"/>
  <c r="AJ185"/>
  <c r="AI237"/>
  <c r="AE18"/>
  <c r="AD91"/>
  <c r="AJ146"/>
  <c r="AF284"/>
  <c r="AJ320"/>
  <c r="AE353"/>
  <c r="AH385"/>
  <c r="AC418"/>
  <c r="AJ446"/>
  <c r="AJ473"/>
  <c r="AJ500"/>
  <c r="AI427"/>
  <c r="AC479"/>
  <c r="AD448"/>
  <c r="AD404"/>
  <c r="AC279"/>
  <c r="AJ318"/>
  <c r="AD352"/>
  <c r="AF386"/>
  <c r="AC437"/>
  <c r="AE493"/>
  <c r="AH467"/>
  <c r="AE441"/>
  <c r="AG22"/>
  <c r="AG130"/>
  <c r="AD53"/>
  <c r="AI155"/>
  <c r="AC245"/>
  <c r="AC326"/>
  <c r="AC407"/>
  <c r="AH83"/>
  <c r="AD77"/>
  <c r="AJ205"/>
  <c r="AH71"/>
  <c r="AI176"/>
  <c r="AF245"/>
  <c r="AJ22"/>
  <c r="AG110"/>
  <c r="AE186"/>
  <c r="AI240"/>
  <c r="AF289"/>
  <c r="AJ84"/>
  <c r="AH153"/>
  <c r="AJ210"/>
  <c r="AG259"/>
  <c r="AE37"/>
  <c r="AD110"/>
  <c r="AD174"/>
  <c r="AJ227"/>
  <c r="AF276"/>
  <c r="AD76"/>
  <c r="AE139"/>
  <c r="AE266"/>
  <c r="AG314"/>
  <c r="AJ346"/>
  <c r="AF379"/>
  <c r="AI411"/>
  <c r="AH441"/>
  <c r="AH468"/>
  <c r="AH495"/>
  <c r="AF413"/>
  <c r="AG468"/>
  <c r="AD423"/>
  <c r="AH335"/>
  <c r="AG256"/>
  <c r="AH312"/>
  <c r="AC51"/>
  <c r="AC159"/>
  <c r="AF87"/>
  <c r="AH184"/>
  <c r="AC269"/>
  <c r="AC350"/>
  <c r="AE50"/>
  <c r="AE158"/>
  <c r="AG49"/>
  <c r="AG157"/>
  <c r="AH85"/>
  <c r="AI182"/>
  <c r="AG267"/>
  <c r="AG348"/>
  <c r="AF13"/>
  <c r="AH110"/>
  <c r="AH117"/>
  <c r="AJ232"/>
  <c r="AI106"/>
  <c r="AG201"/>
  <c r="AH261"/>
  <c r="AD47"/>
  <c r="AC389"/>
  <c r="AH186"/>
  <c r="AG235"/>
  <c r="AF147"/>
  <c r="AF262"/>
  <c r="AE117"/>
  <c r="AG232"/>
  <c r="AH69"/>
  <c r="AC200"/>
  <c r="AH35"/>
  <c r="AG156"/>
  <c r="AJ328"/>
  <c r="AI393"/>
  <c r="AH453"/>
  <c r="AH507"/>
  <c r="AG492"/>
  <c r="AC439"/>
  <c r="AC327"/>
  <c r="AE378"/>
  <c r="AC452"/>
  <c r="AH443"/>
  <c r="AC430"/>
  <c r="AC298"/>
  <c r="AF330"/>
  <c r="AH364"/>
  <c r="AH400"/>
  <c r="AJ445"/>
  <c r="AH381"/>
  <c r="AH254"/>
  <c r="AE312"/>
  <c r="AF347"/>
  <c r="AH390"/>
  <c r="AE192"/>
  <c r="AE302"/>
  <c r="AH334"/>
  <c r="AC367"/>
  <c r="AF399"/>
  <c r="AJ289"/>
  <c r="AH323"/>
  <c r="AD356"/>
  <c r="AG388"/>
  <c r="AJ118"/>
  <c r="AG111"/>
  <c r="AE108"/>
  <c r="AJ49"/>
  <c r="AJ212"/>
  <c r="AJ42"/>
  <c r="AH178"/>
  <c r="AD280"/>
  <c r="AH140"/>
  <c r="AG248"/>
  <c r="AF107"/>
  <c r="AG295"/>
  <c r="AF360"/>
  <c r="AE425"/>
  <c r="AJ479"/>
  <c r="AE439"/>
  <c r="AJ466"/>
  <c r="AE293"/>
  <c r="AE351"/>
  <c r="AD406"/>
  <c r="AI491"/>
  <c r="AH488"/>
  <c r="AI244"/>
  <c r="AF313"/>
  <c r="AG347"/>
  <c r="AI381"/>
  <c r="AG419"/>
  <c r="AJ484"/>
  <c r="AG443"/>
  <c r="AC295"/>
  <c r="AH327"/>
  <c r="AF365"/>
  <c r="AI430"/>
  <c r="AE275"/>
  <c r="AG317"/>
  <c r="AJ349"/>
  <c r="AF382"/>
  <c r="AG220"/>
  <c r="AH306"/>
  <c r="AC339"/>
  <c r="AF371"/>
  <c r="AI403"/>
  <c r="AC435"/>
  <c r="AC462"/>
  <c r="AF440"/>
  <c r="AH490"/>
  <c r="AE471"/>
  <c r="AF464"/>
  <c r="AG470"/>
  <c r="AJ504"/>
  <c r="AE503"/>
  <c r="AD504"/>
  <c r="AH431"/>
  <c r="AI300"/>
  <c r="AF367"/>
  <c r="AD463"/>
  <c r="AG283"/>
  <c r="AH363"/>
  <c r="AJ269"/>
  <c r="AD348"/>
  <c r="AH209"/>
  <c r="AH342"/>
  <c r="AF407"/>
  <c r="AC465"/>
  <c r="AD507"/>
  <c r="AE223"/>
  <c r="AH32"/>
  <c r="AD228"/>
  <c r="AF18"/>
  <c r="AE126"/>
  <c r="AD434"/>
  <c r="AD490"/>
  <c r="AI467"/>
  <c r="AG330"/>
  <c r="AE85"/>
  <c r="AF211"/>
  <c r="AI79"/>
  <c r="AD182"/>
  <c r="AD248"/>
  <c r="AE28"/>
  <c r="AJ115"/>
  <c r="AH190"/>
  <c r="AF243"/>
  <c r="AJ15"/>
  <c r="AI88"/>
  <c r="AC157"/>
  <c r="AH213"/>
  <c r="AD262"/>
  <c r="AD41"/>
  <c r="AD114"/>
  <c r="AE177"/>
  <c r="AG230"/>
  <c r="AD279"/>
  <c r="AF80"/>
  <c r="AF140"/>
  <c r="AJ268"/>
  <c r="AF315"/>
  <c r="AJ347"/>
  <c r="AE380"/>
  <c r="AH412"/>
  <c r="AF442"/>
  <c r="AF469"/>
  <c r="AF496"/>
  <c r="AD415"/>
  <c r="AC470"/>
  <c r="AG428"/>
  <c r="AF356"/>
  <c r="AJ261"/>
  <c r="AG313"/>
  <c r="AI346"/>
  <c r="AC381"/>
  <c r="AJ426"/>
  <c r="AE484"/>
  <c r="AJ454"/>
  <c r="AH416"/>
  <c r="AE287"/>
  <c r="AG112"/>
  <c r="AH31"/>
  <c r="AG140"/>
  <c r="AE232"/>
  <c r="AE313"/>
  <c r="AE394"/>
  <c r="AF68"/>
  <c r="AF54"/>
  <c r="AI187"/>
  <c r="AJ48"/>
  <c r="AI163"/>
  <c r="AF236"/>
  <c r="AJ294"/>
  <c r="AG98"/>
  <c r="AF175"/>
  <c r="AG233"/>
  <c r="AD282"/>
  <c r="AC74"/>
  <c r="AD145"/>
  <c r="AF203"/>
  <c r="AE252"/>
  <c r="AG26"/>
  <c r="AF99"/>
  <c r="AF165"/>
  <c r="AH220"/>
  <c r="AE269"/>
  <c r="AF65"/>
  <c r="AH131"/>
  <c r="AI235"/>
  <c r="AD309"/>
  <c r="AG341"/>
  <c r="AJ373"/>
  <c r="AF406"/>
  <c r="AD437"/>
  <c r="AD464"/>
  <c r="AD491"/>
  <c r="AJ399"/>
  <c r="AC461"/>
  <c r="AJ161"/>
  <c r="AF501"/>
  <c r="AD224"/>
  <c r="AD307"/>
  <c r="AC33"/>
  <c r="AC141"/>
  <c r="AI65"/>
  <c r="AC172"/>
  <c r="AG258"/>
  <c r="AG339"/>
  <c r="AE32"/>
  <c r="AE140"/>
  <c r="AG31"/>
  <c r="AG139"/>
  <c r="AC64"/>
  <c r="AC163"/>
  <c r="AC251"/>
  <c r="AC332"/>
  <c r="AC413"/>
  <c r="AJ90"/>
  <c r="AC88"/>
  <c r="AD213"/>
  <c r="AF82"/>
  <c r="AE184"/>
  <c r="AI250"/>
  <c r="AC31"/>
  <c r="AC308"/>
  <c r="AF120"/>
  <c r="AI203"/>
  <c r="AD120"/>
  <c r="AD246"/>
  <c r="AJ92"/>
  <c r="AE216"/>
  <c r="AF45"/>
  <c r="AG180"/>
  <c r="AJ281"/>
  <c r="AH143"/>
  <c r="AD318"/>
  <c r="AJ382"/>
  <c r="AH444"/>
  <c r="AH498"/>
  <c r="AG474"/>
  <c r="AJ387"/>
  <c r="AD316"/>
  <c r="AD371"/>
  <c r="AC440"/>
  <c r="AD414"/>
  <c r="AH389"/>
  <c r="AJ291"/>
  <c r="AC325"/>
  <c r="AE359"/>
  <c r="AE395"/>
  <c r="AJ436"/>
  <c r="AH512"/>
  <c r="AE222"/>
  <c r="AJ306"/>
  <c r="AC342"/>
  <c r="AG382"/>
  <c r="AI457"/>
  <c r="AJ296"/>
  <c r="AE329"/>
  <c r="AH361"/>
  <c r="AC394"/>
  <c r="AD277"/>
  <c r="AE318"/>
  <c r="AH350"/>
  <c r="AD383"/>
  <c r="AG415"/>
  <c r="AC62"/>
  <c r="AE39"/>
  <c r="AF290"/>
  <c r="AJ192"/>
  <c r="AG18"/>
  <c r="AD159"/>
  <c r="AC264"/>
  <c r="AI116"/>
  <c r="AF232"/>
  <c r="AC83"/>
  <c r="AF274"/>
  <c r="AH349"/>
  <c r="AF414"/>
  <c r="AJ470"/>
  <c r="AH420"/>
  <c r="AD436"/>
  <c r="AD268"/>
  <c r="AD344"/>
  <c r="AE396"/>
  <c r="AI479"/>
  <c r="AH473"/>
  <c r="AC207"/>
  <c r="AJ307"/>
  <c r="AF340"/>
  <c r="AF376"/>
  <c r="AF412"/>
  <c r="AD469"/>
  <c r="AE420"/>
  <c r="AD287"/>
  <c r="AD322"/>
  <c r="AD359"/>
  <c r="AJ414"/>
  <c r="AI253"/>
  <c r="AD312"/>
  <c r="AG344"/>
  <c r="AJ376"/>
  <c r="AI184"/>
  <c r="AD301"/>
  <c r="AH333"/>
  <c r="AC366"/>
  <c r="AF398"/>
  <c r="AG430"/>
  <c r="AG457"/>
  <c r="AE410"/>
  <c r="AI505"/>
  <c r="AH457"/>
  <c r="AF443"/>
  <c r="AD456"/>
  <c r="AJ483"/>
  <c r="AE494"/>
  <c r="AI501"/>
  <c r="AI488"/>
  <c r="AF285"/>
  <c r="AG356"/>
  <c r="AF441"/>
  <c r="AG238"/>
  <c r="AD350"/>
  <c r="AH210"/>
  <c r="AF337"/>
  <c r="AD402"/>
  <c r="AI331"/>
  <c r="AH129"/>
  <c r="AJ174"/>
  <c r="AJ167"/>
  <c r="AJ246"/>
  <c r="AE57"/>
  <c r="AI402"/>
  <c r="AG507"/>
  <c r="AJ408"/>
  <c r="AG249"/>
  <c r="AH55"/>
  <c r="AI188"/>
  <c r="AC50"/>
  <c r="AJ164"/>
  <c r="AE237"/>
  <c r="AI295"/>
  <c r="AH99"/>
  <c r="AH177"/>
  <c r="AF234"/>
  <c r="AC283"/>
  <c r="AE75"/>
  <c r="AD146"/>
  <c r="AG204"/>
  <c r="AD253"/>
  <c r="AH27"/>
  <c r="AH100"/>
  <c r="AF166"/>
  <c r="AG221"/>
  <c r="AD270"/>
  <c r="AJ66"/>
  <c r="AJ132"/>
  <c r="AD241"/>
  <c r="AC310"/>
  <c r="AF342"/>
  <c r="AJ374"/>
  <c r="AE407"/>
  <c r="AJ437"/>
  <c r="AJ464"/>
  <c r="AJ491"/>
  <c r="AH402"/>
  <c r="AG462"/>
  <c r="AJ344"/>
  <c r="AF504"/>
  <c r="AG229"/>
  <c r="AD308"/>
  <c r="AF341"/>
  <c r="AH374"/>
  <c r="AC417"/>
  <c r="AE475"/>
  <c r="AH437"/>
  <c r="AI361"/>
  <c r="AF273"/>
  <c r="AG94"/>
  <c r="AG202"/>
  <c r="AF123"/>
  <c r="AC218"/>
  <c r="AC299"/>
  <c r="AC380"/>
  <c r="AE51"/>
  <c r="AH28"/>
  <c r="AD167"/>
  <c r="AC23"/>
  <c r="AG146"/>
  <c r="AH225"/>
  <c r="AD284"/>
  <c r="AE82"/>
  <c r="AG162"/>
  <c r="AG224"/>
  <c r="AD273"/>
  <c r="AG60"/>
  <c r="AF133"/>
  <c r="AG192"/>
  <c r="AE243"/>
  <c r="AC13"/>
  <c r="AJ85"/>
  <c r="AH154"/>
  <c r="AH211"/>
  <c r="AE260"/>
  <c r="AJ51"/>
  <c r="AG123"/>
  <c r="AC203"/>
  <c r="AI303"/>
  <c r="AD336"/>
  <c r="AG368"/>
  <c r="AJ400"/>
  <c r="AH432"/>
  <c r="AH459"/>
  <c r="AH486"/>
  <c r="AD163"/>
  <c r="AI452"/>
  <c r="AG504"/>
  <c r="AH485"/>
  <c r="AJ188"/>
  <c r="AI301"/>
  <c r="AC15"/>
  <c r="AC123"/>
  <c r="AD44"/>
  <c r="AD152"/>
  <c r="AC242"/>
  <c r="AC323"/>
  <c r="AE14"/>
  <c r="AE122"/>
  <c r="AG13"/>
  <c r="AG121"/>
  <c r="AF42"/>
  <c r="AF150"/>
  <c r="AG240"/>
  <c r="AG321"/>
  <c r="AG402"/>
  <c r="AE78"/>
  <c r="AD69"/>
  <c r="AH199"/>
  <c r="AG63"/>
  <c r="AF171"/>
  <c r="AI241"/>
  <c r="AH18"/>
  <c r="AC227"/>
  <c r="AJ52"/>
  <c r="AH162"/>
  <c r="AH91"/>
  <c r="AJ229"/>
  <c r="AH68"/>
  <c r="AD199"/>
  <c r="AD21"/>
  <c r="AC161"/>
  <c r="AH265"/>
  <c r="AJ128"/>
  <c r="AF307"/>
  <c r="AD372"/>
  <c r="AH435"/>
  <c r="AH489"/>
  <c r="AC458"/>
  <c r="AH494"/>
  <c r="AF305"/>
  <c r="AD361"/>
  <c r="AE423"/>
  <c r="AE508"/>
  <c r="AH506"/>
  <c r="AJ278"/>
  <c r="AH319"/>
  <c r="AJ353"/>
  <c r="AC388"/>
  <c r="AF429"/>
  <c r="AJ499"/>
  <c r="AJ186"/>
  <c r="AG301"/>
  <c r="AI334"/>
  <c r="AG373"/>
  <c r="AE444"/>
  <c r="AE290"/>
  <c r="AJ323"/>
  <c r="AE356"/>
  <c r="AH388"/>
  <c r="AE258"/>
  <c r="AJ312"/>
  <c r="AE345"/>
  <c r="AH377"/>
  <c r="AD410"/>
  <c r="AF14"/>
  <c r="AJ233"/>
  <c r="AG262"/>
  <c r="AC169"/>
  <c r="AH277"/>
  <c r="AI139"/>
  <c r="AI247"/>
  <c r="AG92"/>
  <c r="AD216"/>
  <c r="AI58"/>
  <c r="AH219"/>
  <c r="AJ338"/>
  <c r="AH403"/>
  <c r="AJ461"/>
  <c r="AD379"/>
  <c r="AC509"/>
  <c r="AJ207"/>
  <c r="AD334"/>
  <c r="AG385"/>
  <c r="AE463"/>
  <c r="AF459"/>
  <c r="AI451"/>
  <c r="AG302"/>
  <c r="AJ334"/>
  <c r="AD369"/>
  <c r="AJ406"/>
  <c r="AD454"/>
  <c r="AE402"/>
  <c r="AH272"/>
  <c r="AI316"/>
  <c r="AJ351"/>
  <c r="AH398"/>
  <c r="AF221"/>
  <c r="AI306"/>
  <c r="AD339"/>
  <c r="AG371"/>
  <c r="AJ403"/>
  <c r="AH295"/>
  <c r="AD328"/>
  <c r="AH360"/>
  <c r="AC393"/>
  <c r="AF425"/>
  <c r="AC453"/>
  <c r="AC480"/>
  <c r="AI496"/>
  <c r="AH430"/>
  <c r="AJ413"/>
  <c r="AD429"/>
  <c r="AF470"/>
  <c r="AE485"/>
  <c r="AJ492"/>
  <c r="AE460"/>
  <c r="AF194"/>
  <c r="AI345"/>
  <c r="AJ424"/>
  <c r="AI454"/>
  <c r="AE339"/>
  <c r="AC451"/>
  <c r="AG326"/>
  <c r="AF391"/>
  <c r="AC321"/>
  <c r="AI385"/>
  <c r="AC447"/>
  <c r="AI484"/>
  <c r="AG494"/>
  <c r="AF446"/>
  <c r="AC498"/>
  <c r="AJ314"/>
  <c r="AI101"/>
  <c r="AJ99"/>
  <c r="AJ95"/>
  <c r="AH37"/>
  <c r="AF207"/>
  <c r="AI34"/>
  <c r="AD172"/>
  <c r="AI274"/>
  <c r="AC133"/>
  <c r="AD243"/>
  <c r="AE99"/>
  <c r="AD291"/>
  <c r="AJ356"/>
  <c r="AH421"/>
  <c r="AJ476"/>
  <c r="AC434"/>
  <c r="AJ457"/>
  <c r="AJ287"/>
  <c r="AF350"/>
  <c r="AF404"/>
  <c r="AE490"/>
  <c r="AF486"/>
  <c r="AF239"/>
  <c r="AF312"/>
  <c r="AH346"/>
  <c r="AJ380"/>
  <c r="AH418"/>
  <c r="AH482"/>
  <c r="AI439"/>
  <c r="AJ293"/>
  <c r="AH326"/>
  <c r="AF434"/>
  <c r="AJ421"/>
  <c r="AD205"/>
  <c r="AF363"/>
  <c r="AH47"/>
  <c r="AF145"/>
  <c r="AE109"/>
  <c r="AC256"/>
  <c r="AJ131"/>
  <c r="AH258"/>
  <c r="AG153"/>
  <c r="AG275"/>
  <c r="AD151"/>
  <c r="AE335"/>
  <c r="AJ410"/>
  <c r="AJ485"/>
  <c r="AC467"/>
  <c r="AF419"/>
  <c r="AE333"/>
  <c r="AG394"/>
  <c r="AE505"/>
  <c r="AF338"/>
  <c r="AE296"/>
  <c r="AC334"/>
  <c r="AF375"/>
  <c r="AJ425"/>
  <c r="AD508"/>
  <c r="AJ243"/>
  <c r="AJ315"/>
  <c r="AD358"/>
  <c r="AD413"/>
  <c r="AF248"/>
  <c r="AE311"/>
  <c r="AH343"/>
  <c r="AC376"/>
  <c r="AD178"/>
  <c r="AE300"/>
  <c r="AH332"/>
  <c r="AD365"/>
  <c r="AG397"/>
  <c r="AI429"/>
  <c r="AI456"/>
  <c r="AI483"/>
  <c r="AE504"/>
  <c r="AD453"/>
  <c r="AJ438"/>
  <c r="AH451"/>
  <c r="AH481"/>
  <c r="AI492"/>
  <c r="AD484"/>
  <c r="AJ316"/>
  <c r="AH391"/>
  <c r="AJ505"/>
  <c r="AH309"/>
  <c r="AD385"/>
  <c r="AG299"/>
  <c r="AF364"/>
  <c r="AG293"/>
  <c r="AI358"/>
  <c r="AH423"/>
  <c r="AG478"/>
  <c r="AD420"/>
  <c r="AF418"/>
  <c r="AC481"/>
  <c r="AD267"/>
  <c r="AE347"/>
  <c r="AE349"/>
  <c r="AI161"/>
  <c r="AI223"/>
  <c r="AE136"/>
  <c r="AD255"/>
  <c r="AF106"/>
  <c r="AE225"/>
  <c r="AJ58"/>
  <c r="AF191"/>
  <c r="AJ24"/>
  <c r="AD150"/>
  <c r="AG323"/>
  <c r="AF388"/>
  <c r="AD467"/>
  <c r="AI409"/>
  <c r="AC406"/>
  <c r="AH245"/>
  <c r="AG340"/>
  <c r="AG403"/>
  <c r="AC234"/>
  <c r="AC254"/>
  <c r="AI71"/>
  <c r="AI175"/>
  <c r="AH106"/>
  <c r="AC238"/>
  <c r="AH80"/>
  <c r="AD208"/>
  <c r="AD33"/>
  <c r="AI170"/>
  <c r="AI273"/>
  <c r="AG135"/>
  <c r="AJ311"/>
  <c r="AH376"/>
  <c r="AF439"/>
  <c r="AF493"/>
  <c r="AI464"/>
  <c r="AH509"/>
  <c r="AJ309"/>
  <c r="AH365"/>
  <c r="AE430"/>
  <c r="AG168"/>
  <c r="AD511"/>
  <c r="AH283"/>
  <c r="AF321"/>
  <c r="AH355"/>
  <c r="AI390"/>
  <c r="AJ430"/>
  <c r="AH503"/>
  <c r="AI199"/>
  <c r="AD314"/>
  <c r="AD349"/>
  <c r="AE393"/>
  <c r="AE151"/>
  <c r="AJ126"/>
  <c r="AF124"/>
  <c r="AJ61"/>
  <c r="AF216"/>
  <c r="AE48"/>
  <c r="AJ182"/>
  <c r="AI283"/>
  <c r="AJ144"/>
  <c r="AD252"/>
  <c r="AI112"/>
  <c r="AF297"/>
  <c r="AE362"/>
  <c r="AC427"/>
  <c r="AF481"/>
  <c r="AE442"/>
  <c r="AH470"/>
  <c r="AF295"/>
  <c r="AJ354"/>
  <c r="AG412"/>
  <c r="AI497"/>
  <c r="AF495"/>
  <c r="AC261"/>
  <c r="AD315"/>
  <c r="AF349"/>
  <c r="AG383"/>
  <c r="AE422"/>
  <c r="AF489"/>
  <c r="AE450"/>
  <c r="AC297"/>
  <c r="AF329"/>
  <c r="AD368"/>
  <c r="AG434"/>
  <c r="AH280"/>
  <c r="AF319"/>
  <c r="AI351"/>
  <c r="AD384"/>
  <c r="AE231"/>
  <c r="AF308"/>
  <c r="AI340"/>
  <c r="AD373"/>
  <c r="AH405"/>
  <c r="AG436"/>
  <c r="AE363"/>
  <c r="AC468"/>
  <c r="AG496"/>
  <c r="AF482"/>
  <c r="AD441"/>
  <c r="AG481"/>
  <c r="AC489"/>
  <c r="AG488"/>
  <c r="AJ303"/>
  <c r="AF506"/>
  <c r="AG292"/>
  <c r="AE449"/>
  <c r="AE489"/>
  <c r="AF491"/>
  <c r="AD459"/>
  <c r="AG485"/>
  <c r="AI499"/>
  <c r="AF500"/>
  <c r="AE498"/>
  <c r="AC505"/>
  <c r="AE510"/>
  <c r="AJ395"/>
  <c r="AI432"/>
  <c r="AJ453"/>
  <c r="AC478"/>
  <c r="AE477"/>
  <c r="AI507"/>
  <c r="AI444"/>
  <c r="AJ468"/>
  <c r="AI453"/>
  <c r="AI405"/>
  <c r="AH469"/>
  <c r="AH496"/>
  <c r="AI490"/>
  <c r="AI471"/>
  <c r="AH415"/>
  <c r="AJ474"/>
  <c r="AF488"/>
  <c r="AG506"/>
  <c r="AE309"/>
  <c r="AC412"/>
  <c r="AE480"/>
  <c r="AF479"/>
  <c r="AI436"/>
  <c r="AH352"/>
  <c r="AG420"/>
  <c r="AH17"/>
  <c r="AH79"/>
  <c r="AJ239"/>
  <c r="AH107"/>
  <c r="AF242"/>
  <c r="AH108"/>
  <c r="AF259"/>
  <c r="AE138"/>
  <c r="AF324"/>
  <c r="AC400"/>
  <c r="AJ467"/>
  <c r="AE451"/>
  <c r="AF167"/>
  <c r="AG322"/>
  <c r="AH384"/>
  <c r="AE478"/>
  <c r="AH500"/>
  <c r="AC289"/>
  <c r="AH328"/>
  <c r="AE368"/>
  <c r="AF411"/>
  <c r="AD496"/>
  <c r="AG211"/>
  <c r="AG310"/>
  <c r="AC351"/>
  <c r="AJ396"/>
  <c r="AC216"/>
  <c r="AJ305"/>
  <c r="AE338"/>
  <c r="AH370"/>
  <c r="AC403"/>
  <c r="AH294"/>
  <c r="AE327"/>
  <c r="AH359"/>
  <c r="AD392"/>
  <c r="AG424"/>
  <c r="AE452"/>
  <c r="AE479"/>
  <c r="AE495"/>
  <c r="AG425"/>
  <c r="AF408"/>
  <c r="AI423"/>
  <c r="AD468"/>
  <c r="AE483"/>
  <c r="AC343"/>
  <c r="AD306"/>
  <c r="AJ379"/>
  <c r="AF480"/>
  <c r="AI292"/>
  <c r="AI370"/>
  <c r="AD285"/>
  <c r="AG353"/>
  <c r="AD269"/>
  <c r="AC348"/>
  <c r="AI412"/>
  <c r="AG469"/>
  <c r="AG505"/>
  <c r="AC486"/>
  <c r="AD450"/>
  <c r="AE166"/>
  <c r="AF336"/>
  <c r="AE268"/>
  <c r="AF93"/>
  <c r="AF185"/>
  <c r="AI107"/>
  <c r="AJ238"/>
  <c r="AD82"/>
  <c r="AD209"/>
  <c r="AH34"/>
  <c r="AJ171"/>
  <c r="AH274"/>
  <c r="AC137"/>
  <c r="AI312"/>
  <c r="AG377"/>
  <c r="AD458"/>
  <c r="AD512"/>
  <c r="AG501"/>
  <c r="AC176"/>
  <c r="AF332"/>
  <c r="AI391"/>
  <c r="AJ469"/>
  <c r="AH166"/>
  <c r="AE132"/>
  <c r="AC131"/>
  <c r="AE67"/>
  <c r="AJ221"/>
  <c r="AF56"/>
  <c r="AF189"/>
  <c r="AD289"/>
  <c r="AF151"/>
  <c r="AG257"/>
  <c r="AF119"/>
  <c r="AC301"/>
  <c r="AJ365"/>
  <c r="AF430"/>
  <c r="AF484"/>
  <c r="AE448"/>
  <c r="AJ478"/>
  <c r="AD299"/>
  <c r="AI355"/>
  <c r="AE414"/>
  <c r="AE499"/>
  <c r="AJ496"/>
  <c r="AF265"/>
  <c r="AC316"/>
  <c r="AE350"/>
  <c r="AF384"/>
  <c r="AC424"/>
  <c r="AH491"/>
  <c r="AG452"/>
  <c r="AH308"/>
  <c r="AI343"/>
  <c r="AE384"/>
  <c r="AE43"/>
  <c r="AD79"/>
  <c r="AC65"/>
  <c r="AD20"/>
  <c r="AE198"/>
  <c r="AJ23"/>
  <c r="AF163"/>
  <c r="AH267"/>
  <c r="AD122"/>
  <c r="AJ235"/>
  <c r="AF88"/>
  <c r="AI279"/>
  <c r="AF351"/>
  <c r="AE416"/>
  <c r="AF472"/>
  <c r="AD424"/>
  <c r="AD442"/>
  <c r="AH273"/>
  <c r="AJ345"/>
  <c r="AD398"/>
  <c r="AI482"/>
  <c r="AF477"/>
  <c r="AD223"/>
  <c r="AI309"/>
  <c r="AD342"/>
  <c r="AD378"/>
  <c r="AC415"/>
  <c r="AD475"/>
  <c r="AF428"/>
  <c r="AG290"/>
  <c r="AC324"/>
  <c r="AJ360"/>
  <c r="AD421"/>
  <c r="AF264"/>
  <c r="AJ313"/>
  <c r="AF346"/>
  <c r="AI378"/>
  <c r="AH197"/>
  <c r="AC303"/>
  <c r="AF335"/>
  <c r="AI367"/>
  <c r="AD400"/>
  <c r="AC432"/>
  <c r="AJ330"/>
  <c r="AC459"/>
  <c r="AI508"/>
  <c r="AF452"/>
  <c r="AJ486"/>
  <c r="AH314"/>
  <c r="AC463"/>
  <c r="AH478"/>
  <c r="AH511"/>
  <c r="AI414"/>
  <c r="AE401"/>
  <c r="AI435"/>
  <c r="AD465"/>
  <c r="AD489"/>
  <c r="AG503"/>
  <c r="AD486"/>
  <c r="AF449"/>
  <c r="AE488"/>
  <c r="AI480"/>
  <c r="AI486"/>
  <c r="AF426"/>
  <c r="AI498"/>
  <c r="AE417"/>
  <c r="AE482"/>
  <c r="AD444"/>
  <c r="AH442"/>
  <c r="AI489"/>
  <c r="AJ411"/>
  <c r="AI475"/>
  <c r="AG406"/>
  <c r="AI472"/>
  <c r="AI468"/>
  <c r="AH445"/>
  <c r="AG298"/>
  <c r="AF437"/>
  <c r="AC499"/>
  <c r="AC460"/>
  <c r="AG463"/>
  <c r="AH472"/>
  <c r="AE473"/>
  <c r="AD347"/>
  <c r="AH448"/>
  <c r="AC484"/>
  <c r="AH264"/>
  <c r="AJ341"/>
  <c r="AC362"/>
  <c r="AD222"/>
  <c r="AD283"/>
  <c r="AH223"/>
  <c r="AF83"/>
  <c r="AD226"/>
  <c r="AF84"/>
  <c r="AJ226"/>
  <c r="AC122"/>
  <c r="AH313"/>
  <c r="AE389"/>
  <c r="AJ458"/>
  <c r="AH411"/>
  <c r="AF483"/>
  <c r="AH311"/>
  <c r="AG376"/>
  <c r="AI461"/>
  <c r="AF471"/>
  <c r="AI270"/>
  <c r="AE323"/>
  <c r="AJ362"/>
  <c r="AD405"/>
  <c r="AF465"/>
  <c r="AC457"/>
  <c r="AD305"/>
  <c r="AH345"/>
  <c r="AD386"/>
  <c r="AF179"/>
  <c r="AF300"/>
  <c r="AJ332"/>
  <c r="AE365"/>
  <c r="AH397"/>
  <c r="AF286"/>
  <c r="AJ321"/>
  <c r="AE354"/>
  <c r="AH386"/>
  <c r="AD419"/>
  <c r="AI447"/>
  <c r="AI474"/>
  <c r="AE486"/>
  <c r="AF494"/>
  <c r="AG500"/>
  <c r="AF497"/>
  <c r="AJ450"/>
  <c r="AI469"/>
  <c r="AD416"/>
  <c r="AD295"/>
  <c r="AJ361"/>
  <c r="AD451"/>
  <c r="AE267"/>
  <c r="AE357"/>
  <c r="AC243"/>
  <c r="AI342"/>
  <c r="AH171"/>
  <c r="AD337"/>
  <c r="AC402"/>
  <c r="AG460"/>
  <c r="AI511"/>
  <c r="AJ459"/>
  <c r="AJ489"/>
  <c r="AI424"/>
  <c r="AH325"/>
  <c r="AH183"/>
  <c r="AC22"/>
  <c r="AF144"/>
  <c r="AD78"/>
  <c r="AI222"/>
  <c r="AJ57"/>
  <c r="AF190"/>
  <c r="AD290"/>
  <c r="AG152"/>
  <c r="AF258"/>
  <c r="AJ120"/>
  <c r="AJ301"/>
  <c r="AI366"/>
  <c r="AD449"/>
  <c r="AD503"/>
  <c r="AG483"/>
  <c r="AI415"/>
  <c r="AH321"/>
  <c r="AI373"/>
  <c r="AI500"/>
  <c r="AJ64"/>
  <c r="AC80"/>
  <c r="AE66"/>
  <c r="AF21"/>
  <c r="AH205"/>
  <c r="AC32"/>
  <c r="AJ169"/>
  <c r="AC273"/>
  <c r="AE130"/>
  <c r="AF241"/>
  <c r="AG96"/>
  <c r="AC288"/>
  <c r="AC355"/>
  <c r="AJ419"/>
  <c r="AF475"/>
  <c r="AC431"/>
  <c r="AF453"/>
  <c r="AE284"/>
  <c r="AH348"/>
  <c r="AH401"/>
  <c r="AE487"/>
  <c r="AJ481"/>
  <c r="AH228"/>
  <c r="AH310"/>
  <c r="AJ343"/>
  <c r="AC379"/>
  <c r="AJ416"/>
  <c r="AD478"/>
  <c r="AE432"/>
  <c r="AE303"/>
  <c r="AG337"/>
  <c r="AD376"/>
  <c r="AF309"/>
  <c r="AH29"/>
  <c r="AD249"/>
  <c r="AH270"/>
  <c r="AF174"/>
  <c r="AE281"/>
  <c r="AJ143"/>
  <c r="AF251"/>
  <c r="AJ97"/>
  <c r="AI219"/>
  <c r="AD64"/>
  <c r="AF230"/>
  <c r="AH340"/>
  <c r="AF405"/>
  <c r="AF463"/>
  <c r="AF395"/>
  <c r="AC512"/>
  <c r="AH218"/>
  <c r="AI337"/>
  <c r="AC390"/>
  <c r="AI470"/>
  <c r="AJ463"/>
  <c r="AC175"/>
  <c r="AF304"/>
  <c r="AI336"/>
  <c r="AJ371"/>
  <c r="AI408"/>
  <c r="AH458"/>
  <c r="AH408"/>
  <c r="AD278"/>
  <c r="AH318"/>
  <c r="AH354"/>
  <c r="AD403"/>
  <c r="AD232"/>
  <c r="AG308"/>
  <c r="AJ340"/>
  <c r="AF373"/>
  <c r="AI158"/>
  <c r="AH297"/>
  <c r="AC330"/>
  <c r="AF362"/>
  <c r="AI394"/>
  <c r="AD427"/>
  <c r="AC450"/>
  <c r="AG491"/>
  <c r="AJ420"/>
  <c r="AH499"/>
  <c r="AI502"/>
  <c r="AD447"/>
  <c r="AE509"/>
  <c r="AC331"/>
  <c r="AC281"/>
  <c r="AJ162"/>
  <c r="AF254"/>
  <c r="AD185"/>
  <c r="AC59"/>
  <c r="AC210"/>
  <c r="AD60"/>
  <c r="AI210"/>
  <c r="AJ74"/>
  <c r="AJ302"/>
  <c r="AF378"/>
  <c r="AJ449"/>
  <c r="AJ512"/>
  <c r="AJ415"/>
  <c r="AJ300"/>
  <c r="AG367"/>
  <c r="AC449"/>
  <c r="AD457"/>
  <c r="AJ200"/>
  <c r="AJ317"/>
  <c r="AF357"/>
  <c r="AJ398"/>
  <c r="AH452"/>
  <c r="AH417"/>
  <c r="AH299"/>
  <c r="AD340"/>
  <c r="AJ378"/>
  <c r="AE453"/>
  <c r="AI294"/>
  <c r="AF327"/>
  <c r="AJ359"/>
  <c r="AE392"/>
  <c r="AI271"/>
  <c r="AG316"/>
  <c r="AJ348"/>
  <c r="AE381"/>
  <c r="AH413"/>
  <c r="AE443"/>
  <c r="AE470"/>
  <c r="AD474"/>
  <c r="AC510"/>
  <c r="AG499"/>
  <c r="AG490"/>
  <c r="AJ422"/>
  <c r="AH454"/>
  <c r="AD431"/>
  <c r="AC268"/>
  <c r="AD351"/>
  <c r="AF432"/>
  <c r="AD206"/>
  <c r="AH344"/>
  <c r="AI172"/>
  <c r="AJ331"/>
  <c r="AI396"/>
  <c r="AF326"/>
  <c r="AD391"/>
  <c r="AG451"/>
  <c r="AI493"/>
  <c r="AF512"/>
  <c r="AJ465"/>
  <c r="AD233"/>
  <c r="AE320"/>
  <c r="AG86"/>
  <c r="AF94"/>
  <c r="AJ87"/>
  <c r="AH33"/>
  <c r="AG206"/>
  <c r="AG33"/>
  <c r="AJ170"/>
  <c r="AJ273"/>
  <c r="AI131"/>
  <c r="AE242"/>
  <c r="AI97"/>
  <c r="AI289"/>
  <c r="AJ355"/>
  <c r="AD440"/>
  <c r="AD494"/>
  <c r="AE466"/>
  <c r="AJ511"/>
  <c r="AI310"/>
  <c r="AH366"/>
  <c r="AI473"/>
  <c r="AD242"/>
  <c r="AC35"/>
  <c r="AG254"/>
  <c r="AD274"/>
  <c r="AC182"/>
  <c r="AH286"/>
  <c r="AG150"/>
  <c r="AI256"/>
  <c r="AC106"/>
  <c r="AD225"/>
  <c r="AE72"/>
  <c r="AC252"/>
  <c r="AE344"/>
  <c r="AC409"/>
  <c r="AF466"/>
  <c r="AC408"/>
  <c r="AG392"/>
  <c r="AE240"/>
  <c r="AH338"/>
  <c r="AJ390"/>
  <c r="AE472"/>
  <c r="AD466"/>
  <c r="AJ187"/>
  <c r="AE305"/>
  <c r="AH337"/>
  <c r="AI372"/>
  <c r="AH409"/>
  <c r="AJ460"/>
  <c r="AD412"/>
  <c r="AJ297"/>
  <c r="AE330"/>
  <c r="AC369"/>
  <c r="AH237"/>
  <c r="AE403"/>
  <c r="AH200"/>
  <c r="AH242"/>
  <c r="AI151"/>
  <c r="AC265"/>
  <c r="AD121"/>
  <c r="AD235"/>
  <c r="AH73"/>
  <c r="AD203"/>
  <c r="AJ39"/>
  <c r="AI157"/>
  <c r="AJ329"/>
  <c r="AH394"/>
  <c r="AF454"/>
  <c r="AF508"/>
  <c r="AC494"/>
  <c r="AC442"/>
  <c r="AJ327"/>
  <c r="AD380"/>
  <c r="AG453"/>
  <c r="AH446"/>
  <c r="AI433"/>
  <c r="AJ298"/>
  <c r="AF331"/>
  <c r="AG365"/>
  <c r="AG401"/>
  <c r="AF447"/>
  <c r="AC387"/>
  <c r="AD260"/>
  <c r="AD313"/>
  <c r="AE348"/>
  <c r="AF392"/>
  <c r="AH198"/>
  <c r="AD303"/>
  <c r="AG335"/>
  <c r="AJ367"/>
  <c r="AF400"/>
  <c r="AF291"/>
  <c r="AH324"/>
  <c r="AC357"/>
  <c r="AF389"/>
  <c r="AI421"/>
  <c r="AE165"/>
  <c r="AE437"/>
  <c r="AF467"/>
  <c r="AH493"/>
  <c r="AH406"/>
  <c r="AD492"/>
  <c r="AG497"/>
  <c r="AI441"/>
  <c r="AJ432"/>
  <c r="AI477"/>
  <c r="AI478"/>
  <c r="AE390"/>
  <c r="AE476"/>
  <c r="AF509"/>
  <c r="AJ510"/>
  <c r="AE474"/>
  <c r="AE431"/>
  <c r="AD438"/>
  <c r="AD428"/>
  <c r="AH433"/>
  <c r="AE426"/>
  <c r="AI463"/>
  <c r="AG352"/>
  <c r="AE464"/>
  <c r="AH502"/>
  <c r="AD471"/>
  <c r="AG416"/>
  <c r="AF390"/>
  <c r="AJ480"/>
  <c r="AE506"/>
  <c r="AG473"/>
  <c r="AH368"/>
  <c r="AG484"/>
  <c r="AF461"/>
  <c r="AE492"/>
  <c r="AI495"/>
  <c r="AI459"/>
  <c r="AC502"/>
  <c r="AH466"/>
  <c r="AC456"/>
  <c r="AG512"/>
  <c r="AE491"/>
  <c r="AH298"/>
  <c r="AC199"/>
  <c r="AG101"/>
  <c r="AH224"/>
  <c r="AG161"/>
  <c r="AF288"/>
  <c r="AG191"/>
  <c r="AI35"/>
  <c r="AF192"/>
  <c r="AH50"/>
  <c r="AI262"/>
  <c r="AH367"/>
  <c r="AJ440"/>
  <c r="AJ503"/>
  <c r="AC503"/>
  <c r="AD251"/>
  <c r="AF359"/>
  <c r="AE433"/>
  <c r="AH434"/>
  <c r="AC448"/>
  <c r="AC307"/>
  <c r="AC352"/>
  <c r="AF393"/>
  <c r="AJ442"/>
  <c r="AH399"/>
  <c r="AE285"/>
  <c r="AD332"/>
  <c r="AH371"/>
  <c r="AG440"/>
  <c r="AJ286"/>
  <c r="AC322"/>
  <c r="AF354"/>
  <c r="AJ386"/>
  <c r="AG247"/>
  <c r="AD311"/>
  <c r="AG343"/>
  <c r="AJ375"/>
  <c r="AE408"/>
  <c r="AI438"/>
  <c r="AI465"/>
  <c r="AH460"/>
  <c r="AD510"/>
  <c r="AG482"/>
  <c r="AH475"/>
  <c r="AC487"/>
  <c r="AF427"/>
  <c r="AG502"/>
  <c r="AC445"/>
  <c r="AG338"/>
  <c r="AI417"/>
  <c r="AC436"/>
  <c r="AD331"/>
  <c r="AE438"/>
  <c r="AD321"/>
  <c r="AJ385"/>
  <c r="AH315"/>
  <c r="AF380"/>
  <c r="AG442"/>
  <c r="AJ471"/>
  <c r="AH505"/>
  <c r="AF417"/>
  <c r="AD501"/>
  <c r="AC304"/>
  <c r="AE374"/>
  <c r="AI46"/>
  <c r="AF16"/>
  <c r="AF281"/>
  <c r="AD184"/>
  <c r="AG287"/>
  <c r="AH151"/>
  <c r="AH257"/>
  <c r="AG107"/>
  <c r="AC226"/>
  <c r="AF73"/>
  <c r="AF257"/>
  <c r="AD345"/>
  <c r="AI420"/>
  <c r="AD485"/>
  <c r="AI449"/>
  <c r="AD481"/>
  <c r="AC300"/>
  <c r="AH356"/>
  <c r="AG444"/>
  <c r="AI298"/>
  <c r="AC404"/>
  <c r="AJ201"/>
  <c r="AH243"/>
  <c r="AE159"/>
  <c r="AF270"/>
  <c r="AE129"/>
  <c r="AH240"/>
  <c r="AH81"/>
  <c r="AJ208"/>
  <c r="AJ47"/>
  <c r="AG183"/>
  <c r="AF333"/>
  <c r="AE398"/>
  <c r="AF457"/>
  <c r="AF511"/>
  <c r="AC500"/>
  <c r="AH169"/>
  <c r="AG331"/>
  <c r="AI382"/>
  <c r="AI458"/>
  <c r="AH449"/>
  <c r="AG437"/>
  <c r="AJ299"/>
  <c r="AE332"/>
  <c r="AF366"/>
  <c r="AF402"/>
  <c r="AJ448"/>
  <c r="AG391"/>
  <c r="AI291"/>
  <c r="AJ324"/>
  <c r="AH362"/>
  <c r="AI448"/>
  <c r="AE322"/>
  <c r="AE141"/>
  <c r="AC213"/>
  <c r="AG125"/>
  <c r="AJ248"/>
  <c r="AJ96"/>
  <c r="AC219"/>
  <c r="AE49"/>
  <c r="AJ183"/>
  <c r="AG15"/>
  <c r="AH144"/>
  <c r="AC319"/>
  <c r="AJ383"/>
  <c r="AF445"/>
  <c r="AF499"/>
  <c r="AC476"/>
  <c r="AD394"/>
  <c r="AD317"/>
  <c r="AC372"/>
  <c r="AG441"/>
  <c r="AF421"/>
  <c r="AI397"/>
  <c r="AJ292"/>
  <c r="AJ325"/>
  <c r="AD360"/>
  <c r="AD396"/>
  <c r="AF438"/>
  <c r="AJ173"/>
  <c r="AH227"/>
  <c r="AI307"/>
  <c r="AJ342"/>
  <c r="AF383"/>
  <c r="AJ159"/>
  <c r="AI297"/>
  <c r="AD330"/>
  <c r="AG362"/>
  <c r="AJ394"/>
  <c r="AJ279"/>
  <c r="AD319"/>
  <c r="AH351"/>
  <c r="AC384"/>
  <c r="AF416"/>
  <c r="AG445"/>
  <c r="AH422"/>
  <c r="AC421"/>
  <c r="AE462"/>
  <c r="AG461"/>
  <c r="AE497"/>
  <c r="AI481"/>
  <c r="AD374"/>
  <c r="AC504"/>
  <c r="AI450"/>
  <c r="AH463"/>
  <c r="AJ357"/>
  <c r="AE467"/>
  <c r="AC492"/>
  <c r="AD480"/>
  <c r="AH436"/>
  <c r="AG379"/>
  <c r="AH424"/>
  <c r="AH341"/>
  <c r="AE419"/>
  <c r="AE336"/>
  <c r="AJ456"/>
  <c r="AD320"/>
  <c r="AE455"/>
  <c r="AE501"/>
  <c r="AJ429"/>
  <c r="AD477"/>
  <c r="AJ507"/>
  <c r="AG472"/>
  <c r="AD411"/>
  <c r="AD495"/>
  <c r="AD204"/>
  <c r="AD498"/>
  <c r="AJ498"/>
  <c r="AI460"/>
  <c r="AE459"/>
  <c r="AI462"/>
  <c r="AJ384"/>
  <c r="AE465"/>
  <c r="AE440"/>
  <c r="AH396"/>
  <c r="AF473"/>
  <c r="AG467"/>
  <c r="AF283"/>
  <c r="AH379"/>
  <c r="AD23"/>
  <c r="AI190"/>
  <c r="AJ138"/>
  <c r="AE272"/>
  <c r="AH152"/>
  <c r="AC291"/>
  <c r="AC173"/>
  <c r="AF26"/>
  <c r="AH196"/>
  <c r="AC346"/>
  <c r="AJ431"/>
  <c r="AJ494"/>
  <c r="AC485"/>
  <c r="AG182"/>
  <c r="AD343"/>
  <c r="AH419"/>
  <c r="AJ370"/>
  <c r="AD422"/>
  <c r="AH301"/>
  <c r="AF339"/>
  <c r="AE386"/>
  <c r="AJ433"/>
  <c r="AE366"/>
  <c r="AC270"/>
  <c r="AE321"/>
  <c r="AG364"/>
  <c r="AE429"/>
  <c r="AG272"/>
  <c r="AH316"/>
  <c r="AC349"/>
  <c r="AF381"/>
  <c r="AD215"/>
  <c r="AH305"/>
  <c r="AD338"/>
  <c r="AG370"/>
  <c r="AJ402"/>
  <c r="AE434"/>
  <c r="AE461"/>
  <c r="AJ435"/>
  <c r="AH487"/>
  <c r="AC469"/>
  <c r="AD462"/>
  <c r="AE468"/>
  <c r="AJ495"/>
  <c r="AI510"/>
  <c r="AJ160"/>
  <c r="AI327"/>
  <c r="AF403"/>
  <c r="AC396"/>
  <c r="AF320"/>
  <c r="AG409"/>
  <c r="AF310"/>
  <c r="AD375"/>
  <c r="AI304"/>
  <c r="AH369"/>
  <c r="AG433"/>
  <c r="AF431"/>
  <c r="AI466"/>
  <c r="AC466"/>
  <c r="AE500"/>
  <c r="AH292"/>
  <c r="AC358"/>
  <c r="AC416"/>
  <c r="AI216"/>
  <c r="AH251"/>
  <c r="AF160"/>
  <c r="AF271"/>
  <c r="AI130"/>
  <c r="AG241"/>
  <c r="AD83"/>
  <c r="AJ209"/>
  <c r="AD49"/>
  <c r="AD190"/>
  <c r="AF334"/>
  <c r="AJ409"/>
  <c r="AD476"/>
  <c r="AG432"/>
  <c r="AH455"/>
  <c r="AC286"/>
  <c r="AG349"/>
  <c r="AI431"/>
  <c r="AG374"/>
  <c r="AC335"/>
  <c r="AJ147"/>
  <c r="AH215"/>
  <c r="AI134"/>
  <c r="AE254"/>
  <c r="AJ104"/>
  <c r="AF224"/>
  <c r="AF57"/>
  <c r="AE190"/>
  <c r="AH23"/>
  <c r="AC149"/>
  <c r="AH322"/>
  <c r="AF387"/>
  <c r="AF448"/>
  <c r="AF502"/>
  <c r="AC482"/>
  <c r="AE411"/>
  <c r="AH320"/>
  <c r="AJ372"/>
  <c r="AC443"/>
  <c r="AI426"/>
  <c r="AC405"/>
  <c r="AD294"/>
  <c r="AJ326"/>
  <c r="AC361"/>
  <c r="AC397"/>
  <c r="AJ439"/>
  <c r="AJ333"/>
  <c r="AI280"/>
  <c r="AG319"/>
  <c r="AG355"/>
  <c r="AI406"/>
  <c r="AE241"/>
  <c r="AH70"/>
  <c r="AF172"/>
  <c r="AI95"/>
  <c r="AH232"/>
  <c r="AG72"/>
  <c r="AE202"/>
  <c r="AC25"/>
  <c r="AF164"/>
  <c r="AF268"/>
  <c r="AD130"/>
  <c r="AE308"/>
  <c r="AC373"/>
  <c r="AF436"/>
  <c r="AF490"/>
  <c r="AG459"/>
  <c r="AH497"/>
  <c r="AE306"/>
  <c r="AD362"/>
  <c r="AD425"/>
  <c r="AI509"/>
  <c r="AJ508"/>
  <c r="AG281"/>
  <c r="AG320"/>
  <c r="AI354"/>
  <c r="AJ388"/>
  <c r="AD430"/>
  <c r="AD502"/>
  <c r="AE193"/>
  <c r="AF302"/>
  <c r="AH336"/>
  <c r="AE375"/>
  <c r="AG446"/>
  <c r="AH291"/>
  <c r="AI324"/>
  <c r="AD357"/>
  <c r="AG389"/>
  <c r="AH263"/>
  <c r="AI313"/>
  <c r="AD346"/>
  <c r="AH378"/>
  <c r="AC411"/>
  <c r="AC441"/>
  <c r="AH395"/>
  <c r="AC477"/>
  <c r="AF409"/>
  <c r="AG407"/>
  <c r="AG476"/>
  <c r="AC496"/>
  <c r="AC385"/>
  <c r="AG511"/>
  <c r="AD401"/>
  <c r="AJ412"/>
  <c r="AG325"/>
  <c r="AE458"/>
  <c r="AE507"/>
  <c r="AJ447"/>
  <c r="AF485"/>
  <c r="AF266"/>
  <c r="AH439"/>
  <c r="AH236"/>
  <c r="AD435"/>
  <c r="AJ368"/>
  <c r="AG464"/>
  <c r="AH282"/>
  <c r="AE446"/>
  <c r="AD483"/>
  <c r="AC490"/>
  <c r="AJ441"/>
  <c r="AG493"/>
  <c r="AG454"/>
  <c r="AC475"/>
  <c r="AJ444"/>
  <c r="AI504"/>
  <c r="AC501"/>
  <c r="CO13" i="12"/>
  <c r="CQ13"/>
  <c r="BQ13" a="1"/>
  <c r="BQ13" s="1"/>
  <c r="BR9"/>
  <c r="BJ7" a="1"/>
  <c r="AQ24" i="16" l="1"/>
  <c r="AC25" a="1"/>
  <c r="AC25" s="1"/>
  <c r="BS13" i="12"/>
  <c r="BR13"/>
  <c r="BJ11"/>
  <c r="BJ10"/>
  <c r="BJ9"/>
  <c r="BJ8"/>
  <c r="BJ7"/>
  <c r="BK7" s="1"/>
  <c r="AD25" i="16" l="1"/>
  <c r="AF25" s="1"/>
  <c r="BK8" i="12"/>
  <c r="BK9" s="1"/>
  <c r="BK10" s="1"/>
  <c r="BK11" s="1"/>
  <c r="BM34" s="1"/>
  <c r="BG15" a="1"/>
  <c r="DM15" a="1"/>
  <c r="CO15" a="1"/>
  <c r="DA15" a="1"/>
  <c r="BQ15" a="1"/>
  <c r="AC26" i="16" l="1" a="1"/>
  <c r="AD26" s="1"/>
  <c r="AQ25"/>
  <c r="BG49" i="12"/>
  <c r="BG85"/>
  <c r="BG121"/>
  <c r="BG157"/>
  <c r="BG193"/>
  <c r="BG229"/>
  <c r="BG265"/>
  <c r="BG301"/>
  <c r="BG337"/>
  <c r="BG373"/>
  <c r="BG409"/>
  <c r="BG445"/>
  <c r="BG481"/>
  <c r="BG18"/>
  <c r="BG54"/>
  <c r="BG90"/>
  <c r="BG126"/>
  <c r="BG162"/>
  <c r="BG198"/>
  <c r="BG234"/>
  <c r="BG270"/>
  <c r="BG306"/>
  <c r="BG342"/>
  <c r="BG378"/>
  <c r="BG414"/>
  <c r="BG450"/>
  <c r="BG486"/>
  <c r="BG23"/>
  <c r="BG59"/>
  <c r="BG95"/>
  <c r="BG131"/>
  <c r="BG167"/>
  <c r="BG203"/>
  <c r="BG239"/>
  <c r="BG275"/>
  <c r="BG311"/>
  <c r="BG347"/>
  <c r="BG383"/>
  <c r="BG419"/>
  <c r="BG455"/>
  <c r="BG491"/>
  <c r="BG28"/>
  <c r="BG45"/>
  <c r="BG122"/>
  <c r="BG194"/>
  <c r="BG266"/>
  <c r="BG338"/>
  <c r="BG410"/>
  <c r="BG482"/>
  <c r="BG286"/>
  <c r="BG370"/>
  <c r="BG454"/>
  <c r="BG429"/>
  <c r="BG15"/>
  <c r="BG328"/>
  <c r="BG471"/>
  <c r="BG94"/>
  <c r="BG166"/>
  <c r="BG262"/>
  <c r="BG464"/>
  <c r="BG256"/>
  <c r="BG387"/>
  <c r="BG69"/>
  <c r="BG141"/>
  <c r="BG213"/>
  <c r="BG285"/>
  <c r="BG357"/>
  <c r="BG465"/>
  <c r="BG148"/>
  <c r="BG436"/>
  <c r="BG38"/>
  <c r="BG116"/>
  <c r="BG188"/>
  <c r="BG260"/>
  <c r="BG332"/>
  <c r="BG404"/>
  <c r="BG172"/>
  <c r="BG460"/>
  <c r="BG50"/>
  <c r="BG123"/>
  <c r="BG195"/>
  <c r="BG267"/>
  <c r="BG339"/>
  <c r="BG43"/>
  <c r="BG91"/>
  <c r="BG133"/>
  <c r="BG175"/>
  <c r="BG217"/>
  <c r="BG259"/>
  <c r="BG307"/>
  <c r="BG349"/>
  <c r="BG391"/>
  <c r="BG433"/>
  <c r="BG475"/>
  <c r="BG24"/>
  <c r="BG66"/>
  <c r="BG108"/>
  <c r="BG150"/>
  <c r="BG192"/>
  <c r="BG240"/>
  <c r="BG282"/>
  <c r="BG324"/>
  <c r="BG366"/>
  <c r="BG408"/>
  <c r="BG456"/>
  <c r="BG498"/>
  <c r="BG41"/>
  <c r="BG83"/>
  <c r="BG125"/>
  <c r="BG173"/>
  <c r="BG215"/>
  <c r="BG257"/>
  <c r="BG299"/>
  <c r="BG341"/>
  <c r="BG389"/>
  <c r="BG431"/>
  <c r="BG473"/>
  <c r="BG16"/>
  <c r="BG27"/>
  <c r="BG134"/>
  <c r="BG218"/>
  <c r="BG302"/>
  <c r="BG386"/>
  <c r="BG470"/>
  <c r="BG37"/>
  <c r="BG79"/>
  <c r="BG127"/>
  <c r="BG169"/>
  <c r="BG211"/>
  <c r="BG253"/>
  <c r="BG295"/>
  <c r="BG343"/>
  <c r="BG385"/>
  <c r="BG427"/>
  <c r="BG469"/>
  <c r="BG511"/>
  <c r="BG60"/>
  <c r="BG102"/>
  <c r="BG144"/>
  <c r="BG186"/>
  <c r="BG228"/>
  <c r="BG276"/>
  <c r="BG318"/>
  <c r="BG360"/>
  <c r="BG402"/>
  <c r="BG444"/>
  <c r="BG492"/>
  <c r="BG35"/>
  <c r="BG77"/>
  <c r="BG119"/>
  <c r="BG161"/>
  <c r="BG31"/>
  <c r="BG73"/>
  <c r="BG115"/>
  <c r="BG163"/>
  <c r="BG205"/>
  <c r="BG247"/>
  <c r="BG289"/>
  <c r="BG331"/>
  <c r="BG379"/>
  <c r="BG421"/>
  <c r="BG463"/>
  <c r="BG505"/>
  <c r="BG48"/>
  <c r="BG96"/>
  <c r="BG138"/>
  <c r="BG180"/>
  <c r="BG222"/>
  <c r="BG264"/>
  <c r="BG312"/>
  <c r="BG354"/>
  <c r="BG396"/>
  <c r="BG438"/>
  <c r="BG480"/>
  <c r="BG29"/>
  <c r="BG71"/>
  <c r="BG113"/>
  <c r="BG155"/>
  <c r="BG25"/>
  <c r="BG67"/>
  <c r="BG109"/>
  <c r="BG151"/>
  <c r="BG199"/>
  <c r="BG241"/>
  <c r="BG283"/>
  <c r="BG325"/>
  <c r="BG367"/>
  <c r="BG415"/>
  <c r="BG457"/>
  <c r="BG499"/>
  <c r="BG42"/>
  <c r="BG84"/>
  <c r="BG132"/>
  <c r="BG174"/>
  <c r="BG216"/>
  <c r="BG258"/>
  <c r="BG300"/>
  <c r="BG348"/>
  <c r="BG390"/>
  <c r="BG432"/>
  <c r="BG474"/>
  <c r="BG17"/>
  <c r="BG65"/>
  <c r="BG107"/>
  <c r="BG149"/>
  <c r="BG19"/>
  <c r="BG61"/>
  <c r="BG103"/>
  <c r="BG145"/>
  <c r="BG187"/>
  <c r="BG55"/>
  <c r="BG97"/>
  <c r="BG139"/>
  <c r="BG181"/>
  <c r="BG223"/>
  <c r="BG271"/>
  <c r="BG361"/>
  <c r="BG493"/>
  <c r="BG120"/>
  <c r="BG252"/>
  <c r="BG384"/>
  <c r="BG510"/>
  <c r="BG143"/>
  <c r="BG221"/>
  <c r="BG269"/>
  <c r="BG323"/>
  <c r="BG371"/>
  <c r="BG425"/>
  <c r="BG479"/>
  <c r="BG34"/>
  <c r="BG86"/>
  <c r="BG182"/>
  <c r="BG290"/>
  <c r="BG398"/>
  <c r="BG506"/>
  <c r="BG334"/>
  <c r="BG430"/>
  <c r="BG405"/>
  <c r="BG88"/>
  <c r="BG424"/>
  <c r="BG58"/>
  <c r="BG142"/>
  <c r="BG238"/>
  <c r="BG33"/>
  <c r="BG352"/>
  <c r="BG21"/>
  <c r="BG117"/>
  <c r="BG201"/>
  <c r="BG297"/>
  <c r="BG381"/>
  <c r="BG512"/>
  <c r="BG340"/>
  <c r="BG20"/>
  <c r="BG128"/>
  <c r="BG212"/>
  <c r="BG296"/>
  <c r="BG380"/>
  <c r="BG124"/>
  <c r="BG508"/>
  <c r="BG75"/>
  <c r="BG159"/>
  <c r="BG243"/>
  <c r="BG327"/>
  <c r="BG355"/>
  <c r="BG487"/>
  <c r="BG114"/>
  <c r="BG246"/>
  <c r="BG372"/>
  <c r="BG504"/>
  <c r="BG137"/>
  <c r="BG209"/>
  <c r="BG263"/>
  <c r="BG317"/>
  <c r="BG365"/>
  <c r="BG413"/>
  <c r="BG467"/>
  <c r="BG22"/>
  <c r="BG74"/>
  <c r="BG170"/>
  <c r="BG278"/>
  <c r="BG374"/>
  <c r="BG494"/>
  <c r="BG322"/>
  <c r="BG418"/>
  <c r="BG514"/>
  <c r="BG488"/>
  <c r="BG376"/>
  <c r="BG44"/>
  <c r="BG130"/>
  <c r="BG226"/>
  <c r="BG416"/>
  <c r="BG304"/>
  <c r="BG507"/>
  <c r="BG105"/>
  <c r="BG189"/>
  <c r="BG273"/>
  <c r="BG369"/>
  <c r="BG476"/>
  <c r="BG292"/>
  <c r="BG483"/>
  <c r="BG104"/>
  <c r="BG200"/>
  <c r="BG284"/>
  <c r="BG368"/>
  <c r="BG64"/>
  <c r="BG412"/>
  <c r="BG63"/>
  <c r="BG147"/>
  <c r="BG231"/>
  <c r="BG315"/>
  <c r="BG319"/>
  <c r="BG451"/>
  <c r="BG78"/>
  <c r="BG210"/>
  <c r="BG336"/>
  <c r="BG468"/>
  <c r="BG101"/>
  <c r="BG197"/>
  <c r="BG251"/>
  <c r="BG305"/>
  <c r="BG359"/>
  <c r="BG407"/>
  <c r="BG461"/>
  <c r="BG509"/>
  <c r="BG62"/>
  <c r="BG158"/>
  <c r="BG254"/>
  <c r="BG362"/>
  <c r="BG458"/>
  <c r="BG298"/>
  <c r="BG406"/>
  <c r="BG502"/>
  <c r="BG440"/>
  <c r="BG280"/>
  <c r="BG26"/>
  <c r="BG202"/>
  <c r="BG489"/>
  <c r="BG208"/>
  <c r="BG447"/>
  <c r="BG93"/>
  <c r="BG177"/>
  <c r="BG261"/>
  <c r="BG345"/>
  <c r="BG513"/>
  <c r="BG244"/>
  <c r="BG423"/>
  <c r="BG92"/>
  <c r="BG176"/>
  <c r="BG272"/>
  <c r="BG356"/>
  <c r="BG500"/>
  <c r="BG364"/>
  <c r="BG32"/>
  <c r="BG135"/>
  <c r="BG219"/>
  <c r="BG303"/>
  <c r="BG478"/>
  <c r="BG249"/>
  <c r="BG441"/>
  <c r="BG196"/>
  <c r="BG80"/>
  <c r="BG164"/>
  <c r="BG248"/>
  <c r="BG452"/>
  <c r="BG316"/>
  <c r="BG495"/>
  <c r="BG111"/>
  <c r="BG291"/>
  <c r="BG287"/>
  <c r="BG497"/>
  <c r="BG326"/>
  <c r="BG466"/>
  <c r="BG351"/>
  <c r="BG382"/>
  <c r="BG153"/>
  <c r="BG417"/>
  <c r="BG484"/>
  <c r="BG320"/>
  <c r="BG183"/>
  <c r="BG53"/>
  <c r="BG110"/>
  <c r="BG358"/>
  <c r="BG184"/>
  <c r="BG178"/>
  <c r="BG448"/>
  <c r="BG100"/>
  <c r="BG152"/>
  <c r="BG428"/>
  <c r="BG99"/>
  <c r="BG459"/>
  <c r="BG118"/>
  <c r="BG185"/>
  <c r="BG395"/>
  <c r="BG443"/>
  <c r="BG46"/>
  <c r="BG250"/>
  <c r="BG477"/>
  <c r="BG82"/>
  <c r="BG112"/>
  <c r="BG321"/>
  <c r="BG68"/>
  <c r="BG268"/>
  <c r="BG279"/>
  <c r="BG313"/>
  <c r="BG439"/>
  <c r="BG72"/>
  <c r="BG204"/>
  <c r="BG330"/>
  <c r="BG462"/>
  <c r="BG89"/>
  <c r="BG191"/>
  <c r="BG245"/>
  <c r="BG293"/>
  <c r="BG353"/>
  <c r="BG401"/>
  <c r="BG449"/>
  <c r="BG503"/>
  <c r="BG52"/>
  <c r="BG146"/>
  <c r="BG242"/>
  <c r="BG350"/>
  <c r="BG446"/>
  <c r="BG274"/>
  <c r="BG394"/>
  <c r="BG490"/>
  <c r="BG501"/>
  <c r="BG232"/>
  <c r="BG411"/>
  <c r="BG106"/>
  <c r="BG190"/>
  <c r="BG160"/>
  <c r="BG496"/>
  <c r="BG81"/>
  <c r="BG165"/>
  <c r="BG333"/>
  <c r="BG363"/>
  <c r="BG344"/>
  <c r="BG207"/>
  <c r="BG434"/>
  <c r="BG237"/>
  <c r="BG236"/>
  <c r="BG435"/>
  <c r="BG277"/>
  <c r="BG403"/>
  <c r="BG36"/>
  <c r="BG168"/>
  <c r="BG294"/>
  <c r="BG426"/>
  <c r="BG233"/>
  <c r="BG335"/>
  <c r="BG230"/>
  <c r="BG57"/>
  <c r="BG235"/>
  <c r="BG397"/>
  <c r="BG30"/>
  <c r="BG156"/>
  <c r="BG288"/>
  <c r="BG420"/>
  <c r="BG47"/>
  <c r="BG179"/>
  <c r="BG227"/>
  <c r="BG281"/>
  <c r="BG329"/>
  <c r="BG377"/>
  <c r="BG437"/>
  <c r="BG485"/>
  <c r="BG40"/>
  <c r="BG98"/>
  <c r="BG206"/>
  <c r="BG314"/>
  <c r="BG422"/>
  <c r="BG214"/>
  <c r="BG346"/>
  <c r="BG442"/>
  <c r="BG453"/>
  <c r="BG136"/>
  <c r="BG472"/>
  <c r="BG70"/>
  <c r="BG154"/>
  <c r="BG310"/>
  <c r="BG76"/>
  <c r="BG400"/>
  <c r="BG39"/>
  <c r="BG129"/>
  <c r="BG225"/>
  <c r="BG309"/>
  <c r="BG393"/>
  <c r="BG51"/>
  <c r="BG388"/>
  <c r="BG56"/>
  <c r="BG140"/>
  <c r="BG224"/>
  <c r="BG308"/>
  <c r="BG392"/>
  <c r="BG220"/>
  <c r="BG399"/>
  <c r="BG87"/>
  <c r="BG171"/>
  <c r="BG255"/>
  <c r="BG375"/>
  <c r="DM49"/>
  <c r="DM85"/>
  <c r="DM121"/>
  <c r="DM157"/>
  <c r="DM193"/>
  <c r="DM229"/>
  <c r="DM265"/>
  <c r="DM301"/>
  <c r="DM337"/>
  <c r="DM373"/>
  <c r="DM409"/>
  <c r="DM445"/>
  <c r="DM481"/>
  <c r="DM18"/>
  <c r="DM54"/>
  <c r="DM90"/>
  <c r="DM126"/>
  <c r="DM162"/>
  <c r="DM198"/>
  <c r="DM234"/>
  <c r="DM270"/>
  <c r="DM306"/>
  <c r="DM342"/>
  <c r="DM378"/>
  <c r="DM414"/>
  <c r="DM450"/>
  <c r="DM486"/>
  <c r="DM23"/>
  <c r="DM59"/>
  <c r="DM95"/>
  <c r="DM131"/>
  <c r="DM167"/>
  <c r="DM203"/>
  <c r="DM239"/>
  <c r="DM275"/>
  <c r="DM311"/>
  <c r="DM347"/>
  <c r="DM383"/>
  <c r="DM419"/>
  <c r="DM455"/>
  <c r="DM491"/>
  <c r="DM28"/>
  <c r="DM45"/>
  <c r="DM122"/>
  <c r="DM194"/>
  <c r="DM266"/>
  <c r="DM338"/>
  <c r="DM410"/>
  <c r="DM482"/>
  <c r="DM70"/>
  <c r="DM142"/>
  <c r="DM214"/>
  <c r="DM286"/>
  <c r="DM358"/>
  <c r="DM430"/>
  <c r="DM502"/>
  <c r="DM81"/>
  <c r="DM153"/>
  <c r="DM225"/>
  <c r="DM297"/>
  <c r="DM369"/>
  <c r="DM441"/>
  <c r="DM513"/>
  <c r="DM92"/>
  <c r="DM164"/>
  <c r="DM236"/>
  <c r="DM308"/>
  <c r="DM380"/>
  <c r="DM452"/>
  <c r="DM15"/>
  <c r="DM100"/>
  <c r="DM172"/>
  <c r="DM244"/>
  <c r="DM316"/>
  <c r="DM388"/>
  <c r="DM460"/>
  <c r="DM50"/>
  <c r="DM123"/>
  <c r="DM195"/>
  <c r="DM267"/>
  <c r="DM339"/>
  <c r="DM411"/>
  <c r="DM483"/>
  <c r="DM55"/>
  <c r="DM97"/>
  <c r="DM139"/>
  <c r="DM181"/>
  <c r="DM223"/>
  <c r="DM271"/>
  <c r="DM313"/>
  <c r="DM355"/>
  <c r="DM397"/>
  <c r="DM439"/>
  <c r="DM487"/>
  <c r="DM30"/>
  <c r="DM72"/>
  <c r="DM114"/>
  <c r="DM156"/>
  <c r="DM204"/>
  <c r="DM246"/>
  <c r="DM288"/>
  <c r="DM330"/>
  <c r="DM372"/>
  <c r="DM420"/>
  <c r="DM462"/>
  <c r="DM504"/>
  <c r="DM47"/>
  <c r="DM89"/>
  <c r="DM137"/>
  <c r="DM179"/>
  <c r="DM221"/>
  <c r="DM263"/>
  <c r="DM305"/>
  <c r="DM353"/>
  <c r="DM395"/>
  <c r="DM437"/>
  <c r="DM479"/>
  <c r="DM22"/>
  <c r="DM62"/>
  <c r="DM146"/>
  <c r="DM230"/>
  <c r="DM314"/>
  <c r="DM398"/>
  <c r="DM494"/>
  <c r="DM94"/>
  <c r="DM178"/>
  <c r="DM262"/>
  <c r="DM346"/>
  <c r="DM442"/>
  <c r="DM21"/>
  <c r="DM117"/>
  <c r="DM201"/>
  <c r="DM285"/>
  <c r="DM381"/>
  <c r="DM465"/>
  <c r="DM56"/>
  <c r="DM140"/>
  <c r="DM224"/>
  <c r="DM320"/>
  <c r="DM404"/>
  <c r="DM488"/>
  <c r="DM76"/>
  <c r="DM160"/>
  <c r="DM256"/>
  <c r="DM340"/>
  <c r="DM424"/>
  <c r="DM508"/>
  <c r="DM111"/>
  <c r="DM207"/>
  <c r="DM291"/>
  <c r="DM375"/>
  <c r="DM459"/>
  <c r="DM43"/>
  <c r="DM91"/>
  <c r="DM133"/>
  <c r="DM175"/>
  <c r="DM217"/>
  <c r="DM259"/>
  <c r="DM307"/>
  <c r="DM349"/>
  <c r="DM391"/>
  <c r="DM433"/>
  <c r="DM475"/>
  <c r="DM24"/>
  <c r="DM66"/>
  <c r="DM108"/>
  <c r="DM150"/>
  <c r="DM192"/>
  <c r="DM240"/>
  <c r="DM282"/>
  <c r="DM324"/>
  <c r="DM366"/>
  <c r="DM408"/>
  <c r="DM456"/>
  <c r="DM498"/>
  <c r="DM41"/>
  <c r="DM83"/>
  <c r="DM125"/>
  <c r="DM173"/>
  <c r="DM215"/>
  <c r="DM257"/>
  <c r="DM299"/>
  <c r="DM341"/>
  <c r="DM389"/>
  <c r="DM431"/>
  <c r="DM473"/>
  <c r="DM16"/>
  <c r="DM27"/>
  <c r="DM134"/>
  <c r="DM218"/>
  <c r="DM302"/>
  <c r="DM386"/>
  <c r="DM470"/>
  <c r="DM82"/>
  <c r="DM166"/>
  <c r="DM250"/>
  <c r="DM334"/>
  <c r="DM418"/>
  <c r="DM514"/>
  <c r="DM105"/>
  <c r="DM189"/>
  <c r="DM273"/>
  <c r="DM357"/>
  <c r="DM453"/>
  <c r="DM38"/>
  <c r="DM128"/>
  <c r="DM212"/>
  <c r="DM296"/>
  <c r="DM392"/>
  <c r="DM476"/>
  <c r="DM64"/>
  <c r="DM148"/>
  <c r="DM232"/>
  <c r="DM328"/>
  <c r="DM412"/>
  <c r="DM496"/>
  <c r="DM99"/>
  <c r="DM183"/>
  <c r="DM279"/>
  <c r="DM363"/>
  <c r="DM447"/>
  <c r="DM37"/>
  <c r="DM79"/>
  <c r="DM127"/>
  <c r="DM169"/>
  <c r="DM211"/>
  <c r="DM253"/>
  <c r="DM295"/>
  <c r="DM343"/>
  <c r="DM385"/>
  <c r="DM427"/>
  <c r="DM469"/>
  <c r="DM511"/>
  <c r="DM60"/>
  <c r="DM102"/>
  <c r="DM144"/>
  <c r="DM186"/>
  <c r="DM228"/>
  <c r="DM276"/>
  <c r="DM318"/>
  <c r="DM360"/>
  <c r="DM402"/>
  <c r="DM444"/>
  <c r="DM492"/>
  <c r="DM35"/>
  <c r="DM77"/>
  <c r="DM119"/>
  <c r="DM161"/>
  <c r="DM209"/>
  <c r="DM251"/>
  <c r="DM293"/>
  <c r="DM335"/>
  <c r="DM377"/>
  <c r="DM425"/>
  <c r="DM467"/>
  <c r="DM509"/>
  <c r="DM52"/>
  <c r="DM110"/>
  <c r="DM206"/>
  <c r="DM290"/>
  <c r="DM374"/>
  <c r="DM458"/>
  <c r="DM58"/>
  <c r="DM154"/>
  <c r="DM238"/>
  <c r="DM322"/>
  <c r="DM406"/>
  <c r="DM490"/>
  <c r="DM93"/>
  <c r="DM177"/>
  <c r="DM261"/>
  <c r="DM345"/>
  <c r="DM429"/>
  <c r="DM20"/>
  <c r="DM116"/>
  <c r="DM200"/>
  <c r="DM284"/>
  <c r="DM368"/>
  <c r="DM464"/>
  <c r="DM51"/>
  <c r="DM136"/>
  <c r="DM220"/>
  <c r="DM304"/>
  <c r="DM400"/>
  <c r="DM484"/>
  <c r="DM87"/>
  <c r="DM171"/>
  <c r="DM255"/>
  <c r="DM351"/>
  <c r="DM435"/>
  <c r="DM73"/>
  <c r="DM163"/>
  <c r="DM247"/>
  <c r="DM331"/>
  <c r="DM421"/>
  <c r="DM505"/>
  <c r="DM96"/>
  <c r="DM180"/>
  <c r="DM264"/>
  <c r="DM354"/>
  <c r="DM438"/>
  <c r="DM29"/>
  <c r="DM113"/>
  <c r="DM197"/>
  <c r="DM287"/>
  <c r="DM371"/>
  <c r="DM461"/>
  <c r="DM46"/>
  <c r="DM182"/>
  <c r="DM362"/>
  <c r="DM44"/>
  <c r="DM226"/>
  <c r="DM394"/>
  <c r="DM69"/>
  <c r="DM249"/>
  <c r="DM417"/>
  <c r="DM104"/>
  <c r="DM272"/>
  <c r="DM440"/>
  <c r="DM124"/>
  <c r="DM292"/>
  <c r="DM472"/>
  <c r="DM159"/>
  <c r="DM327"/>
  <c r="DM507"/>
  <c r="DM67"/>
  <c r="DM151"/>
  <c r="DM241"/>
  <c r="DM325"/>
  <c r="DM415"/>
  <c r="DM499"/>
  <c r="DM84"/>
  <c r="DM174"/>
  <c r="DM258"/>
  <c r="DM348"/>
  <c r="DM432"/>
  <c r="DM17"/>
  <c r="DM107"/>
  <c r="DM191"/>
  <c r="DM281"/>
  <c r="DM365"/>
  <c r="DM449"/>
  <c r="DM40"/>
  <c r="DM170"/>
  <c r="DM350"/>
  <c r="DM26"/>
  <c r="DM202"/>
  <c r="DM382"/>
  <c r="DM57"/>
  <c r="DM237"/>
  <c r="DM405"/>
  <c r="DM80"/>
  <c r="DM260"/>
  <c r="DM428"/>
  <c r="DM112"/>
  <c r="DM280"/>
  <c r="DM448"/>
  <c r="DM147"/>
  <c r="DM315"/>
  <c r="DM495"/>
  <c r="DM61"/>
  <c r="DM145"/>
  <c r="DM235"/>
  <c r="DM319"/>
  <c r="DM403"/>
  <c r="DM493"/>
  <c r="DM78"/>
  <c r="DM168"/>
  <c r="DM252"/>
  <c r="DM336"/>
  <c r="DM426"/>
  <c r="DM510"/>
  <c r="DM101"/>
  <c r="DM185"/>
  <c r="DM269"/>
  <c r="DM359"/>
  <c r="DM443"/>
  <c r="DM34"/>
  <c r="DM158"/>
  <c r="DM326"/>
  <c r="DM506"/>
  <c r="DM190"/>
  <c r="DM370"/>
  <c r="DM39"/>
  <c r="DM213"/>
  <c r="DM393"/>
  <c r="DM68"/>
  <c r="DM248"/>
  <c r="DM416"/>
  <c r="DM88"/>
  <c r="DM268"/>
  <c r="DM436"/>
  <c r="DM135"/>
  <c r="DM303"/>
  <c r="DM471"/>
  <c r="DM31"/>
  <c r="DM115"/>
  <c r="DM205"/>
  <c r="DM289"/>
  <c r="DM379"/>
  <c r="DM463"/>
  <c r="DM48"/>
  <c r="DM138"/>
  <c r="DM222"/>
  <c r="DM312"/>
  <c r="DM396"/>
  <c r="DM480"/>
  <c r="DM71"/>
  <c r="DM155"/>
  <c r="DM245"/>
  <c r="DM329"/>
  <c r="DM413"/>
  <c r="DM503"/>
  <c r="DM98"/>
  <c r="DM278"/>
  <c r="DM446"/>
  <c r="DM130"/>
  <c r="DM310"/>
  <c r="DM478"/>
  <c r="DM165"/>
  <c r="DM333"/>
  <c r="DM501"/>
  <c r="DM188"/>
  <c r="DM356"/>
  <c r="DM33"/>
  <c r="DM208"/>
  <c r="DM376"/>
  <c r="DM75"/>
  <c r="DM243"/>
  <c r="DM423"/>
  <c r="DM25"/>
  <c r="DM109"/>
  <c r="DM199"/>
  <c r="DM283"/>
  <c r="DM367"/>
  <c r="DM457"/>
  <c r="DM42"/>
  <c r="DM132"/>
  <c r="DM216"/>
  <c r="DM300"/>
  <c r="DM390"/>
  <c r="DM474"/>
  <c r="DM65"/>
  <c r="DM149"/>
  <c r="DM233"/>
  <c r="DM323"/>
  <c r="DM407"/>
  <c r="DM497"/>
  <c r="DM86"/>
  <c r="DM254"/>
  <c r="DM434"/>
  <c r="DM118"/>
  <c r="DM298"/>
  <c r="DM466"/>
  <c r="DM141"/>
  <c r="DM321"/>
  <c r="DM489"/>
  <c r="DM176"/>
  <c r="DM344"/>
  <c r="DM512"/>
  <c r="DM196"/>
  <c r="DM364"/>
  <c r="DM63"/>
  <c r="DM231"/>
  <c r="DM399"/>
  <c r="DM19"/>
  <c r="DM103"/>
  <c r="DM187"/>
  <c r="DM277"/>
  <c r="DM361"/>
  <c r="DM451"/>
  <c r="DM36"/>
  <c r="DM120"/>
  <c r="DM210"/>
  <c r="DM294"/>
  <c r="DM384"/>
  <c r="DM468"/>
  <c r="DM53"/>
  <c r="DM143"/>
  <c r="DM227"/>
  <c r="DM317"/>
  <c r="DM401"/>
  <c r="DM485"/>
  <c r="DM74"/>
  <c r="DM242"/>
  <c r="DM422"/>
  <c r="DM106"/>
  <c r="DM274"/>
  <c r="DM454"/>
  <c r="DM129"/>
  <c r="DM309"/>
  <c r="DM477"/>
  <c r="DM152"/>
  <c r="DM332"/>
  <c r="DM500"/>
  <c r="DM184"/>
  <c r="DM352"/>
  <c r="DM32"/>
  <c r="DM219"/>
  <c r="DM387"/>
  <c r="DA37"/>
  <c r="DA73"/>
  <c r="DA109"/>
  <c r="DA145"/>
  <c r="DA181"/>
  <c r="DA217"/>
  <c r="DA253"/>
  <c r="DA289"/>
  <c r="DA325"/>
  <c r="DA361"/>
  <c r="DA397"/>
  <c r="DA433"/>
  <c r="DA469"/>
  <c r="DA505"/>
  <c r="DA42"/>
  <c r="DA78"/>
  <c r="DA114"/>
  <c r="DA150"/>
  <c r="DA186"/>
  <c r="DA222"/>
  <c r="DA258"/>
  <c r="DA294"/>
  <c r="DA330"/>
  <c r="DA366"/>
  <c r="DA402"/>
  <c r="DA438"/>
  <c r="DA474"/>
  <c r="DA510"/>
  <c r="DA47"/>
  <c r="DA83"/>
  <c r="DA119"/>
  <c r="DA155"/>
  <c r="DA191"/>
  <c r="DA227"/>
  <c r="DA263"/>
  <c r="DA299"/>
  <c r="DA335"/>
  <c r="DA371"/>
  <c r="DA407"/>
  <c r="DA443"/>
  <c r="DA479"/>
  <c r="DA16"/>
  <c r="DA52"/>
  <c r="DA98"/>
  <c r="DA170"/>
  <c r="DA242"/>
  <c r="DA314"/>
  <c r="DA386"/>
  <c r="DA458"/>
  <c r="DA466"/>
  <c r="DA69"/>
  <c r="DA189"/>
  <c r="DA321"/>
  <c r="DA465"/>
  <c r="DA116"/>
  <c r="DA260"/>
  <c r="DA404"/>
  <c r="DA33"/>
  <c r="DA184"/>
  <c r="DA328"/>
  <c r="DA460"/>
  <c r="DA75"/>
  <c r="DA147"/>
  <c r="DA219"/>
  <c r="DA291"/>
  <c r="DA363"/>
  <c r="DA435"/>
  <c r="DA507"/>
  <c r="DA94"/>
  <c r="DA166"/>
  <c r="DA238"/>
  <c r="DA310"/>
  <c r="DA382"/>
  <c r="DA490"/>
  <c r="DA201"/>
  <c r="DA357"/>
  <c r="DA501"/>
  <c r="DA152"/>
  <c r="DA296"/>
  <c r="DA440"/>
  <c r="DA100"/>
  <c r="DA244"/>
  <c r="DA388"/>
  <c r="DA31"/>
  <c r="DA79"/>
  <c r="DA121"/>
  <c r="DA163"/>
  <c r="DA205"/>
  <c r="DA247"/>
  <c r="DA295"/>
  <c r="DA337"/>
  <c r="DA379"/>
  <c r="DA421"/>
  <c r="DA463"/>
  <c r="DA511"/>
  <c r="DA54"/>
  <c r="DA96"/>
  <c r="DA138"/>
  <c r="DA180"/>
  <c r="DA228"/>
  <c r="DA270"/>
  <c r="DA312"/>
  <c r="DA354"/>
  <c r="DA396"/>
  <c r="DA444"/>
  <c r="DA486"/>
  <c r="DA29"/>
  <c r="DA71"/>
  <c r="DA113"/>
  <c r="DA161"/>
  <c r="DA203"/>
  <c r="DA245"/>
  <c r="DA287"/>
  <c r="DA329"/>
  <c r="DA377"/>
  <c r="DA419"/>
  <c r="DA461"/>
  <c r="DA503"/>
  <c r="DA46"/>
  <c r="DA110"/>
  <c r="DA194"/>
  <c r="DA278"/>
  <c r="DA362"/>
  <c r="DA446"/>
  <c r="DA478"/>
  <c r="DA93"/>
  <c r="DA249"/>
  <c r="DA417"/>
  <c r="DA92"/>
  <c r="DA284"/>
  <c r="DA452"/>
  <c r="DA112"/>
  <c r="DA280"/>
  <c r="DA436"/>
  <c r="DA87"/>
  <c r="DA171"/>
  <c r="DA255"/>
  <c r="DA339"/>
  <c r="DA423"/>
  <c r="DA26"/>
  <c r="DA118"/>
  <c r="DA202"/>
  <c r="DA286"/>
  <c r="DA370"/>
  <c r="DA39"/>
  <c r="DA261"/>
  <c r="DA429"/>
  <c r="DA104"/>
  <c r="DA272"/>
  <c r="DA464"/>
  <c r="DA148"/>
  <c r="DA316"/>
  <c r="DA496"/>
  <c r="DA306"/>
  <c r="DA25"/>
  <c r="DA67"/>
  <c r="DA115"/>
  <c r="DA157"/>
  <c r="DA199"/>
  <c r="DA241"/>
  <c r="DA283"/>
  <c r="DA331"/>
  <c r="DA373"/>
  <c r="DA415"/>
  <c r="DA457"/>
  <c r="DA499"/>
  <c r="DA48"/>
  <c r="DA90"/>
  <c r="DA132"/>
  <c r="DA174"/>
  <c r="DA216"/>
  <c r="DA264"/>
  <c r="DA348"/>
  <c r="DA390"/>
  <c r="DA432"/>
  <c r="DA480"/>
  <c r="DA23"/>
  <c r="DA65"/>
  <c r="DA107"/>
  <c r="DA149"/>
  <c r="DA197"/>
  <c r="DA239"/>
  <c r="DA281"/>
  <c r="DA323"/>
  <c r="DA365"/>
  <c r="DA413"/>
  <c r="DA455"/>
  <c r="DA497"/>
  <c r="DA40"/>
  <c r="DA86"/>
  <c r="DA182"/>
  <c r="DA266"/>
  <c r="DA350"/>
  <c r="DA434"/>
  <c r="DA442"/>
  <c r="DA81"/>
  <c r="DA225"/>
  <c r="DA393"/>
  <c r="DA68"/>
  <c r="DA236"/>
  <c r="DA428"/>
  <c r="DA88"/>
  <c r="DA256"/>
  <c r="DA424"/>
  <c r="DA63"/>
  <c r="DA159"/>
  <c r="DA243"/>
  <c r="DA327"/>
  <c r="DA411"/>
  <c r="DA495"/>
  <c r="DA106"/>
  <c r="DA190"/>
  <c r="DA274"/>
  <c r="DA358"/>
  <c r="DA454"/>
  <c r="DA237"/>
  <c r="DA405"/>
  <c r="DA80"/>
  <c r="DA248"/>
  <c r="DA416"/>
  <c r="DA124"/>
  <c r="DA292"/>
  <c r="DA472"/>
  <c r="DA19"/>
  <c r="DA61"/>
  <c r="DA103"/>
  <c r="DA151"/>
  <c r="DA193"/>
  <c r="DA235"/>
  <c r="DA277"/>
  <c r="DA319"/>
  <c r="DA367"/>
  <c r="DA409"/>
  <c r="DA451"/>
  <c r="DA493"/>
  <c r="DA36"/>
  <c r="DA84"/>
  <c r="DA126"/>
  <c r="DA168"/>
  <c r="DA210"/>
  <c r="DA252"/>
  <c r="DA300"/>
  <c r="DA342"/>
  <c r="DA384"/>
  <c r="DA426"/>
  <c r="DA468"/>
  <c r="DA17"/>
  <c r="DA59"/>
  <c r="DA101"/>
  <c r="DA143"/>
  <c r="DA185"/>
  <c r="DA233"/>
  <c r="DA275"/>
  <c r="DA317"/>
  <c r="DA359"/>
  <c r="DA401"/>
  <c r="DA449"/>
  <c r="DA491"/>
  <c r="DA34"/>
  <c r="DA74"/>
  <c r="DA158"/>
  <c r="DA254"/>
  <c r="DA338"/>
  <c r="DA422"/>
  <c r="DA506"/>
  <c r="DA57"/>
  <c r="DA213"/>
  <c r="DA369"/>
  <c r="DA38"/>
  <c r="DA212"/>
  <c r="DA380"/>
  <c r="DA64"/>
  <c r="DA232"/>
  <c r="DA400"/>
  <c r="DA50"/>
  <c r="DA135"/>
  <c r="DA231"/>
  <c r="DA315"/>
  <c r="DA399"/>
  <c r="DA483"/>
  <c r="DA82"/>
  <c r="DA178"/>
  <c r="DA262"/>
  <c r="DA346"/>
  <c r="DA430"/>
  <c r="DA177"/>
  <c r="DA381"/>
  <c r="DA56"/>
  <c r="DA224"/>
  <c r="DA392"/>
  <c r="DA76"/>
  <c r="DA268"/>
  <c r="DA448"/>
  <c r="DA97"/>
  <c r="DA187"/>
  <c r="DA271"/>
  <c r="DA355"/>
  <c r="DA445"/>
  <c r="DA30"/>
  <c r="DA120"/>
  <c r="DA204"/>
  <c r="DA288"/>
  <c r="DA378"/>
  <c r="DA462"/>
  <c r="DA53"/>
  <c r="DA137"/>
  <c r="DA221"/>
  <c r="DA311"/>
  <c r="DA395"/>
  <c r="DA485"/>
  <c r="DA62"/>
  <c r="DA230"/>
  <c r="DA410"/>
  <c r="DA21"/>
  <c r="DA345"/>
  <c r="DA188"/>
  <c r="DA512"/>
  <c r="DA376"/>
  <c r="DA123"/>
  <c r="DA303"/>
  <c r="DA471"/>
  <c r="DA154"/>
  <c r="DA334"/>
  <c r="DA153"/>
  <c r="DA20"/>
  <c r="DA368"/>
  <c r="DA220"/>
  <c r="DA91"/>
  <c r="DA175"/>
  <c r="DA265"/>
  <c r="DA349"/>
  <c r="DA439"/>
  <c r="DA24"/>
  <c r="DA108"/>
  <c r="DA198"/>
  <c r="DA282"/>
  <c r="DA372"/>
  <c r="DA456"/>
  <c r="DA41"/>
  <c r="DA131"/>
  <c r="DA215"/>
  <c r="DA305"/>
  <c r="DA389"/>
  <c r="DA473"/>
  <c r="DA45"/>
  <c r="DA218"/>
  <c r="DA398"/>
  <c r="DA514"/>
  <c r="DA297"/>
  <c r="DA164"/>
  <c r="DA488"/>
  <c r="DA352"/>
  <c r="DA111"/>
  <c r="DA279"/>
  <c r="DA459"/>
  <c r="DA142"/>
  <c r="DA322"/>
  <c r="DA129"/>
  <c r="DA477"/>
  <c r="DA344"/>
  <c r="DA196"/>
  <c r="DA85"/>
  <c r="DA169"/>
  <c r="DA259"/>
  <c r="DA343"/>
  <c r="DA427"/>
  <c r="DA18"/>
  <c r="DA102"/>
  <c r="DA192"/>
  <c r="DA276"/>
  <c r="DA360"/>
  <c r="DA450"/>
  <c r="DA35"/>
  <c r="DA125"/>
  <c r="DA209"/>
  <c r="DA293"/>
  <c r="DA383"/>
  <c r="DA467"/>
  <c r="DA27"/>
  <c r="DA206"/>
  <c r="DA374"/>
  <c r="DA502"/>
  <c r="DA273"/>
  <c r="DA140"/>
  <c r="DA476"/>
  <c r="DA304"/>
  <c r="DA99"/>
  <c r="DA267"/>
  <c r="DA447"/>
  <c r="DA130"/>
  <c r="DA298"/>
  <c r="DA105"/>
  <c r="DA453"/>
  <c r="DA320"/>
  <c r="DA172"/>
  <c r="DA55"/>
  <c r="DA139"/>
  <c r="DA229"/>
  <c r="DA313"/>
  <c r="DA403"/>
  <c r="DA487"/>
  <c r="DA72"/>
  <c r="DA162"/>
  <c r="DA246"/>
  <c r="DA336"/>
  <c r="DA420"/>
  <c r="DA504"/>
  <c r="DA95"/>
  <c r="DA179"/>
  <c r="DA269"/>
  <c r="DA353"/>
  <c r="DA437"/>
  <c r="DA28"/>
  <c r="DA146"/>
  <c r="DA326"/>
  <c r="DA494"/>
  <c r="DA165"/>
  <c r="DA513"/>
  <c r="DA356"/>
  <c r="DA208"/>
  <c r="DA32"/>
  <c r="DA207"/>
  <c r="DA387"/>
  <c r="DA70"/>
  <c r="DA250"/>
  <c r="DA418"/>
  <c r="DA333"/>
  <c r="DA200"/>
  <c r="DA51"/>
  <c r="DA412"/>
  <c r="DA49"/>
  <c r="DA133"/>
  <c r="DA223"/>
  <c r="DA307"/>
  <c r="DA391"/>
  <c r="DA481"/>
  <c r="DA66"/>
  <c r="DA156"/>
  <c r="DA240"/>
  <c r="DA324"/>
  <c r="DA414"/>
  <c r="DA498"/>
  <c r="DA89"/>
  <c r="DA173"/>
  <c r="DA257"/>
  <c r="DA347"/>
  <c r="DA431"/>
  <c r="DA22"/>
  <c r="DA134"/>
  <c r="DA302"/>
  <c r="DA482"/>
  <c r="DA141"/>
  <c r="DA489"/>
  <c r="DA332"/>
  <c r="DA160"/>
  <c r="DA508"/>
  <c r="DA195"/>
  <c r="DA375"/>
  <c r="DA58"/>
  <c r="DA226"/>
  <c r="DA406"/>
  <c r="DA309"/>
  <c r="DA176"/>
  <c r="DA15"/>
  <c r="DA364"/>
  <c r="DA43"/>
  <c r="DA127"/>
  <c r="DA211"/>
  <c r="DA301"/>
  <c r="DA385"/>
  <c r="DA475"/>
  <c r="DA60"/>
  <c r="DA144"/>
  <c r="DA234"/>
  <c r="DA318"/>
  <c r="DA408"/>
  <c r="DA492"/>
  <c r="DA77"/>
  <c r="DA167"/>
  <c r="DA251"/>
  <c r="DA341"/>
  <c r="DA425"/>
  <c r="DA509"/>
  <c r="DA122"/>
  <c r="DA290"/>
  <c r="DA470"/>
  <c r="DA117"/>
  <c r="DA441"/>
  <c r="DA308"/>
  <c r="DA136"/>
  <c r="DA484"/>
  <c r="DA183"/>
  <c r="DA351"/>
  <c r="DA44"/>
  <c r="DA214"/>
  <c r="DA394"/>
  <c r="DA285"/>
  <c r="DA128"/>
  <c r="DA500"/>
  <c r="DA340"/>
  <c r="CO25"/>
  <c r="CO61"/>
  <c r="CO97"/>
  <c r="CO133"/>
  <c r="CO169"/>
  <c r="CO205"/>
  <c r="CO241"/>
  <c r="CO277"/>
  <c r="CO313"/>
  <c r="CO349"/>
  <c r="CO385"/>
  <c r="CO421"/>
  <c r="CO457"/>
  <c r="CO493"/>
  <c r="CO47"/>
  <c r="CO119"/>
  <c r="CO191"/>
  <c r="CO257"/>
  <c r="CO329"/>
  <c r="CO401"/>
  <c r="CO467"/>
  <c r="CO40"/>
  <c r="CO112"/>
  <c r="CO184"/>
  <c r="CO256"/>
  <c r="CO340"/>
  <c r="CO412"/>
  <c r="CO490"/>
  <c r="CO69"/>
  <c r="CO141"/>
  <c r="CO219"/>
  <c r="CO291"/>
  <c r="CO363"/>
  <c r="CO441"/>
  <c r="CO513"/>
  <c r="CO50"/>
  <c r="CO86"/>
  <c r="CO122"/>
  <c r="CO158"/>
  <c r="CO194"/>
  <c r="CO230"/>
  <c r="CO266"/>
  <c r="CO302"/>
  <c r="CO36"/>
  <c r="CO72"/>
  <c r="CO108"/>
  <c r="CO144"/>
  <c r="CO180"/>
  <c r="CO216"/>
  <c r="CO252"/>
  <c r="CO288"/>
  <c r="CO324"/>
  <c r="CO360"/>
  <c r="CO396"/>
  <c r="CO432"/>
  <c r="CO468"/>
  <c r="CO504"/>
  <c r="CO65"/>
  <c r="CO137"/>
  <c r="CO209"/>
  <c r="CO287"/>
  <c r="CO359"/>
  <c r="CO431"/>
  <c r="CO509"/>
  <c r="CO82"/>
  <c r="CO154"/>
  <c r="CO226"/>
  <c r="CO298"/>
  <c r="CO358"/>
  <c r="CO430"/>
  <c r="CO496"/>
  <c r="CO51"/>
  <c r="CO123"/>
  <c r="CO189"/>
  <c r="CO261"/>
  <c r="CO333"/>
  <c r="CO399"/>
  <c r="CO471"/>
  <c r="CO422"/>
  <c r="CO452"/>
  <c r="CO482"/>
  <c r="CO512"/>
  <c r="CO506"/>
  <c r="CO500"/>
  <c r="CO55"/>
  <c r="CO103"/>
  <c r="CO145"/>
  <c r="CO187"/>
  <c r="CO229"/>
  <c r="CO271"/>
  <c r="CO319"/>
  <c r="CO361"/>
  <c r="CO403"/>
  <c r="CO445"/>
  <c r="CO487"/>
  <c r="CO59"/>
  <c r="CO143"/>
  <c r="CO227"/>
  <c r="CO305"/>
  <c r="CO389"/>
  <c r="CO479"/>
  <c r="CO64"/>
  <c r="CO148"/>
  <c r="CO232"/>
  <c r="CO322"/>
  <c r="CO424"/>
  <c r="CO514"/>
  <c r="CO105"/>
  <c r="CO195"/>
  <c r="CO279"/>
  <c r="CO375"/>
  <c r="CO465"/>
  <c r="CO32"/>
  <c r="CO74"/>
  <c r="CO116"/>
  <c r="CO164"/>
  <c r="CO206"/>
  <c r="CO248"/>
  <c r="CO290"/>
  <c r="CO30"/>
  <c r="CO78"/>
  <c r="CO120"/>
  <c r="CO162"/>
  <c r="CO204"/>
  <c r="CO246"/>
  <c r="CO294"/>
  <c r="CO336"/>
  <c r="CO378"/>
  <c r="CO420"/>
  <c r="CO462"/>
  <c r="CO510"/>
  <c r="CO89"/>
  <c r="CO173"/>
  <c r="CO263"/>
  <c r="CO347"/>
  <c r="CO449"/>
  <c r="CO34"/>
  <c r="CO118"/>
  <c r="CO202"/>
  <c r="CO286"/>
  <c r="CO370"/>
  <c r="CO454"/>
  <c r="CO27"/>
  <c r="CO99"/>
  <c r="CO183"/>
  <c r="CO273"/>
  <c r="CO357"/>
  <c r="CO435"/>
  <c r="CO350"/>
  <c r="CO416"/>
  <c r="CO332"/>
  <c r="CO362"/>
  <c r="CO392"/>
  <c r="CO453"/>
  <c r="CO372"/>
  <c r="CO161"/>
  <c r="CO335"/>
  <c r="CO22"/>
  <c r="CO106"/>
  <c r="CO274"/>
  <c r="CO346"/>
  <c r="CO15"/>
  <c r="CO87"/>
  <c r="CO249"/>
  <c r="CO345"/>
  <c r="CO507"/>
  <c r="CO380"/>
  <c r="CO446"/>
  <c r="CO356"/>
  <c r="CO49"/>
  <c r="CO91"/>
  <c r="CO139"/>
  <c r="CO181"/>
  <c r="CO223"/>
  <c r="CO265"/>
  <c r="CO307"/>
  <c r="CO355"/>
  <c r="CO397"/>
  <c r="CO439"/>
  <c r="CO481"/>
  <c r="CO35"/>
  <c r="CO131"/>
  <c r="CO215"/>
  <c r="CO293"/>
  <c r="CO377"/>
  <c r="CO455"/>
  <c r="CO52"/>
  <c r="CO136"/>
  <c r="CO220"/>
  <c r="CO304"/>
  <c r="CO400"/>
  <c r="CO502"/>
  <c r="CO93"/>
  <c r="CO177"/>
  <c r="CO267"/>
  <c r="CO351"/>
  <c r="CO26"/>
  <c r="CO68"/>
  <c r="CO110"/>
  <c r="CO152"/>
  <c r="CO200"/>
  <c r="CO242"/>
  <c r="CO284"/>
  <c r="CO24"/>
  <c r="CO66"/>
  <c r="CO114"/>
  <c r="CO156"/>
  <c r="CO198"/>
  <c r="CO240"/>
  <c r="CO282"/>
  <c r="CO330"/>
  <c r="CO414"/>
  <c r="CO456"/>
  <c r="CO498"/>
  <c r="CO77"/>
  <c r="CO251"/>
  <c r="CO419"/>
  <c r="CO190"/>
  <c r="CO442"/>
  <c r="CO171"/>
  <c r="CO423"/>
  <c r="CO326"/>
  <c r="CO43"/>
  <c r="CO85"/>
  <c r="CO127"/>
  <c r="CO175"/>
  <c r="CO217"/>
  <c r="CO259"/>
  <c r="CO301"/>
  <c r="CO343"/>
  <c r="CO391"/>
  <c r="CO433"/>
  <c r="CO475"/>
  <c r="CO23"/>
  <c r="CO107"/>
  <c r="CO203"/>
  <c r="CO281"/>
  <c r="CO365"/>
  <c r="CO443"/>
  <c r="CO28"/>
  <c r="CO124"/>
  <c r="CO208"/>
  <c r="CO292"/>
  <c r="CO388"/>
  <c r="CO472"/>
  <c r="CO81"/>
  <c r="CO165"/>
  <c r="CO255"/>
  <c r="CO339"/>
  <c r="CO429"/>
  <c r="CO20"/>
  <c r="CO62"/>
  <c r="CO104"/>
  <c r="CO146"/>
  <c r="CO188"/>
  <c r="CO236"/>
  <c r="CO278"/>
  <c r="CO18"/>
  <c r="CO60"/>
  <c r="CO102"/>
  <c r="CO150"/>
  <c r="CO192"/>
  <c r="CO234"/>
  <c r="CO276"/>
  <c r="CO318"/>
  <c r="CO366"/>
  <c r="CO408"/>
  <c r="CO450"/>
  <c r="CO492"/>
  <c r="CO53"/>
  <c r="CO149"/>
  <c r="CO233"/>
  <c r="CO323"/>
  <c r="CO407"/>
  <c r="CO497"/>
  <c r="CO94"/>
  <c r="CO178"/>
  <c r="CO262"/>
  <c r="CO334"/>
  <c r="CO418"/>
  <c r="CO508"/>
  <c r="CO75"/>
  <c r="CO159"/>
  <c r="CO237"/>
  <c r="CO321"/>
  <c r="CO411"/>
  <c r="CO495"/>
  <c r="CO344"/>
  <c r="CO410"/>
  <c r="CO476"/>
  <c r="CO320"/>
  <c r="CO37"/>
  <c r="CO121"/>
  <c r="CO211"/>
  <c r="CO295"/>
  <c r="CO379"/>
  <c r="CO469"/>
  <c r="CO95"/>
  <c r="CO269"/>
  <c r="CO437"/>
  <c r="CO100"/>
  <c r="CO280"/>
  <c r="CO460"/>
  <c r="CO153"/>
  <c r="CO327"/>
  <c r="CO501"/>
  <c r="CO98"/>
  <c r="CO182"/>
  <c r="CO272"/>
  <c r="CO54"/>
  <c r="CO138"/>
  <c r="CO228"/>
  <c r="CO312"/>
  <c r="CO402"/>
  <c r="CO486"/>
  <c r="CO125"/>
  <c r="CO311"/>
  <c r="CO485"/>
  <c r="CO166"/>
  <c r="CO328"/>
  <c r="CO484"/>
  <c r="CO147"/>
  <c r="CO309"/>
  <c r="CO483"/>
  <c r="CO374"/>
  <c r="CO470"/>
  <c r="CO31"/>
  <c r="CO115"/>
  <c r="CO199"/>
  <c r="CO289"/>
  <c r="CO373"/>
  <c r="CO463"/>
  <c r="CO83"/>
  <c r="CO245"/>
  <c r="CO425"/>
  <c r="CO88"/>
  <c r="CO268"/>
  <c r="CO448"/>
  <c r="CO129"/>
  <c r="CO315"/>
  <c r="CO489"/>
  <c r="CO92"/>
  <c r="CO176"/>
  <c r="CO260"/>
  <c r="CO48"/>
  <c r="CO132"/>
  <c r="CO222"/>
  <c r="CO306"/>
  <c r="CO390"/>
  <c r="CO480"/>
  <c r="CO113"/>
  <c r="CO299"/>
  <c r="CO473"/>
  <c r="CO142"/>
  <c r="CO316"/>
  <c r="CO478"/>
  <c r="CO135"/>
  <c r="CO297"/>
  <c r="CO459"/>
  <c r="CO338"/>
  <c r="CO434"/>
  <c r="CO19"/>
  <c r="CO109"/>
  <c r="CO193"/>
  <c r="CO283"/>
  <c r="CO367"/>
  <c r="CO451"/>
  <c r="CO71"/>
  <c r="CO239"/>
  <c r="CO413"/>
  <c r="CO76"/>
  <c r="CO244"/>
  <c r="CO436"/>
  <c r="CO117"/>
  <c r="CO303"/>
  <c r="CO477"/>
  <c r="CO80"/>
  <c r="CO170"/>
  <c r="CO254"/>
  <c r="CO42"/>
  <c r="CO126"/>
  <c r="CO210"/>
  <c r="CO300"/>
  <c r="CO384"/>
  <c r="CO474"/>
  <c r="CO101"/>
  <c r="CO275"/>
  <c r="CO461"/>
  <c r="CO130"/>
  <c r="CO310"/>
  <c r="CO466"/>
  <c r="CO111"/>
  <c r="CO285"/>
  <c r="CO447"/>
  <c r="CO488"/>
  <c r="CO398"/>
  <c r="CO79"/>
  <c r="CO163"/>
  <c r="CO253"/>
  <c r="CO337"/>
  <c r="CO427"/>
  <c r="CO511"/>
  <c r="CO179"/>
  <c r="CO353"/>
  <c r="CO16"/>
  <c r="CO196"/>
  <c r="CO376"/>
  <c r="CO57"/>
  <c r="CO243"/>
  <c r="CO417"/>
  <c r="CO56"/>
  <c r="CO140"/>
  <c r="CO224"/>
  <c r="CO314"/>
  <c r="CO96"/>
  <c r="CO186"/>
  <c r="CO270"/>
  <c r="CO354"/>
  <c r="CO444"/>
  <c r="CO41"/>
  <c r="CO221"/>
  <c r="CO395"/>
  <c r="CO70"/>
  <c r="CO250"/>
  <c r="CO406"/>
  <c r="CO63"/>
  <c r="CO225"/>
  <c r="CO387"/>
  <c r="CO494"/>
  <c r="CO440"/>
  <c r="CO73"/>
  <c r="CO157"/>
  <c r="CO247"/>
  <c r="CO331"/>
  <c r="CO415"/>
  <c r="CO505"/>
  <c r="CO167"/>
  <c r="CO341"/>
  <c r="CO503"/>
  <c r="CO172"/>
  <c r="CO364"/>
  <c r="CO45"/>
  <c r="CO231"/>
  <c r="CO405"/>
  <c r="CO44"/>
  <c r="CO134"/>
  <c r="CO218"/>
  <c r="CO308"/>
  <c r="CO90"/>
  <c r="CO174"/>
  <c r="CO264"/>
  <c r="CO348"/>
  <c r="CO438"/>
  <c r="CO29"/>
  <c r="CO197"/>
  <c r="CO383"/>
  <c r="CO58"/>
  <c r="CO238"/>
  <c r="CO394"/>
  <c r="CO39"/>
  <c r="CO213"/>
  <c r="CO381"/>
  <c r="CO458"/>
  <c r="CO404"/>
  <c r="CO464"/>
  <c r="CO67"/>
  <c r="CO151"/>
  <c r="CO235"/>
  <c r="CO325"/>
  <c r="CO409"/>
  <c r="CO499"/>
  <c r="CO155"/>
  <c r="CO317"/>
  <c r="CO491"/>
  <c r="CO160"/>
  <c r="CO352"/>
  <c r="CO21"/>
  <c r="CO207"/>
  <c r="CO393"/>
  <c r="CO38"/>
  <c r="CO128"/>
  <c r="CO212"/>
  <c r="CO296"/>
  <c r="CO84"/>
  <c r="CO168"/>
  <c r="CO258"/>
  <c r="CO342"/>
  <c r="CO426"/>
  <c r="CO17"/>
  <c r="CO185"/>
  <c r="CO371"/>
  <c r="CO46"/>
  <c r="CO214"/>
  <c r="CO382"/>
  <c r="CO33"/>
  <c r="CO201"/>
  <c r="CO369"/>
  <c r="CO386"/>
  <c r="CO368"/>
  <c r="CO428"/>
  <c r="BQ25"/>
  <c r="BQ61"/>
  <c r="BQ97"/>
  <c r="BQ133"/>
  <c r="BQ169"/>
  <c r="BQ205"/>
  <c r="BQ241"/>
  <c r="BQ277"/>
  <c r="BQ313"/>
  <c r="BQ349"/>
  <c r="BQ385"/>
  <c r="BQ421"/>
  <c r="BQ457"/>
  <c r="BQ493"/>
  <c r="BQ30"/>
  <c r="BQ66"/>
  <c r="BQ102"/>
  <c r="BQ138"/>
  <c r="BQ174"/>
  <c r="BQ210"/>
  <c r="BQ246"/>
  <c r="BQ282"/>
  <c r="BQ318"/>
  <c r="BQ354"/>
  <c r="BQ390"/>
  <c r="BQ426"/>
  <c r="BQ462"/>
  <c r="BQ498"/>
  <c r="BQ35"/>
  <c r="BQ71"/>
  <c r="BQ107"/>
  <c r="BQ143"/>
  <c r="BQ179"/>
  <c r="BQ215"/>
  <c r="BQ251"/>
  <c r="BQ287"/>
  <c r="BQ323"/>
  <c r="BQ359"/>
  <c r="BQ395"/>
  <c r="BQ431"/>
  <c r="BQ467"/>
  <c r="BQ503"/>
  <c r="BQ40"/>
  <c r="BQ74"/>
  <c r="BQ146"/>
  <c r="BQ218"/>
  <c r="BQ290"/>
  <c r="BQ362"/>
  <c r="BQ434"/>
  <c r="BQ506"/>
  <c r="BQ94"/>
  <c r="BQ166"/>
  <c r="BQ238"/>
  <c r="BQ310"/>
  <c r="BQ382"/>
  <c r="BQ454"/>
  <c r="BQ21"/>
  <c r="BQ105"/>
  <c r="BQ177"/>
  <c r="BQ249"/>
  <c r="BQ321"/>
  <c r="BQ393"/>
  <c r="BQ465"/>
  <c r="BQ38"/>
  <c r="BQ116"/>
  <c r="BQ188"/>
  <c r="BQ260"/>
  <c r="BQ332"/>
  <c r="BQ404"/>
  <c r="BQ476"/>
  <c r="BQ51"/>
  <c r="BQ124"/>
  <c r="BQ196"/>
  <c r="BQ268"/>
  <c r="BQ340"/>
  <c r="BQ412"/>
  <c r="BQ484"/>
  <c r="BQ75"/>
  <c r="BQ147"/>
  <c r="BQ219"/>
  <c r="BQ291"/>
  <c r="BQ363"/>
  <c r="BQ435"/>
  <c r="BQ507"/>
  <c r="BQ19"/>
  <c r="BQ67"/>
  <c r="BQ109"/>
  <c r="BQ151"/>
  <c r="BQ193"/>
  <c r="BQ235"/>
  <c r="BQ283"/>
  <c r="BQ325"/>
  <c r="BQ367"/>
  <c r="BQ409"/>
  <c r="BQ451"/>
  <c r="BQ499"/>
  <c r="BQ42"/>
  <c r="BQ84"/>
  <c r="BQ126"/>
  <c r="BQ168"/>
  <c r="BQ216"/>
  <c r="BQ258"/>
  <c r="BQ300"/>
  <c r="BQ342"/>
  <c r="BQ384"/>
  <c r="BQ432"/>
  <c r="BQ474"/>
  <c r="BQ17"/>
  <c r="BQ59"/>
  <c r="BQ101"/>
  <c r="BQ149"/>
  <c r="BQ191"/>
  <c r="BQ233"/>
  <c r="BQ275"/>
  <c r="BQ317"/>
  <c r="BQ365"/>
  <c r="BQ407"/>
  <c r="BQ449"/>
  <c r="BQ491"/>
  <c r="BQ34"/>
  <c r="BQ86"/>
  <c r="BQ170"/>
  <c r="BQ254"/>
  <c r="BQ338"/>
  <c r="BQ422"/>
  <c r="BQ26"/>
  <c r="BQ118"/>
  <c r="BQ202"/>
  <c r="BQ286"/>
  <c r="BQ370"/>
  <c r="BQ466"/>
  <c r="BQ57"/>
  <c r="BQ141"/>
  <c r="BQ225"/>
  <c r="BQ309"/>
  <c r="BQ405"/>
  <c r="BQ489"/>
  <c r="BQ80"/>
  <c r="BQ164"/>
  <c r="BQ248"/>
  <c r="BQ344"/>
  <c r="BQ428"/>
  <c r="BQ512"/>
  <c r="BQ100"/>
  <c r="BQ184"/>
  <c r="BQ280"/>
  <c r="BQ364"/>
  <c r="BQ448"/>
  <c r="BQ50"/>
  <c r="BQ135"/>
  <c r="BQ231"/>
  <c r="BQ315"/>
  <c r="BQ399"/>
  <c r="BQ483"/>
  <c r="BQ55"/>
  <c r="BQ103"/>
  <c r="BQ145"/>
  <c r="BQ187"/>
  <c r="BQ229"/>
  <c r="BQ271"/>
  <c r="BQ319"/>
  <c r="BQ361"/>
  <c r="BQ403"/>
  <c r="BQ445"/>
  <c r="BQ487"/>
  <c r="BQ36"/>
  <c r="BQ78"/>
  <c r="BQ120"/>
  <c r="BQ162"/>
  <c r="BQ204"/>
  <c r="BQ252"/>
  <c r="BQ294"/>
  <c r="BQ336"/>
  <c r="BQ378"/>
  <c r="BQ420"/>
  <c r="BQ468"/>
  <c r="BQ510"/>
  <c r="BQ53"/>
  <c r="BQ95"/>
  <c r="BQ137"/>
  <c r="BQ185"/>
  <c r="BQ227"/>
  <c r="BQ269"/>
  <c r="BQ311"/>
  <c r="BQ353"/>
  <c r="BQ401"/>
  <c r="BQ443"/>
  <c r="BQ485"/>
  <c r="BQ28"/>
  <c r="BQ62"/>
  <c r="BQ158"/>
  <c r="BQ242"/>
  <c r="BQ326"/>
  <c r="BQ410"/>
  <c r="BQ494"/>
  <c r="BQ106"/>
  <c r="BQ190"/>
  <c r="BQ274"/>
  <c r="BQ358"/>
  <c r="BQ442"/>
  <c r="BQ39"/>
  <c r="BQ129"/>
  <c r="BQ213"/>
  <c r="BQ297"/>
  <c r="BQ381"/>
  <c r="BQ477"/>
  <c r="BQ68"/>
  <c r="BQ152"/>
  <c r="BQ236"/>
  <c r="BQ320"/>
  <c r="BQ416"/>
  <c r="BQ500"/>
  <c r="BQ88"/>
  <c r="BQ172"/>
  <c r="BQ256"/>
  <c r="BQ352"/>
  <c r="BQ436"/>
  <c r="BQ32"/>
  <c r="BQ123"/>
  <c r="BQ207"/>
  <c r="BQ303"/>
  <c r="BQ387"/>
  <c r="BQ471"/>
  <c r="BQ49"/>
  <c r="BQ91"/>
  <c r="BQ139"/>
  <c r="BQ181"/>
  <c r="BQ223"/>
  <c r="BQ265"/>
  <c r="BQ307"/>
  <c r="BQ355"/>
  <c r="BQ397"/>
  <c r="BQ439"/>
  <c r="BQ481"/>
  <c r="BQ24"/>
  <c r="BQ72"/>
  <c r="BQ114"/>
  <c r="BQ156"/>
  <c r="BQ198"/>
  <c r="BQ240"/>
  <c r="BQ288"/>
  <c r="BQ330"/>
  <c r="BQ372"/>
  <c r="BQ414"/>
  <c r="BQ456"/>
  <c r="BQ504"/>
  <c r="BQ47"/>
  <c r="BQ89"/>
  <c r="BQ131"/>
  <c r="BQ173"/>
  <c r="BQ221"/>
  <c r="BQ263"/>
  <c r="BQ305"/>
  <c r="BQ347"/>
  <c r="BQ389"/>
  <c r="BQ437"/>
  <c r="BQ479"/>
  <c r="BQ22"/>
  <c r="BQ45"/>
  <c r="BQ134"/>
  <c r="BQ230"/>
  <c r="BQ314"/>
  <c r="BQ398"/>
  <c r="BQ482"/>
  <c r="BQ82"/>
  <c r="BQ178"/>
  <c r="BQ262"/>
  <c r="BQ346"/>
  <c r="BQ430"/>
  <c r="BQ514"/>
  <c r="BQ117"/>
  <c r="BQ201"/>
  <c r="BQ285"/>
  <c r="BQ369"/>
  <c r="BQ453"/>
  <c r="BQ56"/>
  <c r="BQ140"/>
  <c r="BQ224"/>
  <c r="BQ308"/>
  <c r="BQ392"/>
  <c r="BQ488"/>
  <c r="BQ76"/>
  <c r="BQ160"/>
  <c r="BQ244"/>
  <c r="BQ328"/>
  <c r="BQ424"/>
  <c r="BQ508"/>
  <c r="BQ111"/>
  <c r="BQ195"/>
  <c r="BQ279"/>
  <c r="BQ375"/>
  <c r="BQ459"/>
  <c r="BQ43"/>
  <c r="BQ85"/>
  <c r="BQ127"/>
  <c r="BQ175"/>
  <c r="BQ217"/>
  <c r="BQ259"/>
  <c r="BQ301"/>
  <c r="BQ343"/>
  <c r="BQ391"/>
  <c r="BQ433"/>
  <c r="BQ475"/>
  <c r="BQ18"/>
  <c r="BQ60"/>
  <c r="BQ108"/>
  <c r="BQ150"/>
  <c r="BQ192"/>
  <c r="BQ234"/>
  <c r="BQ276"/>
  <c r="BQ324"/>
  <c r="BQ366"/>
  <c r="BQ408"/>
  <c r="BQ450"/>
  <c r="BQ492"/>
  <c r="BQ41"/>
  <c r="BQ83"/>
  <c r="BQ125"/>
  <c r="BQ167"/>
  <c r="BQ209"/>
  <c r="BQ257"/>
  <c r="BQ299"/>
  <c r="BQ341"/>
  <c r="BQ383"/>
  <c r="BQ425"/>
  <c r="BQ473"/>
  <c r="BQ16"/>
  <c r="BQ27"/>
  <c r="BQ122"/>
  <c r="BQ206"/>
  <c r="BQ302"/>
  <c r="BQ386"/>
  <c r="BQ470"/>
  <c r="BQ70"/>
  <c r="BQ154"/>
  <c r="BQ250"/>
  <c r="BQ334"/>
  <c r="BQ418"/>
  <c r="BQ502"/>
  <c r="BQ93"/>
  <c r="BQ189"/>
  <c r="BQ273"/>
  <c r="BQ357"/>
  <c r="BQ441"/>
  <c r="BQ20"/>
  <c r="BQ128"/>
  <c r="BQ212"/>
  <c r="BQ296"/>
  <c r="BQ380"/>
  <c r="BQ464"/>
  <c r="BQ64"/>
  <c r="BQ148"/>
  <c r="BQ232"/>
  <c r="BQ316"/>
  <c r="BQ400"/>
  <c r="BQ496"/>
  <c r="BQ99"/>
  <c r="BQ183"/>
  <c r="BQ267"/>
  <c r="BQ351"/>
  <c r="BQ447"/>
  <c r="BQ37"/>
  <c r="BQ79"/>
  <c r="BQ121"/>
  <c r="BQ163"/>
  <c r="BQ211"/>
  <c r="BQ253"/>
  <c r="BQ295"/>
  <c r="BQ337"/>
  <c r="BQ379"/>
  <c r="BQ427"/>
  <c r="BQ469"/>
  <c r="BQ511"/>
  <c r="BQ54"/>
  <c r="BQ96"/>
  <c r="BQ144"/>
  <c r="BQ186"/>
  <c r="BQ228"/>
  <c r="BQ270"/>
  <c r="BQ312"/>
  <c r="BQ360"/>
  <c r="BQ402"/>
  <c r="BQ444"/>
  <c r="BQ486"/>
  <c r="BQ29"/>
  <c r="BQ77"/>
  <c r="BQ119"/>
  <c r="BQ161"/>
  <c r="BQ203"/>
  <c r="BQ245"/>
  <c r="BQ293"/>
  <c r="BQ335"/>
  <c r="BQ377"/>
  <c r="BQ419"/>
  <c r="BQ461"/>
  <c r="BQ509"/>
  <c r="BQ52"/>
  <c r="BQ110"/>
  <c r="BQ194"/>
  <c r="BQ278"/>
  <c r="BQ374"/>
  <c r="BQ458"/>
  <c r="BQ58"/>
  <c r="BQ142"/>
  <c r="BQ226"/>
  <c r="BQ322"/>
  <c r="BQ406"/>
  <c r="BQ490"/>
  <c r="BQ81"/>
  <c r="BQ165"/>
  <c r="BQ261"/>
  <c r="BQ345"/>
  <c r="BQ429"/>
  <c r="BQ513"/>
  <c r="BQ104"/>
  <c r="BQ200"/>
  <c r="BQ284"/>
  <c r="BQ368"/>
  <c r="BQ452"/>
  <c r="BQ33"/>
  <c r="BQ136"/>
  <c r="BQ220"/>
  <c r="BQ304"/>
  <c r="BQ388"/>
  <c r="BQ472"/>
  <c r="BQ87"/>
  <c r="BQ171"/>
  <c r="BQ255"/>
  <c r="BQ339"/>
  <c r="BQ423"/>
  <c r="BQ31"/>
  <c r="BQ73"/>
  <c r="BQ115"/>
  <c r="BQ157"/>
  <c r="BQ199"/>
  <c r="BQ247"/>
  <c r="BQ289"/>
  <c r="BQ331"/>
  <c r="BQ373"/>
  <c r="BQ415"/>
  <c r="BQ463"/>
  <c r="BQ505"/>
  <c r="BQ48"/>
  <c r="BQ90"/>
  <c r="BQ132"/>
  <c r="BQ180"/>
  <c r="BQ222"/>
  <c r="BQ264"/>
  <c r="BQ306"/>
  <c r="BQ348"/>
  <c r="BQ396"/>
  <c r="BQ438"/>
  <c r="BQ480"/>
  <c r="BQ23"/>
  <c r="BQ65"/>
  <c r="BQ113"/>
  <c r="BQ155"/>
  <c r="BQ197"/>
  <c r="BQ239"/>
  <c r="BQ281"/>
  <c r="BQ329"/>
  <c r="BQ371"/>
  <c r="BQ413"/>
  <c r="BQ455"/>
  <c r="BQ497"/>
  <c r="BQ46"/>
  <c r="BQ98"/>
  <c r="BQ182"/>
  <c r="BQ266"/>
  <c r="BQ350"/>
  <c r="BQ446"/>
  <c r="BQ44"/>
  <c r="BQ130"/>
  <c r="BQ214"/>
  <c r="BQ298"/>
  <c r="BQ394"/>
  <c r="BQ478"/>
  <c r="BQ69"/>
  <c r="BQ153"/>
  <c r="BQ237"/>
  <c r="BQ333"/>
  <c r="BQ417"/>
  <c r="BQ501"/>
  <c r="BQ92"/>
  <c r="BQ176"/>
  <c r="BQ272"/>
  <c r="BQ356"/>
  <c r="BQ440"/>
  <c r="BQ15"/>
  <c r="BQ112"/>
  <c r="BQ208"/>
  <c r="BQ292"/>
  <c r="BQ376"/>
  <c r="BQ460"/>
  <c r="BQ63"/>
  <c r="BQ159"/>
  <c r="BQ243"/>
  <c r="BQ327"/>
  <c r="BQ411"/>
  <c r="BQ495"/>
  <c r="CD9"/>
  <c r="CC13" a="1"/>
  <c r="CE13" s="1"/>
  <c r="CF13"/>
  <c r="CC15" a="1"/>
  <c r="AC26" i="16" l="1"/>
  <c r="AF26" s="1"/>
  <c r="CC49" i="12"/>
  <c r="CC85"/>
  <c r="CC121"/>
  <c r="CC157"/>
  <c r="CC193"/>
  <c r="CC229"/>
  <c r="CC37"/>
  <c r="CC79"/>
  <c r="CC127"/>
  <c r="CC169"/>
  <c r="CC211"/>
  <c r="CC253"/>
  <c r="CC289"/>
  <c r="CC325"/>
  <c r="CC361"/>
  <c r="CC397"/>
  <c r="CC433"/>
  <c r="CC469"/>
  <c r="CC505"/>
  <c r="CC42"/>
  <c r="CC78"/>
  <c r="CC114"/>
  <c r="CC150"/>
  <c r="CC186"/>
  <c r="CC222"/>
  <c r="CC258"/>
  <c r="CC294"/>
  <c r="CC330"/>
  <c r="CC366"/>
  <c r="CC402"/>
  <c r="CC438"/>
  <c r="CC474"/>
  <c r="CC510"/>
  <c r="CC47"/>
  <c r="CC83"/>
  <c r="CC119"/>
  <c r="CC155"/>
  <c r="CC191"/>
  <c r="CC227"/>
  <c r="CC263"/>
  <c r="CC299"/>
  <c r="CC335"/>
  <c r="CC371"/>
  <c r="CC407"/>
  <c r="CC443"/>
  <c r="CC479"/>
  <c r="CC16"/>
  <c r="CC52"/>
  <c r="CC98"/>
  <c r="CC170"/>
  <c r="CC242"/>
  <c r="CC314"/>
  <c r="CC386"/>
  <c r="CC458"/>
  <c r="CC44"/>
  <c r="CC118"/>
  <c r="CC190"/>
  <c r="CC262"/>
  <c r="CC334"/>
  <c r="CC406"/>
  <c r="CC478"/>
  <c r="CC57"/>
  <c r="CC129"/>
  <c r="CC201"/>
  <c r="CC273"/>
  <c r="CC345"/>
  <c r="CC417"/>
  <c r="CC489"/>
  <c r="CC68"/>
  <c r="CC140"/>
  <c r="CC212"/>
  <c r="CC284"/>
  <c r="CC356"/>
  <c r="CC428"/>
  <c r="CC500"/>
  <c r="CC76"/>
  <c r="CC148"/>
  <c r="CC220"/>
  <c r="CC292"/>
  <c r="CC364"/>
  <c r="CC436"/>
  <c r="CC508"/>
  <c r="CC99"/>
  <c r="CC171"/>
  <c r="CC243"/>
  <c r="CC315"/>
  <c r="CC387"/>
  <c r="CC459"/>
  <c r="CC31"/>
  <c r="CC73"/>
  <c r="CC163"/>
  <c r="CC205"/>
  <c r="CC247"/>
  <c r="CC283"/>
  <c r="CC319"/>
  <c r="CC391"/>
  <c r="CC427"/>
  <c r="CC463"/>
  <c r="CC499"/>
  <c r="CC36"/>
  <c r="CC72"/>
  <c r="CC108"/>
  <c r="CC180"/>
  <c r="CC216"/>
  <c r="CC252"/>
  <c r="CC288"/>
  <c r="CC324"/>
  <c r="CC360"/>
  <c r="CC396"/>
  <c r="CC432"/>
  <c r="CC468"/>
  <c r="CC41"/>
  <c r="CC77"/>
  <c r="CC113"/>
  <c r="CC149"/>
  <c r="CC185"/>
  <c r="CC115"/>
  <c r="CC355"/>
  <c r="CC144"/>
  <c r="CC25"/>
  <c r="CC67"/>
  <c r="CC109"/>
  <c r="CC151"/>
  <c r="CC199"/>
  <c r="CC241"/>
  <c r="CC277"/>
  <c r="CC313"/>
  <c r="CC349"/>
  <c r="CC385"/>
  <c r="CC421"/>
  <c r="CC457"/>
  <c r="CC493"/>
  <c r="CC30"/>
  <c r="CC66"/>
  <c r="CC102"/>
  <c r="CC138"/>
  <c r="CC174"/>
  <c r="CC210"/>
  <c r="CC246"/>
  <c r="CC282"/>
  <c r="CC318"/>
  <c r="CC354"/>
  <c r="CC390"/>
  <c r="CC426"/>
  <c r="CC462"/>
  <c r="CC498"/>
  <c r="CC35"/>
  <c r="CC71"/>
  <c r="CC107"/>
  <c r="CC143"/>
  <c r="CC179"/>
  <c r="CC215"/>
  <c r="CC251"/>
  <c r="CC287"/>
  <c r="CC323"/>
  <c r="CC359"/>
  <c r="CC395"/>
  <c r="CC431"/>
  <c r="CC467"/>
  <c r="CC503"/>
  <c r="CC40"/>
  <c r="CC74"/>
  <c r="CC146"/>
  <c r="CC218"/>
  <c r="CC290"/>
  <c r="CC362"/>
  <c r="CC434"/>
  <c r="CC61"/>
  <c r="CC145"/>
  <c r="CC235"/>
  <c r="CC307"/>
  <c r="CC379"/>
  <c r="CC451"/>
  <c r="CC24"/>
  <c r="CC96"/>
  <c r="CC168"/>
  <c r="CC240"/>
  <c r="CC312"/>
  <c r="CC384"/>
  <c r="CC456"/>
  <c r="CC23"/>
  <c r="CC95"/>
  <c r="CC167"/>
  <c r="CC233"/>
  <c r="CC281"/>
  <c r="CC341"/>
  <c r="CC389"/>
  <c r="CC449"/>
  <c r="CC497"/>
  <c r="CC27"/>
  <c r="CC134"/>
  <c r="CC254"/>
  <c r="CC350"/>
  <c r="CC470"/>
  <c r="CC70"/>
  <c r="CC154"/>
  <c r="CC238"/>
  <c r="CC322"/>
  <c r="CC418"/>
  <c r="CC502"/>
  <c r="CC93"/>
  <c r="CC177"/>
  <c r="CC261"/>
  <c r="CC357"/>
  <c r="CC441"/>
  <c r="CC20"/>
  <c r="CC116"/>
  <c r="CC200"/>
  <c r="CC296"/>
  <c r="CC380"/>
  <c r="CC464"/>
  <c r="CC51"/>
  <c r="CC136"/>
  <c r="CC232"/>
  <c r="CC316"/>
  <c r="CC400"/>
  <c r="CC484"/>
  <c r="CC87"/>
  <c r="CC183"/>
  <c r="CC267"/>
  <c r="CC351"/>
  <c r="CC435"/>
  <c r="CC55"/>
  <c r="CC139"/>
  <c r="CC223"/>
  <c r="CC301"/>
  <c r="CC373"/>
  <c r="CC445"/>
  <c r="CC18"/>
  <c r="CC90"/>
  <c r="CC162"/>
  <c r="CC234"/>
  <c r="CC306"/>
  <c r="CC378"/>
  <c r="CC450"/>
  <c r="CC17"/>
  <c r="CC89"/>
  <c r="CC161"/>
  <c r="CC221"/>
  <c r="CC275"/>
  <c r="CC329"/>
  <c r="CC383"/>
  <c r="CC437"/>
  <c r="CC491"/>
  <c r="CC46"/>
  <c r="CC122"/>
  <c r="CC230"/>
  <c r="CC338"/>
  <c r="CC446"/>
  <c r="CC58"/>
  <c r="CC142"/>
  <c r="CC226"/>
  <c r="CC310"/>
  <c r="CC394"/>
  <c r="CC490"/>
  <c r="CC81"/>
  <c r="CC165"/>
  <c r="CC249"/>
  <c r="CC333"/>
  <c r="CC429"/>
  <c r="CC513"/>
  <c r="CC104"/>
  <c r="CC188"/>
  <c r="CC272"/>
  <c r="CC368"/>
  <c r="CC452"/>
  <c r="CC33"/>
  <c r="CC124"/>
  <c r="CC208"/>
  <c r="CC304"/>
  <c r="CC388"/>
  <c r="CC472"/>
  <c r="CC75"/>
  <c r="CC159"/>
  <c r="CC255"/>
  <c r="CC339"/>
  <c r="CC423"/>
  <c r="CC507"/>
  <c r="CC43"/>
  <c r="CC133"/>
  <c r="CC217"/>
  <c r="CC295"/>
  <c r="CC367"/>
  <c r="CC439"/>
  <c r="CC511"/>
  <c r="CC84"/>
  <c r="CC156"/>
  <c r="CC228"/>
  <c r="CC300"/>
  <c r="CC372"/>
  <c r="CC444"/>
  <c r="CC504"/>
  <c r="CC65"/>
  <c r="CC137"/>
  <c r="CC209"/>
  <c r="CC269"/>
  <c r="CC317"/>
  <c r="CC377"/>
  <c r="CC425"/>
  <c r="CC485"/>
  <c r="CC34"/>
  <c r="CC110"/>
  <c r="CC206"/>
  <c r="CC326"/>
  <c r="CC422"/>
  <c r="CC26"/>
  <c r="CC130"/>
  <c r="CC214"/>
  <c r="CC298"/>
  <c r="CC382"/>
  <c r="CC466"/>
  <c r="CC69"/>
  <c r="CC153"/>
  <c r="CC237"/>
  <c r="CC321"/>
  <c r="CC405"/>
  <c r="CC501"/>
  <c r="CC92"/>
  <c r="CC176"/>
  <c r="CC260"/>
  <c r="CC344"/>
  <c r="CC440"/>
  <c r="CC15"/>
  <c r="CC112"/>
  <c r="CC196"/>
  <c r="CC280"/>
  <c r="CC376"/>
  <c r="CC460"/>
  <c r="CC63"/>
  <c r="CC147"/>
  <c r="CC231"/>
  <c r="CC327"/>
  <c r="CC411"/>
  <c r="CC495"/>
  <c r="CC19"/>
  <c r="CC103"/>
  <c r="CC187"/>
  <c r="CC271"/>
  <c r="CC343"/>
  <c r="CC415"/>
  <c r="CC487"/>
  <c r="CC60"/>
  <c r="CC132"/>
  <c r="CC204"/>
  <c r="CC276"/>
  <c r="CC348"/>
  <c r="CC420"/>
  <c r="CC492"/>
  <c r="CC59"/>
  <c r="CC131"/>
  <c r="CC203"/>
  <c r="CC257"/>
  <c r="CC311"/>
  <c r="CC365"/>
  <c r="CC419"/>
  <c r="CC473"/>
  <c r="CC28"/>
  <c r="CC86"/>
  <c r="CC194"/>
  <c r="CC302"/>
  <c r="CC410"/>
  <c r="CC506"/>
  <c r="CC106"/>
  <c r="CC202"/>
  <c r="CC286"/>
  <c r="CC370"/>
  <c r="CC454"/>
  <c r="CC39"/>
  <c r="CC141"/>
  <c r="CC225"/>
  <c r="CC309"/>
  <c r="CC393"/>
  <c r="CC477"/>
  <c r="CC80"/>
  <c r="CC164"/>
  <c r="CC248"/>
  <c r="CC332"/>
  <c r="CC416"/>
  <c r="CC512"/>
  <c r="CC100"/>
  <c r="CC184"/>
  <c r="CC268"/>
  <c r="CC352"/>
  <c r="CC448"/>
  <c r="CC50"/>
  <c r="CC135"/>
  <c r="CC219"/>
  <c r="CC303"/>
  <c r="CC399"/>
  <c r="CC483"/>
  <c r="CC97"/>
  <c r="CC181"/>
  <c r="CC265"/>
  <c r="CC337"/>
  <c r="CC409"/>
  <c r="CC481"/>
  <c r="CC54"/>
  <c r="CC126"/>
  <c r="CC198"/>
  <c r="CC270"/>
  <c r="CC342"/>
  <c r="CC414"/>
  <c r="CC486"/>
  <c r="CC53"/>
  <c r="CC125"/>
  <c r="CC197"/>
  <c r="CC245"/>
  <c r="CC305"/>
  <c r="CC353"/>
  <c r="CC413"/>
  <c r="CC461"/>
  <c r="CC22"/>
  <c r="CC62"/>
  <c r="CC182"/>
  <c r="CC278"/>
  <c r="CC398"/>
  <c r="CC494"/>
  <c r="CC94"/>
  <c r="CC178"/>
  <c r="CC274"/>
  <c r="CC358"/>
  <c r="CC442"/>
  <c r="CC21"/>
  <c r="CC117"/>
  <c r="CC213"/>
  <c r="CC297"/>
  <c r="CC381"/>
  <c r="CC465"/>
  <c r="CC56"/>
  <c r="CC152"/>
  <c r="CC236"/>
  <c r="CC320"/>
  <c r="CC404"/>
  <c r="CC488"/>
  <c r="CC88"/>
  <c r="CC172"/>
  <c r="CC256"/>
  <c r="CC340"/>
  <c r="CC424"/>
  <c r="CC32"/>
  <c r="CC123"/>
  <c r="CC207"/>
  <c r="CC291"/>
  <c r="CC375"/>
  <c r="CC471"/>
  <c r="CC91"/>
  <c r="CC175"/>
  <c r="CC259"/>
  <c r="CC331"/>
  <c r="CC403"/>
  <c r="CC475"/>
  <c r="CC48"/>
  <c r="CC120"/>
  <c r="CC192"/>
  <c r="CC264"/>
  <c r="CC336"/>
  <c r="CC408"/>
  <c r="CC480"/>
  <c r="CC29"/>
  <c r="CC101"/>
  <c r="CC173"/>
  <c r="CC239"/>
  <c r="CC293"/>
  <c r="CC347"/>
  <c r="CC401"/>
  <c r="CC455"/>
  <c r="CC509"/>
  <c r="CC45"/>
  <c r="CC158"/>
  <c r="CC266"/>
  <c r="CC374"/>
  <c r="CC482"/>
  <c r="CC82"/>
  <c r="CC166"/>
  <c r="CC250"/>
  <c r="CC346"/>
  <c r="CC430"/>
  <c r="CC514"/>
  <c r="CC105"/>
  <c r="CC189"/>
  <c r="CC285"/>
  <c r="CC369"/>
  <c r="CC453"/>
  <c r="CC38"/>
  <c r="CC128"/>
  <c r="CC224"/>
  <c r="CC308"/>
  <c r="CC392"/>
  <c r="CC476"/>
  <c r="CC64"/>
  <c r="CC160"/>
  <c r="CC244"/>
  <c r="CC328"/>
  <c r="CC412"/>
  <c r="CC496"/>
  <c r="CC111"/>
  <c r="CC195"/>
  <c r="CC279"/>
  <c r="CC363"/>
  <c r="CC447"/>
  <c r="CC13"/>
  <c r="CD13"/>
  <c r="BH9"/>
  <c r="BG13" a="1"/>
  <c r="BI13" s="1"/>
  <c r="AQ26" i="16" l="1"/>
  <c r="W15" a="1"/>
  <c r="BG13" i="12"/>
  <c r="BH13"/>
  <c r="BJ13"/>
  <c r="W22" i="16" l="1"/>
  <c r="AI22" s="1"/>
  <c r="W19"/>
  <c r="AI19" s="1"/>
  <c r="W26"/>
  <c r="AI26" s="1"/>
  <c r="W18"/>
  <c r="AI18" s="1"/>
  <c r="W25"/>
  <c r="AI25" s="1"/>
  <c r="W24"/>
  <c r="AI24" s="1"/>
  <c r="W23"/>
  <c r="AI23" s="1"/>
  <c r="W21"/>
  <c r="AI21" s="1"/>
  <c r="W16"/>
  <c r="AI16" s="1"/>
  <c r="W20"/>
  <c r="AI20" s="1"/>
  <c r="W17"/>
  <c r="AI17" s="1"/>
  <c r="W15"/>
  <c r="AS10" i="1" a="1"/>
  <c r="AS14" s="1"/>
  <c r="AI15" i="16" l="1"/>
  <c r="CJ23" a="1"/>
  <c r="DN229" i="12"/>
  <c r="DP265"/>
  <c r="DP301"/>
  <c r="DP337"/>
  <c r="DP373"/>
  <c r="DP445"/>
  <c r="DP481"/>
  <c r="DP233"/>
  <c r="DP377"/>
  <c r="DP449"/>
  <c r="DP226"/>
  <c r="DP298"/>
  <c r="DP376"/>
  <c r="DP448"/>
  <c r="DP225"/>
  <c r="DP297"/>
  <c r="DP369"/>
  <c r="DP441"/>
  <c r="DP230"/>
  <c r="DP266"/>
  <c r="DP240"/>
  <c r="DP276"/>
  <c r="DP312"/>
  <c r="DP348"/>
  <c r="DP420"/>
  <c r="DP456"/>
  <c r="DP492"/>
  <c r="DP263"/>
  <c r="DP335"/>
  <c r="DP407"/>
  <c r="DP485"/>
  <c r="DP280"/>
  <c r="DP346"/>
  <c r="DP418"/>
  <c r="DP490"/>
  <c r="DP279"/>
  <c r="DP351"/>
  <c r="DP470"/>
  <c r="DP464"/>
  <c r="DN458"/>
  <c r="DP452"/>
  <c r="DP446"/>
  <c r="DP223"/>
  <c r="DP271"/>
  <c r="DP313"/>
  <c r="DP355"/>
  <c r="DP397"/>
  <c r="DP439"/>
  <c r="DP487"/>
  <c r="DP293"/>
  <c r="DP389"/>
  <c r="DP473"/>
  <c r="DP310"/>
  <c r="DP484"/>
  <c r="DP237"/>
  <c r="DP321"/>
  <c r="DP405"/>
  <c r="DP489"/>
  <c r="DP218"/>
  <c r="DP260"/>
  <c r="DP246"/>
  <c r="DP372"/>
  <c r="DP414"/>
  <c r="DP462"/>
  <c r="DP504"/>
  <c r="DP251"/>
  <c r="DP347"/>
  <c r="DP431"/>
  <c r="DP292"/>
  <c r="DP370"/>
  <c r="DP454"/>
  <c r="DP219"/>
  <c r="DP303"/>
  <c r="DP387"/>
  <c r="DP471"/>
  <c r="DP434"/>
  <c r="DP308"/>
  <c r="DP338"/>
  <c r="DP368"/>
  <c r="DP217"/>
  <c r="DP259"/>
  <c r="DP307"/>
  <c r="DP349"/>
  <c r="DP433"/>
  <c r="DP475"/>
  <c r="DP281"/>
  <c r="DP365"/>
  <c r="DP461"/>
  <c r="DP388"/>
  <c r="DP472"/>
  <c r="DP393"/>
  <c r="DP477"/>
  <c r="DP254"/>
  <c r="DP234"/>
  <c r="DP282"/>
  <c r="DP324"/>
  <c r="DP366"/>
  <c r="DP450"/>
  <c r="DP498"/>
  <c r="DP239"/>
  <c r="DN419"/>
  <c r="DP509"/>
  <c r="DP268"/>
  <c r="DP442"/>
  <c r="DP291"/>
  <c r="DP375"/>
  <c r="DP459"/>
  <c r="DP398"/>
  <c r="DP428"/>
  <c r="DP494"/>
  <c r="DP302"/>
  <c r="DP332"/>
  <c r="DP295"/>
  <c r="DP343"/>
  <c r="DP385"/>
  <c r="DP427"/>
  <c r="DP469"/>
  <c r="DP269"/>
  <c r="DP353"/>
  <c r="DP247"/>
  <c r="DP331"/>
  <c r="DP421"/>
  <c r="DP505"/>
  <c r="DP491"/>
  <c r="DP250"/>
  <c r="DP364"/>
  <c r="DP508"/>
  <c r="DP261"/>
  <c r="DP381"/>
  <c r="DP278"/>
  <c r="DP258"/>
  <c r="DP390"/>
  <c r="DP444"/>
  <c r="DP287"/>
  <c r="DP395"/>
  <c r="DP316"/>
  <c r="DP430"/>
  <c r="DP327"/>
  <c r="DP447"/>
  <c r="DP320"/>
  <c r="DP422"/>
  <c r="DP410"/>
  <c r="DP241"/>
  <c r="DP325"/>
  <c r="DP415"/>
  <c r="DP499"/>
  <c r="DP329"/>
  <c r="DP479"/>
  <c r="DP238"/>
  <c r="DP352"/>
  <c r="DP496"/>
  <c r="DP249"/>
  <c r="DN357"/>
  <c r="DP501"/>
  <c r="DP272"/>
  <c r="DP252"/>
  <c r="DP306"/>
  <c r="DP378"/>
  <c r="DP438"/>
  <c r="DN510"/>
  <c r="DP275"/>
  <c r="DP383"/>
  <c r="DP304"/>
  <c r="DP406"/>
  <c r="DP315"/>
  <c r="DP435"/>
  <c r="DP506"/>
  <c r="DP386"/>
  <c r="DP512"/>
  <c r="DP235"/>
  <c r="DP319"/>
  <c r="DP403"/>
  <c r="DP493"/>
  <c r="DP317"/>
  <c r="DP437"/>
  <c r="DP340"/>
  <c r="DP460"/>
  <c r="DP345"/>
  <c r="DP465"/>
  <c r="DP248"/>
  <c r="DP228"/>
  <c r="DP300"/>
  <c r="DP360"/>
  <c r="DP432"/>
  <c r="DP227"/>
  <c r="DP371"/>
  <c r="DP497"/>
  <c r="DP394"/>
  <c r="DN514"/>
  <c r="DP267"/>
  <c r="DP411"/>
  <c r="DP350"/>
  <c r="DP488"/>
  <c r="DP476"/>
  <c r="DP289"/>
  <c r="DP379"/>
  <c r="DP463"/>
  <c r="DP257"/>
  <c r="DP425"/>
  <c r="DP328"/>
  <c r="DP436"/>
  <c r="DP333"/>
  <c r="DP453"/>
  <c r="DP222"/>
  <c r="DP294"/>
  <c r="DP354"/>
  <c r="DP426"/>
  <c r="DP480"/>
  <c r="DP359"/>
  <c r="DP244"/>
  <c r="DP382"/>
  <c r="DP502"/>
  <c r="DP255"/>
  <c r="DP399"/>
  <c r="DP326"/>
  <c r="DP314"/>
  <c r="DP416"/>
  <c r="DP404"/>
  <c r="DP283"/>
  <c r="DP367"/>
  <c r="DP457"/>
  <c r="DP245"/>
  <c r="DP413"/>
  <c r="DP274"/>
  <c r="DP424"/>
  <c r="DP285"/>
  <c r="DP429"/>
  <c r="DN236"/>
  <c r="DP290"/>
  <c r="DP270"/>
  <c r="DP342"/>
  <c r="DP402"/>
  <c r="DP474"/>
  <c r="DP311"/>
  <c r="DP455"/>
  <c r="DP232"/>
  <c r="DP334"/>
  <c r="DP478"/>
  <c r="DP243"/>
  <c r="DP363"/>
  <c r="DP507"/>
  <c r="DP392"/>
  <c r="DP296"/>
  <c r="DP277"/>
  <c r="DP361"/>
  <c r="DP221"/>
  <c r="DP401"/>
  <c r="DN503"/>
  <c r="DP262"/>
  <c r="DP412"/>
  <c r="DP273"/>
  <c r="DP417"/>
  <c r="DP224"/>
  <c r="DP284"/>
  <c r="DP264"/>
  <c r="DP336"/>
  <c r="DP396"/>
  <c r="DP468"/>
  <c r="DP299"/>
  <c r="DP443"/>
  <c r="DP220"/>
  <c r="DP322"/>
  <c r="DP466"/>
  <c r="DP231"/>
  <c r="DP339"/>
  <c r="DP356"/>
  <c r="DP344"/>
  <c r="DP482"/>
  <c r="DD217"/>
  <c r="DD253"/>
  <c r="DD289"/>
  <c r="DD325"/>
  <c r="DD361"/>
  <c r="DD397"/>
  <c r="DD433"/>
  <c r="DB469"/>
  <c r="DD222"/>
  <c r="DD258"/>
  <c r="DD294"/>
  <c r="DD330"/>
  <c r="DD366"/>
  <c r="DD402"/>
  <c r="DD438"/>
  <c r="DD474"/>
  <c r="DD510"/>
  <c r="DD227"/>
  <c r="DD263"/>
  <c r="DD299"/>
  <c r="DD335"/>
  <c r="DB371"/>
  <c r="DD407"/>
  <c r="DD443"/>
  <c r="DD479"/>
  <c r="DD242"/>
  <c r="DD314"/>
  <c r="DD386"/>
  <c r="DD458"/>
  <c r="DD262"/>
  <c r="DD334"/>
  <c r="DD406"/>
  <c r="DB478"/>
  <c r="DD273"/>
  <c r="DD345"/>
  <c r="DD417"/>
  <c r="DD489"/>
  <c r="DD284"/>
  <c r="DD356"/>
  <c r="DD428"/>
  <c r="DD500"/>
  <c r="DD220"/>
  <c r="DD292"/>
  <c r="DD364"/>
  <c r="DD436"/>
  <c r="DD508"/>
  <c r="DD243"/>
  <c r="DD315"/>
  <c r="DD387"/>
  <c r="DD459"/>
  <c r="DD247"/>
  <c r="DD295"/>
  <c r="DD337"/>
  <c r="DD379"/>
  <c r="DD421"/>
  <c r="DD463"/>
  <c r="DB511"/>
  <c r="DD228"/>
  <c r="DD270"/>
  <c r="DD312"/>
  <c r="DD396"/>
  <c r="DD444"/>
  <c r="DD486"/>
  <c r="DD245"/>
  <c r="DD287"/>
  <c r="DD329"/>
  <c r="DD377"/>
  <c r="DD419"/>
  <c r="DD461"/>
  <c r="DD503"/>
  <c r="DD278"/>
  <c r="DD362"/>
  <c r="DD446"/>
  <c r="DB142"/>
  <c r="DD226"/>
  <c r="DB394"/>
  <c r="DD490"/>
  <c r="DD249"/>
  <c r="DD333"/>
  <c r="DD429"/>
  <c r="DD513"/>
  <c r="DD272"/>
  <c r="DD368"/>
  <c r="DD452"/>
  <c r="DD304"/>
  <c r="DD388"/>
  <c r="DD472"/>
  <c r="DD255"/>
  <c r="DD339"/>
  <c r="DD423"/>
  <c r="DD507"/>
  <c r="DD241"/>
  <c r="DB283"/>
  <c r="DD331"/>
  <c r="DD373"/>
  <c r="DD415"/>
  <c r="DD457"/>
  <c r="DD499"/>
  <c r="DB216"/>
  <c r="DD264"/>
  <c r="DD306"/>
  <c r="DB348"/>
  <c r="DD390"/>
  <c r="DD432"/>
  <c r="DD480"/>
  <c r="DD239"/>
  <c r="DD281"/>
  <c r="DD323"/>
  <c r="DD365"/>
  <c r="DD413"/>
  <c r="DD455"/>
  <c r="DD497"/>
  <c r="DD266"/>
  <c r="DD350"/>
  <c r="DD434"/>
  <c r="DB214"/>
  <c r="DD298"/>
  <c r="DD382"/>
  <c r="DD466"/>
  <c r="DD237"/>
  <c r="DD321"/>
  <c r="DD405"/>
  <c r="DD501"/>
  <c r="DD260"/>
  <c r="DD344"/>
  <c r="DD440"/>
  <c r="DD280"/>
  <c r="DD376"/>
  <c r="DD460"/>
  <c r="DD231"/>
  <c r="DD327"/>
  <c r="DD411"/>
  <c r="DB223"/>
  <c r="DD277"/>
  <c r="DD349"/>
  <c r="DD409"/>
  <c r="DD481"/>
  <c r="DD240"/>
  <c r="DB300"/>
  <c r="DD372"/>
  <c r="DD426"/>
  <c r="DD498"/>
  <c r="DD257"/>
  <c r="DD317"/>
  <c r="DD389"/>
  <c r="DD449"/>
  <c r="DB218"/>
  <c r="DD338"/>
  <c r="DD482"/>
  <c r="DD250"/>
  <c r="DD370"/>
  <c r="DD514"/>
  <c r="DD285"/>
  <c r="DD393"/>
  <c r="DD308"/>
  <c r="DD416"/>
  <c r="DD328"/>
  <c r="DD448"/>
  <c r="DD219"/>
  <c r="DD363"/>
  <c r="DD483"/>
  <c r="DD271"/>
  <c r="DD343"/>
  <c r="DD403"/>
  <c r="DD475"/>
  <c r="DD234"/>
  <c r="DD288"/>
  <c r="DD360"/>
  <c r="DD420"/>
  <c r="DD492"/>
  <c r="DD251"/>
  <c r="DD311"/>
  <c r="DD383"/>
  <c r="DD437"/>
  <c r="DD509"/>
  <c r="DD326"/>
  <c r="DD470"/>
  <c r="DD238"/>
  <c r="DD358"/>
  <c r="DD261"/>
  <c r="DD381"/>
  <c r="DD296"/>
  <c r="DD404"/>
  <c r="DD316"/>
  <c r="DD424"/>
  <c r="DD351"/>
  <c r="DD471"/>
  <c r="DD265"/>
  <c r="DD319"/>
  <c r="DD391"/>
  <c r="DD451"/>
  <c r="DD282"/>
  <c r="DD342"/>
  <c r="DD414"/>
  <c r="DD468"/>
  <c r="DD233"/>
  <c r="DD305"/>
  <c r="DD359"/>
  <c r="DD431"/>
  <c r="DD491"/>
  <c r="DD302"/>
  <c r="DD422"/>
  <c r="DD346"/>
  <c r="DD454"/>
  <c r="DD225"/>
  <c r="DD477"/>
  <c r="DD248"/>
  <c r="DD392"/>
  <c r="DD512"/>
  <c r="DD268"/>
  <c r="DD412"/>
  <c r="DB195"/>
  <c r="DD303"/>
  <c r="DD447"/>
  <c r="DD259"/>
  <c r="DD313"/>
  <c r="DD385"/>
  <c r="DD445"/>
  <c r="DD276"/>
  <c r="DD336"/>
  <c r="DD408"/>
  <c r="DD462"/>
  <c r="DD221"/>
  <c r="DD293"/>
  <c r="DD353"/>
  <c r="DB425"/>
  <c r="DD485"/>
  <c r="DD290"/>
  <c r="DD410"/>
  <c r="DD322"/>
  <c r="DD442"/>
  <c r="DD357"/>
  <c r="DD465"/>
  <c r="DD236"/>
  <c r="DD380"/>
  <c r="DD488"/>
  <c r="DD256"/>
  <c r="DD400"/>
  <c r="DD291"/>
  <c r="DD435"/>
  <c r="DD235"/>
  <c r="DD307"/>
  <c r="DD367"/>
  <c r="DD439"/>
  <c r="DD493"/>
  <c r="DD252"/>
  <c r="DD324"/>
  <c r="DD384"/>
  <c r="DD456"/>
  <c r="DD275"/>
  <c r="DD347"/>
  <c r="DD401"/>
  <c r="DD473"/>
  <c r="DD254"/>
  <c r="DD398"/>
  <c r="DD506"/>
  <c r="DD286"/>
  <c r="DB430"/>
  <c r="DD309"/>
  <c r="DD453"/>
  <c r="DD224"/>
  <c r="DD332"/>
  <c r="DD476"/>
  <c r="DD244"/>
  <c r="DD352"/>
  <c r="DD496"/>
  <c r="DD279"/>
  <c r="DD399"/>
  <c r="DB229"/>
  <c r="DD301"/>
  <c r="DD355"/>
  <c r="DD427"/>
  <c r="DD487"/>
  <c r="DD246"/>
  <c r="DD318"/>
  <c r="DD378"/>
  <c r="DD450"/>
  <c r="DD504"/>
  <c r="DD269"/>
  <c r="DD341"/>
  <c r="DD395"/>
  <c r="DD467"/>
  <c r="DD230"/>
  <c r="DD374"/>
  <c r="DD494"/>
  <c r="DD274"/>
  <c r="DD418"/>
  <c r="DD297"/>
  <c r="DD441"/>
  <c r="DD320"/>
  <c r="DD464"/>
  <c r="DD232"/>
  <c r="DD340"/>
  <c r="DD484"/>
  <c r="DD267"/>
  <c r="CR241"/>
  <c r="CR277"/>
  <c r="CR313"/>
  <c r="CR349"/>
  <c r="CR385"/>
  <c r="CR457"/>
  <c r="CR493"/>
  <c r="CR246"/>
  <c r="CR282"/>
  <c r="CR318"/>
  <c r="CR354"/>
  <c r="CR390"/>
  <c r="CR426"/>
  <c r="CR462"/>
  <c r="CR498"/>
  <c r="CR251"/>
  <c r="CP287"/>
  <c r="CR323"/>
  <c r="CR359"/>
  <c r="CR395"/>
  <c r="CR431"/>
  <c r="CR503"/>
  <c r="CR218"/>
  <c r="CR290"/>
  <c r="CR362"/>
  <c r="CR434"/>
  <c r="CR506"/>
  <c r="CR238"/>
  <c r="CR310"/>
  <c r="CR382"/>
  <c r="CR454"/>
  <c r="CR249"/>
  <c r="CR321"/>
  <c r="CR393"/>
  <c r="CR465"/>
  <c r="CR260"/>
  <c r="CR332"/>
  <c r="CR404"/>
  <c r="CR476"/>
  <c r="CR268"/>
  <c r="CR340"/>
  <c r="CR412"/>
  <c r="CR484"/>
  <c r="CR219"/>
  <c r="CR291"/>
  <c r="CR363"/>
  <c r="CR435"/>
  <c r="CR507"/>
  <c r="CR229"/>
  <c r="CR271"/>
  <c r="CR319"/>
  <c r="CR361"/>
  <c r="CR403"/>
  <c r="CR445"/>
  <c r="CR487"/>
  <c r="CR252"/>
  <c r="CR294"/>
  <c r="CR336"/>
  <c r="CR378"/>
  <c r="CR420"/>
  <c r="CR468"/>
  <c r="CR510"/>
  <c r="CR227"/>
  <c r="CR269"/>
  <c r="CR311"/>
  <c r="CR353"/>
  <c r="CR401"/>
  <c r="CR443"/>
  <c r="CR485"/>
  <c r="CR242"/>
  <c r="CR326"/>
  <c r="CR410"/>
  <c r="CR494"/>
  <c r="CR274"/>
  <c r="CR358"/>
  <c r="CR442"/>
  <c r="CR297"/>
  <c r="CR381"/>
  <c r="CR477"/>
  <c r="CR236"/>
  <c r="CR320"/>
  <c r="CR416"/>
  <c r="CR500"/>
  <c r="CR256"/>
  <c r="CR352"/>
  <c r="CR436"/>
  <c r="CR303"/>
  <c r="CR387"/>
  <c r="CR471"/>
  <c r="CR223"/>
  <c r="CR265"/>
  <c r="CR307"/>
  <c r="CR355"/>
  <c r="CR397"/>
  <c r="CR439"/>
  <c r="CR481"/>
  <c r="CR240"/>
  <c r="CR288"/>
  <c r="CR330"/>
  <c r="CR372"/>
  <c r="CR414"/>
  <c r="CR456"/>
  <c r="CR504"/>
  <c r="CR221"/>
  <c r="CR263"/>
  <c r="CR305"/>
  <c r="CR347"/>
  <c r="CR389"/>
  <c r="CR437"/>
  <c r="CR479"/>
  <c r="CR230"/>
  <c r="CR314"/>
  <c r="CR398"/>
  <c r="CR482"/>
  <c r="CR262"/>
  <c r="CR346"/>
  <c r="CR430"/>
  <c r="CR514"/>
  <c r="CR285"/>
  <c r="CR369"/>
  <c r="CR453"/>
  <c r="CR224"/>
  <c r="CR308"/>
  <c r="CR392"/>
  <c r="CR488"/>
  <c r="CR244"/>
  <c r="CR328"/>
  <c r="CR424"/>
  <c r="CR508"/>
  <c r="CR279"/>
  <c r="CR375"/>
  <c r="CR459"/>
  <c r="CR259"/>
  <c r="CR331"/>
  <c r="CR391"/>
  <c r="CR463"/>
  <c r="CP150"/>
  <c r="CR222"/>
  <c r="CP276"/>
  <c r="CR348"/>
  <c r="CR408"/>
  <c r="CR480"/>
  <c r="CR239"/>
  <c r="CR299"/>
  <c r="CR371"/>
  <c r="CR425"/>
  <c r="CR497"/>
  <c r="CR302"/>
  <c r="CR446"/>
  <c r="CR334"/>
  <c r="CR478"/>
  <c r="CR237"/>
  <c r="CR357"/>
  <c r="CR501"/>
  <c r="CR272"/>
  <c r="CR380"/>
  <c r="CR292"/>
  <c r="CR400"/>
  <c r="CR327"/>
  <c r="CR447"/>
  <c r="CR253"/>
  <c r="CR325"/>
  <c r="CR379"/>
  <c r="CR451"/>
  <c r="CR511"/>
  <c r="CR216"/>
  <c r="CR270"/>
  <c r="CR342"/>
  <c r="CR402"/>
  <c r="CR474"/>
  <c r="CR233"/>
  <c r="CR293"/>
  <c r="CR365"/>
  <c r="CR419"/>
  <c r="CR491"/>
  <c r="CR278"/>
  <c r="CR422"/>
  <c r="CR322"/>
  <c r="CR466"/>
  <c r="CR225"/>
  <c r="CR345"/>
  <c r="CR489"/>
  <c r="CR248"/>
  <c r="CR368"/>
  <c r="CR512"/>
  <c r="CR280"/>
  <c r="CR388"/>
  <c r="CR315"/>
  <c r="CR423"/>
  <c r="CR247"/>
  <c r="CR301"/>
  <c r="CR373"/>
  <c r="CR433"/>
  <c r="CR505"/>
  <c r="CR264"/>
  <c r="CR324"/>
  <c r="CR396"/>
  <c r="CR450"/>
  <c r="CR281"/>
  <c r="CR341"/>
  <c r="CR413"/>
  <c r="CR473"/>
  <c r="CP266"/>
  <c r="CR386"/>
  <c r="CR298"/>
  <c r="CR418"/>
  <c r="CR333"/>
  <c r="CR441"/>
  <c r="CR356"/>
  <c r="CR464"/>
  <c r="CR232"/>
  <c r="CR376"/>
  <c r="CR496"/>
  <c r="CR267"/>
  <c r="CR411"/>
  <c r="CR235"/>
  <c r="CR295"/>
  <c r="CP367"/>
  <c r="CR427"/>
  <c r="CR499"/>
  <c r="CR258"/>
  <c r="CR312"/>
  <c r="CR384"/>
  <c r="CR444"/>
  <c r="CR275"/>
  <c r="CR335"/>
  <c r="CR407"/>
  <c r="CR461"/>
  <c r="CR254"/>
  <c r="CR374"/>
  <c r="CR286"/>
  <c r="CR406"/>
  <c r="CR309"/>
  <c r="CR429"/>
  <c r="CR344"/>
  <c r="CR452"/>
  <c r="CR220"/>
  <c r="CR364"/>
  <c r="CR472"/>
  <c r="CR255"/>
  <c r="CR399"/>
  <c r="CR217"/>
  <c r="CR289"/>
  <c r="CR343"/>
  <c r="CR415"/>
  <c r="CR475"/>
  <c r="CR234"/>
  <c r="CR306"/>
  <c r="CR366"/>
  <c r="CR438"/>
  <c r="CP492"/>
  <c r="CR257"/>
  <c r="CR329"/>
  <c r="CR383"/>
  <c r="CR455"/>
  <c r="CR350"/>
  <c r="CR470"/>
  <c r="CR250"/>
  <c r="CR394"/>
  <c r="CR502"/>
  <c r="CR273"/>
  <c r="CR417"/>
  <c r="CR296"/>
  <c r="CR440"/>
  <c r="CR316"/>
  <c r="CR460"/>
  <c r="CR243"/>
  <c r="CR351"/>
  <c r="CR495"/>
  <c r="CR283"/>
  <c r="CR337"/>
  <c r="CR409"/>
  <c r="CR469"/>
  <c r="CR228"/>
  <c r="CR300"/>
  <c r="CR360"/>
  <c r="CR432"/>
  <c r="CR486"/>
  <c r="CR245"/>
  <c r="CR317"/>
  <c r="CR377"/>
  <c r="CR449"/>
  <c r="CR509"/>
  <c r="CR338"/>
  <c r="CR458"/>
  <c r="CR226"/>
  <c r="CR370"/>
  <c r="CR490"/>
  <c r="CR261"/>
  <c r="CR405"/>
  <c r="CR513"/>
  <c r="CR284"/>
  <c r="CR428"/>
  <c r="CR304"/>
  <c r="CR448"/>
  <c r="CR231"/>
  <c r="CR339"/>
  <c r="CR483"/>
  <c r="BT241"/>
  <c r="BT277"/>
  <c r="BT313"/>
  <c r="BT349"/>
  <c r="BT385"/>
  <c r="BT421"/>
  <c r="BT457"/>
  <c r="BT493"/>
  <c r="BT246"/>
  <c r="BT282"/>
  <c r="BT318"/>
  <c r="BT354"/>
  <c r="BT390"/>
  <c r="BT426"/>
  <c r="BT462"/>
  <c r="BT498"/>
  <c r="BT251"/>
  <c r="BT287"/>
  <c r="BT323"/>
  <c r="BT359"/>
  <c r="BT395"/>
  <c r="BT431"/>
  <c r="BT467"/>
  <c r="BR503"/>
  <c r="BT218"/>
  <c r="BT290"/>
  <c r="BT362"/>
  <c r="BT434"/>
  <c r="BT506"/>
  <c r="BT406"/>
  <c r="BT502"/>
  <c r="BT429"/>
  <c r="BT500"/>
  <c r="BT250"/>
  <c r="BT346"/>
  <c r="BT417"/>
  <c r="BT464"/>
  <c r="BT507"/>
  <c r="BT237"/>
  <c r="BR345"/>
  <c r="BT436"/>
  <c r="BT272"/>
  <c r="BT344"/>
  <c r="BT488"/>
  <c r="BT268"/>
  <c r="BT340"/>
  <c r="BT267"/>
  <c r="BT339"/>
  <c r="BT459"/>
  <c r="BT235"/>
  <c r="BT283"/>
  <c r="BT325"/>
  <c r="BT367"/>
  <c r="BT409"/>
  <c r="BT451"/>
  <c r="BT499"/>
  <c r="BT216"/>
  <c r="BT258"/>
  <c r="BT300"/>
  <c r="BT342"/>
  <c r="BT384"/>
  <c r="BT432"/>
  <c r="BT474"/>
  <c r="BT233"/>
  <c r="BT275"/>
  <c r="BT317"/>
  <c r="BT365"/>
  <c r="BT407"/>
  <c r="BT449"/>
  <c r="BT491"/>
  <c r="BT254"/>
  <c r="BT338"/>
  <c r="BT422"/>
  <c r="BR286"/>
  <c r="BT442"/>
  <c r="BT333"/>
  <c r="BT416"/>
  <c r="BT471"/>
  <c r="BT298"/>
  <c r="BT321"/>
  <c r="BT428"/>
  <c r="BT297"/>
  <c r="BT388"/>
  <c r="BT236"/>
  <c r="BT247"/>
  <c r="BT295"/>
  <c r="BT343"/>
  <c r="BT397"/>
  <c r="BT445"/>
  <c r="BT505"/>
  <c r="BT264"/>
  <c r="BT312"/>
  <c r="BT366"/>
  <c r="BT414"/>
  <c r="BT468"/>
  <c r="BT227"/>
  <c r="BT281"/>
  <c r="BT335"/>
  <c r="BT383"/>
  <c r="BT437"/>
  <c r="BT485"/>
  <c r="BT314"/>
  <c r="BT410"/>
  <c r="BT334"/>
  <c r="BT466"/>
  <c r="BT453"/>
  <c r="BT484"/>
  <c r="BT322"/>
  <c r="BT477"/>
  <c r="BT508"/>
  <c r="BT369"/>
  <c r="BT483"/>
  <c r="BT224"/>
  <c r="BT320"/>
  <c r="BT440"/>
  <c r="BT232"/>
  <c r="BT316"/>
  <c r="BT219"/>
  <c r="BT303"/>
  <c r="BT387"/>
  <c r="BT223"/>
  <c r="BT331"/>
  <c r="BT433"/>
  <c r="BT294"/>
  <c r="BT402"/>
  <c r="BT504"/>
  <c r="BT263"/>
  <c r="BT371"/>
  <c r="BT473"/>
  <c r="BT278"/>
  <c r="BT482"/>
  <c r="BT400"/>
  <c r="BT381"/>
  <c r="BT273"/>
  <c r="BT296"/>
  <c r="BT376"/>
  <c r="BT265"/>
  <c r="BT373"/>
  <c r="BT288"/>
  <c r="BT444"/>
  <c r="BT353"/>
  <c r="BT470"/>
  <c r="BT452"/>
  <c r="BT262"/>
  <c r="BT512"/>
  <c r="BT261"/>
  <c r="BT495"/>
  <c r="BT280"/>
  <c r="BT260"/>
  <c r="BT229"/>
  <c r="BT289"/>
  <c r="BT337"/>
  <c r="BT391"/>
  <c r="BT439"/>
  <c r="BT487"/>
  <c r="BT252"/>
  <c r="BT306"/>
  <c r="BT360"/>
  <c r="BT408"/>
  <c r="BT456"/>
  <c r="BT510"/>
  <c r="BT221"/>
  <c r="BT269"/>
  <c r="BT329"/>
  <c r="BT377"/>
  <c r="BT425"/>
  <c r="BT479"/>
  <c r="BT302"/>
  <c r="BT398"/>
  <c r="BT494"/>
  <c r="BT454"/>
  <c r="BT393"/>
  <c r="BT448"/>
  <c r="BT310"/>
  <c r="BT441"/>
  <c r="BT460"/>
  <c r="BT309"/>
  <c r="BT435"/>
  <c r="BT308"/>
  <c r="BT404"/>
  <c r="BT220"/>
  <c r="BT304"/>
  <c r="BT424"/>
  <c r="BT291"/>
  <c r="BT375"/>
  <c r="BT271"/>
  <c r="BT379"/>
  <c r="BT481"/>
  <c r="BR240"/>
  <c r="BR348"/>
  <c r="BT450"/>
  <c r="BT311"/>
  <c r="BT419"/>
  <c r="BT386"/>
  <c r="BT430"/>
  <c r="BT274"/>
  <c r="BT412"/>
  <c r="BR496"/>
  <c r="BT380"/>
  <c r="BT292"/>
  <c r="BT279"/>
  <c r="BT363"/>
  <c r="BT217"/>
  <c r="BT319"/>
  <c r="BT475"/>
  <c r="BT234"/>
  <c r="BT336"/>
  <c r="BT492"/>
  <c r="BT305"/>
  <c r="BT461"/>
  <c r="BT266"/>
  <c r="BT394"/>
  <c r="BT478"/>
  <c r="BT368"/>
  <c r="BT351"/>
  <c r="BT357"/>
  <c r="BR427"/>
  <c r="BT396"/>
  <c r="BT257"/>
  <c r="BT413"/>
  <c r="BT374"/>
  <c r="BT285"/>
  <c r="BT476"/>
  <c r="BT284"/>
  <c r="BT364"/>
  <c r="BT255"/>
  <c r="BT411"/>
  <c r="BT259"/>
  <c r="BT307"/>
  <c r="BT361"/>
  <c r="BT415"/>
  <c r="BT469"/>
  <c r="BT228"/>
  <c r="BT276"/>
  <c r="BT330"/>
  <c r="BT378"/>
  <c r="BT438"/>
  <c r="BT486"/>
  <c r="BT245"/>
  <c r="BT299"/>
  <c r="BT347"/>
  <c r="BT401"/>
  <c r="BT455"/>
  <c r="BT509"/>
  <c r="BT242"/>
  <c r="BR350"/>
  <c r="BT458"/>
  <c r="BT370"/>
  <c r="BT514"/>
  <c r="BT513"/>
  <c r="BT238"/>
  <c r="BT418"/>
  <c r="BT392"/>
  <c r="BT249"/>
  <c r="BT465"/>
  <c r="BT356"/>
  <c r="BT256"/>
  <c r="BT352"/>
  <c r="BT243"/>
  <c r="BT327"/>
  <c r="BT253"/>
  <c r="BT301"/>
  <c r="BT355"/>
  <c r="BT403"/>
  <c r="BT463"/>
  <c r="BT511"/>
  <c r="BT222"/>
  <c r="BT270"/>
  <c r="BT324"/>
  <c r="BT372"/>
  <c r="BT420"/>
  <c r="BT480"/>
  <c r="BT239"/>
  <c r="BT293"/>
  <c r="BT341"/>
  <c r="BT389"/>
  <c r="BT443"/>
  <c r="BT497"/>
  <c r="BT230"/>
  <c r="BT326"/>
  <c r="BT446"/>
  <c r="BT358"/>
  <c r="BT490"/>
  <c r="BT489"/>
  <c r="BT423"/>
  <c r="BT226"/>
  <c r="BT382"/>
  <c r="BT501"/>
  <c r="BT447"/>
  <c r="BT225"/>
  <c r="BT405"/>
  <c r="BT248"/>
  <c r="BR332"/>
  <c r="BT472"/>
  <c r="BT244"/>
  <c r="BT328"/>
  <c r="BR231"/>
  <c r="BT315"/>
  <c r="BT399"/>
  <c r="CD229"/>
  <c r="CF253"/>
  <c r="CD289"/>
  <c r="CF325"/>
  <c r="CD361"/>
  <c r="CD397"/>
  <c r="CD433"/>
  <c r="CD469"/>
  <c r="CD505"/>
  <c r="CD222"/>
  <c r="CD258"/>
  <c r="CD294"/>
  <c r="CD330"/>
  <c r="CF366"/>
  <c r="CD402"/>
  <c r="CF438"/>
  <c r="CD474"/>
  <c r="CD510"/>
  <c r="CF227"/>
  <c r="CF263"/>
  <c r="CF299"/>
  <c r="CF335"/>
  <c r="CD371"/>
  <c r="CD407"/>
  <c r="CF443"/>
  <c r="CD479"/>
  <c r="CD242"/>
  <c r="CD314"/>
  <c r="CD386"/>
  <c r="CF458"/>
  <c r="CF262"/>
  <c r="CD334"/>
  <c r="CD406"/>
  <c r="CD478"/>
  <c r="CD273"/>
  <c r="CD345"/>
  <c r="CD417"/>
  <c r="CD489"/>
  <c r="CD284"/>
  <c r="CF356"/>
  <c r="CD428"/>
  <c r="CF500"/>
  <c r="CF220"/>
  <c r="CF292"/>
  <c r="CD364"/>
  <c r="CD436"/>
  <c r="CD508"/>
  <c r="CD243"/>
  <c r="CD315"/>
  <c r="CD387"/>
  <c r="CF459"/>
  <c r="CD247"/>
  <c r="CF283"/>
  <c r="CD355"/>
  <c r="CD391"/>
  <c r="CD427"/>
  <c r="CF463"/>
  <c r="CD499"/>
  <c r="CD216"/>
  <c r="CD252"/>
  <c r="CF288"/>
  <c r="CF324"/>
  <c r="CD360"/>
  <c r="CD396"/>
  <c r="CD432"/>
  <c r="CD468"/>
  <c r="CF504"/>
  <c r="CF221"/>
  <c r="CD257"/>
  <c r="CD293"/>
  <c r="CD329"/>
  <c r="CD365"/>
  <c r="CD401"/>
  <c r="CD437"/>
  <c r="CD473"/>
  <c r="CD509"/>
  <c r="CD230"/>
  <c r="CF302"/>
  <c r="CF374"/>
  <c r="CD446"/>
  <c r="CD241"/>
  <c r="CD301"/>
  <c r="CD343"/>
  <c r="CD403"/>
  <c r="CD451"/>
  <c r="CD511"/>
  <c r="CF228"/>
  <c r="CF276"/>
  <c r="CF336"/>
  <c r="CD384"/>
  <c r="CD444"/>
  <c r="CF492"/>
  <c r="CD269"/>
  <c r="CF317"/>
  <c r="CD377"/>
  <c r="CD425"/>
  <c r="CF485"/>
  <c r="CD326"/>
  <c r="CD422"/>
  <c r="CD235"/>
  <c r="CD295"/>
  <c r="CD337"/>
  <c r="CD385"/>
  <c r="CD445"/>
  <c r="CD493"/>
  <c r="CF270"/>
  <c r="CD318"/>
  <c r="CF378"/>
  <c r="CF426"/>
  <c r="CF486"/>
  <c r="CF251"/>
  <c r="CF311"/>
  <c r="CF359"/>
  <c r="CD419"/>
  <c r="CF467"/>
  <c r="CD290"/>
  <c r="CF410"/>
  <c r="CF223"/>
  <c r="CD277"/>
  <c r="CD331"/>
  <c r="CD379"/>
  <c r="CF439"/>
  <c r="CD487"/>
  <c r="CD264"/>
  <c r="CD312"/>
  <c r="CD372"/>
  <c r="CD420"/>
  <c r="CD480"/>
  <c r="CD245"/>
  <c r="CD305"/>
  <c r="CD353"/>
  <c r="CD413"/>
  <c r="CD461"/>
  <c r="CF278"/>
  <c r="CF398"/>
  <c r="CD217"/>
  <c r="CD271"/>
  <c r="CD319"/>
  <c r="CF373"/>
  <c r="CF421"/>
  <c r="CD481"/>
  <c r="CD246"/>
  <c r="CD306"/>
  <c r="CF354"/>
  <c r="CD414"/>
  <c r="CD265"/>
  <c r="CD313"/>
  <c r="CD367"/>
  <c r="CD415"/>
  <c r="CD475"/>
  <c r="CF240"/>
  <c r="CF300"/>
  <c r="CD348"/>
  <c r="CD408"/>
  <c r="CD456"/>
  <c r="CD233"/>
  <c r="CF281"/>
  <c r="CD341"/>
  <c r="CF389"/>
  <c r="CD449"/>
  <c r="CD497"/>
  <c r="CD254"/>
  <c r="CF350"/>
  <c r="CD259"/>
  <c r="CF307"/>
  <c r="CD349"/>
  <c r="CD409"/>
  <c r="CF457"/>
  <c r="CD234"/>
  <c r="CD282"/>
  <c r="CD342"/>
  <c r="CF390"/>
  <c r="CD450"/>
  <c r="CD498"/>
  <c r="CF275"/>
  <c r="CF323"/>
  <c r="CD383"/>
  <c r="CD431"/>
  <c r="CD491"/>
  <c r="CD218"/>
  <c r="CD338"/>
  <c r="CD434"/>
  <c r="CD238"/>
  <c r="CF322"/>
  <c r="CD418"/>
  <c r="CF502"/>
  <c r="CF261"/>
  <c r="CD357"/>
  <c r="CD441"/>
  <c r="CD296"/>
  <c r="CD380"/>
  <c r="CD464"/>
  <c r="CF232"/>
  <c r="CF316"/>
  <c r="CD400"/>
  <c r="CF484"/>
  <c r="CD267"/>
  <c r="CD351"/>
  <c r="CF435"/>
  <c r="CF239"/>
  <c r="CD494"/>
  <c r="CD226"/>
  <c r="CF346"/>
  <c r="CF442"/>
  <c r="CD249"/>
  <c r="CD369"/>
  <c r="CF465"/>
  <c r="CD272"/>
  <c r="CD392"/>
  <c r="CD488"/>
  <c r="CF304"/>
  <c r="CD412"/>
  <c r="CD231"/>
  <c r="CF339"/>
  <c r="CD447"/>
  <c r="CD310"/>
  <c r="CD298"/>
  <c r="CD394"/>
  <c r="CD225"/>
  <c r="CD321"/>
  <c r="CD429"/>
  <c r="CF344"/>
  <c r="CD452"/>
  <c r="CD268"/>
  <c r="CD376"/>
  <c r="CD472"/>
  <c r="CD411"/>
  <c r="CF507"/>
  <c r="CD286"/>
  <c r="CD382"/>
  <c r="CD490"/>
  <c r="CD405"/>
  <c r="CF513"/>
  <c r="CD332"/>
  <c r="CD256"/>
  <c r="CD460"/>
  <c r="CD399"/>
  <c r="CF347"/>
  <c r="CD503"/>
  <c r="CD482"/>
  <c r="CF430"/>
  <c r="CF237"/>
  <c r="CD333"/>
  <c r="CD453"/>
  <c r="CF260"/>
  <c r="CD368"/>
  <c r="CF476"/>
  <c r="CD280"/>
  <c r="CD388"/>
  <c r="CD496"/>
  <c r="CF219"/>
  <c r="CF327"/>
  <c r="CF423"/>
  <c r="CF455"/>
  <c r="CD395"/>
  <c r="CF309"/>
  <c r="CD236"/>
  <c r="CD440"/>
  <c r="CD352"/>
  <c r="CF291"/>
  <c r="CD266"/>
  <c r="CD470"/>
  <c r="CD514"/>
  <c r="CF248"/>
  <c r="CD303"/>
  <c r="CF362"/>
  <c r="CF495"/>
  <c r="CD274"/>
  <c r="CF370"/>
  <c r="CD466"/>
  <c r="CD297"/>
  <c r="CD393"/>
  <c r="CD501"/>
  <c r="CD224"/>
  <c r="CD320"/>
  <c r="CF416"/>
  <c r="CF244"/>
  <c r="CF340"/>
  <c r="CF448"/>
  <c r="CD279"/>
  <c r="CD375"/>
  <c r="CD483"/>
  <c r="CF462"/>
  <c r="CD287"/>
  <c r="CD506"/>
  <c r="CF250"/>
  <c r="CD358"/>
  <c r="CD454"/>
  <c r="CD285"/>
  <c r="CD381"/>
  <c r="CD477"/>
  <c r="CD308"/>
  <c r="CD404"/>
  <c r="CF512"/>
  <c r="CF328"/>
  <c r="CD424"/>
  <c r="CF255"/>
  <c r="CD363"/>
  <c r="CF471"/>
  <c r="DD502"/>
  <c r="DD430"/>
  <c r="DD354"/>
  <c r="DD505"/>
  <c r="DD469"/>
  <c r="DD375"/>
  <c r="DD478"/>
  <c r="DD495"/>
  <c r="DD310"/>
  <c r="DD369"/>
  <c r="DP419"/>
  <c r="DP318"/>
  <c r="DP253"/>
  <c r="DP483"/>
  <c r="DP216"/>
  <c r="DP374"/>
  <c r="DP511"/>
  <c r="DP242"/>
  <c r="DP309"/>
  <c r="DP362"/>
  <c r="DP380"/>
  <c r="DP486"/>
  <c r="DP330"/>
  <c r="DP409"/>
  <c r="DP341"/>
  <c r="DP384"/>
  <c r="DP513"/>
  <c r="DP451"/>
  <c r="DP229"/>
  <c r="DP495"/>
  <c r="DP423"/>
  <c r="DP400"/>
  <c r="DP408"/>
  <c r="DP391"/>
  <c r="DP358"/>
  <c r="DP286"/>
  <c r="DP305"/>
  <c r="DP440"/>
  <c r="DP256"/>
  <c r="DP323"/>
  <c r="DP288"/>
  <c r="DP500"/>
  <c r="DP467"/>
  <c r="CR467"/>
  <c r="CR421"/>
  <c r="AS15" i="1"/>
  <c r="DN440" i="12"/>
  <c r="DN500"/>
  <c r="DN323"/>
  <c r="DN352"/>
  <c r="DN123"/>
  <c r="DN361"/>
  <c r="DN150"/>
  <c r="DN512"/>
  <c r="DN252"/>
  <c r="DN233"/>
  <c r="DB272"/>
  <c r="DB157"/>
  <c r="DB193"/>
  <c r="DB438"/>
  <c r="DB439"/>
  <c r="DB360"/>
  <c r="DB432"/>
  <c r="DB375"/>
  <c r="DB174"/>
  <c r="DB204"/>
  <c r="DB304"/>
  <c r="DB177"/>
  <c r="DB249"/>
  <c r="AS10" i="1"/>
  <c r="AS11"/>
  <c r="AS12"/>
  <c r="AS13"/>
  <c r="BK4" i="10"/>
  <c r="H14" i="12"/>
  <c r="F38" i="10"/>
  <c r="F39"/>
  <c r="BT177" i="12"/>
  <c r="CR32"/>
  <c r="DD70"/>
  <c r="CR51"/>
  <c r="DD16"/>
  <c r="BT28"/>
  <c r="BT210"/>
  <c r="CR46"/>
  <c r="DP206"/>
  <c r="DP58"/>
  <c r="CF46"/>
  <c r="DD156"/>
  <c r="CF182"/>
  <c r="CR157"/>
  <c r="CF30"/>
  <c r="BT132"/>
  <c r="BT180"/>
  <c r="CF60"/>
  <c r="CR129"/>
  <c r="DD72"/>
  <c r="CR78"/>
  <c r="DD210"/>
  <c r="DD76"/>
  <c r="CF133"/>
  <c r="CR123"/>
  <c r="CR199"/>
  <c r="DD55"/>
  <c r="CF82"/>
  <c r="CF152"/>
  <c r="BT137"/>
  <c r="CR124"/>
  <c r="CR184"/>
  <c r="BT136"/>
  <c r="DP175"/>
  <c r="DP81"/>
  <c r="CR211"/>
  <c r="DD152"/>
  <c r="BT203"/>
  <c r="CR127"/>
  <c r="CR192"/>
  <c r="BT147"/>
  <c r="CF155"/>
  <c r="BT181"/>
  <c r="CF186"/>
  <c r="BT80"/>
  <c r="CF199"/>
  <c r="CF80"/>
  <c r="DP17"/>
  <c r="DD155"/>
  <c r="CF29"/>
  <c r="CR194"/>
  <c r="DD44"/>
  <c r="BT197"/>
  <c r="CF34"/>
  <c r="CR187"/>
  <c r="DD148"/>
  <c r="BT79"/>
  <c r="DP73"/>
  <c r="BT186"/>
  <c r="CR113"/>
  <c r="BT111"/>
  <c r="CF67"/>
  <c r="DP82"/>
  <c r="CR23"/>
  <c r="DP134"/>
  <c r="CR175"/>
  <c r="DD204"/>
  <c r="CR160"/>
  <c r="CF190"/>
  <c r="DD170"/>
  <c r="CR148"/>
  <c r="CR19"/>
  <c r="BT72"/>
  <c r="DD120"/>
  <c r="CR79"/>
  <c r="CF106"/>
  <c r="DD118"/>
  <c r="CF88"/>
  <c r="CR99"/>
  <c r="DD133"/>
  <c r="BT189"/>
  <c r="CR35"/>
  <c r="DD166"/>
  <c r="CF181"/>
  <c r="BT201"/>
  <c r="CF151"/>
  <c r="CR178"/>
  <c r="CF85"/>
  <c r="DP114"/>
  <c r="BT179"/>
  <c r="DP200"/>
  <c r="BT37"/>
  <c r="DP20"/>
  <c r="BT34"/>
  <c r="DD30"/>
  <c r="CF209"/>
  <c r="DP37"/>
  <c r="DD176"/>
  <c r="BT86"/>
  <c r="CF144"/>
  <c r="BT85"/>
  <c r="DD124"/>
  <c r="DP101"/>
  <c r="BT193"/>
  <c r="CF177"/>
  <c r="DP154"/>
  <c r="BT125"/>
  <c r="DP139"/>
  <c r="CF126"/>
  <c r="DP179"/>
  <c r="BT122"/>
  <c r="CR88"/>
  <c r="CR87"/>
  <c r="CR133"/>
  <c r="BT145"/>
  <c r="CF194"/>
  <c r="CR201"/>
  <c r="BT69"/>
  <c r="BT162"/>
  <c r="DD201"/>
  <c r="BT93"/>
  <c r="CF119"/>
  <c r="DP195"/>
  <c r="DD143"/>
  <c r="DD100"/>
  <c r="CF112"/>
  <c r="DP171"/>
  <c r="DD95"/>
  <c r="BT117"/>
  <c r="CR80"/>
  <c r="DP92"/>
  <c r="DP62"/>
  <c r="CF198"/>
  <c r="DP129"/>
  <c r="BT134"/>
  <c r="BT103"/>
  <c r="DP52"/>
  <c r="DD49"/>
  <c r="DD106"/>
  <c r="DP68"/>
  <c r="DD117"/>
  <c r="BT78"/>
  <c r="DD53"/>
  <c r="DD116"/>
  <c r="CR135"/>
  <c r="BT215"/>
  <c r="CR159"/>
  <c r="CF111"/>
  <c r="CF157"/>
  <c r="DP196"/>
  <c r="DP205"/>
  <c r="CF89"/>
  <c r="BT141"/>
  <c r="DD202"/>
  <c r="DP211"/>
  <c r="DD126"/>
  <c r="CR92"/>
  <c r="DD151"/>
  <c r="CR29"/>
  <c r="DD83"/>
  <c r="CR70"/>
  <c r="CR137"/>
  <c r="CF210"/>
  <c r="CF204"/>
  <c r="BT101"/>
  <c r="CR162"/>
  <c r="CR212"/>
  <c r="DP124"/>
  <c r="CF51"/>
  <c r="BT138"/>
  <c r="DP41"/>
  <c r="BT74"/>
  <c r="DD74"/>
  <c r="DD141"/>
  <c r="DD102"/>
  <c r="BT95"/>
  <c r="BT129"/>
  <c r="CR117"/>
  <c r="BT26"/>
  <c r="CR139"/>
  <c r="DP107"/>
  <c r="DP176"/>
  <c r="CF71"/>
  <c r="BT22"/>
  <c r="BT42"/>
  <c r="DD31"/>
  <c r="DD110"/>
  <c r="DP194"/>
  <c r="CF170"/>
  <c r="DD206"/>
  <c r="DP181"/>
  <c r="CF33"/>
  <c r="BT104"/>
  <c r="CF56"/>
  <c r="DD144"/>
  <c r="BT157"/>
  <c r="CF150"/>
  <c r="CR38"/>
  <c r="BT18"/>
  <c r="CR155"/>
  <c r="CF19"/>
  <c r="DD184"/>
  <c r="CF120"/>
  <c r="CR27"/>
  <c r="CF131"/>
  <c r="BT170"/>
  <c r="DP185"/>
  <c r="DD22"/>
  <c r="DD79"/>
  <c r="DP164"/>
  <c r="DP49"/>
  <c r="CR90"/>
  <c r="DP117"/>
  <c r="DP99"/>
  <c r="DD59"/>
  <c r="BT151"/>
  <c r="DP72"/>
  <c r="BT211"/>
  <c r="CR91"/>
  <c r="CR73"/>
  <c r="DD66"/>
  <c r="DD181"/>
  <c r="CR170"/>
  <c r="DD82"/>
  <c r="CR30"/>
  <c r="BT100"/>
  <c r="DP106"/>
  <c r="BT49"/>
  <c r="BT70"/>
  <c r="DD180"/>
  <c r="CR107"/>
  <c r="BT213"/>
  <c r="BT208"/>
  <c r="BT191"/>
  <c r="DP78"/>
  <c r="CF53"/>
  <c r="DD36"/>
  <c r="DD107"/>
  <c r="CR119"/>
  <c r="DP115"/>
  <c r="CF47"/>
  <c r="DP161"/>
  <c r="BT150"/>
  <c r="CR21"/>
  <c r="BT56"/>
  <c r="CF137"/>
  <c r="DP147"/>
  <c r="DP169"/>
  <c r="CR57"/>
  <c r="BT152"/>
  <c r="DD25"/>
  <c r="CR171"/>
  <c r="BT54"/>
  <c r="CF214"/>
  <c r="BT128"/>
  <c r="CF189"/>
  <c r="DP31"/>
  <c r="DD103"/>
  <c r="DP202"/>
  <c r="CR66"/>
  <c r="DP96"/>
  <c r="CR121"/>
  <c r="DD19"/>
  <c r="DD43"/>
  <c r="BT17"/>
  <c r="CR83"/>
  <c r="CR67"/>
  <c r="DP215"/>
  <c r="DD145"/>
  <c r="BT76"/>
  <c r="DP54"/>
  <c r="DP120"/>
  <c r="BT206"/>
  <c r="DP87"/>
  <c r="DP61"/>
  <c r="CF52"/>
  <c r="CR143"/>
  <c r="CF62"/>
  <c r="DP34"/>
  <c r="BT92"/>
  <c r="DD78"/>
  <c r="CF74"/>
  <c r="CF127"/>
  <c r="CR72"/>
  <c r="BT25"/>
  <c r="DD191"/>
  <c r="BT91"/>
  <c r="DP126"/>
  <c r="CF72"/>
  <c r="DP77"/>
  <c r="CR153"/>
  <c r="DP146"/>
  <c r="BT75"/>
  <c r="BT61"/>
  <c r="CR24"/>
  <c r="BT196"/>
  <c r="BT98"/>
  <c r="CR37"/>
  <c r="CR208"/>
  <c r="CF201"/>
  <c r="DP50"/>
  <c r="BT130"/>
  <c r="BT55"/>
  <c r="CR158"/>
  <c r="DD199"/>
  <c r="CF195"/>
  <c r="DD154"/>
  <c r="CF196"/>
  <c r="CF178"/>
  <c r="DP75"/>
  <c r="CR26"/>
  <c r="BT182"/>
  <c r="BT175"/>
  <c r="CR164"/>
  <c r="DP70"/>
  <c r="CF58"/>
  <c r="BT204"/>
  <c r="DD123"/>
  <c r="BT143"/>
  <c r="CF205"/>
  <c r="CR41"/>
  <c r="CR84"/>
  <c r="CF142"/>
  <c r="BT109"/>
  <c r="BT187"/>
  <c r="DP207"/>
  <c r="BT146"/>
  <c r="DD134"/>
  <c r="BT89"/>
  <c r="CF98"/>
  <c r="CF202"/>
  <c r="DP152"/>
  <c r="DP123"/>
  <c r="DD61"/>
  <c r="CR152"/>
  <c r="CR180"/>
  <c r="DP27"/>
  <c r="CF193"/>
  <c r="CF113"/>
  <c r="CR195"/>
  <c r="DD101"/>
  <c r="CR49"/>
  <c r="DD73"/>
  <c r="DD182"/>
  <c r="DD94"/>
  <c r="CR69"/>
  <c r="DD18"/>
  <c r="DP65"/>
  <c r="DD197"/>
  <c r="DD158"/>
  <c r="CR142"/>
  <c r="BT59"/>
  <c r="CR61"/>
  <c r="DD45"/>
  <c r="DD71"/>
  <c r="DD91"/>
  <c r="CR105"/>
  <c r="BT36"/>
  <c r="DP91"/>
  <c r="DP46"/>
  <c r="CF31"/>
  <c r="DD42"/>
  <c r="CR130"/>
  <c r="DD77"/>
  <c r="BT88"/>
  <c r="DP69"/>
  <c r="BT102"/>
  <c r="CF185"/>
  <c r="DD172"/>
  <c r="CR97"/>
  <c r="BT16"/>
  <c r="CF103"/>
  <c r="BT158"/>
  <c r="BT199"/>
  <c r="CR18"/>
  <c r="BT135"/>
  <c r="DP168"/>
  <c r="BT105"/>
  <c r="CR214"/>
  <c r="DD187"/>
  <c r="CR93"/>
  <c r="DP55"/>
  <c r="BT195"/>
  <c r="DP142"/>
  <c r="DD41"/>
  <c r="DD215"/>
  <c r="DD163"/>
  <c r="CF41"/>
  <c r="CR191"/>
  <c r="BT99"/>
  <c r="CR77"/>
  <c r="CR28"/>
  <c r="DP166"/>
  <c r="DD188"/>
  <c r="DP162"/>
  <c r="CF179"/>
  <c r="DP144"/>
  <c r="DD171"/>
  <c r="DD92"/>
  <c r="DP67"/>
  <c r="DD121"/>
  <c r="DD62"/>
  <c r="BT200"/>
  <c r="BT209"/>
  <c r="CF211"/>
  <c r="CF61"/>
  <c r="CR53"/>
  <c r="DD196"/>
  <c r="BT48"/>
  <c r="CR147"/>
  <c r="DP167"/>
  <c r="CR48"/>
  <c r="CF163"/>
  <c r="CF54"/>
  <c r="CR181"/>
  <c r="CR22"/>
  <c r="DD192"/>
  <c r="DP155"/>
  <c r="DD65"/>
  <c r="CR172"/>
  <c r="DP102"/>
  <c r="CF107"/>
  <c r="CR206"/>
  <c r="BT83"/>
  <c r="BT114"/>
  <c r="CF86"/>
  <c r="DP45"/>
  <c r="BT190"/>
  <c r="CF95"/>
  <c r="DP100"/>
  <c r="CF83"/>
  <c r="DP42"/>
  <c r="BT47"/>
  <c r="CF104"/>
  <c r="DD205"/>
  <c r="CF146"/>
  <c r="CR132"/>
  <c r="CR101"/>
  <c r="CR154"/>
  <c r="CF45"/>
  <c r="BT156"/>
  <c r="DP141"/>
  <c r="BT87"/>
  <c r="CF48"/>
  <c r="DD136"/>
  <c r="BT53"/>
  <c r="CF43"/>
  <c r="CF154"/>
  <c r="DD165"/>
  <c r="BT21"/>
  <c r="CR138"/>
  <c r="CF147"/>
  <c r="DD169"/>
  <c r="BT20"/>
  <c r="DD150"/>
  <c r="BT166"/>
  <c r="DD167"/>
  <c r="DD203"/>
  <c r="BT107"/>
  <c r="CF42"/>
  <c r="DP192"/>
  <c r="CF110"/>
  <c r="CR106"/>
  <c r="CR146"/>
  <c r="CR118"/>
  <c r="DD46"/>
  <c r="DP83"/>
  <c r="DP190"/>
  <c r="BT35"/>
  <c r="CF23"/>
  <c r="CF108"/>
  <c r="DD193"/>
  <c r="DP98"/>
  <c r="BT169"/>
  <c r="CF139"/>
  <c r="CF109"/>
  <c r="DP93"/>
  <c r="DD213"/>
  <c r="DD115"/>
  <c r="BT183"/>
  <c r="BT19"/>
  <c r="BT214"/>
  <c r="DP111"/>
  <c r="DP150"/>
  <c r="DP30"/>
  <c r="CR193"/>
  <c r="DP183"/>
  <c r="DP105"/>
  <c r="CF75"/>
  <c r="DP103"/>
  <c r="DP57"/>
  <c r="DP66"/>
  <c r="CF94"/>
  <c r="DP121"/>
  <c r="CF77"/>
  <c r="CF69"/>
  <c r="BT64"/>
  <c r="CF130"/>
  <c r="CR20"/>
  <c r="CR144"/>
  <c r="DD138"/>
  <c r="DP29"/>
  <c r="DP208"/>
  <c r="BT144"/>
  <c r="CR166"/>
  <c r="CR156"/>
  <c r="DD98"/>
  <c r="DP110"/>
  <c r="DP182"/>
  <c r="DP47"/>
  <c r="DD111"/>
  <c r="CF78"/>
  <c r="CF164"/>
  <c r="CR163"/>
  <c r="CR111"/>
  <c r="DP119"/>
  <c r="CF102"/>
  <c r="DD137"/>
  <c r="CR125"/>
  <c r="DP148"/>
  <c r="CF40"/>
  <c r="CR59"/>
  <c r="CF149"/>
  <c r="DD128"/>
  <c r="CR96"/>
  <c r="DP125"/>
  <c r="DD161"/>
  <c r="DD178"/>
  <c r="DP140"/>
  <c r="DP130"/>
  <c r="DP26"/>
  <c r="DD168"/>
  <c r="CF162"/>
  <c r="BT68"/>
  <c r="DP204"/>
  <c r="DP188"/>
  <c r="DP113"/>
  <c r="DD48"/>
  <c r="DP60"/>
  <c r="DP53"/>
  <c r="DD140"/>
  <c r="BT172"/>
  <c r="CF118"/>
  <c r="DD149"/>
  <c r="CR141"/>
  <c r="DP128"/>
  <c r="CF121"/>
  <c r="BT41"/>
  <c r="CF59"/>
  <c r="BT205"/>
  <c r="DP56"/>
  <c r="CF188"/>
  <c r="BT71"/>
  <c r="BT159"/>
  <c r="CF35"/>
  <c r="DP156"/>
  <c r="CR209"/>
  <c r="BT184"/>
  <c r="DD177"/>
  <c r="BT163"/>
  <c r="CR63"/>
  <c r="CR65"/>
  <c r="CR167"/>
  <c r="CF145"/>
  <c r="BT58"/>
  <c r="DD208"/>
  <c r="CF180"/>
  <c r="BT43"/>
  <c r="DD129"/>
  <c r="DP189"/>
  <c r="CF168"/>
  <c r="CF165"/>
  <c r="DP138"/>
  <c r="CF68"/>
  <c r="BT155"/>
  <c r="BT212"/>
  <c r="CF143"/>
  <c r="BT139"/>
  <c r="CR145"/>
  <c r="CR116"/>
  <c r="CR190"/>
  <c r="CR131"/>
  <c r="BT60"/>
  <c r="CR76"/>
  <c r="DP44"/>
  <c r="DP85"/>
  <c r="CF197"/>
  <c r="BT176"/>
  <c r="CF207"/>
  <c r="BT161"/>
  <c r="CR188"/>
  <c r="DP160"/>
  <c r="CR98"/>
  <c r="CR109"/>
  <c r="CR215"/>
  <c r="BT131"/>
  <c r="CR173"/>
  <c r="CR71"/>
  <c r="DD183"/>
  <c r="DD47"/>
  <c r="DD28"/>
  <c r="DD81"/>
  <c r="CF117"/>
  <c r="CF171"/>
  <c r="CR42"/>
  <c r="CR189"/>
  <c r="DD108"/>
  <c r="DD35"/>
  <c r="DD52"/>
  <c r="CF37"/>
  <c r="CR56"/>
  <c r="DP88"/>
  <c r="BT121"/>
  <c r="CR95"/>
  <c r="DP191"/>
  <c r="DD211"/>
  <c r="DD97"/>
  <c r="CF156"/>
  <c r="CF213"/>
  <c r="CF24"/>
  <c r="BT39"/>
  <c r="BT123"/>
  <c r="DD27"/>
  <c r="CF140"/>
  <c r="DD132"/>
  <c r="DD38"/>
  <c r="DD162"/>
  <c r="DD32"/>
  <c r="BT126"/>
  <c r="DP28"/>
  <c r="BT51"/>
  <c r="CR16"/>
  <c r="CF212"/>
  <c r="DD63"/>
  <c r="DD51"/>
  <c r="DP33"/>
  <c r="BT82"/>
  <c r="CF135"/>
  <c r="CR54"/>
  <c r="CF63"/>
  <c r="DD185"/>
  <c r="CR50"/>
  <c r="BT127"/>
  <c r="CR128"/>
  <c r="DP118"/>
  <c r="CR169"/>
  <c r="DP116"/>
  <c r="CR17"/>
  <c r="DP213"/>
  <c r="CF81"/>
  <c r="BT167"/>
  <c r="CF123"/>
  <c r="DP158"/>
  <c r="DD112"/>
  <c r="DP71"/>
  <c r="DP173"/>
  <c r="DP64"/>
  <c r="CF191"/>
  <c r="CF16"/>
  <c r="CF66"/>
  <c r="CF183"/>
  <c r="DD87"/>
  <c r="CF21"/>
  <c r="BT171"/>
  <c r="DP174"/>
  <c r="BT174"/>
  <c r="CF93"/>
  <c r="DD146"/>
  <c r="DD20"/>
  <c r="DD60"/>
  <c r="BT27"/>
  <c r="DP74"/>
  <c r="BT96"/>
  <c r="DP199"/>
  <c r="CR149"/>
  <c r="CF153"/>
  <c r="DP193"/>
  <c r="CR196"/>
  <c r="DD104"/>
  <c r="DD207"/>
  <c r="CF55"/>
  <c r="CF65"/>
  <c r="DD50"/>
  <c r="CR177"/>
  <c r="DP94"/>
  <c r="BT198"/>
  <c r="DP84"/>
  <c r="CR58"/>
  <c r="DP132"/>
  <c r="DP24"/>
  <c r="DD164"/>
  <c r="DD200"/>
  <c r="CF101"/>
  <c r="CF115"/>
  <c r="DD125"/>
  <c r="BT202"/>
  <c r="CR186"/>
  <c r="BT62"/>
  <c r="DD130"/>
  <c r="DD131"/>
  <c r="DP145"/>
  <c r="CR108"/>
  <c r="DP210"/>
  <c r="DD209"/>
  <c r="DP35"/>
  <c r="BT164"/>
  <c r="BT40"/>
  <c r="CR182"/>
  <c r="BT30"/>
  <c r="CF124"/>
  <c r="CR200"/>
  <c r="DD198"/>
  <c r="DP163"/>
  <c r="CR47"/>
  <c r="CR103"/>
  <c r="CR94"/>
  <c r="DP104"/>
  <c r="CF192"/>
  <c r="DD157"/>
  <c r="BT65"/>
  <c r="CR151"/>
  <c r="DD175"/>
  <c r="DD159"/>
  <c r="CF96"/>
  <c r="CF215"/>
  <c r="DP165"/>
  <c r="CR60"/>
  <c r="DD89"/>
  <c r="CR110"/>
  <c r="DD26"/>
  <c r="CR115"/>
  <c r="DD75"/>
  <c r="CF128"/>
  <c r="BT57"/>
  <c r="DD174"/>
  <c r="CR176"/>
  <c r="CR161"/>
  <c r="DP212"/>
  <c r="CR202"/>
  <c r="CR207"/>
  <c r="DP178"/>
  <c r="CR81"/>
  <c r="CF22"/>
  <c r="CR44"/>
  <c r="CF114"/>
  <c r="CF116"/>
  <c r="BT38"/>
  <c r="BT168"/>
  <c r="CF125"/>
  <c r="DD190"/>
  <c r="BT50"/>
  <c r="BT165"/>
  <c r="CR45"/>
  <c r="BT31"/>
  <c r="DP16"/>
  <c r="DP23"/>
  <c r="DD64"/>
  <c r="DD160"/>
  <c r="BT194"/>
  <c r="DD21"/>
  <c r="BT207"/>
  <c r="BT106"/>
  <c r="CR68"/>
  <c r="BT33"/>
  <c r="DP25"/>
  <c r="CF138"/>
  <c r="BT23"/>
  <c r="BT94"/>
  <c r="DD186"/>
  <c r="CR174"/>
  <c r="CR31"/>
  <c r="DP209"/>
  <c r="DP172"/>
  <c r="DD122"/>
  <c r="CF36"/>
  <c r="CF206"/>
  <c r="DD80"/>
  <c r="CR112"/>
  <c r="BT124"/>
  <c r="DD119"/>
  <c r="CF184"/>
  <c r="DD189"/>
  <c r="DP108"/>
  <c r="DD29"/>
  <c r="CF132"/>
  <c r="CF18"/>
  <c r="CF91"/>
  <c r="CF105"/>
  <c r="DP203"/>
  <c r="CF57"/>
  <c r="CF160"/>
  <c r="CR62"/>
  <c r="DD194"/>
  <c r="DP133"/>
  <c r="BT97"/>
  <c r="CR100"/>
  <c r="CF87"/>
  <c r="CF17"/>
  <c r="DD135"/>
  <c r="CF175"/>
  <c r="CF141"/>
  <c r="CR134"/>
  <c r="DP157"/>
  <c r="DD54"/>
  <c r="CF92"/>
  <c r="CR64"/>
  <c r="DD40"/>
  <c r="DP43"/>
  <c r="CF99"/>
  <c r="CR140"/>
  <c r="DP38"/>
  <c r="DP170"/>
  <c r="CF39"/>
  <c r="CF27"/>
  <c r="BT67"/>
  <c r="BT44"/>
  <c r="DD109"/>
  <c r="BT66"/>
  <c r="CR205"/>
  <c r="CF208"/>
  <c r="DD24"/>
  <c r="CR213"/>
  <c r="DP112"/>
  <c r="CF79"/>
  <c r="DD58"/>
  <c r="CF174"/>
  <c r="DP97"/>
  <c r="BT45"/>
  <c r="CR36"/>
  <c r="DP180"/>
  <c r="DP136"/>
  <c r="CF100"/>
  <c r="BT142"/>
  <c r="CF161"/>
  <c r="BT46"/>
  <c r="DP95"/>
  <c r="BT81"/>
  <c r="CR122"/>
  <c r="CF32"/>
  <c r="CR85"/>
  <c r="CF84"/>
  <c r="CR165"/>
  <c r="CR86"/>
  <c r="CR75"/>
  <c r="CF200"/>
  <c r="BT52"/>
  <c r="BT90"/>
  <c r="CR198"/>
  <c r="CR114"/>
  <c r="DD127"/>
  <c r="DP187"/>
  <c r="CF148"/>
  <c r="CR120"/>
  <c r="DP36"/>
  <c r="DD96"/>
  <c r="CF73"/>
  <c r="DP197"/>
  <c r="CR43"/>
  <c r="CF28"/>
  <c r="CR33"/>
  <c r="BT153"/>
  <c r="DP79"/>
  <c r="CR52"/>
  <c r="BT160"/>
  <c r="CF49"/>
  <c r="CF159"/>
  <c r="DP18"/>
  <c r="DP76"/>
  <c r="DD88"/>
  <c r="CR74"/>
  <c r="DP48"/>
  <c r="CF97"/>
  <c r="BT77"/>
  <c r="BT108"/>
  <c r="CF166"/>
  <c r="BT133"/>
  <c r="DD39"/>
  <c r="BT112"/>
  <c r="CF136"/>
  <c r="DP22"/>
  <c r="DP86"/>
  <c r="CF70"/>
  <c r="CF64"/>
  <c r="CR185"/>
  <c r="DP198"/>
  <c r="DP149"/>
  <c r="DD153"/>
  <c r="BT115"/>
  <c r="BT192"/>
  <c r="BT110"/>
  <c r="BT178"/>
  <c r="CF38"/>
  <c r="BT148"/>
  <c r="CR203"/>
  <c r="CF129"/>
  <c r="BT113"/>
  <c r="CR168"/>
  <c r="CR204"/>
  <c r="DD57"/>
  <c r="BT173"/>
  <c r="CF20"/>
  <c r="CF44"/>
  <c r="DD90"/>
  <c r="CR39"/>
  <c r="DD33"/>
  <c r="DP19"/>
  <c r="CF122"/>
  <c r="DD179"/>
  <c r="DD147"/>
  <c r="BT185"/>
  <c r="DD93"/>
  <c r="BT119"/>
  <c r="CF173"/>
  <c r="CR104"/>
  <c r="DP186"/>
  <c r="DP201"/>
  <c r="DP32"/>
  <c r="BT116"/>
  <c r="CR179"/>
  <c r="BT24"/>
  <c r="CF76"/>
  <c r="CF187"/>
  <c r="DP184"/>
  <c r="CF26"/>
  <c r="DP90"/>
  <c r="CF169"/>
  <c r="DD173"/>
  <c r="DP40"/>
  <c r="DD114"/>
  <c r="BT149"/>
  <c r="BT63"/>
  <c r="DP51"/>
  <c r="DD105"/>
  <c r="CR183"/>
  <c r="CF158"/>
  <c r="BT154"/>
  <c r="CF203"/>
  <c r="DP214"/>
  <c r="DD86"/>
  <c r="DP80"/>
  <c r="DD68"/>
  <c r="CR197"/>
  <c r="DP109"/>
  <c r="CF134"/>
  <c r="BT140"/>
  <c r="BT118"/>
  <c r="DP159"/>
  <c r="DD17"/>
  <c r="BT188"/>
  <c r="DP143"/>
  <c r="DP21"/>
  <c r="CR25"/>
  <c r="DP63"/>
  <c r="DD99"/>
  <c r="DP151"/>
  <c r="CR55"/>
  <c r="DD23"/>
  <c r="DD34"/>
  <c r="DD212"/>
  <c r="BT84"/>
  <c r="DP153"/>
  <c r="DD69"/>
  <c r="DD139"/>
  <c r="DP59"/>
  <c r="BT32"/>
  <c r="BT120"/>
  <c r="CR89"/>
  <c r="DD85"/>
  <c r="CR34"/>
  <c r="CR82"/>
  <c r="DP127"/>
  <c r="DD37"/>
  <c r="DD84"/>
  <c r="CF167"/>
  <c r="CF176"/>
  <c r="DP122"/>
  <c r="CF25"/>
  <c r="CF172"/>
  <c r="BT73"/>
  <c r="CF90"/>
  <c r="CR40"/>
  <c r="DP137"/>
  <c r="BT29"/>
  <c r="DP39"/>
  <c r="DP135"/>
  <c r="CR136"/>
  <c r="CF50"/>
  <c r="CR210"/>
  <c r="CR102"/>
  <c r="DD56"/>
  <c r="DD113"/>
  <c r="DP89"/>
  <c r="DP177"/>
  <c r="CR126"/>
  <c r="DD67"/>
  <c r="CJ27" i="16" l="1"/>
  <c r="CJ29"/>
  <c r="CJ23"/>
  <c r="CJ28"/>
  <c r="CJ34"/>
  <c r="CJ26"/>
  <c r="CJ33"/>
  <c r="CJ32"/>
  <c r="CJ31"/>
  <c r="CJ25"/>
  <c r="CJ30"/>
  <c r="CJ24"/>
  <c r="DN182" i="12"/>
  <c r="DN349"/>
  <c r="DN489"/>
  <c r="DN268"/>
  <c r="DN213"/>
  <c r="DB253"/>
  <c r="DB402"/>
  <c r="DB252"/>
  <c r="DB161"/>
  <c r="DD216"/>
  <c r="CR287"/>
  <c r="CD281"/>
  <c r="DB135"/>
  <c r="DB116"/>
  <c r="DB207"/>
  <c r="DB117"/>
  <c r="DB139"/>
  <c r="DB185"/>
  <c r="DN151"/>
  <c r="DN212"/>
  <c r="DN175"/>
  <c r="DN167"/>
  <c r="DN136"/>
  <c r="CF428"/>
  <c r="DD371"/>
  <c r="DD300"/>
  <c r="BR331"/>
  <c r="DB311"/>
  <c r="DB447"/>
  <c r="CR276"/>
  <c r="DD229"/>
  <c r="CF241"/>
  <c r="CD410"/>
  <c r="DB494"/>
  <c r="DB388"/>
  <c r="DB493"/>
  <c r="DB332"/>
  <c r="DN266"/>
  <c r="CR367"/>
  <c r="DB404"/>
  <c r="CF293"/>
  <c r="CD513"/>
  <c r="DB384"/>
  <c r="BT332"/>
  <c r="DN194"/>
  <c r="DB341"/>
  <c r="DB121"/>
  <c r="DN197"/>
  <c r="DN170"/>
  <c r="DN131"/>
  <c r="DB133"/>
  <c r="DP510"/>
  <c r="DP514"/>
  <c r="DB376"/>
  <c r="DB136"/>
  <c r="DB196"/>
  <c r="DB508"/>
  <c r="DB386"/>
  <c r="CP468"/>
  <c r="CP349"/>
  <c r="DB390"/>
  <c r="DN303"/>
  <c r="DN337"/>
  <c r="DP503"/>
  <c r="DB316"/>
  <c r="DB159"/>
  <c r="DB325"/>
  <c r="DB258"/>
  <c r="CP245"/>
  <c r="DN166"/>
  <c r="DD511"/>
  <c r="DB182"/>
  <c r="DB353"/>
  <c r="DN319"/>
  <c r="DN127"/>
  <c r="DP236"/>
  <c r="BR220"/>
  <c r="CF478"/>
  <c r="CF385"/>
  <c r="CF245"/>
  <c r="BR468"/>
  <c r="CD344"/>
  <c r="BR388"/>
  <c r="DB286"/>
  <c r="CF371"/>
  <c r="CD448"/>
  <c r="BR254"/>
  <c r="DB347"/>
  <c r="DB514"/>
  <c r="DN225"/>
  <c r="DN240"/>
  <c r="DB362"/>
  <c r="DB236"/>
  <c r="CP260"/>
  <c r="DB191"/>
  <c r="DB175"/>
  <c r="DB308"/>
  <c r="DN214"/>
  <c r="DN338"/>
  <c r="DB147"/>
  <c r="DB189"/>
  <c r="DB474"/>
  <c r="CF408"/>
  <c r="BT427"/>
  <c r="CF510"/>
  <c r="CF387"/>
  <c r="DD425"/>
  <c r="CF454"/>
  <c r="CD438"/>
  <c r="BR401"/>
  <c r="DD394"/>
  <c r="CF222"/>
  <c r="BR353"/>
  <c r="CP386"/>
  <c r="BT348"/>
  <c r="CF273"/>
  <c r="CD443"/>
  <c r="BR397"/>
  <c r="CP254"/>
  <c r="CF229"/>
  <c r="CF386"/>
  <c r="CD467"/>
  <c r="CD221"/>
  <c r="BR402"/>
  <c r="BT350"/>
  <c r="CF377"/>
  <c r="CF310"/>
  <c r="BR512"/>
  <c r="BR493"/>
  <c r="DD218"/>
  <c r="DD348"/>
  <c r="CD261"/>
  <c r="CF226"/>
  <c r="CD220"/>
  <c r="CF345"/>
  <c r="CF363"/>
  <c r="CF238"/>
  <c r="BR374"/>
  <c r="CP246"/>
  <c r="DB163"/>
  <c r="DB231"/>
  <c r="DB323"/>
  <c r="DB302"/>
  <c r="DN228"/>
  <c r="CF296"/>
  <c r="CF376"/>
  <c r="BR430"/>
  <c r="CP337"/>
  <c r="DB132"/>
  <c r="DB424"/>
  <c r="DB329"/>
  <c r="DN416"/>
  <c r="DN452"/>
  <c r="DN429"/>
  <c r="CR266"/>
  <c r="DD283"/>
  <c r="CF475"/>
  <c r="CD362"/>
  <c r="BT240"/>
  <c r="CF466"/>
  <c r="CD373"/>
  <c r="BR311"/>
  <c r="BR277"/>
  <c r="DB336"/>
  <c r="DB244"/>
  <c r="DB392"/>
  <c r="DB383"/>
  <c r="DB499"/>
  <c r="DB477"/>
  <c r="DB442"/>
  <c r="DB445"/>
  <c r="DN273"/>
  <c r="DN364"/>
  <c r="BT345"/>
  <c r="CD398"/>
  <c r="BR500"/>
  <c r="CD350"/>
  <c r="CP483"/>
  <c r="DB463"/>
  <c r="DB381"/>
  <c r="DB401"/>
  <c r="DB416"/>
  <c r="DN317"/>
  <c r="DN300"/>
  <c r="BT231"/>
  <c r="BT503"/>
  <c r="CP482"/>
  <c r="CR492"/>
  <c r="BT496"/>
  <c r="DP458"/>
  <c r="DN221"/>
  <c r="DP357"/>
  <c r="CD495"/>
  <c r="BR287"/>
  <c r="BR411"/>
  <c r="DB162"/>
  <c r="DB293"/>
  <c r="DN301"/>
  <c r="CF266"/>
  <c r="CF332"/>
  <c r="DB513"/>
  <c r="DB129"/>
  <c r="DN145"/>
  <c r="CF268"/>
  <c r="CF319"/>
  <c r="CD492"/>
  <c r="CD507"/>
  <c r="BT286"/>
  <c r="DD223"/>
  <c r="CF269"/>
  <c r="CF406"/>
  <c r="CF437"/>
  <c r="CF401"/>
  <c r="CD421"/>
  <c r="BR310"/>
  <c r="BR399"/>
  <c r="BR333"/>
  <c r="CP160"/>
  <c r="CP219"/>
  <c r="DB209"/>
  <c r="DB459"/>
  <c r="CD275"/>
  <c r="CF308"/>
  <c r="CF422"/>
  <c r="CF418"/>
  <c r="CF271"/>
  <c r="CD316"/>
  <c r="CD250"/>
  <c r="CF429"/>
  <c r="DB449"/>
  <c r="DB471"/>
  <c r="DB312"/>
  <c r="DB470"/>
  <c r="DB333"/>
  <c r="DB224"/>
  <c r="CF280"/>
  <c r="DB158"/>
  <c r="CF236"/>
  <c r="CF351"/>
  <c r="CF230"/>
  <c r="DB427"/>
  <c r="DB412"/>
  <c r="DB343"/>
  <c r="DB461"/>
  <c r="CF434"/>
  <c r="DB350"/>
  <c r="DB255"/>
  <c r="DB491"/>
  <c r="DB292"/>
  <c r="CF252"/>
  <c r="CF494"/>
  <c r="CF392"/>
  <c r="CF487"/>
  <c r="DB137"/>
  <c r="DB297"/>
  <c r="DB220"/>
  <c r="DB437"/>
  <c r="CF488"/>
  <c r="CF297"/>
  <c r="DB239"/>
  <c r="CF330"/>
  <c r="CF396"/>
  <c r="CF405"/>
  <c r="CF509"/>
  <c r="CD255"/>
  <c r="CD219"/>
  <c r="CD504"/>
  <c r="CD237"/>
  <c r="CF489"/>
  <c r="CF306"/>
  <c r="CF303"/>
  <c r="CD390"/>
  <c r="CF343"/>
  <c r="CF282"/>
  <c r="CF254"/>
  <c r="CF444"/>
  <c r="CD327"/>
  <c r="BR475"/>
  <c r="BR498"/>
  <c r="BR465"/>
  <c r="BR361"/>
  <c r="CP462"/>
  <c r="CP388"/>
  <c r="CP359"/>
  <c r="CP315"/>
  <c r="CF461"/>
  <c r="CF427"/>
  <c r="BR307"/>
  <c r="DB431"/>
  <c r="CP288"/>
  <c r="CP353"/>
  <c r="CP396"/>
  <c r="CP427"/>
  <c r="CP332"/>
  <c r="CP437"/>
  <c r="CP234"/>
  <c r="CP225"/>
  <c r="CP285"/>
  <c r="CP184"/>
  <c r="CP147"/>
  <c r="CP277"/>
  <c r="CP429"/>
  <c r="CP292"/>
  <c r="CF414"/>
  <c r="CF364"/>
  <c r="DN448"/>
  <c r="DN348"/>
  <c r="CF469"/>
  <c r="DB227"/>
  <c r="DB277"/>
  <c r="DB266"/>
  <c r="CF499"/>
  <c r="CF358"/>
  <c r="CF470"/>
  <c r="DB440"/>
  <c r="DN238"/>
  <c r="CF505"/>
  <c r="CF313"/>
  <c r="CF285"/>
  <c r="CF436"/>
  <c r="CF352"/>
  <c r="CF411"/>
  <c r="CF420"/>
  <c r="CF456"/>
  <c r="CF259"/>
  <c r="CF413"/>
  <c r="CF329"/>
  <c r="CD299"/>
  <c r="CF501"/>
  <c r="CF441"/>
  <c r="CF446"/>
  <c r="CF384"/>
  <c r="CF224"/>
  <c r="CF474"/>
  <c r="CD486"/>
  <c r="CD439"/>
  <c r="DB479"/>
  <c r="DB415"/>
  <c r="DB429"/>
  <c r="DB124"/>
  <c r="DB241"/>
  <c r="DB184"/>
  <c r="DB146"/>
  <c r="DB153"/>
  <c r="DB462"/>
  <c r="DB217"/>
  <c r="DB483"/>
  <c r="DB173"/>
  <c r="DB295"/>
  <c r="DB201"/>
  <c r="DN202"/>
  <c r="DN415"/>
  <c r="CF294"/>
  <c r="DB465"/>
  <c r="CF388"/>
  <c r="CD324"/>
  <c r="DB279"/>
  <c r="CF274"/>
  <c r="CF257"/>
  <c r="BR221"/>
  <c r="CF391"/>
  <c r="CD356"/>
  <c r="CD465"/>
  <c r="DB138"/>
  <c r="DB408"/>
  <c r="DB149"/>
  <c r="CF477"/>
  <c r="CF234"/>
  <c r="BR302"/>
  <c r="CF415"/>
  <c r="CF246"/>
  <c r="CF360"/>
  <c r="CF298"/>
  <c r="CF272"/>
  <c r="CF503"/>
  <c r="CD462"/>
  <c r="DB267"/>
  <c r="CD335"/>
  <c r="CF216"/>
  <c r="DB397"/>
  <c r="DN465"/>
  <c r="CF493"/>
  <c r="CF243"/>
  <c r="DN373"/>
  <c r="CF348"/>
  <c r="CF480"/>
  <c r="CD239"/>
  <c r="CD455"/>
  <c r="BR270"/>
  <c r="BR482"/>
  <c r="BR389"/>
  <c r="BR323"/>
  <c r="DB169"/>
  <c r="DB155"/>
  <c r="DB505"/>
  <c r="DB152"/>
  <c r="DB171"/>
  <c r="DN211"/>
  <c r="DN418"/>
  <c r="DN339"/>
  <c r="DN362"/>
  <c r="DN313"/>
  <c r="CF481"/>
  <c r="CF231"/>
  <c r="CF472"/>
  <c r="CF331"/>
  <c r="CF468"/>
  <c r="CD240"/>
  <c r="CD370"/>
  <c r="BR239"/>
  <c r="DB298"/>
  <c r="DB234"/>
  <c r="DB210"/>
  <c r="DB342"/>
  <c r="CF482"/>
  <c r="CF321"/>
  <c r="CF460"/>
  <c r="CF287"/>
  <c r="CF402"/>
  <c r="CF514"/>
  <c r="CD502"/>
  <c r="BR462"/>
  <c r="DB263"/>
  <c r="DB156"/>
  <c r="DB150"/>
  <c r="DB507"/>
  <c r="DB358"/>
  <c r="DB222"/>
  <c r="DB301"/>
  <c r="DN120"/>
  <c r="DN426"/>
  <c r="DN218"/>
  <c r="DN172"/>
  <c r="DN396"/>
  <c r="DN294"/>
  <c r="DN501"/>
  <c r="DN288"/>
  <c r="CF361"/>
  <c r="CD378"/>
  <c r="CD307"/>
  <c r="CD500"/>
  <c r="BR443"/>
  <c r="BR368"/>
  <c r="BR313"/>
  <c r="DB235"/>
  <c r="DB278"/>
  <c r="DB176"/>
  <c r="DB144"/>
  <c r="DB389"/>
  <c r="DB289"/>
  <c r="DB411"/>
  <c r="DB208"/>
  <c r="DB119"/>
  <c r="DB475"/>
  <c r="DB165"/>
  <c r="DN442"/>
  <c r="DN410"/>
  <c r="DN482"/>
  <c r="DN309"/>
  <c r="DN227"/>
  <c r="DN336"/>
  <c r="CF498"/>
  <c r="CF479"/>
  <c r="CF318"/>
  <c r="CF334"/>
  <c r="CF380"/>
  <c r="CF365"/>
  <c r="CF432"/>
  <c r="CD328"/>
  <c r="BR219"/>
  <c r="CP365"/>
  <c r="CP403"/>
  <c r="DB484"/>
  <c r="DB443"/>
  <c r="DB444"/>
  <c r="DB271"/>
  <c r="DB202"/>
  <c r="DB305"/>
  <c r="DB349"/>
  <c r="DB356"/>
  <c r="DB183"/>
  <c r="DB274"/>
  <c r="DB247"/>
  <c r="DB261"/>
  <c r="DB426"/>
  <c r="DB368"/>
  <c r="DB328"/>
  <c r="DB338"/>
  <c r="DB365"/>
  <c r="DB315"/>
  <c r="DN181"/>
  <c r="DN388"/>
  <c r="DN137"/>
  <c r="DN480"/>
  <c r="DN343"/>
  <c r="DN321"/>
  <c r="CF249"/>
  <c r="BR273"/>
  <c r="BR435"/>
  <c r="CP169"/>
  <c r="DB422"/>
  <c r="DB285"/>
  <c r="DB382"/>
  <c r="DB377"/>
  <c r="DB363"/>
  <c r="DB455"/>
  <c r="DB167"/>
  <c r="DB126"/>
  <c r="DB359"/>
  <c r="DB396"/>
  <c r="DB259"/>
  <c r="DB122"/>
  <c r="DB154"/>
  <c r="DN383"/>
  <c r="DN397"/>
  <c r="DN353"/>
  <c r="DN367"/>
  <c r="DN206"/>
  <c r="BR236"/>
  <c r="CP323"/>
  <c r="BR335"/>
  <c r="BR485"/>
  <c r="BR308"/>
  <c r="BR257"/>
  <c r="CP412"/>
  <c r="CP452"/>
  <c r="CP144"/>
  <c r="CP401"/>
  <c r="CP477"/>
  <c r="CP375"/>
  <c r="CP188"/>
  <c r="CP151"/>
  <c r="CF440"/>
  <c r="CF412"/>
  <c r="CF496"/>
  <c r="CD223"/>
  <c r="BR384"/>
  <c r="BR471"/>
  <c r="BR509"/>
  <c r="CP497"/>
  <c r="DB288"/>
  <c r="DB242"/>
  <c r="DB313"/>
  <c r="DB436"/>
  <c r="DN139"/>
  <c r="BR346"/>
  <c r="BR369"/>
  <c r="DN269"/>
  <c r="DN246"/>
  <c r="DN191"/>
  <c r="CF367"/>
  <c r="CF326"/>
  <c r="BR256"/>
  <c r="BR283"/>
  <c r="CP391"/>
  <c r="CP149"/>
  <c r="DB291"/>
  <c r="DB148"/>
  <c r="DB245"/>
  <c r="DB354"/>
  <c r="DB192"/>
  <c r="DB186"/>
  <c r="DN493"/>
  <c r="DN423"/>
  <c r="BR484"/>
  <c r="BR511"/>
  <c r="BR305"/>
  <c r="BR459"/>
  <c r="BR379"/>
  <c r="BR322"/>
  <c r="BR349"/>
  <c r="BR506"/>
  <c r="DN369"/>
  <c r="DN402"/>
  <c r="DN328"/>
  <c r="CF295"/>
  <c r="CF368"/>
  <c r="BR440"/>
  <c r="BR318"/>
  <c r="BR328"/>
  <c r="BR463"/>
  <c r="BR406"/>
  <c r="CP140"/>
  <c r="DN476"/>
  <c r="DN371"/>
  <c r="DN479"/>
  <c r="DN148"/>
  <c r="CF320"/>
  <c r="CF372"/>
  <c r="BR419"/>
  <c r="CF242"/>
  <c r="CF433"/>
  <c r="CF349"/>
  <c r="CF453"/>
  <c r="CF337"/>
  <c r="BR292"/>
  <c r="BR514"/>
  <c r="BR342"/>
  <c r="CP226"/>
  <c r="DB357"/>
  <c r="DB467"/>
  <c r="DN272"/>
  <c r="CF490"/>
  <c r="CF407"/>
  <c r="CF506"/>
  <c r="BR373"/>
  <c r="CP296"/>
  <c r="DB340"/>
  <c r="DB372"/>
  <c r="DB294"/>
  <c r="DB140"/>
  <c r="DB219"/>
  <c r="DB318"/>
  <c r="DB400"/>
  <c r="DN428"/>
  <c r="DN126"/>
  <c r="CD423"/>
  <c r="BR371"/>
  <c r="BR453"/>
  <c r="BR274"/>
  <c r="BR445"/>
  <c r="BR396"/>
  <c r="BR393"/>
  <c r="BR438"/>
  <c r="BR386"/>
  <c r="BR508"/>
  <c r="BR359"/>
  <c r="BR247"/>
  <c r="CP196"/>
  <c r="CP157"/>
  <c r="DN380"/>
  <c r="DN494"/>
  <c r="CD442"/>
  <c r="BR222"/>
  <c r="CP238"/>
  <c r="CP126"/>
  <c r="CP455"/>
  <c r="DB421"/>
  <c r="CD260"/>
  <c r="BR405"/>
  <c r="CP351"/>
  <c r="DB378"/>
  <c r="DB410"/>
  <c r="CF419"/>
  <c r="CF425"/>
  <c r="CD459"/>
  <c r="CD251"/>
  <c r="BR299"/>
  <c r="BR439"/>
  <c r="BR296"/>
  <c r="BR230"/>
  <c r="CP424"/>
  <c r="CP480"/>
  <c r="CP339"/>
  <c r="DN377"/>
  <c r="DN384"/>
  <c r="DN387"/>
  <c r="DN365"/>
  <c r="CF497"/>
  <c r="CF431"/>
  <c r="CF395"/>
  <c r="CP137"/>
  <c r="CP133"/>
  <c r="CP436"/>
  <c r="CF409"/>
  <c r="CF381"/>
  <c r="CF483"/>
  <c r="CF333"/>
  <c r="CF279"/>
  <c r="CF277"/>
  <c r="CF508"/>
  <c r="CF357"/>
  <c r="CF449"/>
  <c r="CD484"/>
  <c r="BR382"/>
  <c r="BR233"/>
  <c r="BR265"/>
  <c r="BR315"/>
  <c r="BR255"/>
  <c r="BR372"/>
  <c r="BR320"/>
  <c r="BR370"/>
  <c r="BR505"/>
  <c r="BR339"/>
  <c r="CP498"/>
  <c r="CP308"/>
  <c r="CP312"/>
  <c r="DB448"/>
  <c r="DB170"/>
  <c r="DB213"/>
  <c r="DB346"/>
  <c r="DB413"/>
  <c r="DB414"/>
  <c r="DB457"/>
  <c r="DB352"/>
  <c r="DB319"/>
  <c r="DB441"/>
  <c r="DB433"/>
  <c r="DB181"/>
  <c r="DB188"/>
  <c r="DB364"/>
  <c r="DB395"/>
  <c r="DB468"/>
  <c r="DB374"/>
  <c r="DB417"/>
  <c r="DB509"/>
  <c r="DB265"/>
  <c r="DB243"/>
  <c r="DN391"/>
  <c r="DN454"/>
  <c r="DN462"/>
  <c r="DN488"/>
  <c r="DN302"/>
  <c r="DN374"/>
  <c r="DN219"/>
  <c r="DN262"/>
  <c r="DN291"/>
  <c r="DN293"/>
  <c r="CD512"/>
  <c r="CF445"/>
  <c r="CF452"/>
  <c r="CF315"/>
  <c r="CF382"/>
  <c r="CF265"/>
  <c r="CD485"/>
  <c r="CD253"/>
  <c r="BR426"/>
  <c r="CP318"/>
  <c r="CP501"/>
  <c r="CP302"/>
  <c r="DB256"/>
  <c r="DB225"/>
  <c r="DB215"/>
  <c r="DB237"/>
  <c r="DN210"/>
  <c r="CP211"/>
  <c r="CD317"/>
  <c r="BR377"/>
  <c r="BR352"/>
  <c r="BR451"/>
  <c r="BR284"/>
  <c r="CP121"/>
  <c r="CP425"/>
  <c r="CP494"/>
  <c r="CP269"/>
  <c r="CP474"/>
  <c r="CP159"/>
  <c r="CP190"/>
  <c r="DN382"/>
  <c r="DN122"/>
  <c r="DN360"/>
  <c r="DN179"/>
  <c r="DN243"/>
  <c r="DN184"/>
  <c r="DN258"/>
  <c r="CP239"/>
  <c r="CP469"/>
  <c r="DN358"/>
  <c r="DN445"/>
  <c r="DN368"/>
  <c r="DN473"/>
  <c r="DN408"/>
  <c r="CP164"/>
  <c r="CP307"/>
  <c r="CD283"/>
  <c r="BR495"/>
  <c r="BR466"/>
  <c r="BR336"/>
  <c r="BR414"/>
  <c r="BR398"/>
  <c r="CP376"/>
  <c r="CP382"/>
  <c r="CP343"/>
  <c r="CP142"/>
  <c r="CP470"/>
  <c r="CP472"/>
  <c r="CP406"/>
  <c r="DB345"/>
  <c r="DB131"/>
  <c r="DB452"/>
  <c r="DB160"/>
  <c r="DN485"/>
  <c r="DN355"/>
  <c r="DN297"/>
  <c r="DN327"/>
  <c r="DN347"/>
  <c r="DN390"/>
  <c r="DN320"/>
  <c r="DN308"/>
  <c r="DN331"/>
  <c r="DN152"/>
  <c r="DN466"/>
  <c r="DN215"/>
  <c r="DN278"/>
  <c r="CF286"/>
  <c r="CF305"/>
  <c r="CF312"/>
  <c r="CD288"/>
  <c r="CD416"/>
  <c r="CD374"/>
  <c r="CD471"/>
  <c r="BR275"/>
  <c r="BR499"/>
  <c r="BR356"/>
  <c r="BR365"/>
  <c r="CP261"/>
  <c r="CP192"/>
  <c r="CP364"/>
  <c r="DB190"/>
  <c r="DB228"/>
  <c r="CD389"/>
  <c r="BR312"/>
  <c r="BR381"/>
  <c r="BR415"/>
  <c r="BR408"/>
  <c r="BR319"/>
  <c r="BR450"/>
  <c r="CP491"/>
  <c r="CF511"/>
  <c r="BR235"/>
  <c r="CP379"/>
  <c r="CP463"/>
  <c r="BR447"/>
  <c r="CP310"/>
  <c r="CD300"/>
  <c r="BR272"/>
  <c r="BR242"/>
  <c r="BR362"/>
  <c r="CP448"/>
  <c r="CP263"/>
  <c r="DN334"/>
  <c r="DN248"/>
  <c r="BR267"/>
  <c r="CP478"/>
  <c r="DN279"/>
  <c r="DN138"/>
  <c r="CD325"/>
  <c r="CD263"/>
  <c r="CD457"/>
  <c r="BR423"/>
  <c r="BR347"/>
  <c r="BR228"/>
  <c r="BR416"/>
  <c r="BR474"/>
  <c r="BR329"/>
  <c r="BR469"/>
  <c r="BR326"/>
  <c r="CP373"/>
  <c r="CP507"/>
  <c r="CP496"/>
  <c r="CP248"/>
  <c r="CP430"/>
  <c r="CP397"/>
  <c r="CP442"/>
  <c r="CP209"/>
  <c r="CP187"/>
  <c r="DB486"/>
  <c r="DB250"/>
  <c r="DN405"/>
  <c r="DN162"/>
  <c r="DN198"/>
  <c r="DN205"/>
  <c r="DN187"/>
  <c r="DN287"/>
  <c r="DN344"/>
  <c r="DN144"/>
  <c r="BR341"/>
  <c r="BR354"/>
  <c r="BR458"/>
  <c r="CP371"/>
  <c r="CP282"/>
  <c r="CP488"/>
  <c r="CP311"/>
  <c r="CP267"/>
  <c r="CP135"/>
  <c r="BR437"/>
  <c r="BR376"/>
  <c r="CF341"/>
  <c r="CF400"/>
  <c r="BR448"/>
  <c r="BR456"/>
  <c r="BR244"/>
  <c r="BR425"/>
  <c r="BR246"/>
  <c r="BR422"/>
  <c r="BR478"/>
  <c r="BR434"/>
  <c r="CP503"/>
  <c r="CP508"/>
  <c r="CP148"/>
  <c r="DB206"/>
  <c r="DB485"/>
  <c r="DB233"/>
  <c r="DB464"/>
  <c r="DB419"/>
  <c r="DB498"/>
  <c r="DB270"/>
  <c r="DB361"/>
  <c r="DB145"/>
  <c r="DB187"/>
  <c r="DB473"/>
  <c r="DB257"/>
  <c r="DN392"/>
  <c r="DN464"/>
  <c r="DN203"/>
  <c r="DN208"/>
  <c r="DN242"/>
  <c r="BR404"/>
  <c r="BR218"/>
  <c r="CF404"/>
  <c r="CF247"/>
  <c r="CF417"/>
  <c r="CF342"/>
  <c r="CF353"/>
  <c r="CF491"/>
  <c r="CF290"/>
  <c r="CF284"/>
  <c r="CD276"/>
  <c r="CD336"/>
  <c r="CD426"/>
  <c r="CD339"/>
  <c r="BR268"/>
  <c r="BR460"/>
  <c r="DB492"/>
  <c r="DB226"/>
  <c r="CD270"/>
  <c r="CD347"/>
  <c r="DB307"/>
  <c r="DB203"/>
  <c r="DB355"/>
  <c r="DB506"/>
  <c r="CF258"/>
  <c r="CF355"/>
  <c r="CF451"/>
  <c r="CF233"/>
  <c r="CD292"/>
  <c r="BR316"/>
  <c r="DB428"/>
  <c r="DB391"/>
  <c r="DB405"/>
  <c r="DB497"/>
  <c r="CF394"/>
  <c r="CF264"/>
  <c r="CF393"/>
  <c r="CD309"/>
  <c r="CD435"/>
  <c r="CD278"/>
  <c r="CF424"/>
  <c r="CF289"/>
  <c r="CF267"/>
  <c r="CF450"/>
  <c r="CD476"/>
  <c r="BR223"/>
  <c r="DB275"/>
  <c r="DB254"/>
  <c r="DB281"/>
  <c r="DB423"/>
  <c r="CD262"/>
  <c r="BR279"/>
  <c r="CF397"/>
  <c r="CF375"/>
  <c r="CD340"/>
  <c r="CF314"/>
  <c r="CF218"/>
  <c r="CF256"/>
  <c r="BR237"/>
  <c r="BR281"/>
  <c r="BR421"/>
  <c r="DB180"/>
  <c r="DB456"/>
  <c r="DB326"/>
  <c r="DB466"/>
  <c r="DB303"/>
  <c r="BR340"/>
  <c r="BR263"/>
  <c r="BR476"/>
  <c r="BR454"/>
  <c r="BR413"/>
  <c r="BR344"/>
  <c r="BR249"/>
  <c r="BR330"/>
  <c r="BR400"/>
  <c r="BR303"/>
  <c r="CP232"/>
  <c r="CP236"/>
  <c r="CP163"/>
  <c r="CP352"/>
  <c r="CP186"/>
  <c r="CP428"/>
  <c r="CP509"/>
  <c r="CP290"/>
  <c r="CP231"/>
  <c r="CP143"/>
  <c r="CP439"/>
  <c r="DB407"/>
  <c r="DB487"/>
  <c r="DB321"/>
  <c r="DB205"/>
  <c r="DB322"/>
  <c r="DB251"/>
  <c r="DB453"/>
  <c r="DB409"/>
  <c r="DB164"/>
  <c r="DN376"/>
  <c r="DN433"/>
  <c r="DN345"/>
  <c r="DN322"/>
  <c r="DN474"/>
  <c r="CF447"/>
  <c r="CF383"/>
  <c r="CF379"/>
  <c r="CD304"/>
  <c r="CD322"/>
  <c r="CD302"/>
  <c r="CD366"/>
  <c r="CD323"/>
  <c r="CD232"/>
  <c r="CD227"/>
  <c r="CD463"/>
  <c r="CD291"/>
  <c r="BR288"/>
  <c r="BR271"/>
  <c r="CP340"/>
  <c r="CP197"/>
  <c r="DB451"/>
  <c r="DB172"/>
  <c r="DB269"/>
  <c r="DB450"/>
  <c r="DB502"/>
  <c r="DB280"/>
  <c r="DB339"/>
  <c r="DB123"/>
  <c r="DB472"/>
  <c r="DB238"/>
  <c r="DN483"/>
  <c r="DN443"/>
  <c r="CF403"/>
  <c r="CD228"/>
  <c r="CD430"/>
  <c r="CD311"/>
  <c r="CD359"/>
  <c r="BR367"/>
  <c r="BR502"/>
  <c r="BR250"/>
  <c r="BR262"/>
  <c r="CP358"/>
  <c r="DB500"/>
  <c r="DB248"/>
  <c r="DB310"/>
  <c r="CF225"/>
  <c r="CF235"/>
  <c r="CF217"/>
  <c r="CD458"/>
  <c r="CD346"/>
  <c r="BR490"/>
  <c r="BR432"/>
  <c r="CP446"/>
  <c r="DB299"/>
  <c r="DB480"/>
  <c r="DB458"/>
  <c r="DB141"/>
  <c r="DB454"/>
  <c r="DB284"/>
  <c r="DB399"/>
  <c r="DB512"/>
  <c r="DB324"/>
  <c r="CD244"/>
  <c r="CF301"/>
  <c r="BR300"/>
  <c r="CF369"/>
  <c r="CF473"/>
  <c r="CF399"/>
  <c r="CF464"/>
  <c r="CD354"/>
  <c r="CD248"/>
  <c r="BR420"/>
  <c r="BR260"/>
  <c r="BR455"/>
  <c r="BR317"/>
  <c r="BR248"/>
  <c r="CP165"/>
  <c r="CP279"/>
  <c r="DB306"/>
  <c r="DB335"/>
  <c r="DB393"/>
  <c r="DB490"/>
  <c r="DB385"/>
  <c r="DB317"/>
  <c r="DB296"/>
  <c r="DB403"/>
  <c r="DN366"/>
  <c r="CF338"/>
  <c r="BR282"/>
  <c r="BR429"/>
  <c r="BR358"/>
  <c r="BR366"/>
  <c r="DB143"/>
  <c r="DB379"/>
  <c r="DB127"/>
  <c r="DB314"/>
  <c r="DB268"/>
  <c r="DB197"/>
  <c r="DB168"/>
  <c r="DB264"/>
  <c r="DB198"/>
  <c r="DB482"/>
  <c r="DB178"/>
  <c r="BR483"/>
  <c r="CP413"/>
  <c r="DB488"/>
  <c r="DN491"/>
  <c r="DN264"/>
  <c r="CP504"/>
  <c r="BR409"/>
  <c r="BR243"/>
  <c r="BR280"/>
  <c r="BR297"/>
  <c r="CP457"/>
  <c r="CP356"/>
  <c r="DB501"/>
  <c r="DB118"/>
  <c r="DB420"/>
  <c r="DB331"/>
  <c r="DB446"/>
  <c r="DB194"/>
  <c r="DN186"/>
  <c r="DN159"/>
  <c r="BR301"/>
  <c r="BR488"/>
  <c r="BR431"/>
  <c r="CP445"/>
  <c r="CP314"/>
  <c r="BR383"/>
  <c r="BR380"/>
  <c r="BR226"/>
  <c r="CP265"/>
  <c r="CP327"/>
  <c r="CP421"/>
  <c r="CP177"/>
  <c r="CP215"/>
  <c r="CP422"/>
  <c r="CP309"/>
  <c r="CP456"/>
  <c r="BR489"/>
  <c r="BR481"/>
  <c r="BR385"/>
  <c r="BR252"/>
  <c r="BR442"/>
  <c r="BR486"/>
  <c r="CP200"/>
  <c r="CP485"/>
  <c r="CP252"/>
  <c r="CP175"/>
  <c r="CP407"/>
  <c r="DB125"/>
  <c r="DN125"/>
  <c r="DN385"/>
  <c r="BR378"/>
  <c r="CP304"/>
  <c r="DN427"/>
  <c r="CP357"/>
  <c r="CP280"/>
  <c r="CP372"/>
  <c r="CP264"/>
  <c r="BR479"/>
  <c r="BR227"/>
  <c r="BR295"/>
  <c r="BR417"/>
  <c r="BR410"/>
  <c r="BR452"/>
  <c r="BR497"/>
  <c r="BR494"/>
  <c r="BR472"/>
  <c r="BR251"/>
  <c r="CP426"/>
  <c r="CP380"/>
  <c r="CP257"/>
  <c r="CP216"/>
  <c r="CP291"/>
  <c r="CP191"/>
  <c r="CP172"/>
  <c r="CP205"/>
  <c r="CP341"/>
  <c r="CP154"/>
  <c r="CP348"/>
  <c r="CP122"/>
  <c r="DB435"/>
  <c r="DB496"/>
  <c r="DB290"/>
  <c r="DB130"/>
  <c r="DB230"/>
  <c r="DB406"/>
  <c r="DB179"/>
  <c r="DB481"/>
  <c r="DB387"/>
  <c r="DN130"/>
  <c r="DN140"/>
  <c r="DN424"/>
  <c r="DN261"/>
  <c r="CP486"/>
  <c r="BR412"/>
  <c r="BR259"/>
  <c r="BR238"/>
  <c r="BR216"/>
  <c r="BR285"/>
  <c r="BR327"/>
  <c r="BR364"/>
  <c r="BR464"/>
  <c r="BR433"/>
  <c r="CP128"/>
  <c r="CP166"/>
  <c r="CP350"/>
  <c r="CP460"/>
  <c r="CP136"/>
  <c r="CP294"/>
  <c r="CP377"/>
  <c r="CP162"/>
  <c r="DB212"/>
  <c r="DN160"/>
  <c r="DN231"/>
  <c r="DN263"/>
  <c r="DN280"/>
  <c r="DN497"/>
  <c r="DN432"/>
  <c r="CP418"/>
  <c r="CP199"/>
  <c r="CP203"/>
  <c r="CP389"/>
  <c r="CP173"/>
  <c r="CP330"/>
  <c r="CP153"/>
  <c r="CP178"/>
  <c r="CP444"/>
  <c r="CP198"/>
  <c r="BR232"/>
  <c r="BR403"/>
  <c r="BR449"/>
  <c r="BR234"/>
  <c r="BR276"/>
  <c r="BR337"/>
  <c r="BR338"/>
  <c r="BR387"/>
  <c r="BR504"/>
  <c r="BR487"/>
  <c r="BR357"/>
  <c r="BR394"/>
  <c r="BR461"/>
  <c r="BR245"/>
  <c r="BR278"/>
  <c r="BR467"/>
  <c r="BR480"/>
  <c r="BR513"/>
  <c r="BR264"/>
  <c r="BR289"/>
  <c r="BR290"/>
  <c r="CP124"/>
  <c r="CP409"/>
  <c r="CP213"/>
  <c r="CP490"/>
  <c r="CP130"/>
  <c r="CP432"/>
  <c r="CP451"/>
  <c r="CP127"/>
  <c r="CP222"/>
  <c r="CP408"/>
  <c r="CP218"/>
  <c r="CP512"/>
  <c r="CP237"/>
  <c r="CP262"/>
  <c r="CP443"/>
  <c r="DB134"/>
  <c r="DB418"/>
  <c r="DB320"/>
  <c r="DB434"/>
  <c r="DB166"/>
  <c r="DB309"/>
  <c r="DB334"/>
  <c r="DB221"/>
  <c r="DB366"/>
  <c r="DB495"/>
  <c r="DN161"/>
  <c r="DN283"/>
  <c r="DN255"/>
  <c r="DN325"/>
  <c r="DN434"/>
  <c r="DN173"/>
  <c r="DN129"/>
  <c r="DN142"/>
  <c r="CP333"/>
  <c r="CP281"/>
  <c r="CP476"/>
  <c r="CP273"/>
  <c r="BR304"/>
  <c r="BR407"/>
  <c r="BR492"/>
  <c r="BR224"/>
  <c r="BR309"/>
  <c r="BR418"/>
  <c r="BR269"/>
  <c r="BR390"/>
  <c r="BR229"/>
  <c r="BR266"/>
  <c r="BR351"/>
  <c r="BR424"/>
  <c r="BR491"/>
  <c r="BR360"/>
  <c r="BR258"/>
  <c r="BR457"/>
  <c r="BR241"/>
  <c r="BR314"/>
  <c r="BR363"/>
  <c r="BR436"/>
  <c r="BR391"/>
  <c r="BR392"/>
  <c r="BR477"/>
  <c r="BR293"/>
  <c r="CP210"/>
  <c r="CP193"/>
  <c r="CP346"/>
  <c r="CP119"/>
  <c r="CP435"/>
  <c r="CP258"/>
  <c r="CP385"/>
  <c r="CP500"/>
  <c r="CP405"/>
  <c r="CP449"/>
  <c r="CP322"/>
  <c r="CP120"/>
  <c r="CP179"/>
  <c r="CP411"/>
  <c r="CP123"/>
  <c r="CP361"/>
  <c r="CP224"/>
  <c r="CP395"/>
  <c r="CP132"/>
  <c r="DB199"/>
  <c r="DB327"/>
  <c r="DB262"/>
  <c r="DB460"/>
  <c r="DB211"/>
  <c r="DB398"/>
  <c r="DB369"/>
  <c r="DB246"/>
  <c r="DB476"/>
  <c r="DB260"/>
  <c r="DB503"/>
  <c r="DB287"/>
  <c r="DB504"/>
  <c r="DB276"/>
  <c r="DB367"/>
  <c r="DB151"/>
  <c r="DB489"/>
  <c r="DB273"/>
  <c r="DB370"/>
  <c r="DB337"/>
  <c r="DN232"/>
  <c r="DN341"/>
  <c r="DN463"/>
  <c r="DN217"/>
  <c r="DN375"/>
  <c r="DN174"/>
  <c r="DN389"/>
  <c r="DN403"/>
  <c r="DN146"/>
  <c r="DN143"/>
  <c r="CP284"/>
  <c r="CP217"/>
  <c r="DN306"/>
  <c r="DN370"/>
  <c r="CP393"/>
  <c r="CP415"/>
  <c r="CP170"/>
  <c r="CP183"/>
  <c r="CP510"/>
  <c r="CP506"/>
  <c r="CP185"/>
  <c r="CP295"/>
  <c r="DN507"/>
  <c r="DN277"/>
  <c r="BR325"/>
  <c r="CP383"/>
  <c r="CP235"/>
  <c r="CP399"/>
  <c r="CP493"/>
  <c r="CP241"/>
  <c r="CP392"/>
  <c r="CP441"/>
  <c r="CP394"/>
  <c r="CP329"/>
  <c r="CP131"/>
  <c r="CP220"/>
  <c r="CP306"/>
  <c r="CP433"/>
  <c r="CP440"/>
  <c r="CP489"/>
  <c r="CP240"/>
  <c r="DB380"/>
  <c r="DN275"/>
  <c r="DN128"/>
  <c r="DN245"/>
  <c r="DN222"/>
  <c r="DN398"/>
  <c r="CP195"/>
  <c r="CP459"/>
  <c r="DN484"/>
  <c r="DN456"/>
  <c r="DN310"/>
  <c r="DN498"/>
  <c r="DN119"/>
  <c r="DN468"/>
  <c r="DN406"/>
  <c r="CP381"/>
  <c r="DN156"/>
  <c r="DN513"/>
  <c r="DN470"/>
  <c r="DN201"/>
  <c r="CP419"/>
  <c r="CP325"/>
  <c r="CP168"/>
  <c r="CP158"/>
  <c r="CP207"/>
  <c r="DN304"/>
  <c r="DN284"/>
  <c r="DN253"/>
  <c r="DN363"/>
  <c r="DN276"/>
  <c r="DN478"/>
  <c r="DN399"/>
  <c r="DN121"/>
  <c r="DN207"/>
  <c r="DN420"/>
  <c r="DN169"/>
  <c r="DN286"/>
  <c r="DN157"/>
  <c r="DN292"/>
  <c r="DN224"/>
  <c r="DN326"/>
  <c r="DN379"/>
  <c r="CP244"/>
  <c r="CP286"/>
  <c r="CP228"/>
  <c r="CP319"/>
  <c r="CP326"/>
  <c r="CP167"/>
  <c r="CP417"/>
  <c r="CP473"/>
  <c r="CP334"/>
  <c r="CP384"/>
  <c r="DN449"/>
  <c r="DN296"/>
  <c r="DN441"/>
  <c r="DN189"/>
  <c r="DN342"/>
  <c r="DN378"/>
  <c r="DN460"/>
  <c r="DN461"/>
  <c r="DN381"/>
  <c r="DN132"/>
  <c r="DN430"/>
  <c r="DN329"/>
  <c r="DN421"/>
  <c r="DN401"/>
  <c r="DN307"/>
  <c r="BR217"/>
  <c r="BR375"/>
  <c r="CP141"/>
  <c r="CP454"/>
  <c r="CP202"/>
  <c r="CP242"/>
  <c r="CP227"/>
  <c r="CP438"/>
  <c r="CP189"/>
  <c r="CP283"/>
  <c r="CP398"/>
  <c r="CP431"/>
  <c r="CP450"/>
  <c r="CP145"/>
  <c r="CP233"/>
  <c r="CP275"/>
  <c r="CP420"/>
  <c r="CP204"/>
  <c r="CP331"/>
  <c r="CP374"/>
  <c r="CP423"/>
  <c r="CP479"/>
  <c r="DB282"/>
  <c r="DN340"/>
  <c r="DN386"/>
  <c r="DN305"/>
  <c r="DN180"/>
  <c r="DN247"/>
  <c r="DN477"/>
  <c r="DN335"/>
  <c r="DN435"/>
  <c r="DN311"/>
  <c r="DN318"/>
  <c r="DN496"/>
  <c r="DN244"/>
  <c r="DN281"/>
  <c r="DN504"/>
  <c r="DN204"/>
  <c r="DN295"/>
  <c r="DN417"/>
  <c r="DN165"/>
  <c r="DN359"/>
  <c r="DN234"/>
  <c r="DN438"/>
  <c r="DN495"/>
  <c r="DN118"/>
  <c r="DN256"/>
  <c r="DN149"/>
  <c r="DN393"/>
  <c r="DN254"/>
  <c r="DN395"/>
  <c r="DN481"/>
  <c r="DN154"/>
  <c r="DN486"/>
  <c r="DN472"/>
  <c r="DN185"/>
  <c r="DN444"/>
  <c r="DN249"/>
  <c r="CP174"/>
  <c r="CP344"/>
  <c r="CP274"/>
  <c r="CP299"/>
  <c r="CP180"/>
  <c r="CP134"/>
  <c r="CP316"/>
  <c r="CP317"/>
  <c r="CP176"/>
  <c r="CP300"/>
  <c r="CP221"/>
  <c r="CP328"/>
  <c r="CP378"/>
  <c r="CP505"/>
  <c r="CP289"/>
  <c r="CP453"/>
  <c r="CP230"/>
  <c r="DN450"/>
  <c r="DN346"/>
  <c r="DN270"/>
  <c r="DN469"/>
  <c r="DN447"/>
  <c r="DN439"/>
  <c r="DN192"/>
  <c r="DN431"/>
  <c r="DN404"/>
  <c r="DN265"/>
  <c r="DN459"/>
  <c r="DN171"/>
  <c r="DN508"/>
  <c r="DN220"/>
  <c r="DN176"/>
  <c r="DN314"/>
  <c r="DN260"/>
  <c r="CP447"/>
  <c r="CP256"/>
  <c r="CP342"/>
  <c r="CP201"/>
  <c r="DN282"/>
  <c r="DN190"/>
  <c r="DN299"/>
  <c r="DN437"/>
  <c r="DN230"/>
  <c r="DN163"/>
  <c r="DN141"/>
  <c r="BR446"/>
  <c r="BR343"/>
  <c r="BR501"/>
  <c r="BR510"/>
  <c r="BR294"/>
  <c r="BR507"/>
  <c r="BR291"/>
  <c r="BR355"/>
  <c r="BR428"/>
  <c r="BR261"/>
  <c r="BR298"/>
  <c r="BR253"/>
  <c r="CP484"/>
  <c r="CP268"/>
  <c r="CP390"/>
  <c r="CP481"/>
  <c r="CP229"/>
  <c r="CP416"/>
  <c r="CP321"/>
  <c r="CP324"/>
  <c r="CP487"/>
  <c r="CP271"/>
  <c r="CP458"/>
  <c r="CP206"/>
  <c r="CP363"/>
  <c r="CP208"/>
  <c r="CP402"/>
  <c r="CP464"/>
  <c r="CP212"/>
  <c r="CP369"/>
  <c r="CP117"/>
  <c r="CP502"/>
  <c r="CP214"/>
  <c r="CP155"/>
  <c r="CP336"/>
  <c r="CP499"/>
  <c r="CP247"/>
  <c r="CP434"/>
  <c r="CP182"/>
  <c r="CP293"/>
  <c r="CP400"/>
  <c r="CP270"/>
  <c r="CP253"/>
  <c r="CP404"/>
  <c r="CP116"/>
  <c r="CP305"/>
  <c r="CP370"/>
  <c r="CP118"/>
  <c r="CP511"/>
  <c r="CP223"/>
  <c r="CP338"/>
  <c r="CP495"/>
  <c r="CP243"/>
  <c r="DB120"/>
  <c r="DB510"/>
  <c r="DB200"/>
  <c r="DB351"/>
  <c r="DN124"/>
  <c r="DN413"/>
  <c r="DN492"/>
  <c r="DN153"/>
  <c r="DN133"/>
  <c r="DN455"/>
  <c r="DN239"/>
  <c r="DN290"/>
  <c r="DN354"/>
  <c r="DN505"/>
  <c r="DN289"/>
  <c r="DN267"/>
  <c r="DN446"/>
  <c r="DN316"/>
  <c r="DN216"/>
  <c r="DN511"/>
  <c r="DN223"/>
  <c r="DN453"/>
  <c r="DN237"/>
  <c r="DN414"/>
  <c r="DN502"/>
  <c r="DN250"/>
  <c r="DN330"/>
  <c r="DN409"/>
  <c r="DN193"/>
  <c r="DN226"/>
  <c r="DN407"/>
  <c r="DN457"/>
  <c r="DN436"/>
  <c r="DN199"/>
  <c r="DN177"/>
  <c r="DN350"/>
  <c r="DN332"/>
  <c r="DN315"/>
  <c r="DN257"/>
  <c r="DN356"/>
  <c r="DN451"/>
  <c r="DN235"/>
  <c r="DN285"/>
  <c r="DN422"/>
  <c r="BR324"/>
  <c r="BR321"/>
  <c r="BR395"/>
  <c r="BR444"/>
  <c r="BR441"/>
  <c r="BR225"/>
  <c r="BR334"/>
  <c r="BR473"/>
  <c r="BR306"/>
  <c r="BR470"/>
  <c r="CP467"/>
  <c r="CP354"/>
  <c r="CP138"/>
  <c r="CP301"/>
  <c r="CP272"/>
  <c r="CP465"/>
  <c r="CP249"/>
  <c r="CP335"/>
  <c r="CP360"/>
  <c r="CP278"/>
  <c r="CP471"/>
  <c r="CP255"/>
  <c r="CP347"/>
  <c r="CP366"/>
  <c r="CP313"/>
  <c r="CP125"/>
  <c r="CP320"/>
  <c r="CP513"/>
  <c r="CP297"/>
  <c r="CP466"/>
  <c r="CP250"/>
  <c r="CP156"/>
  <c r="CP355"/>
  <c r="CP139"/>
  <c r="CP362"/>
  <c r="CP146"/>
  <c r="CP303"/>
  <c r="CP461"/>
  <c r="CP251"/>
  <c r="CP414"/>
  <c r="CP181"/>
  <c r="CP368"/>
  <c r="CP152"/>
  <c r="CP345"/>
  <c r="CP129"/>
  <c r="CP514"/>
  <c r="CP298"/>
  <c r="CP475"/>
  <c r="CP259"/>
  <c r="CP410"/>
  <c r="CP194"/>
  <c r="CP387"/>
  <c r="CP171"/>
  <c r="CP161"/>
  <c r="DB240"/>
  <c r="DB330"/>
  <c r="DB373"/>
  <c r="DB344"/>
  <c r="DB128"/>
  <c r="DB232"/>
  <c r="DN412"/>
  <c r="DN196"/>
  <c r="DN499"/>
  <c r="DN188"/>
  <c r="DN333"/>
  <c r="DN117"/>
  <c r="DN241"/>
  <c r="DN490"/>
  <c r="DN274"/>
  <c r="DN411"/>
  <c r="DN195"/>
  <c r="DN116"/>
  <c r="DN183"/>
  <c r="DN425"/>
  <c r="DN209"/>
  <c r="DN164"/>
  <c r="DN324"/>
  <c r="DN475"/>
  <c r="DN259"/>
  <c r="DN312"/>
  <c r="DN158"/>
  <c r="DN394"/>
  <c r="DN178"/>
  <c r="DN467"/>
  <c r="DN251"/>
  <c r="DN200"/>
  <c r="DN506"/>
  <c r="DN351"/>
  <c r="DN135"/>
  <c r="DN298"/>
  <c r="DN168"/>
  <c r="DN155"/>
  <c r="DN471"/>
  <c r="DN400"/>
  <c r="DN509"/>
  <c r="DN372"/>
  <c r="DN487"/>
  <c r="DN271"/>
  <c r="DN134"/>
  <c r="DN147"/>
  <c r="BJ229"/>
  <c r="BJ265"/>
  <c r="BJ301"/>
  <c r="BJ337"/>
  <c r="BJ373"/>
  <c r="BJ409"/>
  <c r="BJ445"/>
  <c r="BJ481"/>
  <c r="BJ234"/>
  <c r="BJ270"/>
  <c r="BJ306"/>
  <c r="BJ342"/>
  <c r="BJ378"/>
  <c r="BJ414"/>
  <c r="BJ450"/>
  <c r="BJ311"/>
  <c r="BJ477"/>
  <c r="BJ327"/>
  <c r="BJ309"/>
  <c r="BJ380"/>
  <c r="BJ232"/>
  <c r="BJ448"/>
  <c r="BJ303"/>
  <c r="BJ242"/>
  <c r="BJ458"/>
  <c r="BJ364"/>
  <c r="BJ363"/>
  <c r="BJ374"/>
  <c r="BJ496"/>
  <c r="BJ279"/>
  <c r="BJ495"/>
  <c r="BJ290"/>
  <c r="BJ506"/>
  <c r="BJ223"/>
  <c r="BJ259"/>
  <c r="BJ295"/>
  <c r="BJ331"/>
  <c r="BJ367"/>
  <c r="BJ403"/>
  <c r="BJ439"/>
  <c r="BJ475"/>
  <c r="BJ511"/>
  <c r="BJ228"/>
  <c r="BJ264"/>
  <c r="BJ300"/>
  <c r="BJ336"/>
  <c r="BJ372"/>
  <c r="BJ408"/>
  <c r="BJ444"/>
  <c r="BJ480"/>
  <c r="BJ233"/>
  <c r="BJ269"/>
  <c r="BJ305"/>
  <c r="BJ341"/>
  <c r="BJ377"/>
  <c r="BJ413"/>
  <c r="BJ449"/>
  <c r="BJ485"/>
  <c r="BJ250"/>
  <c r="BJ322"/>
  <c r="BJ394"/>
  <c r="BJ466"/>
  <c r="BJ249"/>
  <c r="BJ321"/>
  <c r="BJ393"/>
  <c r="BJ465"/>
  <c r="BJ248"/>
  <c r="BJ320"/>
  <c r="BJ392"/>
  <c r="BJ464"/>
  <c r="BJ244"/>
  <c r="BJ388"/>
  <c r="BJ243"/>
  <c r="BJ398"/>
  <c r="BJ452"/>
  <c r="BJ376"/>
  <c r="BJ375"/>
  <c r="BJ314"/>
  <c r="BJ436"/>
  <c r="BJ219"/>
  <c r="BJ435"/>
  <c r="BJ446"/>
  <c r="BJ351"/>
  <c r="BJ434"/>
  <c r="BJ217"/>
  <c r="BJ253"/>
  <c r="BJ289"/>
  <c r="BJ325"/>
  <c r="BJ361"/>
  <c r="BJ397"/>
  <c r="BJ433"/>
  <c r="BJ469"/>
  <c r="BJ505"/>
  <c r="BJ222"/>
  <c r="BJ258"/>
  <c r="BJ294"/>
  <c r="BJ330"/>
  <c r="BJ366"/>
  <c r="BJ402"/>
  <c r="BJ438"/>
  <c r="BJ474"/>
  <c r="BJ510"/>
  <c r="BJ227"/>
  <c r="BJ263"/>
  <c r="BJ299"/>
  <c r="BJ335"/>
  <c r="BJ371"/>
  <c r="BJ407"/>
  <c r="BJ443"/>
  <c r="BJ479"/>
  <c r="BJ238"/>
  <c r="BJ310"/>
  <c r="BJ382"/>
  <c r="BJ454"/>
  <c r="BJ237"/>
  <c r="BJ453"/>
  <c r="BJ236"/>
  <c r="BJ423"/>
  <c r="BJ362"/>
  <c r="BJ247"/>
  <c r="BJ283"/>
  <c r="BJ319"/>
  <c r="BJ355"/>
  <c r="BJ391"/>
  <c r="BJ427"/>
  <c r="BJ463"/>
  <c r="BJ499"/>
  <c r="BJ216"/>
  <c r="BJ252"/>
  <c r="BJ288"/>
  <c r="BJ324"/>
  <c r="BJ360"/>
  <c r="BJ396"/>
  <c r="BJ432"/>
  <c r="BJ468"/>
  <c r="BJ504"/>
  <c r="BJ221"/>
  <c r="BJ257"/>
  <c r="BJ293"/>
  <c r="BJ329"/>
  <c r="BJ365"/>
  <c r="BJ401"/>
  <c r="BJ437"/>
  <c r="BJ473"/>
  <c r="BJ509"/>
  <c r="BJ226"/>
  <c r="BJ298"/>
  <c r="BJ370"/>
  <c r="BJ442"/>
  <c r="BJ514"/>
  <c r="BJ225"/>
  <c r="BJ297"/>
  <c r="BJ369"/>
  <c r="BJ441"/>
  <c r="BJ513"/>
  <c r="BJ224"/>
  <c r="BJ296"/>
  <c r="BJ368"/>
  <c r="BJ440"/>
  <c r="BJ512"/>
  <c r="BJ292"/>
  <c r="BJ230"/>
  <c r="BJ241"/>
  <c r="BJ277"/>
  <c r="BJ313"/>
  <c r="BJ349"/>
  <c r="BJ385"/>
  <c r="BJ421"/>
  <c r="BJ457"/>
  <c r="BJ493"/>
  <c r="BJ246"/>
  <c r="BJ282"/>
  <c r="BJ318"/>
  <c r="BJ354"/>
  <c r="BJ390"/>
  <c r="BJ426"/>
  <c r="BJ462"/>
  <c r="BJ498"/>
  <c r="BJ251"/>
  <c r="BJ287"/>
  <c r="BJ323"/>
  <c r="BJ359"/>
  <c r="BJ395"/>
  <c r="BJ431"/>
  <c r="BJ467"/>
  <c r="BJ503"/>
  <c r="BJ286"/>
  <c r="BJ358"/>
  <c r="BJ430"/>
  <c r="BJ502"/>
  <c r="BJ285"/>
  <c r="BJ357"/>
  <c r="BJ429"/>
  <c r="BJ501"/>
  <c r="BJ284"/>
  <c r="BJ356"/>
  <c r="BJ428"/>
  <c r="BJ500"/>
  <c r="BJ280"/>
  <c r="BJ352"/>
  <c r="BJ424"/>
  <c r="BJ218"/>
  <c r="BJ235"/>
  <c r="BJ271"/>
  <c r="BJ307"/>
  <c r="BJ343"/>
  <c r="BJ379"/>
  <c r="BJ415"/>
  <c r="BJ451"/>
  <c r="BJ487"/>
  <c r="BJ240"/>
  <c r="BJ276"/>
  <c r="BJ312"/>
  <c r="BJ348"/>
  <c r="BJ384"/>
  <c r="BJ420"/>
  <c r="BJ456"/>
  <c r="BJ492"/>
  <c r="BJ245"/>
  <c r="BJ281"/>
  <c r="BJ317"/>
  <c r="BJ353"/>
  <c r="BJ389"/>
  <c r="BJ425"/>
  <c r="BJ461"/>
  <c r="BJ497"/>
  <c r="BJ274"/>
  <c r="BJ346"/>
  <c r="BJ418"/>
  <c r="BJ490"/>
  <c r="BJ273"/>
  <c r="BJ345"/>
  <c r="BJ417"/>
  <c r="BJ489"/>
  <c r="BJ272"/>
  <c r="BJ344"/>
  <c r="BJ416"/>
  <c r="BJ488"/>
  <c r="BJ268"/>
  <c r="BJ340"/>
  <c r="BJ412"/>
  <c r="BJ484"/>
  <c r="BJ267"/>
  <c r="BJ339"/>
  <c r="BJ411"/>
  <c r="BJ483"/>
  <c r="BJ278"/>
  <c r="BJ350"/>
  <c r="BJ422"/>
  <c r="BJ494"/>
  <c r="BJ486"/>
  <c r="BJ239"/>
  <c r="BJ275"/>
  <c r="BJ347"/>
  <c r="BJ383"/>
  <c r="BJ419"/>
  <c r="BJ455"/>
  <c r="BJ491"/>
  <c r="BJ262"/>
  <c r="BJ334"/>
  <c r="BJ406"/>
  <c r="BJ478"/>
  <c r="BJ261"/>
  <c r="BJ333"/>
  <c r="BJ405"/>
  <c r="BJ260"/>
  <c r="BJ332"/>
  <c r="BJ404"/>
  <c r="BJ476"/>
  <c r="BJ256"/>
  <c r="BJ328"/>
  <c r="BJ400"/>
  <c r="BJ472"/>
  <c r="BJ255"/>
  <c r="BJ399"/>
  <c r="BJ471"/>
  <c r="BJ266"/>
  <c r="BJ338"/>
  <c r="BJ410"/>
  <c r="BJ482"/>
  <c r="BJ316"/>
  <c r="BJ460"/>
  <c r="BJ315"/>
  <c r="BJ387"/>
  <c r="BJ459"/>
  <c r="BJ254"/>
  <c r="BJ326"/>
  <c r="BJ470"/>
  <c r="BJ381"/>
  <c r="BJ308"/>
  <c r="BJ304"/>
  <c r="BJ231"/>
  <c r="BJ447"/>
  <c r="BJ386"/>
  <c r="BJ220"/>
  <c r="BJ508"/>
  <c r="BJ291"/>
  <c r="BJ507"/>
  <c r="BJ302"/>
  <c r="BO11" i="10"/>
  <c r="BJ165" i="12"/>
  <c r="CL27" i="16"/>
  <c r="BJ74" i="12"/>
  <c r="BJ187"/>
  <c r="BJ89"/>
  <c r="BJ173"/>
  <c r="CM28" i="16"/>
  <c r="BJ116" i="12"/>
  <c r="BJ133"/>
  <c r="BJ147"/>
  <c r="BJ210"/>
  <c r="BJ193"/>
  <c r="BJ111"/>
  <c r="BJ183"/>
  <c r="BJ118"/>
  <c r="BJ189"/>
  <c r="BJ157"/>
  <c r="BJ70"/>
  <c r="BJ64"/>
  <c r="BJ158"/>
  <c r="CL33" i="16"/>
  <c r="BJ49" i="12"/>
  <c r="BJ151"/>
  <c r="BJ209"/>
  <c r="BJ27"/>
  <c r="BJ38"/>
  <c r="BJ45"/>
  <c r="BJ132"/>
  <c r="BJ208"/>
  <c r="BJ34"/>
  <c r="BJ199"/>
  <c r="BJ58"/>
  <c r="BJ40"/>
  <c r="DD195"/>
  <c r="BJ35"/>
  <c r="BJ65"/>
  <c r="BJ57"/>
  <c r="BJ21"/>
  <c r="BJ115"/>
  <c r="BJ55"/>
  <c r="BJ59"/>
  <c r="BJ152"/>
  <c r="BJ167"/>
  <c r="BJ204"/>
  <c r="BJ28"/>
  <c r="BJ84"/>
  <c r="BJ169"/>
  <c r="BJ171"/>
  <c r="BJ95"/>
  <c r="BJ176"/>
  <c r="BJ212"/>
  <c r="BJ117"/>
  <c r="CL34" i="16"/>
  <c r="BJ207" i="12"/>
  <c r="BJ136"/>
  <c r="BJ196"/>
  <c r="BJ214"/>
  <c r="BJ26"/>
  <c r="BJ101"/>
  <c r="CL28" i="16"/>
  <c r="BJ154" i="12"/>
  <c r="BJ104"/>
  <c r="DD214"/>
  <c r="BJ181"/>
  <c r="BJ161"/>
  <c r="BJ30"/>
  <c r="BJ130"/>
  <c r="CR150"/>
  <c r="DD142"/>
  <c r="CL31" i="16"/>
  <c r="CM24"/>
  <c r="DP131" i="12"/>
  <c r="BJ36"/>
  <c r="BJ123"/>
  <c r="BJ202"/>
  <c r="BJ42"/>
  <c r="BJ92"/>
  <c r="BJ80"/>
  <c r="BJ68"/>
  <c r="BJ63"/>
  <c r="BJ146"/>
  <c r="BJ129"/>
  <c r="BJ82"/>
  <c r="CM32" i="16"/>
  <c r="BJ175" i="12"/>
  <c r="BJ25"/>
  <c r="BJ81"/>
  <c r="BJ61"/>
  <c r="BJ211"/>
  <c r="BJ50"/>
  <c r="BJ148"/>
  <c r="BJ191"/>
  <c r="BJ195"/>
  <c r="CL26" i="16"/>
  <c r="BJ177" i="12"/>
  <c r="CL29" i="16"/>
  <c r="BJ190" i="12"/>
  <c r="BJ135"/>
  <c r="BJ91"/>
  <c r="BJ180"/>
  <c r="BJ32"/>
  <c r="BJ143"/>
  <c r="BJ16"/>
  <c r="BJ198"/>
  <c r="BJ47"/>
  <c r="BJ78"/>
  <c r="BJ109"/>
  <c r="BJ43"/>
  <c r="BJ142"/>
  <c r="BJ131"/>
  <c r="CM25" i="16"/>
  <c r="CM26"/>
  <c r="BJ90" i="12"/>
  <c r="BJ145"/>
  <c r="BJ83"/>
  <c r="BJ156"/>
  <c r="BJ120"/>
  <c r="BJ122"/>
  <c r="BJ186"/>
  <c r="BJ79"/>
  <c r="BJ205"/>
  <c r="BJ141"/>
  <c r="BJ108"/>
  <c r="CL23" i="16"/>
  <c r="BJ139" i="12"/>
  <c r="BJ37"/>
  <c r="BJ41"/>
  <c r="BJ97"/>
  <c r="BJ155"/>
  <c r="BJ213"/>
  <c r="CM34" i="16"/>
  <c r="BJ39" i="12"/>
  <c r="BJ53"/>
  <c r="BJ52"/>
  <c r="BJ31"/>
  <c r="CM29" i="16"/>
  <c r="BJ87" i="12"/>
  <c r="BJ134"/>
  <c r="BJ44"/>
  <c r="BJ22"/>
  <c r="CL25" i="16"/>
  <c r="CM33"/>
  <c r="BJ184" i="12"/>
  <c r="CM31" i="16"/>
  <c r="BJ72" i="12"/>
  <c r="BJ182"/>
  <c r="BJ67"/>
  <c r="BJ168"/>
  <c r="BJ162"/>
  <c r="BJ107"/>
  <c r="BJ164"/>
  <c r="BJ172"/>
  <c r="BJ51"/>
  <c r="BJ163"/>
  <c r="BJ93"/>
  <c r="BJ203"/>
  <c r="CM23" i="16"/>
  <c r="BJ19" i="12"/>
  <c r="BJ119"/>
  <c r="BJ188"/>
  <c r="BJ192"/>
  <c r="BJ24"/>
  <c r="BJ194"/>
  <c r="BJ102"/>
  <c r="BJ166"/>
  <c r="BJ100"/>
  <c r="BJ201"/>
  <c r="BJ121"/>
  <c r="BJ98"/>
  <c r="BJ23"/>
  <c r="BJ128"/>
  <c r="BJ103"/>
  <c r="BJ185"/>
  <c r="BJ113"/>
  <c r="BJ17"/>
  <c r="BJ174"/>
  <c r="BJ112"/>
  <c r="CL32" i="16"/>
  <c r="BJ88" i="12"/>
  <c r="BJ170"/>
  <c r="BJ150"/>
  <c r="BJ71"/>
  <c r="BJ46"/>
  <c r="BJ75"/>
  <c r="BJ105"/>
  <c r="BJ54"/>
  <c r="BJ200"/>
  <c r="BJ33"/>
  <c r="BJ125"/>
  <c r="BJ76"/>
  <c r="BJ153"/>
  <c r="BJ86"/>
  <c r="BJ56"/>
  <c r="BJ60"/>
  <c r="BJ144"/>
  <c r="BJ48"/>
  <c r="CL30" i="16"/>
  <c r="BJ127" i="12"/>
  <c r="BJ62"/>
  <c r="BJ149"/>
  <c r="BJ137"/>
  <c r="BJ77"/>
  <c r="CM30" i="16"/>
  <c r="BJ99" i="12"/>
  <c r="BJ94"/>
  <c r="BJ69"/>
  <c r="BJ160"/>
  <c r="CM27" i="16"/>
  <c r="BJ138" i="12"/>
  <c r="BJ159"/>
  <c r="BJ106"/>
  <c r="BJ73"/>
  <c r="BJ110"/>
  <c r="BJ124"/>
  <c r="BJ140"/>
  <c r="BJ20"/>
  <c r="BJ215"/>
  <c r="CL24" i="16"/>
  <c r="BJ96" i="12"/>
  <c r="BJ178"/>
  <c r="BJ85"/>
  <c r="BJ206"/>
  <c r="BJ179"/>
  <c r="BJ197"/>
  <c r="BJ29"/>
  <c r="BJ18"/>
  <c r="BJ126"/>
  <c r="BJ114"/>
  <c r="BJ66"/>
  <c r="AF8" l="1" a="1"/>
  <c r="AF10" s="1"/>
  <c r="AE41" i="1"/>
  <c r="AE40"/>
  <c r="DN70" i="12"/>
  <c r="DN55"/>
  <c r="DN32"/>
  <c r="DN41"/>
  <c r="DN52"/>
  <c r="DN97"/>
  <c r="DN47"/>
  <c r="DN38"/>
  <c r="DN27"/>
  <c r="DN85"/>
  <c r="DN26"/>
  <c r="DN71"/>
  <c r="DN100"/>
  <c r="DN56"/>
  <c r="DN90"/>
  <c r="DN40"/>
  <c r="DN73"/>
  <c r="DN59"/>
  <c r="DN88"/>
  <c r="DN15"/>
  <c r="DN25"/>
  <c r="DN81"/>
  <c r="DN83"/>
  <c r="DN19"/>
  <c r="DN58"/>
  <c r="DN49"/>
  <c r="DN35"/>
  <c r="DN34"/>
  <c r="DN42"/>
  <c r="DN54"/>
  <c r="DN108"/>
  <c r="DN68"/>
  <c r="DN37"/>
  <c r="DN23"/>
  <c r="DN80"/>
  <c r="DN45"/>
  <c r="DN103"/>
  <c r="DN98"/>
  <c r="DN89"/>
  <c r="DN74"/>
  <c r="DN96"/>
  <c r="DN102"/>
  <c r="DN64"/>
  <c r="DN114"/>
  <c r="DN93"/>
  <c r="DN86"/>
  <c r="DN66"/>
  <c r="DN112"/>
  <c r="DN67"/>
  <c r="DN92"/>
  <c r="DN53"/>
  <c r="DN76"/>
  <c r="DN105"/>
  <c r="DN18"/>
  <c r="DN111"/>
  <c r="DN72"/>
  <c r="DN78"/>
  <c r="DN57"/>
  <c r="DN115"/>
  <c r="DN101"/>
  <c r="DN39"/>
  <c r="DN36"/>
  <c r="DN30"/>
  <c r="DN84"/>
  <c r="DN28"/>
  <c r="DN31"/>
  <c r="DN17"/>
  <c r="DN69"/>
  <c r="DN113"/>
  <c r="DN22"/>
  <c r="DN24"/>
  <c r="DN99"/>
  <c r="DN110"/>
  <c r="DN21"/>
  <c r="DN79"/>
  <c r="DN65"/>
  <c r="DN94"/>
  <c r="DN62"/>
  <c r="DN87"/>
  <c r="DN50"/>
  <c r="DN75"/>
  <c r="DN48"/>
  <c r="DN20"/>
  <c r="DN33"/>
  <c r="DN91"/>
  <c r="DN44"/>
  <c r="DN77"/>
  <c r="DN106"/>
  <c r="DN63"/>
  <c r="DN107"/>
  <c r="DN82"/>
  <c r="DN46"/>
  <c r="DN43"/>
  <c r="DN29"/>
  <c r="DN16"/>
  <c r="DN61"/>
  <c r="DN51"/>
  <c r="DN109"/>
  <c r="DN95"/>
  <c r="DN104"/>
  <c r="DN60"/>
  <c r="DB34"/>
  <c r="DB99"/>
  <c r="DB56"/>
  <c r="DB114"/>
  <c r="DB28"/>
  <c r="DB93"/>
  <c r="DB50"/>
  <c r="DB96"/>
  <c r="DB70"/>
  <c r="DB37"/>
  <c r="DB101"/>
  <c r="DB15"/>
  <c r="DB110"/>
  <c r="DB31"/>
  <c r="DB89"/>
  <c r="DB84"/>
  <c r="DB61"/>
  <c r="DB29"/>
  <c r="DB91"/>
  <c r="DB72"/>
  <c r="DB16"/>
  <c r="DB63"/>
  <c r="DB113"/>
  <c r="DB57"/>
  <c r="DB22"/>
  <c r="DB80"/>
  <c r="DB66"/>
  <c r="DB58"/>
  <c r="DB74"/>
  <c r="DB48"/>
  <c r="DB104"/>
  <c r="DB25"/>
  <c r="DB71"/>
  <c r="DB60"/>
  <c r="DB55"/>
  <c r="DB35"/>
  <c r="DB27"/>
  <c r="DB100"/>
  <c r="DB23"/>
  <c r="DB21"/>
  <c r="DB115"/>
  <c r="DB88"/>
  <c r="DB95"/>
  <c r="DB87"/>
  <c r="DB38"/>
  <c r="DB78"/>
  <c r="DB81"/>
  <c r="DB54"/>
  <c r="DB46"/>
  <c r="DB111"/>
  <c r="DB68"/>
  <c r="DB30"/>
  <c r="DB106"/>
  <c r="DB98"/>
  <c r="DB19"/>
  <c r="DB53"/>
  <c r="DB85"/>
  <c r="DB36"/>
  <c r="DB107"/>
  <c r="DB79"/>
  <c r="DB77"/>
  <c r="DB51"/>
  <c r="DB83"/>
  <c r="DB45"/>
  <c r="DB75"/>
  <c r="DB24"/>
  <c r="DB40"/>
  <c r="DB105"/>
  <c r="DB62"/>
  <c r="DB32"/>
  <c r="DB42"/>
  <c r="DB49"/>
  <c r="DB18"/>
  <c r="DB43"/>
  <c r="DB109"/>
  <c r="DB76"/>
  <c r="DB103"/>
  <c r="DB64"/>
  <c r="DB65"/>
  <c r="DB39"/>
  <c r="DB69"/>
  <c r="DB20"/>
  <c r="DB94"/>
  <c r="DB92"/>
  <c r="DB44"/>
  <c r="DB17"/>
  <c r="DB82"/>
  <c r="DB86"/>
  <c r="DB26"/>
  <c r="DB90"/>
  <c r="DB73"/>
  <c r="DB59"/>
  <c r="DB102"/>
  <c r="DB67"/>
  <c r="DB41"/>
  <c r="DB97"/>
  <c r="DB108"/>
  <c r="DB52"/>
  <c r="DB47"/>
  <c r="DB33"/>
  <c r="DB112"/>
  <c r="CP32"/>
  <c r="CP46"/>
  <c r="CP20"/>
  <c r="CP40"/>
  <c r="CP67"/>
  <c r="CP106"/>
  <c r="CP15"/>
  <c r="CP61"/>
  <c r="CP100"/>
  <c r="CP89"/>
  <c r="CP39"/>
  <c r="CP91"/>
  <c r="CP47"/>
  <c r="CP69"/>
  <c r="CP30"/>
  <c r="CP86"/>
  <c r="CP35"/>
  <c r="CP96"/>
  <c r="CP80"/>
  <c r="CP90"/>
  <c r="CP31"/>
  <c r="CP29"/>
  <c r="CP70"/>
  <c r="CP25"/>
  <c r="CP64"/>
  <c r="CP55"/>
  <c r="CP94"/>
  <c r="CP65"/>
  <c r="CP33"/>
  <c r="CP85"/>
  <c r="CP17"/>
  <c r="CP99"/>
  <c r="CP50"/>
  <c r="CP60"/>
  <c r="CP93"/>
  <c r="CP38"/>
  <c r="CP54"/>
  <c r="CP110"/>
  <c r="CP34"/>
  <c r="CP104"/>
  <c r="CP114"/>
  <c r="CP28"/>
  <c r="CP19"/>
  <c r="CP58"/>
  <c r="CP49"/>
  <c r="CP101"/>
  <c r="CP88"/>
  <c r="CP63"/>
  <c r="CP115"/>
  <c r="CP24"/>
  <c r="CP57"/>
  <c r="CP109"/>
  <c r="CP18"/>
  <c r="CP74"/>
  <c r="CP84"/>
  <c r="CP71"/>
  <c r="CP68"/>
  <c r="CP78"/>
  <c r="CP98"/>
  <c r="CP95"/>
  <c r="CP108"/>
  <c r="CP22"/>
  <c r="CP44"/>
  <c r="CP52"/>
  <c r="CP41"/>
  <c r="CP27"/>
  <c r="CP79"/>
  <c r="CP23"/>
  <c r="CP21"/>
  <c r="CP73"/>
  <c r="CP112"/>
  <c r="CP87"/>
  <c r="CP26"/>
  <c r="CP48"/>
  <c r="CP81"/>
  <c r="CP42"/>
  <c r="CP111"/>
  <c r="CP62"/>
  <c r="CP72"/>
  <c r="CP92"/>
  <c r="CP59"/>
  <c r="CP102"/>
  <c r="CP16"/>
  <c r="CP43"/>
  <c r="CP83"/>
  <c r="CP82"/>
  <c r="CP37"/>
  <c r="CP53"/>
  <c r="CP76"/>
  <c r="CP51"/>
  <c r="CP103"/>
  <c r="CP113"/>
  <c r="CP107"/>
  <c r="CP45"/>
  <c r="CP97"/>
  <c r="CP77"/>
  <c r="CP75"/>
  <c r="CP36"/>
  <c r="CP105"/>
  <c r="CP56"/>
  <c r="CP66"/>
  <c r="BR88"/>
  <c r="BR195"/>
  <c r="BR146"/>
  <c r="BR73"/>
  <c r="BR143"/>
  <c r="BR76"/>
  <c r="BR153"/>
  <c r="BR104"/>
  <c r="BR31"/>
  <c r="BR65"/>
  <c r="BR90"/>
  <c r="BR112"/>
  <c r="BR183"/>
  <c r="BR134"/>
  <c r="BR61"/>
  <c r="BR125"/>
  <c r="BR210"/>
  <c r="BR148"/>
  <c r="BR213"/>
  <c r="BR164"/>
  <c r="BR91"/>
  <c r="BR78"/>
  <c r="BR161"/>
  <c r="BR35"/>
  <c r="BR72"/>
  <c r="BR27"/>
  <c r="BR194"/>
  <c r="BR121"/>
  <c r="BR191"/>
  <c r="BR101"/>
  <c r="BR174"/>
  <c r="BR57"/>
  <c r="BR151"/>
  <c r="BR130"/>
  <c r="BR40"/>
  <c r="BR159"/>
  <c r="BR110"/>
  <c r="BR37"/>
  <c r="BR77"/>
  <c r="BR108"/>
  <c r="BR34"/>
  <c r="BR117"/>
  <c r="BR68"/>
  <c r="BR211"/>
  <c r="BR138"/>
  <c r="BR70"/>
  <c r="BR147"/>
  <c r="BR98"/>
  <c r="BR25"/>
  <c r="BR53"/>
  <c r="BR66"/>
  <c r="BR106"/>
  <c r="BR177"/>
  <c r="BR128"/>
  <c r="BR55"/>
  <c r="BR119"/>
  <c r="BR192"/>
  <c r="BR142"/>
  <c r="BR207"/>
  <c r="BR158"/>
  <c r="BR85"/>
  <c r="BR36"/>
  <c r="BR155"/>
  <c r="BR23"/>
  <c r="BR54"/>
  <c r="BR21"/>
  <c r="BR188"/>
  <c r="BR115"/>
  <c r="BR198"/>
  <c r="BR185"/>
  <c r="BR89"/>
  <c r="BR83"/>
  <c r="BR123"/>
  <c r="BR74"/>
  <c r="BR162"/>
  <c r="BR41"/>
  <c r="BR81"/>
  <c r="BR175"/>
  <c r="BR18"/>
  <c r="BR178"/>
  <c r="BR28"/>
  <c r="BR111"/>
  <c r="BR62"/>
  <c r="BR205"/>
  <c r="BR120"/>
  <c r="BR214"/>
  <c r="BR64"/>
  <c r="BR141"/>
  <c r="BR92"/>
  <c r="BR19"/>
  <c r="BR29"/>
  <c r="BR48"/>
  <c r="BR100"/>
  <c r="BR171"/>
  <c r="BR122"/>
  <c r="BR49"/>
  <c r="BR107"/>
  <c r="BR168"/>
  <c r="BR136"/>
  <c r="BR201"/>
  <c r="BR152"/>
  <c r="BR79"/>
  <c r="BR149"/>
  <c r="BR150"/>
  <c r="BR87"/>
  <c r="BR38"/>
  <c r="BR181"/>
  <c r="BR42"/>
  <c r="BR184"/>
  <c r="BR132"/>
  <c r="BR45"/>
  <c r="BR212"/>
  <c r="BR139"/>
  <c r="BR209"/>
  <c r="BR52"/>
  <c r="BR17"/>
  <c r="BR75"/>
  <c r="BR169"/>
  <c r="BR172"/>
  <c r="BR22"/>
  <c r="BR105"/>
  <c r="BR56"/>
  <c r="BR199"/>
  <c r="BR102"/>
  <c r="BR208"/>
  <c r="BR58"/>
  <c r="BR135"/>
  <c r="BR86"/>
  <c r="BR32"/>
  <c r="BR30"/>
  <c r="BR94"/>
  <c r="BR165"/>
  <c r="BR116"/>
  <c r="BR43"/>
  <c r="BR95"/>
  <c r="BR144"/>
  <c r="BR24"/>
  <c r="BR51"/>
  <c r="BR145"/>
  <c r="BR215"/>
  <c r="BR82"/>
  <c r="BR26"/>
  <c r="BR196"/>
  <c r="BR176"/>
  <c r="BR103"/>
  <c r="BR156"/>
  <c r="BR173"/>
  <c r="BR59"/>
  <c r="BR114"/>
  <c r="BR39"/>
  <c r="BR206"/>
  <c r="BR133"/>
  <c r="BR203"/>
  <c r="BR137"/>
  <c r="BR69"/>
  <c r="BR163"/>
  <c r="BR166"/>
  <c r="BR16"/>
  <c r="BR99"/>
  <c r="BR50"/>
  <c r="BR193"/>
  <c r="BR84"/>
  <c r="BR202"/>
  <c r="BR46"/>
  <c r="BR129"/>
  <c r="BR80"/>
  <c r="BR186"/>
  <c r="BR20"/>
  <c r="BR124"/>
  <c r="BR182"/>
  <c r="BR109"/>
  <c r="BR180"/>
  <c r="BR179"/>
  <c r="BR71"/>
  <c r="BR15"/>
  <c r="BR118"/>
  <c r="BR189"/>
  <c r="BR140"/>
  <c r="BR67"/>
  <c r="BR131"/>
  <c r="BR160"/>
  <c r="BR170"/>
  <c r="BR97"/>
  <c r="BR126"/>
  <c r="BR167"/>
  <c r="BR47"/>
  <c r="BR96"/>
  <c r="BR33"/>
  <c r="BR200"/>
  <c r="BR127"/>
  <c r="BR197"/>
  <c r="BR113"/>
  <c r="BR204"/>
  <c r="BR63"/>
  <c r="BR157"/>
  <c r="BR154"/>
  <c r="BR93"/>
  <c r="BR44"/>
  <c r="BR187"/>
  <c r="BR60"/>
  <c r="BR190"/>
  <c r="CD42"/>
  <c r="CD69"/>
  <c r="CD181"/>
  <c r="CD106"/>
  <c r="CD24"/>
  <c r="CD63"/>
  <c r="CD175"/>
  <c r="CD215"/>
  <c r="CD100"/>
  <c r="CD101"/>
  <c r="CD129"/>
  <c r="CD92"/>
  <c r="CD25"/>
  <c r="CD178"/>
  <c r="CD159"/>
  <c r="CD172"/>
  <c r="CD58"/>
  <c r="CD81"/>
  <c r="CD116"/>
  <c r="CD49"/>
  <c r="CD18"/>
  <c r="CD19"/>
  <c r="CD202"/>
  <c r="CD78"/>
  <c r="CD59"/>
  <c r="CD111"/>
  <c r="CD74"/>
  <c r="CD154"/>
  <c r="CD38"/>
  <c r="CD33"/>
  <c r="CD212"/>
  <c r="CD145"/>
  <c r="CD192"/>
  <c r="CD185"/>
  <c r="CD119"/>
  <c r="CD27"/>
  <c r="CD206"/>
  <c r="CD139"/>
  <c r="CD186"/>
  <c r="CD179"/>
  <c r="CD83"/>
  <c r="CD93"/>
  <c r="CD56"/>
  <c r="CD205"/>
  <c r="CD136"/>
  <c r="CD123"/>
  <c r="CD194"/>
  <c r="CD199"/>
  <c r="CD130"/>
  <c r="CD108"/>
  <c r="CD45"/>
  <c r="CD80"/>
  <c r="CD160"/>
  <c r="CD55"/>
  <c r="CD54"/>
  <c r="CD75"/>
  <c r="CD187"/>
  <c r="CD112"/>
  <c r="CD191"/>
  <c r="CD149"/>
  <c r="CD51"/>
  <c r="CD94"/>
  <c r="CD213"/>
  <c r="CD176"/>
  <c r="CD109"/>
  <c r="CD150"/>
  <c r="CD143"/>
  <c r="CD17"/>
  <c r="CD82"/>
  <c r="CD207"/>
  <c r="CD170"/>
  <c r="CD103"/>
  <c r="CD132"/>
  <c r="CD137"/>
  <c r="CD174"/>
  <c r="CD57"/>
  <c r="CD169"/>
  <c r="CD209"/>
  <c r="CD88"/>
  <c r="CD87"/>
  <c r="CD158"/>
  <c r="CD163"/>
  <c r="CD210"/>
  <c r="CD203"/>
  <c r="CD76"/>
  <c r="CD15"/>
  <c r="CD52"/>
  <c r="CD193"/>
  <c r="CD124"/>
  <c r="CD39"/>
  <c r="CD151"/>
  <c r="CD198"/>
  <c r="CD28"/>
  <c r="CD95"/>
  <c r="CD40"/>
  <c r="CD177"/>
  <c r="CD140"/>
  <c r="CD73"/>
  <c r="CD41"/>
  <c r="CD84"/>
  <c r="CD34"/>
  <c r="CD171"/>
  <c r="CD134"/>
  <c r="CD67"/>
  <c r="CD96"/>
  <c r="CD72"/>
  <c r="CD21"/>
  <c r="CD200"/>
  <c r="CD133"/>
  <c r="CD180"/>
  <c r="CD173"/>
  <c r="CD65"/>
  <c r="CD122"/>
  <c r="CD127"/>
  <c r="CD168"/>
  <c r="CD167"/>
  <c r="CD53"/>
  <c r="CD77"/>
  <c r="CD157"/>
  <c r="CD204"/>
  <c r="CD197"/>
  <c r="CD64"/>
  <c r="CD16"/>
  <c r="CD117"/>
  <c r="CD118"/>
  <c r="CD182"/>
  <c r="CD115"/>
  <c r="CD156"/>
  <c r="CD23"/>
  <c r="CD144"/>
  <c r="CD131"/>
  <c r="CD141"/>
  <c r="CD104"/>
  <c r="CD37"/>
  <c r="CD32"/>
  <c r="CD26"/>
  <c r="CD190"/>
  <c r="CD113"/>
  <c r="CD135"/>
  <c r="CD98"/>
  <c r="CD31"/>
  <c r="CD184"/>
  <c r="CD70"/>
  <c r="CD201"/>
  <c r="CD164"/>
  <c r="CD97"/>
  <c r="CD120"/>
  <c r="CD125"/>
  <c r="CD138"/>
  <c r="CD86"/>
  <c r="CD91"/>
  <c r="CD90"/>
  <c r="CD107"/>
  <c r="CD126"/>
  <c r="CD189"/>
  <c r="CD188"/>
  <c r="CD121"/>
  <c r="CD162"/>
  <c r="CD161"/>
  <c r="CD35"/>
  <c r="CD166"/>
  <c r="CD46"/>
  <c r="CD183"/>
  <c r="CD146"/>
  <c r="CD79"/>
  <c r="CD71"/>
  <c r="CD102"/>
  <c r="CD47"/>
  <c r="CD105"/>
  <c r="CD68"/>
  <c r="CD148"/>
  <c r="CD29"/>
  <c r="CD99"/>
  <c r="CD62"/>
  <c r="CD211"/>
  <c r="CD142"/>
  <c r="CD22"/>
  <c r="CD165"/>
  <c r="CD128"/>
  <c r="CD61"/>
  <c r="CD60"/>
  <c r="CD48"/>
  <c r="CD214"/>
  <c r="CD195"/>
  <c r="CD20"/>
  <c r="CD36"/>
  <c r="CD30"/>
  <c r="CD208"/>
  <c r="CD153"/>
  <c r="CD152"/>
  <c r="CD85"/>
  <c r="CD66"/>
  <c r="CD89"/>
  <c r="CD114"/>
  <c r="CD155"/>
  <c r="CD147"/>
  <c r="CD110"/>
  <c r="CD43"/>
  <c r="CD50"/>
  <c r="CD44"/>
  <c r="CD196"/>
  <c r="BH24"/>
  <c r="BH50"/>
  <c r="BH156"/>
  <c r="BH166"/>
  <c r="BH91"/>
  <c r="BH63"/>
  <c r="BH119"/>
  <c r="BH34"/>
  <c r="BH72"/>
  <c r="BH68"/>
  <c r="BH116"/>
  <c r="BH175"/>
  <c r="BH109"/>
  <c r="BH100"/>
  <c r="BH53"/>
  <c r="BH165"/>
  <c r="BH508"/>
  <c r="BH381"/>
  <c r="BH460"/>
  <c r="BH266"/>
  <c r="BH255"/>
  <c r="BH328"/>
  <c r="BH404"/>
  <c r="BH405"/>
  <c r="BH478"/>
  <c r="BH491"/>
  <c r="BH239"/>
  <c r="BH278"/>
  <c r="BH339"/>
  <c r="BH412"/>
  <c r="BH488"/>
  <c r="BH202"/>
  <c r="BH389"/>
  <c r="BH456"/>
  <c r="BH240"/>
  <c r="BH307"/>
  <c r="BH352"/>
  <c r="BH428"/>
  <c r="BH501"/>
  <c r="BH359"/>
  <c r="BH426"/>
  <c r="BH210"/>
  <c r="BH493"/>
  <c r="BH277"/>
  <c r="BH512"/>
  <c r="BH226"/>
  <c r="BH401"/>
  <c r="BH185"/>
  <c r="BH468"/>
  <c r="BH252"/>
  <c r="BH319"/>
  <c r="BH335"/>
  <c r="BH402"/>
  <c r="BH186"/>
  <c r="BH469"/>
  <c r="BH253"/>
  <c r="BH388"/>
  <c r="BH320"/>
  <c r="BH393"/>
  <c r="BH466"/>
  <c r="BH305"/>
  <c r="BH372"/>
  <c r="BH439"/>
  <c r="BH223"/>
  <c r="BH506"/>
  <c r="BH327"/>
  <c r="BH342"/>
  <c r="BH409"/>
  <c r="BH193"/>
  <c r="BH182"/>
  <c r="BH350"/>
  <c r="BH209"/>
  <c r="BH246"/>
  <c r="BH225"/>
  <c r="BH221"/>
  <c r="BH504"/>
  <c r="BH288"/>
  <c r="BH423"/>
  <c r="BH237"/>
  <c r="BH371"/>
  <c r="BH438"/>
  <c r="BH222"/>
  <c r="BH289"/>
  <c r="BH446"/>
  <c r="BH314"/>
  <c r="BH452"/>
  <c r="BH392"/>
  <c r="BH465"/>
  <c r="BH341"/>
  <c r="BH192"/>
  <c r="BH475"/>
  <c r="BH259"/>
  <c r="BH374"/>
  <c r="BH242"/>
  <c r="BH309"/>
  <c r="BH378"/>
  <c r="BH445"/>
  <c r="BH229"/>
  <c r="BH291"/>
  <c r="BH345"/>
  <c r="BH360"/>
  <c r="BH311"/>
  <c r="BH338"/>
  <c r="BH400"/>
  <c r="BH275"/>
  <c r="BH484"/>
  <c r="BH201"/>
  <c r="BH425"/>
  <c r="BH276"/>
  <c r="BH424"/>
  <c r="BH500"/>
  <c r="BH214"/>
  <c r="BH462"/>
  <c r="BH313"/>
  <c r="BH298"/>
  <c r="BH355"/>
  <c r="BH505"/>
  <c r="BH408"/>
  <c r="BH447"/>
  <c r="BH471"/>
  <c r="BH190"/>
  <c r="BH347"/>
  <c r="BH483"/>
  <c r="BH273"/>
  <c r="BH346"/>
  <c r="BH245"/>
  <c r="BH431"/>
  <c r="BH282"/>
  <c r="BH224"/>
  <c r="BH370"/>
  <c r="BH257"/>
  <c r="BH453"/>
  <c r="BH407"/>
  <c r="BH474"/>
  <c r="BH258"/>
  <c r="BH325"/>
  <c r="BH464"/>
  <c r="BH377"/>
  <c r="BH444"/>
  <c r="BH228"/>
  <c r="BH295"/>
  <c r="BH458"/>
  <c r="BH203"/>
  <c r="BH265"/>
  <c r="BH302"/>
  <c r="BH308"/>
  <c r="BH326"/>
  <c r="BH315"/>
  <c r="BH482"/>
  <c r="BH188"/>
  <c r="BH189"/>
  <c r="BH383"/>
  <c r="BH494"/>
  <c r="BH196"/>
  <c r="BH272"/>
  <c r="BH418"/>
  <c r="BH497"/>
  <c r="BH281"/>
  <c r="BH348"/>
  <c r="BH415"/>
  <c r="BH199"/>
  <c r="BH218"/>
  <c r="BH212"/>
  <c r="BH285"/>
  <c r="BH358"/>
  <c r="BH467"/>
  <c r="BH251"/>
  <c r="BH318"/>
  <c r="BH385"/>
  <c r="BH296"/>
  <c r="BH369"/>
  <c r="BH442"/>
  <c r="BH509"/>
  <c r="BH293"/>
  <c r="BH211"/>
  <c r="BH362"/>
  <c r="BH236"/>
  <c r="BH310"/>
  <c r="BH443"/>
  <c r="BH227"/>
  <c r="BH510"/>
  <c r="BH294"/>
  <c r="BH361"/>
  <c r="BH351"/>
  <c r="BH436"/>
  <c r="BH376"/>
  <c r="BH250"/>
  <c r="BH413"/>
  <c r="BH197"/>
  <c r="BH480"/>
  <c r="BH264"/>
  <c r="BH331"/>
  <c r="BH279"/>
  <c r="BH364"/>
  <c r="BH232"/>
  <c r="BH450"/>
  <c r="BH234"/>
  <c r="BH301"/>
  <c r="BH386"/>
  <c r="BH470"/>
  <c r="BH387"/>
  <c r="BH184"/>
  <c r="BH260"/>
  <c r="BH261"/>
  <c r="BH334"/>
  <c r="BH419"/>
  <c r="BH486"/>
  <c r="BH195"/>
  <c r="BH268"/>
  <c r="BH417"/>
  <c r="BH490"/>
  <c r="BH317"/>
  <c r="BH384"/>
  <c r="BH451"/>
  <c r="BH235"/>
  <c r="BH208"/>
  <c r="BH284"/>
  <c r="BH357"/>
  <c r="BH430"/>
  <c r="BH503"/>
  <c r="BH287"/>
  <c r="BH354"/>
  <c r="BH421"/>
  <c r="BH205"/>
  <c r="BH230"/>
  <c r="BH368"/>
  <c r="BH441"/>
  <c r="BH514"/>
  <c r="BH329"/>
  <c r="BH396"/>
  <c r="BH463"/>
  <c r="BH247"/>
  <c r="BH382"/>
  <c r="BH479"/>
  <c r="BH263"/>
  <c r="BH330"/>
  <c r="BH397"/>
  <c r="BH219"/>
  <c r="BH398"/>
  <c r="BH249"/>
  <c r="BH322"/>
  <c r="BH449"/>
  <c r="BH233"/>
  <c r="BH300"/>
  <c r="BH367"/>
  <c r="BH495"/>
  <c r="BH448"/>
  <c r="BH270"/>
  <c r="BH337"/>
  <c r="BH71"/>
  <c r="BH118"/>
  <c r="BH138"/>
  <c r="BH25"/>
  <c r="BH81"/>
  <c r="BH16"/>
  <c r="BH134"/>
  <c r="BH15"/>
  <c r="BH231"/>
  <c r="BH399"/>
  <c r="BH476"/>
  <c r="BH411"/>
  <c r="BH274"/>
  <c r="BH492"/>
  <c r="BH343"/>
  <c r="BH395"/>
  <c r="BH437"/>
  <c r="BH507"/>
  <c r="BH254"/>
  <c r="BH410"/>
  <c r="BH472"/>
  <c r="BH422"/>
  <c r="BH200"/>
  <c r="BH461"/>
  <c r="BH312"/>
  <c r="BH379"/>
  <c r="BH207"/>
  <c r="BH213"/>
  <c r="BH286"/>
  <c r="BH215"/>
  <c r="BH498"/>
  <c r="BH349"/>
  <c r="BH292"/>
  <c r="BH297"/>
  <c r="BH473"/>
  <c r="BH324"/>
  <c r="BH391"/>
  <c r="BH238"/>
  <c r="BH191"/>
  <c r="BH243"/>
  <c r="BH511"/>
  <c r="BH496"/>
  <c r="BH380"/>
  <c r="BH414"/>
  <c r="BH198"/>
  <c r="BH481"/>
  <c r="BH262"/>
  <c r="BH427"/>
  <c r="BH344"/>
  <c r="BH220"/>
  <c r="BH304"/>
  <c r="BH459"/>
  <c r="BH316"/>
  <c r="BH194"/>
  <c r="BH183"/>
  <c r="BH256"/>
  <c r="BH332"/>
  <c r="BH333"/>
  <c r="BH406"/>
  <c r="BH455"/>
  <c r="BH206"/>
  <c r="BH267"/>
  <c r="BH340"/>
  <c r="BH416"/>
  <c r="BH489"/>
  <c r="BH353"/>
  <c r="BH420"/>
  <c r="BH204"/>
  <c r="BH487"/>
  <c r="BH271"/>
  <c r="BH280"/>
  <c r="BH356"/>
  <c r="BH429"/>
  <c r="BH502"/>
  <c r="BH323"/>
  <c r="BH390"/>
  <c r="BH457"/>
  <c r="BH241"/>
  <c r="BH440"/>
  <c r="BH513"/>
  <c r="BH365"/>
  <c r="BH432"/>
  <c r="BH216"/>
  <c r="BH499"/>
  <c r="BH283"/>
  <c r="BH454"/>
  <c r="BH299"/>
  <c r="BH366"/>
  <c r="BH433"/>
  <c r="BH217"/>
  <c r="BH434"/>
  <c r="BH435"/>
  <c r="BH375"/>
  <c r="BH244"/>
  <c r="BH248"/>
  <c r="BH321"/>
  <c r="BH394"/>
  <c r="BH485"/>
  <c r="BH269"/>
  <c r="BH336"/>
  <c r="BH403"/>
  <c r="BH187"/>
  <c r="BH290"/>
  <c r="BH363"/>
  <c r="BH303"/>
  <c r="BH477"/>
  <c r="BH306"/>
  <c r="BH373"/>
  <c r="BH147"/>
  <c r="BH181"/>
  <c r="BH179"/>
  <c r="BH180"/>
  <c r="BH176"/>
  <c r="BH178"/>
  <c r="BH177"/>
  <c r="BH137"/>
  <c r="BH90"/>
  <c r="BH154"/>
  <c r="BH152"/>
  <c r="BH52"/>
  <c r="BH127"/>
  <c r="BH33"/>
  <c r="BH108"/>
  <c r="BH20"/>
  <c r="BH89"/>
  <c r="BH170"/>
  <c r="BH70"/>
  <c r="BH145"/>
  <c r="BH126"/>
  <c r="BH21"/>
  <c r="BH96"/>
  <c r="BH135"/>
  <c r="BH41"/>
  <c r="BH122"/>
  <c r="BH22"/>
  <c r="BH97"/>
  <c r="BH172"/>
  <c r="BH78"/>
  <c r="BH87"/>
  <c r="BH57"/>
  <c r="BH133"/>
  <c r="BH43"/>
  <c r="BH38"/>
  <c r="BH107"/>
  <c r="BH60"/>
  <c r="BH99"/>
  <c r="BH174"/>
  <c r="BH86"/>
  <c r="BH155"/>
  <c r="BH61"/>
  <c r="BH136"/>
  <c r="BH42"/>
  <c r="BH117"/>
  <c r="BH23"/>
  <c r="BH104"/>
  <c r="BH51"/>
  <c r="BH173"/>
  <c r="BH79"/>
  <c r="BH74"/>
  <c r="BH143"/>
  <c r="BH49"/>
  <c r="BH88"/>
  <c r="BH163"/>
  <c r="BH69"/>
  <c r="BH144"/>
  <c r="BH56"/>
  <c r="BH125"/>
  <c r="BH31"/>
  <c r="BH153"/>
  <c r="BH106"/>
  <c r="BH59"/>
  <c r="BH140"/>
  <c r="BH40"/>
  <c r="BH162"/>
  <c r="BH115"/>
  <c r="BH110"/>
  <c r="BH132"/>
  <c r="BH85"/>
  <c r="BH171"/>
  <c r="BH124"/>
  <c r="BH77"/>
  <c r="BH30"/>
  <c r="BH158"/>
  <c r="BH105"/>
  <c r="BH58"/>
  <c r="BH92"/>
  <c r="BH39"/>
  <c r="BH161"/>
  <c r="BH114"/>
  <c r="BH67"/>
  <c r="BH26"/>
  <c r="BH142"/>
  <c r="BH95"/>
  <c r="BH48"/>
  <c r="BH123"/>
  <c r="BH76"/>
  <c r="BH29"/>
  <c r="BH151"/>
  <c r="BH146"/>
  <c r="BH93"/>
  <c r="BH46"/>
  <c r="BH168"/>
  <c r="BH121"/>
  <c r="BH44"/>
  <c r="BH160"/>
  <c r="BH113"/>
  <c r="BH66"/>
  <c r="BH19"/>
  <c r="BH141"/>
  <c r="BH94"/>
  <c r="BH47"/>
  <c r="BH169"/>
  <c r="BH128"/>
  <c r="BH75"/>
  <c r="BH28"/>
  <c r="BH150"/>
  <c r="BH103"/>
  <c r="BH62"/>
  <c r="BH131"/>
  <c r="BH84"/>
  <c r="BH37"/>
  <c r="BH159"/>
  <c r="BH112"/>
  <c r="BH65"/>
  <c r="BH18"/>
  <c r="BH129"/>
  <c r="BH82"/>
  <c r="BH35"/>
  <c r="BH157"/>
  <c r="BH80"/>
  <c r="BH27"/>
  <c r="BH149"/>
  <c r="BH102"/>
  <c r="BH55"/>
  <c r="BH130"/>
  <c r="BH83"/>
  <c r="BH36"/>
  <c r="BH164"/>
  <c r="BH111"/>
  <c r="BH64"/>
  <c r="BH17"/>
  <c r="BH139"/>
  <c r="BH98"/>
  <c r="BH45"/>
  <c r="BH167"/>
  <c r="BH120"/>
  <c r="BH73"/>
  <c r="BH32"/>
  <c r="BH148"/>
  <c r="BH101"/>
  <c r="BH54"/>
  <c r="AF16" l="1"/>
  <c r="AF14"/>
  <c r="AF20"/>
  <c r="AF22"/>
  <c r="AF12"/>
  <c r="AF13"/>
  <c r="AF9"/>
  <c r="AF18"/>
  <c r="AF19"/>
  <c r="AF15"/>
  <c r="AF11"/>
  <c r="AF21"/>
  <c r="AF17"/>
  <c r="AF8"/>
  <c r="AW29" i="5" l="1" a="1"/>
  <c r="AW33" s="1"/>
  <c r="AW34" l="1"/>
  <c r="AW40"/>
  <c r="AW41"/>
  <c r="AW35"/>
  <c r="AW29"/>
  <c r="AW36"/>
  <c r="AW30"/>
  <c r="AW37"/>
  <c r="AW31"/>
  <c r="AW38"/>
  <c r="AW32"/>
  <c r="AW39"/>
  <c r="AK45" a="1"/>
  <c r="AK49" s="1"/>
  <c r="AR56"/>
  <c r="AR55"/>
  <c r="AR54"/>
  <c r="AR53"/>
  <c r="AR52"/>
  <c r="AR51"/>
  <c r="AR50"/>
  <c r="AR49"/>
  <c r="AR48"/>
  <c r="AR47"/>
  <c r="AR46"/>
  <c r="AR45"/>
  <c r="AR36"/>
  <c r="AR37"/>
  <c r="AK29" a="1"/>
  <c r="AK32" s="1"/>
  <c r="AK33" l="1"/>
  <c r="AK34"/>
  <c r="AK50"/>
  <c r="AK39"/>
  <c r="AK56"/>
  <c r="AK40"/>
  <c r="AK51"/>
  <c r="AK45"/>
  <c r="AK52"/>
  <c r="AK46"/>
  <c r="AK53"/>
  <c r="AK47"/>
  <c r="AK54"/>
  <c r="AK48"/>
  <c r="AK55"/>
  <c r="AK41"/>
  <c r="AK35"/>
  <c r="AK29"/>
  <c r="AK36"/>
  <c r="AK30"/>
  <c r="AK37"/>
  <c r="AK31"/>
  <c r="AK38"/>
  <c r="BC4" l="1"/>
  <c r="CM9" a="1"/>
  <c r="CM13" s="1"/>
  <c r="CL9" a="1"/>
  <c r="CL13" s="1"/>
  <c r="AW10" a="1"/>
  <c r="AW14" s="1"/>
  <c r="AW19" a="1"/>
  <c r="AW23" s="1"/>
  <c r="BH29" a="1"/>
  <c r="BH33" s="1"/>
  <c r="AD49"/>
  <c r="AC49"/>
  <c r="BH10" a="1"/>
  <c r="BH14" s="1"/>
  <c r="AK7" a="1"/>
  <c r="AK10" s="1"/>
  <c r="AA4"/>
  <c r="Y49"/>
  <c r="CM14" l="1"/>
  <c r="CL14"/>
  <c r="CM15"/>
  <c r="CM9"/>
  <c r="CM16"/>
  <c r="CM10"/>
  <c r="CM17"/>
  <c r="CM11"/>
  <c r="CM18"/>
  <c r="CM12"/>
  <c r="CL15"/>
  <c r="CL9"/>
  <c r="CL16"/>
  <c r="CL10"/>
  <c r="CL17"/>
  <c r="CL11"/>
  <c r="CL18"/>
  <c r="CL12"/>
  <c r="AW15"/>
  <c r="AW10"/>
  <c r="AW11"/>
  <c r="AW12"/>
  <c r="AW13"/>
  <c r="AW24"/>
  <c r="AW25"/>
  <c r="AW19"/>
  <c r="AW26"/>
  <c r="AW20"/>
  <c r="AW21"/>
  <c r="AW22"/>
  <c r="BH34"/>
  <c r="BH40"/>
  <c r="BH41"/>
  <c r="BH35"/>
  <c r="BH29"/>
  <c r="BH42"/>
  <c r="BH36"/>
  <c r="BH30"/>
  <c r="BH43"/>
  <c r="BH37"/>
  <c r="BH31"/>
  <c r="BH38"/>
  <c r="BH32"/>
  <c r="BH39"/>
  <c r="BH15"/>
  <c r="BH10"/>
  <c r="BH11"/>
  <c r="BH12"/>
  <c r="BH13"/>
  <c r="AK11"/>
  <c r="AK12"/>
  <c r="AK7"/>
  <c r="AK8"/>
  <c r="AK9"/>
  <c r="AY28"/>
  <c r="BJ9"/>
  <c r="AY18"/>
  <c r="AM6"/>
  <c r="AY9"/>
  <c r="BJ28"/>
  <c r="AI40" i="11" l="1"/>
  <c r="AW39"/>
  <c r="AI41"/>
  <c r="AW34" l="1"/>
  <c r="AW40"/>
  <c r="AP33"/>
  <c r="AW37"/>
  <c r="AI35"/>
  <c r="AW35"/>
  <c r="AI38"/>
  <c r="AI32"/>
  <c r="AP32"/>
  <c r="AI34"/>
  <c r="AW33"/>
  <c r="AW32"/>
  <c r="AI33"/>
  <c r="AW36"/>
  <c r="AW38"/>
  <c r="AI39"/>
  <c r="AI21" l="1"/>
  <c r="AW20"/>
  <c r="AB16"/>
  <c r="AP14" l="1"/>
  <c r="AP17"/>
  <c r="AP20"/>
  <c r="AI19"/>
  <c r="AB15"/>
  <c r="AW16"/>
  <c r="AI20"/>
  <c r="AI14"/>
  <c r="AB20"/>
  <c r="AI17"/>
  <c r="AI16"/>
  <c r="AW13"/>
  <c r="AW19"/>
  <c r="AP15"/>
  <c r="AP18"/>
  <c r="AI13"/>
  <c r="AB7"/>
  <c r="AP21"/>
  <c r="AP13"/>
  <c r="AW18"/>
  <c r="AW21"/>
  <c r="AB17"/>
  <c r="AW15"/>
  <c r="AI18"/>
  <c r="AB8"/>
  <c r="AW14"/>
  <c r="AW17"/>
  <c r="AB19"/>
  <c r="AP16"/>
  <c r="AB18"/>
  <c r="AP19"/>
  <c r="AI15"/>
  <c r="AB69"/>
  <c r="AB70"/>
  <c r="AB71"/>
  <c r="BK59" i="1"/>
  <c r="Y70" i="11" l="1"/>
  <c r="Y71"/>
  <c r="Y69"/>
  <c r="Y68"/>
  <c r="CX10" i="1"/>
  <c r="C7" i="10"/>
  <c r="EH7" i="12"/>
  <c r="EK8"/>
  <c r="EK7"/>
  <c r="C8" i="10" l="1"/>
  <c r="BK8"/>
  <c r="CX14" i="1"/>
  <c r="CX11"/>
  <c r="CX15"/>
  <c r="CX12"/>
  <c r="CX9"/>
  <c r="CX16"/>
  <c r="CX13"/>
  <c r="EK14" i="12" a="1"/>
  <c r="EK36" l="1"/>
  <c r="EK22"/>
  <c r="EK27"/>
  <c r="EK32"/>
  <c r="EK30"/>
  <c r="EK16"/>
  <c r="EK21"/>
  <c r="EK26"/>
  <c r="EK37"/>
  <c r="EK24"/>
  <c r="EK35"/>
  <c r="EK15"/>
  <c r="EK20"/>
  <c r="EK31"/>
  <c r="EK18"/>
  <c r="EK29"/>
  <c r="EK40"/>
  <c r="EK14"/>
  <c r="EK25"/>
  <c r="EK23"/>
  <c r="EK34"/>
  <c r="EK39"/>
  <c r="EK19"/>
  <c r="EK17"/>
  <c r="EK28"/>
  <c r="EK33"/>
  <c r="EK38"/>
  <c r="EN11" i="1" a="1"/>
  <c r="EN13" s="1"/>
  <c r="EQ7"/>
  <c r="EQ6"/>
  <c r="EO13" l="1"/>
  <c r="EQ13" s="1"/>
  <c r="ES13" s="1"/>
  <c r="EO16"/>
  <c r="EO19"/>
  <c r="EN17"/>
  <c r="EN14"/>
  <c r="EN11"/>
  <c r="EO17"/>
  <c r="EO14"/>
  <c r="EO11"/>
  <c r="EN18"/>
  <c r="EN15"/>
  <c r="EN12"/>
  <c r="EO18"/>
  <c r="EO15"/>
  <c r="EO12"/>
  <c r="EN19"/>
  <c r="EN16"/>
  <c r="EQ12" l="1"/>
  <c r="ES12" s="1"/>
  <c r="EQ11"/>
  <c r="ES11" s="1"/>
  <c r="EQ19"/>
  <c r="EQ18"/>
  <c r="ES18" s="1"/>
  <c r="EQ17"/>
  <c r="ES17" s="1"/>
  <c r="EQ16"/>
  <c r="ES16" s="1"/>
  <c r="EQ15"/>
  <c r="ES15" s="1"/>
  <c r="EQ14"/>
  <c r="ES14" s="1"/>
  <c r="ES19" l="1"/>
  <c r="ES23"/>
  <c r="EQ20" s="1"/>
  <c r="EQ21" s="1"/>
  <c r="EE28" a="1"/>
  <c r="EE32" s="1"/>
  <c r="EF28" a="1"/>
  <c r="EF33" s="1"/>
  <c r="EV5" a="1"/>
  <c r="EV9" s="1"/>
  <c r="ES21" l="1"/>
  <c r="ES20"/>
  <c r="EF28"/>
  <c r="EF34"/>
  <c r="EF29"/>
  <c r="EF35"/>
  <c r="EE34"/>
  <c r="EE29"/>
  <c r="EE30"/>
  <c r="EE31"/>
  <c r="EE33"/>
  <c r="EE28"/>
  <c r="EE35"/>
  <c r="EE36"/>
  <c r="EF30"/>
  <c r="EF36"/>
  <c r="EF31"/>
  <c r="EF32"/>
  <c r="EV10"/>
  <c r="EV16"/>
  <c r="EV22"/>
  <c r="EV23"/>
  <c r="EV17"/>
  <c r="EV11"/>
  <c r="EV5"/>
  <c r="EV24"/>
  <c r="EW24" s="1"/>
  <c r="EV18"/>
  <c r="EV12"/>
  <c r="EV6"/>
  <c r="EV19"/>
  <c r="EV13"/>
  <c r="EV7"/>
  <c r="EV20"/>
  <c r="EV14"/>
  <c r="EV8"/>
  <c r="EV21"/>
  <c r="EV15"/>
  <c r="EH28"/>
  <c r="DJ14" i="10" l="1"/>
  <c r="BK14"/>
  <c r="G11" a="1"/>
  <c r="G15" s="1"/>
  <c r="BE11"/>
  <c r="DD11" s="1"/>
  <c r="EY9" i="1" l="1"/>
  <c r="EY10"/>
  <c r="EY16"/>
  <c r="EY22"/>
  <c r="EY23"/>
  <c r="EY17"/>
  <c r="EY11"/>
  <c r="EY5"/>
  <c r="EY24"/>
  <c r="EY18"/>
  <c r="EY12"/>
  <c r="EY6"/>
  <c r="EY19"/>
  <c r="EY13"/>
  <c r="EY7"/>
  <c r="EY20"/>
  <c r="EY14"/>
  <c r="EY8"/>
  <c r="EY21"/>
  <c r="EY15"/>
  <c r="G16" i="10"/>
  <c r="G11"/>
  <c r="G12"/>
  <c r="G13"/>
  <c r="G14"/>
  <c r="BQ51" l="1"/>
  <c r="BQ87"/>
  <c r="BQ123"/>
  <c r="BQ159"/>
  <c r="BQ195"/>
  <c r="BQ231"/>
  <c r="BQ267"/>
  <c r="BQ303"/>
  <c r="BQ339"/>
  <c r="BQ375"/>
  <c r="BQ411"/>
  <c r="BQ447"/>
  <c r="BQ483"/>
  <c r="BQ56"/>
  <c r="BQ92"/>
  <c r="BQ128"/>
  <c r="BQ164"/>
  <c r="BQ200"/>
  <c r="BQ236"/>
  <c r="BQ272"/>
  <c r="BQ308"/>
  <c r="BQ344"/>
  <c r="BQ380"/>
  <c r="BQ416"/>
  <c r="BQ452"/>
  <c r="BQ488"/>
  <c r="BQ97"/>
  <c r="BQ133"/>
  <c r="BQ169"/>
  <c r="BQ205"/>
  <c r="BQ241"/>
  <c r="BQ277"/>
  <c r="BQ313"/>
  <c r="BQ349"/>
  <c r="BQ385"/>
  <c r="BQ421"/>
  <c r="BQ457"/>
  <c r="BQ493"/>
  <c r="BQ66"/>
  <c r="BQ102"/>
  <c r="BQ174"/>
  <c r="BQ210"/>
  <c r="BQ246"/>
  <c r="BQ282"/>
  <c r="BQ318"/>
  <c r="BQ354"/>
  <c r="BQ390"/>
  <c r="BQ426"/>
  <c r="BQ462"/>
  <c r="BQ498"/>
  <c r="BQ65"/>
  <c r="BQ101"/>
  <c r="BQ137"/>
  <c r="BQ173"/>
  <c r="BQ209"/>
  <c r="BQ245"/>
  <c r="BQ281"/>
  <c r="BQ317"/>
  <c r="BQ353"/>
  <c r="BQ389"/>
  <c r="BQ425"/>
  <c r="BQ461"/>
  <c r="BQ34"/>
  <c r="BQ70"/>
  <c r="BQ106"/>
  <c r="BQ142"/>
  <c r="BQ178"/>
  <c r="BQ214"/>
  <c r="BQ250"/>
  <c r="BQ286"/>
  <c r="BQ322"/>
  <c r="BQ358"/>
  <c r="BQ394"/>
  <c r="BQ430"/>
  <c r="BQ466"/>
  <c r="BQ502"/>
  <c r="BQ45"/>
  <c r="BQ405"/>
  <c r="BQ477"/>
  <c r="BQ513"/>
  <c r="BQ50"/>
  <c r="BQ86"/>
  <c r="BQ158"/>
  <c r="BQ194"/>
  <c r="BQ230"/>
  <c r="BQ302"/>
  <c r="BQ338"/>
  <c r="BQ374"/>
  <c r="BQ410"/>
  <c r="BQ482"/>
  <c r="BQ55"/>
  <c r="BQ91"/>
  <c r="BQ127"/>
  <c r="BQ163"/>
  <c r="BQ199"/>
  <c r="BQ235"/>
  <c r="BQ271"/>
  <c r="BQ307"/>
  <c r="BQ343"/>
  <c r="BQ415"/>
  <c r="BQ451"/>
  <c r="BQ487"/>
  <c r="BQ60"/>
  <c r="BQ96"/>
  <c r="BQ132"/>
  <c r="BQ168"/>
  <c r="BQ204"/>
  <c r="BQ240"/>
  <c r="BQ276"/>
  <c r="BQ312"/>
  <c r="BQ348"/>
  <c r="BQ384"/>
  <c r="BQ420"/>
  <c r="BQ492"/>
  <c r="BQ59"/>
  <c r="BQ95"/>
  <c r="BQ131"/>
  <c r="BQ167"/>
  <c r="BQ203"/>
  <c r="BQ239"/>
  <c r="BQ311"/>
  <c r="BQ347"/>
  <c r="BQ383"/>
  <c r="BQ419"/>
  <c r="BQ455"/>
  <c r="BQ491"/>
  <c r="BQ64"/>
  <c r="BQ172"/>
  <c r="BQ208"/>
  <c r="BQ244"/>
  <c r="BQ280"/>
  <c r="BQ316"/>
  <c r="BQ352"/>
  <c r="BQ388"/>
  <c r="BQ424"/>
  <c r="BQ460"/>
  <c r="BQ496"/>
  <c r="BQ81"/>
  <c r="BQ117"/>
  <c r="BQ153"/>
  <c r="BQ189"/>
  <c r="BQ225"/>
  <c r="BQ261"/>
  <c r="BQ297"/>
  <c r="BQ333"/>
  <c r="BQ441"/>
  <c r="BQ122"/>
  <c r="BQ446"/>
  <c r="BQ379"/>
  <c r="BQ456"/>
  <c r="BQ136"/>
  <c r="BQ39"/>
  <c r="BQ75"/>
  <c r="BQ111"/>
  <c r="BQ147"/>
  <c r="BQ183"/>
  <c r="BQ219"/>
  <c r="BQ255"/>
  <c r="BQ291"/>
  <c r="BQ327"/>
  <c r="BQ363"/>
  <c r="BQ399"/>
  <c r="BQ435"/>
  <c r="BQ471"/>
  <c r="BQ507"/>
  <c r="BQ44"/>
  <c r="BQ80"/>
  <c r="BQ116"/>
  <c r="BQ152"/>
  <c r="BQ188"/>
  <c r="BQ224"/>
  <c r="BQ260"/>
  <c r="BQ296"/>
  <c r="BQ332"/>
  <c r="BQ368"/>
  <c r="BQ404"/>
  <c r="BQ440"/>
  <c r="BQ476"/>
  <c r="BQ512"/>
  <c r="BQ49"/>
  <c r="BQ85"/>
  <c r="BQ121"/>
  <c r="BQ157"/>
  <c r="BQ193"/>
  <c r="BQ229"/>
  <c r="BQ265"/>
  <c r="BQ301"/>
  <c r="BQ337"/>
  <c r="BQ373"/>
  <c r="BQ409"/>
  <c r="BQ445"/>
  <c r="BQ481"/>
  <c r="BQ54"/>
  <c r="BQ90"/>
  <c r="BQ126"/>
  <c r="BQ162"/>
  <c r="BQ198"/>
  <c r="BQ234"/>
  <c r="BQ270"/>
  <c r="BQ306"/>
  <c r="BQ342"/>
  <c r="BQ378"/>
  <c r="BQ414"/>
  <c r="BQ450"/>
  <c r="BQ486"/>
  <c r="BQ53"/>
  <c r="BQ89"/>
  <c r="BQ125"/>
  <c r="BQ161"/>
  <c r="BQ197"/>
  <c r="BQ269"/>
  <c r="BQ305"/>
  <c r="BQ341"/>
  <c r="BQ377"/>
  <c r="BQ413"/>
  <c r="BQ449"/>
  <c r="BQ485"/>
  <c r="BQ58"/>
  <c r="BQ94"/>
  <c r="BQ130"/>
  <c r="BQ166"/>
  <c r="BQ202"/>
  <c r="BQ238"/>
  <c r="BQ274"/>
  <c r="BQ310"/>
  <c r="BQ346"/>
  <c r="BQ418"/>
  <c r="BQ454"/>
  <c r="BQ490"/>
  <c r="BQ69"/>
  <c r="BQ141"/>
  <c r="BQ285"/>
  <c r="BQ357"/>
  <c r="BQ429"/>
  <c r="BQ501"/>
  <c r="BQ74"/>
  <c r="BQ218"/>
  <c r="BQ290"/>
  <c r="BQ362"/>
  <c r="BQ434"/>
  <c r="BQ506"/>
  <c r="BQ79"/>
  <c r="BQ151"/>
  <c r="BQ223"/>
  <c r="BQ295"/>
  <c r="BQ367"/>
  <c r="BQ439"/>
  <c r="BQ84"/>
  <c r="BQ156"/>
  <c r="BQ228"/>
  <c r="BQ300"/>
  <c r="BQ372"/>
  <c r="BQ444"/>
  <c r="BQ516"/>
  <c r="BQ83"/>
  <c r="BQ155"/>
  <c r="BQ227"/>
  <c r="BQ371"/>
  <c r="BQ443"/>
  <c r="BQ515"/>
  <c r="BQ88"/>
  <c r="BQ160"/>
  <c r="BQ232"/>
  <c r="BQ376"/>
  <c r="BQ448"/>
  <c r="BQ63"/>
  <c r="BQ135"/>
  <c r="BQ207"/>
  <c r="BQ351"/>
  <c r="BQ423"/>
  <c r="BQ495"/>
  <c r="BQ68"/>
  <c r="BQ140"/>
  <c r="BQ212"/>
  <c r="BQ284"/>
  <c r="BQ356"/>
  <c r="BQ428"/>
  <c r="BQ500"/>
  <c r="BQ73"/>
  <c r="BQ217"/>
  <c r="BQ289"/>
  <c r="BQ361"/>
  <c r="BQ433"/>
  <c r="BQ505"/>
  <c r="BQ78"/>
  <c r="BQ150"/>
  <c r="BQ222"/>
  <c r="BQ294"/>
  <c r="BQ366"/>
  <c r="BQ438"/>
  <c r="BQ510"/>
  <c r="BQ77"/>
  <c r="BQ149"/>
  <c r="BQ221"/>
  <c r="BQ293"/>
  <c r="BQ365"/>
  <c r="BQ509"/>
  <c r="BQ82"/>
  <c r="BQ154"/>
  <c r="BQ226"/>
  <c r="BQ298"/>
  <c r="BQ442"/>
  <c r="BQ514"/>
  <c r="BQ57"/>
  <c r="BQ129"/>
  <c r="BQ201"/>
  <c r="BQ273"/>
  <c r="BQ345"/>
  <c r="BQ417"/>
  <c r="BQ489"/>
  <c r="BQ62"/>
  <c r="BQ134"/>
  <c r="BQ206"/>
  <c r="BQ278"/>
  <c r="BQ350"/>
  <c r="BQ422"/>
  <c r="BQ494"/>
  <c r="BQ67"/>
  <c r="BQ211"/>
  <c r="BQ283"/>
  <c r="BQ355"/>
  <c r="BQ427"/>
  <c r="BQ499"/>
  <c r="BQ72"/>
  <c r="BQ144"/>
  <c r="BQ216"/>
  <c r="BQ288"/>
  <c r="BQ360"/>
  <c r="BQ432"/>
  <c r="BQ504"/>
  <c r="BQ71"/>
  <c r="BQ143"/>
  <c r="BQ215"/>
  <c r="BQ287"/>
  <c r="BQ359"/>
  <c r="BQ503"/>
  <c r="BQ76"/>
  <c r="BQ148"/>
  <c r="BQ220"/>
  <c r="BQ292"/>
  <c r="BQ364"/>
  <c r="BQ436"/>
  <c r="BQ508"/>
  <c r="BQ33"/>
  <c r="BQ105"/>
  <c r="BQ177"/>
  <c r="BQ249"/>
  <c r="BQ321"/>
  <c r="BQ393"/>
  <c r="BQ465"/>
  <c r="BQ38"/>
  <c r="BQ110"/>
  <c r="BQ182"/>
  <c r="BQ254"/>
  <c r="BQ326"/>
  <c r="BQ398"/>
  <c r="BQ470"/>
  <c r="BQ43"/>
  <c r="BQ115"/>
  <c r="BQ187"/>
  <c r="BQ259"/>
  <c r="BQ331"/>
  <c r="BQ403"/>
  <c r="BQ475"/>
  <c r="BQ120"/>
  <c r="BQ192"/>
  <c r="BQ264"/>
  <c r="BQ336"/>
  <c r="BQ408"/>
  <c r="BQ480"/>
  <c r="BQ47"/>
  <c r="BQ119"/>
  <c r="BQ191"/>
  <c r="BQ263"/>
  <c r="BQ335"/>
  <c r="BQ407"/>
  <c r="BQ479"/>
  <c r="BQ52"/>
  <c r="BQ124"/>
  <c r="BQ196"/>
  <c r="BQ268"/>
  <c r="BQ340"/>
  <c r="BQ412"/>
  <c r="BQ484"/>
  <c r="BQ99"/>
  <c r="BQ171"/>
  <c r="BQ243"/>
  <c r="BQ315"/>
  <c r="BQ387"/>
  <c r="BQ459"/>
  <c r="BQ32"/>
  <c r="BQ104"/>
  <c r="BQ176"/>
  <c r="BQ248"/>
  <c r="BQ320"/>
  <c r="BQ392"/>
  <c r="BQ464"/>
  <c r="BQ37"/>
  <c r="BQ109"/>
  <c r="BQ181"/>
  <c r="BQ253"/>
  <c r="BQ325"/>
  <c r="BQ397"/>
  <c r="BQ469"/>
  <c r="BQ114"/>
  <c r="BQ186"/>
  <c r="BQ258"/>
  <c r="BQ330"/>
  <c r="BQ402"/>
  <c r="BQ474"/>
  <c r="BQ41"/>
  <c r="BQ113"/>
  <c r="BQ185"/>
  <c r="BQ257"/>
  <c r="BQ329"/>
  <c r="BQ401"/>
  <c r="BQ473"/>
  <c r="BQ46"/>
  <c r="BQ118"/>
  <c r="BQ190"/>
  <c r="BQ262"/>
  <c r="BQ334"/>
  <c r="BQ406"/>
  <c r="BQ478"/>
  <c r="BQ93"/>
  <c r="BQ165"/>
  <c r="BQ237"/>
  <c r="BQ309"/>
  <c r="BQ381"/>
  <c r="BQ453"/>
  <c r="BQ26"/>
  <c r="BQ98"/>
  <c r="BQ170"/>
  <c r="BQ242"/>
  <c r="BQ314"/>
  <c r="BQ386"/>
  <c r="BQ458"/>
  <c r="BQ31"/>
  <c r="BQ175"/>
  <c r="BQ247"/>
  <c r="BQ319"/>
  <c r="BQ391"/>
  <c r="BQ463"/>
  <c r="BQ36"/>
  <c r="BQ108"/>
  <c r="BQ180"/>
  <c r="BQ252"/>
  <c r="BQ324"/>
  <c r="BQ396"/>
  <c r="BQ468"/>
  <c r="BQ35"/>
  <c r="BQ107"/>
  <c r="BQ179"/>
  <c r="BQ251"/>
  <c r="BQ323"/>
  <c r="BQ467"/>
  <c r="BQ40"/>
  <c r="BQ112"/>
  <c r="BQ184"/>
  <c r="BQ256"/>
  <c r="BQ328"/>
  <c r="BQ400"/>
  <c r="BQ472"/>
  <c r="BD363"/>
  <c r="BD399"/>
  <c r="BE435"/>
  <c r="BE471"/>
  <c r="BE507"/>
  <c r="BD355"/>
  <c r="BD433"/>
  <c r="BD366"/>
  <c r="BD432"/>
  <c r="BD368"/>
  <c r="BD404"/>
  <c r="BD476"/>
  <c r="BD512"/>
  <c r="BD373"/>
  <c r="BD439"/>
  <c r="BD511"/>
  <c r="BD372"/>
  <c r="BD450"/>
  <c r="BD377"/>
  <c r="BD413"/>
  <c r="BD449"/>
  <c r="BD370"/>
  <c r="BD490"/>
  <c r="BE357"/>
  <c r="BD465"/>
  <c r="BD501"/>
  <c r="BD493"/>
  <c r="BD411"/>
  <c r="BD459"/>
  <c r="BD445"/>
  <c r="BD420"/>
  <c r="BD356"/>
  <c r="BE398"/>
  <c r="BD488"/>
  <c r="BD475"/>
  <c r="BD492"/>
  <c r="BE395"/>
  <c r="BD437"/>
  <c r="BD442"/>
  <c r="BD430"/>
  <c r="BD472"/>
  <c r="BD496"/>
  <c r="BD405"/>
  <c r="BD453"/>
  <c r="BD513"/>
  <c r="BD409"/>
  <c r="BD408"/>
  <c r="BD392"/>
  <c r="BD434"/>
  <c r="BD482"/>
  <c r="BD385"/>
  <c r="BD463"/>
  <c r="BD402"/>
  <c r="BD480"/>
  <c r="BD389"/>
  <c r="BD431"/>
  <c r="BD473"/>
  <c r="BD515"/>
  <c r="BD371"/>
  <c r="BD388"/>
  <c r="BD364"/>
  <c r="BD460"/>
  <c r="BD387"/>
  <c r="BD447"/>
  <c r="BD495"/>
  <c r="BD397"/>
  <c r="BD396"/>
  <c r="BD486"/>
  <c r="BD386"/>
  <c r="BD428"/>
  <c r="BD470"/>
  <c r="BD361"/>
  <c r="BD451"/>
  <c r="BD390"/>
  <c r="BD468"/>
  <c r="BD383"/>
  <c r="BD425"/>
  <c r="BD467"/>
  <c r="BD509"/>
  <c r="BD394"/>
  <c r="BD400"/>
  <c r="BD508"/>
  <c r="BD418"/>
  <c r="BD462"/>
  <c r="BE419"/>
  <c r="BD503"/>
  <c r="BE382"/>
  <c r="BD455"/>
  <c r="BE436"/>
  <c r="BD381"/>
  <c r="BD441"/>
  <c r="BD489"/>
  <c r="BE384"/>
  <c r="BD474"/>
  <c r="BD380"/>
  <c r="BD422"/>
  <c r="BD464"/>
  <c r="BD506"/>
  <c r="BE427"/>
  <c r="BD360"/>
  <c r="BD375"/>
  <c r="BD423"/>
  <c r="BD483"/>
  <c r="BD367"/>
  <c r="BD469"/>
  <c r="BD378"/>
  <c r="BD456"/>
  <c r="BD374"/>
  <c r="BD416"/>
  <c r="BD458"/>
  <c r="BD500"/>
  <c r="BD415"/>
  <c r="BD499"/>
  <c r="BD438"/>
  <c r="BD365"/>
  <c r="BD497"/>
  <c r="BD369"/>
  <c r="BD417"/>
  <c r="BD477"/>
  <c r="BD457"/>
  <c r="BD354"/>
  <c r="BD444"/>
  <c r="BE362"/>
  <c r="BD410"/>
  <c r="BD494"/>
  <c r="BD403"/>
  <c r="BD487"/>
  <c r="BE426"/>
  <c r="BD504"/>
  <c r="BD359"/>
  <c r="BD401"/>
  <c r="BD491"/>
  <c r="BD358"/>
  <c r="BD514"/>
  <c r="BD424"/>
  <c r="BD454"/>
  <c r="BD502"/>
  <c r="BD484"/>
  <c r="BD412"/>
  <c r="BD406"/>
  <c r="BD407"/>
  <c r="BD376"/>
  <c r="BD448"/>
  <c r="EW23" i="1"/>
  <c r="EW22" s="1"/>
  <c r="EW21" s="1"/>
  <c r="EW20" s="1"/>
  <c r="EW19" s="1"/>
  <c r="EW18" s="1"/>
  <c r="EW17" s="1"/>
  <c r="EW16" s="1"/>
  <c r="EW15" s="1"/>
  <c r="EW14" s="1"/>
  <c r="EW13" s="1"/>
  <c r="EW12" s="1"/>
  <c r="EW11" s="1"/>
  <c r="EW10" s="1"/>
  <c r="EW9" s="1"/>
  <c r="EW8" s="1"/>
  <c r="EW7" s="1"/>
  <c r="EW6" s="1"/>
  <c r="EW5" s="1"/>
  <c r="DC164" i="10"/>
  <c r="DC380"/>
  <c r="DC239"/>
  <c r="DC504"/>
  <c r="BE440"/>
  <c r="BD485"/>
  <c r="BE466"/>
  <c r="BE409"/>
  <c r="BD429"/>
  <c r="DC244"/>
  <c r="DC322"/>
  <c r="DC306"/>
  <c r="DC374"/>
  <c r="BD393"/>
  <c r="BD446"/>
  <c r="BD421"/>
  <c r="BD516"/>
  <c r="BD478"/>
  <c r="BD505"/>
  <c r="DC225"/>
  <c r="DC291"/>
  <c r="DC127"/>
  <c r="DC372"/>
  <c r="BD440"/>
  <c r="BD479"/>
  <c r="BD443"/>
  <c r="BD391"/>
  <c r="BD379"/>
  <c r="DC313"/>
  <c r="DC312"/>
  <c r="DC343"/>
  <c r="DC158"/>
  <c r="BD481"/>
  <c r="BD510"/>
  <c r="BD461"/>
  <c r="BD452"/>
  <c r="BD414"/>
  <c r="BD498"/>
  <c r="DC173"/>
  <c r="DC389"/>
  <c r="DC373"/>
  <c r="DC506"/>
  <c r="DC231"/>
  <c r="DC447"/>
  <c r="DC460"/>
  <c r="DC122"/>
  <c r="DC224"/>
  <c r="BD436"/>
  <c r="DC45"/>
  <c r="DC96"/>
  <c r="DC97"/>
  <c r="DC106"/>
  <c r="DC90"/>
  <c r="DC59"/>
  <c r="DC75"/>
  <c r="BD291"/>
  <c r="BD217"/>
  <c r="BD125"/>
  <c r="BD280"/>
  <c r="BE285"/>
  <c r="BE207"/>
  <c r="BE342"/>
  <c r="BD144"/>
  <c r="BD263"/>
  <c r="BD304"/>
  <c r="BD328"/>
  <c r="BD345"/>
  <c r="BD126"/>
  <c r="BD308"/>
  <c r="BD225"/>
  <c r="BE193"/>
  <c r="BD170"/>
  <c r="BD204"/>
  <c r="BD251"/>
  <c r="BD155"/>
  <c r="BD274"/>
  <c r="BD273"/>
  <c r="BD265"/>
  <c r="BD164"/>
  <c r="BD192"/>
  <c r="BD186"/>
  <c r="BD242"/>
  <c r="BD180"/>
  <c r="BD239"/>
  <c r="BD189"/>
  <c r="BE157"/>
  <c r="BD214"/>
  <c r="BD154"/>
  <c r="BD327"/>
  <c r="BD271"/>
  <c r="BD342"/>
  <c r="BD128"/>
  <c r="BD148"/>
  <c r="BD110"/>
  <c r="BD84"/>
  <c r="BD102"/>
  <c r="BE75"/>
  <c r="BD83"/>
  <c r="BD89"/>
  <c r="BD55"/>
  <c r="BD114"/>
  <c r="BD94"/>
  <c r="BD91"/>
  <c r="BE76"/>
  <c r="BD117"/>
  <c r="BD255"/>
  <c r="BE222"/>
  <c r="BD301"/>
  <c r="BD238"/>
  <c r="BD249"/>
  <c r="BD133"/>
  <c r="BD171"/>
  <c r="BD162"/>
  <c r="BD314"/>
  <c r="BD221"/>
  <c r="BE160"/>
  <c r="BD226"/>
  <c r="BD297"/>
  <c r="BD176"/>
  <c r="BD289"/>
  <c r="BD347"/>
  <c r="BD346"/>
  <c r="BE120"/>
  <c r="BD209"/>
  <c r="BD334"/>
  <c r="BD201"/>
  <c r="BD181"/>
  <c r="BD122"/>
  <c r="BD200"/>
  <c r="BD191"/>
  <c r="BD178"/>
  <c r="BD320"/>
  <c r="BD325"/>
  <c r="BE317"/>
  <c r="BE172"/>
  <c r="BD136"/>
  <c r="BD182"/>
  <c r="BE177"/>
  <c r="BD141"/>
  <c r="BD266"/>
  <c r="BD184"/>
  <c r="BD303"/>
  <c r="BD313"/>
  <c r="BD199"/>
  <c r="BD42"/>
  <c r="BD100"/>
  <c r="BD111"/>
  <c r="BD46"/>
  <c r="BD50"/>
  <c r="BD101"/>
  <c r="BD65"/>
  <c r="BD116"/>
  <c r="BD106"/>
  <c r="BD78"/>
  <c r="BD43"/>
  <c r="BD90"/>
  <c r="BD219"/>
  <c r="BD150"/>
  <c r="BD332"/>
  <c r="BD223"/>
  <c r="BD341"/>
  <c r="BD166"/>
  <c r="BE141"/>
  <c r="BD135"/>
  <c r="BD351"/>
  <c r="BD272"/>
  <c r="BD211"/>
  <c r="BD179"/>
  <c r="BD298"/>
  <c r="BD203"/>
  <c r="BD231"/>
  <c r="BD307"/>
  <c r="BD134"/>
  <c r="BD312"/>
  <c r="BD257"/>
  <c r="BD196"/>
  <c r="BD268"/>
  <c r="BD344"/>
  <c r="BD167"/>
  <c r="BD286"/>
  <c r="BD276"/>
  <c r="BD129"/>
  <c r="BD338"/>
  <c r="BD259"/>
  <c r="BD315"/>
  <c r="BD158"/>
  <c r="BD149"/>
  <c r="BD174"/>
  <c r="BD278"/>
  <c r="BD235"/>
  <c r="BD336"/>
  <c r="BD275"/>
  <c r="BD124"/>
  <c r="BD213"/>
  <c r="BD299"/>
  <c r="BD157"/>
  <c r="BD258"/>
  <c r="BD222"/>
  <c r="BD311"/>
  <c r="BD153"/>
  <c r="BD270"/>
  <c r="BD105"/>
  <c r="BD57"/>
  <c r="BD107"/>
  <c r="BD92"/>
  <c r="BD113"/>
  <c r="BD52"/>
  <c r="BD56"/>
  <c r="BD96"/>
  <c r="BD51"/>
  <c r="BD88"/>
  <c r="BE79"/>
  <c r="BD112"/>
  <c r="BD58"/>
  <c r="BD64"/>
  <c r="BD47"/>
  <c r="BD183"/>
  <c r="BD260"/>
  <c r="BD151"/>
  <c r="BD300"/>
  <c r="BD305"/>
  <c r="BD130"/>
  <c r="BD177"/>
  <c r="BD237"/>
  <c r="BD319"/>
  <c r="BD230"/>
  <c r="BD127"/>
  <c r="BD137"/>
  <c r="BD159"/>
  <c r="BD216"/>
  <c r="BD215"/>
  <c r="BD318"/>
  <c r="BD302"/>
  <c r="BD119"/>
  <c r="BD232"/>
  <c r="BD349"/>
  <c r="BD290"/>
  <c r="BD175"/>
  <c r="BD267"/>
  <c r="BD253"/>
  <c r="BD337"/>
  <c r="BD236"/>
  <c r="BD139"/>
  <c r="BD252"/>
  <c r="BD227"/>
  <c r="BD340"/>
  <c r="BE352"/>
  <c r="BD224"/>
  <c r="BD208"/>
  <c r="BD121"/>
  <c r="BD288"/>
  <c r="BD234"/>
  <c r="BD218"/>
  <c r="BE44"/>
  <c r="BD70"/>
  <c r="BD60"/>
  <c r="BD62"/>
  <c r="BD53"/>
  <c r="BD66"/>
  <c r="BD61"/>
  <c r="BD97"/>
  <c r="BD82"/>
  <c r="BE109"/>
  <c r="BD80"/>
  <c r="BD77"/>
  <c r="BE111"/>
  <c r="BD48"/>
  <c r="BD152"/>
  <c r="BD233"/>
  <c r="BD250"/>
  <c r="BD210"/>
  <c r="BD165"/>
  <c r="BD229"/>
  <c r="BD140"/>
  <c r="BE244"/>
  <c r="BD330"/>
  <c r="BD132"/>
  <c r="BE173"/>
  <c r="BD339"/>
  <c r="BD254"/>
  <c r="BD187"/>
  <c r="BD335"/>
  <c r="BD190"/>
  <c r="BD329"/>
  <c r="BD220"/>
  <c r="BD306"/>
  <c r="BD248"/>
  <c r="BD123"/>
  <c r="BE169"/>
  <c r="BD326"/>
  <c r="BD247"/>
  <c r="BD348"/>
  <c r="BD323"/>
  <c r="BD309"/>
  <c r="BD331"/>
  <c r="BD194"/>
  <c r="BD168"/>
  <c r="BD185"/>
  <c r="BD310"/>
  <c r="BD256"/>
  <c r="BD147"/>
  <c r="BE237"/>
  <c r="BD269"/>
  <c r="BD202"/>
  <c r="BD142"/>
  <c r="BD277"/>
  <c r="BD228"/>
  <c r="BD296"/>
  <c r="BD86"/>
  <c r="BD104"/>
  <c r="BD98"/>
  <c r="BD71"/>
  <c r="BD67"/>
  <c r="BE85"/>
  <c r="BD95"/>
  <c r="BE59"/>
  <c r="BD93"/>
  <c r="BD49"/>
  <c r="BD68"/>
  <c r="BD283"/>
  <c r="BD197"/>
  <c r="BD322"/>
  <c r="BD321"/>
  <c r="BD138"/>
  <c r="BD243"/>
  <c r="BE121"/>
  <c r="BD240"/>
  <c r="BD353"/>
  <c r="BD246"/>
  <c r="BD350"/>
  <c r="BD131"/>
  <c r="BE184"/>
  <c r="BD279"/>
  <c r="BD295"/>
  <c r="BD212"/>
  <c r="BD293"/>
  <c r="BD245"/>
  <c r="BE333"/>
  <c r="BD198"/>
  <c r="BD206"/>
  <c r="BD282"/>
  <c r="BD284"/>
  <c r="BD163"/>
  <c r="BD264"/>
  <c r="BD281"/>
  <c r="BD261"/>
  <c r="BD241"/>
  <c r="BD146"/>
  <c r="BD143"/>
  <c r="BD262"/>
  <c r="BD118"/>
  <c r="BD292"/>
  <c r="BD343"/>
  <c r="BD145"/>
  <c r="BD324"/>
  <c r="BD188"/>
  <c r="BD156"/>
  <c r="BD316"/>
  <c r="BD287"/>
  <c r="BD161"/>
  <c r="BD87"/>
  <c r="BD45"/>
  <c r="BE69"/>
  <c r="BD74"/>
  <c r="BD103"/>
  <c r="BD73"/>
  <c r="BD81"/>
  <c r="BD99"/>
  <c r="BD72"/>
  <c r="BD63"/>
  <c r="BD108"/>
  <c r="BD115"/>
  <c r="BE54"/>
  <c r="BD33"/>
  <c r="BD32"/>
  <c r="BD40"/>
  <c r="BD35"/>
  <c r="BD31"/>
  <c r="BD37"/>
  <c r="BD34"/>
  <c r="BD38"/>
  <c r="BD36"/>
  <c r="BD39"/>
  <c r="BD41"/>
  <c r="DC30"/>
  <c r="BD30"/>
  <c r="DC26"/>
  <c r="BD21"/>
  <c r="BD18"/>
  <c r="DC27"/>
  <c r="BD27"/>
  <c r="BD28"/>
  <c r="BD20"/>
  <c r="DC18"/>
  <c r="DC21"/>
  <c r="BD23"/>
  <c r="BD26"/>
  <c r="BD25"/>
  <c r="BD22"/>
  <c r="DC23"/>
  <c r="DC24"/>
  <c r="DC19"/>
  <c r="DC28"/>
  <c r="DC25"/>
  <c r="BD19"/>
  <c r="DC29"/>
  <c r="BD24"/>
  <c r="BD29"/>
  <c r="BE28"/>
  <c r="BQ30" l="1"/>
  <c r="BQ29"/>
  <c r="BQ18"/>
  <c r="BQ24"/>
  <c r="BQ22"/>
  <c r="BQ20"/>
  <c r="BQ28"/>
  <c r="DC100"/>
  <c r="BQ100"/>
  <c r="DC266"/>
  <c r="BQ266"/>
  <c r="DC497"/>
  <c r="BQ497"/>
  <c r="DC138"/>
  <c r="BQ138"/>
  <c r="BQ21"/>
  <c r="BQ27"/>
  <c r="BQ19"/>
  <c r="DC369"/>
  <c r="BQ369"/>
  <c r="BQ25"/>
  <c r="DC299"/>
  <c r="BQ299"/>
  <c r="DC61"/>
  <c r="BQ61"/>
  <c r="BQ23"/>
  <c r="DC395"/>
  <c r="BQ395"/>
  <c r="DC103"/>
  <c r="BQ103"/>
  <c r="DC42"/>
  <c r="BQ42"/>
  <c r="DC48"/>
  <c r="BQ48"/>
  <c r="DC431"/>
  <c r="BQ431"/>
  <c r="DC139"/>
  <c r="BQ139"/>
  <c r="DC370"/>
  <c r="BQ370"/>
  <c r="DC437"/>
  <c r="BQ437"/>
  <c r="DC145"/>
  <c r="BQ145"/>
  <c r="DC279"/>
  <c r="BQ279"/>
  <c r="DC304"/>
  <c r="BQ304"/>
  <c r="DC511"/>
  <c r="BQ511"/>
  <c r="DC146"/>
  <c r="BQ146"/>
  <c r="DC213"/>
  <c r="BQ213"/>
  <c r="DC382"/>
  <c r="BQ382"/>
  <c r="DC233"/>
  <c r="BQ233"/>
  <c r="DC275"/>
  <c r="BQ275"/>
  <c r="DC411"/>
  <c r="F43"/>
  <c r="BA5" s="1" a="1"/>
  <c r="DC79"/>
  <c r="DC206"/>
  <c r="DC78"/>
  <c r="DC407"/>
  <c r="DC249"/>
  <c r="DC243"/>
  <c r="DC166"/>
  <c r="DC401"/>
  <c r="DC364"/>
  <c r="DC72"/>
  <c r="DC449"/>
  <c r="DC371"/>
  <c r="DC115"/>
  <c r="DC176"/>
  <c r="CZ400"/>
  <c r="CT401"/>
  <c r="CR401"/>
  <c r="CQ401"/>
  <c r="CP401"/>
  <c r="CW401"/>
  <c r="CV401"/>
  <c r="CU401"/>
  <c r="CS401"/>
  <c r="CZ467"/>
  <c r="CR468"/>
  <c r="CS468"/>
  <c r="CQ468"/>
  <c r="CP468"/>
  <c r="CW468"/>
  <c r="CV468"/>
  <c r="CU468"/>
  <c r="CT468"/>
  <c r="CT109"/>
  <c r="CZ108"/>
  <c r="CQ109"/>
  <c r="CP109"/>
  <c r="CW109"/>
  <c r="CV109"/>
  <c r="CU109"/>
  <c r="CR109"/>
  <c r="CS109"/>
  <c r="CT176"/>
  <c r="CS176"/>
  <c r="CR176"/>
  <c r="CZ175"/>
  <c r="CQ176"/>
  <c r="CW176"/>
  <c r="CU176"/>
  <c r="CV176"/>
  <c r="CP176"/>
  <c r="CZ242"/>
  <c r="CR243"/>
  <c r="CQ243"/>
  <c r="CW243"/>
  <c r="CU243"/>
  <c r="CT243"/>
  <c r="CS243"/>
  <c r="CP243"/>
  <c r="CV243"/>
  <c r="CZ309"/>
  <c r="CP310"/>
  <c r="CV310"/>
  <c r="CU310"/>
  <c r="CQ310"/>
  <c r="CW310"/>
  <c r="CT310"/>
  <c r="CS310"/>
  <c r="CR310"/>
  <c r="CZ406"/>
  <c r="CT407"/>
  <c r="CU407"/>
  <c r="CS407"/>
  <c r="CR407"/>
  <c r="CQ407"/>
  <c r="CP407"/>
  <c r="CW407"/>
  <c r="CV407"/>
  <c r="CZ473"/>
  <c r="CR474"/>
  <c r="CU474"/>
  <c r="CT474"/>
  <c r="CS474"/>
  <c r="CQ474"/>
  <c r="CP474"/>
  <c r="CW474"/>
  <c r="CV474"/>
  <c r="CT115"/>
  <c r="CS115"/>
  <c r="CR115"/>
  <c r="CZ114"/>
  <c r="CQ115"/>
  <c r="CP115"/>
  <c r="CW115"/>
  <c r="CU115"/>
  <c r="CV115"/>
  <c r="CT182"/>
  <c r="CS182"/>
  <c r="CQ182"/>
  <c r="CW182"/>
  <c r="CZ181"/>
  <c r="CU182"/>
  <c r="CV182"/>
  <c r="CR182"/>
  <c r="CP182"/>
  <c r="CZ248"/>
  <c r="CR249"/>
  <c r="CQ249"/>
  <c r="CW249"/>
  <c r="CS249"/>
  <c r="CP249"/>
  <c r="CV249"/>
  <c r="CU249"/>
  <c r="CT249"/>
  <c r="CZ315"/>
  <c r="CP316"/>
  <c r="CV316"/>
  <c r="CU316"/>
  <c r="CW316"/>
  <c r="CT316"/>
  <c r="CS316"/>
  <c r="CR316"/>
  <c r="CQ316"/>
  <c r="CZ412"/>
  <c r="CT413"/>
  <c r="CP413"/>
  <c r="CW413"/>
  <c r="CV413"/>
  <c r="CU413"/>
  <c r="CS413"/>
  <c r="CR413"/>
  <c r="CQ413"/>
  <c r="CZ479"/>
  <c r="CR480"/>
  <c r="CP480"/>
  <c r="CW480"/>
  <c r="CV480"/>
  <c r="CU480"/>
  <c r="CT480"/>
  <c r="CS480"/>
  <c r="CQ480"/>
  <c r="CZ47"/>
  <c r="CP48"/>
  <c r="CV48"/>
  <c r="CU48"/>
  <c r="CS48"/>
  <c r="CR48"/>
  <c r="CQ48"/>
  <c r="CT48"/>
  <c r="CW48"/>
  <c r="CT121"/>
  <c r="CV121"/>
  <c r="CU121"/>
  <c r="CS121"/>
  <c r="CR121"/>
  <c r="CP121"/>
  <c r="CW121"/>
  <c r="CQ121"/>
  <c r="CZ120"/>
  <c r="CT188"/>
  <c r="CZ187"/>
  <c r="CS188"/>
  <c r="CQ188"/>
  <c r="CW188"/>
  <c r="CU188"/>
  <c r="CV188"/>
  <c r="CR188"/>
  <c r="CP188"/>
  <c r="CR255"/>
  <c r="CQ255"/>
  <c r="CW255"/>
  <c r="CZ254"/>
  <c r="CV255"/>
  <c r="CU255"/>
  <c r="CT255"/>
  <c r="CS255"/>
  <c r="CP255"/>
  <c r="CZ321"/>
  <c r="CP322"/>
  <c r="CV322"/>
  <c r="CU322"/>
  <c r="CS322"/>
  <c r="CR322"/>
  <c r="CQ322"/>
  <c r="CW322"/>
  <c r="CT322"/>
  <c r="CZ436"/>
  <c r="CT437"/>
  <c r="CR437"/>
  <c r="CU437"/>
  <c r="CQ437"/>
  <c r="CP437"/>
  <c r="CW437"/>
  <c r="CV437"/>
  <c r="CS437"/>
  <c r="CZ503"/>
  <c r="CR504"/>
  <c r="CQ504"/>
  <c r="CU504"/>
  <c r="CW504"/>
  <c r="CV504"/>
  <c r="CP504"/>
  <c r="CT504"/>
  <c r="CS504"/>
  <c r="CZ71"/>
  <c r="CP72"/>
  <c r="CV72"/>
  <c r="CU72"/>
  <c r="CQ72"/>
  <c r="CW72"/>
  <c r="CT72"/>
  <c r="CR72"/>
  <c r="CS72"/>
  <c r="CT145"/>
  <c r="CZ144"/>
  <c r="CQ145"/>
  <c r="CP145"/>
  <c r="CW145"/>
  <c r="CV145"/>
  <c r="CU145"/>
  <c r="CR145"/>
  <c r="CS145"/>
  <c r="CZ211"/>
  <c r="CU212"/>
  <c r="CQ212"/>
  <c r="CP212"/>
  <c r="CW212"/>
  <c r="CV212"/>
  <c r="CS212"/>
  <c r="CR212"/>
  <c r="CT212"/>
  <c r="CZ278"/>
  <c r="CR279"/>
  <c r="CQ279"/>
  <c r="CW279"/>
  <c r="CU279"/>
  <c r="CT279"/>
  <c r="CS279"/>
  <c r="CP279"/>
  <c r="CV279"/>
  <c r="CZ345"/>
  <c r="CP346"/>
  <c r="CV346"/>
  <c r="CU346"/>
  <c r="CQ346"/>
  <c r="CW346"/>
  <c r="CT346"/>
  <c r="CS346"/>
  <c r="CR346"/>
  <c r="CZ442"/>
  <c r="CT443"/>
  <c r="CP443"/>
  <c r="CW443"/>
  <c r="CU443"/>
  <c r="CS443"/>
  <c r="CQ443"/>
  <c r="CR443"/>
  <c r="CV443"/>
  <c r="CZ509"/>
  <c r="CR510"/>
  <c r="CW510"/>
  <c r="CV510"/>
  <c r="CQ510"/>
  <c r="CP510"/>
  <c r="CU510"/>
  <c r="CT510"/>
  <c r="CS510"/>
  <c r="CZ77"/>
  <c r="CP78"/>
  <c r="CV78"/>
  <c r="CT78"/>
  <c r="CS78"/>
  <c r="CR78"/>
  <c r="CQ78"/>
  <c r="CU78"/>
  <c r="CW78"/>
  <c r="CT151"/>
  <c r="CS151"/>
  <c r="CR151"/>
  <c r="CZ150"/>
  <c r="CQ151"/>
  <c r="CP151"/>
  <c r="CW151"/>
  <c r="CU151"/>
  <c r="CV151"/>
  <c r="CZ217"/>
  <c r="CT218"/>
  <c r="CS218"/>
  <c r="CR218"/>
  <c r="CP218"/>
  <c r="CV218"/>
  <c r="CW218"/>
  <c r="CU218"/>
  <c r="CQ218"/>
  <c r="CZ284"/>
  <c r="CR285"/>
  <c r="CQ285"/>
  <c r="CW285"/>
  <c r="CS285"/>
  <c r="CP285"/>
  <c r="CV285"/>
  <c r="CU285"/>
  <c r="CT285"/>
  <c r="CZ351"/>
  <c r="CP352"/>
  <c r="CV352"/>
  <c r="CU352"/>
  <c r="CW352"/>
  <c r="CT352"/>
  <c r="CS352"/>
  <c r="CR352"/>
  <c r="CQ352"/>
  <c r="CZ376"/>
  <c r="CT377"/>
  <c r="CP377"/>
  <c r="CW377"/>
  <c r="CV377"/>
  <c r="CU377"/>
  <c r="CS377"/>
  <c r="CR377"/>
  <c r="CQ377"/>
  <c r="CZ443"/>
  <c r="CR444"/>
  <c r="CV444"/>
  <c r="CU444"/>
  <c r="CT444"/>
  <c r="CS444"/>
  <c r="CQ444"/>
  <c r="CP444"/>
  <c r="CW444"/>
  <c r="DA516"/>
  <c r="CZ516"/>
  <c r="CT85"/>
  <c r="CV85"/>
  <c r="CU85"/>
  <c r="CS85"/>
  <c r="CZ84"/>
  <c r="CR85"/>
  <c r="CP85"/>
  <c r="CW85"/>
  <c r="CQ85"/>
  <c r="CR152"/>
  <c r="CS152"/>
  <c r="CZ151"/>
  <c r="CQ152"/>
  <c r="CP152"/>
  <c r="CW152"/>
  <c r="CV152"/>
  <c r="CT152"/>
  <c r="CU152"/>
  <c r="CZ218"/>
  <c r="CR219"/>
  <c r="CQ219"/>
  <c r="CW219"/>
  <c r="CP219"/>
  <c r="CV219"/>
  <c r="CT219"/>
  <c r="CS219"/>
  <c r="CU219"/>
  <c r="CZ285"/>
  <c r="CP286"/>
  <c r="CV286"/>
  <c r="CU286"/>
  <c r="CS286"/>
  <c r="CR286"/>
  <c r="CQ286"/>
  <c r="CW286"/>
  <c r="CT286"/>
  <c r="CZ418"/>
  <c r="CT419"/>
  <c r="CR419"/>
  <c r="CQ419"/>
  <c r="CP419"/>
  <c r="CW419"/>
  <c r="CV419"/>
  <c r="CU419"/>
  <c r="CS419"/>
  <c r="CZ202"/>
  <c r="CU203"/>
  <c r="CQ203"/>
  <c r="CP203"/>
  <c r="CW203"/>
  <c r="CV203"/>
  <c r="CS203"/>
  <c r="CT203"/>
  <c r="CR203"/>
  <c r="CZ485"/>
  <c r="CR486"/>
  <c r="CS486"/>
  <c r="CQ486"/>
  <c r="CP486"/>
  <c r="CU486"/>
  <c r="CW486"/>
  <c r="CV486"/>
  <c r="CT486"/>
  <c r="CZ269"/>
  <c r="CR270"/>
  <c r="CQ270"/>
  <c r="CW270"/>
  <c r="CU270"/>
  <c r="CT270"/>
  <c r="CS270"/>
  <c r="CP270"/>
  <c r="CV270"/>
  <c r="CZ53"/>
  <c r="CP54"/>
  <c r="CV54"/>
  <c r="CU54"/>
  <c r="CQ54"/>
  <c r="CW54"/>
  <c r="CT54"/>
  <c r="CR54"/>
  <c r="CS54"/>
  <c r="CZ342"/>
  <c r="CP343"/>
  <c r="CV343"/>
  <c r="CU343"/>
  <c r="CW343"/>
  <c r="CT343"/>
  <c r="CS343"/>
  <c r="CR343"/>
  <c r="CQ343"/>
  <c r="CT127"/>
  <c r="CZ126"/>
  <c r="CQ127"/>
  <c r="CP127"/>
  <c r="CW127"/>
  <c r="CV127"/>
  <c r="CU127"/>
  <c r="CR127"/>
  <c r="CS127"/>
  <c r="CZ409"/>
  <c r="CT410"/>
  <c r="CR410"/>
  <c r="CQ410"/>
  <c r="CP410"/>
  <c r="CW410"/>
  <c r="CV410"/>
  <c r="CU410"/>
  <c r="CS410"/>
  <c r="CZ193"/>
  <c r="CU194"/>
  <c r="CQ194"/>
  <c r="CP194"/>
  <c r="CW194"/>
  <c r="CV194"/>
  <c r="CT194"/>
  <c r="CS194"/>
  <c r="CR194"/>
  <c r="CZ476"/>
  <c r="CR477"/>
  <c r="CS477"/>
  <c r="CW477"/>
  <c r="CQ477"/>
  <c r="CP477"/>
  <c r="CV477"/>
  <c r="CU477"/>
  <c r="CT477"/>
  <c r="CZ260"/>
  <c r="CR261"/>
  <c r="CQ261"/>
  <c r="CW261"/>
  <c r="CU261"/>
  <c r="CT261"/>
  <c r="CS261"/>
  <c r="CP261"/>
  <c r="CV261"/>
  <c r="CP45"/>
  <c r="CV45"/>
  <c r="CU45"/>
  <c r="CQ45"/>
  <c r="CW45"/>
  <c r="CZ44"/>
  <c r="CT45"/>
  <c r="CR45"/>
  <c r="CS45"/>
  <c r="CZ327"/>
  <c r="CP328"/>
  <c r="CV328"/>
  <c r="CU328"/>
  <c r="CQ328"/>
  <c r="CW328"/>
  <c r="CT328"/>
  <c r="CS328"/>
  <c r="CR328"/>
  <c r="CT112"/>
  <c r="CV112"/>
  <c r="CU112"/>
  <c r="CS112"/>
  <c r="CZ111"/>
  <c r="CR112"/>
  <c r="CP112"/>
  <c r="CW112"/>
  <c r="CQ112"/>
  <c r="CZ446"/>
  <c r="CR447"/>
  <c r="CT447"/>
  <c r="CW447"/>
  <c r="CV447"/>
  <c r="CU447"/>
  <c r="CS447"/>
  <c r="CQ447"/>
  <c r="CP447"/>
  <c r="CZ261"/>
  <c r="CP262"/>
  <c r="CV262"/>
  <c r="CU262"/>
  <c r="CW262"/>
  <c r="CT262"/>
  <c r="CS262"/>
  <c r="CR262"/>
  <c r="CQ262"/>
  <c r="CZ496"/>
  <c r="CT497"/>
  <c r="CQ497"/>
  <c r="CP497"/>
  <c r="CV497"/>
  <c r="CW497"/>
  <c r="CU497"/>
  <c r="CS497"/>
  <c r="CR497"/>
  <c r="CZ280"/>
  <c r="CT281"/>
  <c r="CS281"/>
  <c r="CW281"/>
  <c r="CV281"/>
  <c r="CU281"/>
  <c r="CR281"/>
  <c r="CQ281"/>
  <c r="CP281"/>
  <c r="CZ311"/>
  <c r="CR312"/>
  <c r="CQ312"/>
  <c r="CW312"/>
  <c r="CS312"/>
  <c r="CP312"/>
  <c r="CV312"/>
  <c r="CU312"/>
  <c r="CT312"/>
  <c r="CZ95"/>
  <c r="CP96"/>
  <c r="CV96"/>
  <c r="CT96"/>
  <c r="CS96"/>
  <c r="CR96"/>
  <c r="CQ96"/>
  <c r="CU96"/>
  <c r="CW96"/>
  <c r="CZ348"/>
  <c r="CP349"/>
  <c r="CV349"/>
  <c r="CU349"/>
  <c r="CS349"/>
  <c r="CR349"/>
  <c r="CQ349"/>
  <c r="CW349"/>
  <c r="CT349"/>
  <c r="CT133"/>
  <c r="CS133"/>
  <c r="CR133"/>
  <c r="CZ132"/>
  <c r="CQ133"/>
  <c r="CP133"/>
  <c r="CW133"/>
  <c r="CU133"/>
  <c r="CV133"/>
  <c r="CZ415"/>
  <c r="CT416"/>
  <c r="CU416"/>
  <c r="CS416"/>
  <c r="CR416"/>
  <c r="CQ416"/>
  <c r="CP416"/>
  <c r="CW416"/>
  <c r="CV416"/>
  <c r="CT164"/>
  <c r="CS164"/>
  <c r="CR164"/>
  <c r="CQ164"/>
  <c r="CW164"/>
  <c r="CZ163"/>
  <c r="CU164"/>
  <c r="CV164"/>
  <c r="CP164"/>
  <c r="CZ410"/>
  <c r="CR411"/>
  <c r="CQ411"/>
  <c r="CP411"/>
  <c r="CW411"/>
  <c r="CV411"/>
  <c r="CU411"/>
  <c r="CT411"/>
  <c r="CS411"/>
  <c r="CZ194"/>
  <c r="CS195"/>
  <c r="CP195"/>
  <c r="CW195"/>
  <c r="CV195"/>
  <c r="CU195"/>
  <c r="CT195"/>
  <c r="CR195"/>
  <c r="CQ195"/>
  <c r="CZ405"/>
  <c r="CP406"/>
  <c r="CV406"/>
  <c r="CU406"/>
  <c r="CT406"/>
  <c r="CS406"/>
  <c r="CR406"/>
  <c r="CQ406"/>
  <c r="CW406"/>
  <c r="CZ358"/>
  <c r="CT359"/>
  <c r="CP359"/>
  <c r="CW359"/>
  <c r="CV359"/>
  <c r="CU359"/>
  <c r="CS359"/>
  <c r="CR359"/>
  <c r="CQ359"/>
  <c r="CR143"/>
  <c r="CZ142"/>
  <c r="CS143"/>
  <c r="CQ143"/>
  <c r="CP143"/>
  <c r="CW143"/>
  <c r="CV143"/>
  <c r="CT143"/>
  <c r="CU143"/>
  <c r="CZ425"/>
  <c r="CR426"/>
  <c r="CT426"/>
  <c r="CS426"/>
  <c r="CQ426"/>
  <c r="CP426"/>
  <c r="CV426"/>
  <c r="CW426"/>
  <c r="CU426"/>
  <c r="CZ209"/>
  <c r="CS210"/>
  <c r="CR210"/>
  <c r="CQ210"/>
  <c r="CP210"/>
  <c r="CW210"/>
  <c r="CU210"/>
  <c r="CV210"/>
  <c r="CT210"/>
  <c r="CP499"/>
  <c r="CZ498"/>
  <c r="CV499"/>
  <c r="CU499"/>
  <c r="CT499"/>
  <c r="CS499"/>
  <c r="CR499"/>
  <c r="CQ499"/>
  <c r="CW499"/>
  <c r="CP283"/>
  <c r="CV283"/>
  <c r="CU283"/>
  <c r="CQ283"/>
  <c r="CZ282"/>
  <c r="CW283"/>
  <c r="CT283"/>
  <c r="CS283"/>
  <c r="CR283"/>
  <c r="CT67"/>
  <c r="CS67"/>
  <c r="CU67"/>
  <c r="CR67"/>
  <c r="CQ67"/>
  <c r="CZ66"/>
  <c r="CP67"/>
  <c r="CV67"/>
  <c r="CW67"/>
  <c r="CZ349"/>
  <c r="CT350"/>
  <c r="CS350"/>
  <c r="CU350"/>
  <c r="CR350"/>
  <c r="CQ350"/>
  <c r="CP350"/>
  <c r="CW350"/>
  <c r="CV350"/>
  <c r="CR134"/>
  <c r="CS134"/>
  <c r="CZ133"/>
  <c r="CQ134"/>
  <c r="CP134"/>
  <c r="CW134"/>
  <c r="CV134"/>
  <c r="CT134"/>
  <c r="CU134"/>
  <c r="CR417"/>
  <c r="CZ416"/>
  <c r="CT417"/>
  <c r="CS417"/>
  <c r="CQ417"/>
  <c r="CP417"/>
  <c r="CW417"/>
  <c r="CV417"/>
  <c r="CU417"/>
  <c r="CS201"/>
  <c r="CR201"/>
  <c r="CQ201"/>
  <c r="CZ200"/>
  <c r="CP201"/>
  <c r="CW201"/>
  <c r="CU201"/>
  <c r="CT201"/>
  <c r="CV201"/>
  <c r="CZ483"/>
  <c r="CP484"/>
  <c r="CV484"/>
  <c r="CT484"/>
  <c r="CS484"/>
  <c r="CR484"/>
  <c r="CQ484"/>
  <c r="CW484"/>
  <c r="CU484"/>
  <c r="CZ267"/>
  <c r="CP268"/>
  <c r="CV268"/>
  <c r="CU268"/>
  <c r="CS268"/>
  <c r="CR268"/>
  <c r="CQ268"/>
  <c r="CW268"/>
  <c r="CT268"/>
  <c r="CT52"/>
  <c r="CS52"/>
  <c r="CZ51"/>
  <c r="CW52"/>
  <c r="CV52"/>
  <c r="CU52"/>
  <c r="CR52"/>
  <c r="CP52"/>
  <c r="CQ52"/>
  <c r="CZ472"/>
  <c r="CT473"/>
  <c r="CV473"/>
  <c r="CU473"/>
  <c r="CS473"/>
  <c r="CR473"/>
  <c r="CQ473"/>
  <c r="CP473"/>
  <c r="CW473"/>
  <c r="CZ107"/>
  <c r="CP108"/>
  <c r="CV108"/>
  <c r="CR108"/>
  <c r="CQ108"/>
  <c r="CW108"/>
  <c r="CU108"/>
  <c r="CS108"/>
  <c r="CT108"/>
  <c r="CZ180"/>
  <c r="CP181"/>
  <c r="CV181"/>
  <c r="CU181"/>
  <c r="CS181"/>
  <c r="CQ181"/>
  <c r="CW181"/>
  <c r="CT181"/>
  <c r="CR181"/>
  <c r="CZ247"/>
  <c r="CT248"/>
  <c r="CS248"/>
  <c r="CQ248"/>
  <c r="CP248"/>
  <c r="CW248"/>
  <c r="CV248"/>
  <c r="CU248"/>
  <c r="CR248"/>
  <c r="CZ314"/>
  <c r="CR315"/>
  <c r="CQ315"/>
  <c r="CW315"/>
  <c r="CU315"/>
  <c r="CT315"/>
  <c r="CS315"/>
  <c r="CP315"/>
  <c r="CV315"/>
  <c r="CZ381"/>
  <c r="CP382"/>
  <c r="CV382"/>
  <c r="CS382"/>
  <c r="CR382"/>
  <c r="CQ382"/>
  <c r="CW382"/>
  <c r="CU382"/>
  <c r="CT382"/>
  <c r="CZ478"/>
  <c r="CT479"/>
  <c r="CQ479"/>
  <c r="CP479"/>
  <c r="CV479"/>
  <c r="CW479"/>
  <c r="CU479"/>
  <c r="CS479"/>
  <c r="CR479"/>
  <c r="CR47"/>
  <c r="CZ46"/>
  <c r="CQ47"/>
  <c r="CW47"/>
  <c r="CS47"/>
  <c r="CP47"/>
  <c r="CV47"/>
  <c r="CT47"/>
  <c r="CU47"/>
  <c r="CZ113"/>
  <c r="CP114"/>
  <c r="CV114"/>
  <c r="CT114"/>
  <c r="CS114"/>
  <c r="CR114"/>
  <c r="CQ114"/>
  <c r="CU114"/>
  <c r="CW114"/>
  <c r="CP187"/>
  <c r="CV187"/>
  <c r="CU187"/>
  <c r="CZ186"/>
  <c r="CS187"/>
  <c r="CQ187"/>
  <c r="CW187"/>
  <c r="CR187"/>
  <c r="CT187"/>
  <c r="CZ253"/>
  <c r="CT254"/>
  <c r="CS254"/>
  <c r="CW254"/>
  <c r="CV254"/>
  <c r="CU254"/>
  <c r="CR254"/>
  <c r="CQ254"/>
  <c r="CP254"/>
  <c r="CZ320"/>
  <c r="CR321"/>
  <c r="CQ321"/>
  <c r="CW321"/>
  <c r="CS321"/>
  <c r="CP321"/>
  <c r="CV321"/>
  <c r="CU321"/>
  <c r="CT321"/>
  <c r="CZ387"/>
  <c r="CP388"/>
  <c r="CV388"/>
  <c r="CU388"/>
  <c r="CT388"/>
  <c r="CS388"/>
  <c r="CR388"/>
  <c r="CQ388"/>
  <c r="CW388"/>
  <c r="CZ484"/>
  <c r="CT485"/>
  <c r="CS485"/>
  <c r="CW485"/>
  <c r="CR485"/>
  <c r="CQ485"/>
  <c r="CP485"/>
  <c r="CV485"/>
  <c r="CU485"/>
  <c r="CR53"/>
  <c r="CZ52"/>
  <c r="CQ53"/>
  <c r="CW53"/>
  <c r="CV53"/>
  <c r="CU53"/>
  <c r="CT53"/>
  <c r="CP53"/>
  <c r="CS53"/>
  <c r="CZ119"/>
  <c r="CP120"/>
  <c r="CV120"/>
  <c r="CW120"/>
  <c r="CU120"/>
  <c r="CT120"/>
  <c r="CS120"/>
  <c r="CQ120"/>
  <c r="CR120"/>
  <c r="CQ193"/>
  <c r="CW193"/>
  <c r="CR193"/>
  <c r="CP193"/>
  <c r="CV193"/>
  <c r="CZ192"/>
  <c r="CU193"/>
  <c r="CT193"/>
  <c r="CS193"/>
  <c r="CZ259"/>
  <c r="CT260"/>
  <c r="CS260"/>
  <c r="CU260"/>
  <c r="CR260"/>
  <c r="CQ260"/>
  <c r="CP260"/>
  <c r="CW260"/>
  <c r="CV260"/>
  <c r="CZ326"/>
  <c r="CR327"/>
  <c r="CQ327"/>
  <c r="CW327"/>
  <c r="CV327"/>
  <c r="CU327"/>
  <c r="CT327"/>
  <c r="CS327"/>
  <c r="CP327"/>
  <c r="CZ393"/>
  <c r="CP394"/>
  <c r="CV394"/>
  <c r="CQ394"/>
  <c r="CW394"/>
  <c r="CU394"/>
  <c r="CT394"/>
  <c r="CS394"/>
  <c r="CR394"/>
  <c r="CZ508"/>
  <c r="CT509"/>
  <c r="CS509"/>
  <c r="CR509"/>
  <c r="CQ509"/>
  <c r="CV509"/>
  <c r="CW509"/>
  <c r="CP509"/>
  <c r="CU509"/>
  <c r="CR77"/>
  <c r="CZ76"/>
  <c r="CQ77"/>
  <c r="CU77"/>
  <c r="CT77"/>
  <c r="CS77"/>
  <c r="CP77"/>
  <c r="CV77"/>
  <c r="CW77"/>
  <c r="CZ143"/>
  <c r="CP144"/>
  <c r="CV144"/>
  <c r="CR144"/>
  <c r="CQ144"/>
  <c r="CW144"/>
  <c r="CU144"/>
  <c r="CS144"/>
  <c r="CT144"/>
  <c r="CZ216"/>
  <c r="CP217"/>
  <c r="CV217"/>
  <c r="CU217"/>
  <c r="CT217"/>
  <c r="CR217"/>
  <c r="CQ217"/>
  <c r="CW217"/>
  <c r="CS217"/>
  <c r="CZ283"/>
  <c r="CT284"/>
  <c r="CS284"/>
  <c r="CQ284"/>
  <c r="CP284"/>
  <c r="CW284"/>
  <c r="CV284"/>
  <c r="CU284"/>
  <c r="CR284"/>
  <c r="CZ350"/>
  <c r="CR351"/>
  <c r="CQ351"/>
  <c r="CW351"/>
  <c r="CU351"/>
  <c r="CT351"/>
  <c r="CS351"/>
  <c r="CP351"/>
  <c r="CV351"/>
  <c r="CZ417"/>
  <c r="CP418"/>
  <c r="CV418"/>
  <c r="CS418"/>
  <c r="CR418"/>
  <c r="CQ418"/>
  <c r="CW418"/>
  <c r="CU418"/>
  <c r="CT418"/>
  <c r="CZ514"/>
  <c r="CT515"/>
  <c r="CS515"/>
  <c r="CQ515"/>
  <c r="CP515"/>
  <c r="CR515"/>
  <c r="CW515"/>
  <c r="CV515"/>
  <c r="CU515"/>
  <c r="CR83"/>
  <c r="CZ82"/>
  <c r="CP83"/>
  <c r="CW83"/>
  <c r="CV83"/>
  <c r="CU83"/>
  <c r="CT83"/>
  <c r="CQ83"/>
  <c r="CS83"/>
  <c r="CZ149"/>
  <c r="CP150"/>
  <c r="CV150"/>
  <c r="CT150"/>
  <c r="CS150"/>
  <c r="CR150"/>
  <c r="CQ150"/>
  <c r="CU150"/>
  <c r="CW150"/>
  <c r="CZ222"/>
  <c r="CP223"/>
  <c r="CV223"/>
  <c r="CU223"/>
  <c r="CR223"/>
  <c r="CS223"/>
  <c r="CQ223"/>
  <c r="CW223"/>
  <c r="CT223"/>
  <c r="CZ289"/>
  <c r="CT290"/>
  <c r="CS290"/>
  <c r="CW290"/>
  <c r="CV290"/>
  <c r="CU290"/>
  <c r="CR290"/>
  <c r="CQ290"/>
  <c r="CP290"/>
  <c r="CZ356"/>
  <c r="CR357"/>
  <c r="CQ357"/>
  <c r="CP357"/>
  <c r="CW357"/>
  <c r="CV357"/>
  <c r="CU357"/>
  <c r="CT357"/>
  <c r="CS357"/>
  <c r="CZ423"/>
  <c r="CP424"/>
  <c r="CV424"/>
  <c r="CU424"/>
  <c r="CT424"/>
  <c r="CS424"/>
  <c r="CR424"/>
  <c r="CQ424"/>
  <c r="CW424"/>
  <c r="CZ448"/>
  <c r="CT449"/>
  <c r="CR449"/>
  <c r="CP449"/>
  <c r="CU449"/>
  <c r="CW449"/>
  <c r="CV449"/>
  <c r="CS449"/>
  <c r="CQ449"/>
  <c r="CZ515"/>
  <c r="CR516"/>
  <c r="CQ516"/>
  <c r="CP516"/>
  <c r="CS516"/>
  <c r="CW516"/>
  <c r="CV516"/>
  <c r="CU516"/>
  <c r="CT516"/>
  <c r="CZ83"/>
  <c r="CP84"/>
  <c r="CV84"/>
  <c r="CW84"/>
  <c r="CU84"/>
  <c r="CT84"/>
  <c r="CS84"/>
  <c r="CQ84"/>
  <c r="CR84"/>
  <c r="CT157"/>
  <c r="CV157"/>
  <c r="CU157"/>
  <c r="CS157"/>
  <c r="CR157"/>
  <c r="CP157"/>
  <c r="CW157"/>
  <c r="CZ156"/>
  <c r="CQ157"/>
  <c r="CZ223"/>
  <c r="CT224"/>
  <c r="CS224"/>
  <c r="CP224"/>
  <c r="CV224"/>
  <c r="CW224"/>
  <c r="CU224"/>
  <c r="CR224"/>
  <c r="CQ224"/>
  <c r="CR291"/>
  <c r="CQ291"/>
  <c r="CW291"/>
  <c r="CZ290"/>
  <c r="CV291"/>
  <c r="CU291"/>
  <c r="CT291"/>
  <c r="CS291"/>
  <c r="CP291"/>
  <c r="CZ357"/>
  <c r="CP358"/>
  <c r="CV358"/>
  <c r="CQ358"/>
  <c r="CW358"/>
  <c r="CU358"/>
  <c r="CT358"/>
  <c r="CS358"/>
  <c r="CR358"/>
  <c r="CZ454"/>
  <c r="CT455"/>
  <c r="CU455"/>
  <c r="CS455"/>
  <c r="CR455"/>
  <c r="CQ455"/>
  <c r="CP455"/>
  <c r="CW455"/>
  <c r="CV455"/>
  <c r="CZ238"/>
  <c r="CT239"/>
  <c r="CS239"/>
  <c r="CP239"/>
  <c r="CV239"/>
  <c r="CW239"/>
  <c r="CU239"/>
  <c r="CR239"/>
  <c r="CQ239"/>
  <c r="CZ305"/>
  <c r="CR306"/>
  <c r="CQ306"/>
  <c r="CW306"/>
  <c r="CU306"/>
  <c r="CT306"/>
  <c r="CS306"/>
  <c r="CP306"/>
  <c r="CV306"/>
  <c r="CZ89"/>
  <c r="CP90"/>
  <c r="CV90"/>
  <c r="CR90"/>
  <c r="CQ90"/>
  <c r="CW90"/>
  <c r="CU90"/>
  <c r="CS90"/>
  <c r="CT90"/>
  <c r="CZ378"/>
  <c r="CP379"/>
  <c r="CV379"/>
  <c r="CU379"/>
  <c r="CT379"/>
  <c r="CS379"/>
  <c r="CR379"/>
  <c r="CQ379"/>
  <c r="CW379"/>
  <c r="CZ162"/>
  <c r="CP163"/>
  <c r="CV163"/>
  <c r="CU163"/>
  <c r="CT163"/>
  <c r="CS163"/>
  <c r="CQ163"/>
  <c r="CW163"/>
  <c r="CR163"/>
  <c r="CZ445"/>
  <c r="CT446"/>
  <c r="CU446"/>
  <c r="CW446"/>
  <c r="CV446"/>
  <c r="CS446"/>
  <c r="CR446"/>
  <c r="CQ446"/>
  <c r="CP446"/>
  <c r="CZ229"/>
  <c r="CT230"/>
  <c r="CS230"/>
  <c r="CP230"/>
  <c r="CV230"/>
  <c r="CW230"/>
  <c r="CU230"/>
  <c r="CR230"/>
  <c r="CQ230"/>
  <c r="CZ512"/>
  <c r="CR513"/>
  <c r="CQ513"/>
  <c r="CW513"/>
  <c r="CV513"/>
  <c r="CP513"/>
  <c r="CU513"/>
  <c r="CS513"/>
  <c r="CT513"/>
  <c r="CZ296"/>
  <c r="CR297"/>
  <c r="CQ297"/>
  <c r="CW297"/>
  <c r="CU297"/>
  <c r="CT297"/>
  <c r="CS297"/>
  <c r="CP297"/>
  <c r="CV297"/>
  <c r="CP81"/>
  <c r="CV81"/>
  <c r="CR81"/>
  <c r="CQ81"/>
  <c r="CW81"/>
  <c r="CU81"/>
  <c r="CS81"/>
  <c r="CZ80"/>
  <c r="CT81"/>
  <c r="CZ363"/>
  <c r="CP364"/>
  <c r="CV364"/>
  <c r="CS364"/>
  <c r="CR364"/>
  <c r="CQ364"/>
  <c r="CW364"/>
  <c r="CU364"/>
  <c r="CT364"/>
  <c r="CT148"/>
  <c r="CV148"/>
  <c r="CU148"/>
  <c r="CS148"/>
  <c r="CZ147"/>
  <c r="CR148"/>
  <c r="CP148"/>
  <c r="CW148"/>
  <c r="CQ148"/>
  <c r="CZ379"/>
  <c r="CT380"/>
  <c r="CU380"/>
  <c r="CS380"/>
  <c r="CR380"/>
  <c r="CQ380"/>
  <c r="CP380"/>
  <c r="CW380"/>
  <c r="CV380"/>
  <c r="CZ297"/>
  <c r="CP298"/>
  <c r="CV298"/>
  <c r="CU298"/>
  <c r="CW298"/>
  <c r="CT298"/>
  <c r="CS298"/>
  <c r="CR298"/>
  <c r="CQ298"/>
  <c r="CT82"/>
  <c r="CZ81"/>
  <c r="CQ82"/>
  <c r="CP82"/>
  <c r="CW82"/>
  <c r="CV82"/>
  <c r="CU82"/>
  <c r="CR82"/>
  <c r="CS82"/>
  <c r="CZ316"/>
  <c r="CT317"/>
  <c r="CS317"/>
  <c r="CW317"/>
  <c r="CV317"/>
  <c r="CU317"/>
  <c r="CR317"/>
  <c r="CQ317"/>
  <c r="CP317"/>
  <c r="CR65"/>
  <c r="CZ64"/>
  <c r="CQ65"/>
  <c r="CW65"/>
  <c r="CS65"/>
  <c r="CP65"/>
  <c r="CV65"/>
  <c r="CT65"/>
  <c r="CU65"/>
  <c r="CZ347"/>
  <c r="CR348"/>
  <c r="CQ348"/>
  <c r="CW348"/>
  <c r="CS348"/>
  <c r="CP348"/>
  <c r="CV348"/>
  <c r="CU348"/>
  <c r="CT348"/>
  <c r="CZ131"/>
  <c r="CP132"/>
  <c r="CV132"/>
  <c r="CT132"/>
  <c r="CS132"/>
  <c r="CR132"/>
  <c r="CQ132"/>
  <c r="CU132"/>
  <c r="CW132"/>
  <c r="CZ384"/>
  <c r="CP385"/>
  <c r="CV385"/>
  <c r="CQ385"/>
  <c r="CW385"/>
  <c r="CU385"/>
  <c r="CT385"/>
  <c r="CS385"/>
  <c r="CR385"/>
  <c r="CP169"/>
  <c r="CV169"/>
  <c r="CU169"/>
  <c r="CZ168"/>
  <c r="CT169"/>
  <c r="CS169"/>
  <c r="CQ169"/>
  <c r="CW169"/>
  <c r="CR169"/>
  <c r="CZ451"/>
  <c r="CT452"/>
  <c r="CP452"/>
  <c r="CW452"/>
  <c r="CR452"/>
  <c r="CQ452"/>
  <c r="CV452"/>
  <c r="CU452"/>
  <c r="CS452"/>
  <c r="CZ199"/>
  <c r="CU200"/>
  <c r="CS200"/>
  <c r="CR200"/>
  <c r="CQ200"/>
  <c r="CP200"/>
  <c r="CV200"/>
  <c r="CW200"/>
  <c r="CT200"/>
  <c r="CZ482"/>
  <c r="CR483"/>
  <c r="CU483"/>
  <c r="CT483"/>
  <c r="CS483"/>
  <c r="CQ483"/>
  <c r="CP483"/>
  <c r="CW483"/>
  <c r="CV483"/>
  <c r="CZ230"/>
  <c r="CR231"/>
  <c r="CQ231"/>
  <c r="CW231"/>
  <c r="CT231"/>
  <c r="CV231"/>
  <c r="CU231"/>
  <c r="CS231"/>
  <c r="CP231"/>
  <c r="CZ477"/>
  <c r="CP478"/>
  <c r="CV478"/>
  <c r="CR478"/>
  <c r="CQ478"/>
  <c r="CU478"/>
  <c r="CW478"/>
  <c r="CT478"/>
  <c r="CS478"/>
  <c r="CZ394"/>
  <c r="CT395"/>
  <c r="CP395"/>
  <c r="CW395"/>
  <c r="CV395"/>
  <c r="CU395"/>
  <c r="CS395"/>
  <c r="CR395"/>
  <c r="CQ395"/>
  <c r="CZ178"/>
  <c r="CT179"/>
  <c r="CS179"/>
  <c r="CQ179"/>
  <c r="CW179"/>
  <c r="CU179"/>
  <c r="CV179"/>
  <c r="CR179"/>
  <c r="CP179"/>
  <c r="CZ461"/>
  <c r="CR462"/>
  <c r="CV462"/>
  <c r="CP462"/>
  <c r="CT462"/>
  <c r="CW462"/>
  <c r="CU462"/>
  <c r="CS462"/>
  <c r="CQ462"/>
  <c r="CZ245"/>
  <c r="CR246"/>
  <c r="CQ246"/>
  <c r="CW246"/>
  <c r="CV246"/>
  <c r="CU246"/>
  <c r="CT246"/>
  <c r="CS246"/>
  <c r="CP246"/>
  <c r="CP319"/>
  <c r="CV319"/>
  <c r="CZ318"/>
  <c r="CU319"/>
  <c r="CQ319"/>
  <c r="CW319"/>
  <c r="CT319"/>
  <c r="CS319"/>
  <c r="CR319"/>
  <c r="CT103"/>
  <c r="CV103"/>
  <c r="CU103"/>
  <c r="CS103"/>
  <c r="CR103"/>
  <c r="CP103"/>
  <c r="CW103"/>
  <c r="CZ102"/>
  <c r="CQ103"/>
  <c r="CZ385"/>
  <c r="CT386"/>
  <c r="CP386"/>
  <c r="CW386"/>
  <c r="CV386"/>
  <c r="CU386"/>
  <c r="CS386"/>
  <c r="CR386"/>
  <c r="CQ386"/>
  <c r="CT170"/>
  <c r="CZ169"/>
  <c r="CS170"/>
  <c r="CR170"/>
  <c r="CQ170"/>
  <c r="CW170"/>
  <c r="CU170"/>
  <c r="CV170"/>
  <c r="CP170"/>
  <c r="CR453"/>
  <c r="CZ452"/>
  <c r="CV453"/>
  <c r="CS453"/>
  <c r="CW453"/>
  <c r="CQ453"/>
  <c r="CP453"/>
  <c r="CU453"/>
  <c r="CT453"/>
  <c r="CR237"/>
  <c r="CQ237"/>
  <c r="CW237"/>
  <c r="CZ236"/>
  <c r="CT237"/>
  <c r="CV237"/>
  <c r="CU237"/>
  <c r="CS237"/>
  <c r="CP237"/>
  <c r="CZ303"/>
  <c r="CP304"/>
  <c r="CV304"/>
  <c r="CU304"/>
  <c r="CS304"/>
  <c r="CR304"/>
  <c r="CQ304"/>
  <c r="CW304"/>
  <c r="CT304"/>
  <c r="CT88"/>
  <c r="CZ87"/>
  <c r="CS88"/>
  <c r="CR88"/>
  <c r="CQ88"/>
  <c r="CP88"/>
  <c r="CW88"/>
  <c r="CU88"/>
  <c r="CV88"/>
  <c r="CR113"/>
  <c r="CZ112"/>
  <c r="CU113"/>
  <c r="CT113"/>
  <c r="CS113"/>
  <c r="CQ113"/>
  <c r="CV113"/>
  <c r="CP113"/>
  <c r="CW113"/>
  <c r="CZ179"/>
  <c r="CR180"/>
  <c r="CQ180"/>
  <c r="CW180"/>
  <c r="CU180"/>
  <c r="CS180"/>
  <c r="CT180"/>
  <c r="CP180"/>
  <c r="CV180"/>
  <c r="CZ252"/>
  <c r="CP253"/>
  <c r="CV253"/>
  <c r="CU253"/>
  <c r="CW253"/>
  <c r="CT253"/>
  <c r="CS253"/>
  <c r="CR253"/>
  <c r="CQ253"/>
  <c r="CZ319"/>
  <c r="CT320"/>
  <c r="CS320"/>
  <c r="CQ320"/>
  <c r="CP320"/>
  <c r="CW320"/>
  <c r="CV320"/>
  <c r="CU320"/>
  <c r="CR320"/>
  <c r="CZ386"/>
  <c r="CR387"/>
  <c r="CV387"/>
  <c r="CU387"/>
  <c r="CT387"/>
  <c r="CS387"/>
  <c r="CQ387"/>
  <c r="CW387"/>
  <c r="CP387"/>
  <c r="CZ453"/>
  <c r="CP454"/>
  <c r="CV454"/>
  <c r="CU454"/>
  <c r="CS454"/>
  <c r="CR454"/>
  <c r="CQ454"/>
  <c r="CW454"/>
  <c r="CT454"/>
  <c r="CR119"/>
  <c r="CZ118"/>
  <c r="CP119"/>
  <c r="CW119"/>
  <c r="CV119"/>
  <c r="CU119"/>
  <c r="CT119"/>
  <c r="CQ119"/>
  <c r="CS119"/>
  <c r="CZ185"/>
  <c r="CR186"/>
  <c r="CQ186"/>
  <c r="CW186"/>
  <c r="CU186"/>
  <c r="CS186"/>
  <c r="CV186"/>
  <c r="CT186"/>
  <c r="CP186"/>
  <c r="CZ258"/>
  <c r="CP259"/>
  <c r="CV259"/>
  <c r="CU259"/>
  <c r="CS259"/>
  <c r="CR259"/>
  <c r="CQ259"/>
  <c r="CW259"/>
  <c r="CT259"/>
  <c r="CZ325"/>
  <c r="CT326"/>
  <c r="CS326"/>
  <c r="CW326"/>
  <c r="CV326"/>
  <c r="CU326"/>
  <c r="CR326"/>
  <c r="CQ326"/>
  <c r="CP326"/>
  <c r="CZ392"/>
  <c r="CR393"/>
  <c r="CQ393"/>
  <c r="CP393"/>
  <c r="CW393"/>
  <c r="CV393"/>
  <c r="CU393"/>
  <c r="CT393"/>
  <c r="CS393"/>
  <c r="CZ459"/>
  <c r="CP460"/>
  <c r="CV460"/>
  <c r="CQ460"/>
  <c r="CW460"/>
  <c r="CU460"/>
  <c r="CT460"/>
  <c r="CS460"/>
  <c r="CR460"/>
  <c r="CR125"/>
  <c r="CZ124"/>
  <c r="CS125"/>
  <c r="CQ125"/>
  <c r="CP125"/>
  <c r="CW125"/>
  <c r="CV125"/>
  <c r="CT125"/>
  <c r="CU125"/>
  <c r="CZ191"/>
  <c r="CS192"/>
  <c r="CR192"/>
  <c r="CQ192"/>
  <c r="CP192"/>
  <c r="CW192"/>
  <c r="CV192"/>
  <c r="CU192"/>
  <c r="CT192"/>
  <c r="CP265"/>
  <c r="CV265"/>
  <c r="CZ264"/>
  <c r="CU265"/>
  <c r="CQ265"/>
  <c r="CW265"/>
  <c r="CT265"/>
  <c r="CS265"/>
  <c r="CR265"/>
  <c r="CZ331"/>
  <c r="CT332"/>
  <c r="CS332"/>
  <c r="CU332"/>
  <c r="CR332"/>
  <c r="CQ332"/>
  <c r="CP332"/>
  <c r="CW332"/>
  <c r="CV332"/>
  <c r="CR399"/>
  <c r="CZ398"/>
  <c r="CT399"/>
  <c r="CS399"/>
  <c r="CQ399"/>
  <c r="CP399"/>
  <c r="CW399"/>
  <c r="CV399"/>
  <c r="CU399"/>
  <c r="CZ465"/>
  <c r="CP466"/>
  <c r="CV466"/>
  <c r="CS466"/>
  <c r="CR466"/>
  <c r="CQ466"/>
  <c r="CW466"/>
  <c r="CU466"/>
  <c r="CT466"/>
  <c r="CR149"/>
  <c r="CZ148"/>
  <c r="CU149"/>
  <c r="CT149"/>
  <c r="CS149"/>
  <c r="CQ149"/>
  <c r="CV149"/>
  <c r="CW149"/>
  <c r="CP149"/>
  <c r="CZ215"/>
  <c r="CR216"/>
  <c r="CQ216"/>
  <c r="CW216"/>
  <c r="CP216"/>
  <c r="CV216"/>
  <c r="CT216"/>
  <c r="CU216"/>
  <c r="CS216"/>
  <c r="CZ288"/>
  <c r="CP289"/>
  <c r="CV289"/>
  <c r="CU289"/>
  <c r="CW289"/>
  <c r="CT289"/>
  <c r="CS289"/>
  <c r="CR289"/>
  <c r="CQ289"/>
  <c r="CZ355"/>
  <c r="CT356"/>
  <c r="CS356"/>
  <c r="CQ356"/>
  <c r="CP356"/>
  <c r="CW356"/>
  <c r="CV356"/>
  <c r="CU356"/>
  <c r="CR356"/>
  <c r="CZ422"/>
  <c r="CR423"/>
  <c r="CV423"/>
  <c r="CU423"/>
  <c r="CT423"/>
  <c r="CS423"/>
  <c r="CQ423"/>
  <c r="CP423"/>
  <c r="CW423"/>
  <c r="CZ489"/>
  <c r="CP490"/>
  <c r="CV490"/>
  <c r="CW490"/>
  <c r="CU490"/>
  <c r="CT490"/>
  <c r="CS490"/>
  <c r="CR490"/>
  <c r="CQ490"/>
  <c r="CT58"/>
  <c r="CS58"/>
  <c r="CZ57"/>
  <c r="CU58"/>
  <c r="CR58"/>
  <c r="CQ58"/>
  <c r="CP58"/>
  <c r="CV58"/>
  <c r="CW58"/>
  <c r="CR155"/>
  <c r="CZ154"/>
  <c r="CP155"/>
  <c r="CW155"/>
  <c r="CV155"/>
  <c r="CU155"/>
  <c r="CT155"/>
  <c r="CQ155"/>
  <c r="CS155"/>
  <c r="CZ221"/>
  <c r="CR222"/>
  <c r="CQ222"/>
  <c r="CW222"/>
  <c r="CP222"/>
  <c r="CT222"/>
  <c r="CV222"/>
  <c r="CU222"/>
  <c r="CS222"/>
  <c r="CZ294"/>
  <c r="CP295"/>
  <c r="CV295"/>
  <c r="CU295"/>
  <c r="CS295"/>
  <c r="CR295"/>
  <c r="CQ295"/>
  <c r="CW295"/>
  <c r="CT295"/>
  <c r="CZ361"/>
  <c r="CT362"/>
  <c r="CU362"/>
  <c r="CS362"/>
  <c r="CR362"/>
  <c r="CQ362"/>
  <c r="CP362"/>
  <c r="CW362"/>
  <c r="CV362"/>
  <c r="CZ428"/>
  <c r="CR429"/>
  <c r="CQ429"/>
  <c r="CP429"/>
  <c r="CW429"/>
  <c r="CT429"/>
  <c r="CV429"/>
  <c r="CU429"/>
  <c r="CS429"/>
  <c r="CZ495"/>
  <c r="CP496"/>
  <c r="CV496"/>
  <c r="CR496"/>
  <c r="CQ496"/>
  <c r="CU496"/>
  <c r="CW496"/>
  <c r="CT496"/>
  <c r="CS496"/>
  <c r="CT64"/>
  <c r="CS64"/>
  <c r="CZ63"/>
  <c r="CQ64"/>
  <c r="CP64"/>
  <c r="CW64"/>
  <c r="CV64"/>
  <c r="CR64"/>
  <c r="CU64"/>
  <c r="CR89"/>
  <c r="CZ88"/>
  <c r="CS89"/>
  <c r="CQ89"/>
  <c r="CP89"/>
  <c r="CW89"/>
  <c r="CV89"/>
  <c r="CT89"/>
  <c r="CU89"/>
  <c r="CZ155"/>
  <c r="CP156"/>
  <c r="CV156"/>
  <c r="CW156"/>
  <c r="CU156"/>
  <c r="CT156"/>
  <c r="CS156"/>
  <c r="CQ156"/>
  <c r="CR156"/>
  <c r="CP229"/>
  <c r="CV229"/>
  <c r="CU229"/>
  <c r="CR229"/>
  <c r="CS229"/>
  <c r="CQ229"/>
  <c r="CZ228"/>
  <c r="CW229"/>
  <c r="CT229"/>
  <c r="CZ295"/>
  <c r="CT296"/>
  <c r="CS296"/>
  <c r="CU296"/>
  <c r="CR296"/>
  <c r="CQ296"/>
  <c r="CP296"/>
  <c r="CW296"/>
  <c r="CV296"/>
  <c r="CR363"/>
  <c r="CZ362"/>
  <c r="CT363"/>
  <c r="CS363"/>
  <c r="CQ363"/>
  <c r="CP363"/>
  <c r="CW363"/>
  <c r="CV363"/>
  <c r="CU363"/>
  <c r="CZ429"/>
  <c r="CP430"/>
  <c r="CV430"/>
  <c r="CQ430"/>
  <c r="CW430"/>
  <c r="CS430"/>
  <c r="CU430"/>
  <c r="CT430"/>
  <c r="CR430"/>
  <c r="CZ490"/>
  <c r="CT491"/>
  <c r="CV491"/>
  <c r="CU491"/>
  <c r="CR491"/>
  <c r="CS491"/>
  <c r="CQ491"/>
  <c r="CP491"/>
  <c r="CW491"/>
  <c r="CZ274"/>
  <c r="CT275"/>
  <c r="CS275"/>
  <c r="CQ275"/>
  <c r="CP275"/>
  <c r="CW275"/>
  <c r="CV275"/>
  <c r="CU275"/>
  <c r="CR275"/>
  <c r="CR59"/>
  <c r="CZ58"/>
  <c r="CQ59"/>
  <c r="CW59"/>
  <c r="CU59"/>
  <c r="CT59"/>
  <c r="CS59"/>
  <c r="CP59"/>
  <c r="CV59"/>
  <c r="CZ341"/>
  <c r="CR342"/>
  <c r="CQ342"/>
  <c r="CW342"/>
  <c r="CU342"/>
  <c r="CT342"/>
  <c r="CS342"/>
  <c r="CP342"/>
  <c r="CV342"/>
  <c r="CZ125"/>
  <c r="CP126"/>
  <c r="CV126"/>
  <c r="CR126"/>
  <c r="CQ126"/>
  <c r="CW126"/>
  <c r="CU126"/>
  <c r="CS126"/>
  <c r="CT126"/>
  <c r="CZ414"/>
  <c r="CP415"/>
  <c r="CV415"/>
  <c r="CU415"/>
  <c r="CT415"/>
  <c r="CS415"/>
  <c r="CR415"/>
  <c r="CQ415"/>
  <c r="CW415"/>
  <c r="CZ198"/>
  <c r="CQ199"/>
  <c r="CW199"/>
  <c r="CT199"/>
  <c r="CS199"/>
  <c r="CR199"/>
  <c r="CP199"/>
  <c r="CV199"/>
  <c r="CU199"/>
  <c r="CZ481"/>
  <c r="CT482"/>
  <c r="CV482"/>
  <c r="CU482"/>
  <c r="CS482"/>
  <c r="CR482"/>
  <c r="CQ482"/>
  <c r="CP482"/>
  <c r="CW482"/>
  <c r="CZ265"/>
  <c r="CT266"/>
  <c r="CS266"/>
  <c r="CQ266"/>
  <c r="CP266"/>
  <c r="CW266"/>
  <c r="CV266"/>
  <c r="CU266"/>
  <c r="CR266"/>
  <c r="CR50"/>
  <c r="CQ50"/>
  <c r="CW50"/>
  <c r="CZ49"/>
  <c r="CU50"/>
  <c r="CT50"/>
  <c r="CS50"/>
  <c r="CP50"/>
  <c r="CV50"/>
  <c r="CZ332"/>
  <c r="CR333"/>
  <c r="CQ333"/>
  <c r="CW333"/>
  <c r="CU333"/>
  <c r="CT333"/>
  <c r="CS333"/>
  <c r="CP333"/>
  <c r="CV333"/>
  <c r="CP117"/>
  <c r="CV117"/>
  <c r="CZ116"/>
  <c r="CR117"/>
  <c r="CQ117"/>
  <c r="CW117"/>
  <c r="CU117"/>
  <c r="CS117"/>
  <c r="CT117"/>
  <c r="CZ399"/>
  <c r="CP400"/>
  <c r="CV400"/>
  <c r="CS400"/>
  <c r="CR400"/>
  <c r="CQ400"/>
  <c r="CW400"/>
  <c r="CU400"/>
  <c r="CT400"/>
  <c r="CP184"/>
  <c r="CV184"/>
  <c r="CU184"/>
  <c r="CZ183"/>
  <c r="CS184"/>
  <c r="CQ184"/>
  <c r="CW184"/>
  <c r="CT184"/>
  <c r="CR184"/>
  <c r="CZ456"/>
  <c r="CP457"/>
  <c r="CV457"/>
  <c r="CS457"/>
  <c r="CU457"/>
  <c r="CT457"/>
  <c r="CR457"/>
  <c r="CQ457"/>
  <c r="CW457"/>
  <c r="CZ333"/>
  <c r="CP334"/>
  <c r="CV334"/>
  <c r="CU334"/>
  <c r="CW334"/>
  <c r="CT334"/>
  <c r="CS334"/>
  <c r="CR334"/>
  <c r="CQ334"/>
  <c r="CT118"/>
  <c r="CQ118"/>
  <c r="CP118"/>
  <c r="CW118"/>
  <c r="CV118"/>
  <c r="CU118"/>
  <c r="CZ117"/>
  <c r="CR118"/>
  <c r="CS118"/>
  <c r="CZ352"/>
  <c r="CT353"/>
  <c r="CS353"/>
  <c r="CW353"/>
  <c r="CV353"/>
  <c r="CU353"/>
  <c r="CR353"/>
  <c r="CQ353"/>
  <c r="CP353"/>
  <c r="CR101"/>
  <c r="CZ100"/>
  <c r="CP101"/>
  <c r="CW101"/>
  <c r="CV101"/>
  <c r="CU101"/>
  <c r="CT101"/>
  <c r="CQ101"/>
  <c r="CS101"/>
  <c r="CZ383"/>
  <c r="CR384"/>
  <c r="CQ384"/>
  <c r="CP384"/>
  <c r="CW384"/>
  <c r="CV384"/>
  <c r="CU384"/>
  <c r="CT384"/>
  <c r="CS384"/>
  <c r="CZ167"/>
  <c r="CR168"/>
  <c r="CQ168"/>
  <c r="CW168"/>
  <c r="CP168"/>
  <c r="CV168"/>
  <c r="CU168"/>
  <c r="CS168"/>
  <c r="CT168"/>
  <c r="CZ420"/>
  <c r="CP421"/>
  <c r="CV421"/>
  <c r="CQ421"/>
  <c r="CW421"/>
  <c r="CU421"/>
  <c r="CT421"/>
  <c r="CS421"/>
  <c r="CR421"/>
  <c r="CZ204"/>
  <c r="CQ205"/>
  <c r="CW205"/>
  <c r="CV205"/>
  <c r="CU205"/>
  <c r="CT205"/>
  <c r="CR205"/>
  <c r="CS205"/>
  <c r="CP205"/>
  <c r="CZ487"/>
  <c r="CT488"/>
  <c r="CQ488"/>
  <c r="CW488"/>
  <c r="CP488"/>
  <c r="CV488"/>
  <c r="CU488"/>
  <c r="CS488"/>
  <c r="CR488"/>
  <c r="CZ235"/>
  <c r="CT236"/>
  <c r="CS236"/>
  <c r="CP236"/>
  <c r="CV236"/>
  <c r="CW236"/>
  <c r="CU236"/>
  <c r="CR236"/>
  <c r="CQ236"/>
  <c r="CZ266"/>
  <c r="CR267"/>
  <c r="CQ267"/>
  <c r="CW267"/>
  <c r="CS267"/>
  <c r="CP267"/>
  <c r="CV267"/>
  <c r="CU267"/>
  <c r="CT267"/>
  <c r="CZ513"/>
  <c r="CP514"/>
  <c r="CV514"/>
  <c r="CT514"/>
  <c r="CU514"/>
  <c r="CS514"/>
  <c r="CW514"/>
  <c r="CR514"/>
  <c r="CQ514"/>
  <c r="CZ430"/>
  <c r="CT431"/>
  <c r="CP431"/>
  <c r="CW431"/>
  <c r="CV431"/>
  <c r="CR431"/>
  <c r="CU431"/>
  <c r="CS431"/>
  <c r="CQ431"/>
  <c r="CZ214"/>
  <c r="CT215"/>
  <c r="CS215"/>
  <c r="CR215"/>
  <c r="CP215"/>
  <c r="CV215"/>
  <c r="CW215"/>
  <c r="CU215"/>
  <c r="CQ215"/>
  <c r="CZ497"/>
  <c r="CR498"/>
  <c r="CP498"/>
  <c r="CW498"/>
  <c r="CV498"/>
  <c r="CS498"/>
  <c r="CU498"/>
  <c r="CT498"/>
  <c r="CQ498"/>
  <c r="CZ281"/>
  <c r="CR282"/>
  <c r="CQ282"/>
  <c r="CW282"/>
  <c r="CV282"/>
  <c r="CU282"/>
  <c r="CT282"/>
  <c r="CS282"/>
  <c r="CP282"/>
  <c r="CZ65"/>
  <c r="CP66"/>
  <c r="CV66"/>
  <c r="CU66"/>
  <c r="CS66"/>
  <c r="CR66"/>
  <c r="CQ66"/>
  <c r="CT66"/>
  <c r="CW66"/>
  <c r="CP355"/>
  <c r="CV355"/>
  <c r="CU355"/>
  <c r="CZ354"/>
  <c r="CQ355"/>
  <c r="CW355"/>
  <c r="CT355"/>
  <c r="CS355"/>
  <c r="CR355"/>
  <c r="CT139"/>
  <c r="CV139"/>
  <c r="CU139"/>
  <c r="CS139"/>
  <c r="CR139"/>
  <c r="CP139"/>
  <c r="CW139"/>
  <c r="CQ139"/>
  <c r="CZ138"/>
  <c r="CZ421"/>
  <c r="CT422"/>
  <c r="CP422"/>
  <c r="CW422"/>
  <c r="CV422"/>
  <c r="CU422"/>
  <c r="CS422"/>
  <c r="CR422"/>
  <c r="CQ422"/>
  <c r="CZ205"/>
  <c r="CU206"/>
  <c r="CV206"/>
  <c r="CT206"/>
  <c r="CS206"/>
  <c r="CQ206"/>
  <c r="CW206"/>
  <c r="CR206"/>
  <c r="CP206"/>
  <c r="CZ488"/>
  <c r="CR489"/>
  <c r="CP489"/>
  <c r="CW489"/>
  <c r="CU489"/>
  <c r="CT489"/>
  <c r="CV489"/>
  <c r="CS489"/>
  <c r="CQ489"/>
  <c r="CZ272"/>
  <c r="CR273"/>
  <c r="CQ273"/>
  <c r="CW273"/>
  <c r="CV273"/>
  <c r="CU273"/>
  <c r="CT273"/>
  <c r="CS273"/>
  <c r="CP273"/>
  <c r="CP57"/>
  <c r="CV57"/>
  <c r="CU57"/>
  <c r="CZ56"/>
  <c r="CS57"/>
  <c r="CR57"/>
  <c r="CQ57"/>
  <c r="CT57"/>
  <c r="CW57"/>
  <c r="CZ339"/>
  <c r="CP340"/>
  <c r="CV340"/>
  <c r="CU340"/>
  <c r="CS340"/>
  <c r="CR340"/>
  <c r="CQ340"/>
  <c r="CW340"/>
  <c r="CT340"/>
  <c r="CT124"/>
  <c r="CS124"/>
  <c r="CZ123"/>
  <c r="CR124"/>
  <c r="CQ124"/>
  <c r="CP124"/>
  <c r="CW124"/>
  <c r="CU124"/>
  <c r="CV124"/>
  <c r="CZ184"/>
  <c r="CT185"/>
  <c r="CS185"/>
  <c r="CQ185"/>
  <c r="CW185"/>
  <c r="CU185"/>
  <c r="CP185"/>
  <c r="CV185"/>
  <c r="CR185"/>
  <c r="CZ251"/>
  <c r="CR252"/>
  <c r="CQ252"/>
  <c r="CW252"/>
  <c r="CU252"/>
  <c r="CT252"/>
  <c r="CS252"/>
  <c r="CP252"/>
  <c r="CV252"/>
  <c r="CZ324"/>
  <c r="CP325"/>
  <c r="CV325"/>
  <c r="CU325"/>
  <c r="CW325"/>
  <c r="CT325"/>
  <c r="CS325"/>
  <c r="CR325"/>
  <c r="CQ325"/>
  <c r="CZ391"/>
  <c r="CT392"/>
  <c r="CR392"/>
  <c r="CQ392"/>
  <c r="CP392"/>
  <c r="CW392"/>
  <c r="CV392"/>
  <c r="CU392"/>
  <c r="CS392"/>
  <c r="CZ458"/>
  <c r="CR459"/>
  <c r="CQ459"/>
  <c r="CV459"/>
  <c r="CU459"/>
  <c r="CT459"/>
  <c r="CS459"/>
  <c r="CP459"/>
  <c r="CW459"/>
  <c r="CT94"/>
  <c r="CV94"/>
  <c r="CU94"/>
  <c r="CS94"/>
  <c r="CZ93"/>
  <c r="CR94"/>
  <c r="CP94"/>
  <c r="CW94"/>
  <c r="CQ94"/>
  <c r="CZ190"/>
  <c r="CT191"/>
  <c r="CS191"/>
  <c r="CU191"/>
  <c r="CQ191"/>
  <c r="CP191"/>
  <c r="CW191"/>
  <c r="CV191"/>
  <c r="CR191"/>
  <c r="CZ257"/>
  <c r="CR258"/>
  <c r="CQ258"/>
  <c r="CW258"/>
  <c r="CS258"/>
  <c r="CP258"/>
  <c r="CV258"/>
  <c r="CU258"/>
  <c r="CT258"/>
  <c r="CZ330"/>
  <c r="CP331"/>
  <c r="CV331"/>
  <c r="CU331"/>
  <c r="CS331"/>
  <c r="CR331"/>
  <c r="CQ331"/>
  <c r="CW331"/>
  <c r="CT331"/>
  <c r="CZ397"/>
  <c r="CT398"/>
  <c r="CU398"/>
  <c r="CS398"/>
  <c r="CR398"/>
  <c r="CQ398"/>
  <c r="CP398"/>
  <c r="CW398"/>
  <c r="CV398"/>
  <c r="CZ464"/>
  <c r="CR465"/>
  <c r="CT465"/>
  <c r="CQ465"/>
  <c r="CP465"/>
  <c r="CW465"/>
  <c r="CV465"/>
  <c r="CU465"/>
  <c r="CS465"/>
  <c r="CT100"/>
  <c r="CQ100"/>
  <c r="CP100"/>
  <c r="CW100"/>
  <c r="CV100"/>
  <c r="CU100"/>
  <c r="CZ99"/>
  <c r="CR100"/>
  <c r="CS100"/>
  <c r="CZ196"/>
  <c r="CU197"/>
  <c r="CV197"/>
  <c r="CT197"/>
  <c r="CS197"/>
  <c r="CR197"/>
  <c r="CQ197"/>
  <c r="CP197"/>
  <c r="CW197"/>
  <c r="CZ263"/>
  <c r="CR264"/>
  <c r="CQ264"/>
  <c r="CW264"/>
  <c r="CV264"/>
  <c r="CU264"/>
  <c r="CT264"/>
  <c r="CS264"/>
  <c r="CP264"/>
  <c r="CP337"/>
  <c r="CV337"/>
  <c r="CU337"/>
  <c r="CZ336"/>
  <c r="CQ337"/>
  <c r="CW337"/>
  <c r="CT337"/>
  <c r="CS337"/>
  <c r="CR337"/>
  <c r="CZ403"/>
  <c r="CT404"/>
  <c r="CP404"/>
  <c r="CW404"/>
  <c r="CV404"/>
  <c r="CU404"/>
  <c r="CS404"/>
  <c r="CR404"/>
  <c r="CQ404"/>
  <c r="CR471"/>
  <c r="CZ470"/>
  <c r="CP471"/>
  <c r="CW471"/>
  <c r="CU471"/>
  <c r="CT471"/>
  <c r="CV471"/>
  <c r="CS471"/>
  <c r="CQ471"/>
  <c r="CT106"/>
  <c r="CS106"/>
  <c r="CZ105"/>
  <c r="CR106"/>
  <c r="CQ106"/>
  <c r="CP106"/>
  <c r="CW106"/>
  <c r="CU106"/>
  <c r="CV106"/>
  <c r="CZ220"/>
  <c r="CT221"/>
  <c r="CS221"/>
  <c r="CR221"/>
  <c r="CP221"/>
  <c r="CV221"/>
  <c r="CU221"/>
  <c r="CQ221"/>
  <c r="CW221"/>
  <c r="CZ287"/>
  <c r="CR288"/>
  <c r="CQ288"/>
  <c r="CW288"/>
  <c r="CU288"/>
  <c r="CT288"/>
  <c r="CS288"/>
  <c r="CP288"/>
  <c r="CV288"/>
  <c r="CZ360"/>
  <c r="CP361"/>
  <c r="CV361"/>
  <c r="CU361"/>
  <c r="CT361"/>
  <c r="CS361"/>
  <c r="CR361"/>
  <c r="CQ361"/>
  <c r="CW361"/>
  <c r="CZ427"/>
  <c r="CT428"/>
  <c r="CR428"/>
  <c r="CQ428"/>
  <c r="CP428"/>
  <c r="CW428"/>
  <c r="CU428"/>
  <c r="CV428"/>
  <c r="CS428"/>
  <c r="CZ494"/>
  <c r="CR495"/>
  <c r="CS495"/>
  <c r="CW495"/>
  <c r="CQ495"/>
  <c r="CP495"/>
  <c r="CU495"/>
  <c r="CV495"/>
  <c r="CT495"/>
  <c r="CP63"/>
  <c r="CV63"/>
  <c r="CU63"/>
  <c r="CQ63"/>
  <c r="CW63"/>
  <c r="CT63"/>
  <c r="CR63"/>
  <c r="CZ62"/>
  <c r="CS63"/>
  <c r="CT130"/>
  <c r="CV130"/>
  <c r="CU130"/>
  <c r="CS130"/>
  <c r="CZ129"/>
  <c r="CR130"/>
  <c r="CP130"/>
  <c r="CW130"/>
  <c r="CQ130"/>
  <c r="CZ226"/>
  <c r="CT227"/>
  <c r="CS227"/>
  <c r="CP227"/>
  <c r="CV227"/>
  <c r="CW227"/>
  <c r="CU227"/>
  <c r="CR227"/>
  <c r="CQ227"/>
  <c r="CZ293"/>
  <c r="CR294"/>
  <c r="CQ294"/>
  <c r="CW294"/>
  <c r="CS294"/>
  <c r="CP294"/>
  <c r="CV294"/>
  <c r="CU294"/>
  <c r="CT294"/>
  <c r="CZ366"/>
  <c r="CP367"/>
  <c r="CV367"/>
  <c r="CQ367"/>
  <c r="CW367"/>
  <c r="CU367"/>
  <c r="CT367"/>
  <c r="CS367"/>
  <c r="CR367"/>
  <c r="CZ433"/>
  <c r="CT434"/>
  <c r="CU434"/>
  <c r="CS434"/>
  <c r="CP434"/>
  <c r="CW434"/>
  <c r="CR434"/>
  <c r="CQ434"/>
  <c r="CV434"/>
  <c r="CZ500"/>
  <c r="CR501"/>
  <c r="CQ501"/>
  <c r="CW501"/>
  <c r="CP501"/>
  <c r="CV501"/>
  <c r="CU501"/>
  <c r="CT501"/>
  <c r="CS501"/>
  <c r="CP69"/>
  <c r="CV69"/>
  <c r="CU69"/>
  <c r="CW69"/>
  <c r="CT69"/>
  <c r="CZ68"/>
  <c r="CS69"/>
  <c r="CR69"/>
  <c r="CQ69"/>
  <c r="CT136"/>
  <c r="CQ136"/>
  <c r="CP136"/>
  <c r="CW136"/>
  <c r="CV136"/>
  <c r="CU136"/>
  <c r="CZ135"/>
  <c r="CR136"/>
  <c r="CS136"/>
  <c r="CR161"/>
  <c r="CZ160"/>
  <c r="CS161"/>
  <c r="CQ161"/>
  <c r="CP161"/>
  <c r="CW161"/>
  <c r="CV161"/>
  <c r="CT161"/>
  <c r="CU161"/>
  <c r="CZ227"/>
  <c r="CR228"/>
  <c r="CQ228"/>
  <c r="CW228"/>
  <c r="CT228"/>
  <c r="CV228"/>
  <c r="CU228"/>
  <c r="CS228"/>
  <c r="CP228"/>
  <c r="CP301"/>
  <c r="CV301"/>
  <c r="CU301"/>
  <c r="CZ300"/>
  <c r="CQ301"/>
  <c r="CW301"/>
  <c r="CT301"/>
  <c r="CS301"/>
  <c r="CR301"/>
  <c r="CZ367"/>
  <c r="CT368"/>
  <c r="CP368"/>
  <c r="CW368"/>
  <c r="CV368"/>
  <c r="CU368"/>
  <c r="CS368"/>
  <c r="CR368"/>
  <c r="CQ368"/>
  <c r="CZ434"/>
  <c r="CR435"/>
  <c r="CT435"/>
  <c r="CV435"/>
  <c r="CW435"/>
  <c r="CU435"/>
  <c r="CS435"/>
  <c r="CQ435"/>
  <c r="CP435"/>
  <c r="CZ501"/>
  <c r="CP502"/>
  <c r="CV502"/>
  <c r="CU502"/>
  <c r="CT502"/>
  <c r="CS502"/>
  <c r="CR502"/>
  <c r="CQ502"/>
  <c r="CW502"/>
  <c r="CT70"/>
  <c r="CS70"/>
  <c r="CZ69"/>
  <c r="CW70"/>
  <c r="CV70"/>
  <c r="CU70"/>
  <c r="CR70"/>
  <c r="CP70"/>
  <c r="CQ70"/>
  <c r="CZ310"/>
  <c r="CT311"/>
  <c r="CS311"/>
  <c r="CQ311"/>
  <c r="CP311"/>
  <c r="CW311"/>
  <c r="CV311"/>
  <c r="CU311"/>
  <c r="CR311"/>
  <c r="CR95"/>
  <c r="CZ94"/>
  <c r="CU95"/>
  <c r="CT95"/>
  <c r="CS95"/>
  <c r="CQ95"/>
  <c r="CV95"/>
  <c r="CW95"/>
  <c r="CP95"/>
  <c r="CZ377"/>
  <c r="CR378"/>
  <c r="CV378"/>
  <c r="CU378"/>
  <c r="CT378"/>
  <c r="CS378"/>
  <c r="CQ378"/>
  <c r="CW378"/>
  <c r="CP378"/>
  <c r="CZ161"/>
  <c r="CP162"/>
  <c r="CR162"/>
  <c r="CQ162"/>
  <c r="CW162"/>
  <c r="CV162"/>
  <c r="CU162"/>
  <c r="CS162"/>
  <c r="CT162"/>
  <c r="CZ450"/>
  <c r="CP451"/>
  <c r="CV451"/>
  <c r="CQ451"/>
  <c r="CR451"/>
  <c r="CW451"/>
  <c r="CU451"/>
  <c r="CT451"/>
  <c r="CS451"/>
  <c r="CZ234"/>
  <c r="CP235"/>
  <c r="CV235"/>
  <c r="CU235"/>
  <c r="CR235"/>
  <c r="CS235"/>
  <c r="CQ235"/>
  <c r="CW235"/>
  <c r="CT235"/>
  <c r="CZ301"/>
  <c r="CT302"/>
  <c r="CS302"/>
  <c r="CQ302"/>
  <c r="CP302"/>
  <c r="CW302"/>
  <c r="CV302"/>
  <c r="CU302"/>
  <c r="CR302"/>
  <c r="CR86"/>
  <c r="CU86"/>
  <c r="CT86"/>
  <c r="CZ85"/>
  <c r="CS86"/>
  <c r="CQ86"/>
  <c r="CV86"/>
  <c r="CP86"/>
  <c r="CW86"/>
  <c r="CZ368"/>
  <c r="CR369"/>
  <c r="CV369"/>
  <c r="CU369"/>
  <c r="CT369"/>
  <c r="CS369"/>
  <c r="CQ369"/>
  <c r="CW369"/>
  <c r="CP369"/>
  <c r="CP153"/>
  <c r="CV153"/>
  <c r="CZ152"/>
  <c r="CR153"/>
  <c r="CQ153"/>
  <c r="CW153"/>
  <c r="CU153"/>
  <c r="CS153"/>
  <c r="CT153"/>
  <c r="CZ435"/>
  <c r="CP436"/>
  <c r="CV436"/>
  <c r="CS436"/>
  <c r="CU436"/>
  <c r="CW436"/>
  <c r="CT436"/>
  <c r="CR436"/>
  <c r="CQ436"/>
  <c r="CZ219"/>
  <c r="CP220"/>
  <c r="CV220"/>
  <c r="CU220"/>
  <c r="CT220"/>
  <c r="CR220"/>
  <c r="CW220"/>
  <c r="CS220"/>
  <c r="CQ220"/>
  <c r="CR137"/>
  <c r="CZ136"/>
  <c r="CP137"/>
  <c r="CW137"/>
  <c r="CV137"/>
  <c r="CU137"/>
  <c r="CT137"/>
  <c r="CQ137"/>
  <c r="CS137"/>
  <c r="CZ369"/>
  <c r="CP370"/>
  <c r="CV370"/>
  <c r="CU370"/>
  <c r="CT370"/>
  <c r="CS370"/>
  <c r="CR370"/>
  <c r="CQ370"/>
  <c r="CW370"/>
  <c r="CT154"/>
  <c r="CQ154"/>
  <c r="CP154"/>
  <c r="CW154"/>
  <c r="CV154"/>
  <c r="CU154"/>
  <c r="CZ153"/>
  <c r="CR154"/>
  <c r="CS154"/>
  <c r="CZ388"/>
  <c r="CT389"/>
  <c r="CU389"/>
  <c r="CS389"/>
  <c r="CR389"/>
  <c r="CQ389"/>
  <c r="CP389"/>
  <c r="CW389"/>
  <c r="CV389"/>
  <c r="CZ172"/>
  <c r="CT173"/>
  <c r="CS173"/>
  <c r="CR173"/>
  <c r="CQ173"/>
  <c r="CW173"/>
  <c r="CU173"/>
  <c r="CV173"/>
  <c r="CP173"/>
  <c r="CZ419"/>
  <c r="CR420"/>
  <c r="CQ420"/>
  <c r="CP420"/>
  <c r="CW420"/>
  <c r="CV420"/>
  <c r="CU420"/>
  <c r="CT420"/>
  <c r="CS420"/>
  <c r="CZ203"/>
  <c r="CS204"/>
  <c r="CP204"/>
  <c r="CW204"/>
  <c r="CV204"/>
  <c r="CU204"/>
  <c r="CR204"/>
  <c r="CQ204"/>
  <c r="CT204"/>
  <c r="CZ492"/>
  <c r="CP493"/>
  <c r="CV493"/>
  <c r="CT493"/>
  <c r="CS493"/>
  <c r="CR493"/>
  <c r="CQ493"/>
  <c r="CW493"/>
  <c r="CU493"/>
  <c r="CZ240"/>
  <c r="CP241"/>
  <c r="CV241"/>
  <c r="CU241"/>
  <c r="CR241"/>
  <c r="CS241"/>
  <c r="CQ241"/>
  <c r="CW241"/>
  <c r="CT241"/>
  <c r="CZ271"/>
  <c r="CT272"/>
  <c r="CS272"/>
  <c r="CW272"/>
  <c r="CV272"/>
  <c r="CU272"/>
  <c r="CR272"/>
  <c r="CQ272"/>
  <c r="CP272"/>
  <c r="CR56"/>
  <c r="CQ56"/>
  <c r="CW56"/>
  <c r="CZ55"/>
  <c r="CS56"/>
  <c r="CP56"/>
  <c r="CV56"/>
  <c r="CT56"/>
  <c r="CU56"/>
  <c r="CZ302"/>
  <c r="CR303"/>
  <c r="CQ303"/>
  <c r="CW303"/>
  <c r="CS303"/>
  <c r="CP303"/>
  <c r="CV303"/>
  <c r="CU303"/>
  <c r="CT303"/>
  <c r="CP51"/>
  <c r="CV51"/>
  <c r="CU51"/>
  <c r="CW51"/>
  <c r="CT51"/>
  <c r="CZ50"/>
  <c r="CS51"/>
  <c r="CR51"/>
  <c r="CQ51"/>
  <c r="CZ466"/>
  <c r="CT467"/>
  <c r="CR467"/>
  <c r="CS467"/>
  <c r="CQ467"/>
  <c r="CP467"/>
  <c r="CW467"/>
  <c r="CV467"/>
  <c r="CU467"/>
  <c r="CZ250"/>
  <c r="CT251"/>
  <c r="CS251"/>
  <c r="CU251"/>
  <c r="CR251"/>
  <c r="CQ251"/>
  <c r="CP251"/>
  <c r="CW251"/>
  <c r="CV251"/>
  <c r="CZ317"/>
  <c r="CR318"/>
  <c r="CQ318"/>
  <c r="CW318"/>
  <c r="CV318"/>
  <c r="CU318"/>
  <c r="CT318"/>
  <c r="CS318"/>
  <c r="CP318"/>
  <c r="CZ101"/>
  <c r="CP102"/>
  <c r="CV102"/>
  <c r="CW102"/>
  <c r="CU102"/>
  <c r="CT102"/>
  <c r="CS102"/>
  <c r="CQ102"/>
  <c r="CR102"/>
  <c r="CP391"/>
  <c r="CV391"/>
  <c r="CS391"/>
  <c r="CR391"/>
  <c r="CQ391"/>
  <c r="CW391"/>
  <c r="CU391"/>
  <c r="CT391"/>
  <c r="CZ390"/>
  <c r="CP175"/>
  <c r="CV175"/>
  <c r="CU175"/>
  <c r="CT175"/>
  <c r="CS175"/>
  <c r="CQ175"/>
  <c r="CW175"/>
  <c r="CR175"/>
  <c r="CZ174"/>
  <c r="CZ457"/>
  <c r="CT458"/>
  <c r="CR458"/>
  <c r="CV458"/>
  <c r="CU458"/>
  <c r="CS458"/>
  <c r="CQ458"/>
  <c r="CP458"/>
  <c r="CW458"/>
  <c r="CZ241"/>
  <c r="CT242"/>
  <c r="CS242"/>
  <c r="CU242"/>
  <c r="CR242"/>
  <c r="CQ242"/>
  <c r="CP242"/>
  <c r="CW242"/>
  <c r="CV242"/>
  <c r="CR309"/>
  <c r="CQ309"/>
  <c r="CW309"/>
  <c r="CZ308"/>
  <c r="CV309"/>
  <c r="CU309"/>
  <c r="CT309"/>
  <c r="CS309"/>
  <c r="CP309"/>
  <c r="CP93"/>
  <c r="CV93"/>
  <c r="CW93"/>
  <c r="CU93"/>
  <c r="CT93"/>
  <c r="CS93"/>
  <c r="CQ93"/>
  <c r="CZ92"/>
  <c r="CR93"/>
  <c r="CZ375"/>
  <c r="CP376"/>
  <c r="CV376"/>
  <c r="CQ376"/>
  <c r="CW376"/>
  <c r="CU376"/>
  <c r="CT376"/>
  <c r="CS376"/>
  <c r="CR376"/>
  <c r="CT160"/>
  <c r="CS160"/>
  <c r="CZ159"/>
  <c r="CR160"/>
  <c r="CQ160"/>
  <c r="CP160"/>
  <c r="CW160"/>
  <c r="CU160"/>
  <c r="CV160"/>
  <c r="CZ256"/>
  <c r="CT257"/>
  <c r="CS257"/>
  <c r="CQ257"/>
  <c r="CP257"/>
  <c r="CW257"/>
  <c r="CV257"/>
  <c r="CU257"/>
  <c r="CR257"/>
  <c r="CZ323"/>
  <c r="CR324"/>
  <c r="CQ324"/>
  <c r="CW324"/>
  <c r="CU324"/>
  <c r="CT324"/>
  <c r="CS324"/>
  <c r="CP324"/>
  <c r="CV324"/>
  <c r="CZ396"/>
  <c r="CP397"/>
  <c r="CV397"/>
  <c r="CU397"/>
  <c r="CT397"/>
  <c r="CS397"/>
  <c r="CR397"/>
  <c r="CQ397"/>
  <c r="CW397"/>
  <c r="CZ463"/>
  <c r="CT464"/>
  <c r="CU464"/>
  <c r="CQ464"/>
  <c r="CP464"/>
  <c r="CW464"/>
  <c r="CV464"/>
  <c r="CS464"/>
  <c r="CR464"/>
  <c r="CP99"/>
  <c r="CV99"/>
  <c r="CZ98"/>
  <c r="CR99"/>
  <c r="CQ99"/>
  <c r="CW99"/>
  <c r="CU99"/>
  <c r="CS99"/>
  <c r="CT99"/>
  <c r="CP166"/>
  <c r="CV166"/>
  <c r="CU166"/>
  <c r="CT166"/>
  <c r="CZ165"/>
  <c r="CS166"/>
  <c r="CQ166"/>
  <c r="CW166"/>
  <c r="CR166"/>
  <c r="CZ262"/>
  <c r="CT263"/>
  <c r="CS263"/>
  <c r="CW263"/>
  <c r="CV263"/>
  <c r="CU263"/>
  <c r="CR263"/>
  <c r="CQ263"/>
  <c r="CP263"/>
  <c r="CZ329"/>
  <c r="CR330"/>
  <c r="CQ330"/>
  <c r="CW330"/>
  <c r="CS330"/>
  <c r="CP330"/>
  <c r="CV330"/>
  <c r="CU330"/>
  <c r="CT330"/>
  <c r="CZ402"/>
  <c r="CP403"/>
  <c r="CV403"/>
  <c r="CQ403"/>
  <c r="CW403"/>
  <c r="CU403"/>
  <c r="CT403"/>
  <c r="CS403"/>
  <c r="CR403"/>
  <c r="CZ469"/>
  <c r="CT470"/>
  <c r="CQ470"/>
  <c r="CP470"/>
  <c r="CW470"/>
  <c r="CV470"/>
  <c r="CU470"/>
  <c r="CS470"/>
  <c r="CR470"/>
  <c r="CP105"/>
  <c r="CV105"/>
  <c r="CT105"/>
  <c r="CS105"/>
  <c r="CZ104"/>
  <c r="CR105"/>
  <c r="CQ105"/>
  <c r="CU105"/>
  <c r="CW105"/>
  <c r="CP172"/>
  <c r="CV172"/>
  <c r="CU172"/>
  <c r="CT172"/>
  <c r="CS172"/>
  <c r="CZ171"/>
  <c r="CQ172"/>
  <c r="CW172"/>
  <c r="CR172"/>
  <c r="CZ268"/>
  <c r="CT269"/>
  <c r="CS269"/>
  <c r="CU269"/>
  <c r="CR269"/>
  <c r="CQ269"/>
  <c r="CP269"/>
  <c r="CW269"/>
  <c r="CV269"/>
  <c r="CZ335"/>
  <c r="CR336"/>
  <c r="CQ336"/>
  <c r="CW336"/>
  <c r="CV336"/>
  <c r="CU336"/>
  <c r="CT336"/>
  <c r="CS336"/>
  <c r="CP336"/>
  <c r="CP409"/>
  <c r="CV409"/>
  <c r="CZ408"/>
  <c r="CS409"/>
  <c r="CR409"/>
  <c r="CQ409"/>
  <c r="CW409"/>
  <c r="CU409"/>
  <c r="CT409"/>
  <c r="CZ475"/>
  <c r="CT476"/>
  <c r="CS476"/>
  <c r="CR476"/>
  <c r="CQ476"/>
  <c r="CP476"/>
  <c r="CW476"/>
  <c r="CV476"/>
  <c r="CU476"/>
  <c r="CR44"/>
  <c r="CQ44"/>
  <c r="CW44"/>
  <c r="CZ43"/>
  <c r="CV44"/>
  <c r="CU44"/>
  <c r="CT44"/>
  <c r="CP44"/>
  <c r="CS44"/>
  <c r="CP111"/>
  <c r="CV111"/>
  <c r="CW111"/>
  <c r="CU111"/>
  <c r="CT111"/>
  <c r="CS111"/>
  <c r="CQ111"/>
  <c r="CZ110"/>
  <c r="CR111"/>
  <c r="CP178"/>
  <c r="CV178"/>
  <c r="CZ177"/>
  <c r="CU178"/>
  <c r="CS178"/>
  <c r="CQ178"/>
  <c r="CW178"/>
  <c r="CR178"/>
  <c r="CT178"/>
  <c r="CZ292"/>
  <c r="CT293"/>
  <c r="CS293"/>
  <c r="CQ293"/>
  <c r="CP293"/>
  <c r="CW293"/>
  <c r="CV293"/>
  <c r="CU293"/>
  <c r="CR293"/>
  <c r="CZ359"/>
  <c r="CR360"/>
  <c r="CV360"/>
  <c r="CU360"/>
  <c r="CT360"/>
  <c r="CS360"/>
  <c r="CQ360"/>
  <c r="CW360"/>
  <c r="CP360"/>
  <c r="CZ432"/>
  <c r="CP433"/>
  <c r="CV433"/>
  <c r="CU433"/>
  <c r="CT433"/>
  <c r="CQ433"/>
  <c r="CS433"/>
  <c r="CW433"/>
  <c r="CR433"/>
  <c r="CZ499"/>
  <c r="CT500"/>
  <c r="CS500"/>
  <c r="CR500"/>
  <c r="CQ500"/>
  <c r="CP500"/>
  <c r="CW500"/>
  <c r="CV500"/>
  <c r="CU500"/>
  <c r="CR68"/>
  <c r="CQ68"/>
  <c r="CW68"/>
  <c r="CZ67"/>
  <c r="CU68"/>
  <c r="CT68"/>
  <c r="CS68"/>
  <c r="CP68"/>
  <c r="CV68"/>
  <c r="CP135"/>
  <c r="CV135"/>
  <c r="CZ134"/>
  <c r="CR135"/>
  <c r="CQ135"/>
  <c r="CW135"/>
  <c r="CU135"/>
  <c r="CS135"/>
  <c r="CT135"/>
  <c r="CZ201"/>
  <c r="CQ202"/>
  <c r="CW202"/>
  <c r="CR202"/>
  <c r="CP202"/>
  <c r="CV202"/>
  <c r="CT202"/>
  <c r="CU202"/>
  <c r="CS202"/>
  <c r="CZ298"/>
  <c r="CT299"/>
  <c r="CS299"/>
  <c r="CW299"/>
  <c r="CV299"/>
  <c r="CU299"/>
  <c r="CR299"/>
  <c r="CQ299"/>
  <c r="CP299"/>
  <c r="CZ365"/>
  <c r="CR366"/>
  <c r="CQ366"/>
  <c r="CP366"/>
  <c r="CW366"/>
  <c r="CV366"/>
  <c r="CU366"/>
  <c r="CT366"/>
  <c r="CS366"/>
  <c r="CZ438"/>
  <c r="CP439"/>
  <c r="CV439"/>
  <c r="CQ439"/>
  <c r="CS439"/>
  <c r="CW439"/>
  <c r="CT439"/>
  <c r="CU439"/>
  <c r="CR439"/>
  <c r="CZ505"/>
  <c r="CT506"/>
  <c r="CW506"/>
  <c r="CS506"/>
  <c r="CR506"/>
  <c r="CQ506"/>
  <c r="CP506"/>
  <c r="CV506"/>
  <c r="CU506"/>
  <c r="CR74"/>
  <c r="CQ74"/>
  <c r="CW74"/>
  <c r="CZ73"/>
  <c r="CS74"/>
  <c r="CP74"/>
  <c r="CV74"/>
  <c r="CT74"/>
  <c r="CU74"/>
  <c r="CP141"/>
  <c r="CV141"/>
  <c r="CT141"/>
  <c r="CS141"/>
  <c r="CZ140"/>
  <c r="CR141"/>
  <c r="CQ141"/>
  <c r="CU141"/>
  <c r="CW141"/>
  <c r="CZ207"/>
  <c r="CQ208"/>
  <c r="CW208"/>
  <c r="CT208"/>
  <c r="CS208"/>
  <c r="CR208"/>
  <c r="CV208"/>
  <c r="CU208"/>
  <c r="CP208"/>
  <c r="CZ232"/>
  <c r="CT233"/>
  <c r="CS233"/>
  <c r="CP233"/>
  <c r="CV233"/>
  <c r="CW233"/>
  <c r="CU233"/>
  <c r="CR233"/>
  <c r="CQ233"/>
  <c r="CZ299"/>
  <c r="CR300"/>
  <c r="CQ300"/>
  <c r="CW300"/>
  <c r="CV300"/>
  <c r="CU300"/>
  <c r="CT300"/>
  <c r="CS300"/>
  <c r="CP300"/>
  <c r="CP373"/>
  <c r="CV373"/>
  <c r="CZ372"/>
  <c r="CS373"/>
  <c r="CR373"/>
  <c r="CQ373"/>
  <c r="CW373"/>
  <c r="CU373"/>
  <c r="CT373"/>
  <c r="CZ439"/>
  <c r="CT440"/>
  <c r="CP440"/>
  <c r="CW440"/>
  <c r="CR440"/>
  <c r="CV440"/>
  <c r="CU440"/>
  <c r="CS440"/>
  <c r="CQ440"/>
  <c r="CZ506"/>
  <c r="CR507"/>
  <c r="CQ507"/>
  <c r="CW507"/>
  <c r="CP507"/>
  <c r="CV507"/>
  <c r="CU507"/>
  <c r="CT507"/>
  <c r="CS507"/>
  <c r="CP75"/>
  <c r="CV75"/>
  <c r="CU75"/>
  <c r="CZ74"/>
  <c r="CS75"/>
  <c r="CR75"/>
  <c r="CQ75"/>
  <c r="CT75"/>
  <c r="CW75"/>
  <c r="CT142"/>
  <c r="CS142"/>
  <c r="CZ141"/>
  <c r="CR142"/>
  <c r="CQ142"/>
  <c r="CP142"/>
  <c r="CW142"/>
  <c r="CU142"/>
  <c r="CV142"/>
  <c r="CZ346"/>
  <c r="CT347"/>
  <c r="CS347"/>
  <c r="CQ347"/>
  <c r="CP347"/>
  <c r="CW347"/>
  <c r="CV347"/>
  <c r="CU347"/>
  <c r="CR347"/>
  <c r="CR131"/>
  <c r="CZ130"/>
  <c r="CU131"/>
  <c r="CT131"/>
  <c r="CS131"/>
  <c r="CQ131"/>
  <c r="CV131"/>
  <c r="CW131"/>
  <c r="CP131"/>
  <c r="CZ413"/>
  <c r="CR414"/>
  <c r="CV414"/>
  <c r="CU414"/>
  <c r="CT414"/>
  <c r="CS414"/>
  <c r="CQ414"/>
  <c r="CW414"/>
  <c r="CP414"/>
  <c r="CZ197"/>
  <c r="CS198"/>
  <c r="CU198"/>
  <c r="CT198"/>
  <c r="CR198"/>
  <c r="CQ198"/>
  <c r="CP198"/>
  <c r="CW198"/>
  <c r="CV198"/>
  <c r="CZ486"/>
  <c r="CP487"/>
  <c r="CV487"/>
  <c r="CR487"/>
  <c r="CQ487"/>
  <c r="CW487"/>
  <c r="CU487"/>
  <c r="CT487"/>
  <c r="CS487"/>
  <c r="CZ270"/>
  <c r="CP271"/>
  <c r="CV271"/>
  <c r="CU271"/>
  <c r="CW271"/>
  <c r="CT271"/>
  <c r="CS271"/>
  <c r="CR271"/>
  <c r="CQ271"/>
  <c r="CT55"/>
  <c r="CS55"/>
  <c r="CQ55"/>
  <c r="CZ54"/>
  <c r="CP55"/>
  <c r="CW55"/>
  <c r="CV55"/>
  <c r="CR55"/>
  <c r="CU55"/>
  <c r="CZ337"/>
  <c r="CT338"/>
  <c r="CS338"/>
  <c r="CQ338"/>
  <c r="CP338"/>
  <c r="CW338"/>
  <c r="CV338"/>
  <c r="CU338"/>
  <c r="CR338"/>
  <c r="CR122"/>
  <c r="CU122"/>
  <c r="CT122"/>
  <c r="CS122"/>
  <c r="CZ121"/>
  <c r="CQ122"/>
  <c r="CV122"/>
  <c r="CW122"/>
  <c r="CP122"/>
  <c r="CZ404"/>
  <c r="CR405"/>
  <c r="CV405"/>
  <c r="CU405"/>
  <c r="CT405"/>
  <c r="CS405"/>
  <c r="CQ405"/>
  <c r="CW405"/>
  <c r="CP405"/>
  <c r="CZ188"/>
  <c r="CR189"/>
  <c r="CQ189"/>
  <c r="CW189"/>
  <c r="CU189"/>
  <c r="CS189"/>
  <c r="CT189"/>
  <c r="CP189"/>
  <c r="CV189"/>
  <c r="CZ471"/>
  <c r="CP472"/>
  <c r="CV472"/>
  <c r="CW472"/>
  <c r="CU472"/>
  <c r="CT472"/>
  <c r="CS472"/>
  <c r="CR472"/>
  <c r="CQ472"/>
  <c r="CZ255"/>
  <c r="CP256"/>
  <c r="CV256"/>
  <c r="CU256"/>
  <c r="CQ256"/>
  <c r="CW256"/>
  <c r="CT256"/>
  <c r="CS256"/>
  <c r="CR256"/>
  <c r="CZ441"/>
  <c r="CP442"/>
  <c r="CV442"/>
  <c r="CQ442"/>
  <c r="CT442"/>
  <c r="CS442"/>
  <c r="CR442"/>
  <c r="CW442"/>
  <c r="CU442"/>
  <c r="CP190"/>
  <c r="CV190"/>
  <c r="CU190"/>
  <c r="CZ189"/>
  <c r="CQ190"/>
  <c r="CW190"/>
  <c r="CT190"/>
  <c r="CS190"/>
  <c r="CR190"/>
  <c r="CZ424"/>
  <c r="CT425"/>
  <c r="CU425"/>
  <c r="CS425"/>
  <c r="CR425"/>
  <c r="CQ425"/>
  <c r="CP425"/>
  <c r="CW425"/>
  <c r="CV425"/>
  <c r="CZ208"/>
  <c r="CU209"/>
  <c r="CS209"/>
  <c r="CR209"/>
  <c r="CQ209"/>
  <c r="CV209"/>
  <c r="CT209"/>
  <c r="CP209"/>
  <c r="CW209"/>
  <c r="CZ455"/>
  <c r="CR456"/>
  <c r="CT456"/>
  <c r="CU456"/>
  <c r="CQ456"/>
  <c r="CP456"/>
  <c r="CS456"/>
  <c r="CW456"/>
  <c r="CV456"/>
  <c r="CZ239"/>
  <c r="CR240"/>
  <c r="CQ240"/>
  <c r="CW240"/>
  <c r="CT240"/>
  <c r="CV240"/>
  <c r="CU240"/>
  <c r="CS240"/>
  <c r="CP240"/>
  <c r="CZ276"/>
  <c r="CP277"/>
  <c r="CV277"/>
  <c r="CU277"/>
  <c r="CS277"/>
  <c r="CR277"/>
  <c r="CQ277"/>
  <c r="CW277"/>
  <c r="CT277"/>
  <c r="CT61"/>
  <c r="CS61"/>
  <c r="CW61"/>
  <c r="CV61"/>
  <c r="CU61"/>
  <c r="CR61"/>
  <c r="CZ60"/>
  <c r="CP61"/>
  <c r="CQ61"/>
  <c r="CZ307"/>
  <c r="CT308"/>
  <c r="CS308"/>
  <c r="CW308"/>
  <c r="CV308"/>
  <c r="CU308"/>
  <c r="CR308"/>
  <c r="CQ308"/>
  <c r="CP308"/>
  <c r="CR92"/>
  <c r="CP92"/>
  <c r="CW92"/>
  <c r="CV92"/>
  <c r="CU92"/>
  <c r="CT92"/>
  <c r="CZ91"/>
  <c r="CQ92"/>
  <c r="CS92"/>
  <c r="CZ338"/>
  <c r="CR339"/>
  <c r="CQ339"/>
  <c r="CW339"/>
  <c r="CS339"/>
  <c r="CP339"/>
  <c r="CV339"/>
  <c r="CU339"/>
  <c r="CT339"/>
  <c r="CP87"/>
  <c r="CV87"/>
  <c r="CT87"/>
  <c r="CZ86"/>
  <c r="CS87"/>
  <c r="CR87"/>
  <c r="CQ87"/>
  <c r="CU87"/>
  <c r="CW87"/>
  <c r="CZ502"/>
  <c r="CT503"/>
  <c r="CS503"/>
  <c r="CR503"/>
  <c r="CQ503"/>
  <c r="CW503"/>
  <c r="CP503"/>
  <c r="CV503"/>
  <c r="CU503"/>
  <c r="CZ286"/>
  <c r="CT287"/>
  <c r="CS287"/>
  <c r="CU287"/>
  <c r="CR287"/>
  <c r="CQ287"/>
  <c r="CP287"/>
  <c r="CW287"/>
  <c r="CV287"/>
  <c r="CR71"/>
  <c r="CZ70"/>
  <c r="CQ71"/>
  <c r="CW71"/>
  <c r="CV71"/>
  <c r="CU71"/>
  <c r="CT71"/>
  <c r="CP71"/>
  <c r="CS71"/>
  <c r="CZ353"/>
  <c r="CR354"/>
  <c r="CQ354"/>
  <c r="CW354"/>
  <c r="CV354"/>
  <c r="CU354"/>
  <c r="CT354"/>
  <c r="CS354"/>
  <c r="CP354"/>
  <c r="CZ137"/>
  <c r="CP138"/>
  <c r="CV138"/>
  <c r="CW138"/>
  <c r="CU138"/>
  <c r="CT138"/>
  <c r="CS138"/>
  <c r="CQ138"/>
  <c r="CR138"/>
  <c r="CP427"/>
  <c r="CV427"/>
  <c r="CZ426"/>
  <c r="CS427"/>
  <c r="CR427"/>
  <c r="CQ427"/>
  <c r="CU427"/>
  <c r="CW427"/>
  <c r="CT427"/>
  <c r="CQ211"/>
  <c r="CW211"/>
  <c r="CR211"/>
  <c r="CZ210"/>
  <c r="CP211"/>
  <c r="CV211"/>
  <c r="CT211"/>
  <c r="CU211"/>
  <c r="CS211"/>
  <c r="CZ493"/>
  <c r="CT494"/>
  <c r="CS494"/>
  <c r="CR494"/>
  <c r="CQ494"/>
  <c r="CP494"/>
  <c r="CV494"/>
  <c r="CW494"/>
  <c r="CU494"/>
  <c r="CZ277"/>
  <c r="CT278"/>
  <c r="CS278"/>
  <c r="CU278"/>
  <c r="CR278"/>
  <c r="CQ278"/>
  <c r="CP278"/>
  <c r="CW278"/>
  <c r="CV278"/>
  <c r="CR62"/>
  <c r="CQ62"/>
  <c r="CW62"/>
  <c r="CZ61"/>
  <c r="CV62"/>
  <c r="CU62"/>
  <c r="CT62"/>
  <c r="CP62"/>
  <c r="CS62"/>
  <c r="CR345"/>
  <c r="CQ345"/>
  <c r="CW345"/>
  <c r="CZ344"/>
  <c r="CV345"/>
  <c r="CU345"/>
  <c r="CT345"/>
  <c r="CS345"/>
  <c r="CP345"/>
  <c r="CP129"/>
  <c r="CV129"/>
  <c r="CW129"/>
  <c r="CU129"/>
  <c r="CT129"/>
  <c r="CS129"/>
  <c r="CQ129"/>
  <c r="CR129"/>
  <c r="CZ128"/>
  <c r="CZ411"/>
  <c r="CP412"/>
  <c r="CV412"/>
  <c r="CQ412"/>
  <c r="CW412"/>
  <c r="CU412"/>
  <c r="CT412"/>
  <c r="CS412"/>
  <c r="CR412"/>
  <c r="CZ195"/>
  <c r="CQ196"/>
  <c r="CW196"/>
  <c r="CV196"/>
  <c r="CU196"/>
  <c r="CT196"/>
  <c r="CS196"/>
  <c r="CR196"/>
  <c r="CP196"/>
  <c r="CZ328"/>
  <c r="CT329"/>
  <c r="CS329"/>
  <c r="CQ329"/>
  <c r="CP329"/>
  <c r="CW329"/>
  <c r="CV329"/>
  <c r="CU329"/>
  <c r="CR329"/>
  <c r="CZ395"/>
  <c r="CR396"/>
  <c r="CV396"/>
  <c r="CU396"/>
  <c r="CT396"/>
  <c r="CS396"/>
  <c r="CQ396"/>
  <c r="CP396"/>
  <c r="CW396"/>
  <c r="CZ468"/>
  <c r="CP469"/>
  <c r="CV469"/>
  <c r="CR469"/>
  <c r="CU469"/>
  <c r="CQ469"/>
  <c r="CW469"/>
  <c r="CT469"/>
  <c r="CS469"/>
  <c r="CR104"/>
  <c r="CU104"/>
  <c r="CT104"/>
  <c r="CS104"/>
  <c r="CZ103"/>
  <c r="CQ104"/>
  <c r="CV104"/>
  <c r="CW104"/>
  <c r="CP104"/>
  <c r="CZ170"/>
  <c r="CR171"/>
  <c r="CQ171"/>
  <c r="CW171"/>
  <c r="CP171"/>
  <c r="CV171"/>
  <c r="CU171"/>
  <c r="CS171"/>
  <c r="CT171"/>
  <c r="CZ237"/>
  <c r="CP238"/>
  <c r="CV238"/>
  <c r="CU238"/>
  <c r="CR238"/>
  <c r="CS238"/>
  <c r="CQ238"/>
  <c r="CW238"/>
  <c r="CT238"/>
  <c r="CZ334"/>
  <c r="CT335"/>
  <c r="CS335"/>
  <c r="CW335"/>
  <c r="CV335"/>
  <c r="CU335"/>
  <c r="CR335"/>
  <c r="CQ335"/>
  <c r="CP335"/>
  <c r="CZ401"/>
  <c r="CR402"/>
  <c r="CQ402"/>
  <c r="CP402"/>
  <c r="CW402"/>
  <c r="CV402"/>
  <c r="CU402"/>
  <c r="CT402"/>
  <c r="CS402"/>
  <c r="CZ474"/>
  <c r="CP475"/>
  <c r="CV475"/>
  <c r="CT475"/>
  <c r="CS475"/>
  <c r="CR475"/>
  <c r="CQ475"/>
  <c r="CW475"/>
  <c r="CU475"/>
  <c r="CT43"/>
  <c r="CS43"/>
  <c r="CZ42"/>
  <c r="CW43"/>
  <c r="CV43"/>
  <c r="CU43"/>
  <c r="CR43"/>
  <c r="CP43"/>
  <c r="CQ43"/>
  <c r="CR110"/>
  <c r="CP110"/>
  <c r="CW110"/>
  <c r="CV110"/>
  <c r="CU110"/>
  <c r="CT110"/>
  <c r="CZ109"/>
  <c r="CQ110"/>
  <c r="CS110"/>
  <c r="CR177"/>
  <c r="CQ177"/>
  <c r="CW177"/>
  <c r="CZ176"/>
  <c r="CU177"/>
  <c r="CS177"/>
  <c r="CV177"/>
  <c r="CT177"/>
  <c r="CP177"/>
  <c r="CZ243"/>
  <c r="CP244"/>
  <c r="CV244"/>
  <c r="CU244"/>
  <c r="CW244"/>
  <c r="CT244"/>
  <c r="CS244"/>
  <c r="CR244"/>
  <c r="CQ244"/>
  <c r="CZ340"/>
  <c r="CT341"/>
  <c r="CS341"/>
  <c r="CU341"/>
  <c r="CR341"/>
  <c r="CQ341"/>
  <c r="CP341"/>
  <c r="CW341"/>
  <c r="CV341"/>
  <c r="CZ407"/>
  <c r="CR408"/>
  <c r="CT408"/>
  <c r="CS408"/>
  <c r="CQ408"/>
  <c r="CP408"/>
  <c r="CW408"/>
  <c r="CV408"/>
  <c r="CU408"/>
  <c r="DC480"/>
  <c r="CP481"/>
  <c r="CV481"/>
  <c r="CZ480"/>
  <c r="CW481"/>
  <c r="CU481"/>
  <c r="CT481"/>
  <c r="CS481"/>
  <c r="CR481"/>
  <c r="CQ481"/>
  <c r="CT49"/>
  <c r="CS49"/>
  <c r="CZ48"/>
  <c r="CU49"/>
  <c r="CR49"/>
  <c r="CQ49"/>
  <c r="CP49"/>
  <c r="CV49"/>
  <c r="CW49"/>
  <c r="CR116"/>
  <c r="CS116"/>
  <c r="CZ115"/>
  <c r="CQ116"/>
  <c r="CP116"/>
  <c r="CW116"/>
  <c r="CV116"/>
  <c r="CT116"/>
  <c r="CU116"/>
  <c r="DC182"/>
  <c r="CR183"/>
  <c r="CQ183"/>
  <c r="CW183"/>
  <c r="CU183"/>
  <c r="CS183"/>
  <c r="CV183"/>
  <c r="CZ182"/>
  <c r="CT183"/>
  <c r="CP183"/>
  <c r="CZ249"/>
  <c r="CP250"/>
  <c r="CV250"/>
  <c r="CU250"/>
  <c r="CS250"/>
  <c r="CR250"/>
  <c r="CQ250"/>
  <c r="CW250"/>
  <c r="CT250"/>
  <c r="CZ364"/>
  <c r="CT365"/>
  <c r="CR365"/>
  <c r="CQ365"/>
  <c r="CP365"/>
  <c r="CW365"/>
  <c r="CV365"/>
  <c r="CU365"/>
  <c r="CS365"/>
  <c r="CZ431"/>
  <c r="CR432"/>
  <c r="CV432"/>
  <c r="CU432"/>
  <c r="CQ432"/>
  <c r="CT432"/>
  <c r="CP432"/>
  <c r="CS432"/>
  <c r="CW432"/>
  <c r="CZ504"/>
  <c r="CP505"/>
  <c r="CV505"/>
  <c r="CU505"/>
  <c r="CT505"/>
  <c r="CR505"/>
  <c r="CS505"/>
  <c r="CQ505"/>
  <c r="CW505"/>
  <c r="CT73"/>
  <c r="CS73"/>
  <c r="CQ73"/>
  <c r="CZ72"/>
  <c r="CP73"/>
  <c r="CW73"/>
  <c r="CV73"/>
  <c r="CR73"/>
  <c r="CU73"/>
  <c r="CR140"/>
  <c r="CU140"/>
  <c r="CT140"/>
  <c r="CS140"/>
  <c r="CZ139"/>
  <c r="CQ140"/>
  <c r="CV140"/>
  <c r="CP140"/>
  <c r="CW140"/>
  <c r="CZ206"/>
  <c r="CS207"/>
  <c r="CU207"/>
  <c r="CT207"/>
  <c r="CR207"/>
  <c r="CP207"/>
  <c r="CW207"/>
  <c r="CV207"/>
  <c r="CQ207"/>
  <c r="CZ273"/>
  <c r="CP274"/>
  <c r="CV274"/>
  <c r="CU274"/>
  <c r="CQ274"/>
  <c r="CW274"/>
  <c r="CT274"/>
  <c r="CS274"/>
  <c r="CR274"/>
  <c r="CZ370"/>
  <c r="CT371"/>
  <c r="CU371"/>
  <c r="CS371"/>
  <c r="CR371"/>
  <c r="CQ371"/>
  <c r="CP371"/>
  <c r="CW371"/>
  <c r="CV371"/>
  <c r="CZ437"/>
  <c r="CR438"/>
  <c r="CQ438"/>
  <c r="CT438"/>
  <c r="CU438"/>
  <c r="CS438"/>
  <c r="CP438"/>
  <c r="CW438"/>
  <c r="CV438"/>
  <c r="CZ510"/>
  <c r="CP511"/>
  <c r="CV511"/>
  <c r="CU511"/>
  <c r="CS511"/>
  <c r="CW511"/>
  <c r="CT511"/>
  <c r="CQ511"/>
  <c r="CR511"/>
  <c r="CT79"/>
  <c r="CS79"/>
  <c r="CR79"/>
  <c r="CQ79"/>
  <c r="CP79"/>
  <c r="CW79"/>
  <c r="CZ78"/>
  <c r="CU79"/>
  <c r="CV79"/>
  <c r="CR146"/>
  <c r="CP146"/>
  <c r="CW146"/>
  <c r="CV146"/>
  <c r="CU146"/>
  <c r="CT146"/>
  <c r="CZ145"/>
  <c r="CQ146"/>
  <c r="CS146"/>
  <c r="DC212"/>
  <c r="CZ212"/>
  <c r="CS213"/>
  <c r="CP213"/>
  <c r="CW213"/>
  <c r="CV213"/>
  <c r="CU213"/>
  <c r="CR213"/>
  <c r="CT213"/>
  <c r="CQ213"/>
  <c r="CZ279"/>
  <c r="CP280"/>
  <c r="CV280"/>
  <c r="CU280"/>
  <c r="CW280"/>
  <c r="CT280"/>
  <c r="CS280"/>
  <c r="CR280"/>
  <c r="CQ280"/>
  <c r="CZ304"/>
  <c r="CT305"/>
  <c r="CS305"/>
  <c r="CU305"/>
  <c r="CR305"/>
  <c r="CQ305"/>
  <c r="CP305"/>
  <c r="CW305"/>
  <c r="CV305"/>
  <c r="CZ371"/>
  <c r="CR372"/>
  <c r="CT372"/>
  <c r="CS372"/>
  <c r="CQ372"/>
  <c r="CP372"/>
  <c r="CW372"/>
  <c r="CV372"/>
  <c r="CU372"/>
  <c r="CP445"/>
  <c r="CV445"/>
  <c r="CZ444"/>
  <c r="CU445"/>
  <c r="CW445"/>
  <c r="CT445"/>
  <c r="CS445"/>
  <c r="CR445"/>
  <c r="CQ445"/>
  <c r="CZ511"/>
  <c r="CT512"/>
  <c r="CR512"/>
  <c r="CW512"/>
  <c r="CP512"/>
  <c r="CS512"/>
  <c r="CQ512"/>
  <c r="CV512"/>
  <c r="CU512"/>
  <c r="CR80"/>
  <c r="CZ79"/>
  <c r="CS80"/>
  <c r="CQ80"/>
  <c r="CP80"/>
  <c r="CW80"/>
  <c r="CV80"/>
  <c r="CT80"/>
  <c r="CU80"/>
  <c r="CP147"/>
  <c r="CV147"/>
  <c r="CW147"/>
  <c r="CU147"/>
  <c r="CT147"/>
  <c r="CS147"/>
  <c r="CQ147"/>
  <c r="CZ146"/>
  <c r="CR147"/>
  <c r="CZ213"/>
  <c r="CQ214"/>
  <c r="CV214"/>
  <c r="CU214"/>
  <c r="CT214"/>
  <c r="CR214"/>
  <c r="CW214"/>
  <c r="CS214"/>
  <c r="CP214"/>
  <c r="CZ382"/>
  <c r="CT383"/>
  <c r="CR383"/>
  <c r="CQ383"/>
  <c r="CP383"/>
  <c r="CW383"/>
  <c r="CV383"/>
  <c r="CU383"/>
  <c r="CS383"/>
  <c r="CZ166"/>
  <c r="CT167"/>
  <c r="CS167"/>
  <c r="CR167"/>
  <c r="CQ167"/>
  <c r="CW167"/>
  <c r="CU167"/>
  <c r="CV167"/>
  <c r="CP167"/>
  <c r="CZ449"/>
  <c r="CR450"/>
  <c r="CQ450"/>
  <c r="CP450"/>
  <c r="CW450"/>
  <c r="CV450"/>
  <c r="CU450"/>
  <c r="CT450"/>
  <c r="CS450"/>
  <c r="CZ233"/>
  <c r="CR234"/>
  <c r="CQ234"/>
  <c r="CW234"/>
  <c r="CT234"/>
  <c r="CV234"/>
  <c r="CU234"/>
  <c r="CS234"/>
  <c r="CP234"/>
  <c r="CZ306"/>
  <c r="CP307"/>
  <c r="CV307"/>
  <c r="CU307"/>
  <c r="CW307"/>
  <c r="CT307"/>
  <c r="CS307"/>
  <c r="CR307"/>
  <c r="CQ307"/>
  <c r="CT91"/>
  <c r="CZ90"/>
  <c r="CQ91"/>
  <c r="CP91"/>
  <c r="CW91"/>
  <c r="CV91"/>
  <c r="CU91"/>
  <c r="CR91"/>
  <c r="CS91"/>
  <c r="CZ373"/>
  <c r="CT374"/>
  <c r="CR374"/>
  <c r="CQ374"/>
  <c r="CP374"/>
  <c r="CW374"/>
  <c r="CV374"/>
  <c r="CU374"/>
  <c r="CS374"/>
  <c r="DC157"/>
  <c r="CR158"/>
  <c r="CU158"/>
  <c r="CT158"/>
  <c r="CS158"/>
  <c r="CZ157"/>
  <c r="CQ158"/>
  <c r="CV158"/>
  <c r="CW158"/>
  <c r="CP158"/>
  <c r="DC440"/>
  <c r="CZ440"/>
  <c r="CR441"/>
  <c r="CV441"/>
  <c r="CQ441"/>
  <c r="CS441"/>
  <c r="CP441"/>
  <c r="CW441"/>
  <c r="CU441"/>
  <c r="CT441"/>
  <c r="CZ224"/>
  <c r="CR225"/>
  <c r="CQ225"/>
  <c r="CW225"/>
  <c r="CT225"/>
  <c r="CV225"/>
  <c r="CU225"/>
  <c r="CS225"/>
  <c r="CP225"/>
  <c r="DC507"/>
  <c r="CZ507"/>
  <c r="CP508"/>
  <c r="CV508"/>
  <c r="CR508"/>
  <c r="CQ508"/>
  <c r="CU508"/>
  <c r="CT508"/>
  <c r="CS508"/>
  <c r="CW508"/>
  <c r="CZ291"/>
  <c r="CP292"/>
  <c r="CV292"/>
  <c r="CU292"/>
  <c r="CQ292"/>
  <c r="CW292"/>
  <c r="CT292"/>
  <c r="CS292"/>
  <c r="CR292"/>
  <c r="CT76"/>
  <c r="CS76"/>
  <c r="CZ75"/>
  <c r="CU76"/>
  <c r="CR76"/>
  <c r="CQ76"/>
  <c r="CP76"/>
  <c r="CV76"/>
  <c r="CW76"/>
  <c r="CP123"/>
  <c r="CV123"/>
  <c r="CT123"/>
  <c r="CS123"/>
  <c r="CZ122"/>
  <c r="CR123"/>
  <c r="CQ123"/>
  <c r="CU123"/>
  <c r="CW123"/>
  <c r="CZ225"/>
  <c r="CP226"/>
  <c r="CV226"/>
  <c r="CU226"/>
  <c r="CR226"/>
  <c r="CS226"/>
  <c r="CQ226"/>
  <c r="CW226"/>
  <c r="CT226"/>
  <c r="CZ460"/>
  <c r="CT461"/>
  <c r="CP461"/>
  <c r="CW461"/>
  <c r="CV461"/>
  <c r="CU461"/>
  <c r="CS461"/>
  <c r="CR461"/>
  <c r="CQ461"/>
  <c r="CZ244"/>
  <c r="CT245"/>
  <c r="CS245"/>
  <c r="CW245"/>
  <c r="CV245"/>
  <c r="CU245"/>
  <c r="CR245"/>
  <c r="CQ245"/>
  <c r="CP245"/>
  <c r="DC491"/>
  <c r="CZ491"/>
  <c r="CR492"/>
  <c r="CU492"/>
  <c r="CS492"/>
  <c r="CP492"/>
  <c r="CT492"/>
  <c r="CW492"/>
  <c r="CQ492"/>
  <c r="CV492"/>
  <c r="CZ275"/>
  <c r="CR276"/>
  <c r="CQ276"/>
  <c r="CW276"/>
  <c r="CS276"/>
  <c r="CP276"/>
  <c r="CV276"/>
  <c r="CU276"/>
  <c r="CT276"/>
  <c r="CZ59"/>
  <c r="CP60"/>
  <c r="CV60"/>
  <c r="CU60"/>
  <c r="CW60"/>
  <c r="CT60"/>
  <c r="CS60"/>
  <c r="CR60"/>
  <c r="CQ60"/>
  <c r="CZ312"/>
  <c r="CP313"/>
  <c r="CV313"/>
  <c r="CU313"/>
  <c r="CS313"/>
  <c r="CR313"/>
  <c r="CQ313"/>
  <c r="CW313"/>
  <c r="CT313"/>
  <c r="CT97"/>
  <c r="CS97"/>
  <c r="CR97"/>
  <c r="CZ96"/>
  <c r="CQ97"/>
  <c r="CP97"/>
  <c r="CW97"/>
  <c r="CU97"/>
  <c r="CV97"/>
  <c r="CZ343"/>
  <c r="CT344"/>
  <c r="CS344"/>
  <c r="CW344"/>
  <c r="CV344"/>
  <c r="CU344"/>
  <c r="CR344"/>
  <c r="CQ344"/>
  <c r="CP344"/>
  <c r="CR128"/>
  <c r="CP128"/>
  <c r="CW128"/>
  <c r="CV128"/>
  <c r="CU128"/>
  <c r="CT128"/>
  <c r="CZ127"/>
  <c r="CQ128"/>
  <c r="CS128"/>
  <c r="CZ374"/>
  <c r="CR375"/>
  <c r="CQ375"/>
  <c r="CP375"/>
  <c r="CW375"/>
  <c r="CV375"/>
  <c r="CU375"/>
  <c r="CT375"/>
  <c r="CS375"/>
  <c r="CP159"/>
  <c r="CV159"/>
  <c r="CT159"/>
  <c r="CS159"/>
  <c r="CZ158"/>
  <c r="CR159"/>
  <c r="CQ159"/>
  <c r="CU159"/>
  <c r="CW159"/>
  <c r="CT46"/>
  <c r="CS46"/>
  <c r="CZ45"/>
  <c r="CQ46"/>
  <c r="CP46"/>
  <c r="CW46"/>
  <c r="CV46"/>
  <c r="CR46"/>
  <c r="CU46"/>
  <c r="CZ322"/>
  <c r="CT323"/>
  <c r="CS323"/>
  <c r="CU323"/>
  <c r="CR323"/>
  <c r="CQ323"/>
  <c r="CP323"/>
  <c r="CW323"/>
  <c r="CV323"/>
  <c r="CR107"/>
  <c r="CZ106"/>
  <c r="CS107"/>
  <c r="CQ107"/>
  <c r="CP107"/>
  <c r="CW107"/>
  <c r="CV107"/>
  <c r="CT107"/>
  <c r="CU107"/>
  <c r="CZ389"/>
  <c r="CR390"/>
  <c r="CT390"/>
  <c r="CS390"/>
  <c r="CQ390"/>
  <c r="CP390"/>
  <c r="CW390"/>
  <c r="CV390"/>
  <c r="CU390"/>
  <c r="CZ173"/>
  <c r="CR174"/>
  <c r="CQ174"/>
  <c r="CW174"/>
  <c r="CP174"/>
  <c r="CV174"/>
  <c r="CU174"/>
  <c r="CS174"/>
  <c r="CT174"/>
  <c r="DC462"/>
  <c r="CP463"/>
  <c r="CV463"/>
  <c r="CZ462"/>
  <c r="CU463"/>
  <c r="CQ463"/>
  <c r="CW463"/>
  <c r="CT463"/>
  <c r="CS463"/>
  <c r="CR463"/>
  <c r="DC246"/>
  <c r="CP247"/>
  <c r="CV247"/>
  <c r="CU247"/>
  <c r="CZ246"/>
  <c r="CQ247"/>
  <c r="CW247"/>
  <c r="CT247"/>
  <c r="CS247"/>
  <c r="CR247"/>
  <c r="CZ313"/>
  <c r="CT314"/>
  <c r="CS314"/>
  <c r="CU314"/>
  <c r="CR314"/>
  <c r="CQ314"/>
  <c r="CP314"/>
  <c r="CW314"/>
  <c r="CV314"/>
  <c r="CR98"/>
  <c r="CS98"/>
  <c r="CZ97"/>
  <c r="CQ98"/>
  <c r="CP98"/>
  <c r="CW98"/>
  <c r="CV98"/>
  <c r="CT98"/>
  <c r="CU98"/>
  <c r="CZ380"/>
  <c r="CR381"/>
  <c r="CT381"/>
  <c r="CS381"/>
  <c r="CQ381"/>
  <c r="CP381"/>
  <c r="CW381"/>
  <c r="CV381"/>
  <c r="CU381"/>
  <c r="CR165"/>
  <c r="CQ165"/>
  <c r="CW165"/>
  <c r="CP165"/>
  <c r="CV165"/>
  <c r="CU165"/>
  <c r="CS165"/>
  <c r="CZ164"/>
  <c r="CT165"/>
  <c r="CZ447"/>
  <c r="CP448"/>
  <c r="CV448"/>
  <c r="CS448"/>
  <c r="CW448"/>
  <c r="CU448"/>
  <c r="CT448"/>
  <c r="CR448"/>
  <c r="CQ448"/>
  <c r="CZ231"/>
  <c r="CP232"/>
  <c r="CV232"/>
  <c r="CU232"/>
  <c r="CR232"/>
  <c r="CS232"/>
  <c r="CQ232"/>
  <c r="CW232"/>
  <c r="CT232"/>
  <c r="DA400"/>
  <c r="DA467"/>
  <c r="DA175"/>
  <c r="DA242"/>
  <c r="DA309"/>
  <c r="DA406"/>
  <c r="DA473"/>
  <c r="DA181"/>
  <c r="DA248"/>
  <c r="DA315"/>
  <c r="DA412"/>
  <c r="DA479"/>
  <c r="DA120"/>
  <c r="DA187"/>
  <c r="DA254"/>
  <c r="DA321"/>
  <c r="DA436"/>
  <c r="DA503"/>
  <c r="DA144"/>
  <c r="DA211"/>
  <c r="DA278"/>
  <c r="DA345"/>
  <c r="DA442"/>
  <c r="DA509"/>
  <c r="DA150"/>
  <c r="DA217"/>
  <c r="DA284"/>
  <c r="DA351"/>
  <c r="DA376"/>
  <c r="DA443"/>
  <c r="DA151"/>
  <c r="DA218"/>
  <c r="DA285"/>
  <c r="DA418"/>
  <c r="DA202"/>
  <c r="DA485"/>
  <c r="DA269"/>
  <c r="DA342"/>
  <c r="DA126"/>
  <c r="DA409"/>
  <c r="DA193"/>
  <c r="DA476"/>
  <c r="DA260"/>
  <c r="DA327"/>
  <c r="DA446"/>
  <c r="DA261"/>
  <c r="DA496"/>
  <c r="DA280"/>
  <c r="DA311"/>
  <c r="DA348"/>
  <c r="DA132"/>
  <c r="DA415"/>
  <c r="DA163"/>
  <c r="DA410"/>
  <c r="DA194"/>
  <c r="DA405"/>
  <c r="DA358"/>
  <c r="DA142"/>
  <c r="DA425"/>
  <c r="DA209"/>
  <c r="DA498"/>
  <c r="DA282"/>
  <c r="DA349"/>
  <c r="DA133"/>
  <c r="DA416"/>
  <c r="DA200"/>
  <c r="DA483"/>
  <c r="DA267"/>
  <c r="DA472"/>
  <c r="DA180"/>
  <c r="DA247"/>
  <c r="DA314"/>
  <c r="DA381"/>
  <c r="DA478"/>
  <c r="DC113"/>
  <c r="DA186"/>
  <c r="DA253"/>
  <c r="DA320"/>
  <c r="DA387"/>
  <c r="DA484"/>
  <c r="DA119"/>
  <c r="DA192"/>
  <c r="DA259"/>
  <c r="DA326"/>
  <c r="DA393"/>
  <c r="DA508"/>
  <c r="DA143"/>
  <c r="DA216"/>
  <c r="DA283"/>
  <c r="DA350"/>
  <c r="DA417"/>
  <c r="DA514"/>
  <c r="DA149"/>
  <c r="DA222"/>
  <c r="DA289"/>
  <c r="DA356"/>
  <c r="DA423"/>
  <c r="DA448"/>
  <c r="DA515"/>
  <c r="DA156"/>
  <c r="DA223"/>
  <c r="DA290"/>
  <c r="DA357"/>
  <c r="DA454"/>
  <c r="DA238"/>
  <c r="DA305"/>
  <c r="DA378"/>
  <c r="DA162"/>
  <c r="DA445"/>
  <c r="DA229"/>
  <c r="DA512"/>
  <c r="DA296"/>
  <c r="DA363"/>
  <c r="DA147"/>
  <c r="DA379"/>
  <c r="DA297"/>
  <c r="DC81"/>
  <c r="DA316"/>
  <c r="DA347"/>
  <c r="DA131"/>
  <c r="DA384"/>
  <c r="DA168"/>
  <c r="DA451"/>
  <c r="DA199"/>
  <c r="DA482"/>
  <c r="DA230"/>
  <c r="DA477"/>
  <c r="DA394"/>
  <c r="DA178"/>
  <c r="DA461"/>
  <c r="DA245"/>
  <c r="DA318"/>
  <c r="DA385"/>
  <c r="DA169"/>
  <c r="DA452"/>
  <c r="DA236"/>
  <c r="DA303"/>
  <c r="DA179"/>
  <c r="DA252"/>
  <c r="DA319"/>
  <c r="DA386"/>
  <c r="DA453"/>
  <c r="DA118"/>
  <c r="DA185"/>
  <c r="DA258"/>
  <c r="DA325"/>
  <c r="DA392"/>
  <c r="DA459"/>
  <c r="DA124"/>
  <c r="DA191"/>
  <c r="DA264"/>
  <c r="DA331"/>
  <c r="DA398"/>
  <c r="DA465"/>
  <c r="DA148"/>
  <c r="DA215"/>
  <c r="DA288"/>
  <c r="DA355"/>
  <c r="DA422"/>
  <c r="DA489"/>
  <c r="DA154"/>
  <c r="DA221"/>
  <c r="DA294"/>
  <c r="DA361"/>
  <c r="DA428"/>
  <c r="DA495"/>
  <c r="DA155"/>
  <c r="DA228"/>
  <c r="DA295"/>
  <c r="DA362"/>
  <c r="DA429"/>
  <c r="DA490"/>
  <c r="DA274"/>
  <c r="DA341"/>
  <c r="DA125"/>
  <c r="DA414"/>
  <c r="DA198"/>
  <c r="DA481"/>
  <c r="DA265"/>
  <c r="DA332"/>
  <c r="DA399"/>
  <c r="DA183"/>
  <c r="DA456"/>
  <c r="DA333"/>
  <c r="DA352"/>
  <c r="DA383"/>
  <c r="DA167"/>
  <c r="DA420"/>
  <c r="DA204"/>
  <c r="DA487"/>
  <c r="DA235"/>
  <c r="DA266"/>
  <c r="DA513"/>
  <c r="DA430"/>
  <c r="DA214"/>
  <c r="DA497"/>
  <c r="DA281"/>
  <c r="DC65"/>
  <c r="DA354"/>
  <c r="DA138"/>
  <c r="DA421"/>
  <c r="DA205"/>
  <c r="DA488"/>
  <c r="DA272"/>
  <c r="DA339"/>
  <c r="DA123"/>
  <c r="DA184"/>
  <c r="DA251"/>
  <c r="DA324"/>
  <c r="DA391"/>
  <c r="DA458"/>
  <c r="DA190"/>
  <c r="DA257"/>
  <c r="DA330"/>
  <c r="DA397"/>
  <c r="DA464"/>
  <c r="DA196"/>
  <c r="DA263"/>
  <c r="DA336"/>
  <c r="DA403"/>
  <c r="DA470"/>
  <c r="DA220"/>
  <c r="DA287"/>
  <c r="DA360"/>
  <c r="DA427"/>
  <c r="DA494"/>
  <c r="DA129"/>
  <c r="DA226"/>
  <c r="DA293"/>
  <c r="DA366"/>
  <c r="DA433"/>
  <c r="DA500"/>
  <c r="DA135"/>
  <c r="DA160"/>
  <c r="DA227"/>
  <c r="DA300"/>
  <c r="DA367"/>
  <c r="DA434"/>
  <c r="DA501"/>
  <c r="DA310"/>
  <c r="DA377"/>
  <c r="DA161"/>
  <c r="DA450"/>
  <c r="DA234"/>
  <c r="DA301"/>
  <c r="DA368"/>
  <c r="DA152"/>
  <c r="DA435"/>
  <c r="DA219"/>
  <c r="DA136"/>
  <c r="DA369"/>
  <c r="DA153"/>
  <c r="DA388"/>
  <c r="DA172"/>
  <c r="DA419"/>
  <c r="DA203"/>
  <c r="DA492"/>
  <c r="DA240"/>
  <c r="DA271"/>
  <c r="DA302"/>
  <c r="DA466"/>
  <c r="DA250"/>
  <c r="DA317"/>
  <c r="DA390"/>
  <c r="DA174"/>
  <c r="DA457"/>
  <c r="DA241"/>
  <c r="DA308"/>
  <c r="DA375"/>
  <c r="DA159"/>
  <c r="DA256"/>
  <c r="DA323"/>
  <c r="DA396"/>
  <c r="DA463"/>
  <c r="DC98"/>
  <c r="DA165"/>
  <c r="DA262"/>
  <c r="DA329"/>
  <c r="DA402"/>
  <c r="DA469"/>
  <c r="DC104"/>
  <c r="DA171"/>
  <c r="DA268"/>
  <c r="DA335"/>
  <c r="DA408"/>
  <c r="DA475"/>
  <c r="DC43"/>
  <c r="DC110"/>
  <c r="DA177"/>
  <c r="DA292"/>
  <c r="DA359"/>
  <c r="DA432"/>
  <c r="DA499"/>
  <c r="DC67"/>
  <c r="DA134"/>
  <c r="DA201"/>
  <c r="DA298"/>
  <c r="DA365"/>
  <c r="DA438"/>
  <c r="DA505"/>
  <c r="DA140"/>
  <c r="DA207"/>
  <c r="DA232"/>
  <c r="DA299"/>
  <c r="DA372"/>
  <c r="DA439"/>
  <c r="DA506"/>
  <c r="DC74"/>
  <c r="DA141"/>
  <c r="DA346"/>
  <c r="DA130"/>
  <c r="DA413"/>
  <c r="DA197"/>
  <c r="DA486"/>
  <c r="DA270"/>
  <c r="DC54"/>
  <c r="DA337"/>
  <c r="DA121"/>
  <c r="DA404"/>
  <c r="DA188"/>
  <c r="DA471"/>
  <c r="DA255"/>
  <c r="DA441"/>
  <c r="DA189"/>
  <c r="DA424"/>
  <c r="DA208"/>
  <c r="DA455"/>
  <c r="DA239"/>
  <c r="DA276"/>
  <c r="DC60"/>
  <c r="DA307"/>
  <c r="DA338"/>
  <c r="DC86"/>
  <c r="DA502"/>
  <c r="DA286"/>
  <c r="DC70"/>
  <c r="DA353"/>
  <c r="DA137"/>
  <c r="DA426"/>
  <c r="DA210"/>
  <c r="DA493"/>
  <c r="DA277"/>
  <c r="DA344"/>
  <c r="DA128"/>
  <c r="DA411"/>
  <c r="DA195"/>
  <c r="DA328"/>
  <c r="DA395"/>
  <c r="DA468"/>
  <c r="DA170"/>
  <c r="DA237"/>
  <c r="DA334"/>
  <c r="DA401"/>
  <c r="DA474"/>
  <c r="DA176"/>
  <c r="DA243"/>
  <c r="DA340"/>
  <c r="DA407"/>
  <c r="DA480"/>
  <c r="DA182"/>
  <c r="DA249"/>
  <c r="DA364"/>
  <c r="DA431"/>
  <c r="DA504"/>
  <c r="DA139"/>
  <c r="DA206"/>
  <c r="DA273"/>
  <c r="DA370"/>
  <c r="DA437"/>
  <c r="DA510"/>
  <c r="DA145"/>
  <c r="DA212"/>
  <c r="DA279"/>
  <c r="DA304"/>
  <c r="DA371"/>
  <c r="DA444"/>
  <c r="DA511"/>
  <c r="DA146"/>
  <c r="DA213"/>
  <c r="DA382"/>
  <c r="DA166"/>
  <c r="DA449"/>
  <c r="DA233"/>
  <c r="DA306"/>
  <c r="DA373"/>
  <c r="DA157"/>
  <c r="DA440"/>
  <c r="DA224"/>
  <c r="DA507"/>
  <c r="DA291"/>
  <c r="DA122"/>
  <c r="DA225"/>
  <c r="DA460"/>
  <c r="DA244"/>
  <c r="DA491"/>
  <c r="DA275"/>
  <c r="DA312"/>
  <c r="DA343"/>
  <c r="DA127"/>
  <c r="DA374"/>
  <c r="DA158"/>
  <c r="DA322"/>
  <c r="DA389"/>
  <c r="DA173"/>
  <c r="DA462"/>
  <c r="DA246"/>
  <c r="DA313"/>
  <c r="DA380"/>
  <c r="DA164"/>
  <c r="DA447"/>
  <c r="DA231"/>
  <c r="DC505"/>
  <c r="DC277"/>
  <c r="DC502"/>
  <c r="DC439"/>
  <c r="DC137"/>
  <c r="DC177"/>
  <c r="DC130"/>
  <c r="DC188"/>
  <c r="DC329"/>
  <c r="DC353"/>
  <c r="DC189"/>
  <c r="DC337"/>
  <c r="DC140"/>
  <c r="DC426"/>
  <c r="DC128"/>
  <c r="DC359"/>
  <c r="DC207"/>
  <c r="DC208"/>
  <c r="DC344"/>
  <c r="DC346"/>
  <c r="DC463"/>
  <c r="DC404"/>
  <c r="DC195"/>
  <c r="DC121"/>
  <c r="DC402"/>
  <c r="DC276"/>
  <c r="DC292"/>
  <c r="DC486"/>
  <c r="DC237"/>
  <c r="DC273"/>
  <c r="DC510"/>
  <c r="DC444"/>
  <c r="DC334"/>
  <c r="DC170"/>
  <c r="DC232"/>
  <c r="DC396"/>
  <c r="DC413"/>
  <c r="DC307"/>
  <c r="DC424"/>
  <c r="DC141"/>
  <c r="DC197"/>
  <c r="DC286"/>
  <c r="DC178"/>
  <c r="DC281"/>
  <c r="DC420"/>
  <c r="DC514"/>
  <c r="DC149"/>
  <c r="DC352"/>
  <c r="DC390"/>
  <c r="DC475"/>
  <c r="DC204"/>
  <c r="DC270"/>
  <c r="DC331"/>
  <c r="DC201"/>
  <c r="DC171"/>
  <c r="DC432"/>
  <c r="DC471"/>
  <c r="DC298"/>
  <c r="DC338"/>
  <c r="DC295"/>
  <c r="DC493"/>
  <c r="DC408"/>
  <c r="DC263"/>
  <c r="DC318"/>
  <c r="DC393"/>
  <c r="DC156"/>
  <c r="DC452"/>
  <c r="DC238"/>
  <c r="DC216"/>
  <c r="DC512"/>
  <c r="DC169"/>
  <c r="DC162"/>
  <c r="DC199"/>
  <c r="DC482"/>
  <c r="DC253"/>
  <c r="DC454"/>
  <c r="DC296"/>
  <c r="DC384"/>
  <c r="DC236"/>
  <c r="DC180"/>
  <c r="DC223"/>
  <c r="DC363"/>
  <c r="DC305"/>
  <c r="DC515"/>
  <c r="DC472"/>
  <c r="DC356"/>
  <c r="DC381"/>
  <c r="DC259"/>
  <c r="DC147"/>
  <c r="DC394"/>
  <c r="DC456"/>
  <c r="DC316"/>
  <c r="DC383"/>
  <c r="DC268"/>
  <c r="DC319"/>
  <c r="DC221"/>
  <c r="DC288"/>
  <c r="DC240"/>
  <c r="DC203"/>
  <c r="DC250"/>
  <c r="DC161"/>
  <c r="DC435"/>
  <c r="DC419"/>
  <c r="DC500"/>
  <c r="DC457"/>
  <c r="DC153"/>
  <c r="DC293"/>
  <c r="DC317"/>
  <c r="DC159"/>
  <c r="DC466"/>
  <c r="DC271"/>
  <c r="DC308"/>
  <c r="DC492"/>
  <c r="DC375"/>
  <c r="DC174"/>
  <c r="DC448"/>
  <c r="DC501"/>
  <c r="DC347"/>
  <c r="DC326"/>
  <c r="DC297"/>
  <c r="DC323"/>
  <c r="DC422"/>
  <c r="DC143"/>
  <c r="DC198"/>
  <c r="DC256"/>
  <c r="DC262"/>
  <c r="DC172"/>
  <c r="DC438"/>
  <c r="DC441"/>
  <c r="DC152"/>
  <c r="DC499"/>
  <c r="DC398"/>
  <c r="DC477"/>
  <c r="DC377"/>
  <c r="DC455"/>
  <c r="DC474"/>
  <c r="DC368"/>
  <c r="DC287"/>
  <c r="DC388"/>
  <c r="DC192"/>
  <c r="DC335"/>
  <c r="DC409"/>
  <c r="DC412"/>
  <c r="DC280"/>
  <c r="DC150"/>
  <c r="DC133"/>
  <c r="DC285"/>
  <c r="DC467"/>
  <c r="DC349"/>
  <c r="DC321"/>
  <c r="DC315"/>
  <c r="DC443"/>
  <c r="DC358"/>
  <c r="DC327"/>
  <c r="DC483"/>
  <c r="DC194"/>
  <c r="DC132"/>
  <c r="DC425"/>
  <c r="DC498"/>
  <c r="DC193"/>
  <c r="DC181"/>
  <c r="DC248"/>
  <c r="DC400"/>
  <c r="DC278"/>
  <c r="DC209"/>
  <c r="DC446"/>
  <c r="DC376"/>
  <c r="DC269"/>
  <c r="DC242"/>
  <c r="DC485"/>
  <c r="DC418"/>
  <c r="DC311"/>
  <c r="DC211"/>
  <c r="DC200"/>
  <c r="DC218"/>
  <c r="DC142"/>
  <c r="DC202"/>
  <c r="DC503"/>
  <c r="DC120"/>
  <c r="DC254"/>
  <c r="DC442"/>
  <c r="DC348"/>
  <c r="DC217"/>
  <c r="DC415"/>
  <c r="DC124"/>
  <c r="DC167"/>
  <c r="DC332"/>
  <c r="DC495"/>
  <c r="DC235"/>
  <c r="DC215"/>
  <c r="DC339"/>
  <c r="DC488"/>
  <c r="DC341"/>
  <c r="DC258"/>
  <c r="DC155"/>
  <c r="DC325"/>
  <c r="DC428"/>
  <c r="DC191"/>
  <c r="DC490"/>
  <c r="DC154"/>
  <c r="DC333"/>
  <c r="DC274"/>
  <c r="DC481"/>
  <c r="DC185"/>
  <c r="DC265"/>
  <c r="DC459"/>
  <c r="DC183"/>
  <c r="DC205"/>
  <c r="DC354"/>
  <c r="DC430"/>
  <c r="DC123"/>
  <c r="BD362"/>
  <c r="DC165"/>
  <c r="DC328"/>
  <c r="DC340"/>
  <c r="DC179"/>
  <c r="DC465"/>
  <c r="DC260"/>
  <c r="DC414"/>
  <c r="DC294"/>
  <c r="DC513"/>
  <c r="DC282"/>
  <c r="DC125"/>
  <c r="DC516"/>
  <c r="DC148"/>
  <c r="DC144"/>
  <c r="DC429"/>
  <c r="DC406"/>
  <c r="DC252"/>
  <c r="DC267"/>
  <c r="BD471"/>
  <c r="DC357"/>
  <c r="DC484"/>
  <c r="DC392"/>
  <c r="DC290"/>
  <c r="DC509"/>
  <c r="DC222"/>
  <c r="DC362"/>
  <c r="DC405"/>
  <c r="DC416"/>
  <c r="BD398"/>
  <c r="DC289"/>
  <c r="DC453"/>
  <c r="DC361"/>
  <c r="DC210"/>
  <c r="DC479"/>
  <c r="DC134"/>
  <c r="DC131"/>
  <c r="DC255"/>
  <c r="DC283"/>
  <c r="DC387"/>
  <c r="DC451"/>
  <c r="DC386"/>
  <c r="DC309"/>
  <c r="DC365"/>
  <c r="DC214"/>
  <c r="DC303"/>
  <c r="DC469"/>
  <c r="DC324"/>
  <c r="DC175"/>
  <c r="DC473"/>
  <c r="DC187"/>
  <c r="DC436"/>
  <c r="DC345"/>
  <c r="DC284"/>
  <c r="DC351"/>
  <c r="DC151"/>
  <c r="DC342"/>
  <c r="DC126"/>
  <c r="DC476"/>
  <c r="DC261"/>
  <c r="DC496"/>
  <c r="DC163"/>
  <c r="DC410"/>
  <c r="DC251"/>
  <c r="DC458"/>
  <c r="BD357"/>
  <c r="DC310"/>
  <c r="DC427"/>
  <c r="DC227"/>
  <c r="DC247"/>
  <c r="DC314"/>
  <c r="DC478"/>
  <c r="DC186"/>
  <c r="DC320"/>
  <c r="DC119"/>
  <c r="DC508"/>
  <c r="DC350"/>
  <c r="DC417"/>
  <c r="DC423"/>
  <c r="DC378"/>
  <c r="DC445"/>
  <c r="DC229"/>
  <c r="DC379"/>
  <c r="DC168"/>
  <c r="DC230"/>
  <c r="DC461"/>
  <c r="DC245"/>
  <c r="DC385"/>
  <c r="DC367"/>
  <c r="DC118"/>
  <c r="DC264"/>
  <c r="DC355"/>
  <c r="DC489"/>
  <c r="DC228"/>
  <c r="DC399"/>
  <c r="DC487"/>
  <c r="DC421"/>
  <c r="DC272"/>
  <c r="DC397"/>
  <c r="DC190"/>
  <c r="DC135"/>
  <c r="DC450"/>
  <c r="DC464"/>
  <c r="DC330"/>
  <c r="DC360"/>
  <c r="BD507"/>
  <c r="DC300"/>
  <c r="DC196"/>
  <c r="DC234"/>
  <c r="DC219"/>
  <c r="DC136"/>
  <c r="DC302"/>
  <c r="DC241"/>
  <c r="DC433"/>
  <c r="DC403"/>
  <c r="DC160"/>
  <c r="DC434"/>
  <c r="DC220"/>
  <c r="DC494"/>
  <c r="DC226"/>
  <c r="DC257"/>
  <c r="DC470"/>
  <c r="DC391"/>
  <c r="DC184"/>
  <c r="DC336"/>
  <c r="DC468"/>
  <c r="DC129"/>
  <c r="DC301"/>
  <c r="DC366"/>
  <c r="BE373"/>
  <c r="BE462"/>
  <c r="BD419"/>
  <c r="BD435"/>
  <c r="BD395"/>
  <c r="BD384"/>
  <c r="BD382"/>
  <c r="BD466"/>
  <c r="BD426"/>
  <c r="BD427"/>
  <c r="BE448"/>
  <c r="BE464"/>
  <c r="BE371"/>
  <c r="BE380"/>
  <c r="BE420"/>
  <c r="BE441"/>
  <c r="BE383"/>
  <c r="BE428"/>
  <c r="BE361"/>
  <c r="BE503"/>
  <c r="BE468"/>
  <c r="BE465"/>
  <c r="BE389"/>
  <c r="BE438"/>
  <c r="BE502"/>
  <c r="BE512"/>
  <c r="BE363"/>
  <c r="BE390"/>
  <c r="BE396"/>
  <c r="BE369"/>
  <c r="BE423"/>
  <c r="BE498"/>
  <c r="BE484"/>
  <c r="BE406"/>
  <c r="BE416"/>
  <c r="BE414"/>
  <c r="BE489"/>
  <c r="BE488"/>
  <c r="BE403"/>
  <c r="BE453"/>
  <c r="BE452"/>
  <c r="BE506"/>
  <c r="BE510"/>
  <c r="BE399"/>
  <c r="BE492"/>
  <c r="BE425"/>
  <c r="BE477"/>
  <c r="BE472"/>
  <c r="BE402"/>
  <c r="BE375"/>
  <c r="BE455"/>
  <c r="BE400"/>
  <c r="BE377"/>
  <c r="BE360"/>
  <c r="BE355"/>
  <c r="BE485"/>
  <c r="BE450"/>
  <c r="BE418"/>
  <c r="BE451"/>
  <c r="BE513"/>
  <c r="BE500"/>
  <c r="BE388"/>
  <c r="BE368"/>
  <c r="BE509"/>
  <c r="BE379"/>
  <c r="BE431"/>
  <c r="BE463"/>
  <c r="BE449"/>
  <c r="BE391"/>
  <c r="BE417"/>
  <c r="BE443"/>
  <c r="BE376"/>
  <c r="BE483"/>
  <c r="BE444"/>
  <c r="BE387"/>
  <c r="BE514"/>
  <c r="BE456"/>
  <c r="BE424"/>
  <c r="BE386"/>
  <c r="BE411"/>
  <c r="BE408"/>
  <c r="BE474"/>
  <c r="BE385"/>
  <c r="BE478"/>
  <c r="BE516"/>
  <c r="BE475"/>
  <c r="BE374"/>
  <c r="BE421"/>
  <c r="BE365"/>
  <c r="BE394"/>
  <c r="BE490"/>
  <c r="BE412"/>
  <c r="BE447"/>
  <c r="BE413"/>
  <c r="BE459"/>
  <c r="BE393"/>
  <c r="BE358"/>
  <c r="BE454"/>
  <c r="BE364"/>
  <c r="BE410"/>
  <c r="BE504"/>
  <c r="BE469"/>
  <c r="BE356"/>
  <c r="BE482"/>
  <c r="BE515"/>
  <c r="BE437"/>
  <c r="BE432"/>
  <c r="BE422"/>
  <c r="BE496"/>
  <c r="BE487"/>
  <c r="BE495"/>
  <c r="BE494"/>
  <c r="BE442"/>
  <c r="BE457"/>
  <c r="BE434"/>
  <c r="BE491"/>
  <c r="BE476"/>
  <c r="BE354"/>
  <c r="BE501"/>
  <c r="BE433"/>
  <c r="BE479"/>
  <c r="BE470"/>
  <c r="BE458"/>
  <c r="BE405"/>
  <c r="BE460"/>
  <c r="BE480"/>
  <c r="BE461"/>
  <c r="BE481"/>
  <c r="BE407"/>
  <c r="BE493"/>
  <c r="BE473"/>
  <c r="BE508"/>
  <c r="BE467"/>
  <c r="BE370"/>
  <c r="BE367"/>
  <c r="BE415"/>
  <c r="BE439"/>
  <c r="BE404"/>
  <c r="BE430"/>
  <c r="BE505"/>
  <c r="BE429"/>
  <c r="BE397"/>
  <c r="BE401"/>
  <c r="BE497"/>
  <c r="BE499"/>
  <c r="BE378"/>
  <c r="BE392"/>
  <c r="BE381"/>
  <c r="BE486"/>
  <c r="BE372"/>
  <c r="BE445"/>
  <c r="BE359"/>
  <c r="BE511"/>
  <c r="BE366"/>
  <c r="BE446"/>
  <c r="BE12"/>
  <c r="DA27" s="1"/>
  <c r="AL466"/>
  <c r="AT466" s="1"/>
  <c r="AP466"/>
  <c r="AX466" s="1"/>
  <c r="AO466"/>
  <c r="AW466" s="1"/>
  <c r="AJ466"/>
  <c r="AR466" s="1"/>
  <c r="AI466"/>
  <c r="AQ466" s="1"/>
  <c r="AL496"/>
  <c r="AT496" s="1"/>
  <c r="AP496"/>
  <c r="AX496" s="1"/>
  <c r="AO496"/>
  <c r="AW496" s="1"/>
  <c r="AJ496"/>
  <c r="AR496" s="1"/>
  <c r="AI496"/>
  <c r="AQ496" s="1"/>
  <c r="AP489"/>
  <c r="AX489" s="1"/>
  <c r="AO489"/>
  <c r="AW489" s="1"/>
  <c r="AL489"/>
  <c r="AT489" s="1"/>
  <c r="AJ489"/>
  <c r="AR489" s="1"/>
  <c r="AI489"/>
  <c r="AQ489" s="1"/>
  <c r="AP458"/>
  <c r="AX458" s="1"/>
  <c r="AO458"/>
  <c r="AW458" s="1"/>
  <c r="AL458"/>
  <c r="AT458" s="1"/>
  <c r="AJ458"/>
  <c r="AR458" s="1"/>
  <c r="AI458"/>
  <c r="AQ458" s="1"/>
  <c r="AP427"/>
  <c r="AX427" s="1"/>
  <c r="AO427"/>
  <c r="AW427" s="1"/>
  <c r="AL427"/>
  <c r="AT427" s="1"/>
  <c r="AJ427"/>
  <c r="AR427" s="1"/>
  <c r="AI427"/>
  <c r="AQ427" s="1"/>
  <c r="AP432"/>
  <c r="AX432" s="1"/>
  <c r="AL432"/>
  <c r="AT432" s="1"/>
  <c r="AO432"/>
  <c r="AW432" s="1"/>
  <c r="AJ432"/>
  <c r="AR432" s="1"/>
  <c r="AI432"/>
  <c r="AQ432" s="1"/>
  <c r="AL383"/>
  <c r="AT383" s="1"/>
  <c r="AP383"/>
  <c r="AX383" s="1"/>
  <c r="AO383"/>
  <c r="AW383" s="1"/>
  <c r="AJ383"/>
  <c r="AR383" s="1"/>
  <c r="AI383"/>
  <c r="AQ383" s="1"/>
  <c r="AL437"/>
  <c r="AT437" s="1"/>
  <c r="AP437"/>
  <c r="AX437" s="1"/>
  <c r="AO437"/>
  <c r="AW437" s="1"/>
  <c r="AJ437"/>
  <c r="AR437" s="1"/>
  <c r="AI437"/>
  <c r="AQ437" s="1"/>
  <c r="AP444"/>
  <c r="AX444" s="1"/>
  <c r="AL444"/>
  <c r="AT444" s="1"/>
  <c r="AO444"/>
  <c r="AW444" s="1"/>
  <c r="AJ444"/>
  <c r="AR444" s="1"/>
  <c r="AI444"/>
  <c r="AQ444" s="1"/>
  <c r="AP469"/>
  <c r="AX469" s="1"/>
  <c r="AO469"/>
  <c r="AW469" s="1"/>
  <c r="AL469"/>
  <c r="AT469" s="1"/>
  <c r="AJ469"/>
  <c r="AR469" s="1"/>
  <c r="AI469"/>
  <c r="AQ469" s="1"/>
  <c r="AP387"/>
  <c r="AX387" s="1"/>
  <c r="AO387"/>
  <c r="AW387" s="1"/>
  <c r="AL387"/>
  <c r="AT387" s="1"/>
  <c r="AJ387"/>
  <c r="AR387" s="1"/>
  <c r="AI387"/>
  <c r="AQ387" s="1"/>
  <c r="AL431"/>
  <c r="AT431" s="1"/>
  <c r="AP431"/>
  <c r="AX431" s="1"/>
  <c r="AO431"/>
  <c r="AW431" s="1"/>
  <c r="AJ431"/>
  <c r="AR431" s="1"/>
  <c r="AI431"/>
  <c r="AQ431" s="1"/>
  <c r="AP462"/>
  <c r="AX462" s="1"/>
  <c r="AL462"/>
  <c r="AT462" s="1"/>
  <c r="AO462"/>
  <c r="AW462" s="1"/>
  <c r="AJ462"/>
  <c r="AR462" s="1"/>
  <c r="AI462"/>
  <c r="AQ462" s="1"/>
  <c r="AP399"/>
  <c r="AX399" s="1"/>
  <c r="AO399"/>
  <c r="AW399" s="1"/>
  <c r="AL399"/>
  <c r="AT399" s="1"/>
  <c r="AJ399"/>
  <c r="AR399" s="1"/>
  <c r="AI399"/>
  <c r="AQ399" s="1"/>
  <c r="AP510"/>
  <c r="AX510" s="1"/>
  <c r="AL510"/>
  <c r="AT510" s="1"/>
  <c r="AO510"/>
  <c r="AW510" s="1"/>
  <c r="AJ510"/>
  <c r="AR510" s="1"/>
  <c r="AI510"/>
  <c r="AQ510" s="1"/>
  <c r="AP415"/>
  <c r="AX415" s="1"/>
  <c r="AO415"/>
  <c r="AW415" s="1"/>
  <c r="AL415"/>
  <c r="AT415" s="1"/>
  <c r="AJ415"/>
  <c r="AR415" s="1"/>
  <c r="AI415"/>
  <c r="AQ415" s="1"/>
  <c r="AP482"/>
  <c r="AX482" s="1"/>
  <c r="AO482"/>
  <c r="AW482" s="1"/>
  <c r="AL482"/>
  <c r="AT482" s="1"/>
  <c r="AI482"/>
  <c r="AQ482" s="1"/>
  <c r="AJ482"/>
  <c r="AR482" s="1"/>
  <c r="AP511"/>
  <c r="AX511" s="1"/>
  <c r="AO511"/>
  <c r="AW511" s="1"/>
  <c r="AL511"/>
  <c r="AT511" s="1"/>
  <c r="AI511"/>
  <c r="AQ511" s="1"/>
  <c r="AJ511"/>
  <c r="AR511" s="1"/>
  <c r="AP373"/>
  <c r="AX373" s="1"/>
  <c r="AO373"/>
  <c r="AW373" s="1"/>
  <c r="AL373"/>
  <c r="AT373" s="1"/>
  <c r="AJ373"/>
  <c r="AR373" s="1"/>
  <c r="AI373"/>
  <c r="AQ373" s="1"/>
  <c r="AP440"/>
  <c r="AX440" s="1"/>
  <c r="AO440"/>
  <c r="AW440" s="1"/>
  <c r="AL440"/>
  <c r="AT440" s="1"/>
  <c r="AJ440"/>
  <c r="AR440" s="1"/>
  <c r="AI440"/>
  <c r="AQ440" s="1"/>
  <c r="AP435"/>
  <c r="AX435" s="1"/>
  <c r="AO435"/>
  <c r="AW435" s="1"/>
  <c r="AL435"/>
  <c r="AT435" s="1"/>
  <c r="AJ435"/>
  <c r="AR435" s="1"/>
  <c r="AI435"/>
  <c r="AQ435" s="1"/>
  <c r="AL479"/>
  <c r="AT479" s="1"/>
  <c r="AP479"/>
  <c r="AX479" s="1"/>
  <c r="AO479"/>
  <c r="AW479" s="1"/>
  <c r="AJ479"/>
  <c r="AR479" s="1"/>
  <c r="AI479"/>
  <c r="AQ479" s="1"/>
  <c r="AL484"/>
  <c r="AT484" s="1"/>
  <c r="AP484"/>
  <c r="AX484" s="1"/>
  <c r="AO484"/>
  <c r="AW484" s="1"/>
  <c r="AJ484"/>
  <c r="AR484" s="1"/>
  <c r="AI484"/>
  <c r="AQ484" s="1"/>
  <c r="AP416"/>
  <c r="AX416" s="1"/>
  <c r="AO416"/>
  <c r="AW416" s="1"/>
  <c r="AL416"/>
  <c r="AT416" s="1"/>
  <c r="AI416"/>
  <c r="AQ416" s="1"/>
  <c r="AJ416"/>
  <c r="AR416" s="1"/>
  <c r="AP483"/>
  <c r="AX483" s="1"/>
  <c r="AO483"/>
  <c r="AW483" s="1"/>
  <c r="AL483"/>
  <c r="AT483" s="1"/>
  <c r="AJ483"/>
  <c r="AR483" s="1"/>
  <c r="AI483"/>
  <c r="AQ483" s="1"/>
  <c r="AL491"/>
  <c r="AT491" s="1"/>
  <c r="AP491"/>
  <c r="AX491" s="1"/>
  <c r="AO491"/>
  <c r="AW491" s="1"/>
  <c r="AJ491"/>
  <c r="AR491" s="1"/>
  <c r="AI491"/>
  <c r="AQ491" s="1"/>
  <c r="AL394"/>
  <c r="AT394" s="1"/>
  <c r="AP394"/>
  <c r="AX394" s="1"/>
  <c r="AO394"/>
  <c r="AW394" s="1"/>
  <c r="AI394"/>
  <c r="AQ394" s="1"/>
  <c r="AJ394"/>
  <c r="AR394" s="1"/>
  <c r="AL509"/>
  <c r="AT509" s="1"/>
  <c r="AP509"/>
  <c r="AX509" s="1"/>
  <c r="AO509"/>
  <c r="AW509" s="1"/>
  <c r="AJ509"/>
  <c r="AR509" s="1"/>
  <c r="AI509"/>
  <c r="AQ509" s="1"/>
  <c r="AL406"/>
  <c r="AT406" s="1"/>
  <c r="AP406"/>
  <c r="AX406" s="1"/>
  <c r="AO406"/>
  <c r="AW406" s="1"/>
  <c r="AJ406"/>
  <c r="AR406" s="1"/>
  <c r="AI406"/>
  <c r="AQ406" s="1"/>
  <c r="AL443"/>
  <c r="AT443" s="1"/>
  <c r="AP443"/>
  <c r="AX443" s="1"/>
  <c r="AO443"/>
  <c r="AW443" s="1"/>
  <c r="AJ443"/>
  <c r="AR443" s="1"/>
  <c r="AI443"/>
  <c r="AQ443" s="1"/>
  <c r="AL364"/>
  <c r="AT364" s="1"/>
  <c r="AP364"/>
  <c r="AX364" s="1"/>
  <c r="AO364"/>
  <c r="AW364" s="1"/>
  <c r="AJ364"/>
  <c r="AR364" s="1"/>
  <c r="AI364"/>
  <c r="AQ364" s="1"/>
  <c r="AP505"/>
  <c r="AX505" s="1"/>
  <c r="AO505"/>
  <c r="AW505" s="1"/>
  <c r="AL505"/>
  <c r="AT505" s="1"/>
  <c r="AJ505"/>
  <c r="AR505" s="1"/>
  <c r="AI505"/>
  <c r="AQ505" s="1"/>
  <c r="AP356"/>
  <c r="AX356" s="1"/>
  <c r="AO356"/>
  <c r="AW356" s="1"/>
  <c r="AL356"/>
  <c r="AT356" s="1"/>
  <c r="AJ356"/>
  <c r="AR356" s="1"/>
  <c r="AI356"/>
  <c r="AQ356" s="1"/>
  <c r="AP423"/>
  <c r="AX423" s="1"/>
  <c r="AO423"/>
  <c r="AW423" s="1"/>
  <c r="AL423"/>
  <c r="AT423" s="1"/>
  <c r="AJ423"/>
  <c r="AR423" s="1"/>
  <c r="AI423"/>
  <c r="AQ423" s="1"/>
  <c r="AL449"/>
  <c r="AT449" s="1"/>
  <c r="AP449"/>
  <c r="AX449" s="1"/>
  <c r="AO449"/>
  <c r="AW449" s="1"/>
  <c r="AJ449"/>
  <c r="AR449" s="1"/>
  <c r="AI449"/>
  <c r="AQ449" s="1"/>
  <c r="AP414"/>
  <c r="AX414" s="1"/>
  <c r="AL414"/>
  <c r="AT414" s="1"/>
  <c r="AO414"/>
  <c r="AW414" s="1"/>
  <c r="AJ414"/>
  <c r="AR414" s="1"/>
  <c r="AI414"/>
  <c r="AQ414" s="1"/>
  <c r="AL389"/>
  <c r="AT389" s="1"/>
  <c r="AP389"/>
  <c r="AX389" s="1"/>
  <c r="AO389"/>
  <c r="AW389" s="1"/>
  <c r="AI389"/>
  <c r="AQ389" s="1"/>
  <c r="AJ389"/>
  <c r="AR389" s="1"/>
  <c r="AP471"/>
  <c r="AX471" s="1"/>
  <c r="AO471"/>
  <c r="AW471" s="1"/>
  <c r="AL471"/>
  <c r="AT471" s="1"/>
  <c r="AJ471"/>
  <c r="AR471" s="1"/>
  <c r="AI471"/>
  <c r="AQ471" s="1"/>
  <c r="AL401"/>
  <c r="AT401" s="1"/>
  <c r="AP401"/>
  <c r="AX401" s="1"/>
  <c r="AO401"/>
  <c r="AW401" s="1"/>
  <c r="AJ401"/>
  <c r="AR401" s="1"/>
  <c r="AI401"/>
  <c r="AQ401" s="1"/>
  <c r="AP408"/>
  <c r="AX408" s="1"/>
  <c r="AL408"/>
  <c r="AT408" s="1"/>
  <c r="AO408"/>
  <c r="AW408" s="1"/>
  <c r="AJ408"/>
  <c r="AR408" s="1"/>
  <c r="AI408"/>
  <c r="AQ408" s="1"/>
  <c r="AP451"/>
  <c r="AX451" s="1"/>
  <c r="AO451"/>
  <c r="AW451" s="1"/>
  <c r="AL451"/>
  <c r="AT451" s="1"/>
  <c r="AJ451"/>
  <c r="AR451" s="1"/>
  <c r="AI451"/>
  <c r="AQ451" s="1"/>
  <c r="AP369"/>
  <c r="AX369" s="1"/>
  <c r="AO369"/>
  <c r="AW369" s="1"/>
  <c r="AL369"/>
  <c r="AT369" s="1"/>
  <c r="AJ369"/>
  <c r="AR369" s="1"/>
  <c r="AI369"/>
  <c r="AQ369" s="1"/>
  <c r="AL515"/>
  <c r="AT515" s="1"/>
  <c r="AP515"/>
  <c r="AX515" s="1"/>
  <c r="AO515"/>
  <c r="AW515" s="1"/>
  <c r="AJ515"/>
  <c r="AR515" s="1"/>
  <c r="AI515"/>
  <c r="AQ515" s="1"/>
  <c r="AP390"/>
  <c r="AX390" s="1"/>
  <c r="AL390"/>
  <c r="AT390" s="1"/>
  <c r="AO390"/>
  <c r="AW390" s="1"/>
  <c r="AJ390"/>
  <c r="AR390" s="1"/>
  <c r="AI390"/>
  <c r="AQ390" s="1"/>
  <c r="AP396"/>
  <c r="AX396" s="1"/>
  <c r="AL396"/>
  <c r="AT396" s="1"/>
  <c r="AO396"/>
  <c r="AW396" s="1"/>
  <c r="AJ396"/>
  <c r="AR396" s="1"/>
  <c r="AI396"/>
  <c r="AQ396" s="1"/>
  <c r="AP445"/>
  <c r="AX445" s="1"/>
  <c r="AO445"/>
  <c r="AW445" s="1"/>
  <c r="AL445"/>
  <c r="AT445" s="1"/>
  <c r="AJ445"/>
  <c r="AR445" s="1"/>
  <c r="AI445"/>
  <c r="AQ445" s="1"/>
  <c r="AP512"/>
  <c r="AX512" s="1"/>
  <c r="AO512"/>
  <c r="AW512" s="1"/>
  <c r="AL512"/>
  <c r="AT512" s="1"/>
  <c r="AJ512"/>
  <c r="AR512" s="1"/>
  <c r="AI512"/>
  <c r="AQ512" s="1"/>
  <c r="AP486"/>
  <c r="AX486" s="1"/>
  <c r="AL486"/>
  <c r="AT486" s="1"/>
  <c r="AO486"/>
  <c r="AW486" s="1"/>
  <c r="AJ486"/>
  <c r="AR486" s="1"/>
  <c r="AI486"/>
  <c r="AQ486" s="1"/>
  <c r="AP385"/>
  <c r="AX385" s="1"/>
  <c r="AO385"/>
  <c r="AW385" s="1"/>
  <c r="AL385"/>
  <c r="AT385" s="1"/>
  <c r="AI385"/>
  <c r="AQ385" s="1"/>
  <c r="AJ385"/>
  <c r="AR385" s="1"/>
  <c r="AP452"/>
  <c r="AX452" s="1"/>
  <c r="AO452"/>
  <c r="AW452" s="1"/>
  <c r="AL452"/>
  <c r="AT452" s="1"/>
  <c r="AJ452"/>
  <c r="AR452" s="1"/>
  <c r="AI452"/>
  <c r="AQ452" s="1"/>
  <c r="AL424"/>
  <c r="AT424" s="1"/>
  <c r="AP424"/>
  <c r="AX424" s="1"/>
  <c r="AO424"/>
  <c r="AW424" s="1"/>
  <c r="AJ424"/>
  <c r="AR424" s="1"/>
  <c r="AI424"/>
  <c r="AQ424" s="1"/>
  <c r="AP453"/>
  <c r="AX453" s="1"/>
  <c r="AO453"/>
  <c r="AW453" s="1"/>
  <c r="AL453"/>
  <c r="AT453" s="1"/>
  <c r="AJ453"/>
  <c r="AR453" s="1"/>
  <c r="AI453"/>
  <c r="AQ453" s="1"/>
  <c r="AP422"/>
  <c r="AX422" s="1"/>
  <c r="AO422"/>
  <c r="AW422" s="1"/>
  <c r="AL422"/>
  <c r="AT422" s="1"/>
  <c r="AJ422"/>
  <c r="AR422" s="1"/>
  <c r="AI422"/>
  <c r="AQ422" s="1"/>
  <c r="AP391"/>
  <c r="AX391" s="1"/>
  <c r="AO391"/>
  <c r="AW391" s="1"/>
  <c r="AL391"/>
  <c r="AT391" s="1"/>
  <c r="AJ391"/>
  <c r="AR391" s="1"/>
  <c r="AI391"/>
  <c r="AQ391" s="1"/>
  <c r="AP499"/>
  <c r="AX499" s="1"/>
  <c r="AO499"/>
  <c r="AW499" s="1"/>
  <c r="AL499"/>
  <c r="AT499" s="1"/>
  <c r="AJ499"/>
  <c r="AR499" s="1"/>
  <c r="AI499"/>
  <c r="AQ499" s="1"/>
  <c r="AL478"/>
  <c r="AT478" s="1"/>
  <c r="AP478"/>
  <c r="AX478" s="1"/>
  <c r="AO478"/>
  <c r="AW478" s="1"/>
  <c r="AJ478"/>
  <c r="AR478" s="1"/>
  <c r="AI478"/>
  <c r="AQ478" s="1"/>
  <c r="AL419"/>
  <c r="AT419" s="1"/>
  <c r="AP419"/>
  <c r="AX419" s="1"/>
  <c r="AO419"/>
  <c r="AW419" s="1"/>
  <c r="AJ419"/>
  <c r="AR419" s="1"/>
  <c r="AI419"/>
  <c r="AQ419" s="1"/>
  <c r="AL436"/>
  <c r="AT436" s="1"/>
  <c r="AP436"/>
  <c r="AX436" s="1"/>
  <c r="AO436"/>
  <c r="AW436" s="1"/>
  <c r="AJ436"/>
  <c r="AR436" s="1"/>
  <c r="AI436"/>
  <c r="AQ436" s="1"/>
  <c r="AP392"/>
  <c r="AX392" s="1"/>
  <c r="AO392"/>
  <c r="AW392" s="1"/>
  <c r="AL392"/>
  <c r="AT392" s="1"/>
  <c r="AJ392"/>
  <c r="AR392" s="1"/>
  <c r="AI392"/>
  <c r="AQ392" s="1"/>
  <c r="AP459"/>
  <c r="AX459" s="1"/>
  <c r="AO459"/>
  <c r="AW459" s="1"/>
  <c r="AL459"/>
  <c r="AT459" s="1"/>
  <c r="AJ459"/>
  <c r="AR459" s="1"/>
  <c r="AI459"/>
  <c r="AQ459" s="1"/>
  <c r="AL490"/>
  <c r="AT490" s="1"/>
  <c r="AP490"/>
  <c r="AX490" s="1"/>
  <c r="AO490"/>
  <c r="AW490" s="1"/>
  <c r="AJ490"/>
  <c r="AR490" s="1"/>
  <c r="AI490"/>
  <c r="AQ490" s="1"/>
  <c r="AP393"/>
  <c r="AX393" s="1"/>
  <c r="AO393"/>
  <c r="AW393" s="1"/>
  <c r="AL393"/>
  <c r="AT393" s="1"/>
  <c r="AJ393"/>
  <c r="AR393" s="1"/>
  <c r="AI393"/>
  <c r="AQ393" s="1"/>
  <c r="AL430"/>
  <c r="AT430" s="1"/>
  <c r="AP430"/>
  <c r="AX430" s="1"/>
  <c r="AO430"/>
  <c r="AW430" s="1"/>
  <c r="AI430"/>
  <c r="AQ430" s="1"/>
  <c r="AJ430"/>
  <c r="AR430" s="1"/>
  <c r="AP426"/>
  <c r="AX426" s="1"/>
  <c r="AL426"/>
  <c r="AT426" s="1"/>
  <c r="AO426"/>
  <c r="AW426" s="1"/>
  <c r="AJ426"/>
  <c r="AR426" s="1"/>
  <c r="AI426"/>
  <c r="AQ426" s="1"/>
  <c r="AL460"/>
  <c r="AT460" s="1"/>
  <c r="AP460"/>
  <c r="AX460" s="1"/>
  <c r="AO460"/>
  <c r="AW460" s="1"/>
  <c r="AJ460"/>
  <c r="AR460" s="1"/>
  <c r="AI460"/>
  <c r="AQ460" s="1"/>
  <c r="AP404"/>
  <c r="AX404" s="1"/>
  <c r="AO404"/>
  <c r="AW404" s="1"/>
  <c r="AL404"/>
  <c r="AT404" s="1"/>
  <c r="AJ404"/>
  <c r="AR404" s="1"/>
  <c r="AI404"/>
  <c r="AQ404" s="1"/>
  <c r="AP507"/>
  <c r="AX507" s="1"/>
  <c r="AO507"/>
  <c r="AW507" s="1"/>
  <c r="AL507"/>
  <c r="AT507" s="1"/>
  <c r="AJ507"/>
  <c r="AR507" s="1"/>
  <c r="AI507"/>
  <c r="AQ507" s="1"/>
  <c r="AL473"/>
  <c r="AT473" s="1"/>
  <c r="AP473"/>
  <c r="AX473" s="1"/>
  <c r="AO473"/>
  <c r="AW473" s="1"/>
  <c r="AJ473"/>
  <c r="AR473" s="1"/>
  <c r="AI473"/>
  <c r="AQ473" s="1"/>
  <c r="AL370"/>
  <c r="AT370" s="1"/>
  <c r="AP370"/>
  <c r="AX370" s="1"/>
  <c r="AO370"/>
  <c r="AW370" s="1"/>
  <c r="AJ370"/>
  <c r="AR370" s="1"/>
  <c r="AI370"/>
  <c r="AQ370" s="1"/>
  <c r="AP480"/>
  <c r="AX480" s="1"/>
  <c r="AL480"/>
  <c r="AT480" s="1"/>
  <c r="AO480"/>
  <c r="AW480" s="1"/>
  <c r="AJ480"/>
  <c r="AR480" s="1"/>
  <c r="AI480"/>
  <c r="AQ480" s="1"/>
  <c r="AP487"/>
  <c r="AX487" s="1"/>
  <c r="AO487"/>
  <c r="AW487" s="1"/>
  <c r="AL487"/>
  <c r="AT487" s="1"/>
  <c r="AJ487"/>
  <c r="AR487" s="1"/>
  <c r="AI487"/>
  <c r="AQ487" s="1"/>
  <c r="AP405"/>
  <c r="AX405" s="1"/>
  <c r="AO405"/>
  <c r="AW405" s="1"/>
  <c r="AL405"/>
  <c r="AT405" s="1"/>
  <c r="AJ405"/>
  <c r="AR405" s="1"/>
  <c r="AI405"/>
  <c r="AQ405" s="1"/>
  <c r="AP357"/>
  <c r="AX357" s="1"/>
  <c r="AO357"/>
  <c r="AW357" s="1"/>
  <c r="AL357"/>
  <c r="AT357" s="1"/>
  <c r="AJ357"/>
  <c r="AR357" s="1"/>
  <c r="AI357"/>
  <c r="AQ357" s="1"/>
  <c r="AP402"/>
  <c r="AX402" s="1"/>
  <c r="AL402"/>
  <c r="AT402" s="1"/>
  <c r="AO402"/>
  <c r="AW402" s="1"/>
  <c r="AJ402"/>
  <c r="AR402" s="1"/>
  <c r="AI402"/>
  <c r="AQ402" s="1"/>
  <c r="AL359"/>
  <c r="AT359" s="1"/>
  <c r="AP359"/>
  <c r="AX359" s="1"/>
  <c r="AO359"/>
  <c r="AW359" s="1"/>
  <c r="AJ359"/>
  <c r="AR359" s="1"/>
  <c r="AI359"/>
  <c r="AQ359" s="1"/>
  <c r="AP421"/>
  <c r="AX421" s="1"/>
  <c r="AO421"/>
  <c r="AW421" s="1"/>
  <c r="AL421"/>
  <c r="AT421" s="1"/>
  <c r="AI421"/>
  <c r="AQ421" s="1"/>
  <c r="AJ421"/>
  <c r="AR421" s="1"/>
  <c r="AP488"/>
  <c r="AX488" s="1"/>
  <c r="AO488"/>
  <c r="AW488" s="1"/>
  <c r="AL488"/>
  <c r="AT488" s="1"/>
  <c r="AJ488"/>
  <c r="AR488" s="1"/>
  <c r="AI488"/>
  <c r="AQ488" s="1"/>
  <c r="AL407"/>
  <c r="AT407" s="1"/>
  <c r="AP407"/>
  <c r="AX407" s="1"/>
  <c r="AO407"/>
  <c r="AW407" s="1"/>
  <c r="AI407"/>
  <c r="AQ407" s="1"/>
  <c r="AJ407"/>
  <c r="AR407" s="1"/>
  <c r="AL497"/>
  <c r="AT497" s="1"/>
  <c r="AP497"/>
  <c r="AX497" s="1"/>
  <c r="AO497"/>
  <c r="AW497" s="1"/>
  <c r="AJ497"/>
  <c r="AR497" s="1"/>
  <c r="AI497"/>
  <c r="AQ497" s="1"/>
  <c r="AP417"/>
  <c r="AX417" s="1"/>
  <c r="AO417"/>
  <c r="AW417" s="1"/>
  <c r="AL417"/>
  <c r="AT417" s="1"/>
  <c r="AJ417"/>
  <c r="AR417" s="1"/>
  <c r="AI417"/>
  <c r="AQ417" s="1"/>
  <c r="AL503"/>
  <c r="AT503" s="1"/>
  <c r="AP503"/>
  <c r="AX503" s="1"/>
  <c r="AO503"/>
  <c r="AW503" s="1"/>
  <c r="AJ503"/>
  <c r="AR503" s="1"/>
  <c r="AI503"/>
  <c r="AQ503" s="1"/>
  <c r="AL508"/>
  <c r="AT508" s="1"/>
  <c r="AP508"/>
  <c r="AX508" s="1"/>
  <c r="AO508"/>
  <c r="AW508" s="1"/>
  <c r="AI508"/>
  <c r="AQ508" s="1"/>
  <c r="AJ508"/>
  <c r="AR508" s="1"/>
  <c r="AP361"/>
  <c r="AX361" s="1"/>
  <c r="AO361"/>
  <c r="AW361" s="1"/>
  <c r="AL361"/>
  <c r="AT361" s="1"/>
  <c r="AJ361"/>
  <c r="AR361" s="1"/>
  <c r="AI361"/>
  <c r="AQ361" s="1"/>
  <c r="AP428"/>
  <c r="AX428" s="1"/>
  <c r="AO428"/>
  <c r="AW428" s="1"/>
  <c r="AL428"/>
  <c r="AT428" s="1"/>
  <c r="AJ428"/>
  <c r="AR428" s="1"/>
  <c r="AI428"/>
  <c r="AQ428" s="1"/>
  <c r="AP495"/>
  <c r="AX495" s="1"/>
  <c r="AO495"/>
  <c r="AW495" s="1"/>
  <c r="AL495"/>
  <c r="AT495" s="1"/>
  <c r="AJ495"/>
  <c r="AR495" s="1"/>
  <c r="AI495"/>
  <c r="AQ495" s="1"/>
  <c r="AP366"/>
  <c r="AX366" s="1"/>
  <c r="AL366"/>
  <c r="AT366" s="1"/>
  <c r="AO366"/>
  <c r="AW366" s="1"/>
  <c r="AJ366"/>
  <c r="AR366" s="1"/>
  <c r="AI366"/>
  <c r="AQ366" s="1"/>
  <c r="AL448"/>
  <c r="AT448" s="1"/>
  <c r="AP448"/>
  <c r="AX448" s="1"/>
  <c r="AO448"/>
  <c r="AW448" s="1"/>
  <c r="AJ448"/>
  <c r="AR448" s="1"/>
  <c r="AI448"/>
  <c r="AQ448" s="1"/>
  <c r="AP398"/>
  <c r="AX398" s="1"/>
  <c r="AO398"/>
  <c r="AW398" s="1"/>
  <c r="AL398"/>
  <c r="AT398" s="1"/>
  <c r="AI398"/>
  <c r="AQ398" s="1"/>
  <c r="AJ398"/>
  <c r="AR398" s="1"/>
  <c r="AP465"/>
  <c r="AX465" s="1"/>
  <c r="AO465"/>
  <c r="AW465" s="1"/>
  <c r="AL465"/>
  <c r="AT465" s="1"/>
  <c r="AJ465"/>
  <c r="AR465" s="1"/>
  <c r="AI465"/>
  <c r="AQ465" s="1"/>
  <c r="AP378"/>
  <c r="AX378" s="1"/>
  <c r="AL378"/>
  <c r="AT378" s="1"/>
  <c r="AO378"/>
  <c r="AW378" s="1"/>
  <c r="AJ378"/>
  <c r="AR378" s="1"/>
  <c r="AI378"/>
  <c r="AQ378" s="1"/>
  <c r="AP409"/>
  <c r="AX409" s="1"/>
  <c r="AO409"/>
  <c r="AW409" s="1"/>
  <c r="AL409"/>
  <c r="AT409" s="1"/>
  <c r="AJ409"/>
  <c r="AR409" s="1"/>
  <c r="AI409"/>
  <c r="AQ409" s="1"/>
  <c r="AP476"/>
  <c r="AX476" s="1"/>
  <c r="AO476"/>
  <c r="AW476" s="1"/>
  <c r="AL476"/>
  <c r="AT476" s="1"/>
  <c r="AJ476"/>
  <c r="AR476" s="1"/>
  <c r="AI476"/>
  <c r="AQ476" s="1"/>
  <c r="AL442"/>
  <c r="AT442" s="1"/>
  <c r="AP442"/>
  <c r="AX442" s="1"/>
  <c r="AO442"/>
  <c r="AW442" s="1"/>
  <c r="AJ442"/>
  <c r="AR442" s="1"/>
  <c r="AI442"/>
  <c r="AQ442" s="1"/>
  <c r="AP450"/>
  <c r="AX450" s="1"/>
  <c r="AL450"/>
  <c r="AT450" s="1"/>
  <c r="AO450"/>
  <c r="AW450" s="1"/>
  <c r="AJ450"/>
  <c r="AR450" s="1"/>
  <c r="AI450"/>
  <c r="AQ450" s="1"/>
  <c r="AP516"/>
  <c r="AX516" s="1"/>
  <c r="AL516"/>
  <c r="AT516" s="1"/>
  <c r="AO516"/>
  <c r="AW516" s="1"/>
  <c r="AJ516"/>
  <c r="AR516" s="1"/>
  <c r="AI516"/>
  <c r="AQ516" s="1"/>
  <c r="AL371"/>
  <c r="AT371" s="1"/>
  <c r="AP371"/>
  <c r="AX371" s="1"/>
  <c r="AO371"/>
  <c r="AW371" s="1"/>
  <c r="AI371"/>
  <c r="AQ371" s="1"/>
  <c r="AJ371"/>
  <c r="AR371" s="1"/>
  <c r="AL400"/>
  <c r="AT400" s="1"/>
  <c r="AP400"/>
  <c r="AX400" s="1"/>
  <c r="AO400"/>
  <c r="AW400" s="1"/>
  <c r="AJ400"/>
  <c r="AR400" s="1"/>
  <c r="AI400"/>
  <c r="AQ400" s="1"/>
  <c r="AP374"/>
  <c r="AX374" s="1"/>
  <c r="AO374"/>
  <c r="AW374" s="1"/>
  <c r="AL374"/>
  <c r="AT374" s="1"/>
  <c r="AJ374"/>
  <c r="AR374" s="1"/>
  <c r="AI374"/>
  <c r="AQ374" s="1"/>
  <c r="AP441"/>
  <c r="AX441" s="1"/>
  <c r="AO441"/>
  <c r="AW441" s="1"/>
  <c r="AL441"/>
  <c r="AT441" s="1"/>
  <c r="AJ441"/>
  <c r="AR441" s="1"/>
  <c r="AI441"/>
  <c r="AQ441" s="1"/>
  <c r="AL377"/>
  <c r="AT377" s="1"/>
  <c r="AP377"/>
  <c r="AX377" s="1"/>
  <c r="AO377"/>
  <c r="AW377" s="1"/>
  <c r="AJ377"/>
  <c r="AR377" s="1"/>
  <c r="AI377"/>
  <c r="AQ377" s="1"/>
  <c r="AL376"/>
  <c r="AT376" s="1"/>
  <c r="AP376"/>
  <c r="AX376" s="1"/>
  <c r="AO376"/>
  <c r="AW376" s="1"/>
  <c r="AI376"/>
  <c r="AQ376" s="1"/>
  <c r="AJ376"/>
  <c r="AR376" s="1"/>
  <c r="AP362"/>
  <c r="AX362" s="1"/>
  <c r="AO362"/>
  <c r="AW362" s="1"/>
  <c r="AL362"/>
  <c r="AT362" s="1"/>
  <c r="AI362"/>
  <c r="AQ362" s="1"/>
  <c r="AJ362"/>
  <c r="AR362" s="1"/>
  <c r="AP429"/>
  <c r="AX429" s="1"/>
  <c r="AO429"/>
  <c r="AW429" s="1"/>
  <c r="AL429"/>
  <c r="AT429" s="1"/>
  <c r="AJ429"/>
  <c r="AR429" s="1"/>
  <c r="AI429"/>
  <c r="AQ429" s="1"/>
  <c r="AL413"/>
  <c r="AT413" s="1"/>
  <c r="AP413"/>
  <c r="AX413" s="1"/>
  <c r="AO413"/>
  <c r="AW413" s="1"/>
  <c r="AJ413"/>
  <c r="AR413" s="1"/>
  <c r="AI413"/>
  <c r="AQ413" s="1"/>
  <c r="AP420"/>
  <c r="AX420" s="1"/>
  <c r="AL420"/>
  <c r="AT420" s="1"/>
  <c r="AO420"/>
  <c r="AW420" s="1"/>
  <c r="AJ420"/>
  <c r="AR420" s="1"/>
  <c r="AI420"/>
  <c r="AQ420" s="1"/>
  <c r="AP457"/>
  <c r="AX457" s="1"/>
  <c r="AO457"/>
  <c r="AW457" s="1"/>
  <c r="AL457"/>
  <c r="AT457" s="1"/>
  <c r="AI457"/>
  <c r="AQ457" s="1"/>
  <c r="AJ457"/>
  <c r="AR457" s="1"/>
  <c r="AP375"/>
  <c r="AX375" s="1"/>
  <c r="AO375"/>
  <c r="AW375" s="1"/>
  <c r="AL375"/>
  <c r="AT375" s="1"/>
  <c r="AJ375"/>
  <c r="AR375" s="1"/>
  <c r="AI375"/>
  <c r="AQ375" s="1"/>
  <c r="AP386"/>
  <c r="AX386" s="1"/>
  <c r="AO386"/>
  <c r="AW386" s="1"/>
  <c r="AL386"/>
  <c r="AT386" s="1"/>
  <c r="AJ386"/>
  <c r="AR386" s="1"/>
  <c r="AI386"/>
  <c r="AQ386" s="1"/>
  <c r="AP355"/>
  <c r="AX355" s="1"/>
  <c r="AO355"/>
  <c r="AW355" s="1"/>
  <c r="AL355"/>
  <c r="AT355" s="1"/>
  <c r="AJ355"/>
  <c r="AR355" s="1"/>
  <c r="AI355"/>
  <c r="AQ355" s="1"/>
  <c r="AP494"/>
  <c r="AX494" s="1"/>
  <c r="AO494"/>
  <c r="AW494" s="1"/>
  <c r="AL494"/>
  <c r="AT494" s="1"/>
  <c r="AJ494"/>
  <c r="AR494" s="1"/>
  <c r="AI494"/>
  <c r="AQ494" s="1"/>
  <c r="AP463"/>
  <c r="AX463" s="1"/>
  <c r="AO463"/>
  <c r="AW463" s="1"/>
  <c r="AL463"/>
  <c r="AT463" s="1"/>
  <c r="AJ463"/>
  <c r="AR463" s="1"/>
  <c r="AI463"/>
  <c r="AQ463" s="1"/>
  <c r="AP504"/>
  <c r="AX504" s="1"/>
  <c r="AL504"/>
  <c r="AT504" s="1"/>
  <c r="AO504"/>
  <c r="AW504" s="1"/>
  <c r="AJ504"/>
  <c r="AR504" s="1"/>
  <c r="AI504"/>
  <c r="AQ504" s="1"/>
  <c r="AP354"/>
  <c r="AX354" s="1"/>
  <c r="AL354"/>
  <c r="AT354" s="1"/>
  <c r="AO354"/>
  <c r="AW354" s="1"/>
  <c r="AJ354"/>
  <c r="AR354" s="1"/>
  <c r="AI354"/>
  <c r="AQ354" s="1"/>
  <c r="AP397"/>
  <c r="AX397" s="1"/>
  <c r="AO397"/>
  <c r="AW397" s="1"/>
  <c r="AL397"/>
  <c r="AT397" s="1"/>
  <c r="AJ397"/>
  <c r="AR397" s="1"/>
  <c r="AI397"/>
  <c r="AQ397" s="1"/>
  <c r="AP464"/>
  <c r="AX464" s="1"/>
  <c r="AO464"/>
  <c r="AW464" s="1"/>
  <c r="AL464"/>
  <c r="AT464" s="1"/>
  <c r="AI464"/>
  <c r="AQ464" s="1"/>
  <c r="AJ464"/>
  <c r="AR464" s="1"/>
  <c r="AP403"/>
  <c r="AX403" s="1"/>
  <c r="AO403"/>
  <c r="AW403" s="1"/>
  <c r="AL403"/>
  <c r="AT403" s="1"/>
  <c r="AI403"/>
  <c r="AQ403" s="1"/>
  <c r="AJ403"/>
  <c r="AR403" s="1"/>
  <c r="AP470"/>
  <c r="AX470" s="1"/>
  <c r="AO470"/>
  <c r="AW470" s="1"/>
  <c r="AL470"/>
  <c r="AT470" s="1"/>
  <c r="AJ470"/>
  <c r="AR470" s="1"/>
  <c r="AI470"/>
  <c r="AQ470" s="1"/>
  <c r="AP468"/>
  <c r="AX468" s="1"/>
  <c r="AL468"/>
  <c r="AT468" s="1"/>
  <c r="AO468"/>
  <c r="AW468" s="1"/>
  <c r="AJ468"/>
  <c r="AR468" s="1"/>
  <c r="AI468"/>
  <c r="AQ468" s="1"/>
  <c r="AP481"/>
  <c r="AX481" s="1"/>
  <c r="AO481"/>
  <c r="AW481" s="1"/>
  <c r="AL481"/>
  <c r="AT481" s="1"/>
  <c r="AJ481"/>
  <c r="AR481" s="1"/>
  <c r="AI481"/>
  <c r="AQ481" s="1"/>
  <c r="AL514"/>
  <c r="AT514" s="1"/>
  <c r="AP514"/>
  <c r="AX514" s="1"/>
  <c r="AO514"/>
  <c r="AW514" s="1"/>
  <c r="AJ514"/>
  <c r="AR514" s="1"/>
  <c r="AI514"/>
  <c r="AQ514" s="1"/>
  <c r="AP474"/>
  <c r="AX474" s="1"/>
  <c r="AL474"/>
  <c r="AT474" s="1"/>
  <c r="AO474"/>
  <c r="AW474" s="1"/>
  <c r="AJ474"/>
  <c r="AR474" s="1"/>
  <c r="AI474"/>
  <c r="AQ474" s="1"/>
  <c r="AL467"/>
  <c r="AT467" s="1"/>
  <c r="AP467"/>
  <c r="AX467" s="1"/>
  <c r="AO467"/>
  <c r="AW467" s="1"/>
  <c r="AJ467"/>
  <c r="AR467" s="1"/>
  <c r="AI467"/>
  <c r="AQ467" s="1"/>
  <c r="AL472"/>
  <c r="AT472" s="1"/>
  <c r="AP472"/>
  <c r="AX472" s="1"/>
  <c r="AO472"/>
  <c r="AW472" s="1"/>
  <c r="AJ472"/>
  <c r="AR472" s="1"/>
  <c r="AI472"/>
  <c r="AQ472" s="1"/>
  <c r="AP410"/>
  <c r="AX410" s="1"/>
  <c r="AO410"/>
  <c r="AW410" s="1"/>
  <c r="AL410"/>
  <c r="AT410" s="1"/>
  <c r="AJ410"/>
  <c r="AR410" s="1"/>
  <c r="AI410"/>
  <c r="AQ410" s="1"/>
  <c r="AP477"/>
  <c r="AX477" s="1"/>
  <c r="AO477"/>
  <c r="AW477" s="1"/>
  <c r="AL477"/>
  <c r="AT477" s="1"/>
  <c r="AJ477"/>
  <c r="AR477" s="1"/>
  <c r="AI477"/>
  <c r="AQ477" s="1"/>
  <c r="AL418"/>
  <c r="AT418" s="1"/>
  <c r="AP418"/>
  <c r="AX418" s="1"/>
  <c r="AO418"/>
  <c r="AW418" s="1"/>
  <c r="AJ418"/>
  <c r="AR418" s="1"/>
  <c r="AI418"/>
  <c r="AQ418" s="1"/>
  <c r="AP367"/>
  <c r="AX367" s="1"/>
  <c r="AO367"/>
  <c r="AW367" s="1"/>
  <c r="AL367"/>
  <c r="AT367" s="1"/>
  <c r="AI367"/>
  <c r="AQ367" s="1"/>
  <c r="AJ367"/>
  <c r="AR367" s="1"/>
  <c r="AP434"/>
  <c r="AX434" s="1"/>
  <c r="AO434"/>
  <c r="AW434" s="1"/>
  <c r="AL434"/>
  <c r="AT434" s="1"/>
  <c r="AI434"/>
  <c r="AQ434" s="1"/>
  <c r="AJ434"/>
  <c r="AR434" s="1"/>
  <c r="AP501"/>
  <c r="AX501" s="1"/>
  <c r="AO501"/>
  <c r="AW501" s="1"/>
  <c r="AL501"/>
  <c r="AT501" s="1"/>
  <c r="AJ501"/>
  <c r="AR501" s="1"/>
  <c r="AI501"/>
  <c r="AQ501" s="1"/>
  <c r="AL461"/>
  <c r="AT461" s="1"/>
  <c r="AP461"/>
  <c r="AX461" s="1"/>
  <c r="AO461"/>
  <c r="AW461" s="1"/>
  <c r="AJ461"/>
  <c r="AR461" s="1"/>
  <c r="AI461"/>
  <c r="AQ461" s="1"/>
  <c r="AL358"/>
  <c r="AT358" s="1"/>
  <c r="AP358"/>
  <c r="AX358" s="1"/>
  <c r="AO358"/>
  <c r="AW358" s="1"/>
  <c r="AI358"/>
  <c r="AQ358" s="1"/>
  <c r="AJ358"/>
  <c r="AR358" s="1"/>
  <c r="AL485"/>
  <c r="AT485" s="1"/>
  <c r="AP485"/>
  <c r="AX485" s="1"/>
  <c r="AO485"/>
  <c r="AW485" s="1"/>
  <c r="AJ485"/>
  <c r="AR485" s="1"/>
  <c r="AI485"/>
  <c r="AQ485" s="1"/>
  <c r="AL382"/>
  <c r="AT382" s="1"/>
  <c r="AP382"/>
  <c r="AX382" s="1"/>
  <c r="AO382"/>
  <c r="AW382" s="1"/>
  <c r="AJ382"/>
  <c r="AR382" s="1"/>
  <c r="AI382"/>
  <c r="AQ382" s="1"/>
  <c r="AP492"/>
  <c r="AX492" s="1"/>
  <c r="AL492"/>
  <c r="AT492" s="1"/>
  <c r="AO492"/>
  <c r="AW492" s="1"/>
  <c r="AJ492"/>
  <c r="AR492" s="1"/>
  <c r="AI492"/>
  <c r="AQ492" s="1"/>
  <c r="AP493"/>
  <c r="AX493" s="1"/>
  <c r="AO493"/>
  <c r="AW493" s="1"/>
  <c r="AL493"/>
  <c r="AT493" s="1"/>
  <c r="AI493"/>
  <c r="AQ493" s="1"/>
  <c r="AJ493"/>
  <c r="AR493" s="1"/>
  <c r="AP411"/>
  <c r="AX411" s="1"/>
  <c r="AO411"/>
  <c r="AW411" s="1"/>
  <c r="AL411"/>
  <c r="AT411" s="1"/>
  <c r="AJ411"/>
  <c r="AR411" s="1"/>
  <c r="AI411"/>
  <c r="AQ411" s="1"/>
  <c r="AL425"/>
  <c r="AT425" s="1"/>
  <c r="AP425"/>
  <c r="AX425" s="1"/>
  <c r="AO425"/>
  <c r="AW425" s="1"/>
  <c r="AI425"/>
  <c r="AQ425" s="1"/>
  <c r="AJ425"/>
  <c r="AR425" s="1"/>
  <c r="AP381"/>
  <c r="AX381" s="1"/>
  <c r="AO381"/>
  <c r="AW381" s="1"/>
  <c r="AL381"/>
  <c r="AT381" s="1"/>
  <c r="AJ381"/>
  <c r="AR381" s="1"/>
  <c r="AI381"/>
  <c r="AQ381" s="1"/>
  <c r="AL365"/>
  <c r="AT365" s="1"/>
  <c r="AP365"/>
  <c r="AX365" s="1"/>
  <c r="AO365"/>
  <c r="AW365" s="1"/>
  <c r="AJ365"/>
  <c r="AR365" s="1"/>
  <c r="AI365"/>
  <c r="AQ365" s="1"/>
  <c r="AP360"/>
  <c r="AX360" s="1"/>
  <c r="AL360"/>
  <c r="AT360" s="1"/>
  <c r="AO360"/>
  <c r="AW360" s="1"/>
  <c r="AJ360"/>
  <c r="AR360" s="1"/>
  <c r="AI360"/>
  <c r="AQ360" s="1"/>
  <c r="AP433"/>
  <c r="AX433" s="1"/>
  <c r="AO433"/>
  <c r="AW433" s="1"/>
  <c r="AL433"/>
  <c r="AT433" s="1"/>
  <c r="AJ433"/>
  <c r="AR433" s="1"/>
  <c r="AI433"/>
  <c r="AQ433" s="1"/>
  <c r="AP500"/>
  <c r="AX500" s="1"/>
  <c r="AO500"/>
  <c r="AW500" s="1"/>
  <c r="AL500"/>
  <c r="AT500" s="1"/>
  <c r="AI500"/>
  <c r="AQ500" s="1"/>
  <c r="AJ500"/>
  <c r="AR500" s="1"/>
  <c r="AP456"/>
  <c r="AX456" s="1"/>
  <c r="AL456"/>
  <c r="AT456" s="1"/>
  <c r="AO456"/>
  <c r="AW456" s="1"/>
  <c r="AJ456"/>
  <c r="AR456" s="1"/>
  <c r="AI456"/>
  <c r="AQ456" s="1"/>
  <c r="AP475"/>
  <c r="AX475" s="1"/>
  <c r="AO475"/>
  <c r="AW475" s="1"/>
  <c r="AL475"/>
  <c r="AT475" s="1"/>
  <c r="AI475"/>
  <c r="AQ475" s="1"/>
  <c r="AJ475"/>
  <c r="AR475" s="1"/>
  <c r="AL455"/>
  <c r="AT455" s="1"/>
  <c r="AP455"/>
  <c r="AX455" s="1"/>
  <c r="AO455"/>
  <c r="AW455" s="1"/>
  <c r="AJ455"/>
  <c r="AR455" s="1"/>
  <c r="AI455"/>
  <c r="AQ455" s="1"/>
  <c r="AP363"/>
  <c r="AX363" s="1"/>
  <c r="AO363"/>
  <c r="AW363" s="1"/>
  <c r="AL363"/>
  <c r="AT363" s="1"/>
  <c r="AJ363"/>
  <c r="AR363" s="1"/>
  <c r="AI363"/>
  <c r="AQ363" s="1"/>
  <c r="AP438"/>
  <c r="AX438" s="1"/>
  <c r="AL438"/>
  <c r="AT438" s="1"/>
  <c r="AO438"/>
  <c r="AW438" s="1"/>
  <c r="AJ438"/>
  <c r="AR438" s="1"/>
  <c r="AI438"/>
  <c r="AQ438" s="1"/>
  <c r="AP379"/>
  <c r="AX379" s="1"/>
  <c r="AO379"/>
  <c r="AW379" s="1"/>
  <c r="AL379"/>
  <c r="AT379" s="1"/>
  <c r="AJ379"/>
  <c r="AR379" s="1"/>
  <c r="AI379"/>
  <c r="AQ379" s="1"/>
  <c r="AP446"/>
  <c r="AX446" s="1"/>
  <c r="AO446"/>
  <c r="AW446" s="1"/>
  <c r="AL446"/>
  <c r="AT446" s="1"/>
  <c r="AI446"/>
  <c r="AQ446" s="1"/>
  <c r="AJ446"/>
  <c r="AR446" s="1"/>
  <c r="AP513"/>
  <c r="AX513" s="1"/>
  <c r="AO513"/>
  <c r="AW513" s="1"/>
  <c r="AL513"/>
  <c r="AT513" s="1"/>
  <c r="AJ513"/>
  <c r="AR513" s="1"/>
  <c r="AI513"/>
  <c r="AQ513" s="1"/>
  <c r="AP372"/>
  <c r="AX372" s="1"/>
  <c r="AL372"/>
  <c r="AT372" s="1"/>
  <c r="AO372"/>
  <c r="AW372" s="1"/>
  <c r="AJ372"/>
  <c r="AR372" s="1"/>
  <c r="AI372"/>
  <c r="AQ372" s="1"/>
  <c r="AP439"/>
  <c r="AX439" s="1"/>
  <c r="AO439"/>
  <c r="AW439" s="1"/>
  <c r="AL439"/>
  <c r="AT439" s="1"/>
  <c r="AI439"/>
  <c r="AQ439" s="1"/>
  <c r="AJ439"/>
  <c r="AR439" s="1"/>
  <c r="AP506"/>
  <c r="AX506" s="1"/>
  <c r="AO506"/>
  <c r="AW506" s="1"/>
  <c r="AL506"/>
  <c r="AT506" s="1"/>
  <c r="AJ506"/>
  <c r="AR506" s="1"/>
  <c r="AI506"/>
  <c r="AQ506" s="1"/>
  <c r="AL502"/>
  <c r="AT502" s="1"/>
  <c r="AP502"/>
  <c r="AX502" s="1"/>
  <c r="AO502"/>
  <c r="AW502" s="1"/>
  <c r="AI502"/>
  <c r="AQ502" s="1"/>
  <c r="AJ502"/>
  <c r="AR502" s="1"/>
  <c r="AP384"/>
  <c r="AX384" s="1"/>
  <c r="AL384"/>
  <c r="AT384" s="1"/>
  <c r="AO384"/>
  <c r="AW384" s="1"/>
  <c r="AJ384"/>
  <c r="AR384" s="1"/>
  <c r="AI384"/>
  <c r="AQ384" s="1"/>
  <c r="AL388"/>
  <c r="AT388" s="1"/>
  <c r="AP388"/>
  <c r="AX388" s="1"/>
  <c r="AO388"/>
  <c r="AW388" s="1"/>
  <c r="AJ388"/>
  <c r="AR388" s="1"/>
  <c r="AI388"/>
  <c r="AQ388" s="1"/>
  <c r="AP368"/>
  <c r="AX368" s="1"/>
  <c r="AO368"/>
  <c r="AW368" s="1"/>
  <c r="AL368"/>
  <c r="AT368" s="1"/>
  <c r="AJ368"/>
  <c r="AR368" s="1"/>
  <c r="AI368"/>
  <c r="AQ368" s="1"/>
  <c r="AL454"/>
  <c r="AT454" s="1"/>
  <c r="AP454"/>
  <c r="AX454" s="1"/>
  <c r="AO454"/>
  <c r="AW454" s="1"/>
  <c r="AJ454"/>
  <c r="AR454" s="1"/>
  <c r="AI454"/>
  <c r="AQ454" s="1"/>
  <c r="AP498"/>
  <c r="AX498" s="1"/>
  <c r="AL498"/>
  <c r="AT498" s="1"/>
  <c r="AO498"/>
  <c r="AW498" s="1"/>
  <c r="AJ498"/>
  <c r="AR498" s="1"/>
  <c r="AI498"/>
  <c r="AQ498" s="1"/>
  <c r="AL395"/>
  <c r="AT395" s="1"/>
  <c r="AP395"/>
  <c r="AX395" s="1"/>
  <c r="AO395"/>
  <c r="AW395" s="1"/>
  <c r="AJ395"/>
  <c r="AR395" s="1"/>
  <c r="AI395"/>
  <c r="AQ395" s="1"/>
  <c r="AL412"/>
  <c r="AT412" s="1"/>
  <c r="AP412"/>
  <c r="AX412" s="1"/>
  <c r="AO412"/>
  <c r="AW412" s="1"/>
  <c r="AI412"/>
  <c r="AQ412" s="1"/>
  <c r="AJ412"/>
  <c r="AR412" s="1"/>
  <c r="AP380"/>
  <c r="AX380" s="1"/>
  <c r="AO380"/>
  <c r="AW380" s="1"/>
  <c r="AL380"/>
  <c r="AT380" s="1"/>
  <c r="AI380"/>
  <c r="AQ380" s="1"/>
  <c r="AJ380"/>
  <c r="AR380" s="1"/>
  <c r="AP447"/>
  <c r="AX447" s="1"/>
  <c r="AO447"/>
  <c r="AW447" s="1"/>
  <c r="AL447"/>
  <c r="AT447" s="1"/>
  <c r="AJ447"/>
  <c r="AR447" s="1"/>
  <c r="AI447"/>
  <c r="AQ447" s="1"/>
  <c r="P303"/>
  <c r="BC40"/>
  <c r="BC140"/>
  <c r="BC196"/>
  <c r="BC162"/>
  <c r="BC378"/>
  <c r="BH379" s="1"/>
  <c r="P304"/>
  <c r="BC516"/>
  <c r="BC445"/>
  <c r="BH446" s="1"/>
  <c r="P125"/>
  <c r="P369"/>
  <c r="P406"/>
  <c r="P206"/>
  <c r="BC436"/>
  <c r="BH437" s="1"/>
  <c r="P211"/>
  <c r="P427"/>
  <c r="BC496"/>
  <c r="P219"/>
  <c r="P435"/>
  <c r="BC272"/>
  <c r="BC488"/>
  <c r="BC277"/>
  <c r="P510"/>
  <c r="P368"/>
  <c r="P265"/>
  <c r="BC285"/>
  <c r="P122"/>
  <c r="BC338"/>
  <c r="P136"/>
  <c r="P127"/>
  <c r="P343"/>
  <c r="P360"/>
  <c r="P226"/>
  <c r="P383"/>
  <c r="BC423"/>
  <c r="BH424" s="1"/>
  <c r="P224"/>
  <c r="BC157"/>
  <c r="P282"/>
  <c r="BC449"/>
  <c r="BH450" s="1"/>
  <c r="P417"/>
  <c r="BC38"/>
  <c r="BC475"/>
  <c r="BH476" s="1"/>
  <c r="P492"/>
  <c r="BC515"/>
  <c r="P413"/>
  <c r="P267"/>
  <c r="P320"/>
  <c r="BC109"/>
  <c r="BC126"/>
  <c r="BC342"/>
  <c r="BC160"/>
  <c r="P365"/>
  <c r="P323"/>
  <c r="P301"/>
  <c r="BC202"/>
  <c r="BC250"/>
  <c r="BC170"/>
  <c r="P386"/>
  <c r="BC175"/>
  <c r="P192"/>
  <c r="P399"/>
  <c r="BC236"/>
  <c r="P258"/>
  <c r="P474"/>
  <c r="P497"/>
  <c r="BC193"/>
  <c r="P354"/>
  <c r="P108"/>
  <c r="P131"/>
  <c r="P387"/>
  <c r="BC508"/>
  <c r="P174"/>
  <c r="P381"/>
  <c r="P460"/>
  <c r="P218"/>
  <c r="P490"/>
  <c r="P439"/>
  <c r="P456"/>
  <c r="BC35"/>
  <c r="P418"/>
  <c r="P59"/>
  <c r="BC217"/>
  <c r="BC135"/>
  <c r="P278"/>
  <c r="BC444"/>
  <c r="BH445" s="1"/>
  <c r="P507"/>
  <c r="BC154"/>
  <c r="BC484"/>
  <c r="BH485" s="1"/>
  <c r="P233"/>
  <c r="BC352"/>
  <c r="P442"/>
  <c r="BC409"/>
  <c r="BH410" s="1"/>
  <c r="P132"/>
  <c r="BC155"/>
  <c r="P447"/>
  <c r="P284"/>
  <c r="P500"/>
  <c r="P505"/>
  <c r="P306"/>
  <c r="P329"/>
  <c r="P264"/>
  <c r="P297"/>
  <c r="P172"/>
  <c r="P355"/>
  <c r="P214"/>
  <c r="P363"/>
  <c r="P200"/>
  <c r="P205"/>
  <c r="P461"/>
  <c r="P188"/>
  <c r="P210"/>
  <c r="P271"/>
  <c r="P487"/>
  <c r="BC27"/>
  <c r="BC30"/>
  <c r="P197"/>
  <c r="P129"/>
  <c r="BC298"/>
  <c r="P398"/>
  <c r="P187"/>
  <c r="P420"/>
  <c r="P502"/>
  <c r="P227"/>
  <c r="BC443"/>
  <c r="P481"/>
  <c r="P161"/>
  <c r="P337"/>
  <c r="BC159"/>
  <c r="P433"/>
  <c r="P234"/>
  <c r="BC71"/>
  <c r="BC62"/>
  <c r="BC84"/>
  <c r="P291"/>
  <c r="BC344"/>
  <c r="P148"/>
  <c r="BC357"/>
  <c r="BH358" s="1"/>
  <c r="BC404"/>
  <c r="BC57"/>
  <c r="BC326"/>
  <c r="P371"/>
  <c r="P195"/>
  <c r="P411"/>
  <c r="P248"/>
  <c r="P270"/>
  <c r="P293"/>
  <c r="P332"/>
  <c r="P246"/>
  <c r="P477"/>
  <c r="P319"/>
  <c r="P94"/>
  <c r="P142"/>
  <c r="P327"/>
  <c r="P164"/>
  <c r="P286"/>
  <c r="P186"/>
  <c r="P424"/>
  <c r="P209"/>
  <c r="P377"/>
  <c r="P393"/>
  <c r="P514"/>
  <c r="P235"/>
  <c r="P451"/>
  <c r="P275"/>
  <c r="P491"/>
  <c r="P315"/>
  <c r="P322"/>
  <c r="P309"/>
  <c r="P130"/>
  <c r="P362"/>
  <c r="P151"/>
  <c r="P191"/>
  <c r="P407"/>
  <c r="P359"/>
  <c r="BC375"/>
  <c r="BH376" s="1"/>
  <c r="P473"/>
  <c r="P441"/>
  <c r="P128"/>
  <c r="P133"/>
  <c r="P150"/>
  <c r="BC118"/>
  <c r="P141"/>
  <c r="P194"/>
  <c r="P199"/>
  <c r="P216"/>
  <c r="P178"/>
  <c r="P498"/>
  <c r="BC489"/>
  <c r="BH490" s="1"/>
  <c r="BC100"/>
  <c r="BC124"/>
  <c r="P123"/>
  <c r="P339"/>
  <c r="P392"/>
  <c r="P328"/>
  <c r="P181"/>
  <c r="BC397"/>
  <c r="P382"/>
  <c r="BC437"/>
  <c r="BH438" s="1"/>
  <c r="P405"/>
  <c r="P26"/>
  <c r="P247"/>
  <c r="P463"/>
  <c r="P92"/>
  <c r="P308"/>
  <c r="P76"/>
  <c r="BC114"/>
  <c r="BC137"/>
  <c r="P476"/>
  <c r="BC321"/>
  <c r="P208"/>
  <c r="BC158"/>
  <c r="P316"/>
  <c r="P180"/>
  <c r="P21"/>
  <c r="P237"/>
  <c r="BC453"/>
  <c r="BH454" s="1"/>
  <c r="P74"/>
  <c r="P79"/>
  <c r="P96"/>
  <c r="P335"/>
  <c r="P228"/>
  <c r="BC318"/>
  <c r="DC89"/>
  <c r="DC91"/>
  <c r="DC49"/>
  <c r="DC117"/>
  <c r="DC82"/>
  <c r="DC105"/>
  <c r="DC51"/>
  <c r="DC88"/>
  <c r="DC58"/>
  <c r="DC108"/>
  <c r="DC71"/>
  <c r="DC80"/>
  <c r="DC102"/>
  <c r="DC62"/>
  <c r="DC93"/>
  <c r="DC92"/>
  <c r="DC76"/>
  <c r="DC46"/>
  <c r="DC109"/>
  <c r="DC57"/>
  <c r="DC44"/>
  <c r="DC52"/>
  <c r="DC53"/>
  <c r="DC95"/>
  <c r="DC55"/>
  <c r="DC83"/>
  <c r="DC111"/>
  <c r="DC50"/>
  <c r="DC116"/>
  <c r="DC101"/>
  <c r="DC68"/>
  <c r="DC84"/>
  <c r="DC47"/>
  <c r="DC112"/>
  <c r="DC66"/>
  <c r="DC69"/>
  <c r="DC114"/>
  <c r="DC107"/>
  <c r="DC56"/>
  <c r="DC99"/>
  <c r="DC85"/>
  <c r="DC77"/>
  <c r="DC63"/>
  <c r="DC64"/>
  <c r="DC73"/>
  <c r="DC87"/>
  <c r="DC94"/>
  <c r="BE260"/>
  <c r="BD169"/>
  <c r="BD317"/>
  <c r="BD285"/>
  <c r="BD244"/>
  <c r="BE201"/>
  <c r="BE302"/>
  <c r="BE270"/>
  <c r="BE161"/>
  <c r="BE234"/>
  <c r="BE139"/>
  <c r="BE295"/>
  <c r="BE203"/>
  <c r="BE257"/>
  <c r="BE180"/>
  <c r="BE263"/>
  <c r="BE338"/>
  <c r="BE325"/>
  <c r="BE214"/>
  <c r="BE202"/>
  <c r="BE206"/>
  <c r="BE239"/>
  <c r="BE190"/>
  <c r="BE251"/>
  <c r="BE252"/>
  <c r="BE135"/>
  <c r="BE224"/>
  <c r="BE273"/>
  <c r="BE187"/>
  <c r="BE219"/>
  <c r="BE238"/>
  <c r="BE241"/>
  <c r="BE327"/>
  <c r="BE264"/>
  <c r="BE144"/>
  <c r="BE330"/>
  <c r="BE280"/>
  <c r="BE136"/>
  <c r="BE305"/>
  <c r="BE229"/>
  <c r="BE228"/>
  <c r="BE153"/>
  <c r="BE220"/>
  <c r="BE313"/>
  <c r="BE303"/>
  <c r="BE142"/>
  <c r="BE183"/>
  <c r="BE331"/>
  <c r="BE158"/>
  <c r="BE247"/>
  <c r="BE164"/>
  <c r="BE163"/>
  <c r="BE132"/>
  <c r="BE150"/>
  <c r="BE185"/>
  <c r="BE310"/>
  <c r="BE349"/>
  <c r="BE282"/>
  <c r="BE347"/>
  <c r="BE309"/>
  <c r="BE341"/>
  <c r="BE145"/>
  <c r="BE297"/>
  <c r="BE320"/>
  <c r="BE143"/>
  <c r="BE344"/>
  <c r="BE339"/>
  <c r="BE294"/>
  <c r="BE227"/>
  <c r="BE286"/>
  <c r="BE200"/>
  <c r="BE318"/>
  <c r="BE300"/>
  <c r="BE319"/>
  <c r="BE225"/>
  <c r="BD193"/>
  <c r="BD205"/>
  <c r="BD173"/>
  <c r="BE350"/>
  <c r="BE315"/>
  <c r="BE274"/>
  <c r="BE246"/>
  <c r="BE231"/>
  <c r="BE230"/>
  <c r="BE218"/>
  <c r="BE192"/>
  <c r="BE292"/>
  <c r="BE287"/>
  <c r="BE148"/>
  <c r="BE256"/>
  <c r="BE128"/>
  <c r="BE167"/>
  <c r="BE168"/>
  <c r="BE261"/>
  <c r="BE155"/>
  <c r="BE290"/>
  <c r="BE134"/>
  <c r="BE130"/>
  <c r="BE329"/>
  <c r="BE326"/>
  <c r="BE299"/>
  <c r="BE122"/>
  <c r="BE284"/>
  <c r="BE245"/>
  <c r="BE191"/>
  <c r="BE343"/>
  <c r="BE166"/>
  <c r="BE321"/>
  <c r="BE348"/>
  <c r="BE259"/>
  <c r="BE262"/>
  <c r="BE198"/>
  <c r="BE240"/>
  <c r="BD195"/>
  <c r="BE152"/>
  <c r="BD160"/>
  <c r="BE159"/>
  <c r="BE223"/>
  <c r="BE131"/>
  <c r="BE147"/>
  <c r="BE293"/>
  <c r="BE276"/>
  <c r="BE288"/>
  <c r="BE249"/>
  <c r="BE332"/>
  <c r="BE197"/>
  <c r="BE127"/>
  <c r="BE232"/>
  <c r="BE340"/>
  <c r="BE178"/>
  <c r="BE351"/>
  <c r="BE140"/>
  <c r="BE283"/>
  <c r="BE281"/>
  <c r="BE212"/>
  <c r="BE189"/>
  <c r="BE255"/>
  <c r="BE324"/>
  <c r="BE165"/>
  <c r="BE118"/>
  <c r="BE119"/>
  <c r="BE271"/>
  <c r="BE268"/>
  <c r="BE162"/>
  <c r="BE186"/>
  <c r="BE211"/>
  <c r="BE278"/>
  <c r="BE335"/>
  <c r="BE210"/>
  <c r="BE353"/>
  <c r="BD172"/>
  <c r="BD120"/>
  <c r="BD352"/>
  <c r="BD333"/>
  <c r="BE126"/>
  <c r="BE179"/>
  <c r="BE125"/>
  <c r="BE308"/>
  <c r="BE253"/>
  <c r="BE204"/>
  <c r="BE243"/>
  <c r="BE175"/>
  <c r="BE199"/>
  <c r="BE267"/>
  <c r="BE209"/>
  <c r="BE311"/>
  <c r="BE277"/>
  <c r="BE254"/>
  <c r="BE265"/>
  <c r="BE235"/>
  <c r="BE181"/>
  <c r="BE312"/>
  <c r="BE129"/>
  <c r="BE176"/>
  <c r="BE336"/>
  <c r="BE289"/>
  <c r="BE258"/>
  <c r="BE236"/>
  <c r="BE188"/>
  <c r="BE298"/>
  <c r="BE269"/>
  <c r="BE137"/>
  <c r="BE323"/>
  <c r="BE146"/>
  <c r="BE196"/>
  <c r="BE194"/>
  <c r="BE215"/>
  <c r="BE221"/>
  <c r="BE345"/>
  <c r="BE182"/>
  <c r="BE195"/>
  <c r="BE328"/>
  <c r="BE272"/>
  <c r="BE233"/>
  <c r="BD294"/>
  <c r="BD207"/>
  <c r="BE138"/>
  <c r="BE304"/>
  <c r="BE250"/>
  <c r="BE217"/>
  <c r="BE296"/>
  <c r="BE279"/>
  <c r="BE149"/>
  <c r="BE316"/>
  <c r="BE306"/>
  <c r="BE124"/>
  <c r="BE154"/>
  <c r="BE275"/>
  <c r="BE208"/>
  <c r="BE156"/>
  <c r="BE266"/>
  <c r="BE133"/>
  <c r="BE322"/>
  <c r="BE216"/>
  <c r="BE337"/>
  <c r="BE242"/>
  <c r="BE314"/>
  <c r="BE123"/>
  <c r="BE346"/>
  <c r="BE151"/>
  <c r="BE291"/>
  <c r="BE174"/>
  <c r="BE171"/>
  <c r="BE170"/>
  <c r="BE226"/>
  <c r="BE301"/>
  <c r="BE307"/>
  <c r="BE334"/>
  <c r="BE248"/>
  <c r="BE205"/>
  <c r="BE213"/>
  <c r="BE110"/>
  <c r="BE63"/>
  <c r="BE89"/>
  <c r="BE57"/>
  <c r="BD44"/>
  <c r="BE78"/>
  <c r="BE58"/>
  <c r="BE60"/>
  <c r="BE86"/>
  <c r="BD75"/>
  <c r="BE56"/>
  <c r="BE65"/>
  <c r="BE101"/>
  <c r="BE46"/>
  <c r="BD109"/>
  <c r="BE90"/>
  <c r="BE108"/>
  <c r="BE70"/>
  <c r="BE115"/>
  <c r="BE55"/>
  <c r="BE112"/>
  <c r="BD85"/>
  <c r="BE107"/>
  <c r="BE94"/>
  <c r="BE93"/>
  <c r="BE114"/>
  <c r="BE82"/>
  <c r="BE42"/>
  <c r="BE96"/>
  <c r="BE62"/>
  <c r="BD79"/>
  <c r="BE87"/>
  <c r="BE91"/>
  <c r="BE103"/>
  <c r="BE92"/>
  <c r="BE43"/>
  <c r="BE80"/>
  <c r="BE106"/>
  <c r="BE49"/>
  <c r="BE77"/>
  <c r="BE84"/>
  <c r="BE47"/>
  <c r="BE53"/>
  <c r="BD59"/>
  <c r="BE98"/>
  <c r="BE95"/>
  <c r="BE74"/>
  <c r="BE52"/>
  <c r="BE97"/>
  <c r="BD54"/>
  <c r="BE105"/>
  <c r="BE102"/>
  <c r="BE113"/>
  <c r="BE51"/>
  <c r="BE71"/>
  <c r="BE73"/>
  <c r="BE61"/>
  <c r="BE83"/>
  <c r="BD69"/>
  <c r="BE116"/>
  <c r="BE72"/>
  <c r="BE50"/>
  <c r="BE81"/>
  <c r="BE66"/>
  <c r="BE48"/>
  <c r="BE64"/>
  <c r="BE68"/>
  <c r="BE117"/>
  <c r="BD76"/>
  <c r="BE88"/>
  <c r="BE67"/>
  <c r="BE99"/>
  <c r="BE104"/>
  <c r="BE100"/>
  <c r="BE45"/>
  <c r="BE36"/>
  <c r="BE41"/>
  <c r="BE33"/>
  <c r="BE34"/>
  <c r="DC39"/>
  <c r="DC33"/>
  <c r="DC31"/>
  <c r="DC38"/>
  <c r="DC34"/>
  <c r="BE40"/>
  <c r="BE31"/>
  <c r="DC37"/>
  <c r="DC32"/>
  <c r="DC35"/>
  <c r="BE37"/>
  <c r="DC36"/>
  <c r="DC41"/>
  <c r="DC40"/>
  <c r="BE32"/>
  <c r="BE39"/>
  <c r="BE35"/>
  <c r="BE38"/>
  <c r="BE30"/>
  <c r="DC22"/>
  <c r="BE27"/>
  <c r="BE26"/>
  <c r="BE29"/>
  <c r="BE23"/>
  <c r="BE20"/>
  <c r="BE22"/>
  <c r="BE25"/>
  <c r="DC20"/>
  <c r="BH405" l="1"/>
  <c r="BA7"/>
  <c r="BA6"/>
  <c r="BA5"/>
  <c r="BH444"/>
  <c r="DA45"/>
  <c r="DA78"/>
  <c r="DA103"/>
  <c r="DA60"/>
  <c r="DA110"/>
  <c r="DA92"/>
  <c r="DA94"/>
  <c r="DA99"/>
  <c r="DA117"/>
  <c r="DA57"/>
  <c r="DA81"/>
  <c r="DA52"/>
  <c r="DA66"/>
  <c r="DA77"/>
  <c r="DA35"/>
  <c r="DA106"/>
  <c r="DA79"/>
  <c r="DA42"/>
  <c r="DA91"/>
  <c r="DA67"/>
  <c r="DA31"/>
  <c r="DA85"/>
  <c r="DA38"/>
  <c r="DA100"/>
  <c r="DA63"/>
  <c r="DA64"/>
  <c r="DA76"/>
  <c r="DA51"/>
  <c r="DA84"/>
  <c r="DA108"/>
  <c r="DA30"/>
  <c r="DA90"/>
  <c r="DA109"/>
  <c r="DA86"/>
  <c r="DA73"/>
  <c r="DA98"/>
  <c r="DA55"/>
  <c r="DA105"/>
  <c r="DA65"/>
  <c r="DA88"/>
  <c r="DA102"/>
  <c r="DA82"/>
  <c r="DA40"/>
  <c r="DA53"/>
  <c r="DA41"/>
  <c r="DA97"/>
  <c r="DA75"/>
  <c r="DA48"/>
  <c r="DA70"/>
  <c r="DA74"/>
  <c r="DA37"/>
  <c r="DA50"/>
  <c r="DA62"/>
  <c r="DA56"/>
  <c r="DA58"/>
  <c r="DA87"/>
  <c r="DA83"/>
  <c r="DA107"/>
  <c r="DA44"/>
  <c r="DA114"/>
  <c r="DA59"/>
  <c r="DA115"/>
  <c r="DA61"/>
  <c r="DA54"/>
  <c r="DA104"/>
  <c r="DA34"/>
  <c r="DA68"/>
  <c r="DA93"/>
  <c r="DA49"/>
  <c r="DA112"/>
  <c r="DA89"/>
  <c r="DA46"/>
  <c r="DA111"/>
  <c r="DA47"/>
  <c r="DA96"/>
  <c r="DA72"/>
  <c r="DA36"/>
  <c r="DA39"/>
  <c r="DA43"/>
  <c r="DA101"/>
  <c r="DA69"/>
  <c r="DA32"/>
  <c r="DA116"/>
  <c r="DA33"/>
  <c r="DA80"/>
  <c r="DA113"/>
  <c r="DA95"/>
  <c r="DA71"/>
  <c r="DA19"/>
  <c r="DA28"/>
  <c r="DA26"/>
  <c r="DA22"/>
  <c r="DA18"/>
  <c r="DA29"/>
  <c r="DA24"/>
  <c r="DA20"/>
  <c r="DA25"/>
  <c r="DA21"/>
  <c r="DA23"/>
  <c r="BH489"/>
  <c r="BH398"/>
  <c r="BH509"/>
  <c r="BH497"/>
  <c r="BG516"/>
  <c r="BH516"/>
  <c r="BG517"/>
  <c r="BH517"/>
  <c r="AM356"/>
  <c r="AM423"/>
  <c r="AM429"/>
  <c r="AM430"/>
  <c r="AM422"/>
  <c r="AM445"/>
  <c r="AM408"/>
  <c r="AM482"/>
  <c r="AM479"/>
  <c r="AM440"/>
  <c r="AM383"/>
  <c r="AM490"/>
  <c r="AM389"/>
  <c r="AM387"/>
  <c r="AM416"/>
  <c r="AM465"/>
  <c r="AM462"/>
  <c r="AM499"/>
  <c r="AM443"/>
  <c r="AM509"/>
  <c r="AM480"/>
  <c r="AM435"/>
  <c r="AM488"/>
  <c r="AM451"/>
  <c r="AM401"/>
  <c r="AM458"/>
  <c r="AM420"/>
  <c r="AM441"/>
  <c r="AM468"/>
  <c r="AM476"/>
  <c r="AM359"/>
  <c r="AM452"/>
  <c r="AM512"/>
  <c r="AM414"/>
  <c r="AM405"/>
  <c r="AM444"/>
  <c r="AM467"/>
  <c r="AM501"/>
  <c r="AM398"/>
  <c r="AM503"/>
  <c r="AM459"/>
  <c r="AM382"/>
  <c r="AM358"/>
  <c r="AM493"/>
  <c r="AM355"/>
  <c r="AM431"/>
  <c r="AM367"/>
  <c r="AM470"/>
  <c r="AM484"/>
  <c r="AM473"/>
  <c r="AK413"/>
  <c r="AS413" s="1"/>
  <c r="AM463"/>
  <c r="AM425"/>
  <c r="AM434"/>
  <c r="AM472"/>
  <c r="AM413"/>
  <c r="AM376"/>
  <c r="AM450"/>
  <c r="AM428"/>
  <c r="AM508"/>
  <c r="AM497"/>
  <c r="AM421"/>
  <c r="AM426"/>
  <c r="AM392"/>
  <c r="AM478"/>
  <c r="AM453"/>
  <c r="AM385"/>
  <c r="AM396"/>
  <c r="AM471"/>
  <c r="AM449"/>
  <c r="AM483"/>
  <c r="AM511"/>
  <c r="AM510"/>
  <c r="AM432"/>
  <c r="AM489"/>
  <c r="AM496"/>
  <c r="AK434"/>
  <c r="AS434" s="1"/>
  <c r="AM433"/>
  <c r="AM500"/>
  <c r="AM368"/>
  <c r="AM506"/>
  <c r="AM379"/>
  <c r="AM438"/>
  <c r="AM412"/>
  <c r="AM380"/>
  <c r="AM395"/>
  <c r="AK492"/>
  <c r="AS492" s="1"/>
  <c r="AK468"/>
  <c r="AS468" s="1"/>
  <c r="AM365"/>
  <c r="AM363"/>
  <c r="AM381"/>
  <c r="AM377"/>
  <c r="AM442"/>
  <c r="AK359"/>
  <c r="AS359" s="1"/>
  <c r="AK487"/>
  <c r="AS487" s="1"/>
  <c r="AM454"/>
  <c r="AK368"/>
  <c r="AS368" s="1"/>
  <c r="AK496"/>
  <c r="AS496" s="1"/>
  <c r="AM447"/>
  <c r="AK380"/>
  <c r="AS380" s="1"/>
  <c r="AM498"/>
  <c r="AM384"/>
  <c r="AM439"/>
  <c r="AM372"/>
  <c r="AK379"/>
  <c r="AS379" s="1"/>
  <c r="AM456"/>
  <c r="AK381"/>
  <c r="AS381" s="1"/>
  <c r="AM485"/>
  <c r="AK358"/>
  <c r="AS358" s="1"/>
  <c r="AM418"/>
  <c r="AM477"/>
  <c r="AM410"/>
  <c r="AM481"/>
  <c r="AK464"/>
  <c r="AS464" s="1"/>
  <c r="AM397"/>
  <c r="AM375"/>
  <c r="AM457"/>
  <c r="AM362"/>
  <c r="AM371"/>
  <c r="AM378"/>
  <c r="AM366"/>
  <c r="AM464"/>
  <c r="AM354"/>
  <c r="AK372"/>
  <c r="AS372" s="1"/>
  <c r="AK516"/>
  <c r="AS516" s="1"/>
  <c r="AK430"/>
  <c r="AS430" s="1"/>
  <c r="AK499"/>
  <c r="AS499" s="1"/>
  <c r="AK511"/>
  <c r="AS511" s="1"/>
  <c r="AM502"/>
  <c r="AM446"/>
  <c r="AK363"/>
  <c r="AS363" s="1"/>
  <c r="AK365"/>
  <c r="AS365" s="1"/>
  <c r="AM461"/>
  <c r="AM514"/>
  <c r="AM403"/>
  <c r="AM516"/>
  <c r="AK384"/>
  <c r="AS384" s="1"/>
  <c r="AK376"/>
  <c r="AS376" s="1"/>
  <c r="AM409"/>
  <c r="AK390"/>
  <c r="AS390" s="1"/>
  <c r="AK484"/>
  <c r="AS484" s="1"/>
  <c r="AM360"/>
  <c r="AM474"/>
  <c r="AK473"/>
  <c r="AS473" s="1"/>
  <c r="AK459"/>
  <c r="AS459" s="1"/>
  <c r="AK451"/>
  <c r="AS451" s="1"/>
  <c r="AK509"/>
  <c r="AS509" s="1"/>
  <c r="AM411"/>
  <c r="AM504"/>
  <c r="AK398"/>
  <c r="AS398" s="1"/>
  <c r="AM374"/>
  <c r="AM400"/>
  <c r="AM495"/>
  <c r="AK508"/>
  <c r="AS508" s="1"/>
  <c r="AM417"/>
  <c r="AK497"/>
  <c r="AS497" s="1"/>
  <c r="AM407"/>
  <c r="AM357"/>
  <c r="AM487"/>
  <c r="AM370"/>
  <c r="AM507"/>
  <c r="AM460"/>
  <c r="AM393"/>
  <c r="AM436"/>
  <c r="AM419"/>
  <c r="AK457"/>
  <c r="AS457" s="1"/>
  <c r="AK479"/>
  <c r="AS479" s="1"/>
  <c r="AM391"/>
  <c r="AM424"/>
  <c r="AM486"/>
  <c r="AM390"/>
  <c r="AM515"/>
  <c r="AM369"/>
  <c r="AK408"/>
  <c r="AS408" s="1"/>
  <c r="AK389"/>
  <c r="AS389" s="1"/>
  <c r="AK414"/>
  <c r="AS414" s="1"/>
  <c r="AK449"/>
  <c r="AS449" s="1"/>
  <c r="AM505"/>
  <c r="AM364"/>
  <c r="AM406"/>
  <c r="AM394"/>
  <c r="AM491"/>
  <c r="AM373"/>
  <c r="AM415"/>
  <c r="AM427"/>
  <c r="AK401"/>
  <c r="AS401" s="1"/>
  <c r="AM399"/>
  <c r="AK469"/>
  <c r="AS469" s="1"/>
  <c r="AM437"/>
  <c r="AM466"/>
  <c r="AK513"/>
  <c r="AS513" s="1"/>
  <c r="AK354"/>
  <c r="AS354" s="1"/>
  <c r="AK504"/>
  <c r="AS504" s="1"/>
  <c r="AK441"/>
  <c r="AS441" s="1"/>
  <c r="AK361"/>
  <c r="AS361" s="1"/>
  <c r="AK357"/>
  <c r="AS357" s="1"/>
  <c r="AK472"/>
  <c r="AS472" s="1"/>
  <c r="AK421"/>
  <c r="AS421" s="1"/>
  <c r="AK452"/>
  <c r="AS452" s="1"/>
  <c r="AM513"/>
  <c r="AK446"/>
  <c r="AS446" s="1"/>
  <c r="AK360"/>
  <c r="AS360" s="1"/>
  <c r="AM492"/>
  <c r="AK418"/>
  <c r="AS418" s="1"/>
  <c r="AK470"/>
  <c r="AS470" s="1"/>
  <c r="AK403"/>
  <c r="AS403" s="1"/>
  <c r="AK374"/>
  <c r="AS374" s="1"/>
  <c r="AK366"/>
  <c r="AS366" s="1"/>
  <c r="AK407"/>
  <c r="AS407" s="1"/>
  <c r="AK460"/>
  <c r="AS460" s="1"/>
  <c r="AK392"/>
  <c r="AS392" s="1"/>
  <c r="AK436"/>
  <c r="AS436" s="1"/>
  <c r="AK396"/>
  <c r="AS396" s="1"/>
  <c r="AK443"/>
  <c r="AS443" s="1"/>
  <c r="AK406"/>
  <c r="AS406" s="1"/>
  <c r="AK491"/>
  <c r="AS491" s="1"/>
  <c r="AK373"/>
  <c r="AS373" s="1"/>
  <c r="AK427"/>
  <c r="AS427" s="1"/>
  <c r="AK447"/>
  <c r="AS447" s="1"/>
  <c r="AK477"/>
  <c r="AS477" s="1"/>
  <c r="AK375"/>
  <c r="AS375" s="1"/>
  <c r="AK429"/>
  <c r="AS429" s="1"/>
  <c r="AK495"/>
  <c r="AS495" s="1"/>
  <c r="AK369"/>
  <c r="AS369" s="1"/>
  <c r="AK494"/>
  <c r="AS494" s="1"/>
  <c r="AK404"/>
  <c r="AS404" s="1"/>
  <c r="AK393"/>
  <c r="AS393" s="1"/>
  <c r="AK490"/>
  <c r="AS490" s="1"/>
  <c r="AK512"/>
  <c r="AS512" s="1"/>
  <c r="AK356"/>
  <c r="AS356" s="1"/>
  <c r="AK364"/>
  <c r="AS364" s="1"/>
  <c r="AK416"/>
  <c r="AS416" s="1"/>
  <c r="AK431"/>
  <c r="AS431" s="1"/>
  <c r="AK502"/>
  <c r="AS502" s="1"/>
  <c r="AK433"/>
  <c r="AS433" s="1"/>
  <c r="AK425"/>
  <c r="AS425" s="1"/>
  <c r="AK442"/>
  <c r="AS442" s="1"/>
  <c r="AK466"/>
  <c r="AS466" s="1"/>
  <c r="AK439"/>
  <c r="AS439" s="1"/>
  <c r="AK438"/>
  <c r="AS438" s="1"/>
  <c r="AK455"/>
  <c r="AS455" s="1"/>
  <c r="AK410"/>
  <c r="AS410" s="1"/>
  <c r="AK463"/>
  <c r="AS463" s="1"/>
  <c r="AK420"/>
  <c r="AS420" s="1"/>
  <c r="AK362"/>
  <c r="AS362" s="1"/>
  <c r="AK400"/>
  <c r="AS400" s="1"/>
  <c r="AK448"/>
  <c r="AS448" s="1"/>
  <c r="AK428"/>
  <c r="AS428" s="1"/>
  <c r="AK488"/>
  <c r="AS488" s="1"/>
  <c r="AK402"/>
  <c r="AS402" s="1"/>
  <c r="AK480"/>
  <c r="AS480" s="1"/>
  <c r="AK385"/>
  <c r="AS385" s="1"/>
  <c r="AK483"/>
  <c r="AS483" s="1"/>
  <c r="AK435"/>
  <c r="AS435" s="1"/>
  <c r="AK440"/>
  <c r="AS440" s="1"/>
  <c r="AK510"/>
  <c r="AS510" s="1"/>
  <c r="AK387"/>
  <c r="AS387" s="1"/>
  <c r="AK458"/>
  <c r="AS458" s="1"/>
  <c r="AK395"/>
  <c r="AS395" s="1"/>
  <c r="AK388"/>
  <c r="AS388" s="1"/>
  <c r="AK506"/>
  <c r="AS506" s="1"/>
  <c r="AK493"/>
  <c r="AS493" s="1"/>
  <c r="AK501"/>
  <c r="AS501" s="1"/>
  <c r="AK474"/>
  <c r="AS474" s="1"/>
  <c r="AK481"/>
  <c r="AS481" s="1"/>
  <c r="AK397"/>
  <c r="AS397" s="1"/>
  <c r="AK377"/>
  <c r="AS377" s="1"/>
  <c r="AK378"/>
  <c r="AS378" s="1"/>
  <c r="AK465"/>
  <c r="AS465" s="1"/>
  <c r="AK503"/>
  <c r="AS503" s="1"/>
  <c r="AK405"/>
  <c r="AS405" s="1"/>
  <c r="AK370"/>
  <c r="AS370" s="1"/>
  <c r="AK478"/>
  <c r="AS478" s="1"/>
  <c r="AK486"/>
  <c r="AS486" s="1"/>
  <c r="AK515"/>
  <c r="AS515" s="1"/>
  <c r="AK423"/>
  <c r="AS423" s="1"/>
  <c r="AK394"/>
  <c r="AS394" s="1"/>
  <c r="AK482"/>
  <c r="AS482" s="1"/>
  <c r="AK432"/>
  <c r="AS432" s="1"/>
  <c r="AK412"/>
  <c r="AS412" s="1"/>
  <c r="AK411"/>
  <c r="AS411" s="1"/>
  <c r="AK467"/>
  <c r="AS467" s="1"/>
  <c r="AK386"/>
  <c r="AS386" s="1"/>
  <c r="AK371"/>
  <c r="AS371" s="1"/>
  <c r="AK409"/>
  <c r="AS409" s="1"/>
  <c r="AK391"/>
  <c r="AS391" s="1"/>
  <c r="AK454"/>
  <c r="AS454" s="1"/>
  <c r="AK476"/>
  <c r="AS476" s="1"/>
  <c r="AK383"/>
  <c r="AS383" s="1"/>
  <c r="AK485"/>
  <c r="AS485" s="1"/>
  <c r="AK426"/>
  <c r="AS426" s="1"/>
  <c r="AK462"/>
  <c r="AS462" s="1"/>
  <c r="AK475"/>
  <c r="AS475" s="1"/>
  <c r="AK461"/>
  <c r="AS461" s="1"/>
  <c r="AK450"/>
  <c r="AS450" s="1"/>
  <c r="AK419"/>
  <c r="AS419" s="1"/>
  <c r="AK453"/>
  <c r="AS453" s="1"/>
  <c r="AK471"/>
  <c r="AS471" s="1"/>
  <c r="AK505"/>
  <c r="AS505" s="1"/>
  <c r="AK444"/>
  <c r="AS444" s="1"/>
  <c r="AK489"/>
  <c r="AS489" s="1"/>
  <c r="AK498"/>
  <c r="AS498" s="1"/>
  <c r="AK456"/>
  <c r="AS456" s="1"/>
  <c r="AK500"/>
  <c r="AS500" s="1"/>
  <c r="AK382"/>
  <c r="AS382" s="1"/>
  <c r="AK367"/>
  <c r="AS367" s="1"/>
  <c r="AK514"/>
  <c r="AS514" s="1"/>
  <c r="AK355"/>
  <c r="AS355" s="1"/>
  <c r="AK417"/>
  <c r="AS417" s="1"/>
  <c r="AK507"/>
  <c r="AS507" s="1"/>
  <c r="AK422"/>
  <c r="AS422" s="1"/>
  <c r="AK424"/>
  <c r="AS424" s="1"/>
  <c r="AK445"/>
  <c r="AS445" s="1"/>
  <c r="AK415"/>
  <c r="AS415" s="1"/>
  <c r="AK399"/>
  <c r="AS399" s="1"/>
  <c r="AK437"/>
  <c r="AS437" s="1"/>
  <c r="AM404"/>
  <c r="AM386"/>
  <c r="AM448"/>
  <c r="AM475"/>
  <c r="AM455"/>
  <c r="AM469"/>
  <c r="AM402"/>
  <c r="AM494"/>
  <c r="AM388"/>
  <c r="AM361"/>
  <c r="BG445"/>
  <c r="BG160"/>
  <c r="BG155"/>
  <c r="BG159"/>
  <c r="BG444"/>
  <c r="BG437"/>
  <c r="BG158"/>
  <c r="BG489"/>
  <c r="DB502"/>
  <c r="DB500"/>
  <c r="BO345"/>
  <c r="BO99"/>
  <c r="BO97"/>
  <c r="BO160"/>
  <c r="BO451"/>
  <c r="DB435"/>
  <c r="DB463"/>
  <c r="BO208"/>
  <c r="DB396"/>
  <c r="DB362"/>
  <c r="DB466"/>
  <c r="DB464"/>
  <c r="DB431"/>
  <c r="BO63"/>
  <c r="BO61"/>
  <c r="BO379"/>
  <c r="DB363"/>
  <c r="DD300"/>
  <c r="BO111"/>
  <c r="BO136"/>
  <c r="DB324"/>
  <c r="BO174"/>
  <c r="DD289"/>
  <c r="DB189"/>
  <c r="DB244"/>
  <c r="DB242"/>
  <c r="DB305"/>
  <c r="BO41"/>
  <c r="BO49"/>
  <c r="DB285"/>
  <c r="BO471"/>
  <c r="BO87"/>
  <c r="BO112"/>
  <c r="DB318"/>
  <c r="DB201"/>
  <c r="DB217"/>
  <c r="DB424"/>
  <c r="DB422"/>
  <c r="BO57"/>
  <c r="DB402"/>
  <c r="DB410"/>
  <c r="DB421"/>
  <c r="DB207"/>
  <c r="DB448"/>
  <c r="BO81"/>
  <c r="BO106"/>
  <c r="DB312"/>
  <c r="DB381"/>
  <c r="DB306"/>
  <c r="DB272"/>
  <c r="DB427"/>
  <c r="BO102"/>
  <c r="DB274"/>
  <c r="DB227"/>
  <c r="BO71"/>
  <c r="DB332"/>
  <c r="DD246"/>
  <c r="BO441"/>
  <c r="BO75"/>
  <c r="BO100"/>
  <c r="BO240"/>
  <c r="DB486"/>
  <c r="DB490"/>
  <c r="BO80"/>
  <c r="DB432"/>
  <c r="DB307"/>
  <c r="DB254"/>
  <c r="DB205"/>
  <c r="DB436"/>
  <c r="DD285"/>
  <c r="DB284"/>
  <c r="DB311"/>
  <c r="DB191"/>
  <c r="DB223"/>
  <c r="BO515"/>
  <c r="BO444"/>
  <c r="DB481"/>
  <c r="DB190"/>
  <c r="DB215"/>
  <c r="BO347"/>
  <c r="DB296"/>
  <c r="DB325"/>
  <c r="DB250"/>
  <c r="DB248"/>
  <c r="DB275"/>
  <c r="BO82"/>
  <c r="BO108"/>
  <c r="DB480"/>
  <c r="BO282"/>
  <c r="BO318"/>
  <c r="BO117"/>
  <c r="DB276"/>
  <c r="BO90"/>
  <c r="BO223"/>
  <c r="DB430"/>
  <c r="DB428"/>
  <c r="DB211"/>
  <c r="BO88"/>
  <c r="DB308"/>
  <c r="DB291"/>
  <c r="DB478"/>
  <c r="BO39"/>
  <c r="BO64"/>
  <c r="DB252"/>
  <c r="BO84"/>
  <c r="DB218"/>
  <c r="DB439"/>
  <c r="BO114"/>
  <c r="BO116"/>
  <c r="DB208"/>
  <c r="DB206"/>
  <c r="DB269"/>
  <c r="DB193"/>
  <c r="DB433"/>
  <c r="DB213"/>
  <c r="DB400"/>
  <c r="DB461"/>
  <c r="DB246"/>
  <c r="BO78"/>
  <c r="BO89"/>
  <c r="DB477"/>
  <c r="BO387"/>
  <c r="DD385"/>
  <c r="DB330"/>
  <c r="DB338"/>
  <c r="DB253"/>
  <c r="BO375"/>
  <c r="DB407"/>
  <c r="BO239"/>
  <c r="DB345"/>
  <c r="DB270"/>
  <c r="DB343"/>
  <c r="BO66"/>
  <c r="DB238"/>
  <c r="DB361"/>
  <c r="DB260"/>
  <c r="DB495"/>
  <c r="BO110"/>
  <c r="DB370"/>
  <c r="DB401"/>
  <c r="BO69"/>
  <c r="BO67"/>
  <c r="BO94"/>
  <c r="DB294"/>
  <c r="BO338"/>
  <c r="DB300"/>
  <c r="DB225"/>
  <c r="DB196"/>
  <c r="DB221"/>
  <c r="DB354"/>
  <c r="DB230"/>
  <c r="DB199"/>
  <c r="BO33"/>
  <c r="BO58"/>
  <c r="BO221"/>
  <c r="BO302"/>
  <c r="BO263"/>
  <c r="DD281"/>
  <c r="BO42"/>
  <c r="DB465"/>
  <c r="BO98"/>
  <c r="BO213"/>
  <c r="DB212"/>
  <c r="DB239"/>
  <c r="DB509"/>
  <c r="BO482"/>
  <c r="DB444"/>
  <c r="DB513"/>
  <c r="DB484"/>
  <c r="BO45"/>
  <c r="BO70"/>
  <c r="DB204"/>
  <c r="DB459"/>
  <c r="DB394"/>
  <c r="DB392"/>
  <c r="DB443"/>
  <c r="DB419"/>
  <c r="BO52"/>
  <c r="BO218"/>
  <c r="DB406"/>
  <c r="DB479"/>
  <c r="DD472"/>
  <c r="BO511"/>
  <c r="BO145"/>
  <c r="BO354"/>
  <c r="BO72"/>
  <c r="BO492"/>
  <c r="DB233"/>
  <c r="BO96"/>
  <c r="DB271"/>
  <c r="BO140"/>
  <c r="DB328"/>
  <c r="DB437"/>
  <c r="BO173"/>
  <c r="DB506"/>
  <c r="BO53"/>
  <c r="DB405"/>
  <c r="DB352"/>
  <c r="DB350"/>
  <c r="DB515"/>
  <c r="DB258"/>
  <c r="DB501"/>
  <c r="BO62"/>
  <c r="DB304"/>
  <c r="BO328"/>
  <c r="DB425"/>
  <c r="BO168"/>
  <c r="DB450"/>
  <c r="BO60"/>
  <c r="BO122"/>
  <c r="BO83"/>
  <c r="DB454"/>
  <c r="BO201"/>
  <c r="DB360"/>
  <c r="DB471"/>
  <c r="BO104"/>
  <c r="DD363"/>
  <c r="DB395"/>
  <c r="BO488"/>
  <c r="DB414"/>
  <c r="BO487"/>
  <c r="BO86"/>
  <c r="BO47"/>
  <c r="DB418"/>
  <c r="BO502"/>
  <c r="DB288"/>
  <c r="BO48"/>
  <c r="BO109"/>
  <c r="BO398"/>
  <c r="BO291"/>
  <c r="BO316"/>
  <c r="DB469"/>
  <c r="BO266"/>
  <c r="DB228"/>
  <c r="BO44"/>
  <c r="BO51"/>
  <c r="BO76"/>
  <c r="BO209"/>
  <c r="DB470"/>
  <c r="BO85"/>
  <c r="BO392"/>
  <c r="BO177"/>
  <c r="BO202"/>
  <c r="BO509"/>
  <c r="DB447"/>
  <c r="BO440"/>
  <c r="BO411"/>
  <c r="DB491"/>
  <c r="BO484"/>
  <c r="DD445"/>
  <c r="BO386"/>
  <c r="DB358"/>
  <c r="DB356"/>
  <c r="DB383"/>
  <c r="DD378"/>
  <c r="BO516"/>
  <c r="DB334"/>
  <c r="DB359"/>
  <c r="DB492"/>
  <c r="BO107"/>
  <c r="BO439"/>
  <c r="BO73"/>
  <c r="DB277"/>
  <c r="BO36"/>
  <c r="BO228"/>
  <c r="DB197"/>
  <c r="DB507"/>
  <c r="BO68"/>
  <c r="DB256"/>
  <c r="BO280"/>
  <c r="DB468"/>
  <c r="BO101"/>
  <c r="DB434"/>
  <c r="DD233"/>
  <c r="BO91"/>
  <c r="BO258"/>
  <c r="BO30"/>
  <c r="BO46"/>
  <c r="BO187"/>
  <c r="DB423"/>
  <c r="BO38"/>
  <c r="DB298"/>
  <c r="BO322"/>
  <c r="DB413"/>
  <c r="DB273"/>
  <c r="BO197"/>
  <c r="BO19"/>
  <c r="DB496"/>
  <c r="DB494"/>
  <c r="DB449"/>
  <c r="BO54"/>
  <c r="BO115"/>
  <c r="BO350"/>
  <c r="DB397"/>
  <c r="DB226"/>
  <c r="DB251"/>
  <c r="DB453"/>
  <c r="DB378"/>
  <c r="BO415"/>
  <c r="BO50"/>
  <c r="DB475"/>
  <c r="DB382"/>
  <c r="DB371"/>
  <c r="DB216"/>
  <c r="DB476"/>
  <c r="BO37"/>
  <c r="DB327"/>
  <c r="DB385"/>
  <c r="DB220"/>
  <c r="BO244"/>
  <c r="BO390"/>
  <c r="BO77"/>
  <c r="BO230"/>
  <c r="BO191"/>
  <c r="DB409"/>
  <c r="DB497"/>
  <c r="DB398"/>
  <c r="BO504"/>
  <c r="DB321"/>
  <c r="BO166"/>
  <c r="BO437"/>
  <c r="DB411"/>
  <c r="BO371"/>
  <c r="DB369"/>
  <c r="DB340"/>
  <c r="DB365"/>
  <c r="BO497"/>
  <c r="BO59"/>
  <c r="DB499"/>
  <c r="DB315"/>
  <c r="BO321"/>
  <c r="BO319"/>
  <c r="DB347"/>
  <c r="BO262"/>
  <c r="DB295"/>
  <c r="DB455"/>
  <c r="BO55"/>
  <c r="BO74"/>
  <c r="BO261"/>
  <c r="DB287"/>
  <c r="BO35"/>
  <c r="DB368"/>
  <c r="BO486"/>
  <c r="BO92"/>
  <c r="DB333"/>
  <c r="DB316"/>
  <c r="DB314"/>
  <c r="DB377"/>
  <c r="DB194"/>
  <c r="DD428"/>
  <c r="DB451"/>
  <c r="DB232"/>
  <c r="DB257"/>
  <c r="BO461"/>
  <c r="BO95"/>
  <c r="BO56"/>
  <c r="DB235"/>
  <c r="DB261"/>
  <c r="DB280"/>
  <c r="DB278"/>
  <c r="DB341"/>
  <c r="BO113"/>
  <c r="DB357"/>
  <c r="DB289"/>
  <c r="DD389"/>
  <c r="BO236"/>
  <c r="DB367"/>
  <c r="DB458"/>
  <c r="BO93"/>
  <c r="DB474"/>
  <c r="BO481"/>
  <c r="BO43"/>
  <c r="DB279"/>
  <c r="BO144"/>
  <c r="BO383"/>
  <c r="DB417"/>
  <c r="BO341"/>
  <c r="DB344"/>
  <c r="DB511"/>
  <c r="BO309"/>
  <c r="BO298"/>
  <c r="BO143"/>
  <c r="DB404"/>
  <c r="BO402"/>
  <c r="DB255"/>
  <c r="DB514"/>
  <c r="BO172"/>
  <c r="BO312"/>
  <c r="BO388"/>
  <c r="DB415"/>
  <c r="BO194"/>
  <c r="DB331"/>
  <c r="DB236"/>
  <c r="DB504"/>
  <c r="BO65"/>
  <c r="DB326"/>
  <c r="DB349"/>
  <c r="DB249"/>
  <c r="BO105"/>
  <c r="BO103"/>
  <c r="BO130"/>
  <c r="DB366"/>
  <c r="BO374"/>
  <c r="BO335"/>
  <c r="DB297"/>
  <c r="DB268"/>
  <c r="DB293"/>
  <c r="DB265"/>
  <c r="BO301"/>
  <c r="DB337"/>
  <c r="DB243"/>
  <c r="BO186"/>
  <c r="P65"/>
  <c r="P67"/>
  <c r="P86"/>
  <c r="P103"/>
  <c r="P113"/>
  <c r="P73"/>
  <c r="P85"/>
  <c r="P91"/>
  <c r="P83"/>
  <c r="P115"/>
  <c r="P93"/>
  <c r="P99"/>
  <c r="P58"/>
  <c r="P117"/>
  <c r="P44"/>
  <c r="P45"/>
  <c r="BO294"/>
  <c r="BO79"/>
  <c r="DB210"/>
  <c r="BO500"/>
  <c r="BO265"/>
  <c r="BO142"/>
  <c r="DB445"/>
  <c r="BO285"/>
  <c r="BO300"/>
  <c r="DB301"/>
  <c r="DB390"/>
  <c r="DB429"/>
  <c r="P50"/>
  <c r="P37"/>
  <c r="P39"/>
  <c r="P42"/>
  <c r="P56"/>
  <c r="BC117"/>
  <c r="BC278"/>
  <c r="BC369"/>
  <c r="BH370" s="1"/>
  <c r="P423"/>
  <c r="P515"/>
  <c r="P57"/>
  <c r="P19"/>
  <c r="P109"/>
  <c r="P318"/>
  <c r="P124"/>
  <c r="BC26"/>
  <c r="BG27" s="1"/>
  <c r="P196"/>
  <c r="P342"/>
  <c r="P397"/>
  <c r="P35"/>
  <c r="P29"/>
  <c r="DD404"/>
  <c r="DD352"/>
  <c r="DD211"/>
  <c r="DD387"/>
  <c r="DD331"/>
  <c r="DD430"/>
  <c r="DD395"/>
  <c r="DD208"/>
  <c r="DD419"/>
  <c r="DD294"/>
  <c r="DD368"/>
  <c r="BO438"/>
  <c r="P285"/>
  <c r="BO162"/>
  <c r="P453"/>
  <c r="BO421"/>
  <c r="P170"/>
  <c r="P135"/>
  <c r="P475"/>
  <c r="BO458"/>
  <c r="BC216"/>
  <c r="BO40"/>
  <c r="BO271"/>
  <c r="BO332"/>
  <c r="BO340"/>
  <c r="P18"/>
  <c r="P24"/>
  <c r="BC74"/>
  <c r="P272"/>
  <c r="BC127"/>
  <c r="P155"/>
  <c r="BC507"/>
  <c r="BC206"/>
  <c r="P488"/>
  <c r="P250"/>
  <c r="P162"/>
  <c r="BC473"/>
  <c r="BH474" s="1"/>
  <c r="P409"/>
  <c r="BC86"/>
  <c r="BC360"/>
  <c r="BH361" s="1"/>
  <c r="P40"/>
  <c r="BC119"/>
  <c r="BC79"/>
  <c r="BC419"/>
  <c r="BH420" s="1"/>
  <c r="BC379"/>
  <c r="BH380" s="1"/>
  <c r="P321"/>
  <c r="BC353"/>
  <c r="BC313"/>
  <c r="BC255"/>
  <c r="BC31"/>
  <c r="P269"/>
  <c r="BC478"/>
  <c r="BH479" s="1"/>
  <c r="BC328"/>
  <c r="BC462"/>
  <c r="BH463" s="1"/>
  <c r="BC498"/>
  <c r="BH499" s="1"/>
  <c r="BC141"/>
  <c r="BC75"/>
  <c r="P450"/>
  <c r="BC480"/>
  <c r="BH481" s="1"/>
  <c r="P367"/>
  <c r="P177"/>
  <c r="BC209"/>
  <c r="BC169"/>
  <c r="BC111"/>
  <c r="P70"/>
  <c r="BC246"/>
  <c r="BC486"/>
  <c r="BH487" s="1"/>
  <c r="BC464"/>
  <c r="BH465" s="1"/>
  <c r="BC371"/>
  <c r="BH372" s="1"/>
  <c r="BC455"/>
  <c r="BH456" s="1"/>
  <c r="BC389"/>
  <c r="BH390" s="1"/>
  <c r="BC67"/>
  <c r="BC433"/>
  <c r="BH434" s="1"/>
  <c r="BC161"/>
  <c r="BC502"/>
  <c r="BH503" s="1"/>
  <c r="P346"/>
  <c r="P311"/>
  <c r="BC271"/>
  <c r="BC213"/>
  <c r="P245"/>
  <c r="BC205"/>
  <c r="BC147"/>
  <c r="BC172"/>
  <c r="BC426"/>
  <c r="BH427" s="1"/>
  <c r="P23"/>
  <c r="BC279"/>
  <c r="P484"/>
  <c r="P283"/>
  <c r="P340"/>
  <c r="P479"/>
  <c r="BC439"/>
  <c r="BH440" s="1"/>
  <c r="BC381"/>
  <c r="BH382" s="1"/>
  <c r="BC387"/>
  <c r="BH388" s="1"/>
  <c r="BC108"/>
  <c r="BC260"/>
  <c r="BC42"/>
  <c r="BC391"/>
  <c r="BH392" s="1"/>
  <c r="BC333"/>
  <c r="BC365"/>
  <c r="BH366" s="1"/>
  <c r="BC325"/>
  <c r="BC267"/>
  <c r="BC107"/>
  <c r="P38"/>
  <c r="BC224"/>
  <c r="P338"/>
  <c r="BC265"/>
  <c r="P294"/>
  <c r="P496"/>
  <c r="BC406"/>
  <c r="BH407" s="1"/>
  <c r="P516"/>
  <c r="BC244"/>
  <c r="BC335"/>
  <c r="BC295"/>
  <c r="BC237"/>
  <c r="P243"/>
  <c r="BC316"/>
  <c r="BC208"/>
  <c r="P459"/>
  <c r="BC76"/>
  <c r="P471"/>
  <c r="BC247"/>
  <c r="BC189"/>
  <c r="BC221"/>
  <c r="BC181"/>
  <c r="BC123"/>
  <c r="P489"/>
  <c r="BC194"/>
  <c r="BC128"/>
  <c r="BC359"/>
  <c r="BH360" s="1"/>
  <c r="BC268"/>
  <c r="BC130"/>
  <c r="BC315"/>
  <c r="BC451"/>
  <c r="BH452" s="1"/>
  <c r="BC393"/>
  <c r="BH394" s="1"/>
  <c r="BC425"/>
  <c r="BH426" s="1"/>
  <c r="BC385"/>
  <c r="BH386" s="1"/>
  <c r="BC327"/>
  <c r="BC45"/>
  <c r="BC77"/>
  <c r="BC121"/>
  <c r="P404"/>
  <c r="BC148"/>
  <c r="P84"/>
  <c r="BC234"/>
  <c r="BC227"/>
  <c r="BC187"/>
  <c r="BC487"/>
  <c r="BC429"/>
  <c r="BH430" s="1"/>
  <c r="BC461"/>
  <c r="BH462" s="1"/>
  <c r="BC421"/>
  <c r="BH422" s="1"/>
  <c r="BC363"/>
  <c r="BH364" s="1"/>
  <c r="BC139"/>
  <c r="BC81"/>
  <c r="BC113"/>
  <c r="BC73"/>
  <c r="BC287"/>
  <c r="BC233"/>
  <c r="P444"/>
  <c r="P217"/>
  <c r="P25"/>
  <c r="BC460"/>
  <c r="BC116"/>
  <c r="BC324"/>
  <c r="BC302"/>
  <c r="P193"/>
  <c r="BC258"/>
  <c r="P236"/>
  <c r="BC358"/>
  <c r="BH359" s="1"/>
  <c r="BC408"/>
  <c r="BC106"/>
  <c r="BC483"/>
  <c r="BC207"/>
  <c r="BC276"/>
  <c r="BC254"/>
  <c r="P157"/>
  <c r="BC226"/>
  <c r="BC136"/>
  <c r="BC64"/>
  <c r="BC510"/>
  <c r="BH511" s="1"/>
  <c r="BC300"/>
  <c r="BC395"/>
  <c r="BH396" s="1"/>
  <c r="P140"/>
  <c r="BC511"/>
  <c r="BH512" s="1"/>
  <c r="P495"/>
  <c r="BC180"/>
  <c r="P158"/>
  <c r="BC476"/>
  <c r="P114"/>
  <c r="BC92"/>
  <c r="BC463"/>
  <c r="BH464" s="1"/>
  <c r="BC405"/>
  <c r="BH406" s="1"/>
  <c r="P437"/>
  <c r="BC339"/>
  <c r="P100"/>
  <c r="BC199"/>
  <c r="BC133"/>
  <c r="BC102"/>
  <c r="BC168"/>
  <c r="BC146"/>
  <c r="BC322"/>
  <c r="P36"/>
  <c r="BC80"/>
  <c r="BC334"/>
  <c r="BC232"/>
  <c r="BC319"/>
  <c r="P261"/>
  <c r="BC293"/>
  <c r="BC253"/>
  <c r="BC195"/>
  <c r="P357"/>
  <c r="BC291"/>
  <c r="P257"/>
  <c r="P443"/>
  <c r="P403"/>
  <c r="BC345"/>
  <c r="BC351"/>
  <c r="P72"/>
  <c r="BC50"/>
  <c r="P472"/>
  <c r="P376"/>
  <c r="BC289"/>
  <c r="BC231"/>
  <c r="BC273"/>
  <c r="P352"/>
  <c r="BC41"/>
  <c r="P503"/>
  <c r="BC240"/>
  <c r="P508"/>
  <c r="BC82"/>
  <c r="P452"/>
  <c r="BC192"/>
  <c r="BC323"/>
  <c r="P126"/>
  <c r="P104"/>
  <c r="BC138"/>
  <c r="P470"/>
  <c r="BC282"/>
  <c r="P167"/>
  <c r="BC69"/>
  <c r="BC101"/>
  <c r="P61"/>
  <c r="BC370"/>
  <c r="BH371" s="1"/>
  <c r="P422"/>
  <c r="P445"/>
  <c r="P378"/>
  <c r="BC356"/>
  <c r="P215"/>
  <c r="BC96"/>
  <c r="P296"/>
  <c r="P396"/>
  <c r="P374"/>
  <c r="BC373"/>
  <c r="BH374" s="1"/>
  <c r="P330"/>
  <c r="BC48"/>
  <c r="P454"/>
  <c r="P274"/>
  <c r="BC150"/>
  <c r="BC441"/>
  <c r="BH442" s="1"/>
  <c r="BC384"/>
  <c r="BH385" s="1"/>
  <c r="BC362"/>
  <c r="BH363" s="1"/>
  <c r="BC512"/>
  <c r="BH513" s="1"/>
  <c r="BC252"/>
  <c r="BC230"/>
  <c r="P364"/>
  <c r="BC164"/>
  <c r="BC94"/>
  <c r="BC477"/>
  <c r="BH478" s="1"/>
  <c r="P509"/>
  <c r="BC469"/>
  <c r="BH470" s="1"/>
  <c r="BC411"/>
  <c r="BH412" s="1"/>
  <c r="BC410"/>
  <c r="BH411" s="1"/>
  <c r="P159"/>
  <c r="P280"/>
  <c r="P400"/>
  <c r="P298"/>
  <c r="P288"/>
  <c r="P266"/>
  <c r="P222"/>
  <c r="P513"/>
  <c r="BC264"/>
  <c r="BC505"/>
  <c r="BH506" s="1"/>
  <c r="BC447"/>
  <c r="BH448" s="1"/>
  <c r="P110"/>
  <c r="BC388"/>
  <c r="BH389" s="1"/>
  <c r="P154"/>
  <c r="BC456"/>
  <c r="BH457" s="1"/>
  <c r="P434"/>
  <c r="BC174"/>
  <c r="BC131"/>
  <c r="BC91"/>
  <c r="BC33"/>
  <c r="BC152"/>
  <c r="BC386"/>
  <c r="BH387" s="1"/>
  <c r="BC301"/>
  <c r="BC320"/>
  <c r="BC413"/>
  <c r="BH414" s="1"/>
  <c r="P43"/>
  <c r="P449"/>
  <c r="BC383"/>
  <c r="BH384" s="1"/>
  <c r="BC343"/>
  <c r="P317"/>
  <c r="P277"/>
  <c r="BC219"/>
  <c r="P436"/>
  <c r="BC125"/>
  <c r="BC304"/>
  <c r="P440"/>
  <c r="P312"/>
  <c r="P290"/>
  <c r="P229"/>
  <c r="P394"/>
  <c r="P262"/>
  <c r="P89"/>
  <c r="BC112"/>
  <c r="P52"/>
  <c r="P336"/>
  <c r="P242"/>
  <c r="BC467"/>
  <c r="BH468" s="1"/>
  <c r="BC198"/>
  <c r="BC176"/>
  <c r="BC184"/>
  <c r="BC239"/>
  <c r="BC173"/>
  <c r="BC494"/>
  <c r="BH495" s="1"/>
  <c r="BC466"/>
  <c r="BH467" s="1"/>
  <c r="BC191"/>
  <c r="BC220"/>
  <c r="P34"/>
  <c r="BC468"/>
  <c r="BH469" s="1"/>
  <c r="BC446"/>
  <c r="P66"/>
  <c r="P402"/>
  <c r="BC380"/>
  <c r="BH381" s="1"/>
  <c r="BC120"/>
  <c r="BC98"/>
  <c r="BC179"/>
  <c r="BC54"/>
  <c r="P331"/>
  <c r="P415"/>
  <c r="P349"/>
  <c r="P448"/>
  <c r="BC430"/>
  <c r="BH431" s="1"/>
  <c r="P431"/>
  <c r="P204"/>
  <c r="BC182"/>
  <c r="BC238"/>
  <c r="BC504"/>
  <c r="BH505" s="1"/>
  <c r="P482"/>
  <c r="BC438"/>
  <c r="BH439" s="1"/>
  <c r="BC416"/>
  <c r="BH417" s="1"/>
  <c r="P156"/>
  <c r="BC134"/>
  <c r="BC251"/>
  <c r="BC90"/>
  <c r="BC68"/>
  <c r="BC115"/>
  <c r="BC442"/>
  <c r="BC190"/>
  <c r="P225"/>
  <c r="P305"/>
  <c r="P341"/>
  <c r="P347"/>
  <c r="P307"/>
  <c r="P249"/>
  <c r="BC281"/>
  <c r="P241"/>
  <c r="P183"/>
  <c r="P310"/>
  <c r="P202"/>
  <c r="P160"/>
  <c r="P88"/>
  <c r="P212"/>
  <c r="BC299"/>
  <c r="P259"/>
  <c r="BC201"/>
  <c r="BC171"/>
  <c r="BC166"/>
  <c r="BC501"/>
  <c r="BH502" s="1"/>
  <c r="BC63"/>
  <c r="BC493"/>
  <c r="BH494" s="1"/>
  <c r="BC435"/>
  <c r="BC211"/>
  <c r="BC153"/>
  <c r="BC185"/>
  <c r="BC145"/>
  <c r="BC87"/>
  <c r="BC46"/>
  <c r="P506"/>
  <c r="BC390"/>
  <c r="BH391" s="1"/>
  <c r="BC203"/>
  <c r="BC163"/>
  <c r="BC105"/>
  <c r="P137"/>
  <c r="BC97"/>
  <c r="BC458"/>
  <c r="BH459" s="1"/>
  <c r="P292"/>
  <c r="P414"/>
  <c r="BC392"/>
  <c r="BH393" s="1"/>
  <c r="BC178"/>
  <c r="P118"/>
  <c r="P499"/>
  <c r="BC18"/>
  <c r="P314"/>
  <c r="BC248"/>
  <c r="BC348"/>
  <c r="BC432"/>
  <c r="BH433" s="1"/>
  <c r="BC366"/>
  <c r="BH367" s="1"/>
  <c r="P428"/>
  <c r="BC420"/>
  <c r="BH421" s="1"/>
  <c r="BC398"/>
  <c r="BH399" s="1"/>
  <c r="P30"/>
  <c r="P95"/>
  <c r="BC485"/>
  <c r="BH486" s="1"/>
  <c r="BC29"/>
  <c r="BG30" s="1"/>
  <c r="P412"/>
  <c r="BC143"/>
  <c r="BC350"/>
  <c r="BC49"/>
  <c r="BC306"/>
  <c r="BC132"/>
  <c r="P256"/>
  <c r="BC263"/>
  <c r="P223"/>
  <c r="BC165"/>
  <c r="BC99"/>
  <c r="BC58"/>
  <c r="BC465"/>
  <c r="BH466" s="1"/>
  <c r="BC497"/>
  <c r="BH498" s="1"/>
  <c r="BC457"/>
  <c r="BH458" s="1"/>
  <c r="BC399"/>
  <c r="BH400" s="1"/>
  <c r="P175"/>
  <c r="P149"/>
  <c r="BC51"/>
  <c r="BC417"/>
  <c r="BH418" s="1"/>
  <c r="P144"/>
  <c r="BC122"/>
  <c r="BC368"/>
  <c r="BH369" s="1"/>
  <c r="BC78"/>
  <c r="BC56"/>
  <c r="BC427"/>
  <c r="BH428" s="1"/>
  <c r="P401"/>
  <c r="P361"/>
  <c r="BC303"/>
  <c r="BC346"/>
  <c r="P139"/>
  <c r="P421"/>
  <c r="P106"/>
  <c r="P302"/>
  <c r="P232"/>
  <c r="P425"/>
  <c r="P252"/>
  <c r="P512"/>
  <c r="P300"/>
  <c r="P276"/>
  <c r="P358"/>
  <c r="P116"/>
  <c r="P41"/>
  <c r="P273"/>
  <c r="P462"/>
  <c r="P260"/>
  <c r="P189"/>
  <c r="P313"/>
  <c r="P46"/>
  <c r="P244"/>
  <c r="P370"/>
  <c r="BC257"/>
  <c r="BC499"/>
  <c r="BH500" s="1"/>
  <c r="BC256"/>
  <c r="BC110"/>
  <c r="P31"/>
  <c r="BC471"/>
  <c r="BH472" s="1"/>
  <c r="BC361"/>
  <c r="BH362" s="1"/>
  <c r="BC61"/>
  <c r="BC479"/>
  <c r="BH480" s="1"/>
  <c r="BC400"/>
  <c r="BH401" s="1"/>
  <c r="BC72"/>
  <c r="P22"/>
  <c r="BC459"/>
  <c r="BH460" s="1"/>
  <c r="P27"/>
  <c r="BC243"/>
  <c r="P81"/>
  <c r="P77"/>
  <c r="P268"/>
  <c r="P69"/>
  <c r="P483"/>
  <c r="P102"/>
  <c r="P75"/>
  <c r="P389"/>
  <c r="P121"/>
  <c r="P221"/>
  <c r="P356"/>
  <c r="P64"/>
  <c r="P254"/>
  <c r="P408"/>
  <c r="P324"/>
  <c r="BC167"/>
  <c r="BC104"/>
  <c r="P231"/>
  <c r="P147"/>
  <c r="P429"/>
  <c r="P351"/>
  <c r="P111"/>
  <c r="P385"/>
  <c r="P395"/>
  <c r="P289"/>
  <c r="P426"/>
  <c r="P213"/>
  <c r="P107"/>
  <c r="P391"/>
  <c r="P486"/>
  <c r="P169"/>
  <c r="P207"/>
  <c r="P333"/>
  <c r="P240"/>
  <c r="P287"/>
  <c r="P478"/>
  <c r="P255"/>
  <c r="P353"/>
  <c r="P295"/>
  <c r="P325"/>
  <c r="BC330"/>
  <c r="BC374"/>
  <c r="P28"/>
  <c r="BC513"/>
  <c r="BH514" s="1"/>
  <c r="BC509"/>
  <c r="BH510" s="1"/>
  <c r="P373"/>
  <c r="P334"/>
  <c r="P146"/>
  <c r="P388"/>
  <c r="BC215"/>
  <c r="BC422"/>
  <c r="BC317"/>
  <c r="BC434"/>
  <c r="BH435" s="1"/>
  <c r="BC412"/>
  <c r="BH413" s="1"/>
  <c r="P345"/>
  <c r="P469"/>
  <c r="P384"/>
  <c r="P511"/>
  <c r="P253"/>
  <c r="P80"/>
  <c r="P230"/>
  <c r="P168"/>
  <c r="P101"/>
  <c r="P152"/>
  <c r="P82"/>
  <c r="P138"/>
  <c r="P465"/>
  <c r="P263"/>
  <c r="BC292"/>
  <c r="BC88"/>
  <c r="BC310"/>
  <c r="BC440"/>
  <c r="BH441" s="1"/>
  <c r="BC269"/>
  <c r="BC149"/>
  <c r="P55"/>
  <c r="P60"/>
  <c r="P119"/>
  <c r="BC372"/>
  <c r="BH373" s="1"/>
  <c r="BC144"/>
  <c r="BC60"/>
  <c r="BC183"/>
  <c r="BC414"/>
  <c r="BH415" s="1"/>
  <c r="BC89"/>
  <c r="BC401"/>
  <c r="BH402" s="1"/>
  <c r="P48"/>
  <c r="DB135"/>
  <c r="P32"/>
  <c r="P68"/>
  <c r="P90"/>
  <c r="P87"/>
  <c r="P53"/>
  <c r="P220"/>
  <c r="P466"/>
  <c r="P173"/>
  <c r="P153"/>
  <c r="BC262"/>
  <c r="P33"/>
  <c r="P63"/>
  <c r="P49"/>
  <c r="P51"/>
  <c r="P504"/>
  <c r="P430"/>
  <c r="P494"/>
  <c r="BC259"/>
  <c r="P20"/>
  <c r="P171"/>
  <c r="P190"/>
  <c r="P184"/>
  <c r="BC312"/>
  <c r="BC241"/>
  <c r="P238"/>
  <c r="P239"/>
  <c r="P281"/>
  <c r="BC212"/>
  <c r="BC394"/>
  <c r="BH395" s="1"/>
  <c r="BC156"/>
  <c r="P182"/>
  <c r="P501"/>
  <c r="P54"/>
  <c r="P179"/>
  <c r="P98"/>
  <c r="P120"/>
  <c r="P380"/>
  <c r="P446"/>
  <c r="P166"/>
  <c r="P299"/>
  <c r="P47"/>
  <c r="BC225"/>
  <c r="BC336"/>
  <c r="BC223"/>
  <c r="P468"/>
  <c r="P279"/>
  <c r="P97"/>
  <c r="P379"/>
  <c r="P419"/>
  <c r="P201"/>
  <c r="BC450"/>
  <c r="BH451" s="1"/>
  <c r="BC283"/>
  <c r="BC294"/>
  <c r="P350"/>
  <c r="P143"/>
  <c r="P251"/>
  <c r="P134"/>
  <c r="P416"/>
  <c r="P438"/>
  <c r="P485"/>
  <c r="P480"/>
  <c r="P457"/>
  <c r="P464"/>
  <c r="P78"/>
  <c r="P455"/>
  <c r="P372"/>
  <c r="P493"/>
  <c r="P112"/>
  <c r="P105"/>
  <c r="P163"/>
  <c r="P203"/>
  <c r="P390"/>
  <c r="P145"/>
  <c r="P185"/>
  <c r="BC290"/>
  <c r="BC245"/>
  <c r="BC55"/>
  <c r="BC93"/>
  <c r="BC311"/>
  <c r="BC103"/>
  <c r="BC177"/>
  <c r="BC340"/>
  <c r="BC214"/>
  <c r="BC200"/>
  <c r="BC222"/>
  <c r="BC204"/>
  <c r="BC364"/>
  <c r="BH365" s="1"/>
  <c r="BC337"/>
  <c r="BC229"/>
  <c r="BC228"/>
  <c r="BC43"/>
  <c r="BC83"/>
  <c r="BC418"/>
  <c r="BH419" s="1"/>
  <c r="BC452"/>
  <c r="BC65"/>
  <c r="BC249"/>
  <c r="BC218"/>
  <c r="BC503"/>
  <c r="BH504" s="1"/>
  <c r="BC329"/>
  <c r="BC297"/>
  <c r="BC355"/>
  <c r="BH356" s="1"/>
  <c r="BC376"/>
  <c r="BH377" s="1"/>
  <c r="BC472"/>
  <c r="BH473" s="1"/>
  <c r="BC210"/>
  <c r="BC403"/>
  <c r="BC52"/>
  <c r="BC495"/>
  <c r="BC470"/>
  <c r="BH471" s="1"/>
  <c r="BC492"/>
  <c r="BH493" s="1"/>
  <c r="BC474"/>
  <c r="BC354"/>
  <c r="BH355" s="1"/>
  <c r="BC47"/>
  <c r="BC431"/>
  <c r="BH432" s="1"/>
  <c r="BC284"/>
  <c r="BC188"/>
  <c r="BC482"/>
  <c r="BH483" s="1"/>
  <c r="BC95"/>
  <c r="BC59"/>
  <c r="BC85"/>
  <c r="BC266"/>
  <c r="BC288"/>
  <c r="BC197"/>
  <c r="BC280"/>
  <c r="BC70"/>
  <c r="BC129"/>
  <c r="BC402"/>
  <c r="BH403" s="1"/>
  <c r="BC151"/>
  <c r="BC481"/>
  <c r="BH482" s="1"/>
  <c r="P375"/>
  <c r="P71"/>
  <c r="P62"/>
  <c r="P344"/>
  <c r="P366"/>
  <c r="P410"/>
  <c r="P432"/>
  <c r="P326"/>
  <c r="P348"/>
  <c r="P176"/>
  <c r="P198"/>
  <c r="P467"/>
  <c r="P458"/>
  <c r="P165"/>
  <c r="BC428"/>
  <c r="BH429" s="1"/>
  <c r="BC448"/>
  <c r="BC349"/>
  <c r="BC415"/>
  <c r="BH416" s="1"/>
  <c r="BC331"/>
  <c r="BC396"/>
  <c r="BC296"/>
  <c r="BC506"/>
  <c r="BH507" s="1"/>
  <c r="BC274"/>
  <c r="BC382"/>
  <c r="BH383" s="1"/>
  <c r="BC454"/>
  <c r="BH455" s="1"/>
  <c r="BC242"/>
  <c r="BC308"/>
  <c r="BC307"/>
  <c r="BC347"/>
  <c r="BC341"/>
  <c r="BC490"/>
  <c r="BH491" s="1"/>
  <c r="BC305"/>
  <c r="BC500"/>
  <c r="BH501" s="1"/>
  <c r="BC44"/>
  <c r="BC186"/>
  <c r="BC275"/>
  <c r="BC261"/>
  <c r="BC66"/>
  <c r="BC53"/>
  <c r="BC514"/>
  <c r="BC34"/>
  <c r="BG35" s="1"/>
  <c r="BC32"/>
  <c r="BC39"/>
  <c r="BC19"/>
  <c r="BC23"/>
  <c r="BC21"/>
  <c r="BC22"/>
  <c r="BC20"/>
  <c r="BC37"/>
  <c r="BC24"/>
  <c r="BC36"/>
  <c r="BC28"/>
  <c r="BC270"/>
  <c r="BC332"/>
  <c r="BC314"/>
  <c r="BC142"/>
  <c r="BC286"/>
  <c r="BC424"/>
  <c r="BH425" s="1"/>
  <c r="BC377"/>
  <c r="BC235"/>
  <c r="BC491"/>
  <c r="BH492" s="1"/>
  <c r="BC309"/>
  <c r="BC367"/>
  <c r="BH368" s="1"/>
  <c r="BC407"/>
  <c r="BH408" s="1"/>
  <c r="BC25"/>
  <c r="DB179"/>
  <c r="DB89"/>
  <c r="DB181"/>
  <c r="DD171"/>
  <c r="DD177"/>
  <c r="DD104"/>
  <c r="DD99"/>
  <c r="DD58"/>
  <c r="DD47"/>
  <c r="DD75"/>
  <c r="DD97"/>
  <c r="DD92"/>
  <c r="DD79"/>
  <c r="DD45"/>
  <c r="DD107"/>
  <c r="DD88"/>
  <c r="DD76"/>
  <c r="DD108"/>
  <c r="DD117"/>
  <c r="DD69"/>
  <c r="DD63"/>
  <c r="DD72"/>
  <c r="DD110"/>
  <c r="DD51"/>
  <c r="DD113"/>
  <c r="DD84"/>
  <c r="DD71"/>
  <c r="DD83"/>
  <c r="DD86"/>
  <c r="DD50"/>
  <c r="DD95"/>
  <c r="DD49"/>
  <c r="DD111"/>
  <c r="DD81"/>
  <c r="DD52"/>
  <c r="DD42"/>
  <c r="DD89"/>
  <c r="DD109"/>
  <c r="DD106"/>
  <c r="DD74"/>
  <c r="DD44"/>
  <c r="DD80"/>
  <c r="DD48"/>
  <c r="DD82"/>
  <c r="DD87"/>
  <c r="DD59"/>
  <c r="DD53"/>
  <c r="DD57"/>
  <c r="DD43"/>
  <c r="DD60"/>
  <c r="DD68"/>
  <c r="DD98"/>
  <c r="DD100"/>
  <c r="DD46"/>
  <c r="DD112"/>
  <c r="DD56"/>
  <c r="DD41"/>
  <c r="DD33"/>
  <c r="DD38"/>
  <c r="DD31"/>
  <c r="DD40"/>
  <c r="DD34"/>
  <c r="DD37"/>
  <c r="DD36"/>
  <c r="DD30"/>
  <c r="BE18"/>
  <c r="DD21"/>
  <c r="AY18" a="1"/>
  <c r="BR18" a="1"/>
  <c r="DD27"/>
  <c r="BE19"/>
  <c r="BE21"/>
  <c r="DD28"/>
  <c r="BE24"/>
  <c r="DD22"/>
  <c r="DD26"/>
  <c r="DD24"/>
  <c r="BT40" l="1"/>
  <c r="BT67"/>
  <c r="BT94"/>
  <c r="BT121"/>
  <c r="BT148"/>
  <c r="BT175"/>
  <c r="BT202"/>
  <c r="BS41"/>
  <c r="BV73"/>
  <c r="BY105"/>
  <c r="BT138"/>
  <c r="BW170"/>
  <c r="BS203"/>
  <c r="BT231"/>
  <c r="BT258"/>
  <c r="BT285"/>
  <c r="BT312"/>
  <c r="BT339"/>
  <c r="BT366"/>
  <c r="BT393"/>
  <c r="BT420"/>
  <c r="BX33"/>
  <c r="BS66"/>
  <c r="BV98"/>
  <c r="BY130"/>
  <c r="BX64"/>
  <c r="BU113"/>
  <c r="BR156"/>
  <c r="BY194"/>
  <c r="BY229"/>
  <c r="BT262"/>
  <c r="BW294"/>
  <c r="BR327"/>
  <c r="BU359"/>
  <c r="BY391"/>
  <c r="BT424"/>
  <c r="BY452"/>
  <c r="BY479"/>
  <c r="BY506"/>
  <c r="BU48"/>
  <c r="BR97"/>
  <c r="BY142"/>
  <c r="BV21"/>
  <c r="BV48"/>
  <c r="BV75"/>
  <c r="BV102"/>
  <c r="BV129"/>
  <c r="BV156"/>
  <c r="BV183"/>
  <c r="BW18"/>
  <c r="BR51"/>
  <c r="BU83"/>
  <c r="BX115"/>
  <c r="BS148"/>
  <c r="BW180"/>
  <c r="BV212"/>
  <c r="BV239"/>
  <c r="BX56"/>
  <c r="BT97"/>
  <c r="BX137"/>
  <c r="BT178"/>
  <c r="BV28"/>
  <c r="BS77"/>
  <c r="BW125"/>
  <c r="BT174"/>
  <c r="BX220"/>
  <c r="BV257"/>
  <c r="BV290"/>
  <c r="BX322"/>
  <c r="BR355"/>
  <c r="BT387"/>
  <c r="BV419"/>
  <c r="BR40"/>
  <c r="BX78"/>
  <c r="BU117"/>
  <c r="BR54"/>
  <c r="BY111"/>
  <c r="BW163"/>
  <c r="BR210"/>
  <c r="BX248"/>
  <c r="BU287"/>
  <c r="BS326"/>
  <c r="BX365"/>
  <c r="BU404"/>
  <c r="BW441"/>
  <c r="BY473"/>
  <c r="BS506"/>
  <c r="BX57"/>
  <c r="BY115"/>
  <c r="BW165"/>
  <c r="BV206"/>
  <c r="BV240"/>
  <c r="BY272"/>
  <c r="BS29"/>
  <c r="BR102"/>
  <c r="BV166"/>
  <c r="BU222"/>
  <c r="BX270"/>
  <c r="BW315"/>
  <c r="BR29"/>
  <c r="BV69"/>
  <c r="BR110"/>
  <c r="BV150"/>
  <c r="BR191"/>
  <c r="BX43"/>
  <c r="BU92"/>
  <c r="BR141"/>
  <c r="BW189"/>
  <c r="BV233"/>
  <c r="BR268"/>
  <c r="BT300"/>
  <c r="BV332"/>
  <c r="BX364"/>
  <c r="BR397"/>
  <c r="BR430"/>
  <c r="BX51"/>
  <c r="BU90"/>
  <c r="BS129"/>
  <c r="BU71"/>
  <c r="BX130"/>
  <c r="BW177"/>
  <c r="BX221"/>
  <c r="BU260"/>
  <c r="BS299"/>
  <c r="BX338"/>
  <c r="BU377"/>
  <c r="BS416"/>
  <c r="BU451"/>
  <c r="BW483"/>
  <c r="BW516"/>
  <c r="BU75"/>
  <c r="BS133"/>
  <c r="BV179"/>
  <c r="BS217"/>
  <c r="BU250"/>
  <c r="BX282"/>
  <c r="BW51"/>
  <c r="BV124"/>
  <c r="BV184"/>
  <c r="BS237"/>
  <c r="BX285"/>
  <c r="BV327"/>
  <c r="BR41"/>
  <c r="BV81"/>
  <c r="BR122"/>
  <c r="BV162"/>
  <c r="BR203"/>
  <c r="BS58"/>
  <c r="BX106"/>
  <c r="BU155"/>
  <c r="BR204"/>
  <c r="BT52"/>
  <c r="BX92"/>
  <c r="BT133"/>
  <c r="BX173"/>
  <c r="BS23"/>
  <c r="BW71"/>
  <c r="BT120"/>
  <c r="BY168"/>
  <c r="BT216"/>
  <c r="BV254"/>
  <c r="BX286"/>
  <c r="BR319"/>
  <c r="BV18"/>
  <c r="BR59"/>
  <c r="BV99"/>
  <c r="BR140"/>
  <c r="BV180"/>
  <c r="BS31"/>
  <c r="BX79"/>
  <c r="BU128"/>
  <c r="BR177"/>
  <c r="BR223"/>
  <c r="BR259"/>
  <c r="BT291"/>
  <c r="BV323"/>
  <c r="BX355"/>
  <c r="BR388"/>
  <c r="BR421"/>
  <c r="BY40"/>
  <c r="BT75"/>
  <c r="BV266"/>
  <c r="BX358"/>
  <c r="BT423"/>
  <c r="BT74"/>
  <c r="BY18"/>
  <c r="BV106"/>
  <c r="BY180"/>
  <c r="BT244"/>
  <c r="BX302"/>
  <c r="BT361"/>
  <c r="BX419"/>
  <c r="BS470"/>
  <c r="BU21"/>
  <c r="BR109"/>
  <c r="BY182"/>
  <c r="BY236"/>
  <c r="BV285"/>
  <c r="BY93"/>
  <c r="BS189"/>
  <c r="BU265"/>
  <c r="BX330"/>
  <c r="BR374"/>
  <c r="BY412"/>
  <c r="BX448"/>
  <c r="BS481"/>
  <c r="BV513"/>
  <c r="BX75"/>
  <c r="BU145"/>
  <c r="BS205"/>
  <c r="BU254"/>
  <c r="BU302"/>
  <c r="BX128"/>
  <c r="BR211"/>
  <c r="BV314"/>
  <c r="BT390"/>
  <c r="BX42"/>
  <c r="BT101"/>
  <c r="BU59"/>
  <c r="BS144"/>
  <c r="BX212"/>
  <c r="BT271"/>
  <c r="BX329"/>
  <c r="BT388"/>
  <c r="BW444"/>
  <c r="BW492"/>
  <c r="BY61"/>
  <c r="BS146"/>
  <c r="BY209"/>
  <c r="BU259"/>
  <c r="BU35"/>
  <c r="BU142"/>
  <c r="BU226"/>
  <c r="BT299"/>
  <c r="BU353"/>
  <c r="BT392"/>
  <c r="BS431"/>
  <c r="BR464"/>
  <c r="BV496"/>
  <c r="BR37"/>
  <c r="BY109"/>
  <c r="BX172"/>
  <c r="BW228"/>
  <c r="BT277"/>
  <c r="BY320"/>
  <c r="BX203"/>
  <c r="BV245"/>
  <c r="BT342"/>
  <c r="BV410"/>
  <c r="BW61"/>
  <c r="BT119"/>
  <c r="BU86"/>
  <c r="BX165"/>
  <c r="BW231"/>
  <c r="BS290"/>
  <c r="BX347"/>
  <c r="BX35"/>
  <c r="BX62"/>
  <c r="BX89"/>
  <c r="BX116"/>
  <c r="BX143"/>
  <c r="BX170"/>
  <c r="BX197"/>
  <c r="BW35"/>
  <c r="BS68"/>
  <c r="BV100"/>
  <c r="BY132"/>
  <c r="BT165"/>
  <c r="BW197"/>
  <c r="BX226"/>
  <c r="BX253"/>
  <c r="BX280"/>
  <c r="BX307"/>
  <c r="BX334"/>
  <c r="BX361"/>
  <c r="BX388"/>
  <c r="BX415"/>
  <c r="BU28"/>
  <c r="BX60"/>
  <c r="BS93"/>
  <c r="BV125"/>
  <c r="BW56"/>
  <c r="BT105"/>
  <c r="BV149"/>
  <c r="BU188"/>
  <c r="BU224"/>
  <c r="BY256"/>
  <c r="BT289"/>
  <c r="BW321"/>
  <c r="BR354"/>
  <c r="BU386"/>
  <c r="BY418"/>
  <c r="BU448"/>
  <c r="BU475"/>
  <c r="BU502"/>
  <c r="BU40"/>
  <c r="BY88"/>
  <c r="BU136"/>
  <c r="BU175"/>
  <c r="BR44"/>
  <c r="BR71"/>
  <c r="BR98"/>
  <c r="BR125"/>
  <c r="BR152"/>
  <c r="BR179"/>
  <c r="BR206"/>
  <c r="BW45"/>
  <c r="BR78"/>
  <c r="BU110"/>
  <c r="BX142"/>
  <c r="BS175"/>
  <c r="BW207"/>
  <c r="BR235"/>
  <c r="BX50"/>
  <c r="BT91"/>
  <c r="BX131"/>
  <c r="BT172"/>
  <c r="BT21"/>
  <c r="BY69"/>
  <c r="BV118"/>
  <c r="BS167"/>
  <c r="BX214"/>
  <c r="BT252"/>
  <c r="BV284"/>
  <c r="BV317"/>
  <c r="BX349"/>
  <c r="BR382"/>
  <c r="BT414"/>
  <c r="BY32"/>
  <c r="BU72"/>
  <c r="BS111"/>
  <c r="BU44"/>
  <c r="BW102"/>
  <c r="BY154"/>
  <c r="BV202"/>
  <c r="BU242"/>
  <c r="BS281"/>
  <c r="BY319"/>
  <c r="BV358"/>
  <c r="BS398"/>
  <c r="BU436"/>
  <c r="BW468"/>
  <c r="BY500"/>
  <c r="BY46"/>
  <c r="BU106"/>
  <c r="BY157"/>
  <c r="BS200"/>
  <c r="BS235"/>
  <c r="BV267"/>
  <c r="BY299"/>
  <c r="BR90"/>
  <c r="BX156"/>
  <c r="BT214"/>
  <c r="BW262"/>
  <c r="BS309"/>
  <c r="BR23"/>
  <c r="BV63"/>
  <c r="BR104"/>
  <c r="BV144"/>
  <c r="BR185"/>
  <c r="BW36"/>
  <c r="BS85"/>
  <c r="BX133"/>
  <c r="BU182"/>
  <c r="BV227"/>
  <c r="BR262"/>
  <c r="BR295"/>
  <c r="BT327"/>
  <c r="BV359"/>
  <c r="BX391"/>
  <c r="BR424"/>
  <c r="BU45"/>
  <c r="BS84"/>
  <c r="BY122"/>
  <c r="BS62"/>
  <c r="BR120"/>
  <c r="BS170"/>
  <c r="BU215"/>
  <c r="BS254"/>
  <c r="BY292"/>
  <c r="BV331"/>
  <c r="BS371"/>
  <c r="BY409"/>
  <c r="BS446"/>
  <c r="BU478"/>
  <c r="BW510"/>
  <c r="BY65"/>
  <c r="BR124"/>
  <c r="BR172"/>
  <c r="BW211"/>
  <c r="BR245"/>
  <c r="BU277"/>
  <c r="BW39"/>
  <c r="BV112"/>
  <c r="BX174"/>
  <c r="BS229"/>
  <c r="BW277"/>
  <c r="BR321"/>
  <c r="BV33"/>
  <c r="BR74"/>
  <c r="BV114"/>
  <c r="BR155"/>
  <c r="BV195"/>
  <c r="BS49"/>
  <c r="BX97"/>
  <c r="BU146"/>
  <c r="BR195"/>
  <c r="BT46"/>
  <c r="BX86"/>
  <c r="BT127"/>
  <c r="BX167"/>
  <c r="BT208"/>
  <c r="BV64"/>
  <c r="BS113"/>
  <c r="BW161"/>
  <c r="BT210"/>
  <c r="BV248"/>
  <c r="BV281"/>
  <c r="BX313"/>
  <c r="BR346"/>
  <c r="BV51"/>
  <c r="BR92"/>
  <c r="BV132"/>
  <c r="BR173"/>
  <c r="BS22"/>
  <c r="BX70"/>
  <c r="BU119"/>
  <c r="BR168"/>
  <c r="BV215"/>
  <c r="BR253"/>
  <c r="BR286"/>
  <c r="BT318"/>
  <c r="BV350"/>
  <c r="BX382"/>
  <c r="BR415"/>
  <c r="BW34"/>
  <c r="BW26"/>
  <c r="BX250"/>
  <c r="BV347"/>
  <c r="BX412"/>
  <c r="BU63"/>
  <c r="BY121"/>
  <c r="BT90"/>
  <c r="BY167"/>
  <c r="BU233"/>
  <c r="BY291"/>
  <c r="BU350"/>
  <c r="BY408"/>
  <c r="BS461"/>
  <c r="BY509"/>
  <c r="BY92"/>
  <c r="BR171"/>
  <c r="BY227"/>
  <c r="BV276"/>
  <c r="BX73"/>
  <c r="BY172"/>
  <c r="BY251"/>
  <c r="BR320"/>
  <c r="BU367"/>
  <c r="BU406"/>
  <c r="BU443"/>
  <c r="BX475"/>
  <c r="BS508"/>
  <c r="BX63"/>
  <c r="BX135"/>
  <c r="BU195"/>
  <c r="BU246"/>
  <c r="BY294"/>
  <c r="BT88"/>
  <c r="BV163"/>
  <c r="BR298"/>
  <c r="BR379"/>
  <c r="BS30"/>
  <c r="BT92"/>
  <c r="BY45"/>
  <c r="BU133"/>
  <c r="BV203"/>
  <c r="BS263"/>
  <c r="BX320"/>
  <c r="BT379"/>
  <c r="BS437"/>
  <c r="BY485"/>
  <c r="BW49"/>
  <c r="BT135"/>
  <c r="BS201"/>
  <c r="BS252"/>
  <c r="BS19"/>
  <c r="BW128"/>
  <c r="BX215"/>
  <c r="BV288"/>
  <c r="BR347"/>
  <c r="BY385"/>
  <c r="BW424"/>
  <c r="BW458"/>
  <c r="BR491"/>
  <c r="BR25"/>
  <c r="BY97"/>
  <c r="BR163"/>
  <c r="BR221"/>
  <c r="BS269"/>
  <c r="BT314"/>
  <c r="BT163"/>
  <c r="BT225"/>
  <c r="BV326"/>
  <c r="BR400"/>
  <c r="BY50"/>
  <c r="BU108"/>
  <c r="BS70"/>
  <c r="BY152"/>
  <c r="BY220"/>
  <c r="BU279"/>
  <c r="BY336"/>
  <c r="BT31"/>
  <c r="BT58"/>
  <c r="BT85"/>
  <c r="BT112"/>
  <c r="BT139"/>
  <c r="BT166"/>
  <c r="BT193"/>
  <c r="BT30"/>
  <c r="BW62"/>
  <c r="BS95"/>
  <c r="BV127"/>
  <c r="BY159"/>
  <c r="BT192"/>
  <c r="BT222"/>
  <c r="BT249"/>
  <c r="BT276"/>
  <c r="BT303"/>
  <c r="BT330"/>
  <c r="BT357"/>
  <c r="BT384"/>
  <c r="BT411"/>
  <c r="BY22"/>
  <c r="BU55"/>
  <c r="BX87"/>
  <c r="BS120"/>
  <c r="BW48"/>
  <c r="BS97"/>
  <c r="BS143"/>
  <c r="BY181"/>
  <c r="BR219"/>
  <c r="BU251"/>
  <c r="BY283"/>
  <c r="BT316"/>
  <c r="BW348"/>
  <c r="BR381"/>
  <c r="BU413"/>
  <c r="BY443"/>
  <c r="BY470"/>
  <c r="BY497"/>
  <c r="BT32"/>
  <c r="BY80"/>
  <c r="BU129"/>
  <c r="BX168"/>
  <c r="BV39"/>
  <c r="BV66"/>
  <c r="BV93"/>
  <c r="BV120"/>
  <c r="BV147"/>
  <c r="BV174"/>
  <c r="BV201"/>
  <c r="BS40"/>
  <c r="BW72"/>
  <c r="BR105"/>
  <c r="BU137"/>
  <c r="BX169"/>
  <c r="BS202"/>
  <c r="BV230"/>
  <c r="BT43"/>
  <c r="BX83"/>
  <c r="BT124"/>
  <c r="BX164"/>
  <c r="BT205"/>
  <c r="BY60"/>
  <c r="BV109"/>
  <c r="BS158"/>
  <c r="BW206"/>
  <c r="BR247"/>
  <c r="BT279"/>
  <c r="BV311"/>
  <c r="BV344"/>
  <c r="BX376"/>
  <c r="BR409"/>
  <c r="BV26"/>
  <c r="BT65"/>
  <c r="BY104"/>
  <c r="BS35"/>
  <c r="BR93"/>
  <c r="BU147"/>
  <c r="BX193"/>
  <c r="BS236"/>
  <c r="BY274"/>
  <c r="BV313"/>
  <c r="BT352"/>
  <c r="BY390"/>
  <c r="BV430"/>
  <c r="BU463"/>
  <c r="BW495"/>
  <c r="BW37"/>
  <c r="BV95"/>
  <c r="BU150"/>
  <c r="BW193"/>
  <c r="BW229"/>
  <c r="BS262"/>
  <c r="BV294"/>
  <c r="BW77"/>
  <c r="BR147"/>
  <c r="BU205"/>
  <c r="BW254"/>
  <c r="BW302"/>
  <c r="BW341"/>
  <c r="BR56"/>
  <c r="BV96"/>
  <c r="BR137"/>
  <c r="BV177"/>
  <c r="BW27"/>
  <c r="BS76"/>
  <c r="BX124"/>
  <c r="BU173"/>
  <c r="BR220"/>
  <c r="BX256"/>
  <c r="BR289"/>
  <c r="BR322"/>
  <c r="BT354"/>
  <c r="BV386"/>
  <c r="BX418"/>
  <c r="BT38"/>
  <c r="BY77"/>
  <c r="BV116"/>
  <c r="BV52"/>
  <c r="BW110"/>
  <c r="BU161"/>
  <c r="BY208"/>
  <c r="BY247"/>
  <c r="BV286"/>
  <c r="BT325"/>
  <c r="BY363"/>
  <c r="BV403"/>
  <c r="BY440"/>
  <c r="BS473"/>
  <c r="BU505"/>
  <c r="BR55"/>
  <c r="BU114"/>
  <c r="BV164"/>
  <c r="BV205"/>
  <c r="BX53"/>
  <c r="BX107"/>
  <c r="BX161"/>
  <c r="BY24"/>
  <c r="BW89"/>
  <c r="BV154"/>
  <c r="BX217"/>
  <c r="BX271"/>
  <c r="BX325"/>
  <c r="BX379"/>
  <c r="BX433"/>
  <c r="BU82"/>
  <c r="BV40"/>
  <c r="BW136"/>
  <c r="BW213"/>
  <c r="BU278"/>
  <c r="BT343"/>
  <c r="BR408"/>
  <c r="BU466"/>
  <c r="BS24"/>
  <c r="BU121"/>
  <c r="BR35"/>
  <c r="BR89"/>
  <c r="BR143"/>
  <c r="BR197"/>
  <c r="BS67"/>
  <c r="BR132"/>
  <c r="BX196"/>
  <c r="BT37"/>
  <c r="BT118"/>
  <c r="BT199"/>
  <c r="BT102"/>
  <c r="BV199"/>
  <c r="BR274"/>
  <c r="BV338"/>
  <c r="BX403"/>
  <c r="BY58"/>
  <c r="BV25"/>
  <c r="BX139"/>
  <c r="BY228"/>
  <c r="BT307"/>
  <c r="BW384"/>
  <c r="BS458"/>
  <c r="BR28"/>
  <c r="BX141"/>
  <c r="BU223"/>
  <c r="BS289"/>
  <c r="BT137"/>
  <c r="BV246"/>
  <c r="BR335"/>
  <c r="BV90"/>
  <c r="BV171"/>
  <c r="BR69"/>
  <c r="BS166"/>
  <c r="BV251"/>
  <c r="BR316"/>
  <c r="BT381"/>
  <c r="BY31"/>
  <c r="BT110"/>
  <c r="BS101"/>
  <c r="BT200"/>
  <c r="BT280"/>
  <c r="BW357"/>
  <c r="BW435"/>
  <c r="BS500"/>
  <c r="BW103"/>
  <c r="BR199"/>
  <c r="BS261"/>
  <c r="BT27"/>
  <c r="BW145"/>
  <c r="BS221"/>
  <c r="BV301"/>
  <c r="BV27"/>
  <c r="BR95"/>
  <c r="BR149"/>
  <c r="BX25"/>
  <c r="BW90"/>
  <c r="BW171"/>
  <c r="BX38"/>
  <c r="BT106"/>
  <c r="BT160"/>
  <c r="BT39"/>
  <c r="BS104"/>
  <c r="BS185"/>
  <c r="BT243"/>
  <c r="BT297"/>
  <c r="BX340"/>
  <c r="BV72"/>
  <c r="BV126"/>
  <c r="BR194"/>
  <c r="BW63"/>
  <c r="BW144"/>
  <c r="BU209"/>
  <c r="BV269"/>
  <c r="BR313"/>
  <c r="BR367"/>
  <c r="BX409"/>
  <c r="BX95"/>
  <c r="BX232"/>
  <c r="BV380"/>
  <c r="BU54"/>
  <c r="BS47"/>
  <c r="BT158"/>
  <c r="BR264"/>
  <c r="BU341"/>
  <c r="BY437"/>
  <c r="BS503"/>
  <c r="BV137"/>
  <c r="BX219"/>
  <c r="BR21"/>
  <c r="BR160"/>
  <c r="BW289"/>
  <c r="BY360"/>
  <c r="BX425"/>
  <c r="BU470"/>
  <c r="BS27"/>
  <c r="BU124"/>
  <c r="BS222"/>
  <c r="BY286"/>
  <c r="BX209"/>
  <c r="BT282"/>
  <c r="BR412"/>
  <c r="BU81"/>
  <c r="BW87"/>
  <c r="BW190"/>
  <c r="BR291"/>
  <c r="BU368"/>
  <c r="BU460"/>
  <c r="BU33"/>
  <c r="BY169"/>
  <c r="BS243"/>
  <c r="BR72"/>
  <c r="BW200"/>
  <c r="BX318"/>
  <c r="BU379"/>
  <c r="BV442"/>
  <c r="BW485"/>
  <c r="BU61"/>
  <c r="BT153"/>
  <c r="BY244"/>
  <c r="BY307"/>
  <c r="BW107"/>
  <c r="BR310"/>
  <c r="BT432"/>
  <c r="BU100"/>
  <c r="BS116"/>
  <c r="BY211"/>
  <c r="BR309"/>
  <c r="BU387"/>
  <c r="BS443"/>
  <c r="BY491"/>
  <c r="BU60"/>
  <c r="BR145"/>
  <c r="BX208"/>
  <c r="BV258"/>
  <c r="BT33"/>
  <c r="BV140"/>
  <c r="BR225"/>
  <c r="BX297"/>
  <c r="BU352"/>
  <c r="BT391"/>
  <c r="BS430"/>
  <c r="BS463"/>
  <c r="BV495"/>
  <c r="BT35"/>
  <c r="BS108"/>
  <c r="BT171"/>
  <c r="BU227"/>
  <c r="BR276"/>
  <c r="BW319"/>
  <c r="BW358"/>
  <c r="BW398"/>
  <c r="BY436"/>
  <c r="BT469"/>
  <c r="BW502"/>
  <c r="BR57"/>
  <c r="BY129"/>
  <c r="BS190"/>
  <c r="BV243"/>
  <c r="BS292"/>
  <c r="BT196"/>
  <c r="BR244"/>
  <c r="BV341"/>
  <c r="BV407"/>
  <c r="BY59"/>
  <c r="BU118"/>
  <c r="BY84"/>
  <c r="BW164"/>
  <c r="BX230"/>
  <c r="BU288"/>
  <c r="BY346"/>
  <c r="BU405"/>
  <c r="BY458"/>
  <c r="BW507"/>
  <c r="BU87"/>
  <c r="BW166"/>
  <c r="BT224"/>
  <c r="BX273"/>
  <c r="BX67"/>
  <c r="BT168"/>
  <c r="BR248"/>
  <c r="BW316"/>
  <c r="BT364"/>
  <c r="BS403"/>
  <c r="BW440"/>
  <c r="BR473"/>
  <c r="BV505"/>
  <c r="BU57"/>
  <c r="BU130"/>
  <c r="BX190"/>
  <c r="BS242"/>
  <c r="BT28"/>
  <c r="BV91"/>
  <c r="BV272"/>
  <c r="BT363"/>
  <c r="BX427"/>
  <c r="BR76"/>
  <c r="BW21"/>
  <c r="BS109"/>
  <c r="BR184"/>
  <c r="BY246"/>
  <c r="BV304"/>
  <c r="BR363"/>
  <c r="BV421"/>
  <c r="BU472"/>
  <c r="BU25"/>
  <c r="BX111"/>
  <c r="BY184"/>
  <c r="BW238"/>
  <c r="BT287"/>
  <c r="BS98"/>
  <c r="BU192"/>
  <c r="BS268"/>
  <c r="BY332"/>
  <c r="BS376"/>
  <c r="BY414"/>
  <c r="BV450"/>
  <c r="BR483"/>
  <c r="BU515"/>
  <c r="BY79"/>
  <c r="BW148"/>
  <c r="BU208"/>
  <c r="BS257"/>
  <c r="BW304"/>
  <c r="BT351"/>
  <c r="BR237"/>
  <c r="BT98"/>
  <c r="BS256"/>
  <c r="BR509"/>
  <c r="BS312"/>
  <c r="BT368"/>
  <c r="BY415"/>
  <c r="BW457"/>
  <c r="BS498"/>
  <c r="BS61"/>
  <c r="BY144"/>
  <c r="BS215"/>
  <c r="BU274"/>
  <c r="BY322"/>
  <c r="BW361"/>
  <c r="BY44"/>
  <c r="BY178"/>
  <c r="BY280"/>
  <c r="BW362"/>
  <c r="BW428"/>
  <c r="BS478"/>
  <c r="BT482"/>
  <c r="BX444"/>
  <c r="BU152"/>
  <c r="BX261"/>
  <c r="BT347"/>
  <c r="BW418"/>
  <c r="BT475"/>
  <c r="BW497"/>
  <c r="BU139"/>
  <c r="BV253"/>
  <c r="BW340"/>
  <c r="BU415"/>
  <c r="BV472"/>
  <c r="BU22"/>
  <c r="BY160"/>
  <c r="BT274"/>
  <c r="BS357"/>
  <c r="BV429"/>
  <c r="BR487"/>
  <c r="BT54"/>
  <c r="BW186"/>
  <c r="BW287"/>
  <c r="BY367"/>
  <c r="BW432"/>
  <c r="BW482"/>
  <c r="BY137"/>
  <c r="BW246"/>
  <c r="BS346"/>
  <c r="BT416"/>
  <c r="BU474"/>
  <c r="BR238"/>
  <c r="BT159"/>
  <c r="BY503"/>
  <c r="BY161"/>
  <c r="BT471"/>
  <c r="BR288"/>
  <c r="BX359"/>
  <c r="BT407"/>
  <c r="BU450"/>
  <c r="BS489"/>
  <c r="BW42"/>
  <c r="BW131"/>
  <c r="BT203"/>
  <c r="BW263"/>
  <c r="BS315"/>
  <c r="BS354"/>
  <c r="BS395"/>
  <c r="BS156"/>
  <c r="BY261"/>
  <c r="BU347"/>
  <c r="BV417"/>
  <c r="BY468"/>
  <c r="BU229"/>
  <c r="BY486"/>
  <c r="BR129"/>
  <c r="BY242"/>
  <c r="BS332"/>
  <c r="BW407"/>
  <c r="BV464"/>
  <c r="BV393"/>
  <c r="BW112"/>
  <c r="BT229"/>
  <c r="BV325"/>
  <c r="BV400"/>
  <c r="BS460"/>
  <c r="BU500"/>
  <c r="BS138"/>
  <c r="BU255"/>
  <c r="BR342"/>
  <c r="BU418"/>
  <c r="BX477"/>
  <c r="BS26"/>
  <c r="BY163"/>
  <c r="BW268"/>
  <c r="BW352"/>
  <c r="BS421"/>
  <c r="BY471"/>
  <c r="BY110"/>
  <c r="BX227"/>
  <c r="BY330"/>
  <c r="BX404"/>
  <c r="BS465"/>
  <c r="BV454"/>
  <c r="BS209"/>
  <c r="BW328"/>
  <c r="BT403"/>
  <c r="BX471"/>
  <c r="BV490"/>
  <c r="BT72"/>
  <c r="BW253"/>
  <c r="BX423"/>
  <c r="BX281"/>
  <c r="BW261"/>
  <c r="BX429"/>
  <c r="BY82"/>
  <c r="BY311"/>
  <c r="BW454"/>
  <c r="BS115"/>
  <c r="BU335"/>
  <c r="BT142"/>
  <c r="BR66"/>
  <c r="BW447"/>
  <c r="BV43"/>
  <c r="BU433"/>
  <c r="BU231"/>
  <c r="BR350"/>
  <c r="BV397"/>
  <c r="BT443"/>
  <c r="BY481"/>
  <c r="BU26"/>
  <c r="BW113"/>
  <c r="BY188"/>
  <c r="BX252"/>
  <c r="BW307"/>
  <c r="BV346"/>
  <c r="BW387"/>
  <c r="BV133"/>
  <c r="BR243"/>
  <c r="BT332"/>
  <c r="BY405"/>
  <c r="BT459"/>
  <c r="BY507"/>
  <c r="BW515"/>
  <c r="BX100"/>
  <c r="BU221"/>
  <c r="BR317"/>
  <c r="BR396"/>
  <c r="BX453"/>
  <c r="BW488"/>
  <c r="BU84"/>
  <c r="BV210"/>
  <c r="BU310"/>
  <c r="BS387"/>
  <c r="BY450"/>
  <c r="BX395"/>
  <c r="BU111"/>
  <c r="BU236"/>
  <c r="BY326"/>
  <c r="BY406"/>
  <c r="BT464"/>
  <c r="BS511"/>
  <c r="BT141"/>
  <c r="BX249"/>
  <c r="BV337"/>
  <c r="BR410"/>
  <c r="BW470"/>
  <c r="BU257"/>
  <c r="BR302"/>
  <c r="BV452"/>
  <c r="BT80"/>
  <c r="BT308"/>
  <c r="BV457"/>
  <c r="BT107"/>
  <c r="BX324"/>
  <c r="BX462"/>
  <c r="BR138"/>
  <c r="BU348"/>
  <c r="BX101"/>
  <c r="BX49"/>
  <c r="BW438"/>
  <c r="BU23"/>
  <c r="BX426"/>
  <c r="BW223"/>
  <c r="BY348"/>
  <c r="BV396"/>
  <c r="BU441"/>
  <c r="BR481"/>
  <c r="BW24"/>
  <c r="BW111"/>
  <c r="BR187"/>
  <c r="BS250"/>
  <c r="BW306"/>
  <c r="BV345"/>
  <c r="BR393"/>
  <c r="BW149"/>
  <c r="BX272"/>
  <c r="BS356"/>
  <c r="BY423"/>
  <c r="BT474"/>
  <c r="BW446"/>
  <c r="BS131"/>
  <c r="BS124"/>
  <c r="BW480"/>
  <c r="BU116"/>
  <c r="BR455"/>
  <c r="BX263"/>
  <c r="BU355"/>
  <c r="BY402"/>
  <c r="BX446"/>
  <c r="BU486"/>
  <c r="BY36"/>
  <c r="BW123"/>
  <c r="BW196"/>
  <c r="BS258"/>
  <c r="BR312"/>
  <c r="BY350"/>
  <c r="BR392"/>
  <c r="BV146"/>
  <c r="BY253"/>
  <c r="BR341"/>
  <c r="BU412"/>
  <c r="BW464"/>
  <c r="BT513"/>
  <c r="BT472"/>
  <c r="BR117"/>
  <c r="BX234"/>
  <c r="BW325"/>
  <c r="BV402"/>
  <c r="BV362"/>
  <c r="BS245"/>
  <c r="BV110"/>
  <c r="BY266"/>
  <c r="BV514"/>
  <c r="BV316"/>
  <c r="BV369"/>
  <c r="BY416"/>
  <c r="BU459"/>
  <c r="BR499"/>
  <c r="BR63"/>
  <c r="BR148"/>
  <c r="BW216"/>
  <c r="BS277"/>
  <c r="BY323"/>
  <c r="BX362"/>
  <c r="BX48"/>
  <c r="BS182"/>
  <c r="BV283"/>
  <c r="BW364"/>
  <c r="BU430"/>
  <c r="BW479"/>
  <c r="BS486"/>
  <c r="BX506"/>
  <c r="BW155"/>
  <c r="BV264"/>
  <c r="BU349"/>
  <c r="BV420"/>
  <c r="BX476"/>
  <c r="BX505"/>
  <c r="BV142"/>
  <c r="BT256"/>
  <c r="BX342"/>
  <c r="BX416"/>
  <c r="BW473"/>
  <c r="BT26"/>
  <c r="BS164"/>
  <c r="BY276"/>
  <c r="BT49"/>
  <c r="BT103"/>
  <c r="BT157"/>
  <c r="BV19"/>
  <c r="BT84"/>
  <c r="BS149"/>
  <c r="BT213"/>
  <c r="BT267"/>
  <c r="BT321"/>
  <c r="BT375"/>
  <c r="BT429"/>
  <c r="BY76"/>
  <c r="BU32"/>
  <c r="BW129"/>
  <c r="BY207"/>
  <c r="BR273"/>
  <c r="BY337"/>
  <c r="BW402"/>
  <c r="BY461"/>
  <c r="BY515"/>
  <c r="BT113"/>
  <c r="BV30"/>
  <c r="BV84"/>
  <c r="BV138"/>
  <c r="BV192"/>
  <c r="BX61"/>
  <c r="BW126"/>
  <c r="BU191"/>
  <c r="BX29"/>
  <c r="BX110"/>
  <c r="BX191"/>
  <c r="BT93"/>
  <c r="BV190"/>
  <c r="BX268"/>
  <c r="BT333"/>
  <c r="BV398"/>
  <c r="BW52"/>
  <c r="BR130"/>
  <c r="BT132"/>
  <c r="BW222"/>
  <c r="BY300"/>
  <c r="BU378"/>
  <c r="BS452"/>
  <c r="BX18"/>
  <c r="BT134"/>
  <c r="BR218"/>
  <c r="BW283"/>
  <c r="BT126"/>
  <c r="BU238"/>
  <c r="BV328"/>
  <c r="BR83"/>
  <c r="BR164"/>
  <c r="BR60"/>
  <c r="BS157"/>
  <c r="BT246"/>
  <c r="BX310"/>
  <c r="BR376"/>
  <c r="BW25"/>
  <c r="BR103"/>
  <c r="BX91"/>
  <c r="BX192"/>
  <c r="BY273"/>
  <c r="BU351"/>
  <c r="BX428"/>
  <c r="BY494"/>
  <c r="BU94"/>
  <c r="BW192"/>
  <c r="BX255"/>
  <c r="BR299"/>
  <c r="BY135"/>
  <c r="BR213"/>
  <c r="BY293"/>
  <c r="BR20"/>
  <c r="BV87"/>
  <c r="BV141"/>
  <c r="BR209"/>
  <c r="BW81"/>
  <c r="BW162"/>
  <c r="BX32"/>
  <c r="BT100"/>
  <c r="BT154"/>
  <c r="BS32"/>
  <c r="BY96"/>
  <c r="BY177"/>
  <c r="BT237"/>
  <c r="BR292"/>
  <c r="BV335"/>
  <c r="BR65"/>
  <c r="BR119"/>
  <c r="BV186"/>
  <c r="BW54"/>
  <c r="BW135"/>
  <c r="BU200"/>
  <c r="BT264"/>
  <c r="BR307"/>
  <c r="BR361"/>
  <c r="BV404"/>
  <c r="BT55"/>
  <c r="BX211"/>
  <c r="BT369"/>
  <c r="BW43"/>
  <c r="BY30"/>
  <c r="BS145"/>
  <c r="BT253"/>
  <c r="BW330"/>
  <c r="BY427"/>
  <c r="BS494"/>
  <c r="BV122"/>
  <c r="BX210"/>
  <c r="BW292"/>
  <c r="BY143"/>
  <c r="BS276"/>
  <c r="BV354"/>
  <c r="BT419"/>
  <c r="BR465"/>
  <c r="BX492"/>
  <c r="BU112"/>
  <c r="BS214"/>
  <c r="BX278"/>
  <c r="BT169"/>
  <c r="BX265"/>
  <c r="BX400"/>
  <c r="BU73"/>
  <c r="BW75"/>
  <c r="BY179"/>
  <c r="BR282"/>
  <c r="BU360"/>
  <c r="BW453"/>
  <c r="BY19"/>
  <c r="BS159"/>
  <c r="BR236"/>
  <c r="BX55"/>
  <c r="BW187"/>
  <c r="BT310"/>
  <c r="BX372"/>
  <c r="BR437"/>
  <c r="BT480"/>
  <c r="BU49"/>
  <c r="BV143"/>
  <c r="BX236"/>
  <c r="BU301"/>
  <c r="BS59"/>
  <c r="BV293"/>
  <c r="BX421"/>
  <c r="BV89"/>
  <c r="BY99"/>
  <c r="BS199"/>
  <c r="BT298"/>
  <c r="BV376"/>
  <c r="BS434"/>
  <c r="BY482"/>
  <c r="BT44"/>
  <c r="BS132"/>
  <c r="BR198"/>
  <c r="BV249"/>
  <c r="BS298"/>
  <c r="BU122"/>
  <c r="BV211"/>
  <c r="BT284"/>
  <c r="BX345"/>
  <c r="BX384"/>
  <c r="BW423"/>
  <c r="BX457"/>
  <c r="BS490"/>
  <c r="BT23"/>
  <c r="BS96"/>
  <c r="BV161"/>
  <c r="BV219"/>
  <c r="BY267"/>
  <c r="BT313"/>
  <c r="BS352"/>
  <c r="BS391"/>
  <c r="BR431"/>
  <c r="BY463"/>
  <c r="BT497"/>
  <c r="BR45"/>
  <c r="BY117"/>
  <c r="BU180"/>
  <c r="BU235"/>
  <c r="BR284"/>
  <c r="BX155"/>
  <c r="BV224"/>
  <c r="BR325"/>
  <c r="BT396"/>
  <c r="BR49"/>
  <c r="BV107"/>
  <c r="BW68"/>
  <c r="BW151"/>
  <c r="BY219"/>
  <c r="BV277"/>
  <c r="BR336"/>
  <c r="BV394"/>
  <c r="BY449"/>
  <c r="BW498"/>
  <c r="BT71"/>
  <c r="BX153"/>
  <c r="BT215"/>
  <c r="BX264"/>
  <c r="BW47"/>
  <c r="BS152"/>
  <c r="BV234"/>
  <c r="BY305"/>
  <c r="BX357"/>
  <c r="BW396"/>
  <c r="BT435"/>
  <c r="BW467"/>
  <c r="BR500"/>
  <c r="BS45"/>
  <c r="BR118"/>
  <c r="BR181"/>
  <c r="BR234"/>
  <c r="BW282"/>
  <c r="BY42"/>
  <c r="BR256"/>
  <c r="BR352"/>
  <c r="BT417"/>
  <c r="BY67"/>
  <c r="BU126"/>
  <c r="BW95"/>
  <c r="BT173"/>
  <c r="BY237"/>
  <c r="BU296"/>
  <c r="BY354"/>
  <c r="BV412"/>
  <c r="BY464"/>
  <c r="BW513"/>
  <c r="BX99"/>
  <c r="BU176"/>
  <c r="BV231"/>
  <c r="BS280"/>
  <c r="BY81"/>
  <c r="BU179"/>
  <c r="BT257"/>
  <c r="BS324"/>
  <c r="BW369"/>
  <c r="BV408"/>
  <c r="BS445"/>
  <c r="BV477"/>
  <c r="BR510"/>
  <c r="BW67"/>
  <c r="BY138"/>
  <c r="BX198"/>
  <c r="BR249"/>
  <c r="BW297"/>
  <c r="BT255"/>
  <c r="BS172"/>
  <c r="BY512"/>
  <c r="BR178"/>
  <c r="BW476"/>
  <c r="BX290"/>
  <c r="BX360"/>
  <c r="BU408"/>
  <c r="BT451"/>
  <c r="BR490"/>
  <c r="BX46"/>
  <c r="BW133"/>
  <c r="BR205"/>
  <c r="BS265"/>
  <c r="BU316"/>
  <c r="BT355"/>
  <c r="BV20"/>
  <c r="BU159"/>
  <c r="BW264"/>
  <c r="BW349"/>
  <c r="BR419"/>
  <c r="BR470"/>
  <c r="BW391"/>
  <c r="BV493"/>
  <c r="BR133"/>
  <c r="BW245"/>
  <c r="BU334"/>
  <c r="BS409"/>
  <c r="BR466"/>
  <c r="BX443"/>
  <c r="BY116"/>
  <c r="BY231"/>
  <c r="BW327"/>
  <c r="BU402"/>
  <c r="BW461"/>
  <c r="BV508"/>
  <c r="BU141"/>
  <c r="BR258"/>
  <c r="BT344"/>
  <c r="BY419"/>
  <c r="BY478"/>
  <c r="BR30"/>
  <c r="BT167"/>
  <c r="BU271"/>
  <c r="BX354"/>
  <c r="BY422"/>
  <c r="BU473"/>
  <c r="BR115"/>
  <c r="BU230"/>
  <c r="BR333"/>
  <c r="BV406"/>
  <c r="BT466"/>
  <c r="BX182"/>
  <c r="BT78"/>
  <c r="BS455"/>
  <c r="BW59"/>
  <c r="BY438"/>
  <c r="BU239"/>
  <c r="BR351"/>
  <c r="BW399"/>
  <c r="BS444"/>
  <c r="BX482"/>
  <c r="BX28"/>
  <c r="BV115"/>
  <c r="BR192"/>
  <c r="BT254"/>
  <c r="BX308"/>
  <c r="BW347"/>
  <c r="BW388"/>
  <c r="BX136"/>
  <c r="BX245"/>
  <c r="BV334"/>
  <c r="BX407"/>
  <c r="BX460"/>
  <c r="BU509"/>
  <c r="BR190"/>
  <c r="BW104"/>
  <c r="BS224"/>
  <c r="BT319"/>
  <c r="BY397"/>
  <c r="BT455"/>
  <c r="BX496"/>
  <c r="BU88"/>
  <c r="BS213"/>
  <c r="BV312"/>
  <c r="BU389"/>
  <c r="BR452"/>
  <c r="BT445"/>
  <c r="BU115"/>
  <c r="BS239"/>
  <c r="BS329"/>
  <c r="BW408"/>
  <c r="BU465"/>
  <c r="BV516"/>
  <c r="BU144"/>
  <c r="BV252"/>
  <c r="BX339"/>
  <c r="BU411"/>
  <c r="BX463"/>
  <c r="BX44"/>
  <c r="BX98"/>
  <c r="BX152"/>
  <c r="BX206"/>
  <c r="BY78"/>
  <c r="BW143"/>
  <c r="BV208"/>
  <c r="BX262"/>
  <c r="BX316"/>
  <c r="BX370"/>
  <c r="BX424"/>
  <c r="BV71"/>
  <c r="BT24"/>
  <c r="BV121"/>
  <c r="BU201"/>
  <c r="BW267"/>
  <c r="BU332"/>
  <c r="BT397"/>
  <c r="BU457"/>
  <c r="BU511"/>
  <c r="BS105"/>
  <c r="BR26"/>
  <c r="BR80"/>
  <c r="BR134"/>
  <c r="BR188"/>
  <c r="BU56"/>
  <c r="BS121"/>
  <c r="BR186"/>
  <c r="BX23"/>
  <c r="BX104"/>
  <c r="BX185"/>
  <c r="BS86"/>
  <c r="BT183"/>
  <c r="BV263"/>
  <c r="BR328"/>
  <c r="BV392"/>
  <c r="BU46"/>
  <c r="BX123"/>
  <c r="BW122"/>
  <c r="BU216"/>
  <c r="BX293"/>
  <c r="BR372"/>
  <c r="BY446"/>
  <c r="BS512"/>
  <c r="BT125"/>
  <c r="BW212"/>
  <c r="BT278"/>
  <c r="BT114"/>
  <c r="BT230"/>
  <c r="BX80"/>
  <c r="BX188"/>
  <c r="BS122"/>
  <c r="BX244"/>
  <c r="BX352"/>
  <c r="BY49"/>
  <c r="BS89"/>
  <c r="BR246"/>
  <c r="BW375"/>
  <c r="BU493"/>
  <c r="BT162"/>
  <c r="BR116"/>
  <c r="BX34"/>
  <c r="BU164"/>
  <c r="BX77"/>
  <c r="BW53"/>
  <c r="BX241"/>
  <c r="BV371"/>
  <c r="BW97"/>
  <c r="BT186"/>
  <c r="BY345"/>
  <c r="BU490"/>
  <c r="BS187"/>
  <c r="BW65"/>
  <c r="BS295"/>
  <c r="BV117"/>
  <c r="BU20"/>
  <c r="BW198"/>
  <c r="BX283"/>
  <c r="BR403"/>
  <c r="BW70"/>
  <c r="BX138"/>
  <c r="BV241"/>
  <c r="BX383"/>
  <c r="BY467"/>
  <c r="BW140"/>
  <c r="BS234"/>
  <c r="BY63"/>
  <c r="BT194"/>
  <c r="BR308"/>
  <c r="BV60"/>
  <c r="BV168"/>
  <c r="BU65"/>
  <c r="BX178"/>
  <c r="BT73"/>
  <c r="BT181"/>
  <c r="BW80"/>
  <c r="BS194"/>
  <c r="BT270"/>
  <c r="BV24"/>
  <c r="BV105"/>
  <c r="BR200"/>
  <c r="BS103"/>
  <c r="BR229"/>
  <c r="BV296"/>
  <c r="BT372"/>
  <c r="BS21"/>
  <c r="BR283"/>
  <c r="BU18"/>
  <c r="BW60"/>
  <c r="BV214"/>
  <c r="BU369"/>
  <c r="BW477"/>
  <c r="BS147"/>
  <c r="BT260"/>
  <c r="BR202"/>
  <c r="BU339"/>
  <c r="BS432"/>
  <c r="BU497"/>
  <c r="BS155"/>
  <c r="BV262"/>
  <c r="BT66"/>
  <c r="BR358"/>
  <c r="BR112"/>
  <c r="BR157"/>
  <c r="BY301"/>
  <c r="BY417"/>
  <c r="BS78"/>
  <c r="BY218"/>
  <c r="BS92"/>
  <c r="BS264"/>
  <c r="BX398"/>
  <c r="BV469"/>
  <c r="BW73"/>
  <c r="BW203"/>
  <c r="BU327"/>
  <c r="BT261"/>
  <c r="BT29"/>
  <c r="BW41"/>
  <c r="BX239"/>
  <c r="BX356"/>
  <c r="BW450"/>
  <c r="BS515"/>
  <c r="BX154"/>
  <c r="BT233"/>
  <c r="BV49"/>
  <c r="BW182"/>
  <c r="BY306"/>
  <c r="BX371"/>
  <c r="BS436"/>
  <c r="BU479"/>
  <c r="BV47"/>
  <c r="BS142"/>
  <c r="BV235"/>
  <c r="BU300"/>
  <c r="BS365"/>
  <c r="BS418"/>
  <c r="BX474"/>
  <c r="BW20"/>
  <c r="BT140"/>
  <c r="BY217"/>
  <c r="BS300"/>
  <c r="BT147"/>
  <c r="BV353"/>
  <c r="BX24"/>
  <c r="BU127"/>
  <c r="BY126"/>
  <c r="BY238"/>
  <c r="BS317"/>
  <c r="BU414"/>
  <c r="BS482"/>
  <c r="BY100"/>
  <c r="BY196"/>
  <c r="BR281"/>
  <c r="BW120"/>
  <c r="BX258"/>
  <c r="BX344"/>
  <c r="BV409"/>
  <c r="BY456"/>
  <c r="BY510"/>
  <c r="BX93"/>
  <c r="BV200"/>
  <c r="BU266"/>
  <c r="BS140"/>
  <c r="BV320"/>
  <c r="BY23"/>
  <c r="BW106"/>
  <c r="BU125"/>
  <c r="BS218"/>
  <c r="BU315"/>
  <c r="BW393"/>
  <c r="BU481"/>
  <c r="BR70"/>
  <c r="BX195"/>
  <c r="BY263"/>
  <c r="BS118"/>
  <c r="BR233"/>
  <c r="BW343"/>
  <c r="BW395"/>
  <c r="BR456"/>
  <c r="BS499"/>
  <c r="BY91"/>
  <c r="BT179"/>
  <c r="BT265"/>
  <c r="BR324"/>
  <c r="BV295"/>
  <c r="BS279"/>
  <c r="BV65"/>
  <c r="BW344"/>
  <c r="BV423"/>
  <c r="BU477"/>
  <c r="BR75"/>
  <c r="BT182"/>
  <c r="BS285"/>
  <c r="BS342"/>
  <c r="BS69"/>
  <c r="BT232"/>
  <c r="BU375"/>
  <c r="BY453"/>
  <c r="BW499"/>
  <c r="BW84"/>
  <c r="BR278"/>
  <c r="BR386"/>
  <c r="BW487"/>
  <c r="BT68"/>
  <c r="BX269"/>
  <c r="BX378"/>
  <c r="BX481"/>
  <c r="BT95"/>
  <c r="BU290"/>
  <c r="BU400"/>
  <c r="BT499"/>
  <c r="BS127"/>
  <c r="BR303"/>
  <c r="BU403"/>
  <c r="BX498"/>
  <c r="BS196"/>
  <c r="BR359"/>
  <c r="BS450"/>
  <c r="BT336"/>
  <c r="BU342"/>
  <c r="BW242"/>
  <c r="BS126"/>
  <c r="BT367"/>
  <c r="BY429"/>
  <c r="BT496"/>
  <c r="BT87"/>
  <c r="BY213"/>
  <c r="BT293"/>
  <c r="BW360"/>
  <c r="BT89"/>
  <c r="BS278"/>
  <c r="BS386"/>
  <c r="BR477"/>
  <c r="BS513"/>
  <c r="BT149"/>
  <c r="BV291"/>
  <c r="BU417"/>
  <c r="BS501"/>
  <c r="BR136"/>
  <c r="BT283"/>
  <c r="BW413"/>
  <c r="BU491"/>
  <c r="BW157"/>
  <c r="BS303"/>
  <c r="BS428"/>
  <c r="BY505"/>
  <c r="BU183"/>
  <c r="BY313"/>
  <c r="BY430"/>
  <c r="BY37"/>
  <c r="BY192"/>
  <c r="BY317"/>
  <c r="BV414"/>
  <c r="BT481"/>
  <c r="BT131"/>
  <c r="BW300"/>
  <c r="BW392"/>
  <c r="BX479"/>
  <c r="BX507"/>
  <c r="BS162"/>
  <c r="BX366"/>
  <c r="BY516"/>
  <c r="BR294"/>
  <c r="BR467"/>
  <c r="BW217"/>
  <c r="BS415"/>
  <c r="BW66"/>
  <c r="BU361"/>
  <c r="BX319"/>
  <c r="BX275"/>
  <c r="BV213"/>
  <c r="BU394"/>
  <c r="BY279"/>
  <c r="BS366"/>
  <c r="BT421"/>
  <c r="BU468"/>
  <c r="BT515"/>
  <c r="BX127"/>
  <c r="BU212"/>
  <c r="BT281"/>
  <c r="BW333"/>
  <c r="BR380"/>
  <c r="BR153"/>
  <c r="BU275"/>
  <c r="BT371"/>
  <c r="BR443"/>
  <c r="BX499"/>
  <c r="BU507"/>
  <c r="BY145"/>
  <c r="BW272"/>
  <c r="BY368"/>
  <c r="BU444"/>
  <c r="BX186"/>
  <c r="BX132"/>
  <c r="BU264"/>
  <c r="BT362"/>
  <c r="BR440"/>
  <c r="BR495"/>
  <c r="BU154"/>
  <c r="BR285"/>
  <c r="BW378"/>
  <c r="BS456"/>
  <c r="BY21"/>
  <c r="BS180"/>
  <c r="BU298"/>
  <c r="BV388"/>
  <c r="BV462"/>
  <c r="BX422"/>
  <c r="BX353"/>
  <c r="BY477"/>
  <c r="BU245"/>
  <c r="BV438"/>
  <c r="BS151"/>
  <c r="BU376"/>
  <c r="BR507"/>
  <c r="BW295"/>
  <c r="BY444"/>
  <c r="BU135"/>
  <c r="BU52"/>
  <c r="BS291"/>
  <c r="BY101"/>
  <c r="BT341"/>
  <c r="BR404"/>
  <c r="BY454"/>
  <c r="BX500"/>
  <c r="BS83"/>
  <c r="BX175"/>
  <c r="BY260"/>
  <c r="BV319"/>
  <c r="BR365"/>
  <c r="BU105"/>
  <c r="BV256"/>
  <c r="BR369"/>
  <c r="BY441"/>
  <c r="BW506"/>
  <c r="BS334"/>
  <c r="BT36"/>
  <c r="BY38"/>
  <c r="BU280"/>
  <c r="BY89"/>
  <c r="BT340"/>
  <c r="BT395"/>
  <c r="BR454"/>
  <c r="BY499"/>
  <c r="BS79"/>
  <c r="BR174"/>
  <c r="BY248"/>
  <c r="BV318"/>
  <c r="BX363"/>
  <c r="BT77"/>
  <c r="BY221"/>
  <c r="BS328"/>
  <c r="BS422"/>
  <c r="BY480"/>
  <c r="BR505"/>
  <c r="BU68"/>
  <c r="BR216"/>
  <c r="BW338"/>
  <c r="BR422"/>
  <c r="BS20"/>
  <c r="BW471"/>
  <c r="BY190"/>
  <c r="BV77"/>
  <c r="BS338"/>
  <c r="BT394"/>
  <c r="BY445"/>
  <c r="BX491"/>
  <c r="BU77"/>
  <c r="BW172"/>
  <c r="BU247"/>
  <c r="BR311"/>
  <c r="BT356"/>
  <c r="BR73"/>
  <c r="BS219"/>
  <c r="BY325"/>
  <c r="BR411"/>
  <c r="BV471"/>
  <c r="BT502"/>
  <c r="BS64"/>
  <c r="BU213"/>
  <c r="BW323"/>
  <c r="BY410"/>
  <c r="BT490"/>
  <c r="BY47"/>
  <c r="BY200"/>
  <c r="BY316"/>
  <c r="BW405"/>
  <c r="BV484"/>
  <c r="BY74"/>
  <c r="BU228"/>
  <c r="BV333"/>
  <c r="BY411"/>
  <c r="BS468"/>
  <c r="BT446"/>
  <c r="BR151"/>
  <c r="BR240"/>
  <c r="BU263"/>
  <c r="BS228"/>
  <c r="BX451"/>
  <c r="BU186"/>
  <c r="BX377"/>
  <c r="BX494"/>
  <c r="BY395"/>
  <c r="BT413"/>
  <c r="BS318"/>
  <c r="BT492"/>
  <c r="BR252"/>
  <c r="BU419"/>
  <c r="BR451"/>
  <c r="BS448"/>
  <c r="BV461"/>
  <c r="BT346"/>
  <c r="BR46"/>
  <c r="BV292"/>
  <c r="BW436"/>
  <c r="BT509"/>
  <c r="BR498"/>
  <c r="BR514"/>
  <c r="BW382"/>
  <c r="BU78"/>
  <c r="BW313"/>
  <c r="BT454"/>
  <c r="BX27"/>
  <c r="BX54"/>
  <c r="BW86"/>
  <c r="BW406"/>
  <c r="BS123"/>
  <c r="BU337"/>
  <c r="BR469"/>
  <c r="BX145"/>
  <c r="BU167"/>
  <c r="BY176"/>
  <c r="BR434"/>
  <c r="BV160"/>
  <c r="BS361"/>
  <c r="BR484"/>
  <c r="BT76"/>
  <c r="BT184"/>
  <c r="BW116"/>
  <c r="BT240"/>
  <c r="BT348"/>
  <c r="BV44"/>
  <c r="BR81"/>
  <c r="BW240"/>
  <c r="BT370"/>
  <c r="BY488"/>
  <c r="BY155"/>
  <c r="BV111"/>
  <c r="BU29"/>
  <c r="BR159"/>
  <c r="BT70"/>
  <c r="BW44"/>
  <c r="BT234"/>
  <c r="BV365"/>
  <c r="BU91"/>
  <c r="BW178"/>
  <c r="BW339"/>
  <c r="BS485"/>
  <c r="BX180"/>
  <c r="BU53"/>
  <c r="BR287"/>
  <c r="BR77"/>
  <c r="BV204"/>
  <c r="BR150"/>
  <c r="BV278"/>
  <c r="BR370"/>
  <c r="BU64"/>
  <c r="BS82"/>
  <c r="BU234"/>
  <c r="BR345"/>
  <c r="BW462"/>
  <c r="BX84"/>
  <c r="BX228"/>
  <c r="BW293"/>
  <c r="BR165"/>
  <c r="BW269"/>
  <c r="BV54"/>
  <c r="BV135"/>
  <c r="BR42"/>
  <c r="BS139"/>
  <c r="BX65"/>
  <c r="BX146"/>
  <c r="BV55"/>
  <c r="BW152"/>
  <c r="BR265"/>
  <c r="BV329"/>
  <c r="BR86"/>
  <c r="BR167"/>
  <c r="BR96"/>
  <c r="BS193"/>
  <c r="BR280"/>
  <c r="BT345"/>
  <c r="BV431"/>
  <c r="BV172"/>
  <c r="BV401"/>
  <c r="BY112"/>
  <c r="BW204"/>
  <c r="BV322"/>
  <c r="BU454"/>
  <c r="BU79"/>
  <c r="BS253"/>
  <c r="BV130"/>
  <c r="BT311"/>
  <c r="BX399"/>
  <c r="BR492"/>
  <c r="BR100"/>
  <c r="BT238"/>
  <c r="BX47"/>
  <c r="BX346"/>
  <c r="BV62"/>
  <c r="BT117"/>
  <c r="BU252"/>
  <c r="BS407"/>
  <c r="BS509"/>
  <c r="BU190"/>
  <c r="BX291"/>
  <c r="BW250"/>
  <c r="BU366"/>
  <c r="BT453"/>
  <c r="BS392"/>
  <c r="BY193"/>
  <c r="BU293"/>
  <c r="BY204"/>
  <c r="BV389"/>
  <c r="BS28"/>
  <c r="BU189"/>
  <c r="BY328"/>
  <c r="BR426"/>
  <c r="BU508"/>
  <c r="BW118"/>
  <c r="BS226"/>
  <c r="BY290"/>
  <c r="BW169"/>
  <c r="BV273"/>
  <c r="BT365"/>
  <c r="BS417"/>
  <c r="BR474"/>
  <c r="BW174"/>
  <c r="BU132"/>
  <c r="BU211"/>
  <c r="BT292"/>
  <c r="BW345"/>
  <c r="BV411"/>
  <c r="BV458"/>
  <c r="BU513"/>
  <c r="BW105"/>
  <c r="BW209"/>
  <c r="BY275"/>
  <c r="BW98"/>
  <c r="BT309"/>
  <c r="BV428"/>
  <c r="BU99"/>
  <c r="BW114"/>
  <c r="BY210"/>
  <c r="BS308"/>
  <c r="BV385"/>
  <c r="BW474"/>
  <c r="BT59"/>
  <c r="BT188"/>
  <c r="BW257"/>
  <c r="BU104"/>
  <c r="BY223"/>
  <c r="BS336"/>
  <c r="BS390"/>
  <c r="BV451"/>
  <c r="BW494"/>
  <c r="BX81"/>
  <c r="BV169"/>
  <c r="BU258"/>
  <c r="BT190"/>
  <c r="BX304"/>
  <c r="BR406"/>
  <c r="BY95"/>
  <c r="BV79"/>
  <c r="BY206"/>
  <c r="BW285"/>
  <c r="BY382"/>
  <c r="BY455"/>
  <c r="BY53"/>
  <c r="BU163"/>
  <c r="BY254"/>
  <c r="BV61"/>
  <c r="BW219"/>
  <c r="BU313"/>
  <c r="BR389"/>
  <c r="BX439"/>
  <c r="BX493"/>
  <c r="BW55"/>
  <c r="BS168"/>
  <c r="BY240"/>
  <c r="BW317"/>
  <c r="BV94"/>
  <c r="BW230"/>
  <c r="BT444"/>
  <c r="BS337"/>
  <c r="BW400"/>
  <c r="BS471"/>
  <c r="BW30"/>
  <c r="BU169"/>
  <c r="BV255"/>
  <c r="BX335"/>
  <c r="BX389"/>
  <c r="BV216"/>
  <c r="BW336"/>
  <c r="BX445"/>
  <c r="BV510"/>
  <c r="BT60"/>
  <c r="BW226"/>
  <c r="BT373"/>
  <c r="BU456"/>
  <c r="BY43"/>
  <c r="BY215"/>
  <c r="BV366"/>
  <c r="BV453"/>
  <c r="BY70"/>
  <c r="BY241"/>
  <c r="BR383"/>
  <c r="BY466"/>
  <c r="BY102"/>
  <c r="BS255"/>
  <c r="BY392"/>
  <c r="BT465"/>
  <c r="BW176"/>
  <c r="BS320"/>
  <c r="BU435"/>
  <c r="BX513"/>
  <c r="BX284"/>
  <c r="BS270"/>
  <c r="BT53"/>
  <c r="BV343"/>
  <c r="BT422"/>
  <c r="BV476"/>
  <c r="BS73"/>
  <c r="BS179"/>
  <c r="BV282"/>
  <c r="BS341"/>
  <c r="BY64"/>
  <c r="BV229"/>
  <c r="BU373"/>
  <c r="BW452"/>
  <c r="BY496"/>
  <c r="BU80"/>
  <c r="BT275"/>
  <c r="BY383"/>
  <c r="BY484"/>
  <c r="BR64"/>
  <c r="BR267"/>
  <c r="BW376"/>
  <c r="BV480"/>
  <c r="BR91"/>
  <c r="BX287"/>
  <c r="BY398"/>
  <c r="BX497"/>
  <c r="BT123"/>
  <c r="BX300"/>
  <c r="BW401"/>
  <c r="BY448"/>
  <c r="BV173"/>
  <c r="BY302"/>
  <c r="BY394"/>
  <c r="BT473"/>
  <c r="BY106"/>
  <c r="BU284"/>
  <c r="BY379"/>
  <c r="BW463"/>
  <c r="BX461"/>
  <c r="BY120"/>
  <c r="BY340"/>
  <c r="BY511"/>
  <c r="BR224"/>
  <c r="BU449"/>
  <c r="BV170"/>
  <c r="BT389"/>
  <c r="BR18"/>
  <c r="BV309"/>
  <c r="BV218"/>
  <c r="BT217"/>
  <c r="BV151"/>
  <c r="BV355"/>
  <c r="BX177"/>
  <c r="BV357"/>
  <c r="BX413"/>
  <c r="BS462"/>
  <c r="BY508"/>
  <c r="BT99"/>
  <c r="BX201"/>
  <c r="BW271"/>
  <c r="BS327"/>
  <c r="BV372"/>
  <c r="BW109"/>
  <c r="BT259"/>
  <c r="BT358"/>
  <c r="BR435"/>
  <c r="BW491"/>
  <c r="BX469"/>
  <c r="BS125"/>
  <c r="BU256"/>
  <c r="BR356"/>
  <c r="BT436"/>
  <c r="BW514"/>
  <c r="BX108"/>
  <c r="BS248"/>
  <c r="BT349"/>
  <c r="BW431"/>
  <c r="BS502"/>
  <c r="BR135"/>
  <c r="BY268"/>
  <c r="BY365"/>
  <c r="BR448"/>
  <c r="BX516"/>
  <c r="BW160"/>
  <c r="BS282"/>
  <c r="BT376"/>
  <c r="BU446"/>
  <c r="BX150"/>
  <c r="BX327"/>
  <c r="BX495"/>
  <c r="BT207"/>
  <c r="BR420"/>
  <c r="BW58"/>
  <c r="BX350"/>
  <c r="BT503"/>
  <c r="BT263"/>
  <c r="BX436"/>
  <c r="BY94"/>
  <c r="BU487"/>
  <c r="BU218"/>
  <c r="BY28"/>
  <c r="BX333"/>
  <c r="BX387"/>
  <c r="BW448"/>
  <c r="BV494"/>
  <c r="BY66"/>
  <c r="BT164"/>
  <c r="BX240"/>
  <c r="BS313"/>
  <c r="BU358"/>
  <c r="BS81"/>
  <c r="BU240"/>
  <c r="BS343"/>
  <c r="BW433"/>
  <c r="BV498"/>
  <c r="BT404"/>
  <c r="BY85"/>
  <c r="BU431"/>
  <c r="BS207"/>
  <c r="BT223"/>
  <c r="BW331"/>
  <c r="BX386"/>
  <c r="BV440"/>
  <c r="BW493"/>
  <c r="BS65"/>
  <c r="BY162"/>
  <c r="BT239"/>
  <c r="BW305"/>
  <c r="BU357"/>
  <c r="BY52"/>
  <c r="BX204"/>
  <c r="BR315"/>
  <c r="BX402"/>
  <c r="BX472"/>
  <c r="BX488"/>
  <c r="BS44"/>
  <c r="BY197"/>
  <c r="BX312"/>
  <c r="BT412"/>
  <c r="BS75"/>
  <c r="BW420"/>
  <c r="BT96"/>
  <c r="BR482"/>
  <c r="BV330"/>
  <c r="BW385"/>
  <c r="BW439"/>
  <c r="BW484"/>
  <c r="BY48"/>
  <c r="BW159"/>
  <c r="BS238"/>
  <c r="BU304"/>
  <c r="BY349"/>
  <c r="BU24"/>
  <c r="BW201"/>
  <c r="BY312"/>
  <c r="BT401"/>
  <c r="BV463"/>
  <c r="BU428"/>
  <c r="BY39"/>
  <c r="BV194"/>
  <c r="BV310"/>
  <c r="BS401"/>
  <c r="BT467"/>
  <c r="BV23"/>
  <c r="BU181"/>
  <c r="BY303"/>
  <c r="BX393"/>
  <c r="BU464"/>
  <c r="BV50"/>
  <c r="BT212"/>
  <c r="BU320"/>
  <c r="BS402"/>
  <c r="BR460"/>
  <c r="BS496"/>
  <c r="BU131"/>
  <c r="BY124"/>
  <c r="BY147"/>
  <c r="BW173"/>
  <c r="BS426"/>
  <c r="BW147"/>
  <c r="BV352"/>
  <c r="BW478"/>
  <c r="BS319"/>
  <c r="BW335"/>
  <c r="BS274"/>
  <c r="BR468"/>
  <c r="BS220"/>
  <c r="BS400"/>
  <c r="BU516"/>
  <c r="BS383"/>
  <c r="BW403"/>
  <c r="BU307"/>
  <c r="BR488"/>
  <c r="BU249"/>
  <c r="BW417"/>
  <c r="BX441"/>
  <c r="BU437"/>
  <c r="BU453"/>
  <c r="BR344"/>
  <c r="BY29"/>
  <c r="BY270"/>
  <c r="BW430"/>
  <c r="BR493"/>
  <c r="BR486"/>
  <c r="BR502"/>
  <c r="BS372"/>
  <c r="BV74"/>
  <c r="BU311"/>
  <c r="BX452"/>
  <c r="BU512"/>
  <c r="BU30"/>
  <c r="BU62"/>
  <c r="BY404"/>
  <c r="BY118"/>
  <c r="BT335"/>
  <c r="BX467"/>
  <c r="BX71"/>
  <c r="BX179"/>
  <c r="BT111"/>
  <c r="BX235"/>
  <c r="BX343"/>
  <c r="BS39"/>
  <c r="BY72"/>
  <c r="BT235"/>
  <c r="BY364"/>
  <c r="BU484"/>
  <c r="BU149"/>
  <c r="BR107"/>
  <c r="BR24"/>
  <c r="BW153"/>
  <c r="BT64"/>
  <c r="BV37"/>
  <c r="BT228"/>
  <c r="BT360"/>
  <c r="BR85"/>
  <c r="BS171"/>
  <c r="BU333"/>
  <c r="BS479"/>
  <c r="BS173"/>
  <c r="BU41"/>
  <c r="BY278"/>
  <c r="BR50"/>
  <c r="BV198"/>
  <c r="BW117"/>
  <c r="BT273"/>
  <c r="BR349"/>
  <c r="BR58"/>
  <c r="BS43"/>
  <c r="BR228"/>
  <c r="BY318"/>
  <c r="BW456"/>
  <c r="BX45"/>
  <c r="BV222"/>
  <c r="BS288"/>
  <c r="BT155"/>
  <c r="BV261"/>
  <c r="BR47"/>
  <c r="BR128"/>
  <c r="BR33"/>
  <c r="BS130"/>
  <c r="BX59"/>
  <c r="BX140"/>
  <c r="BT48"/>
  <c r="BV145"/>
  <c r="BX259"/>
  <c r="BT324"/>
  <c r="BV78"/>
  <c r="BV159"/>
  <c r="BR87"/>
  <c r="BS184"/>
  <c r="BX274"/>
  <c r="BR340"/>
  <c r="BT426"/>
  <c r="BY123"/>
  <c r="BR391"/>
  <c r="BS102"/>
  <c r="BW191"/>
  <c r="BX311"/>
  <c r="BU445"/>
  <c r="BS63"/>
  <c r="BS244"/>
  <c r="BS110"/>
  <c r="BV300"/>
  <c r="BU393"/>
  <c r="BV486"/>
  <c r="BR88"/>
  <c r="BS230"/>
  <c r="BY321"/>
  <c r="BR331"/>
  <c r="BV53"/>
  <c r="BX103"/>
  <c r="BU243"/>
  <c r="BR399"/>
  <c r="BW501"/>
  <c r="BX181"/>
  <c r="BW284"/>
  <c r="BY239"/>
  <c r="BY359"/>
  <c r="BY447"/>
  <c r="BW512"/>
  <c r="BU184"/>
  <c r="BU285"/>
  <c r="BT156"/>
  <c r="BT378"/>
  <c r="BT128"/>
  <c r="BV176"/>
  <c r="BR318"/>
  <c r="BT415"/>
  <c r="BU499"/>
  <c r="BU102"/>
  <c r="BS216"/>
  <c r="BY281"/>
  <c r="BU153"/>
  <c r="BR260"/>
  <c r="BY358"/>
  <c r="BW410"/>
  <c r="BV468"/>
  <c r="BX511"/>
  <c r="BU120"/>
  <c r="BY201"/>
  <c r="BS284"/>
  <c r="BS339"/>
  <c r="BR405"/>
  <c r="BS453"/>
  <c r="BR508"/>
  <c r="BW93"/>
  <c r="BY199"/>
  <c r="BX267"/>
  <c r="BS50"/>
  <c r="BX292"/>
  <c r="BR418"/>
  <c r="BW88"/>
  <c r="BU98"/>
  <c r="BS198"/>
  <c r="BU297"/>
  <c r="BX374"/>
  <c r="BW465"/>
  <c r="BR43"/>
  <c r="BU177"/>
  <c r="BW248"/>
  <c r="BR84"/>
  <c r="BU210"/>
  <c r="BU325"/>
  <c r="BW383"/>
  <c r="BR446"/>
  <c r="BT489"/>
  <c r="BU69"/>
  <c r="BX159"/>
  <c r="BT250"/>
  <c r="BX149"/>
  <c r="BT288"/>
  <c r="BV395"/>
  <c r="BY86"/>
  <c r="BV67"/>
  <c r="BS197"/>
  <c r="BW276"/>
  <c r="BY373"/>
  <c r="BS449"/>
  <c r="BV41"/>
  <c r="BV152"/>
  <c r="BW247"/>
  <c r="BT45"/>
  <c r="BW208"/>
  <c r="BY304"/>
  <c r="BV382"/>
  <c r="BU434"/>
  <c r="BU488"/>
  <c r="BU43"/>
  <c r="BU158"/>
  <c r="BY232"/>
  <c r="BS311"/>
  <c r="BW124"/>
  <c r="BS174"/>
  <c r="BU407"/>
  <c r="BU329"/>
  <c r="BS393"/>
  <c r="BX464"/>
  <c r="BW146"/>
  <c r="BX157"/>
  <c r="BS246"/>
  <c r="BT329"/>
  <c r="BT382"/>
  <c r="BT198"/>
  <c r="BX323"/>
  <c r="BW437"/>
  <c r="BV502"/>
  <c r="BR36"/>
  <c r="BW210"/>
  <c r="BS360"/>
  <c r="BS447"/>
  <c r="BW19"/>
  <c r="BV197"/>
  <c r="BW353"/>
  <c r="BR444"/>
  <c r="BW46"/>
  <c r="BW225"/>
  <c r="BS370"/>
  <c r="BX458"/>
  <c r="BW78"/>
  <c r="BR239"/>
  <c r="BW380"/>
  <c r="BS457"/>
  <c r="BU157"/>
  <c r="BS307"/>
  <c r="BY425"/>
  <c r="BY502"/>
  <c r="BT226"/>
  <c r="BW220"/>
  <c r="BW503"/>
  <c r="BY335"/>
  <c r="BX414"/>
  <c r="BT470"/>
  <c r="BX58"/>
  <c r="BV167"/>
  <c r="BS273"/>
  <c r="BW334"/>
  <c r="BW40"/>
  <c r="BX213"/>
  <c r="BV360"/>
  <c r="BV444"/>
  <c r="BR478"/>
  <c r="BS56"/>
  <c r="BS259"/>
  <c r="BR371"/>
  <c r="BS474"/>
  <c r="BX39"/>
  <c r="BY250"/>
  <c r="BU364"/>
  <c r="BR471"/>
  <c r="BX66"/>
  <c r="BV271"/>
  <c r="BX380"/>
  <c r="BX485"/>
  <c r="BR99"/>
  <c r="BY284"/>
  <c r="BW390"/>
  <c r="BR480"/>
  <c r="BR154"/>
  <c r="BS287"/>
  <c r="BS382"/>
  <c r="BR457"/>
  <c r="BU58"/>
  <c r="BT241"/>
  <c r="BW367"/>
  <c r="BV455"/>
  <c r="BU371"/>
  <c r="BW96"/>
  <c r="BY314"/>
  <c r="BX480"/>
  <c r="BY187"/>
  <c r="BT410"/>
  <c r="BV131"/>
  <c r="BW363"/>
  <c r="BV515"/>
  <c r="BV279"/>
  <c r="BR453"/>
  <c r="BV148"/>
  <c r="BV68"/>
  <c r="BX303"/>
  <c r="BS114"/>
  <c r="BV342"/>
  <c r="BS406"/>
  <c r="BX455"/>
  <c r="BX501"/>
  <c r="BV85"/>
  <c r="BT177"/>
  <c r="BU262"/>
  <c r="BW320"/>
  <c r="BR366"/>
  <c r="BU85"/>
  <c r="BY226"/>
  <c r="BU345"/>
  <c r="BX26"/>
  <c r="BX134"/>
  <c r="BT57"/>
  <c r="BY186"/>
  <c r="BX298"/>
  <c r="BX406"/>
  <c r="BX114"/>
  <c r="BV175"/>
  <c r="BY310"/>
  <c r="BU439"/>
  <c r="BX72"/>
  <c r="BR62"/>
  <c r="BR170"/>
  <c r="BW99"/>
  <c r="BR226"/>
  <c r="BX158"/>
  <c r="BY150"/>
  <c r="BT306"/>
  <c r="BT20"/>
  <c r="BW83"/>
  <c r="BV268"/>
  <c r="BT22"/>
  <c r="BT130"/>
  <c r="BY51"/>
  <c r="BV181"/>
  <c r="BX397"/>
  <c r="BR300"/>
  <c r="BR53"/>
  <c r="BR217"/>
  <c r="BX295"/>
  <c r="BR255"/>
  <c r="BW76"/>
  <c r="BY185"/>
  <c r="BR131"/>
  <c r="BR214"/>
  <c r="BV413"/>
  <c r="BY153"/>
  <c r="BU396"/>
  <c r="BY156"/>
  <c r="BS88"/>
  <c r="BY333"/>
  <c r="BR182"/>
  <c r="BT19"/>
  <c r="BX194"/>
  <c r="BX223"/>
  <c r="BR38"/>
  <c r="BU38"/>
  <c r="BV242"/>
  <c r="BR394"/>
  <c r="BT315"/>
  <c r="BX118"/>
  <c r="BS389"/>
  <c r="BV191"/>
  <c r="BW227"/>
  <c r="BS454"/>
  <c r="BY175"/>
  <c r="BR232"/>
  <c r="BY131"/>
  <c r="BV340"/>
  <c r="BY107"/>
  <c r="BV158"/>
  <c r="BX411"/>
  <c r="BT122"/>
  <c r="BT82"/>
  <c r="BX69"/>
  <c r="BV259"/>
  <c r="BS467"/>
  <c r="BV178"/>
  <c r="BX85"/>
  <c r="BU326"/>
  <c r="BR447"/>
  <c r="BY71"/>
  <c r="BX251"/>
  <c r="BR378"/>
  <c r="BV485"/>
  <c r="BS161"/>
  <c r="BX74"/>
  <c r="BV374"/>
  <c r="BR39"/>
  <c r="BW258"/>
  <c r="BT433"/>
  <c r="BW130"/>
  <c r="BS297"/>
  <c r="BS283"/>
  <c r="BW422"/>
  <c r="BY20"/>
  <c r="BT218"/>
  <c r="BT219"/>
  <c r="BS48"/>
  <c r="BW150"/>
  <c r="BS335"/>
  <c r="BS497"/>
  <c r="BU214"/>
  <c r="BT150"/>
  <c r="BW356"/>
  <c r="BX466"/>
  <c r="BT116"/>
  <c r="BU281"/>
  <c r="BW411"/>
  <c r="BT197"/>
  <c r="BX438"/>
  <c r="BV103"/>
  <c r="BU303"/>
  <c r="BX117"/>
  <c r="BV399"/>
  <c r="BR494"/>
  <c r="BU308"/>
  <c r="BY403"/>
  <c r="BW301"/>
  <c r="BV507"/>
  <c r="BU318"/>
  <c r="BV489"/>
  <c r="BR329"/>
  <c r="BU66"/>
  <c r="BS384"/>
  <c r="BT56"/>
  <c r="BR362"/>
  <c r="BU382"/>
  <c r="BX509"/>
  <c r="BY233"/>
  <c r="BW374"/>
  <c r="BW308"/>
  <c r="BS493"/>
  <c r="BS188"/>
  <c r="BV437"/>
  <c r="BY174"/>
  <c r="BY432"/>
  <c r="BT206"/>
  <c r="BT449"/>
  <c r="BT220"/>
  <c r="BV447"/>
  <c r="BY243"/>
  <c r="BY433"/>
  <c r="BX189"/>
  <c r="BV432"/>
  <c r="BW509"/>
  <c r="BY442"/>
  <c r="BR360"/>
  <c r="BU282"/>
  <c r="BY214"/>
  <c r="BT47"/>
  <c r="BX148"/>
  <c r="BS325"/>
  <c r="BR436"/>
  <c r="BY54"/>
  <c r="BW232"/>
  <c r="BR353"/>
  <c r="BY191"/>
  <c r="BS396"/>
  <c r="BV483"/>
  <c r="BY27"/>
  <c r="BS240"/>
  <c r="BX405"/>
  <c r="BU498"/>
  <c r="BX171"/>
  <c r="BU336"/>
  <c r="BT468"/>
  <c r="BS87"/>
  <c r="BR314"/>
  <c r="BX435"/>
  <c r="BV70"/>
  <c r="BR266"/>
  <c r="BW419"/>
  <c r="BW82"/>
  <c r="BR414"/>
  <c r="BU168"/>
  <c r="BV499"/>
  <c r="BV298"/>
  <c r="BY90"/>
  <c r="BX417"/>
  <c r="BY264"/>
  <c r="BW132"/>
  <c r="BY271"/>
  <c r="BT380"/>
  <c r="BV467"/>
  <c r="BS53"/>
  <c r="BT211"/>
  <c r="BW298"/>
  <c r="BU385"/>
  <c r="BR208"/>
  <c r="BW394"/>
  <c r="BU482"/>
  <c r="BV287"/>
  <c r="BY372"/>
  <c r="BV381"/>
  <c r="BW318"/>
  <c r="BS419"/>
  <c r="BT479"/>
  <c r="BX109"/>
  <c r="BR230"/>
  <c r="BU331"/>
  <c r="BW28"/>
  <c r="BR270"/>
  <c r="BU392"/>
  <c r="BR497"/>
  <c r="BX19"/>
  <c r="BS267"/>
  <c r="BW389"/>
  <c r="BR183"/>
  <c r="BU286"/>
  <c r="BR207"/>
  <c r="BR377"/>
  <c r="BX465"/>
  <c r="BV34"/>
  <c r="BT195"/>
  <c r="BR296"/>
  <c r="BY376"/>
  <c r="BX162"/>
  <c r="BX351"/>
  <c r="BU455"/>
  <c r="BW500"/>
  <c r="BR175"/>
  <c r="BU362"/>
  <c r="BY457"/>
  <c r="BU96"/>
  <c r="BW288"/>
  <c r="BY435"/>
  <c r="BR515"/>
  <c r="BX260"/>
  <c r="BS385"/>
  <c r="BV488"/>
  <c r="BS107"/>
  <c r="BX408"/>
  <c r="BS38"/>
  <c r="BR503"/>
  <c r="BW326"/>
  <c r="BR513"/>
  <c r="BT247"/>
  <c r="BR395"/>
  <c r="BS183"/>
  <c r="BY460"/>
  <c r="BR306"/>
  <c r="BY134"/>
  <c r="BV466"/>
  <c r="BS348"/>
  <c r="BY514"/>
  <c r="BR215"/>
  <c r="BS305"/>
  <c r="BY166"/>
  <c r="BS411"/>
  <c r="BS275"/>
  <c r="BW442"/>
  <c r="BY459"/>
  <c r="BT268"/>
  <c r="BT508"/>
  <c r="BS475"/>
  <c r="BT290"/>
  <c r="BU70"/>
  <c r="BY407"/>
  <c r="BT294"/>
  <c r="BR169"/>
  <c r="BW64"/>
  <c r="BS94"/>
  <c r="BY141"/>
  <c r="BS74"/>
  <c r="BU67"/>
  <c r="BT176"/>
  <c r="BV123"/>
  <c r="BX205"/>
  <c r="BT408"/>
  <c r="BT146"/>
  <c r="BR390"/>
  <c r="BU148"/>
  <c r="BY75"/>
  <c r="BW314"/>
  <c r="BR176"/>
  <c r="BX187"/>
  <c r="BT187"/>
  <c r="BT201"/>
  <c r="BR32"/>
  <c r="BV207"/>
  <c r="BV236"/>
  <c r="BV377"/>
  <c r="BV299"/>
  <c r="BX76"/>
  <c r="BS380"/>
  <c r="BS160"/>
  <c r="BY216"/>
  <c r="BR438"/>
  <c r="BY164"/>
  <c r="BY114"/>
  <c r="BR121"/>
  <c r="BY309"/>
  <c r="BW91"/>
  <c r="BT108"/>
  <c r="BS405"/>
  <c r="BW85"/>
  <c r="BX41"/>
  <c r="BY41"/>
  <c r="BV250"/>
  <c r="BW459"/>
  <c r="BW167"/>
  <c r="BW69"/>
  <c r="BX317"/>
  <c r="BV441"/>
  <c r="BV59"/>
  <c r="BW243"/>
  <c r="BW371"/>
  <c r="BS480"/>
  <c r="BU151"/>
  <c r="BT34"/>
  <c r="BR364"/>
  <c r="BR27"/>
  <c r="BW249"/>
  <c r="BS425"/>
  <c r="BS117"/>
  <c r="BR290"/>
  <c r="BT272"/>
  <c r="BR416"/>
  <c r="BT516"/>
  <c r="BS210"/>
  <c r="BW188"/>
  <c r="BU36"/>
  <c r="BW137"/>
  <c r="BU324"/>
  <c r="BS488"/>
  <c r="BU204"/>
  <c r="BS134"/>
  <c r="BS350"/>
  <c r="BU461"/>
  <c r="BT104"/>
  <c r="BU273"/>
  <c r="BS353"/>
  <c r="BS137"/>
  <c r="BR432"/>
  <c r="BU89"/>
  <c r="BX294"/>
  <c r="BU93"/>
  <c r="BS388"/>
  <c r="BX515"/>
  <c r="BS294"/>
  <c r="BX503"/>
  <c r="BY285"/>
  <c r="BV492"/>
  <c r="BT305"/>
  <c r="BS510"/>
  <c r="BY315"/>
  <c r="BS42"/>
  <c r="BY371"/>
  <c r="BT405"/>
  <c r="BU312"/>
  <c r="BY374"/>
  <c r="BV503"/>
  <c r="BX224"/>
  <c r="BS367"/>
  <c r="BU294"/>
  <c r="BR485"/>
  <c r="BW168"/>
  <c r="BS427"/>
  <c r="BV155"/>
  <c r="BS423"/>
  <c r="BS177"/>
  <c r="BT437"/>
  <c r="BX202"/>
  <c r="BV439"/>
  <c r="BR212"/>
  <c r="BS424"/>
  <c r="BT170"/>
  <c r="BR413"/>
  <c r="BV511"/>
  <c r="BY393"/>
  <c r="BS321"/>
  <c r="BY249"/>
  <c r="BV157"/>
  <c r="BX394"/>
  <c r="BR263"/>
  <c r="BX305"/>
  <c r="BY428"/>
  <c r="BX40"/>
  <c r="BR222"/>
  <c r="BS340"/>
  <c r="BU172"/>
  <c r="BR384"/>
  <c r="BV475"/>
  <c r="BY513"/>
  <c r="BT204"/>
  <c r="BW381"/>
  <c r="BU483"/>
  <c r="BT152"/>
  <c r="BT323"/>
  <c r="BR459"/>
  <c r="BY62"/>
  <c r="BS301"/>
  <c r="BU426"/>
  <c r="BS46"/>
  <c r="BW233"/>
  <c r="BT400"/>
  <c r="BR34"/>
  <c r="BV379"/>
  <c r="BY128"/>
  <c r="BU476"/>
  <c r="BS266"/>
  <c r="BT42"/>
  <c r="BU398"/>
  <c r="BW205"/>
  <c r="BR254"/>
  <c r="BU166"/>
  <c r="BW372"/>
  <c r="BT461"/>
  <c r="BW38"/>
  <c r="BU198"/>
  <c r="BU289"/>
  <c r="BY378"/>
  <c r="BV188"/>
  <c r="BX381"/>
  <c r="BS466"/>
  <c r="BT61"/>
  <c r="BU314"/>
  <c r="BW342"/>
  <c r="BY298"/>
  <c r="BU410"/>
  <c r="BY472"/>
  <c r="BU95"/>
  <c r="BU219"/>
  <c r="BY324"/>
  <c r="BU384"/>
  <c r="BW237"/>
  <c r="BW379"/>
  <c r="BR489"/>
  <c r="BT504"/>
  <c r="BR251"/>
  <c r="BT377"/>
  <c r="BR108"/>
  <c r="BX237"/>
  <c r="BY146"/>
  <c r="BY361"/>
  <c r="BT452"/>
  <c r="BT18"/>
  <c r="BX183"/>
  <c r="BW286"/>
  <c r="BS369"/>
  <c r="BT143"/>
  <c r="BY338"/>
  <c r="BT447"/>
  <c r="BU237"/>
  <c r="BS136"/>
  <c r="BV336"/>
  <c r="BT448"/>
  <c r="BS72"/>
  <c r="BU272"/>
  <c r="BV426"/>
  <c r="BS495"/>
  <c r="BV244"/>
  <c r="BU372"/>
  <c r="BU480"/>
  <c r="BX82"/>
  <c r="BR332"/>
  <c r="BW481"/>
  <c r="BS469"/>
  <c r="BY297"/>
  <c r="BS459"/>
  <c r="BW127"/>
  <c r="BR357"/>
  <c r="BT144"/>
  <c r="BS438"/>
  <c r="BS204"/>
  <c r="BV501"/>
  <c r="BW443"/>
  <c r="BT322"/>
  <c r="BS492"/>
  <c r="BR79"/>
  <c r="BY257"/>
  <c r="BR127"/>
  <c r="BV390"/>
  <c r="BS165"/>
  <c r="BT374"/>
  <c r="BV435"/>
  <c r="BY235"/>
  <c r="BT485"/>
  <c r="BV418"/>
  <c r="BW241"/>
  <c r="BX21"/>
  <c r="BT386"/>
  <c r="BX289"/>
  <c r="BU162"/>
  <c r="BV56"/>
  <c r="BX88"/>
  <c r="BW134"/>
  <c r="BT63"/>
  <c r="BU423"/>
  <c r="BW256"/>
  <c r="BV42"/>
  <c r="BW108"/>
  <c r="BR343"/>
  <c r="BW33"/>
  <c r="BW312"/>
  <c r="BS36"/>
  <c r="BR272"/>
  <c r="BU253"/>
  <c r="BV108"/>
  <c r="BR123"/>
  <c r="BX119"/>
  <c r="BV136"/>
  <c r="BV308"/>
  <c r="BV153"/>
  <c r="BX160"/>
  <c r="BR334"/>
  <c r="BX176"/>
  <c r="BR94"/>
  <c r="BY282"/>
  <c r="BS51"/>
  <c r="BW57"/>
  <c r="BY386"/>
  <c r="BU51"/>
  <c r="BV315"/>
  <c r="BR433"/>
  <c r="BV232"/>
  <c r="BY476"/>
  <c r="BW275"/>
  <c r="BT338"/>
  <c r="BT507"/>
  <c r="BR261"/>
  <c r="BX367"/>
  <c r="BR142"/>
  <c r="BT406"/>
  <c r="BS90"/>
  <c r="BW274"/>
  <c r="BS249"/>
  <c r="BS404"/>
  <c r="BU506"/>
  <c r="BS192"/>
  <c r="BX332"/>
  <c r="BX447"/>
  <c r="BT81"/>
  <c r="BW259"/>
  <c r="BR277"/>
  <c r="BW79"/>
  <c r="BU187"/>
  <c r="BW366"/>
  <c r="BV29"/>
  <c r="BU241"/>
  <c r="BU197"/>
  <c r="BS377"/>
  <c r="BY483"/>
  <c r="BS150"/>
  <c r="BT109"/>
  <c r="BR385"/>
  <c r="BT51"/>
  <c r="BY265"/>
  <c r="BS440"/>
  <c r="BW139"/>
  <c r="BS25"/>
  <c r="BU292"/>
  <c r="BR428"/>
  <c r="BU31"/>
  <c r="BY224"/>
  <c r="BR67"/>
  <c r="BW368"/>
  <c r="BU383"/>
  <c r="BX510"/>
  <c r="BW236"/>
  <c r="BX375"/>
  <c r="BW310"/>
  <c r="BU494"/>
  <c r="BT191"/>
  <c r="BR439"/>
  <c r="BS178"/>
  <c r="BW434"/>
  <c r="BV209"/>
  <c r="BX450"/>
  <c r="BY222"/>
  <c r="BR449"/>
  <c r="BY289"/>
  <c r="BW490"/>
  <c r="BT161"/>
  <c r="BU328"/>
  <c r="BR463"/>
  <c r="BU156"/>
  <c r="BT328"/>
  <c r="BS195"/>
  <c r="BV436"/>
  <c r="BX31"/>
  <c r="BS358"/>
  <c r="BT500"/>
  <c r="BV351"/>
  <c r="BU42"/>
  <c r="BR368"/>
  <c r="BW74"/>
  <c r="BV378"/>
  <c r="BV134"/>
  <c r="BX369"/>
  <c r="BT512"/>
  <c r="BW354"/>
  <c r="BR511"/>
  <c r="BS286"/>
  <c r="BY148"/>
  <c r="BU34"/>
  <c r="BT491"/>
  <c r="BV427"/>
  <c r="BU496"/>
  <c r="BT41"/>
  <c r="BY388"/>
  <c r="BU495"/>
  <c r="BR166"/>
  <c r="BS314"/>
  <c r="BR61"/>
  <c r="BU319"/>
  <c r="BU467"/>
  <c r="BU510"/>
  <c r="BX184"/>
  <c r="BY342"/>
  <c r="BW472"/>
  <c r="BS60"/>
  <c r="BX296"/>
  <c r="BY421"/>
  <c r="BV38"/>
  <c r="BW252"/>
  <c r="BW416"/>
  <c r="BX504"/>
  <c r="BV217"/>
  <c r="BV363"/>
  <c r="BR305"/>
  <c r="BY269"/>
  <c r="BW31"/>
  <c r="BU397"/>
  <c r="BX233"/>
  <c r="BS483"/>
  <c r="BS374"/>
  <c r="BV35"/>
  <c r="BU203"/>
  <c r="BY492"/>
  <c r="BS364"/>
  <c r="BS435"/>
  <c r="BT514"/>
  <c r="BS153"/>
  <c r="BX279"/>
  <c r="BY351"/>
  <c r="BS169"/>
  <c r="BS330"/>
  <c r="BR458"/>
  <c r="BW181"/>
  <c r="BY255"/>
  <c r="BU295"/>
  <c r="BW215"/>
  <c r="BS379"/>
  <c r="BW466"/>
  <c r="BW50"/>
  <c r="BS208"/>
  <c r="BV297"/>
  <c r="BY377"/>
  <c r="BU185"/>
  <c r="BY366"/>
  <c r="BV456"/>
  <c r="BR506"/>
  <c r="BU178"/>
  <c r="BV364"/>
  <c r="BR427"/>
  <c r="BY183"/>
  <c r="BW449"/>
  <c r="BU354"/>
  <c r="BS433"/>
  <c r="BW511"/>
  <c r="BS135"/>
  <c r="BT266"/>
  <c r="BU343"/>
  <c r="BW121"/>
  <c r="BX299"/>
  <c r="BS439"/>
  <c r="BR512"/>
  <c r="BX112"/>
  <c r="BY296"/>
  <c r="BT440"/>
  <c r="BR475"/>
  <c r="BW234"/>
  <c r="BY380"/>
  <c r="BT510"/>
  <c r="BW183"/>
  <c r="BT359"/>
  <c r="BY451"/>
  <c r="BV58"/>
  <c r="BW496"/>
  <c r="BR423"/>
  <c r="BY396"/>
  <c r="BX254"/>
  <c r="BU462"/>
  <c r="BW508"/>
  <c r="BV225"/>
  <c r="BY98"/>
  <c r="BV375"/>
  <c r="BU76"/>
  <c r="BW322"/>
  <c r="BU416"/>
  <c r="BU217"/>
  <c r="BY475"/>
  <c r="BY370"/>
  <c r="BT209"/>
  <c r="BT477"/>
  <c r="BU365"/>
  <c r="BV433"/>
  <c r="BY295"/>
  <c r="BS333"/>
  <c r="BW202"/>
  <c r="BS429"/>
  <c r="BY344"/>
  <c r="BX489"/>
  <c r="BV474"/>
  <c r="BU309"/>
  <c r="BS176"/>
  <c r="BU109"/>
  <c r="BY434"/>
  <c r="BV165"/>
  <c r="BT151"/>
  <c r="BX430"/>
  <c r="BR417"/>
  <c r="BT251"/>
  <c r="BV36"/>
  <c r="BU101"/>
  <c r="BX337"/>
  <c r="BX22"/>
  <c r="BU306"/>
  <c r="BY26"/>
  <c r="BW266"/>
  <c r="BT245"/>
  <c r="BR101"/>
  <c r="BR114"/>
  <c r="BX113"/>
  <c r="BT129"/>
  <c r="BV302"/>
  <c r="BR146"/>
  <c r="BX151"/>
  <c r="BX328"/>
  <c r="BT136"/>
  <c r="BT83"/>
  <c r="BS272"/>
  <c r="BY34"/>
  <c r="BS37"/>
  <c r="BU380"/>
  <c r="BU39"/>
  <c r="BY308"/>
  <c r="BV422"/>
  <c r="BV223"/>
  <c r="BU469"/>
  <c r="BU268"/>
  <c r="BW329"/>
  <c r="BY501"/>
  <c r="BY252"/>
  <c r="BV356"/>
  <c r="BS128"/>
  <c r="BU395"/>
  <c r="BY73"/>
  <c r="BW265"/>
  <c r="BW235"/>
  <c r="BW397"/>
  <c r="BR501"/>
  <c r="BV182"/>
  <c r="BT326"/>
  <c r="BT442"/>
  <c r="BT69"/>
  <c r="BW251"/>
  <c r="BV260"/>
  <c r="BY68"/>
  <c r="BU174"/>
  <c r="BY355"/>
  <c r="BU514"/>
  <c r="BU232"/>
  <c r="BS181"/>
  <c r="BW370"/>
  <c r="BV478"/>
  <c r="BU140"/>
  <c r="BX68"/>
  <c r="BX373"/>
  <c r="BX37"/>
  <c r="BX257"/>
  <c r="BU432"/>
  <c r="BY127"/>
  <c r="BT296"/>
  <c r="BW281"/>
  <c r="BU421"/>
  <c r="BR19"/>
  <c r="BX216"/>
  <c r="BV416"/>
  <c r="BS323"/>
  <c r="BY375"/>
  <c r="BU504"/>
  <c r="BX225"/>
  <c r="BS368"/>
  <c r="BR297"/>
  <c r="BT486"/>
  <c r="BY171"/>
  <c r="BT430"/>
  <c r="BW158"/>
  <c r="BR425"/>
  <c r="BT180"/>
  <c r="BU438"/>
  <c r="BS206"/>
  <c r="BR441"/>
  <c r="BY262"/>
  <c r="BV482"/>
  <c r="BR82"/>
  <c r="BS310"/>
  <c r="BX456"/>
  <c r="BU143"/>
  <c r="BX321"/>
  <c r="BW175"/>
  <c r="BT427"/>
  <c r="BU276"/>
  <c r="BS345"/>
  <c r="BX490"/>
  <c r="BU338"/>
  <c r="BS18"/>
  <c r="BS355"/>
  <c r="BU50"/>
  <c r="BW365"/>
  <c r="BV86"/>
  <c r="BY356"/>
  <c r="BU501"/>
  <c r="BX341"/>
  <c r="BV497"/>
  <c r="BV237"/>
  <c r="BV104"/>
  <c r="BU485"/>
  <c r="BX470"/>
  <c r="BS408"/>
  <c r="BX392"/>
  <c r="BT498"/>
  <c r="BU381"/>
  <c r="BT488"/>
  <c r="BW154"/>
  <c r="BT301"/>
  <c r="BX36"/>
  <c r="BV306"/>
  <c r="BS451"/>
  <c r="BT494"/>
  <c r="BU165"/>
  <c r="BR330"/>
  <c r="BT463"/>
  <c r="BY35"/>
  <c r="BV280"/>
  <c r="BS412"/>
  <c r="BR496"/>
  <c r="BU220"/>
  <c r="BS397"/>
  <c r="BY493"/>
  <c r="BW199"/>
  <c r="BW350"/>
  <c r="BX478"/>
  <c r="BR201"/>
  <c r="BT511"/>
  <c r="BS373"/>
  <c r="BX199"/>
  <c r="BV446"/>
  <c r="BU322"/>
  <c r="BV383"/>
  <c r="BW138"/>
  <c r="BV460"/>
  <c r="BU356"/>
  <c r="BW427"/>
  <c r="BS507"/>
  <c r="BU138"/>
  <c r="BV270"/>
  <c r="BR339"/>
  <c r="BX129"/>
  <c r="BT317"/>
  <c r="BR450"/>
  <c r="BW23"/>
  <c r="BR196"/>
  <c r="BX246"/>
  <c r="BW156"/>
  <c r="BV370"/>
  <c r="BT460"/>
  <c r="BV22"/>
  <c r="BV185"/>
  <c r="BY287"/>
  <c r="BU370"/>
  <c r="BY165"/>
  <c r="BY353"/>
  <c r="BV448"/>
  <c r="BR407"/>
  <c r="BY158"/>
  <c r="BW351"/>
  <c r="BR271"/>
  <c r="BW22"/>
  <c r="BY413"/>
  <c r="BW346"/>
  <c r="BW425"/>
  <c r="BT505"/>
  <c r="BX121"/>
  <c r="BR257"/>
  <c r="BX336"/>
  <c r="BU97"/>
  <c r="BU267"/>
  <c r="BX420"/>
  <c r="BR504"/>
  <c r="BV88"/>
  <c r="BW280"/>
  <c r="BX431"/>
  <c r="BX508"/>
  <c r="BW218"/>
  <c r="BX368"/>
  <c r="BT495"/>
  <c r="BX144"/>
  <c r="BU346"/>
  <c r="BY439"/>
  <c r="BS34"/>
  <c r="BX468"/>
  <c r="BV348"/>
  <c r="BS359"/>
  <c r="BX222"/>
  <c r="BX440"/>
  <c r="BT456"/>
  <c r="BS154"/>
  <c r="BT50"/>
  <c r="BT350"/>
  <c r="BY462"/>
  <c r="BR231"/>
  <c r="BY384"/>
  <c r="BR180"/>
  <c r="BX459"/>
  <c r="BU291"/>
  <c r="BR111"/>
  <c r="BR461"/>
  <c r="BV339"/>
  <c r="BV509"/>
  <c r="BU193"/>
  <c r="BR293"/>
  <c r="BX163"/>
  <c r="BW409"/>
  <c r="BY258"/>
  <c r="BX432"/>
  <c r="BU458"/>
  <c r="BV265"/>
  <c r="BW505"/>
  <c r="BV46"/>
  <c r="BY103"/>
  <c r="BW429"/>
  <c r="BR161"/>
  <c r="BT145"/>
  <c r="BV425"/>
  <c r="BX410"/>
  <c r="BY245"/>
  <c r="BS322"/>
  <c r="BX52"/>
  <c r="BV305"/>
  <c r="BX96"/>
  <c r="BX266"/>
  <c r="BW489"/>
  <c r="BW239"/>
  <c r="BY203"/>
  <c r="BR68"/>
  <c r="BU74"/>
  <c r="BT79"/>
  <c r="BY87"/>
  <c r="BV275"/>
  <c r="BR113"/>
  <c r="BS112"/>
  <c r="BX301"/>
  <c r="BU27"/>
  <c r="BR31"/>
  <c r="BU225"/>
  <c r="BW486"/>
  <c r="BT269"/>
  <c r="BR348"/>
  <c r="BX502"/>
  <c r="BW270"/>
  <c r="BV368"/>
  <c r="BX166"/>
  <c r="BY426"/>
  <c r="BR227"/>
  <c r="BR275"/>
  <c r="BY474"/>
  <c r="BY212"/>
  <c r="BX277"/>
  <c r="BY57"/>
  <c r="BV367"/>
  <c r="BX30"/>
  <c r="BT242"/>
  <c r="BY198"/>
  <c r="BS378"/>
  <c r="BX484"/>
  <c r="BY151"/>
  <c r="BX306"/>
  <c r="BV424"/>
  <c r="BW32"/>
  <c r="BT227"/>
  <c r="BY195"/>
  <c r="BU37"/>
  <c r="BY140"/>
  <c r="BY327"/>
  <c r="BS491"/>
  <c r="BX207"/>
  <c r="BR139"/>
  <c r="BS351"/>
  <c r="BT462"/>
  <c r="BR106"/>
  <c r="BV274"/>
  <c r="BR337"/>
  <c r="BW115"/>
  <c r="BS227"/>
  <c r="BX401"/>
  <c r="BV83"/>
  <c r="BS271"/>
  <c r="BX243"/>
  <c r="BR402"/>
  <c r="BV504"/>
  <c r="BR189"/>
  <c r="BY33"/>
  <c r="BS80"/>
  <c r="BT353"/>
  <c r="BX483"/>
  <c r="BV193"/>
  <c r="BX348"/>
  <c r="BU248"/>
  <c r="BR462"/>
  <c r="BY108"/>
  <c r="BU399"/>
  <c r="BV92"/>
  <c r="BV391"/>
  <c r="BV119"/>
  <c r="BS410"/>
  <c r="BX147"/>
  <c r="BS413"/>
  <c r="BW214"/>
  <c r="BT458"/>
  <c r="BY400"/>
  <c r="BV187"/>
  <c r="BX437"/>
  <c r="BW101"/>
  <c r="BT302"/>
  <c r="BV113"/>
  <c r="BR398"/>
  <c r="BT483"/>
  <c r="BS306"/>
  <c r="BX242"/>
  <c r="BU299"/>
  <c r="BY504"/>
  <c r="BS316"/>
  <c r="BV481"/>
  <c r="BX326"/>
  <c r="BT62"/>
  <c r="BY343"/>
  <c r="BU489"/>
  <c r="BX315"/>
  <c r="BY487"/>
  <c r="BX218"/>
  <c r="BY55"/>
  <c r="BS487"/>
  <c r="BV434"/>
  <c r="BW386"/>
  <c r="BT334"/>
  <c r="BY465"/>
  <c r="BW373"/>
  <c r="BW475"/>
  <c r="BW141"/>
  <c r="BW290"/>
  <c r="BS394"/>
  <c r="BW291"/>
  <c r="BU425"/>
  <c r="BU471"/>
  <c r="BV76"/>
  <c r="BS304"/>
  <c r="BT425"/>
  <c r="BR442"/>
  <c r="BV226"/>
  <c r="BS399"/>
  <c r="BY489"/>
  <c r="BY202"/>
  <c r="BY352"/>
  <c r="BT484"/>
  <c r="BS119"/>
  <c r="BW324"/>
  <c r="BT438"/>
  <c r="BU492"/>
  <c r="BY469"/>
  <c r="BS347"/>
  <c r="BT439"/>
  <c r="BY424"/>
  <c r="BY230"/>
  <c r="BR304"/>
  <c r="BY381"/>
  <c r="BY387"/>
  <c r="BR323"/>
  <c r="BS420"/>
  <c r="BT487"/>
  <c r="BR126"/>
  <c r="BS231"/>
  <c r="BW332"/>
  <c r="BY56"/>
  <c r="BT304"/>
  <c r="BS414"/>
  <c r="BV491"/>
  <c r="BR22"/>
  <c r="BW194"/>
  <c r="BV487"/>
  <c r="BY362"/>
  <c r="BT434"/>
  <c r="BV512"/>
  <c r="BY149"/>
  <c r="BW278"/>
  <c r="BU344"/>
  <c r="BY125"/>
  <c r="BS302"/>
  <c r="BU440"/>
  <c r="BX449"/>
  <c r="BV139"/>
  <c r="BW299"/>
  <c r="BV82"/>
  <c r="BS362"/>
  <c r="BR375"/>
  <c r="BS296"/>
  <c r="BU409"/>
  <c r="BT478"/>
  <c r="BU107"/>
  <c r="BV228"/>
  <c r="BU330"/>
  <c r="BX390"/>
  <c r="BS251"/>
  <c r="BU390"/>
  <c r="BY495"/>
  <c r="BY498"/>
  <c r="BT248"/>
  <c r="BV387"/>
  <c r="BT441"/>
  <c r="BR162"/>
  <c r="BW355"/>
  <c r="BX454"/>
  <c r="BU123"/>
  <c r="BV307"/>
  <c r="BT431"/>
  <c r="BX512"/>
  <c r="BY189"/>
  <c r="BW273"/>
  <c r="BT320"/>
  <c r="BX102"/>
  <c r="BY420"/>
  <c r="BT221"/>
  <c r="BS504"/>
  <c r="BT450"/>
  <c r="BV324"/>
  <c r="BT493"/>
  <c r="BU103"/>
  <c r="BW260"/>
  <c r="BS141"/>
  <c r="BT398"/>
  <c r="BW184"/>
  <c r="BR387"/>
  <c r="BS442"/>
  <c r="BV238"/>
  <c r="BX486"/>
  <c r="BT428"/>
  <c r="BU244"/>
  <c r="BY25"/>
  <c r="BU388"/>
  <c r="BV479"/>
  <c r="BV361"/>
  <c r="BY369"/>
  <c r="BS233"/>
  <c r="BW451"/>
  <c r="BX125"/>
  <c r="BT402"/>
  <c r="BU305"/>
  <c r="BV57"/>
  <c r="BV221"/>
  <c r="BR301"/>
  <c r="BU261"/>
  <c r="BT86"/>
  <c r="BW195"/>
  <c r="BR158"/>
  <c r="BR241"/>
  <c r="BU19"/>
  <c r="BT185"/>
  <c r="BU422"/>
  <c r="BS186"/>
  <c r="BS100"/>
  <c r="BU340"/>
  <c r="BV189"/>
  <c r="BT25"/>
  <c r="BX200"/>
  <c r="BX229"/>
  <c r="BV45"/>
  <c r="BU47"/>
  <c r="BX247"/>
  <c r="BT399"/>
  <c r="BX331"/>
  <c r="BU134"/>
  <c r="BY399"/>
  <c r="BU202"/>
  <c r="BS241"/>
  <c r="BV459"/>
  <c r="BW185"/>
  <c r="BR250"/>
  <c r="BW29"/>
  <c r="BV349"/>
  <c r="BY119"/>
  <c r="BU171"/>
  <c r="BT418"/>
  <c r="BY133"/>
  <c r="BX122"/>
  <c r="BV80"/>
  <c r="BU270"/>
  <c r="BS476"/>
  <c r="BT189"/>
  <c r="BS106"/>
  <c r="BT337"/>
  <c r="BU452"/>
  <c r="BY83"/>
  <c r="BY259"/>
  <c r="BV384"/>
  <c r="BY490"/>
  <c r="BY170"/>
  <c r="BT115"/>
  <c r="BX385"/>
  <c r="BS55"/>
  <c r="BU269"/>
  <c r="BU442"/>
  <c r="BR144"/>
  <c r="BV31"/>
  <c r="BW296"/>
  <c r="BR429"/>
  <c r="BS33"/>
  <c r="BY225"/>
  <c r="BX238"/>
  <c r="BS57"/>
  <c r="BU160"/>
  <c r="BS344"/>
  <c r="BW504"/>
  <c r="BW221"/>
  <c r="BS163"/>
  <c r="BS363"/>
  <c r="BS472"/>
  <c r="BV128"/>
  <c r="BV289"/>
  <c r="BS464"/>
  <c r="BV247"/>
  <c r="BR445"/>
  <c r="BW119"/>
  <c r="BX309"/>
  <c r="BY139"/>
  <c r="BT409"/>
  <c r="BU391"/>
  <c r="BU321"/>
  <c r="BU503"/>
  <c r="BX314"/>
  <c r="BT476"/>
  <c r="BT331"/>
  <c r="BR279"/>
  <c r="BY341"/>
  <c r="BX90"/>
  <c r="BX396"/>
  <c r="BY113"/>
  <c r="BR401"/>
  <c r="BY389"/>
  <c r="BS516"/>
  <c r="BW244"/>
  <c r="BS381"/>
  <c r="BV321"/>
  <c r="BT501"/>
  <c r="BU207"/>
  <c r="BW445"/>
  <c r="BU194"/>
  <c r="BX442"/>
  <c r="BS223"/>
  <c r="BT457"/>
  <c r="BT236"/>
  <c r="BW455"/>
  <c r="BS260"/>
  <c r="BU447"/>
  <c r="BS225"/>
  <c r="BV443"/>
  <c r="BR48"/>
  <c r="BW460"/>
  <c r="BT385"/>
  <c r="BW337"/>
  <c r="BS247"/>
  <c r="BX105"/>
  <c r="BX231"/>
  <c r="BY334"/>
  <c r="BV449"/>
  <c r="BS71"/>
  <c r="BR242"/>
  <c r="BW359"/>
  <c r="BS211"/>
  <c r="BW415"/>
  <c r="BR516"/>
  <c r="BS52"/>
  <c r="BX288"/>
  <c r="BV415"/>
  <c r="BS484"/>
  <c r="BS191"/>
  <c r="BU374"/>
  <c r="BR479"/>
  <c r="BY173"/>
  <c r="BY339"/>
  <c r="BV473"/>
  <c r="BX94"/>
  <c r="BW311"/>
  <c r="BU429"/>
  <c r="BW224"/>
  <c r="BX434"/>
  <c r="BY277"/>
  <c r="BV196"/>
  <c r="BV405"/>
  <c r="BU196"/>
  <c r="BW179"/>
  <c r="BU323"/>
  <c r="BS349"/>
  <c r="BV303"/>
  <c r="BW412"/>
  <c r="BX473"/>
  <c r="BV97"/>
  <c r="BV220"/>
  <c r="BR326"/>
  <c r="BV32"/>
  <c r="BY288"/>
  <c r="BW404"/>
  <c r="BX514"/>
  <c r="BR373"/>
  <c r="BX126"/>
  <c r="BU420"/>
  <c r="BY347"/>
  <c r="BW426"/>
  <c r="BT506"/>
  <c r="BY136"/>
  <c r="BR269"/>
  <c r="BR338"/>
  <c r="BV101"/>
  <c r="BT286"/>
  <c r="BY431"/>
  <c r="BS505"/>
  <c r="BW92"/>
  <c r="BU283"/>
  <c r="BX20"/>
  <c r="BW303"/>
  <c r="BY331"/>
  <c r="BW255"/>
  <c r="BY401"/>
  <c r="BR472"/>
  <c r="BS91"/>
  <c r="BU206"/>
  <c r="BU317"/>
  <c r="BT383"/>
  <c r="BY234"/>
  <c r="BW377"/>
  <c r="BX487"/>
  <c r="BS441"/>
  <c r="BS232"/>
  <c r="BS375"/>
  <c r="BV506"/>
  <c r="BX120"/>
  <c r="BY329"/>
  <c r="BV445"/>
  <c r="BS99"/>
  <c r="BS293"/>
  <c r="BW421"/>
  <c r="BV500"/>
  <c r="BU170"/>
  <c r="BV465"/>
  <c r="BX276"/>
  <c r="BS54"/>
  <c r="BU401"/>
  <c r="BW100"/>
  <c r="BW469"/>
  <c r="BU424"/>
  <c r="BT295"/>
  <c r="BS477"/>
  <c r="BS514"/>
  <c r="BS212"/>
  <c r="BW94"/>
  <c r="BV373"/>
  <c r="BR52"/>
  <c r="BW309"/>
  <c r="BW414"/>
  <c r="BY205"/>
  <c r="BV470"/>
  <c r="BY357"/>
  <c r="BR193"/>
  <c r="BR476"/>
  <c r="BU363"/>
  <c r="BW142"/>
  <c r="BW279"/>
  <c r="BS331"/>
  <c r="BU199"/>
  <c r="BU427"/>
  <c r="AN475"/>
  <c r="AV475" s="1"/>
  <c r="AU475"/>
  <c r="AN437"/>
  <c r="AV437" s="1"/>
  <c r="AU437"/>
  <c r="AN415"/>
  <c r="AV415" s="1"/>
  <c r="AU415"/>
  <c r="AN390"/>
  <c r="AV390" s="1"/>
  <c r="AU390"/>
  <c r="AN419"/>
  <c r="AV419" s="1"/>
  <c r="AU419"/>
  <c r="AN393"/>
  <c r="AV393" s="1"/>
  <c r="AU393"/>
  <c r="AN407"/>
  <c r="AV407" s="1"/>
  <c r="AU407"/>
  <c r="AN495"/>
  <c r="AV495" s="1"/>
  <c r="AU495"/>
  <c r="AN411"/>
  <c r="AV411" s="1"/>
  <c r="AU411"/>
  <c r="AN514"/>
  <c r="AV514" s="1"/>
  <c r="AU514"/>
  <c r="AN502"/>
  <c r="AV502" s="1"/>
  <c r="AU502"/>
  <c r="AN371"/>
  <c r="AV371" s="1"/>
  <c r="AU371"/>
  <c r="AN481"/>
  <c r="AV481" s="1"/>
  <c r="AU481"/>
  <c r="AN485"/>
  <c r="AV485" s="1"/>
  <c r="AU485"/>
  <c r="AN439"/>
  <c r="AV439" s="1"/>
  <c r="AU439"/>
  <c r="AN368"/>
  <c r="AV368" s="1"/>
  <c r="AU368"/>
  <c r="AN510"/>
  <c r="AV510" s="1"/>
  <c r="AU510"/>
  <c r="AN483"/>
  <c r="AV483" s="1"/>
  <c r="AU483"/>
  <c r="AN392"/>
  <c r="AV392" s="1"/>
  <c r="AU392"/>
  <c r="AN421"/>
  <c r="AV421" s="1"/>
  <c r="AU421"/>
  <c r="AN450"/>
  <c r="AV450" s="1"/>
  <c r="AU450"/>
  <c r="AN470"/>
  <c r="AV470" s="1"/>
  <c r="AU470"/>
  <c r="AN493"/>
  <c r="AV493" s="1"/>
  <c r="AU493"/>
  <c r="AN359"/>
  <c r="AV359" s="1"/>
  <c r="AU359"/>
  <c r="AN383"/>
  <c r="AV383" s="1"/>
  <c r="AU383"/>
  <c r="AN482"/>
  <c r="AV482" s="1"/>
  <c r="AU482"/>
  <c r="AN429"/>
  <c r="AV429" s="1"/>
  <c r="AU429"/>
  <c r="AN494"/>
  <c r="AV494" s="1"/>
  <c r="AU494"/>
  <c r="AN455"/>
  <c r="AV455" s="1"/>
  <c r="AU455"/>
  <c r="AN491"/>
  <c r="AV491" s="1"/>
  <c r="AU491"/>
  <c r="AN515"/>
  <c r="AV515" s="1"/>
  <c r="AU515"/>
  <c r="AN403"/>
  <c r="AV403" s="1"/>
  <c r="AU403"/>
  <c r="AN446"/>
  <c r="AV446" s="1"/>
  <c r="AU446"/>
  <c r="AN378"/>
  <c r="AV378" s="1"/>
  <c r="AU378"/>
  <c r="AN457"/>
  <c r="AV457" s="1"/>
  <c r="AU457"/>
  <c r="AN372"/>
  <c r="AV372" s="1"/>
  <c r="AU372"/>
  <c r="AN447"/>
  <c r="AV447" s="1"/>
  <c r="AU447"/>
  <c r="AN454"/>
  <c r="AV454" s="1"/>
  <c r="AU454"/>
  <c r="AN380"/>
  <c r="AV380" s="1"/>
  <c r="AU380"/>
  <c r="AN506"/>
  <c r="AV506" s="1"/>
  <c r="AU506"/>
  <c r="AN398"/>
  <c r="AV398" s="1"/>
  <c r="AU398"/>
  <c r="AN414"/>
  <c r="AV414" s="1"/>
  <c r="AU414"/>
  <c r="AN451"/>
  <c r="AV451" s="1"/>
  <c r="AU451"/>
  <c r="AN435"/>
  <c r="AV435" s="1"/>
  <c r="AU435"/>
  <c r="AN416"/>
  <c r="AV416" s="1"/>
  <c r="AU416"/>
  <c r="AN430"/>
  <c r="AV430" s="1"/>
  <c r="AU430"/>
  <c r="AN388"/>
  <c r="AV388" s="1"/>
  <c r="AU388"/>
  <c r="AN469"/>
  <c r="AV469" s="1"/>
  <c r="AU469"/>
  <c r="AN386"/>
  <c r="AV386" s="1"/>
  <c r="AU386"/>
  <c r="AN466"/>
  <c r="AV466" s="1"/>
  <c r="AU466"/>
  <c r="AN399"/>
  <c r="AV399" s="1"/>
  <c r="AU399"/>
  <c r="AN505"/>
  <c r="AV505" s="1"/>
  <c r="AU505"/>
  <c r="AN369"/>
  <c r="AV369" s="1"/>
  <c r="AU369"/>
  <c r="AN391"/>
  <c r="AV391" s="1"/>
  <c r="AU391"/>
  <c r="AN370"/>
  <c r="AV370" s="1"/>
  <c r="AU370"/>
  <c r="AN357"/>
  <c r="AV357" s="1"/>
  <c r="AU357"/>
  <c r="AN417"/>
  <c r="AV417" s="1"/>
  <c r="AU417"/>
  <c r="AN504"/>
  <c r="AV504" s="1"/>
  <c r="AU504"/>
  <c r="AN366"/>
  <c r="AV366" s="1"/>
  <c r="AU366"/>
  <c r="AN397"/>
  <c r="AV397" s="1"/>
  <c r="AU397"/>
  <c r="AN418"/>
  <c r="AV418" s="1"/>
  <c r="AU418"/>
  <c r="AN379"/>
  <c r="AV379" s="1"/>
  <c r="AU379"/>
  <c r="AN433"/>
  <c r="AV433" s="1"/>
  <c r="AU433"/>
  <c r="AN511"/>
  <c r="AV511" s="1"/>
  <c r="AU511"/>
  <c r="AN471"/>
  <c r="AV471" s="1"/>
  <c r="AU471"/>
  <c r="AN478"/>
  <c r="AV478" s="1"/>
  <c r="AU478"/>
  <c r="AN428"/>
  <c r="AV428" s="1"/>
  <c r="AU428"/>
  <c r="AN413"/>
  <c r="AV413" s="1"/>
  <c r="AU413"/>
  <c r="AN434"/>
  <c r="AV434" s="1"/>
  <c r="AU434"/>
  <c r="AN463"/>
  <c r="AV463" s="1"/>
  <c r="AU463"/>
  <c r="AN355"/>
  <c r="AV355" s="1"/>
  <c r="AU355"/>
  <c r="AN503"/>
  <c r="AV503" s="1"/>
  <c r="AU503"/>
  <c r="AN452"/>
  <c r="AV452" s="1"/>
  <c r="AU452"/>
  <c r="AN468"/>
  <c r="AV468" s="1"/>
  <c r="AU468"/>
  <c r="AN420"/>
  <c r="AV420" s="1"/>
  <c r="AU420"/>
  <c r="AN401"/>
  <c r="AV401" s="1"/>
  <c r="AU401"/>
  <c r="AN443"/>
  <c r="AV443" s="1"/>
  <c r="AU443"/>
  <c r="AN465"/>
  <c r="AV465" s="1"/>
  <c r="AU465"/>
  <c r="AN490"/>
  <c r="AV490" s="1"/>
  <c r="AU490"/>
  <c r="AN479"/>
  <c r="AV479" s="1"/>
  <c r="AU479"/>
  <c r="AN422"/>
  <c r="AV422" s="1"/>
  <c r="AU422"/>
  <c r="AN356"/>
  <c r="AV356" s="1"/>
  <c r="AU356"/>
  <c r="AN364"/>
  <c r="AV364" s="1"/>
  <c r="AU364"/>
  <c r="AN424"/>
  <c r="AV424" s="1"/>
  <c r="AU424"/>
  <c r="AN507"/>
  <c r="AV507" s="1"/>
  <c r="AU507"/>
  <c r="AN360"/>
  <c r="AV360" s="1"/>
  <c r="AU360"/>
  <c r="AN516"/>
  <c r="AV516" s="1"/>
  <c r="AU516"/>
  <c r="AN464"/>
  <c r="AV464" s="1"/>
  <c r="AU464"/>
  <c r="AN477"/>
  <c r="AV477" s="1"/>
  <c r="AU477"/>
  <c r="AN377"/>
  <c r="AV377" s="1"/>
  <c r="AU377"/>
  <c r="AN365"/>
  <c r="AV365" s="1"/>
  <c r="AU365"/>
  <c r="AN395"/>
  <c r="AV395" s="1"/>
  <c r="AU395"/>
  <c r="AN438"/>
  <c r="AV438" s="1"/>
  <c r="AU438"/>
  <c r="AN432"/>
  <c r="AV432" s="1"/>
  <c r="AU432"/>
  <c r="AN449"/>
  <c r="AV449" s="1"/>
  <c r="AU449"/>
  <c r="AN453"/>
  <c r="AV453" s="1"/>
  <c r="AU453"/>
  <c r="AN508"/>
  <c r="AV508" s="1"/>
  <c r="AU508"/>
  <c r="AN484"/>
  <c r="AV484" s="1"/>
  <c r="AU484"/>
  <c r="AN405"/>
  <c r="AV405" s="1"/>
  <c r="AU405"/>
  <c r="AN512"/>
  <c r="AV512" s="1"/>
  <c r="AU512"/>
  <c r="AN509"/>
  <c r="AV509" s="1"/>
  <c r="AU509"/>
  <c r="AN462"/>
  <c r="AV462" s="1"/>
  <c r="AU462"/>
  <c r="AN445"/>
  <c r="AV445" s="1"/>
  <c r="AU445"/>
  <c r="AN402"/>
  <c r="AV402" s="1"/>
  <c r="AU402"/>
  <c r="AN448"/>
  <c r="AV448" s="1"/>
  <c r="AU448"/>
  <c r="AN427"/>
  <c r="AV427" s="1"/>
  <c r="AU427"/>
  <c r="AN373"/>
  <c r="AV373" s="1"/>
  <c r="AU373"/>
  <c r="AN406"/>
  <c r="AV406" s="1"/>
  <c r="AU406"/>
  <c r="AN486"/>
  <c r="AV486" s="1"/>
  <c r="AU486"/>
  <c r="AN374"/>
  <c r="AV374" s="1"/>
  <c r="AU374"/>
  <c r="AN409"/>
  <c r="AV409" s="1"/>
  <c r="AU409"/>
  <c r="AN354"/>
  <c r="AV354" s="1"/>
  <c r="AU354"/>
  <c r="AN410"/>
  <c r="AV410" s="1"/>
  <c r="AU410"/>
  <c r="AN456"/>
  <c r="AV456" s="1"/>
  <c r="AU456"/>
  <c r="AN498"/>
  <c r="AV498" s="1"/>
  <c r="AU498"/>
  <c r="AN442"/>
  <c r="AV442" s="1"/>
  <c r="AU442"/>
  <c r="AN363"/>
  <c r="AV363" s="1"/>
  <c r="AU363"/>
  <c r="AN500"/>
  <c r="AV500" s="1"/>
  <c r="AU500"/>
  <c r="AN489"/>
  <c r="AV489" s="1"/>
  <c r="AU489"/>
  <c r="AN385"/>
  <c r="AV385" s="1"/>
  <c r="AU385"/>
  <c r="AN426"/>
  <c r="AV426" s="1"/>
  <c r="AU426"/>
  <c r="AN497"/>
  <c r="AV497" s="1"/>
  <c r="AU497"/>
  <c r="AN376"/>
  <c r="AV376" s="1"/>
  <c r="AU376"/>
  <c r="AN472"/>
  <c r="AV472" s="1"/>
  <c r="AU472"/>
  <c r="AN425"/>
  <c r="AV425" s="1"/>
  <c r="AU425"/>
  <c r="AN473"/>
  <c r="AV473" s="1"/>
  <c r="AU473"/>
  <c r="AN431"/>
  <c r="AV431" s="1"/>
  <c r="AU431"/>
  <c r="AN382"/>
  <c r="AV382" s="1"/>
  <c r="AU382"/>
  <c r="AN501"/>
  <c r="AV501" s="1"/>
  <c r="AU501"/>
  <c r="AN444"/>
  <c r="AV444" s="1"/>
  <c r="AU444"/>
  <c r="AN476"/>
  <c r="AV476" s="1"/>
  <c r="AU476"/>
  <c r="AN441"/>
  <c r="AV441" s="1"/>
  <c r="AU441"/>
  <c r="AN458"/>
  <c r="AV458" s="1"/>
  <c r="AU458"/>
  <c r="AN488"/>
  <c r="AV488" s="1"/>
  <c r="AU488"/>
  <c r="AN480"/>
  <c r="AV480" s="1"/>
  <c r="AU480"/>
  <c r="AN499"/>
  <c r="AV499" s="1"/>
  <c r="AU499"/>
  <c r="AN387"/>
  <c r="AV387" s="1"/>
  <c r="AU387"/>
  <c r="AN408"/>
  <c r="AV408" s="1"/>
  <c r="AU408"/>
  <c r="AN361"/>
  <c r="AV361" s="1"/>
  <c r="AU361"/>
  <c r="AN404"/>
  <c r="AV404" s="1"/>
  <c r="AU404"/>
  <c r="AN492"/>
  <c r="AV492" s="1"/>
  <c r="AU492"/>
  <c r="AN513"/>
  <c r="AV513" s="1"/>
  <c r="AU513"/>
  <c r="AN394"/>
  <c r="AV394" s="1"/>
  <c r="AU394"/>
  <c r="AN436"/>
  <c r="AV436" s="1"/>
  <c r="AU436"/>
  <c r="AN460"/>
  <c r="AV460" s="1"/>
  <c r="AU460"/>
  <c r="AN487"/>
  <c r="AV487" s="1"/>
  <c r="AU487"/>
  <c r="AN400"/>
  <c r="AV400" s="1"/>
  <c r="AU400"/>
  <c r="AN474"/>
  <c r="AV474" s="1"/>
  <c r="AU474"/>
  <c r="AN461"/>
  <c r="AV461" s="1"/>
  <c r="AU461"/>
  <c r="AN362"/>
  <c r="AV362" s="1"/>
  <c r="AU362"/>
  <c r="AN375"/>
  <c r="AV375" s="1"/>
  <c r="AU375"/>
  <c r="AN384"/>
  <c r="AV384" s="1"/>
  <c r="AU384"/>
  <c r="AN381"/>
  <c r="AV381" s="1"/>
  <c r="AU381"/>
  <c r="AN412"/>
  <c r="AV412" s="1"/>
  <c r="AU412"/>
  <c r="AN496"/>
  <c r="AV496" s="1"/>
  <c r="AU496"/>
  <c r="AN396"/>
  <c r="AV396" s="1"/>
  <c r="AU396"/>
  <c r="AN367"/>
  <c r="AV367" s="1"/>
  <c r="AU367"/>
  <c r="AN358"/>
  <c r="AV358" s="1"/>
  <c r="AU358"/>
  <c r="AN459"/>
  <c r="AV459" s="1"/>
  <c r="AU459"/>
  <c r="AN467"/>
  <c r="AV467" s="1"/>
  <c r="AU467"/>
  <c r="AN389"/>
  <c r="AV389" s="1"/>
  <c r="AU389"/>
  <c r="AN440"/>
  <c r="AV440" s="1"/>
  <c r="AU440"/>
  <c r="AN423"/>
  <c r="AV423" s="1"/>
  <c r="AU423"/>
  <c r="DG446"/>
  <c r="DG290"/>
  <c r="DG386"/>
  <c r="DG301"/>
  <c r="DG247"/>
  <c r="DG379"/>
  <c r="DF338"/>
  <c r="DG332"/>
  <c r="DG396"/>
  <c r="DG234"/>
  <c r="DG209"/>
  <c r="DG420"/>
  <c r="DG405"/>
  <c r="DG431"/>
  <c r="DG364"/>
  <c r="DG369"/>
  <c r="DG353"/>
  <c r="DG295"/>
  <c r="DG429"/>
  <c r="DG286"/>
  <c r="DG212"/>
  <c r="BG515"/>
  <c r="BH515"/>
  <c r="BG449"/>
  <c r="BH449"/>
  <c r="BG285"/>
  <c r="BG250"/>
  <c r="BG157"/>
  <c r="BG140"/>
  <c r="BG162"/>
  <c r="BG141"/>
  <c r="BG508"/>
  <c r="BH508"/>
  <c r="BG378"/>
  <c r="BH378"/>
  <c r="BG293"/>
  <c r="BG423"/>
  <c r="BH423"/>
  <c r="BG436"/>
  <c r="BH436"/>
  <c r="BG202"/>
  <c r="BG443"/>
  <c r="BH443"/>
  <c r="BG193"/>
  <c r="BG137"/>
  <c r="BG484"/>
  <c r="BH484"/>
  <c r="BG488"/>
  <c r="BH488"/>
  <c r="BG170"/>
  <c r="BG217"/>
  <c r="BG118"/>
  <c r="BG236"/>
  <c r="BG342"/>
  <c r="BG475"/>
  <c r="BH475"/>
  <c r="BG84"/>
  <c r="BG318"/>
  <c r="BG135"/>
  <c r="BG114"/>
  <c r="BG326"/>
  <c r="BG109"/>
  <c r="BG278"/>
  <c r="BG40"/>
  <c r="BG404"/>
  <c r="BH404"/>
  <c r="BG330"/>
  <c r="BG62"/>
  <c r="BG100"/>
  <c r="BG154"/>
  <c r="BG126"/>
  <c r="BG196"/>
  <c r="BG277"/>
  <c r="BG461"/>
  <c r="BH461"/>
  <c r="BG124"/>
  <c r="BG38"/>
  <c r="BG243"/>
  <c r="BG397"/>
  <c r="BH397"/>
  <c r="BG71"/>
  <c r="BG298"/>
  <c r="BG453"/>
  <c r="BH453"/>
  <c r="BG338"/>
  <c r="BG375"/>
  <c r="BH375"/>
  <c r="BG58"/>
  <c r="BG447"/>
  <c r="BH447"/>
  <c r="BG344"/>
  <c r="BG175"/>
  <c r="BG357"/>
  <c r="BH357"/>
  <c r="BG352"/>
  <c r="BG237"/>
  <c r="BG272"/>
  <c r="BG119"/>
  <c r="BG127"/>
  <c r="BG496"/>
  <c r="BH496"/>
  <c r="BG57"/>
  <c r="BG321"/>
  <c r="BG339"/>
  <c r="BG476"/>
  <c r="BH477"/>
  <c r="BG409"/>
  <c r="BH409"/>
  <c r="BG482"/>
  <c r="BG232"/>
  <c r="AY32"/>
  <c r="AY68"/>
  <c r="AY104"/>
  <c r="AY140"/>
  <c r="AY176"/>
  <c r="AY212"/>
  <c r="AY248"/>
  <c r="AY284"/>
  <c r="AY320"/>
  <c r="AY356"/>
  <c r="AY392"/>
  <c r="AY428"/>
  <c r="AY464"/>
  <c r="AY500"/>
  <c r="AY41"/>
  <c r="AY77"/>
  <c r="AY113"/>
  <c r="AY149"/>
  <c r="AY185"/>
  <c r="AY221"/>
  <c r="AY257"/>
  <c r="AY293"/>
  <c r="AY329"/>
  <c r="AY365"/>
  <c r="AY401"/>
  <c r="AY437"/>
  <c r="AY473"/>
  <c r="AY509"/>
  <c r="AY46"/>
  <c r="AY82"/>
  <c r="AY118"/>
  <c r="AY154"/>
  <c r="AY190"/>
  <c r="AY226"/>
  <c r="AY262"/>
  <c r="AY298"/>
  <c r="AY334"/>
  <c r="AY370"/>
  <c r="AY406"/>
  <c r="AY442"/>
  <c r="AY478"/>
  <c r="AY514"/>
  <c r="AY51"/>
  <c r="AY43"/>
  <c r="AY79"/>
  <c r="AY115"/>
  <c r="AY151"/>
  <c r="AY187"/>
  <c r="AY223"/>
  <c r="AY259"/>
  <c r="AY295"/>
  <c r="AY331"/>
  <c r="AY367"/>
  <c r="AY403"/>
  <c r="AY439"/>
  <c r="AY475"/>
  <c r="AY511"/>
  <c r="AY48"/>
  <c r="AY84"/>
  <c r="AY120"/>
  <c r="AY156"/>
  <c r="AY192"/>
  <c r="AY228"/>
  <c r="AY264"/>
  <c r="AY300"/>
  <c r="AY336"/>
  <c r="AY372"/>
  <c r="AY408"/>
  <c r="AY444"/>
  <c r="AY480"/>
  <c r="AY516"/>
  <c r="AY273"/>
  <c r="AY489"/>
  <c r="AY267"/>
  <c r="AY483"/>
  <c r="AY261"/>
  <c r="AY477"/>
  <c r="AY219"/>
  <c r="AY435"/>
  <c r="AY177"/>
  <c r="AY393"/>
  <c r="AY135"/>
  <c r="AY351"/>
  <c r="AY134"/>
  <c r="AY112"/>
  <c r="AY292"/>
  <c r="AY364"/>
  <c r="AY400"/>
  <c r="AY472"/>
  <c r="AY508"/>
  <c r="AY45"/>
  <c r="AY73"/>
  <c r="AY109"/>
  <c r="AY145"/>
  <c r="AY181"/>
  <c r="AY217"/>
  <c r="AY289"/>
  <c r="AY325"/>
  <c r="AY361"/>
  <c r="AY397"/>
  <c r="AY433"/>
  <c r="AY469"/>
  <c r="AY505"/>
  <c r="AY42"/>
  <c r="AY114"/>
  <c r="AY150"/>
  <c r="AY186"/>
  <c r="AY222"/>
  <c r="AY258"/>
  <c r="AY294"/>
  <c r="AY330"/>
  <c r="AY366"/>
  <c r="AY402"/>
  <c r="AY438"/>
  <c r="AY510"/>
  <c r="AY237"/>
  <c r="AY453"/>
  <c r="AY231"/>
  <c r="AY447"/>
  <c r="AY225"/>
  <c r="AY441"/>
  <c r="AY399"/>
  <c r="AY141"/>
  <c r="AY357"/>
  <c r="AY99"/>
  <c r="AY315"/>
  <c r="AY358"/>
  <c r="AY288"/>
  <c r="AY201"/>
  <c r="AY411"/>
  <c r="AY405"/>
  <c r="AY363"/>
  <c r="AY105"/>
  <c r="AY321"/>
  <c r="AY279"/>
  <c r="AY266"/>
  <c r="AY410"/>
  <c r="AY482"/>
  <c r="AY23"/>
  <c r="AY59"/>
  <c r="AY131"/>
  <c r="AY167"/>
  <c r="AY203"/>
  <c r="AY239"/>
  <c r="AY275"/>
  <c r="AY347"/>
  <c r="AY383"/>
  <c r="AY419"/>
  <c r="AY455"/>
  <c r="AY491"/>
  <c r="AY28"/>
  <c r="AY136"/>
  <c r="AY172"/>
  <c r="AY208"/>
  <c r="AY244"/>
  <c r="AY280"/>
  <c r="AY316"/>
  <c r="AY352"/>
  <c r="AY388"/>
  <c r="AY460"/>
  <c r="AY496"/>
  <c r="AY25"/>
  <c r="AY61"/>
  <c r="AY97"/>
  <c r="AY133"/>
  <c r="AY169"/>
  <c r="AY205"/>
  <c r="AY277"/>
  <c r="AY313"/>
  <c r="AY349"/>
  <c r="AY385"/>
  <c r="AY26"/>
  <c r="AY62"/>
  <c r="AY98"/>
  <c r="AY170"/>
  <c r="AY206"/>
  <c r="AY242"/>
  <c r="AY278"/>
  <c r="AY314"/>
  <c r="AY350"/>
  <c r="AY386"/>
  <c r="AY422"/>
  <c r="AY458"/>
  <c r="AY494"/>
  <c r="AY35"/>
  <c r="AY71"/>
  <c r="AY107"/>
  <c r="AY143"/>
  <c r="AY179"/>
  <c r="AY215"/>
  <c r="AY251"/>
  <c r="AY287"/>
  <c r="AY323"/>
  <c r="AY359"/>
  <c r="AY395"/>
  <c r="AY431"/>
  <c r="AY467"/>
  <c r="AY503"/>
  <c r="AY40"/>
  <c r="AY76"/>
  <c r="AY148"/>
  <c r="AY184"/>
  <c r="AY220"/>
  <c r="AY256"/>
  <c r="AY328"/>
  <c r="AY436"/>
  <c r="AY37"/>
  <c r="AY253"/>
  <c r="AY78"/>
  <c r="AY474"/>
  <c r="AY183"/>
  <c r="AY389"/>
  <c r="AY286"/>
  <c r="AY466"/>
  <c r="AY67"/>
  <c r="AY139"/>
  <c r="AY211"/>
  <c r="AY283"/>
  <c r="AY355"/>
  <c r="AY391"/>
  <c r="AY463"/>
  <c r="AY499"/>
  <c r="AY72"/>
  <c r="AY144"/>
  <c r="AY180"/>
  <c r="AY252"/>
  <c r="AY324"/>
  <c r="AY396"/>
  <c r="AY468"/>
  <c r="AY504"/>
  <c r="AY195"/>
  <c r="AY147"/>
  <c r="AY495"/>
  <c r="AY194"/>
  <c r="AY64"/>
  <c r="AY20"/>
  <c r="AY56"/>
  <c r="AY92"/>
  <c r="AY128"/>
  <c r="AY164"/>
  <c r="AY200"/>
  <c r="AY236"/>
  <c r="AY272"/>
  <c r="AY308"/>
  <c r="AY344"/>
  <c r="AY380"/>
  <c r="AY416"/>
  <c r="AY452"/>
  <c r="AY488"/>
  <c r="AY29"/>
  <c r="AY65"/>
  <c r="AY101"/>
  <c r="AY137"/>
  <c r="AY173"/>
  <c r="AY209"/>
  <c r="AY245"/>
  <c r="AY281"/>
  <c r="AY317"/>
  <c r="AY353"/>
  <c r="AY425"/>
  <c r="AY461"/>
  <c r="AY497"/>
  <c r="AY34"/>
  <c r="AY70"/>
  <c r="AY106"/>
  <c r="AY142"/>
  <c r="AY178"/>
  <c r="AY214"/>
  <c r="AY250"/>
  <c r="AY322"/>
  <c r="AY394"/>
  <c r="AY430"/>
  <c r="AY502"/>
  <c r="AY39"/>
  <c r="AY31"/>
  <c r="AY103"/>
  <c r="AY175"/>
  <c r="AY247"/>
  <c r="AY319"/>
  <c r="AY427"/>
  <c r="AY36"/>
  <c r="AY108"/>
  <c r="AY216"/>
  <c r="AY360"/>
  <c r="AY432"/>
  <c r="AY417"/>
  <c r="AY189"/>
  <c r="AY63"/>
  <c r="AY374"/>
  <c r="AY50"/>
  <c r="AY86"/>
  <c r="AY122"/>
  <c r="AY158"/>
  <c r="AY230"/>
  <c r="AY302"/>
  <c r="AY338"/>
  <c r="AY446"/>
  <c r="AY95"/>
  <c r="AY311"/>
  <c r="AY100"/>
  <c r="AY424"/>
  <c r="AY44"/>
  <c r="AY80"/>
  <c r="AY116"/>
  <c r="AY152"/>
  <c r="AY188"/>
  <c r="AY224"/>
  <c r="AY260"/>
  <c r="AY296"/>
  <c r="AY332"/>
  <c r="AY368"/>
  <c r="AY404"/>
  <c r="AY440"/>
  <c r="AY476"/>
  <c r="AY512"/>
  <c r="AY53"/>
  <c r="AY89"/>
  <c r="AY38"/>
  <c r="AY74"/>
  <c r="AY110"/>
  <c r="AY146"/>
  <c r="AY182"/>
  <c r="AY218"/>
  <c r="AY254"/>
  <c r="AY290"/>
  <c r="AY326"/>
  <c r="AY362"/>
  <c r="AY398"/>
  <c r="AY434"/>
  <c r="AY470"/>
  <c r="AY506"/>
  <c r="AY47"/>
  <c r="AY83"/>
  <c r="AY119"/>
  <c r="AY155"/>
  <c r="AY191"/>
  <c r="AY227"/>
  <c r="AY263"/>
  <c r="AY299"/>
  <c r="AY335"/>
  <c r="AY371"/>
  <c r="AY407"/>
  <c r="AY443"/>
  <c r="AY479"/>
  <c r="AY515"/>
  <c r="AY52"/>
  <c r="AY88"/>
  <c r="AY124"/>
  <c r="AY160"/>
  <c r="AY196"/>
  <c r="AY232"/>
  <c r="AY268"/>
  <c r="AY304"/>
  <c r="AY340"/>
  <c r="AY376"/>
  <c r="AY412"/>
  <c r="AY448"/>
  <c r="AY484"/>
  <c r="AY21"/>
  <c r="AY57"/>
  <c r="AY49"/>
  <c r="AY85"/>
  <c r="AY121"/>
  <c r="AY157"/>
  <c r="AY193"/>
  <c r="AY229"/>
  <c r="AY265"/>
  <c r="AY449"/>
  <c r="AY93"/>
  <c r="AY165"/>
  <c r="AY197"/>
  <c r="AY413"/>
  <c r="AY130"/>
  <c r="AY346"/>
  <c r="AY199"/>
  <c r="AY337"/>
  <c r="AY493"/>
  <c r="AY138"/>
  <c r="AY282"/>
  <c r="AY426"/>
  <c r="AY375"/>
  <c r="AY285"/>
  <c r="AY501"/>
  <c r="AY161"/>
  <c r="AY377"/>
  <c r="AY94"/>
  <c r="AY310"/>
  <c r="AY27"/>
  <c r="AY163"/>
  <c r="AY307"/>
  <c r="AY415"/>
  <c r="AY487"/>
  <c r="AY60"/>
  <c r="AY132"/>
  <c r="AY204"/>
  <c r="AY276"/>
  <c r="AY348"/>
  <c r="AY420"/>
  <c r="AY492"/>
  <c r="AY345"/>
  <c r="AY339"/>
  <c r="AY333"/>
  <c r="AY291"/>
  <c r="AY249"/>
  <c r="AY111"/>
  <c r="AY125"/>
  <c r="AY341"/>
  <c r="AY58"/>
  <c r="AY274"/>
  <c r="AY490"/>
  <c r="AY127"/>
  <c r="AY301"/>
  <c r="AY409"/>
  <c r="AY481"/>
  <c r="AY54"/>
  <c r="AY126"/>
  <c r="AY198"/>
  <c r="AY270"/>
  <c r="AY342"/>
  <c r="AY414"/>
  <c r="AY486"/>
  <c r="AY309"/>
  <c r="AY303"/>
  <c r="AY297"/>
  <c r="AY255"/>
  <c r="AY213"/>
  <c r="AY171"/>
  <c r="AY69"/>
  <c r="AY305"/>
  <c r="AY22"/>
  <c r="AY238"/>
  <c r="AY454"/>
  <c r="AY91"/>
  <c r="AY271"/>
  <c r="AY379"/>
  <c r="AY457"/>
  <c r="AY30"/>
  <c r="AY174"/>
  <c r="AY246"/>
  <c r="AY318"/>
  <c r="AY390"/>
  <c r="AY153"/>
  <c r="AY269"/>
  <c r="AY485"/>
  <c r="AY202"/>
  <c r="AY418"/>
  <c r="AY55"/>
  <c r="AY241"/>
  <c r="AY373"/>
  <c r="AY451"/>
  <c r="AY24"/>
  <c r="AY96"/>
  <c r="AY168"/>
  <c r="AY240"/>
  <c r="AY312"/>
  <c r="AY384"/>
  <c r="AY456"/>
  <c r="AY129"/>
  <c r="AY123"/>
  <c r="AY117"/>
  <c r="AY75"/>
  <c r="AY507"/>
  <c r="AY465"/>
  <c r="AY423"/>
  <c r="AY233"/>
  <c r="AY166"/>
  <c r="AY382"/>
  <c r="AY19"/>
  <c r="AY235"/>
  <c r="AY343"/>
  <c r="AY445"/>
  <c r="AY18"/>
  <c r="AY90"/>
  <c r="AY162"/>
  <c r="AY234"/>
  <c r="AY306"/>
  <c r="AY378"/>
  <c r="AY450"/>
  <c r="AY87"/>
  <c r="AY81"/>
  <c r="AY513"/>
  <c r="AY471"/>
  <c r="AY429"/>
  <c r="AY387"/>
  <c r="AY33"/>
  <c r="AY421"/>
  <c r="AY66"/>
  <c r="AY210"/>
  <c r="AY354"/>
  <c r="AY498"/>
  <c r="AY381"/>
  <c r="AY369"/>
  <c r="AY327"/>
  <c r="AY243"/>
  <c r="AY207"/>
  <c r="AY102"/>
  <c r="AY462"/>
  <c r="AY159"/>
  <c r="AY459"/>
  <c r="BG143"/>
  <c r="BG458"/>
  <c r="BG91"/>
  <c r="BG373"/>
  <c r="BG441"/>
  <c r="BG86"/>
  <c r="BG384"/>
  <c r="BG145"/>
  <c r="DF285"/>
  <c r="BG226"/>
  <c r="BG211"/>
  <c r="BG116"/>
  <c r="DF481"/>
  <c r="BG50"/>
  <c r="DF448"/>
  <c r="DF480"/>
  <c r="DB74"/>
  <c r="DB118"/>
  <c r="DB175"/>
  <c r="DB186"/>
  <c r="DB155"/>
  <c r="DB184"/>
  <c r="DB88"/>
  <c r="DB100"/>
  <c r="DB143"/>
  <c r="DB180"/>
  <c r="DB131"/>
  <c r="DB130"/>
  <c r="DB59"/>
  <c r="DB69"/>
  <c r="DB95"/>
  <c r="DB83"/>
  <c r="DB156"/>
  <c r="DB183"/>
  <c r="DB167"/>
  <c r="DF296"/>
  <c r="DF402"/>
  <c r="DF252"/>
  <c r="DF350"/>
  <c r="DF459"/>
  <c r="DF221"/>
  <c r="DF368"/>
  <c r="DF367"/>
  <c r="DF477"/>
  <c r="DF312"/>
  <c r="DF327"/>
  <c r="BG213"/>
  <c r="BG480"/>
  <c r="BG79"/>
  <c r="BG498"/>
  <c r="BG276"/>
  <c r="BG205"/>
  <c r="BG507"/>
  <c r="BG425"/>
  <c r="BG29"/>
  <c r="BG45"/>
  <c r="BG267"/>
  <c r="BG260"/>
  <c r="BG244"/>
  <c r="BG121"/>
  <c r="BG130"/>
  <c r="BG295"/>
  <c r="BG395"/>
  <c r="BG111"/>
  <c r="BG64"/>
  <c r="BG191"/>
  <c r="BG289"/>
  <c r="BG184"/>
  <c r="BG505"/>
  <c r="BG187"/>
  <c r="DB171"/>
  <c r="DB165"/>
  <c r="DB174"/>
  <c r="DB144"/>
  <c r="BG483"/>
  <c r="BG502"/>
  <c r="DB148"/>
  <c r="BG281"/>
  <c r="BG408"/>
  <c r="BG216"/>
  <c r="BG172"/>
  <c r="DB120"/>
  <c r="BG365"/>
  <c r="DB140"/>
  <c r="BG316"/>
  <c r="DB129"/>
  <c r="DB97"/>
  <c r="DB128"/>
  <c r="DB153"/>
  <c r="DB154"/>
  <c r="DB134"/>
  <c r="DB176"/>
  <c r="DB147"/>
  <c r="DB142"/>
  <c r="DB132"/>
  <c r="DB112"/>
  <c r="DB80"/>
  <c r="DB163"/>
  <c r="BG486"/>
  <c r="DB111"/>
  <c r="DB87"/>
  <c r="DB123"/>
  <c r="DB84"/>
  <c r="DB169"/>
  <c r="DB149"/>
  <c r="DB122"/>
  <c r="DB151"/>
  <c r="BG106"/>
  <c r="BG265"/>
  <c r="BG254"/>
  <c r="DB168"/>
  <c r="DB164"/>
  <c r="DB92"/>
  <c r="DB162"/>
  <c r="DB160"/>
  <c r="DB159"/>
  <c r="BG300"/>
  <c r="BG419"/>
  <c r="BG133"/>
  <c r="BG313"/>
  <c r="BG94"/>
  <c r="BG189"/>
  <c r="BG381"/>
  <c r="BG493"/>
  <c r="BG304"/>
  <c r="BG360"/>
  <c r="BG180"/>
  <c r="BG230"/>
  <c r="BG389"/>
  <c r="BG328"/>
  <c r="BG383"/>
  <c r="BG460"/>
  <c r="BG302"/>
  <c r="BG371"/>
  <c r="BG117"/>
  <c r="DF405"/>
  <c r="DF345"/>
  <c r="DF410"/>
  <c r="DF288"/>
  <c r="BG333"/>
  <c r="BG416"/>
  <c r="BG258"/>
  <c r="BG433"/>
  <c r="BG393"/>
  <c r="BG113"/>
  <c r="DF244"/>
  <c r="DF370"/>
  <c r="DF254"/>
  <c r="BG315"/>
  <c r="BG369"/>
  <c r="BG90"/>
  <c r="BG385"/>
  <c r="DF515"/>
  <c r="DF358"/>
  <c r="DF274"/>
  <c r="DF233"/>
  <c r="BG413"/>
  <c r="DF211"/>
  <c r="DF418"/>
  <c r="DF272"/>
  <c r="BG73"/>
  <c r="BG123"/>
  <c r="DF217"/>
  <c r="BG348"/>
  <c r="BG473"/>
  <c r="BG219"/>
  <c r="BG510"/>
  <c r="BG439"/>
  <c r="BG221"/>
  <c r="BG199"/>
  <c r="DF495"/>
  <c r="DF502"/>
  <c r="BG33"/>
  <c r="BG504"/>
  <c r="DF269"/>
  <c r="DF227"/>
  <c r="BG164"/>
  <c r="BG387"/>
  <c r="DF362"/>
  <c r="BG306"/>
  <c r="BG192"/>
  <c r="BG255"/>
  <c r="DF258"/>
  <c r="DF450"/>
  <c r="DF250"/>
  <c r="DF332"/>
  <c r="BG363"/>
  <c r="BG308"/>
  <c r="BG403"/>
  <c r="BG229"/>
  <c r="BG61"/>
  <c r="BG264"/>
  <c r="BG253"/>
  <c r="BG81"/>
  <c r="BG107"/>
  <c r="DF431"/>
  <c r="BG26"/>
  <c r="BG271"/>
  <c r="BG152"/>
  <c r="BG351"/>
  <c r="BG421"/>
  <c r="BG252"/>
  <c r="DF298"/>
  <c r="DF360"/>
  <c r="DF213"/>
  <c r="DF435"/>
  <c r="BG224"/>
  <c r="BG168"/>
  <c r="BG362"/>
  <c r="DF430"/>
  <c r="DF236"/>
  <c r="DF500"/>
  <c r="BG455"/>
  <c r="BG96"/>
  <c r="BG478"/>
  <c r="DF294"/>
  <c r="DF328"/>
  <c r="DF305"/>
  <c r="BG67"/>
  <c r="BG48"/>
  <c r="BG246"/>
  <c r="DF378"/>
  <c r="DF424"/>
  <c r="DF207"/>
  <c r="BG287"/>
  <c r="BG429"/>
  <c r="BG356"/>
  <c r="DF454"/>
  <c r="DF479"/>
  <c r="DF239"/>
  <c r="DF277"/>
  <c r="DD209"/>
  <c r="DD225"/>
  <c r="DG226" s="1"/>
  <c r="DD438"/>
  <c r="BO246"/>
  <c r="BO498"/>
  <c r="BO404"/>
  <c r="DD335"/>
  <c r="DD210"/>
  <c r="DG211" s="1"/>
  <c r="DB200"/>
  <c r="DB234"/>
  <c r="BO351"/>
  <c r="DD412"/>
  <c r="DD224"/>
  <c r="DB303"/>
  <c r="BO135"/>
  <c r="DD398"/>
  <c r="DG399" s="1"/>
  <c r="BO431"/>
  <c r="DD235"/>
  <c r="DG236" s="1"/>
  <c r="DD431"/>
  <c r="DG432" s="1"/>
  <c r="BO149"/>
  <c r="BO129"/>
  <c r="BO245"/>
  <c r="DD516"/>
  <c r="DD343"/>
  <c r="DG344" s="1"/>
  <c r="DD485"/>
  <c r="DB386"/>
  <c r="DB364"/>
  <c r="BO132"/>
  <c r="BO238"/>
  <c r="DD275"/>
  <c r="DG276" s="1"/>
  <c r="DD375"/>
  <c r="DB387"/>
  <c r="DG388" s="1"/>
  <c r="BO368"/>
  <c r="BO426"/>
  <c r="BO485"/>
  <c r="BO295"/>
  <c r="DD301"/>
  <c r="DG302" s="1"/>
  <c r="DD295"/>
  <c r="DG296" s="1"/>
  <c r="BO395"/>
  <c r="DB353"/>
  <c r="DB467"/>
  <c r="DB152"/>
  <c r="DB158"/>
  <c r="DB173"/>
  <c r="DB124"/>
  <c r="DB178"/>
  <c r="DB126"/>
  <c r="DB166"/>
  <c r="DB94"/>
  <c r="DB150"/>
  <c r="BO349"/>
  <c r="BO360"/>
  <c r="BO243"/>
  <c r="DD427"/>
  <c r="DG428" s="1"/>
  <c r="BO465"/>
  <c r="DD307"/>
  <c r="DG308" s="1"/>
  <c r="BO183"/>
  <c r="BO154"/>
  <c r="DD440"/>
  <c r="DD496"/>
  <c r="DG497" s="1"/>
  <c r="DD312"/>
  <c r="DG313" s="1"/>
  <c r="DD304"/>
  <c r="DG305" s="1"/>
  <c r="DD360"/>
  <c r="DG361" s="1"/>
  <c r="DD238"/>
  <c r="DG239" s="1"/>
  <c r="DD500"/>
  <c r="DG501" s="1"/>
  <c r="BO457"/>
  <c r="BO477"/>
  <c r="BO352"/>
  <c r="BO412"/>
  <c r="BO176"/>
  <c r="DD316"/>
  <c r="DG317" s="1"/>
  <c r="DD467"/>
  <c r="BO344"/>
  <c r="BO158"/>
  <c r="BO403"/>
  <c r="BO286"/>
  <c r="BO507"/>
  <c r="DD366"/>
  <c r="DG367" s="1"/>
  <c r="DD248"/>
  <c r="DG249" s="1"/>
  <c r="BO430"/>
  <c r="BO393"/>
  <c r="BO210"/>
  <c r="DD201"/>
  <c r="DG202" s="1"/>
  <c r="DD411"/>
  <c r="DG412" s="1"/>
  <c r="BO180"/>
  <c r="DD466"/>
  <c r="DG467" s="1"/>
  <c r="DD362"/>
  <c r="DG363" s="1"/>
  <c r="DD426"/>
  <c r="DD477"/>
  <c r="DG478" s="1"/>
  <c r="DD229"/>
  <c r="DD511"/>
  <c r="DG512" s="1"/>
  <c r="BO428"/>
  <c r="DB336"/>
  <c r="DB247"/>
  <c r="BO275"/>
  <c r="DB512"/>
  <c r="BO225"/>
  <c r="BO435"/>
  <c r="BO205"/>
  <c r="BO420"/>
  <c r="BO125"/>
  <c r="DD415"/>
  <c r="DG416" s="1"/>
  <c r="DD499"/>
  <c r="DG500" s="1"/>
  <c r="DD420"/>
  <c r="DD222"/>
  <c r="DD318"/>
  <c r="DG319" s="1"/>
  <c r="DD217"/>
  <c r="DG218" s="1"/>
  <c r="DD344"/>
  <c r="DG345" s="1"/>
  <c r="BO499"/>
  <c r="BO399"/>
  <c r="BO206"/>
  <c r="DB209"/>
  <c r="DB388"/>
  <c r="DB420"/>
  <c r="DD423"/>
  <c r="DG424" s="1"/>
  <c r="DD347"/>
  <c r="DG348" s="1"/>
  <c r="DB214"/>
  <c r="DD298"/>
  <c r="DG299" s="1"/>
  <c r="BO212"/>
  <c r="DB508"/>
  <c r="BO25"/>
  <c r="BO268"/>
  <c r="DD334"/>
  <c r="DG335" s="1"/>
  <c r="DD255"/>
  <c r="DG256" s="1"/>
  <c r="BO409"/>
  <c r="BO427"/>
  <c r="DD493"/>
  <c r="DD332"/>
  <c r="DG333" s="1"/>
  <c r="DD507"/>
  <c r="DG508" s="1"/>
  <c r="DD241"/>
  <c r="DD302"/>
  <c r="DD199"/>
  <c r="DG200" s="1"/>
  <c r="DD265"/>
  <c r="DG266" s="1"/>
  <c r="BO343"/>
  <c r="BO385"/>
  <c r="BO171"/>
  <c r="BO363"/>
  <c r="DB412"/>
  <c r="BO233"/>
  <c r="BO466"/>
  <c r="BO279"/>
  <c r="BO192"/>
  <c r="BO151"/>
  <c r="DD382"/>
  <c r="DG383" s="1"/>
  <c r="DD228"/>
  <c r="DG229" s="1"/>
  <c r="BO198"/>
  <c r="BO224"/>
  <c r="DD437"/>
  <c r="DG438" s="1"/>
  <c r="DD403"/>
  <c r="DD305"/>
  <c r="DG306" s="1"/>
  <c r="DD240"/>
  <c r="DD435"/>
  <c r="DG436" s="1"/>
  <c r="DD444"/>
  <c r="DG445" s="1"/>
  <c r="DD247"/>
  <c r="DD192"/>
  <c r="DD259"/>
  <c r="DD393"/>
  <c r="DB302"/>
  <c r="DB286"/>
  <c r="DB376"/>
  <c r="DB202"/>
  <c r="BO491"/>
  <c r="BO496"/>
  <c r="DD498"/>
  <c r="DD457"/>
  <c r="DB313"/>
  <c r="DB222"/>
  <c r="BO255"/>
  <c r="BO141"/>
  <c r="BO330"/>
  <c r="DD487"/>
  <c r="BO204"/>
  <c r="DD322"/>
  <c r="DD350"/>
  <c r="DG351" s="1"/>
  <c r="DD380"/>
  <c r="DD290"/>
  <c r="DD205"/>
  <c r="DG206" s="1"/>
  <c r="DD299"/>
  <c r="DD458"/>
  <c r="DG459" s="1"/>
  <c r="BO179"/>
  <c r="DB185"/>
  <c r="DB177"/>
  <c r="DB161"/>
  <c r="DB172"/>
  <c r="DB146"/>
  <c r="DB119"/>
  <c r="DB125"/>
  <c r="BO463"/>
  <c r="BO259"/>
  <c r="BO235"/>
  <c r="BO460"/>
  <c r="BO442"/>
  <c r="BO241"/>
  <c r="BO163"/>
  <c r="BO217"/>
  <c r="BO418"/>
  <c r="DD413"/>
  <c r="DG414" s="1"/>
  <c r="DD386"/>
  <c r="BO229"/>
  <c r="BO361"/>
  <c r="BO216"/>
  <c r="DD390"/>
  <c r="DG391" s="1"/>
  <c r="DD372"/>
  <c r="DD373"/>
  <c r="DD286"/>
  <c r="DD434"/>
  <c r="DG435" s="1"/>
  <c r="DD361"/>
  <c r="DG362" s="1"/>
  <c r="DD206"/>
  <c r="DG207" s="1"/>
  <c r="DD429"/>
  <c r="DG430" s="1"/>
  <c r="DD198"/>
  <c r="BO389"/>
  <c r="BO156"/>
  <c r="BO199"/>
  <c r="BO169"/>
  <c r="DB399"/>
  <c r="BO175"/>
  <c r="BO184"/>
  <c r="BO207"/>
  <c r="DD446"/>
  <c r="BO237"/>
  <c r="BO299"/>
  <c r="DD489"/>
  <c r="DD251"/>
  <c r="DG252" s="1"/>
  <c r="DD221"/>
  <c r="DG222" s="1"/>
  <c r="DD483"/>
  <c r="DD478"/>
  <c r="DG479" s="1"/>
  <c r="DD327"/>
  <c r="DG328" s="1"/>
  <c r="BO281"/>
  <c r="DB266"/>
  <c r="BO248"/>
  <c r="BO278"/>
  <c r="DD509"/>
  <c r="DG510" s="1"/>
  <c r="DD484"/>
  <c r="DG485" s="1"/>
  <c r="DD433"/>
  <c r="DG434" s="1"/>
  <c r="DD396"/>
  <c r="DG397" s="1"/>
  <c r="DD340"/>
  <c r="DG341" s="1"/>
  <c r="DD278"/>
  <c r="DG279" s="1"/>
  <c r="DD400"/>
  <c r="DG401" s="1"/>
  <c r="BO317"/>
  <c r="DB516"/>
  <c r="DB282"/>
  <c r="BO453"/>
  <c r="DB416"/>
  <c r="DB372"/>
  <c r="DB379"/>
  <c r="BO493"/>
  <c r="BO419"/>
  <c r="DD320"/>
  <c r="DD371"/>
  <c r="DG372" s="1"/>
  <c r="DD262"/>
  <c r="DD245"/>
  <c r="BO290"/>
  <c r="BO134"/>
  <c r="DB323"/>
  <c r="BO396"/>
  <c r="BO373"/>
  <c r="BO23"/>
  <c r="DB408"/>
  <c r="BG310"/>
  <c r="BG263"/>
  <c r="BG98"/>
  <c r="BO407"/>
  <c r="BG22"/>
  <c r="BG471"/>
  <c r="BG201"/>
  <c r="BG150"/>
  <c r="BG166"/>
  <c r="BG169"/>
  <c r="DF464"/>
  <c r="BG350"/>
  <c r="BG198"/>
  <c r="BG291"/>
  <c r="BG451"/>
  <c r="BG391"/>
  <c r="BO308"/>
  <c r="BG240"/>
  <c r="BG92"/>
  <c r="BG324"/>
  <c r="BG208"/>
  <c r="DF414"/>
  <c r="BG60"/>
  <c r="BG102"/>
  <c r="BG233"/>
  <c r="DB299"/>
  <c r="DF257"/>
  <c r="BG104"/>
  <c r="BG89"/>
  <c r="BG464"/>
  <c r="BO118"/>
  <c r="DF475"/>
  <c r="DF407"/>
  <c r="DF205"/>
  <c r="DF466"/>
  <c r="DF432"/>
  <c r="BG494"/>
  <c r="DF295"/>
  <c r="DF253"/>
  <c r="BG242"/>
  <c r="BG23"/>
  <c r="BG223"/>
  <c r="BG312"/>
  <c r="BG337"/>
  <c r="BG179"/>
  <c r="BG467"/>
  <c r="BG174"/>
  <c r="BG335"/>
  <c r="BG325"/>
  <c r="BG426"/>
  <c r="BG77"/>
  <c r="BG209"/>
  <c r="BG268"/>
  <c r="BG400"/>
  <c r="BG239"/>
  <c r="DF383"/>
  <c r="DF469"/>
  <c r="DF363"/>
  <c r="BG153"/>
  <c r="BG247"/>
  <c r="DF422"/>
  <c r="BG275"/>
  <c r="BG55"/>
  <c r="BG320"/>
  <c r="DF279"/>
  <c r="BG428"/>
  <c r="BG431"/>
  <c r="BG262"/>
  <c r="BG355"/>
  <c r="BG178"/>
  <c r="BG435"/>
  <c r="BG105"/>
  <c r="BG500"/>
  <c r="BG282"/>
  <c r="BG231"/>
  <c r="BG42"/>
  <c r="BG147"/>
  <c r="BG181"/>
  <c r="BG462"/>
  <c r="BG206"/>
  <c r="BO459"/>
  <c r="BO155"/>
  <c r="DF397"/>
  <c r="BG53"/>
  <c r="BG257"/>
  <c r="BG144"/>
  <c r="BG495"/>
  <c r="BG468"/>
  <c r="BG457"/>
  <c r="BG359"/>
  <c r="DF341"/>
  <c r="DF476"/>
  <c r="DF359"/>
  <c r="DF492"/>
  <c r="DF471"/>
  <c r="DF419"/>
  <c r="DF361"/>
  <c r="BO21"/>
  <c r="BG25"/>
  <c r="BG368"/>
  <c r="BG37"/>
  <c r="BG24"/>
  <c r="BG54"/>
  <c r="BG501"/>
  <c r="BG309"/>
  <c r="BG297"/>
  <c r="BG432"/>
  <c r="BG66"/>
  <c r="BG215"/>
  <c r="BG56"/>
  <c r="BG270"/>
  <c r="BG401"/>
  <c r="BG52"/>
  <c r="BG466"/>
  <c r="BG307"/>
  <c r="BG367"/>
  <c r="BG349"/>
  <c r="BG459"/>
  <c r="BG47"/>
  <c r="BG146"/>
  <c r="BG69"/>
  <c r="BG183"/>
  <c r="BG469"/>
  <c r="BG220"/>
  <c r="BG34"/>
  <c r="BG506"/>
  <c r="BG411"/>
  <c r="BG165"/>
  <c r="BG139"/>
  <c r="BG103"/>
  <c r="BG200"/>
  <c r="BG406"/>
  <c r="BG511"/>
  <c r="BG234"/>
  <c r="BG74"/>
  <c r="BG78"/>
  <c r="BG195"/>
  <c r="BG222"/>
  <c r="BG248"/>
  <c r="BG388"/>
  <c r="BG440"/>
  <c r="BG256"/>
  <c r="BG354"/>
  <c r="BG380"/>
  <c r="BG474"/>
  <c r="DD374"/>
  <c r="BO167"/>
  <c r="BO445"/>
  <c r="DF334"/>
  <c r="DF406"/>
  <c r="DF395"/>
  <c r="DF226"/>
  <c r="DF261"/>
  <c r="DF194"/>
  <c r="DF212"/>
  <c r="DF297"/>
  <c r="DF433"/>
  <c r="DF428"/>
  <c r="BG194"/>
  <c r="BG405"/>
  <c r="BG39"/>
  <c r="BG110"/>
  <c r="BG161"/>
  <c r="BG72"/>
  <c r="BG171"/>
  <c r="BG101"/>
  <c r="BG319"/>
  <c r="BG377"/>
  <c r="BG514"/>
  <c r="BG204"/>
  <c r="BG412"/>
  <c r="BG49"/>
  <c r="BG97"/>
  <c r="BG323"/>
  <c r="BG288"/>
  <c r="BG422"/>
  <c r="BG430"/>
  <c r="BG149"/>
  <c r="BG122"/>
  <c r="BG225"/>
  <c r="BG43"/>
  <c r="BG427"/>
  <c r="BG148"/>
  <c r="BG68"/>
  <c r="BG456"/>
  <c r="BG465"/>
  <c r="BG142"/>
  <c r="BG463"/>
  <c r="BG479"/>
  <c r="DF316"/>
  <c r="DF396"/>
  <c r="DF451"/>
  <c r="DF197"/>
  <c r="DF496"/>
  <c r="DF344"/>
  <c r="DF434"/>
  <c r="DF326"/>
  <c r="DF308"/>
  <c r="DF190"/>
  <c r="BG85"/>
  <c r="BG138"/>
  <c r="BG299"/>
  <c r="BG454"/>
  <c r="BG44"/>
  <c r="BG472"/>
  <c r="BG167"/>
  <c r="BG185"/>
  <c r="BG132"/>
  <c r="BG151"/>
  <c r="BG283"/>
  <c r="BG241"/>
  <c r="BG274"/>
  <c r="BG290"/>
  <c r="BG292"/>
  <c r="BG294"/>
  <c r="BG340"/>
  <c r="BG93"/>
  <c r="BG512"/>
  <c r="BG228"/>
  <c r="BG452"/>
  <c r="BG131"/>
  <c r="BG296"/>
  <c r="BG245"/>
  <c r="BG407"/>
  <c r="BG366"/>
  <c r="BG392"/>
  <c r="BG503"/>
  <c r="BG434"/>
  <c r="BG481"/>
  <c r="BG80"/>
  <c r="BG87"/>
  <c r="BG207"/>
  <c r="DF256"/>
  <c r="DF315"/>
  <c r="DF369"/>
  <c r="DF366"/>
  <c r="DF357"/>
  <c r="DF444"/>
  <c r="DF331"/>
  <c r="DF251"/>
  <c r="DF191"/>
  <c r="DF255"/>
  <c r="DF275"/>
  <c r="DF411"/>
  <c r="DF325"/>
  <c r="DF436"/>
  <c r="DF501"/>
  <c r="BG251"/>
  <c r="BG28"/>
  <c r="BG273"/>
  <c r="BG424"/>
  <c r="BG197"/>
  <c r="BG136"/>
  <c r="BG446"/>
  <c r="BG358"/>
  <c r="BG21"/>
  <c r="BG415"/>
  <c r="BG249"/>
  <c r="BG88"/>
  <c r="BG186"/>
  <c r="BG212"/>
  <c r="BG305"/>
  <c r="BG414"/>
  <c r="BG448"/>
  <c r="BG95"/>
  <c r="BG134"/>
  <c r="BG129"/>
  <c r="BG182"/>
  <c r="BG190"/>
  <c r="BG266"/>
  <c r="BG382"/>
  <c r="BG280"/>
  <c r="BG32"/>
  <c r="BG314"/>
  <c r="BG420"/>
  <c r="BG361"/>
  <c r="BG75"/>
  <c r="BG279"/>
  <c r="DF278"/>
  <c r="DF289"/>
  <c r="DF415"/>
  <c r="DF507"/>
  <c r="DF445"/>
  <c r="DF371"/>
  <c r="DF401"/>
  <c r="DF249"/>
  <c r="DF216"/>
  <c r="DF206"/>
  <c r="DF228"/>
  <c r="DF382"/>
  <c r="DF218"/>
  <c r="DF243"/>
  <c r="BG410"/>
  <c r="BG497"/>
  <c r="BG322"/>
  <c r="BG63"/>
  <c r="BG125"/>
  <c r="BG343"/>
  <c r="BG379"/>
  <c r="BG115"/>
  <c r="BG492"/>
  <c r="BG491"/>
  <c r="BG332"/>
  <c r="BG311"/>
  <c r="BG331"/>
  <c r="BG99"/>
  <c r="BG470"/>
  <c r="BG513"/>
  <c r="BG70"/>
  <c r="BG83"/>
  <c r="BG346"/>
  <c r="BG477"/>
  <c r="BG396"/>
  <c r="BG82"/>
  <c r="BG364"/>
  <c r="BG261"/>
  <c r="BG173"/>
  <c r="BG214"/>
  <c r="BG390"/>
  <c r="BG372"/>
  <c r="BG487"/>
  <c r="BG76"/>
  <c r="BG499"/>
  <c r="BG329"/>
  <c r="BG370"/>
  <c r="DF497"/>
  <c r="DF470"/>
  <c r="DF514"/>
  <c r="DF478"/>
  <c r="DF276"/>
  <c r="DF491"/>
  <c r="DF307"/>
  <c r="DF208"/>
  <c r="DF425"/>
  <c r="DF306"/>
  <c r="DF465"/>
  <c r="BG218"/>
  <c r="BG41"/>
  <c r="BG156"/>
  <c r="BG31"/>
  <c r="BG376"/>
  <c r="BG450"/>
  <c r="BG327"/>
  <c r="BG353"/>
  <c r="BG438"/>
  <c r="BG18"/>
  <c r="BK18" s="1"/>
  <c r="BG19"/>
  <c r="BG20"/>
  <c r="BG341"/>
  <c r="BG284"/>
  <c r="BG402"/>
  <c r="BG347"/>
  <c r="BG418"/>
  <c r="BG59"/>
  <c r="BG399"/>
  <c r="BG417"/>
  <c r="BG177"/>
  <c r="BG442"/>
  <c r="BG374"/>
  <c r="BG51"/>
  <c r="BG301"/>
  <c r="BG65"/>
  <c r="BG227"/>
  <c r="BG259"/>
  <c r="BG303"/>
  <c r="BG188"/>
  <c r="BG235"/>
  <c r="BG46"/>
  <c r="BG386"/>
  <c r="BG394"/>
  <c r="BG269"/>
  <c r="BG317"/>
  <c r="BG238"/>
  <c r="BG336"/>
  <c r="BG108"/>
  <c r="BG334"/>
  <c r="BG112"/>
  <c r="BG210"/>
  <c r="BG120"/>
  <c r="BG128"/>
  <c r="DF280"/>
  <c r="DF398"/>
  <c r="DF455"/>
  <c r="DF301"/>
  <c r="DF271"/>
  <c r="DF270"/>
  <c r="DF429"/>
  <c r="DF437"/>
  <c r="DF333"/>
  <c r="DF273"/>
  <c r="DF449"/>
  <c r="DF423"/>
  <c r="BG163"/>
  <c r="BG36"/>
  <c r="BG490"/>
  <c r="BG485"/>
  <c r="BG176"/>
  <c r="BG203"/>
  <c r="BG286"/>
  <c r="BG345"/>
  <c r="BG509"/>
  <c r="BG398"/>
  <c r="BO193"/>
  <c r="DB460"/>
  <c r="DB342"/>
  <c r="DB488"/>
  <c r="DB229"/>
  <c r="DB446"/>
  <c r="BO378"/>
  <c r="BO475"/>
  <c r="BO372"/>
  <c r="DB391"/>
  <c r="DB373"/>
  <c r="DB374"/>
  <c r="BO32"/>
  <c r="BO34"/>
  <c r="BO31"/>
  <c r="DD452"/>
  <c r="DD213"/>
  <c r="DG214" s="1"/>
  <c r="DB457"/>
  <c r="BO121"/>
  <c r="BO249"/>
  <c r="BO305"/>
  <c r="BO128"/>
  <c r="BO423"/>
  <c r="BO489"/>
  <c r="DD470"/>
  <c r="DG471" s="1"/>
  <c r="DD358"/>
  <c r="DG359" s="1"/>
  <c r="DD506"/>
  <c r="DG507" s="1"/>
  <c r="BO269"/>
  <c r="BO119"/>
  <c r="DD308"/>
  <c r="DG309" s="1"/>
  <c r="DD297"/>
  <c r="DG298" s="1"/>
  <c r="DD215"/>
  <c r="DG216" s="1"/>
  <c r="DD193"/>
  <c r="DG194" s="1"/>
  <c r="DD459"/>
  <c r="DG460" s="1"/>
  <c r="DD264"/>
  <c r="DD345"/>
  <c r="DG346" s="1"/>
  <c r="DD465"/>
  <c r="DG466" s="1"/>
  <c r="DD317"/>
  <c r="DD226"/>
  <c r="DG227" s="1"/>
  <c r="DD460"/>
  <c r="DD337"/>
  <c r="DG338" s="1"/>
  <c r="DD269"/>
  <c r="DG270" s="1"/>
  <c r="DD512"/>
  <c r="DB241"/>
  <c r="DB348"/>
  <c r="BO483"/>
  <c r="BO327"/>
  <c r="BO288"/>
  <c r="BO260"/>
  <c r="DD495"/>
  <c r="DG496" s="1"/>
  <c r="DD475"/>
  <c r="DG476" s="1"/>
  <c r="DD408"/>
  <c r="DD410"/>
  <c r="DG411" s="1"/>
  <c r="DD341"/>
  <c r="DG342" s="1"/>
  <c r="DD330"/>
  <c r="DG331" s="1"/>
  <c r="DD268"/>
  <c r="DG269" s="1"/>
  <c r="DD476"/>
  <c r="DG477" s="1"/>
  <c r="DD482"/>
  <c r="BO331"/>
  <c r="DB493"/>
  <c r="DD502"/>
  <c r="DG503" s="1"/>
  <c r="BO203"/>
  <c r="DD311"/>
  <c r="DG312" s="1"/>
  <c r="DD441"/>
  <c r="BO222"/>
  <c r="BO429"/>
  <c r="BO348"/>
  <c r="DD468"/>
  <c r="DG469" s="1"/>
  <c r="DD407"/>
  <c r="DG408" s="1"/>
  <c r="BO234"/>
  <c r="DD256"/>
  <c r="DG257" s="1"/>
  <c r="DD365"/>
  <c r="DG366" s="1"/>
  <c r="DD253"/>
  <c r="DG254" s="1"/>
  <c r="DD310"/>
  <c r="DD252"/>
  <c r="DG253" s="1"/>
  <c r="BO274"/>
  <c r="DB339"/>
  <c r="BO470"/>
  <c r="BO28"/>
  <c r="DB375"/>
  <c r="DD422"/>
  <c r="DG423" s="1"/>
  <c r="DD191"/>
  <c r="DG192" s="1"/>
  <c r="DD504"/>
  <c r="DG505" s="1"/>
  <c r="DD354"/>
  <c r="DG355" s="1"/>
  <c r="DD381"/>
  <c r="DG382" s="1"/>
  <c r="DD219"/>
  <c r="DD388"/>
  <c r="DB380"/>
  <c r="DB472"/>
  <c r="DG473" s="1"/>
  <c r="DD227"/>
  <c r="DG228" s="1"/>
  <c r="DD384"/>
  <c r="DD486"/>
  <c r="DG487" s="1"/>
  <c r="DD282"/>
  <c r="DD207"/>
  <c r="DG208" s="1"/>
  <c r="BO425"/>
  <c r="DB62"/>
  <c r="DB157"/>
  <c r="DB187"/>
  <c r="BO508"/>
  <c r="BO27"/>
  <c r="DD266"/>
  <c r="DD296"/>
  <c r="DG297" s="1"/>
  <c r="DD451"/>
  <c r="DG452" s="1"/>
  <c r="DD480"/>
  <c r="DG481" s="1"/>
  <c r="DD432"/>
  <c r="DG433" s="1"/>
  <c r="DB145"/>
  <c r="BO501"/>
  <c r="BO336"/>
  <c r="DB61"/>
  <c r="DB188"/>
  <c r="DB77"/>
  <c r="DB138"/>
  <c r="DB121"/>
  <c r="BO250"/>
  <c r="DD359"/>
  <c r="DG360" s="1"/>
  <c r="DD469"/>
  <c r="DG470" s="1"/>
  <c r="DD357"/>
  <c r="DG358" s="1"/>
  <c r="DD439"/>
  <c r="DG440" s="1"/>
  <c r="DD339"/>
  <c r="DD479"/>
  <c r="DG480" s="1"/>
  <c r="DD406"/>
  <c r="DG407" s="1"/>
  <c r="DB127"/>
  <c r="DB139"/>
  <c r="DB133"/>
  <c r="BO200"/>
  <c r="DD474"/>
  <c r="DG475" s="1"/>
  <c r="DD315"/>
  <c r="DG316" s="1"/>
  <c r="DD306"/>
  <c r="DG307" s="1"/>
  <c r="DB136"/>
  <c r="DB170"/>
  <c r="DB182"/>
  <c r="BO315"/>
  <c r="BO284"/>
  <c r="DD272"/>
  <c r="DG273" s="1"/>
  <c r="DD250"/>
  <c r="DG251" s="1"/>
  <c r="DD402"/>
  <c r="DG403" s="1"/>
  <c r="BO147"/>
  <c r="BO264"/>
  <c r="DB462"/>
  <c r="BO334"/>
  <c r="DD279"/>
  <c r="DG280" s="1"/>
  <c r="BO164"/>
  <c r="DD203"/>
  <c r="DD391"/>
  <c r="DB384"/>
  <c r="BO356"/>
  <c r="BO325"/>
  <c r="DD333"/>
  <c r="DG334" s="1"/>
  <c r="DD276"/>
  <c r="DG277" s="1"/>
  <c r="DD448"/>
  <c r="DG449" s="1"/>
  <c r="BO353"/>
  <c r="DD376"/>
  <c r="DD288"/>
  <c r="DG289" s="1"/>
  <c r="DD481"/>
  <c r="DG482" s="1"/>
  <c r="DD323"/>
  <c r="DD283"/>
  <c r="DD494"/>
  <c r="DG495" s="1"/>
  <c r="BO22"/>
  <c r="BO408"/>
  <c r="DB309"/>
  <c r="BO297"/>
  <c r="BO26"/>
  <c r="BO18"/>
  <c r="BO159"/>
  <c r="BO277"/>
  <c r="BO494"/>
  <c r="BO503"/>
  <c r="BO380"/>
  <c r="BO304"/>
  <c r="BO447"/>
  <c r="BO211"/>
  <c r="DD453"/>
  <c r="DG454" s="1"/>
  <c r="DD394"/>
  <c r="DG395" s="1"/>
  <c r="DD291"/>
  <c r="DG292" s="1"/>
  <c r="DD491"/>
  <c r="DG492" s="1"/>
  <c r="DD401"/>
  <c r="DG402" s="1"/>
  <c r="BO242"/>
  <c r="BO195"/>
  <c r="BO505"/>
  <c r="DD377"/>
  <c r="DG378" s="1"/>
  <c r="DD319"/>
  <c r="DD261"/>
  <c r="DG262" s="1"/>
  <c r="BO138"/>
  <c r="DD348"/>
  <c r="DD188"/>
  <c r="DD471"/>
  <c r="DG472" s="1"/>
  <c r="DD200"/>
  <c r="DD421"/>
  <c r="DG422" s="1"/>
  <c r="DD447"/>
  <c r="DG448" s="1"/>
  <c r="DD271"/>
  <c r="DG272" s="1"/>
  <c r="DD515"/>
  <c r="DG516" s="1"/>
  <c r="DD324"/>
  <c r="DG325" s="1"/>
  <c r="DD223"/>
  <c r="DG224" s="1"/>
  <c r="DD443"/>
  <c r="DG444" s="1"/>
  <c r="DD456"/>
  <c r="DD424"/>
  <c r="DG425" s="1"/>
  <c r="BO366"/>
  <c r="BO365"/>
  <c r="BO456"/>
  <c r="BO468"/>
  <c r="DB441"/>
  <c r="DB263"/>
  <c r="DD321"/>
  <c r="DG322" s="1"/>
  <c r="DD367"/>
  <c r="DG368" s="1"/>
  <c r="DD260"/>
  <c r="DG261" s="1"/>
  <c r="DD263"/>
  <c r="BO214"/>
  <c r="BO123"/>
  <c r="BO313"/>
  <c r="BO514"/>
  <c r="BO20"/>
  <c r="BO251"/>
  <c r="DD488"/>
  <c r="DD417"/>
  <c r="DG418" s="1"/>
  <c r="DD392"/>
  <c r="DG393" s="1"/>
  <c r="DD202"/>
  <c r="DD490"/>
  <c r="DG491" s="1"/>
  <c r="DD355"/>
  <c r="DD196"/>
  <c r="DG197" s="1"/>
  <c r="DD280"/>
  <c r="DG281" s="1"/>
  <c r="BO306"/>
  <c r="BO220"/>
  <c r="DD197"/>
  <c r="DG198" s="1"/>
  <c r="DD455"/>
  <c r="DG456" s="1"/>
  <c r="DD497"/>
  <c r="DG498" s="1"/>
  <c r="BO464"/>
  <c r="DD450"/>
  <c r="DG451" s="1"/>
  <c r="DD236"/>
  <c r="DG237" s="1"/>
  <c r="DD416"/>
  <c r="DD510"/>
  <c r="DD194"/>
  <c r="DG195" s="1"/>
  <c r="DD425"/>
  <c r="DG426" s="1"/>
  <c r="DD501"/>
  <c r="DG502" s="1"/>
  <c r="DD462"/>
  <c r="DD463"/>
  <c r="DG464" s="1"/>
  <c r="DD379"/>
  <c r="DD243"/>
  <c r="DG244" s="1"/>
  <c r="DD284"/>
  <c r="DG285" s="1"/>
  <c r="DD216"/>
  <c r="DG217" s="1"/>
  <c r="DD409"/>
  <c r="DG410" s="1"/>
  <c r="DD273"/>
  <c r="DG274" s="1"/>
  <c r="DD204"/>
  <c r="DG205" s="1"/>
  <c r="DD190"/>
  <c r="DG191" s="1"/>
  <c r="DD338"/>
  <c r="DG339" s="1"/>
  <c r="BO416"/>
  <c r="DB426"/>
  <c r="DB346"/>
  <c r="DB137"/>
  <c r="BO472"/>
  <c r="DB355"/>
  <c r="DB141"/>
  <c r="DB335"/>
  <c r="BO170"/>
  <c r="BO311"/>
  <c r="BO432"/>
  <c r="BO391"/>
  <c r="BO401"/>
  <c r="DD449"/>
  <c r="DG450" s="1"/>
  <c r="DD287"/>
  <c r="DG288" s="1"/>
  <c r="BO324"/>
  <c r="BO253"/>
  <c r="BO342"/>
  <c r="BO120"/>
  <c r="DD258"/>
  <c r="DG259" s="1"/>
  <c r="DD370"/>
  <c r="DG371" s="1"/>
  <c r="DD326"/>
  <c r="DG327" s="1"/>
  <c r="DD244"/>
  <c r="DG245" s="1"/>
  <c r="DD230"/>
  <c r="DG231" s="1"/>
  <c r="DD397"/>
  <c r="DG398" s="1"/>
  <c r="DD314"/>
  <c r="DG315" s="1"/>
  <c r="DD346"/>
  <c r="DD454"/>
  <c r="DG455" s="1"/>
  <c r="DD461"/>
  <c r="DG462" s="1"/>
  <c r="DD277"/>
  <c r="DG278" s="1"/>
  <c r="DD383"/>
  <c r="DG384" s="1"/>
  <c r="DD214"/>
  <c r="DD274"/>
  <c r="DG275" s="1"/>
  <c r="DD399"/>
  <c r="DD492"/>
  <c r="DG493" s="1"/>
  <c r="DD505"/>
  <c r="DD257"/>
  <c r="DG258" s="1"/>
  <c r="DB452"/>
  <c r="BO307"/>
  <c r="DB473"/>
  <c r="BO257"/>
  <c r="BO215"/>
  <c r="BO478"/>
  <c r="DB329"/>
  <c r="DB503"/>
  <c r="DD473"/>
  <c r="DD309"/>
  <c r="DD336"/>
  <c r="DD220"/>
  <c r="DG221" s="1"/>
  <c r="DD508"/>
  <c r="DD405"/>
  <c r="DG406" s="1"/>
  <c r="DD436"/>
  <c r="DG437" s="1"/>
  <c r="DD351"/>
  <c r="DB482"/>
  <c r="DG483" s="1"/>
  <c r="BO434"/>
  <c r="BO283"/>
  <c r="DB319"/>
  <c r="DB292"/>
  <c r="DB203"/>
  <c r="DD442"/>
  <c r="BO256"/>
  <c r="DB237"/>
  <c r="DD513"/>
  <c r="DG514" s="1"/>
  <c r="DD292"/>
  <c r="DD237"/>
  <c r="DD232"/>
  <c r="DG233" s="1"/>
  <c r="DB310"/>
  <c r="DB351"/>
  <c r="BO495"/>
  <c r="DB245"/>
  <c r="BO185"/>
  <c r="BO29"/>
  <c r="BO133"/>
  <c r="DD313"/>
  <c r="DD231"/>
  <c r="DD234"/>
  <c r="DD356"/>
  <c r="DG357" s="1"/>
  <c r="DD254"/>
  <c r="DG255" s="1"/>
  <c r="DD414"/>
  <c r="DG415" s="1"/>
  <c r="DD325"/>
  <c r="DG326" s="1"/>
  <c r="DD267"/>
  <c r="DD242"/>
  <c r="DG243" s="1"/>
  <c r="DD189"/>
  <c r="DG190" s="1"/>
  <c r="DD249"/>
  <c r="DG250" s="1"/>
  <c r="DD212"/>
  <c r="DG213" s="1"/>
  <c r="DD342"/>
  <c r="DD369"/>
  <c r="DG370" s="1"/>
  <c r="DD195"/>
  <c r="DD464"/>
  <c r="DG465" s="1"/>
  <c r="DD418"/>
  <c r="DG419" s="1"/>
  <c r="DD218"/>
  <c r="DG219" s="1"/>
  <c r="DD270"/>
  <c r="DG271" s="1"/>
  <c r="DD514"/>
  <c r="DG515" s="1"/>
  <c r="BO178"/>
  <c r="BO462"/>
  <c r="BO362"/>
  <c r="BO323"/>
  <c r="BO188"/>
  <c r="BO273"/>
  <c r="DB442"/>
  <c r="BO476"/>
  <c r="BO252"/>
  <c r="BO400"/>
  <c r="BO148"/>
  <c r="BO512"/>
  <c r="BO433"/>
  <c r="BO384"/>
  <c r="BO320"/>
  <c r="BO410"/>
  <c r="DB498"/>
  <c r="DD364"/>
  <c r="DD503"/>
  <c r="DD329"/>
  <c r="DD239"/>
  <c r="DG240" s="1"/>
  <c r="DD293"/>
  <c r="DG294" s="1"/>
  <c r="DD353"/>
  <c r="BO165"/>
  <c r="BO364"/>
  <c r="DB322"/>
  <c r="DB262"/>
  <c r="DG263" s="1"/>
  <c r="BO24"/>
  <c r="DB195"/>
  <c r="BO292"/>
  <c r="BO480"/>
  <c r="BO333"/>
  <c r="DD328"/>
  <c r="DG329" s="1"/>
  <c r="DB389"/>
  <c r="BO394"/>
  <c r="BO474"/>
  <c r="DD303"/>
  <c r="BO513"/>
  <c r="BO190"/>
  <c r="DB224"/>
  <c r="DB483"/>
  <c r="BO181"/>
  <c r="BO276"/>
  <c r="DB320"/>
  <c r="BO182"/>
  <c r="DB283"/>
  <c r="DB240"/>
  <c r="DB264"/>
  <c r="DB219"/>
  <c r="BO270"/>
  <c r="BO303"/>
  <c r="DB485"/>
  <c r="BO355"/>
  <c r="DB259"/>
  <c r="DB198"/>
  <c r="BO448"/>
  <c r="BO139"/>
  <c r="DD349"/>
  <c r="DG350" s="1"/>
  <c r="BO231"/>
  <c r="DB403"/>
  <c r="BO226"/>
  <c r="BO310"/>
  <c r="BO189"/>
  <c r="BO247"/>
  <c r="BO479"/>
  <c r="BO337"/>
  <c r="DB267"/>
  <c r="BO490"/>
  <c r="BO146"/>
  <c r="DB440"/>
  <c r="DG441" s="1"/>
  <c r="DB281"/>
  <c r="DG282" s="1"/>
  <c r="BO272"/>
  <c r="BO293"/>
  <c r="BO232"/>
  <c r="DB489"/>
  <c r="DB393"/>
  <c r="DB505"/>
  <c r="DB231"/>
  <c r="BO397"/>
  <c r="BO161"/>
  <c r="BO153"/>
  <c r="BO150"/>
  <c r="BO254"/>
  <c r="BO414"/>
  <c r="BO267"/>
  <c r="BO329"/>
  <c r="BO369"/>
  <c r="BO152"/>
  <c r="BO443"/>
  <c r="BO446"/>
  <c r="BO422"/>
  <c r="BO452"/>
  <c r="DB487"/>
  <c r="BO376"/>
  <c r="BO450"/>
  <c r="BO405"/>
  <c r="BO436"/>
  <c r="BO359"/>
  <c r="BO287"/>
  <c r="DB317"/>
  <c r="DB510"/>
  <c r="BO357"/>
  <c r="BO196"/>
  <c r="BO370"/>
  <c r="BO326"/>
  <c r="DB192"/>
  <c r="BO137"/>
  <c r="DB438"/>
  <c r="BO339"/>
  <c r="BO367"/>
  <c r="BO413"/>
  <c r="BO227"/>
  <c r="BO131"/>
  <c r="BO467"/>
  <c r="BO473"/>
  <c r="DB456"/>
  <c r="DG457" s="1"/>
  <c r="BO455"/>
  <c r="BO124"/>
  <c r="BO510"/>
  <c r="DB290"/>
  <c r="BO289"/>
  <c r="BO296"/>
  <c r="BO406"/>
  <c r="BO157"/>
  <c r="BO424"/>
  <c r="BO449"/>
  <c r="BO126"/>
  <c r="BO417"/>
  <c r="BO469"/>
  <c r="BO382"/>
  <c r="BO127"/>
  <c r="BO358"/>
  <c r="BO506"/>
  <c r="BO377"/>
  <c r="BO381"/>
  <c r="BO219"/>
  <c r="BO314"/>
  <c r="BO346"/>
  <c r="BO454"/>
  <c r="DB63"/>
  <c r="DB91"/>
  <c r="DB115"/>
  <c r="DB75"/>
  <c r="DB93"/>
  <c r="DB103"/>
  <c r="DB81"/>
  <c r="DB82"/>
  <c r="DB110"/>
  <c r="DB68"/>
  <c r="DB90"/>
  <c r="DB64"/>
  <c r="DB86"/>
  <c r="DB60"/>
  <c r="DB109"/>
  <c r="DB104"/>
  <c r="DB96"/>
  <c r="DB79"/>
  <c r="DB85"/>
  <c r="DB76"/>
  <c r="DB99"/>
  <c r="DB116"/>
  <c r="DB78"/>
  <c r="DB114"/>
  <c r="DB107"/>
  <c r="DB98"/>
  <c r="DB117"/>
  <c r="DB101"/>
  <c r="DB106"/>
  <c r="DB70"/>
  <c r="DB105"/>
  <c r="DB65"/>
  <c r="DB102"/>
  <c r="DB113"/>
  <c r="DB108"/>
  <c r="DB58"/>
  <c r="DB66"/>
  <c r="DB57"/>
  <c r="DB32"/>
  <c r="DB49"/>
  <c r="DB38"/>
  <c r="DB34"/>
  <c r="DB46"/>
  <c r="DB45"/>
  <c r="DB55"/>
  <c r="DB53"/>
  <c r="DB42"/>
  <c r="DB54"/>
  <c r="DB56"/>
  <c r="DB51"/>
  <c r="DB52"/>
  <c r="DB41"/>
  <c r="DB30"/>
  <c r="DB35"/>
  <c r="DB36"/>
  <c r="DB31"/>
  <c r="DB29"/>
  <c r="DB20"/>
  <c r="DB72"/>
  <c r="DB48"/>
  <c r="DB47"/>
  <c r="DB40"/>
  <c r="DB27"/>
  <c r="DB37"/>
  <c r="DB33"/>
  <c r="DB44"/>
  <c r="DB39"/>
  <c r="DB50"/>
  <c r="DB43"/>
  <c r="DB24"/>
  <c r="DB19"/>
  <c r="DB18"/>
  <c r="DB28"/>
  <c r="DB25"/>
  <c r="DB26"/>
  <c r="DB22"/>
  <c r="DB23"/>
  <c r="DB21"/>
  <c r="DD129"/>
  <c r="DD124"/>
  <c r="DD163"/>
  <c r="DD149"/>
  <c r="DD169"/>
  <c r="DD157"/>
  <c r="DD120"/>
  <c r="DD159"/>
  <c r="DD170"/>
  <c r="DD144"/>
  <c r="DD175"/>
  <c r="DD145"/>
  <c r="DD123"/>
  <c r="DD160"/>
  <c r="DD156"/>
  <c r="DD146"/>
  <c r="DD140"/>
  <c r="DD162"/>
  <c r="DD118"/>
  <c r="DD150"/>
  <c r="DD125"/>
  <c r="DD126"/>
  <c r="DD166"/>
  <c r="DD134"/>
  <c r="DD178"/>
  <c r="DD174"/>
  <c r="DD158"/>
  <c r="DD143"/>
  <c r="DD133"/>
  <c r="DD138"/>
  <c r="DD181"/>
  <c r="DD186"/>
  <c r="DD167"/>
  <c r="DD119"/>
  <c r="DD164"/>
  <c r="DD173"/>
  <c r="DD161"/>
  <c r="DD182"/>
  <c r="DD121"/>
  <c r="DD180"/>
  <c r="DD183"/>
  <c r="DD185"/>
  <c r="DD187"/>
  <c r="DD148"/>
  <c r="DD153"/>
  <c r="DD147"/>
  <c r="DD141"/>
  <c r="DD176"/>
  <c r="DD142"/>
  <c r="DD128"/>
  <c r="DD131"/>
  <c r="DD184"/>
  <c r="DD179"/>
  <c r="DD172"/>
  <c r="DD165"/>
  <c r="DD139"/>
  <c r="DD152"/>
  <c r="DD137"/>
  <c r="DD127"/>
  <c r="DD135"/>
  <c r="DD154"/>
  <c r="DD122"/>
  <c r="DD168"/>
  <c r="DD155"/>
  <c r="DD132"/>
  <c r="DD130"/>
  <c r="DD136"/>
  <c r="DD151"/>
  <c r="DD103"/>
  <c r="DD78"/>
  <c r="DD90"/>
  <c r="DD91"/>
  <c r="DD114"/>
  <c r="DD94"/>
  <c r="DD73"/>
  <c r="DD85"/>
  <c r="DD102"/>
  <c r="DD55"/>
  <c r="DD70"/>
  <c r="DD105"/>
  <c r="DD61"/>
  <c r="DD115"/>
  <c r="DD54"/>
  <c r="DD96"/>
  <c r="DD93"/>
  <c r="DD66"/>
  <c r="DD64"/>
  <c r="DD65"/>
  <c r="DD67"/>
  <c r="DD62"/>
  <c r="DD77"/>
  <c r="DD116"/>
  <c r="DD101"/>
  <c r="DD35"/>
  <c r="DD39"/>
  <c r="DD32"/>
  <c r="DD29"/>
  <c r="DD20"/>
  <c r="DD19"/>
  <c r="DD23"/>
  <c r="DD25"/>
  <c r="DD18"/>
  <c r="CX18" a="1"/>
  <c r="DG376" l="1"/>
  <c r="DG320"/>
  <c r="DG303"/>
  <c r="DG323"/>
  <c r="DG374"/>
  <c r="DG442"/>
  <c r="DF90"/>
  <c r="DF291"/>
  <c r="DG291"/>
  <c r="DF439"/>
  <c r="DG439"/>
  <c r="DF232"/>
  <c r="DG232"/>
  <c r="DF404"/>
  <c r="DG404"/>
  <c r="DF260"/>
  <c r="DG260"/>
  <c r="DF265"/>
  <c r="DG265"/>
  <c r="DF504"/>
  <c r="DG504"/>
  <c r="DF347"/>
  <c r="DG347"/>
  <c r="DF385"/>
  <c r="DG385"/>
  <c r="DF463"/>
  <c r="DG463"/>
  <c r="DF266"/>
  <c r="DG267"/>
  <c r="DF184"/>
  <c r="DG283"/>
  <c r="DF189"/>
  <c r="DG189"/>
  <c r="DF300"/>
  <c r="DG300"/>
  <c r="DF324"/>
  <c r="DG324"/>
  <c r="DF386"/>
  <c r="DG387"/>
  <c r="DF304"/>
  <c r="DG304"/>
  <c r="DF89"/>
  <c r="DF199"/>
  <c r="DG199"/>
  <c r="DF443"/>
  <c r="DG443"/>
  <c r="DF293"/>
  <c r="DG293"/>
  <c r="DF242"/>
  <c r="DG242"/>
  <c r="DF416"/>
  <c r="DG417"/>
  <c r="DF287"/>
  <c r="DG287"/>
  <c r="DF215"/>
  <c r="DG215"/>
  <c r="DF337"/>
  <c r="DG337"/>
  <c r="DF365"/>
  <c r="DG365"/>
  <c r="DF201"/>
  <c r="DG201"/>
  <c r="DF163"/>
  <c r="DF220"/>
  <c r="DG220"/>
  <c r="DF474"/>
  <c r="DG474"/>
  <c r="DF321"/>
  <c r="DG321"/>
  <c r="DF349"/>
  <c r="DG349"/>
  <c r="DF343"/>
  <c r="DG343"/>
  <c r="DF381"/>
  <c r="DG381"/>
  <c r="DF372"/>
  <c r="DG373"/>
  <c r="DF314"/>
  <c r="DG314"/>
  <c r="DF377"/>
  <c r="DG377"/>
  <c r="DF210"/>
  <c r="DG210"/>
  <c r="DF248"/>
  <c r="DG248"/>
  <c r="DF179"/>
  <c r="DF354"/>
  <c r="DG354"/>
  <c r="DF234"/>
  <c r="DG235"/>
  <c r="DF135"/>
  <c r="DG489"/>
  <c r="DF204"/>
  <c r="DG204"/>
  <c r="DF136"/>
  <c r="DF394"/>
  <c r="DG394"/>
  <c r="DF486"/>
  <c r="DG486"/>
  <c r="DF340"/>
  <c r="DG340"/>
  <c r="DF230"/>
  <c r="DG230"/>
  <c r="DF379"/>
  <c r="DG380"/>
  <c r="DF400"/>
  <c r="DG400"/>
  <c r="DF223"/>
  <c r="DG223"/>
  <c r="DF202"/>
  <c r="DG203"/>
  <c r="DF468"/>
  <c r="DG468"/>
  <c r="DF181"/>
  <c r="DG488"/>
  <c r="DG264"/>
  <c r="DG310"/>
  <c r="DG389"/>
  <c r="DF268"/>
  <c r="DG268"/>
  <c r="DF246"/>
  <c r="DG246"/>
  <c r="DF461"/>
  <c r="DG461"/>
  <c r="DF490"/>
  <c r="DG490"/>
  <c r="DF356"/>
  <c r="DG356"/>
  <c r="DF392"/>
  <c r="DG392"/>
  <c r="DF193"/>
  <c r="DG193"/>
  <c r="DF318"/>
  <c r="DG318"/>
  <c r="DF284"/>
  <c r="DG284"/>
  <c r="DF225"/>
  <c r="DG225"/>
  <c r="DF390"/>
  <c r="DG390"/>
  <c r="DF311"/>
  <c r="DG311"/>
  <c r="DF142"/>
  <c r="DF511"/>
  <c r="DG511"/>
  <c r="DF506"/>
  <c r="DG506"/>
  <c r="DF484"/>
  <c r="DG484"/>
  <c r="DF196"/>
  <c r="DG196"/>
  <c r="DF499"/>
  <c r="DG499"/>
  <c r="DF352"/>
  <c r="DG352"/>
  <c r="DF238"/>
  <c r="DG238"/>
  <c r="DF330"/>
  <c r="DG330"/>
  <c r="DF453"/>
  <c r="DG453"/>
  <c r="DF427"/>
  <c r="DG427"/>
  <c r="DF494"/>
  <c r="DG494"/>
  <c r="DF458"/>
  <c r="DG458"/>
  <c r="DF447"/>
  <c r="DG447"/>
  <c r="DF409"/>
  <c r="DG409"/>
  <c r="DF517"/>
  <c r="DG517"/>
  <c r="DF413"/>
  <c r="DG413"/>
  <c r="DF509"/>
  <c r="DG509"/>
  <c r="DF421"/>
  <c r="DG421"/>
  <c r="DF513"/>
  <c r="DG513"/>
  <c r="DG241"/>
  <c r="DG336"/>
  <c r="DG375"/>
  <c r="DF111"/>
  <c r="CX40"/>
  <c r="CX76"/>
  <c r="CX112"/>
  <c r="CX148"/>
  <c r="CX184"/>
  <c r="CX220"/>
  <c r="CX256"/>
  <c r="CX292"/>
  <c r="CX328"/>
  <c r="CX364"/>
  <c r="CX400"/>
  <c r="CX436"/>
  <c r="CX472"/>
  <c r="CX508"/>
  <c r="CX45"/>
  <c r="CX81"/>
  <c r="CX117"/>
  <c r="CX153"/>
  <c r="CX189"/>
  <c r="CX225"/>
  <c r="CX261"/>
  <c r="CX297"/>
  <c r="CX333"/>
  <c r="CX369"/>
  <c r="CX405"/>
  <c r="CX441"/>
  <c r="CX477"/>
  <c r="CX513"/>
  <c r="CX50"/>
  <c r="CX86"/>
  <c r="CX122"/>
  <c r="CX158"/>
  <c r="CX194"/>
  <c r="CX230"/>
  <c r="CX266"/>
  <c r="CX302"/>
  <c r="CX338"/>
  <c r="CX374"/>
  <c r="CX410"/>
  <c r="CX446"/>
  <c r="CX482"/>
  <c r="CX19"/>
  <c r="CX55"/>
  <c r="CX97"/>
  <c r="CX169"/>
  <c r="CX241"/>
  <c r="CX313"/>
  <c r="CX385"/>
  <c r="CX457"/>
  <c r="CX42"/>
  <c r="CX120"/>
  <c r="CX192"/>
  <c r="CX264"/>
  <c r="CX336"/>
  <c r="CX408"/>
  <c r="CX480"/>
  <c r="CX59"/>
  <c r="CX131"/>
  <c r="CX203"/>
  <c r="CX275"/>
  <c r="CX347"/>
  <c r="CX419"/>
  <c r="CX491"/>
  <c r="CX67"/>
  <c r="CX139"/>
  <c r="CX211"/>
  <c r="CX283"/>
  <c r="CX355"/>
  <c r="CX427"/>
  <c r="CX499"/>
  <c r="CX90"/>
  <c r="CX162"/>
  <c r="CX234"/>
  <c r="CX306"/>
  <c r="CX378"/>
  <c r="CX450"/>
  <c r="CX30"/>
  <c r="CX113"/>
  <c r="CX185"/>
  <c r="CX257"/>
  <c r="CX329"/>
  <c r="CX401"/>
  <c r="CX473"/>
  <c r="CX238"/>
  <c r="CX221"/>
  <c r="CX34"/>
  <c r="CX70"/>
  <c r="CX106"/>
  <c r="CX142"/>
  <c r="CX178"/>
  <c r="CX214"/>
  <c r="CX250"/>
  <c r="CX286"/>
  <c r="CX322"/>
  <c r="CX358"/>
  <c r="CX394"/>
  <c r="CX430"/>
  <c r="CX466"/>
  <c r="CX502"/>
  <c r="CX39"/>
  <c r="CX75"/>
  <c r="CX111"/>
  <c r="CX147"/>
  <c r="CX183"/>
  <c r="CX219"/>
  <c r="CX255"/>
  <c r="CX291"/>
  <c r="CX327"/>
  <c r="CX363"/>
  <c r="CX399"/>
  <c r="CX435"/>
  <c r="CX471"/>
  <c r="CX507"/>
  <c r="CX44"/>
  <c r="CX80"/>
  <c r="CX116"/>
  <c r="CX152"/>
  <c r="CX188"/>
  <c r="CX224"/>
  <c r="CX260"/>
  <c r="CX296"/>
  <c r="CX332"/>
  <c r="CX368"/>
  <c r="CX404"/>
  <c r="CX440"/>
  <c r="CX476"/>
  <c r="CX512"/>
  <c r="CX49"/>
  <c r="CX85"/>
  <c r="CX157"/>
  <c r="CX229"/>
  <c r="CX301"/>
  <c r="CX373"/>
  <c r="CX445"/>
  <c r="CX24"/>
  <c r="CX108"/>
  <c r="CX180"/>
  <c r="CX252"/>
  <c r="CX324"/>
  <c r="CX396"/>
  <c r="CX468"/>
  <c r="CX41"/>
  <c r="CX119"/>
  <c r="CX191"/>
  <c r="CX263"/>
  <c r="CX335"/>
  <c r="CX407"/>
  <c r="CX479"/>
  <c r="CX54"/>
  <c r="CX127"/>
  <c r="CX199"/>
  <c r="CX271"/>
  <c r="CX343"/>
  <c r="CX415"/>
  <c r="CX487"/>
  <c r="CX78"/>
  <c r="CX150"/>
  <c r="CX222"/>
  <c r="CX294"/>
  <c r="CX366"/>
  <c r="CX438"/>
  <c r="CX510"/>
  <c r="CX101"/>
  <c r="CX173"/>
  <c r="CX245"/>
  <c r="CX317"/>
  <c r="CX389"/>
  <c r="CX461"/>
  <c r="CX179"/>
  <c r="CX418"/>
  <c r="CX28"/>
  <c r="CX64"/>
  <c r="CX100"/>
  <c r="CX136"/>
  <c r="CX172"/>
  <c r="CX208"/>
  <c r="CX244"/>
  <c r="CX280"/>
  <c r="CX316"/>
  <c r="CX352"/>
  <c r="CX388"/>
  <c r="CX424"/>
  <c r="CX460"/>
  <c r="CX496"/>
  <c r="CX33"/>
  <c r="CX69"/>
  <c r="CX105"/>
  <c r="CX141"/>
  <c r="CX177"/>
  <c r="CX213"/>
  <c r="CX249"/>
  <c r="CX285"/>
  <c r="CX321"/>
  <c r="CX357"/>
  <c r="CX393"/>
  <c r="CX429"/>
  <c r="CX465"/>
  <c r="CX501"/>
  <c r="CX38"/>
  <c r="CX74"/>
  <c r="CX110"/>
  <c r="CX146"/>
  <c r="CX182"/>
  <c r="CX218"/>
  <c r="CX254"/>
  <c r="CX290"/>
  <c r="CX326"/>
  <c r="CX362"/>
  <c r="CX398"/>
  <c r="CX434"/>
  <c r="CX470"/>
  <c r="CX506"/>
  <c r="CX43"/>
  <c r="CX73"/>
  <c r="CX145"/>
  <c r="CX217"/>
  <c r="CX289"/>
  <c r="CX361"/>
  <c r="CX433"/>
  <c r="CX505"/>
  <c r="CX96"/>
  <c r="CX168"/>
  <c r="CX240"/>
  <c r="CX312"/>
  <c r="CX384"/>
  <c r="CX456"/>
  <c r="CX23"/>
  <c r="CX107"/>
  <c r="CX251"/>
  <c r="CX323"/>
  <c r="CX395"/>
  <c r="CX467"/>
  <c r="CX36"/>
  <c r="CX115"/>
  <c r="CX187"/>
  <c r="CX259"/>
  <c r="CX331"/>
  <c r="CX403"/>
  <c r="CX475"/>
  <c r="CX66"/>
  <c r="CX138"/>
  <c r="CX210"/>
  <c r="CX282"/>
  <c r="CX354"/>
  <c r="CX426"/>
  <c r="CX498"/>
  <c r="CX89"/>
  <c r="CX161"/>
  <c r="CX233"/>
  <c r="CX305"/>
  <c r="CX377"/>
  <c r="CX449"/>
  <c r="CX490"/>
  <c r="CX22"/>
  <c r="CX58"/>
  <c r="CX94"/>
  <c r="CX130"/>
  <c r="CX166"/>
  <c r="CX202"/>
  <c r="CX274"/>
  <c r="CX310"/>
  <c r="CX346"/>
  <c r="CX382"/>
  <c r="CX454"/>
  <c r="CX27"/>
  <c r="CX63"/>
  <c r="CX99"/>
  <c r="CX135"/>
  <c r="CX171"/>
  <c r="CX207"/>
  <c r="CX243"/>
  <c r="CX279"/>
  <c r="CX315"/>
  <c r="CX351"/>
  <c r="CX387"/>
  <c r="CX423"/>
  <c r="CX459"/>
  <c r="CX495"/>
  <c r="CX32"/>
  <c r="CX68"/>
  <c r="CX104"/>
  <c r="CX140"/>
  <c r="CX176"/>
  <c r="CX212"/>
  <c r="CX248"/>
  <c r="CX284"/>
  <c r="CX320"/>
  <c r="CX356"/>
  <c r="CX392"/>
  <c r="CX428"/>
  <c r="CX464"/>
  <c r="CX500"/>
  <c r="CX37"/>
  <c r="CX61"/>
  <c r="CX133"/>
  <c r="CX205"/>
  <c r="CX277"/>
  <c r="CX349"/>
  <c r="CX421"/>
  <c r="CX493"/>
  <c r="CX84"/>
  <c r="CX156"/>
  <c r="CX228"/>
  <c r="CX300"/>
  <c r="CX372"/>
  <c r="CX444"/>
  <c r="CX516"/>
  <c r="CX95"/>
  <c r="CX167"/>
  <c r="CX239"/>
  <c r="CX311"/>
  <c r="CX383"/>
  <c r="CX455"/>
  <c r="CX18"/>
  <c r="CX103"/>
  <c r="CX175"/>
  <c r="CX247"/>
  <c r="CX319"/>
  <c r="CX391"/>
  <c r="CX463"/>
  <c r="CX53"/>
  <c r="CX126"/>
  <c r="CX198"/>
  <c r="CX270"/>
  <c r="CX342"/>
  <c r="CX414"/>
  <c r="CX486"/>
  <c r="CX77"/>
  <c r="CX149"/>
  <c r="CX293"/>
  <c r="CX365"/>
  <c r="CX437"/>
  <c r="CX509"/>
  <c r="CX52"/>
  <c r="CX88"/>
  <c r="CX124"/>
  <c r="CX160"/>
  <c r="CX196"/>
  <c r="CX232"/>
  <c r="CX268"/>
  <c r="CX304"/>
  <c r="CX340"/>
  <c r="CX376"/>
  <c r="CX412"/>
  <c r="CX448"/>
  <c r="CX484"/>
  <c r="CX21"/>
  <c r="CX57"/>
  <c r="CX93"/>
  <c r="CX129"/>
  <c r="CX165"/>
  <c r="CX201"/>
  <c r="CX237"/>
  <c r="CX273"/>
  <c r="CX309"/>
  <c r="CX345"/>
  <c r="CX381"/>
  <c r="CX417"/>
  <c r="CX453"/>
  <c r="CX489"/>
  <c r="CX26"/>
  <c r="CX62"/>
  <c r="CX98"/>
  <c r="CX134"/>
  <c r="CX170"/>
  <c r="CX206"/>
  <c r="CX242"/>
  <c r="CX278"/>
  <c r="CX314"/>
  <c r="CX350"/>
  <c r="CX386"/>
  <c r="CX422"/>
  <c r="CX458"/>
  <c r="CX494"/>
  <c r="CX31"/>
  <c r="CX47"/>
  <c r="CX121"/>
  <c r="CX193"/>
  <c r="CX265"/>
  <c r="CX337"/>
  <c r="CX409"/>
  <c r="CX481"/>
  <c r="CX72"/>
  <c r="CX144"/>
  <c r="CX216"/>
  <c r="CX288"/>
  <c r="CX360"/>
  <c r="CX432"/>
  <c r="CX504"/>
  <c r="CX83"/>
  <c r="CX155"/>
  <c r="CX227"/>
  <c r="CX299"/>
  <c r="CX371"/>
  <c r="CX443"/>
  <c r="CX515"/>
  <c r="CX91"/>
  <c r="CX163"/>
  <c r="CX235"/>
  <c r="CX307"/>
  <c r="CX379"/>
  <c r="CX451"/>
  <c r="CX35"/>
  <c r="CX114"/>
  <c r="CX186"/>
  <c r="CX258"/>
  <c r="CX330"/>
  <c r="CX402"/>
  <c r="CX474"/>
  <c r="CX65"/>
  <c r="CX137"/>
  <c r="CX209"/>
  <c r="CX281"/>
  <c r="CX353"/>
  <c r="CX425"/>
  <c r="CX497"/>
  <c r="CX46"/>
  <c r="CX82"/>
  <c r="CX118"/>
  <c r="CX154"/>
  <c r="CX190"/>
  <c r="CX226"/>
  <c r="CX262"/>
  <c r="CX298"/>
  <c r="CX334"/>
  <c r="CX370"/>
  <c r="CX406"/>
  <c r="CX442"/>
  <c r="CX478"/>
  <c r="CX514"/>
  <c r="CX51"/>
  <c r="CX87"/>
  <c r="CX123"/>
  <c r="CX159"/>
  <c r="CX195"/>
  <c r="CX231"/>
  <c r="CX267"/>
  <c r="CX303"/>
  <c r="CX339"/>
  <c r="CX375"/>
  <c r="CX411"/>
  <c r="CX447"/>
  <c r="CX483"/>
  <c r="CX20"/>
  <c r="CX56"/>
  <c r="CX92"/>
  <c r="CX128"/>
  <c r="CX164"/>
  <c r="CX200"/>
  <c r="CX236"/>
  <c r="CX272"/>
  <c r="CX308"/>
  <c r="CX344"/>
  <c r="CX380"/>
  <c r="CX416"/>
  <c r="CX452"/>
  <c r="CX488"/>
  <c r="CX25"/>
  <c r="CX29"/>
  <c r="CX109"/>
  <c r="CX181"/>
  <c r="CX253"/>
  <c r="CX325"/>
  <c r="CX397"/>
  <c r="CX469"/>
  <c r="CX60"/>
  <c r="CX132"/>
  <c r="CX204"/>
  <c r="CX276"/>
  <c r="CX348"/>
  <c r="CX420"/>
  <c r="CX492"/>
  <c r="CX71"/>
  <c r="CX143"/>
  <c r="CX215"/>
  <c r="CX287"/>
  <c r="CX359"/>
  <c r="CX431"/>
  <c r="CX503"/>
  <c r="CX79"/>
  <c r="CX151"/>
  <c r="CX223"/>
  <c r="CX295"/>
  <c r="CX367"/>
  <c r="CX439"/>
  <c r="CX511"/>
  <c r="CX102"/>
  <c r="CX174"/>
  <c r="CX246"/>
  <c r="CX318"/>
  <c r="CX390"/>
  <c r="CX462"/>
  <c r="CX48"/>
  <c r="CX125"/>
  <c r="CX197"/>
  <c r="CX269"/>
  <c r="CX341"/>
  <c r="CX413"/>
  <c r="CX485"/>
  <c r="DF84"/>
  <c r="DF83"/>
  <c r="DF187"/>
  <c r="DF80"/>
  <c r="DF336"/>
  <c r="DF166"/>
  <c r="DF140"/>
  <c r="DF134"/>
  <c r="DF176"/>
  <c r="DF158"/>
  <c r="DF183"/>
  <c r="DF364"/>
  <c r="DF303"/>
  <c r="DF151"/>
  <c r="DF185"/>
  <c r="DF165"/>
  <c r="DF162"/>
  <c r="DF155"/>
  <c r="DF247"/>
  <c r="DF241"/>
  <c r="DF160"/>
  <c r="DF88"/>
  <c r="DF154"/>
  <c r="DF128"/>
  <c r="DF59"/>
  <c r="DF171"/>
  <c r="DF87"/>
  <c r="DF186"/>
  <c r="DF172"/>
  <c r="DF118"/>
  <c r="DF100"/>
  <c r="DF132"/>
  <c r="DF69"/>
  <c r="DF168"/>
  <c r="DF130"/>
  <c r="DF182"/>
  <c r="DF508"/>
  <c r="DF121"/>
  <c r="DF149"/>
  <c r="DF112"/>
  <c r="DF164"/>
  <c r="DF235"/>
  <c r="DF147"/>
  <c r="DF169"/>
  <c r="DF302"/>
  <c r="DF120"/>
  <c r="DF159"/>
  <c r="DF153"/>
  <c r="DF417"/>
  <c r="DF143"/>
  <c r="DF124"/>
  <c r="DF126"/>
  <c r="DF129"/>
  <c r="DF110"/>
  <c r="DF177"/>
  <c r="DF133"/>
  <c r="DF161"/>
  <c r="DF139"/>
  <c r="DF157"/>
  <c r="DF170"/>
  <c r="DF127"/>
  <c r="DF152"/>
  <c r="DF138"/>
  <c r="DF122"/>
  <c r="DF145"/>
  <c r="DF516"/>
  <c r="DF286"/>
  <c r="DF97"/>
  <c r="DF94"/>
  <c r="DF323"/>
  <c r="DF263"/>
  <c r="DF282"/>
  <c r="DF214"/>
  <c r="DF150"/>
  <c r="DF98"/>
  <c r="DF412"/>
  <c r="DF376"/>
  <c r="DF77"/>
  <c r="DF175"/>
  <c r="DF209"/>
  <c r="DF200"/>
  <c r="DF387"/>
  <c r="DF388"/>
  <c r="DF373"/>
  <c r="DF512"/>
  <c r="DF178"/>
  <c r="DF353"/>
  <c r="DF488"/>
  <c r="DF180"/>
  <c r="DF61"/>
  <c r="DF420"/>
  <c r="DF75"/>
  <c r="DF222"/>
  <c r="DF95"/>
  <c r="DF457"/>
  <c r="DF467"/>
  <c r="DF399"/>
  <c r="DF92"/>
  <c r="DF408"/>
  <c r="DF313"/>
  <c r="DF27"/>
  <c r="DF441"/>
  <c r="DF299"/>
  <c r="DF57"/>
  <c r="DF82"/>
  <c r="DF51"/>
  <c r="DF79"/>
  <c r="DF38"/>
  <c r="DF106"/>
  <c r="DF108"/>
  <c r="DF64"/>
  <c r="DF48"/>
  <c r="DF42"/>
  <c r="DF54"/>
  <c r="DF114"/>
  <c r="DF58"/>
  <c r="DF86"/>
  <c r="DF34"/>
  <c r="DF45"/>
  <c r="DF41"/>
  <c r="DF30"/>
  <c r="DF53"/>
  <c r="DF33"/>
  <c r="DF103"/>
  <c r="DF116"/>
  <c r="DF44"/>
  <c r="DF28"/>
  <c r="DF49"/>
  <c r="DF36"/>
  <c r="DF55"/>
  <c r="DF35"/>
  <c r="DF115"/>
  <c r="DF65"/>
  <c r="DF104"/>
  <c r="DF483"/>
  <c r="DF219"/>
  <c r="DF485"/>
  <c r="DF346"/>
  <c r="DF259"/>
  <c r="DF335"/>
  <c r="DF148"/>
  <c r="DF141"/>
  <c r="DF505"/>
  <c r="DF240"/>
  <c r="DF37"/>
  <c r="DF47"/>
  <c r="DF442"/>
  <c r="DF93"/>
  <c r="DF292"/>
  <c r="DF231"/>
  <c r="DF493"/>
  <c r="DF146"/>
  <c r="DF167"/>
  <c r="DF348"/>
  <c r="DF391"/>
  <c r="DF384"/>
  <c r="DF245"/>
  <c r="DF203"/>
  <c r="DF85"/>
  <c r="DF482"/>
  <c r="DF123"/>
  <c r="DF440"/>
  <c r="DF237"/>
  <c r="DF144"/>
  <c r="DF60"/>
  <c r="DF32"/>
  <c r="DF52"/>
  <c r="DF46"/>
  <c r="DF66"/>
  <c r="DF99"/>
  <c r="DF264"/>
  <c r="DF310"/>
  <c r="DF174"/>
  <c r="DF374"/>
  <c r="DF70"/>
  <c r="DF462"/>
  <c r="DF446"/>
  <c r="DF188"/>
  <c r="DF290"/>
  <c r="DF96"/>
  <c r="DF229"/>
  <c r="DF380"/>
  <c r="DF503"/>
  <c r="DF452"/>
  <c r="DF56"/>
  <c r="DF320"/>
  <c r="DF63"/>
  <c r="DF473"/>
  <c r="DF375"/>
  <c r="DF319"/>
  <c r="DF389"/>
  <c r="DF81"/>
  <c r="DF309"/>
  <c r="DF322"/>
  <c r="DF173"/>
  <c r="DF355"/>
  <c r="DF281"/>
  <c r="DF438"/>
  <c r="DF317"/>
  <c r="DF22"/>
  <c r="DF40"/>
  <c r="DF50"/>
  <c r="DF102"/>
  <c r="DF117"/>
  <c r="DF105"/>
  <c r="DF76"/>
  <c r="DF125"/>
  <c r="DF78"/>
  <c r="DF329"/>
  <c r="DF342"/>
  <c r="DF472"/>
  <c r="DF267"/>
  <c r="DF119"/>
  <c r="DF351"/>
  <c r="DF403"/>
  <c r="DF393"/>
  <c r="DF456"/>
  <c r="DF283"/>
  <c r="DF29"/>
  <c r="DF31"/>
  <c r="DF43"/>
  <c r="DF39"/>
  <c r="DF109"/>
  <c r="DF107"/>
  <c r="DF91"/>
  <c r="DF62"/>
  <c r="DF489"/>
  <c r="DF460"/>
  <c r="DF195"/>
  <c r="DF137"/>
  <c r="DF224"/>
  <c r="DF156"/>
  <c r="DF426"/>
  <c r="DF131"/>
  <c r="DF101"/>
  <c r="DF192"/>
  <c r="DF339"/>
  <c r="DF198"/>
  <c r="DF262"/>
  <c r="DF510"/>
  <c r="DF498"/>
  <c r="DF113"/>
  <c r="DF487"/>
  <c r="DF24"/>
  <c r="DF25"/>
  <c r="DF20"/>
  <c r="DF26"/>
  <c r="DF18"/>
  <c r="DF19"/>
  <c r="DF21"/>
  <c r="DF23"/>
  <c r="DB73"/>
  <c r="DB71"/>
  <c r="DB67"/>
  <c r="Y33" i="5"/>
  <c r="DF74" i="10" l="1"/>
  <c r="DF68"/>
  <c r="DF72"/>
  <c r="DF73"/>
  <c r="DF71"/>
  <c r="DF67"/>
  <c r="Y34" i="5"/>
  <c r="Y40"/>
  <c r="Y46"/>
  <c r="Y35"/>
  <c r="Y29"/>
  <c r="Y48"/>
  <c r="Y36"/>
  <c r="Y30"/>
  <c r="Y43"/>
  <c r="Y37"/>
  <c r="Y31"/>
  <c r="Y44"/>
  <c r="Y38"/>
  <c r="Y32"/>
  <c r="Y45"/>
  <c r="AA28"/>
  <c r="EX6" i="1" l="1"/>
  <c r="EX12"/>
  <c r="EX18"/>
  <c r="EX24"/>
  <c r="EX5"/>
  <c r="EX11"/>
  <c r="EX17"/>
  <c r="EX23"/>
  <c r="EX10"/>
  <c r="EX16"/>
  <c r="EX22"/>
  <c r="EX9"/>
  <c r="EX15"/>
  <c r="EX21"/>
  <c r="EX8"/>
  <c r="EX14"/>
  <c r="EX7"/>
  <c r="EX19"/>
  <c r="EX20"/>
  <c r="EX13"/>
  <c r="AF49" i="5"/>
  <c r="AF48"/>
  <c r="AF44"/>
  <c r="AF45"/>
  <c r="AF46"/>
  <c r="CW13"/>
  <c r="AF47" l="1"/>
  <c r="EV25" i="1"/>
  <c r="EY25" s="1"/>
  <c r="CW14" i="5"/>
  <c r="CW15"/>
  <c r="CW9"/>
  <c r="CW16"/>
  <c r="CW10"/>
  <c r="CW17"/>
  <c r="CW11"/>
  <c r="CW18"/>
  <c r="CW12"/>
  <c r="EX25" i="1" l="1"/>
  <c r="EV26"/>
  <c r="EY26" s="1"/>
  <c r="EW25"/>
  <c r="EX26" l="1"/>
  <c r="EV27"/>
  <c r="EY27" s="1"/>
  <c r="EW26"/>
  <c r="EX27" l="1"/>
  <c r="EV28"/>
  <c r="EY28" s="1"/>
  <c r="EW27"/>
  <c r="EX28" l="1"/>
  <c r="EV29"/>
  <c r="EY29" s="1"/>
  <c r="AF40" i="5"/>
  <c r="AF43"/>
  <c r="AF38"/>
  <c r="AF8"/>
  <c r="EW28" i="1"/>
  <c r="AF39" i="5" l="1"/>
  <c r="AF41"/>
  <c r="AF42" s="1"/>
  <c r="EX29" i="1"/>
  <c r="EV30"/>
  <c r="EY30" s="1"/>
  <c r="BP30" i="5"/>
  <c r="AF10"/>
  <c r="AF9"/>
  <c r="AF11"/>
  <c r="AF5"/>
  <c r="AF12"/>
  <c r="AF6"/>
  <c r="AF7"/>
  <c r="EW29" i="1"/>
  <c r="BP34" i="5" l="1"/>
  <c r="EX30" i="1"/>
  <c r="EV31"/>
  <c r="EY31" s="1"/>
  <c r="BD25" i="5"/>
  <c r="BD26"/>
  <c r="BP31"/>
  <c r="BP32"/>
  <c r="BP33"/>
  <c r="BP42"/>
  <c r="BP40"/>
  <c r="BP38"/>
  <c r="BP41"/>
  <c r="BP36"/>
  <c r="BD37"/>
  <c r="BP35"/>
  <c r="BP43"/>
  <c r="BP39"/>
  <c r="BP37"/>
  <c r="BD32"/>
  <c r="BD34"/>
  <c r="BD39"/>
  <c r="BD35"/>
  <c r="BD41"/>
  <c r="BD38"/>
  <c r="BD36"/>
  <c r="BD40"/>
  <c r="BD33"/>
  <c r="AR29"/>
  <c r="EW30" i="1"/>
  <c r="EX31" l="1"/>
  <c r="EV32"/>
  <c r="EY32" s="1"/>
  <c r="EW31"/>
  <c r="EX32" l="1"/>
  <c r="EV33"/>
  <c r="EY33" s="1"/>
  <c r="EW32"/>
  <c r="EX33" l="1"/>
  <c r="EV34"/>
  <c r="EY34" s="1"/>
  <c r="F10" i="7"/>
  <c r="BN13" s="1"/>
  <c r="J24"/>
  <c r="J23"/>
  <c r="EW33" i="1"/>
  <c r="EX34" l="1"/>
  <c r="EV35"/>
  <c r="EY35" s="1"/>
  <c r="U13" i="7"/>
  <c r="J35"/>
  <c r="EW34" i="1"/>
  <c r="G29" i="5" l="1" a="1"/>
  <c r="EX35" i="1"/>
  <c r="EV36"/>
  <c r="EY36" s="1"/>
  <c r="M24" i="7"/>
  <c r="T6"/>
  <c r="EW35" i="1"/>
  <c r="R142" i="7" l="1"/>
  <c r="R358"/>
  <c r="R75"/>
  <c r="R291"/>
  <c r="R440"/>
  <c r="R239"/>
  <c r="R433"/>
  <c r="R384"/>
  <c r="R172"/>
  <c r="R483"/>
  <c r="R242"/>
  <c r="R500"/>
  <c r="R72"/>
  <c r="R146"/>
  <c r="R410"/>
  <c r="R347"/>
  <c r="R379"/>
  <c r="R60"/>
  <c r="R118"/>
  <c r="R47"/>
  <c r="R352"/>
  <c r="R392"/>
  <c r="R170"/>
  <c r="R163"/>
  <c r="R464"/>
  <c r="R423"/>
  <c r="R398"/>
  <c r="R329"/>
  <c r="R218"/>
  <c r="R491"/>
  <c r="R371"/>
  <c r="R91"/>
  <c r="R395"/>
  <c r="R493"/>
  <c r="R313"/>
  <c r="R164"/>
  <c r="R422"/>
  <c r="R322"/>
  <c r="R39"/>
  <c r="R167"/>
  <c r="R115"/>
  <c r="R54"/>
  <c r="R312"/>
  <c r="R136"/>
  <c r="R130"/>
  <c r="R200"/>
  <c r="R458"/>
  <c r="R469"/>
  <c r="R504"/>
  <c r="R362"/>
  <c r="R179"/>
  <c r="R295"/>
  <c r="R318"/>
  <c r="R492"/>
  <c r="R123"/>
  <c r="R182"/>
  <c r="R268"/>
  <c r="R285"/>
  <c r="R266"/>
  <c r="R175"/>
  <c r="R479"/>
  <c r="R221"/>
  <c r="R357"/>
  <c r="R213"/>
  <c r="R314"/>
  <c r="R103"/>
  <c r="R396"/>
  <c r="R323"/>
  <c r="R288"/>
  <c r="R308"/>
  <c r="R462"/>
  <c r="R468"/>
  <c r="R241"/>
  <c r="R113"/>
  <c r="R472"/>
  <c r="R380"/>
  <c r="R467"/>
  <c r="R133"/>
  <c r="R502"/>
  <c r="R219"/>
  <c r="R435"/>
  <c r="R41"/>
  <c r="R475"/>
  <c r="R414"/>
  <c r="R100"/>
  <c r="R82"/>
  <c r="R376"/>
  <c r="R135"/>
  <c r="R416"/>
  <c r="R275"/>
  <c r="R307"/>
  <c r="R420"/>
  <c r="R232"/>
  <c r="R83"/>
  <c r="R211"/>
  <c r="R234"/>
  <c r="R490"/>
  <c r="R56"/>
  <c r="R201"/>
  <c r="R176"/>
  <c r="R407"/>
  <c r="R154"/>
  <c r="R125"/>
  <c r="R360"/>
  <c r="R180"/>
  <c r="R419"/>
  <c r="R474"/>
  <c r="R132"/>
  <c r="R484"/>
  <c r="R253"/>
  <c r="R105"/>
  <c r="R282"/>
  <c r="R294"/>
  <c r="R485"/>
  <c r="R415"/>
  <c r="R148"/>
  <c r="R424"/>
  <c r="R189"/>
  <c r="R287"/>
  <c r="R90"/>
  <c r="R377"/>
  <c r="R348"/>
  <c r="R183"/>
  <c r="R399"/>
  <c r="R260"/>
  <c r="R383"/>
  <c r="R145"/>
  <c r="R309"/>
  <c r="R326"/>
  <c r="R139"/>
  <c r="R185"/>
  <c r="R477"/>
  <c r="R494"/>
  <c r="R66"/>
  <c r="R109"/>
  <c r="R413"/>
  <c r="R81"/>
  <c r="R71"/>
  <c r="R181"/>
  <c r="R333"/>
  <c r="R325"/>
  <c r="R405"/>
  <c r="R119"/>
  <c r="R197"/>
  <c r="R141"/>
  <c r="R264"/>
  <c r="R317"/>
  <c r="R99"/>
  <c r="R311"/>
  <c r="R198"/>
  <c r="R73"/>
  <c r="R456"/>
  <c r="R284"/>
  <c r="R55"/>
  <c r="R101"/>
  <c r="R156"/>
  <c r="R452"/>
  <c r="R463"/>
  <c r="R226"/>
  <c r="R442"/>
  <c r="R482"/>
  <c r="R63"/>
  <c r="R427"/>
  <c r="R488"/>
  <c r="R509"/>
  <c r="R243"/>
  <c r="R271"/>
  <c r="R355"/>
  <c r="R421"/>
  <c r="R276"/>
  <c r="R499"/>
  <c r="R461"/>
  <c r="R40"/>
  <c r="R481"/>
  <c r="R227"/>
  <c r="R48"/>
  <c r="R489"/>
  <c r="R394"/>
  <c r="R44"/>
  <c r="R49"/>
  <c r="R168"/>
  <c r="R110"/>
  <c r="R301"/>
  <c r="R184"/>
  <c r="R278"/>
  <c r="R324"/>
  <c r="R465"/>
  <c r="R52"/>
  <c r="R42"/>
  <c r="R192"/>
  <c r="R166"/>
  <c r="R140"/>
  <c r="R478"/>
  <c r="R511"/>
  <c r="R84"/>
  <c r="R88"/>
  <c r="R290"/>
  <c r="R102"/>
  <c r="R248"/>
  <c r="R150"/>
  <c r="R97"/>
  <c r="R165"/>
  <c r="R203"/>
  <c r="R214"/>
  <c r="R363"/>
  <c r="R209"/>
  <c r="R96"/>
  <c r="R244"/>
  <c r="R51"/>
  <c r="R162"/>
  <c r="R205"/>
  <c r="R171"/>
  <c r="R89"/>
  <c r="R228"/>
  <c r="R381"/>
  <c r="R367"/>
  <c r="R85"/>
  <c r="R428"/>
  <c r="R409"/>
  <c r="R58"/>
  <c r="R310"/>
  <c r="R434"/>
  <c r="R346"/>
  <c r="R336"/>
  <c r="R406"/>
  <c r="R117"/>
  <c r="R366"/>
  <c r="R204"/>
  <c r="R382"/>
  <c r="R293"/>
  <c r="R178"/>
  <c r="R259"/>
  <c r="R137"/>
  <c r="R505"/>
  <c r="R208"/>
  <c r="R43"/>
  <c r="R78"/>
  <c r="R121"/>
  <c r="R76"/>
  <c r="R431"/>
  <c r="R498"/>
  <c r="R144"/>
  <c r="R297"/>
  <c r="R459"/>
  <c r="R378"/>
  <c r="R302"/>
  <c r="R157"/>
  <c r="R451"/>
  <c r="R220"/>
  <c r="R350"/>
  <c r="R202"/>
  <c r="R233"/>
  <c r="R262"/>
  <c r="R247"/>
  <c r="R432"/>
  <c r="R151"/>
  <c r="R397"/>
  <c r="R147"/>
  <c r="R296"/>
  <c r="R217"/>
  <c r="R64"/>
  <c r="R334"/>
  <c r="R351"/>
  <c r="R193"/>
  <c r="R251"/>
  <c r="G33" i="5"/>
  <c r="G34"/>
  <c r="G31"/>
  <c r="G30"/>
  <c r="G36"/>
  <c r="G29"/>
  <c r="G35"/>
  <c r="G32"/>
  <c r="BK92" i="7"/>
  <c r="BK360"/>
  <c r="BK91"/>
  <c r="BK364"/>
  <c r="BK399"/>
  <c r="BK212"/>
  <c r="BK151"/>
  <c r="BK239"/>
  <c r="BK509"/>
  <c r="BK274"/>
  <c r="BK309"/>
  <c r="BK41"/>
  <c r="BK120"/>
  <c r="BK482"/>
  <c r="BK491"/>
  <c r="BK460"/>
  <c r="BK100"/>
  <c r="BK426"/>
  <c r="BK304"/>
  <c r="BK397"/>
  <c r="BK57"/>
  <c r="BK454"/>
  <c r="BK280"/>
  <c r="BK206"/>
  <c r="BK349"/>
  <c r="BK270"/>
  <c r="BK487"/>
  <c r="BK181"/>
  <c r="BK104"/>
  <c r="BK422"/>
  <c r="BK50"/>
  <c r="BK458"/>
  <c r="BK288"/>
  <c r="BK117"/>
  <c r="BK457"/>
  <c r="BK173"/>
  <c r="BK328"/>
  <c r="BK80"/>
  <c r="BK140"/>
  <c r="BK214"/>
  <c r="BK68"/>
  <c r="BK283"/>
  <c r="BK305"/>
  <c r="BK303"/>
  <c r="BK236"/>
  <c r="BK493"/>
  <c r="BK83"/>
  <c r="BK362"/>
  <c r="BK499"/>
  <c r="BK129"/>
  <c r="BK501"/>
  <c r="BK387"/>
  <c r="BK401"/>
  <c r="BK231"/>
  <c r="BK394"/>
  <c r="BK115"/>
  <c r="BK101"/>
  <c r="BK106"/>
  <c r="BK506"/>
  <c r="BK126"/>
  <c r="BK114"/>
  <c r="BK195"/>
  <c r="BK438"/>
  <c r="BK250"/>
  <c r="BK49"/>
  <c r="BK268"/>
  <c r="BK43"/>
  <c r="BK489"/>
  <c r="BK448"/>
  <c r="BK267"/>
  <c r="BK486"/>
  <c r="BK263"/>
  <c r="BK46"/>
  <c r="BK319"/>
  <c r="BK216"/>
  <c r="BK81"/>
  <c r="BK440"/>
  <c r="BK379"/>
  <c r="BK330"/>
  <c r="BK137"/>
  <c r="BK292"/>
  <c r="BK508"/>
  <c r="BK446"/>
  <c r="BK373"/>
  <c r="BK327"/>
  <c r="BK74"/>
  <c r="BK500"/>
  <c r="BK445"/>
  <c r="BK166"/>
  <c r="BK490"/>
  <c r="BK121"/>
  <c r="BK187"/>
  <c r="BK354"/>
  <c r="BK257"/>
  <c r="BK122"/>
  <c r="BK391"/>
  <c r="BK266"/>
  <c r="BK409"/>
  <c r="BK69"/>
  <c r="BK453"/>
  <c r="BK244"/>
  <c r="BK277"/>
  <c r="BK279"/>
  <c r="BK343"/>
  <c r="BK329"/>
  <c r="BK316"/>
  <c r="BK278"/>
  <c r="BK437"/>
  <c r="BK470"/>
  <c r="BK123"/>
  <c r="BK392"/>
  <c r="BK389"/>
  <c r="BK346"/>
  <c r="BK361"/>
  <c r="BK496"/>
  <c r="BK133"/>
  <c r="BK252"/>
  <c r="BK48"/>
  <c r="BK107"/>
  <c r="BK479"/>
  <c r="BK473"/>
  <c r="BK259"/>
  <c r="BK61"/>
  <c r="BK227"/>
  <c r="BK221"/>
  <c r="BK308"/>
  <c r="BK62"/>
  <c r="BK145"/>
  <c r="BK124"/>
  <c r="BK159"/>
  <c r="BK199"/>
  <c r="BK226"/>
  <c r="BK144"/>
  <c r="BK45"/>
  <c r="BK261"/>
  <c r="BK301"/>
  <c r="BK258"/>
  <c r="BK377"/>
  <c r="BK40"/>
  <c r="BK374"/>
  <c r="BK307"/>
  <c r="BK75"/>
  <c r="BK291"/>
  <c r="BK430"/>
  <c r="BK141"/>
  <c r="BK67"/>
  <c r="BK52"/>
  <c r="BK146"/>
  <c r="BK345"/>
  <c r="BK196"/>
  <c r="BK127"/>
  <c r="BK434"/>
  <c r="BK286"/>
  <c r="BK161"/>
  <c r="BK413"/>
  <c r="BK366"/>
  <c r="BK190"/>
  <c r="BK406"/>
  <c r="BK78"/>
  <c r="BK504"/>
  <c r="BK225"/>
  <c r="BK441"/>
  <c r="BK65"/>
  <c r="BK281"/>
  <c r="BK347"/>
  <c r="BK302"/>
  <c r="BK229"/>
  <c r="BK132"/>
  <c r="BK39"/>
  <c r="BK356"/>
  <c r="BK295"/>
  <c r="BK246"/>
  <c r="BK95"/>
  <c r="BK382"/>
  <c r="BK410"/>
  <c r="BK93"/>
  <c r="BK138"/>
  <c r="BK149"/>
  <c r="BK467"/>
  <c r="BK175"/>
  <c r="BK342"/>
  <c r="BK251"/>
  <c r="BK202"/>
  <c r="BK312"/>
  <c r="BK285"/>
  <c r="BK139"/>
  <c r="BK125"/>
  <c r="BK63"/>
  <c r="BK404"/>
  <c r="BK119"/>
  <c r="BK218"/>
  <c r="BK208"/>
  <c r="BK56"/>
  <c r="BK55"/>
  <c r="BK320"/>
  <c r="BK300"/>
  <c r="BK98"/>
  <c r="BK414"/>
  <c r="BK130"/>
  <c r="BK238"/>
  <c r="BK338"/>
  <c r="BK321"/>
  <c r="BK388"/>
  <c r="BK370"/>
  <c r="BK170"/>
  <c r="BK97"/>
  <c r="BK224"/>
  <c r="BK163"/>
  <c r="BK108"/>
  <c r="BK323"/>
  <c r="BK184"/>
  <c r="BK400"/>
  <c r="BK230"/>
  <c r="BK492"/>
  <c r="BK219"/>
  <c r="BK435"/>
  <c r="BK284"/>
  <c r="BK59"/>
  <c r="BK275"/>
  <c r="BK497"/>
  <c r="BK322"/>
  <c r="BK357"/>
  <c r="BK344"/>
  <c r="BK505"/>
  <c r="BK415"/>
  <c r="BK87"/>
  <c r="BK411"/>
  <c r="BK452"/>
  <c r="BK142"/>
  <c r="BK466"/>
  <c r="BK73"/>
  <c r="BK192"/>
  <c r="BK134"/>
  <c r="BK396"/>
  <c r="BK502"/>
  <c r="BK105"/>
  <c r="BK282"/>
  <c r="BK160"/>
  <c r="BK110"/>
  <c r="BK77"/>
  <c r="BK412"/>
  <c r="BK90"/>
  <c r="BK419"/>
  <c r="BK213"/>
  <c r="BK378"/>
  <c r="BK178"/>
  <c r="BK162"/>
  <c r="BK340"/>
  <c r="BK326"/>
  <c r="M26"/>
  <c r="M27"/>
  <c r="EX36" i="1"/>
  <c r="EV37"/>
  <c r="EY37" s="1"/>
  <c r="M25" i="7"/>
  <c r="AF31" i="5"/>
  <c r="R111" i="7"/>
  <c r="R327"/>
  <c r="R476"/>
  <c r="R74"/>
  <c r="R506"/>
  <c r="R319"/>
  <c r="R258"/>
  <c r="R238"/>
  <c r="R454"/>
  <c r="R387"/>
  <c r="R104"/>
  <c r="R320"/>
  <c r="R37"/>
  <c r="R257"/>
  <c r="R338"/>
  <c r="R354"/>
  <c r="R229"/>
  <c r="R448"/>
  <c r="R306"/>
  <c r="R447"/>
  <c r="R67"/>
  <c r="R438"/>
  <c r="R446"/>
  <c r="R199"/>
  <c r="R77"/>
  <c r="R445"/>
  <c r="R196"/>
  <c r="R129"/>
  <c r="R62"/>
  <c r="R173"/>
  <c r="R190"/>
  <c r="R283"/>
  <c r="R161"/>
  <c r="R408"/>
  <c r="R507"/>
  <c r="R224"/>
  <c r="R187"/>
  <c r="R126"/>
  <c r="R65"/>
  <c r="R497"/>
  <c r="R388"/>
  <c r="R321"/>
  <c r="R38"/>
  <c r="R254"/>
  <c r="R470"/>
  <c r="R299"/>
  <c r="R186"/>
  <c r="R61"/>
  <c r="R444"/>
  <c r="R418"/>
  <c r="R68"/>
  <c r="R359"/>
  <c r="R246"/>
  <c r="R400"/>
  <c r="R210"/>
  <c r="R375"/>
  <c r="R169"/>
  <c r="R508"/>
  <c r="R441"/>
  <c r="R374"/>
  <c r="R426"/>
  <c r="R124"/>
  <c r="R57"/>
  <c r="R510"/>
  <c r="R385"/>
  <c r="R263"/>
  <c r="R106"/>
  <c r="R255"/>
  <c r="R471"/>
  <c r="R188"/>
  <c r="R404"/>
  <c r="R486"/>
  <c r="R425"/>
  <c r="R361"/>
  <c r="R69"/>
  <c r="R501"/>
  <c r="R114"/>
  <c r="R53"/>
  <c r="R372"/>
  <c r="R315"/>
  <c r="R235"/>
  <c r="R174"/>
  <c r="R328"/>
  <c r="R261"/>
  <c r="R194"/>
  <c r="R437"/>
  <c r="R304"/>
  <c r="R237"/>
  <c r="R131"/>
  <c r="R389"/>
  <c r="R370"/>
  <c r="R303"/>
  <c r="R236"/>
  <c r="R436"/>
  <c r="R369"/>
  <c r="R417"/>
  <c r="R46"/>
  <c r="R411"/>
  <c r="R70"/>
  <c r="R286"/>
  <c r="R152"/>
  <c r="R368"/>
  <c r="R95"/>
  <c r="R353"/>
  <c r="R289"/>
  <c r="R240"/>
  <c r="R316"/>
  <c r="R249"/>
  <c r="R155"/>
  <c r="R349"/>
  <c r="R300"/>
  <c r="R279"/>
  <c r="R495"/>
  <c r="R212"/>
  <c r="R215"/>
  <c r="R473"/>
  <c r="R256"/>
  <c r="R122"/>
  <c r="R98"/>
  <c r="R245"/>
  <c r="R298"/>
  <c r="R231"/>
  <c r="R364"/>
  <c r="R230"/>
  <c r="R138"/>
  <c r="R412"/>
  <c r="R345"/>
  <c r="R339"/>
  <c r="R272"/>
  <c r="R335"/>
  <c r="R222"/>
  <c r="R480"/>
  <c r="R250"/>
  <c r="R466"/>
  <c r="R116"/>
  <c r="R332"/>
  <c r="R455"/>
  <c r="R403"/>
  <c r="R342"/>
  <c r="R281"/>
  <c r="R280"/>
  <c r="R496"/>
  <c r="R429"/>
  <c r="R402"/>
  <c r="R341"/>
  <c r="R277"/>
  <c r="R94"/>
  <c r="R143"/>
  <c r="R401"/>
  <c r="R337"/>
  <c r="R50"/>
  <c r="R149"/>
  <c r="R160"/>
  <c r="R93"/>
  <c r="R223"/>
  <c r="R159"/>
  <c r="R92"/>
  <c r="R120"/>
  <c r="R292"/>
  <c r="R225"/>
  <c r="R158"/>
  <c r="R107"/>
  <c r="R487"/>
  <c r="R365"/>
  <c r="R252"/>
  <c r="R340"/>
  <c r="R273"/>
  <c r="R206"/>
  <c r="R267"/>
  <c r="R191"/>
  <c r="R449"/>
  <c r="R430"/>
  <c r="R80"/>
  <c r="R331"/>
  <c r="R270"/>
  <c r="R460"/>
  <c r="R177"/>
  <c r="R393"/>
  <c r="R443"/>
  <c r="R391"/>
  <c r="R330"/>
  <c r="R269"/>
  <c r="R274"/>
  <c r="R207"/>
  <c r="R356"/>
  <c r="R503"/>
  <c r="R390"/>
  <c r="R265"/>
  <c r="R216"/>
  <c r="R112"/>
  <c r="R45"/>
  <c r="R127"/>
  <c r="R373"/>
  <c r="R453"/>
  <c r="R386"/>
  <c r="R79"/>
  <c r="R450"/>
  <c r="R87"/>
  <c r="R457"/>
  <c r="R153"/>
  <c r="R86"/>
  <c r="R343"/>
  <c r="R108"/>
  <c r="R134"/>
  <c r="R59"/>
  <c r="R439"/>
  <c r="R195"/>
  <c r="R128"/>
  <c r="R305"/>
  <c r="R344"/>
  <c r="BK334"/>
  <c r="BK369"/>
  <c r="BK443"/>
  <c r="BK420"/>
  <c r="BK456"/>
  <c r="BK205"/>
  <c r="BK306"/>
  <c r="BK70"/>
  <c r="BK393"/>
  <c r="BK383"/>
  <c r="BK331"/>
  <c r="BK483"/>
  <c r="BK494"/>
  <c r="BK168"/>
  <c r="BK317"/>
  <c r="BK86"/>
  <c r="BK112"/>
  <c r="BK147"/>
  <c r="BK203"/>
  <c r="BK249"/>
  <c r="BK324"/>
  <c r="BK358"/>
  <c r="BK455"/>
  <c r="BK488"/>
  <c r="BK211"/>
  <c r="BK150"/>
  <c r="BK318"/>
  <c r="BK197"/>
  <c r="BK185"/>
  <c r="BK71"/>
  <c r="BK498"/>
  <c r="BK478"/>
  <c r="BK76"/>
  <c r="BK111"/>
  <c r="BK167"/>
  <c r="BK201"/>
  <c r="BK228"/>
  <c r="BK310"/>
  <c r="BK293"/>
  <c r="BK265"/>
  <c r="BK355"/>
  <c r="BK475"/>
  <c r="BK449"/>
  <c r="BK380"/>
  <c r="BK289"/>
  <c r="BK365"/>
  <c r="BK421"/>
  <c r="BK314"/>
  <c r="BK368"/>
  <c r="BK472"/>
  <c r="BK131"/>
  <c r="BK299"/>
  <c r="BK182"/>
  <c r="BK260"/>
  <c r="BK169"/>
  <c r="BK235"/>
  <c r="BK436"/>
  <c r="BK471"/>
  <c r="BK58"/>
  <c r="BK464"/>
  <c r="BK459"/>
  <c r="BK193"/>
  <c r="BK350"/>
  <c r="BK53"/>
  <c r="BK113"/>
  <c r="BK154"/>
  <c r="BK189"/>
  <c r="BK245"/>
  <c r="BK66"/>
  <c r="BK174"/>
  <c r="BK427"/>
  <c r="BK371"/>
  <c r="BK191"/>
  <c r="BK416"/>
  <c r="BK510"/>
  <c r="BK198"/>
  <c r="BK165"/>
  <c r="BK51"/>
  <c r="BK118"/>
  <c r="BK153"/>
  <c r="BK209"/>
  <c r="BK511"/>
  <c r="BK96"/>
  <c r="BK337"/>
  <c r="BK503"/>
  <c r="BK143"/>
  <c r="BK200"/>
  <c r="BK294"/>
  <c r="BK325"/>
  <c r="BK469"/>
  <c r="BK480"/>
  <c r="BK468"/>
  <c r="BK99"/>
  <c r="BK315"/>
  <c r="BK155"/>
  <c r="BK298"/>
  <c r="BK333"/>
  <c r="BK311"/>
  <c r="BK348"/>
  <c r="BK462"/>
  <c r="BK336"/>
  <c r="BK109"/>
  <c r="BK335"/>
  <c r="BK210"/>
  <c r="BK54"/>
  <c r="BK287"/>
  <c r="BK423"/>
  <c r="BK367"/>
  <c r="BK234"/>
  <c r="BK408"/>
  <c r="BK254"/>
  <c r="BK47"/>
  <c r="BK262"/>
  <c r="BK297"/>
  <c r="BK359"/>
  <c r="BK276"/>
  <c r="BK390"/>
  <c r="BK240"/>
  <c r="BK398"/>
  <c r="BK431"/>
  <c r="BK481"/>
  <c r="BK485"/>
  <c r="BK94"/>
  <c r="BK179"/>
  <c r="BK272"/>
  <c r="BK375"/>
  <c r="BK271"/>
  <c r="BK395"/>
  <c r="BK156"/>
  <c r="BK442"/>
  <c r="BK477"/>
  <c r="BK256"/>
  <c r="BK428"/>
  <c r="BK429"/>
  <c r="BK37"/>
  <c r="BK242"/>
  <c r="BK296"/>
  <c r="BK220"/>
  <c r="BK255"/>
  <c r="BK341"/>
  <c r="BK417"/>
  <c r="BK135"/>
  <c r="BK44"/>
  <c r="BK136"/>
  <c r="BK273"/>
  <c r="BK233"/>
  <c r="BK381"/>
  <c r="BK164"/>
  <c r="BK432"/>
  <c r="BK157"/>
  <c r="BK223"/>
  <c r="BK290"/>
  <c r="BK89"/>
  <c r="BK222"/>
  <c r="BK237"/>
  <c r="BK188"/>
  <c r="BK484"/>
  <c r="BK447"/>
  <c r="BK116"/>
  <c r="BK463"/>
  <c r="BK474"/>
  <c r="BK85"/>
  <c r="BK194"/>
  <c r="BK177"/>
  <c r="BK495"/>
  <c r="BK424"/>
  <c r="BK339"/>
  <c r="BK264"/>
  <c r="BK476"/>
  <c r="BK82"/>
  <c r="BK439"/>
  <c r="BK217"/>
  <c r="BK253"/>
  <c r="BK507"/>
  <c r="BK465"/>
  <c r="BK451"/>
  <c r="BK158"/>
  <c r="BK403"/>
  <c r="BK332"/>
  <c r="BK102"/>
  <c r="BK180"/>
  <c r="BK215"/>
  <c r="BK247"/>
  <c r="BK372"/>
  <c r="BK402"/>
  <c r="BK79"/>
  <c r="BK450"/>
  <c r="BK72"/>
  <c r="BK88"/>
  <c r="BK232"/>
  <c r="BK204"/>
  <c r="BK248"/>
  <c r="BK351"/>
  <c r="BK433"/>
  <c r="BK60"/>
  <c r="BK313"/>
  <c r="BK385"/>
  <c r="BK152"/>
  <c r="BK148"/>
  <c r="BK183"/>
  <c r="BK444"/>
  <c r="BK418"/>
  <c r="BK384"/>
  <c r="BK207"/>
  <c r="BK103"/>
  <c r="BK84"/>
  <c r="BK425"/>
  <c r="BK363"/>
  <c r="BK407"/>
  <c r="BK128"/>
  <c r="BK352"/>
  <c r="BK376"/>
  <c r="BK353"/>
  <c r="BK171"/>
  <c r="BK269"/>
  <c r="BK42"/>
  <c r="BK386"/>
  <c r="BK461"/>
  <c r="BK38"/>
  <c r="BK243"/>
  <c r="BK176"/>
  <c r="BK172"/>
  <c r="BK64"/>
  <c r="BK241"/>
  <c r="BK186"/>
  <c r="BK405"/>
  <c r="R35"/>
  <c r="R34"/>
  <c r="R36"/>
  <c r="R33"/>
  <c r="R27"/>
  <c r="R29"/>
  <c r="Z30"/>
  <c r="Z26"/>
  <c r="R31"/>
  <c r="Z27"/>
  <c r="R26"/>
  <c r="R28"/>
  <c r="R25"/>
  <c r="Z32"/>
  <c r="R32"/>
  <c r="Z25"/>
  <c r="R30"/>
  <c r="Z31"/>
  <c r="Z29"/>
  <c r="EW36" i="1"/>
  <c r="Z14" i="7"/>
  <c r="R22"/>
  <c r="R16"/>
  <c r="Z18"/>
  <c r="R17"/>
  <c r="R20"/>
  <c r="Z20"/>
  <c r="Z16"/>
  <c r="Z15"/>
  <c r="R21"/>
  <c r="Z19"/>
  <c r="Z13"/>
  <c r="Z23"/>
  <c r="R18"/>
  <c r="Z17"/>
  <c r="R13"/>
  <c r="Z24"/>
  <c r="R14"/>
  <c r="R23"/>
  <c r="R19"/>
  <c r="R15"/>
  <c r="Z22"/>
  <c r="R24"/>
  <c r="Z511" l="1"/>
  <c r="Y511"/>
  <c r="BH163"/>
  <c r="BG163"/>
  <c r="BC163"/>
  <c r="BF163"/>
  <c r="BE163"/>
  <c r="BD163"/>
  <c r="BB163"/>
  <c r="BA163"/>
  <c r="BD420"/>
  <c r="BG420"/>
  <c r="BH420"/>
  <c r="BF420"/>
  <c r="BE420"/>
  <c r="BB420"/>
  <c r="BC420"/>
  <c r="BA420"/>
  <c r="BH111"/>
  <c r="BG111"/>
  <c r="BD111"/>
  <c r="BC111"/>
  <c r="BF111"/>
  <c r="BE111"/>
  <c r="BB111"/>
  <c r="BA111"/>
  <c r="BD503"/>
  <c r="BF503"/>
  <c r="BE503"/>
  <c r="BA503"/>
  <c r="BC503"/>
  <c r="BH503"/>
  <c r="BG503"/>
  <c r="BB503"/>
  <c r="BH143"/>
  <c r="BG143"/>
  <c r="BF143"/>
  <c r="BE143"/>
  <c r="BD143"/>
  <c r="BC143"/>
  <c r="BA143"/>
  <c r="BB143"/>
  <c r="BD416"/>
  <c r="BC416"/>
  <c r="BE416"/>
  <c r="BB416"/>
  <c r="BH416"/>
  <c r="BG416"/>
  <c r="BA416"/>
  <c r="BF416"/>
  <c r="BH60"/>
  <c r="BG60"/>
  <c r="BD60"/>
  <c r="BC60"/>
  <c r="BF60"/>
  <c r="BE60"/>
  <c r="BA60"/>
  <c r="BB60"/>
  <c r="BD493"/>
  <c r="BH493"/>
  <c r="BG493"/>
  <c r="BF493"/>
  <c r="BE493"/>
  <c r="BB493"/>
  <c r="BC493"/>
  <c r="BA493"/>
  <c r="BD324"/>
  <c r="BC324"/>
  <c r="BG324"/>
  <c r="BF324"/>
  <c r="BE324"/>
  <c r="BH324"/>
  <c r="BA324"/>
  <c r="BB324"/>
  <c r="BD406"/>
  <c r="BE406"/>
  <c r="BF406"/>
  <c r="BB406"/>
  <c r="BH406"/>
  <c r="BG406"/>
  <c r="BA406"/>
  <c r="BC406"/>
  <c r="BD371"/>
  <c r="BF371"/>
  <c r="BE371"/>
  <c r="BC371"/>
  <c r="BH371"/>
  <c r="BG371"/>
  <c r="BA371"/>
  <c r="BB371"/>
  <c r="BH239"/>
  <c r="BF239"/>
  <c r="BE239"/>
  <c r="BG239"/>
  <c r="BD239"/>
  <c r="BC239"/>
  <c r="BA239"/>
  <c r="BB239"/>
  <c r="BD301"/>
  <c r="BC301"/>
  <c r="BH301"/>
  <c r="BG301"/>
  <c r="BF301"/>
  <c r="BE301"/>
  <c r="BB301"/>
  <c r="BA301"/>
  <c r="BH209"/>
  <c r="BF209"/>
  <c r="BE209"/>
  <c r="BG209"/>
  <c r="BD209"/>
  <c r="BC209"/>
  <c r="BA209"/>
  <c r="BB209"/>
  <c r="BH64"/>
  <c r="BG64"/>
  <c r="BF64"/>
  <c r="BE64"/>
  <c r="BD64"/>
  <c r="BC64"/>
  <c r="BB64"/>
  <c r="BA64"/>
  <c r="BD313"/>
  <c r="BC313"/>
  <c r="BH313"/>
  <c r="BG313"/>
  <c r="BF313"/>
  <c r="BE313"/>
  <c r="BB313"/>
  <c r="BA313"/>
  <c r="BH176"/>
  <c r="BC176"/>
  <c r="BG176"/>
  <c r="BF176"/>
  <c r="BE176"/>
  <c r="BD176"/>
  <c r="BB176"/>
  <c r="BA176"/>
  <c r="BH139"/>
  <c r="BG139"/>
  <c r="BF139"/>
  <c r="BE139"/>
  <c r="BD139"/>
  <c r="BC139"/>
  <c r="BB139"/>
  <c r="BA139"/>
  <c r="BD383"/>
  <c r="BF383"/>
  <c r="BE383"/>
  <c r="BC383"/>
  <c r="BH383"/>
  <c r="BG383"/>
  <c r="BA383"/>
  <c r="BB383"/>
  <c r="BD357"/>
  <c r="BC357"/>
  <c r="BH357"/>
  <c r="BG357"/>
  <c r="BF357"/>
  <c r="BE357"/>
  <c r="BB357"/>
  <c r="BA357"/>
  <c r="BD303"/>
  <c r="BC303"/>
  <c r="BG303"/>
  <c r="BF303"/>
  <c r="BE303"/>
  <c r="BH303"/>
  <c r="BB303"/>
  <c r="BA303"/>
  <c r="BH187"/>
  <c r="BG187"/>
  <c r="BF187"/>
  <c r="BE187"/>
  <c r="BD187"/>
  <c r="BC187"/>
  <c r="BB187"/>
  <c r="BA187"/>
  <c r="BH79"/>
  <c r="BG79"/>
  <c r="BF79"/>
  <c r="BE79"/>
  <c r="BD79"/>
  <c r="BC79"/>
  <c r="BB79"/>
  <c r="BA79"/>
  <c r="BD414"/>
  <c r="BG414"/>
  <c r="BH414"/>
  <c r="BE414"/>
  <c r="BA414"/>
  <c r="BC414"/>
  <c r="BB414"/>
  <c r="BF414"/>
  <c r="BH147"/>
  <c r="BD147"/>
  <c r="BC147"/>
  <c r="BG147"/>
  <c r="BF147"/>
  <c r="BE147"/>
  <c r="BB147"/>
  <c r="BA147"/>
  <c r="BD431"/>
  <c r="BG431"/>
  <c r="BH431"/>
  <c r="BA431"/>
  <c r="BF431"/>
  <c r="BE431"/>
  <c r="BC431"/>
  <c r="BB431"/>
  <c r="BD375"/>
  <c r="BC375"/>
  <c r="BH375"/>
  <c r="BG375"/>
  <c r="BF375"/>
  <c r="BE375"/>
  <c r="BB375"/>
  <c r="BA375"/>
  <c r="BD302"/>
  <c r="BC302"/>
  <c r="BE302"/>
  <c r="BH302"/>
  <c r="BG302"/>
  <c r="BF302"/>
  <c r="BB302"/>
  <c r="BA302"/>
  <c r="BH242"/>
  <c r="BC242"/>
  <c r="BD242"/>
  <c r="BG242"/>
  <c r="BF242"/>
  <c r="BE242"/>
  <c r="BB242"/>
  <c r="BA242"/>
  <c r="BH65"/>
  <c r="BG65"/>
  <c r="BF65"/>
  <c r="BE65"/>
  <c r="BD65"/>
  <c r="BC65"/>
  <c r="BA65"/>
  <c r="BB65"/>
  <c r="BD309"/>
  <c r="BC309"/>
  <c r="BG309"/>
  <c r="BF309"/>
  <c r="BE309"/>
  <c r="BH309"/>
  <c r="BB309"/>
  <c r="BA309"/>
  <c r="BH260"/>
  <c r="BC260"/>
  <c r="BD260"/>
  <c r="BG260"/>
  <c r="BF260"/>
  <c r="BE260"/>
  <c r="BB260"/>
  <c r="BA260"/>
  <c r="BH49"/>
  <c r="BG49"/>
  <c r="BF49"/>
  <c r="BE49"/>
  <c r="BD49"/>
  <c r="BC49"/>
  <c r="BB49"/>
  <c r="BA49"/>
  <c r="BH173"/>
  <c r="BF173"/>
  <c r="BE173"/>
  <c r="BG173"/>
  <c r="BD173"/>
  <c r="BC173"/>
  <c r="BA173"/>
  <c r="BB173"/>
  <c r="BD393"/>
  <c r="BC393"/>
  <c r="BH393"/>
  <c r="BG393"/>
  <c r="BF393"/>
  <c r="BE393"/>
  <c r="BB393"/>
  <c r="BA393"/>
  <c r="BD438"/>
  <c r="BH438"/>
  <c r="BG438"/>
  <c r="BF438"/>
  <c r="BE438"/>
  <c r="BB438"/>
  <c r="BC438"/>
  <c r="BA438"/>
  <c r="BH177"/>
  <c r="BD177"/>
  <c r="BC177"/>
  <c r="BE177"/>
  <c r="BG177"/>
  <c r="BF177"/>
  <c r="BB177"/>
  <c r="BA177"/>
  <c r="BH245"/>
  <c r="BF245"/>
  <c r="BE245"/>
  <c r="BG245"/>
  <c r="BD245"/>
  <c r="BC245"/>
  <c r="BA245"/>
  <c r="BB245"/>
  <c r="BH267"/>
  <c r="BD267"/>
  <c r="BC267"/>
  <c r="BE267"/>
  <c r="BG267"/>
  <c r="BF267"/>
  <c r="BB267"/>
  <c r="BA267"/>
  <c r="BH244"/>
  <c r="BE244"/>
  <c r="BD244"/>
  <c r="BG244"/>
  <c r="BF244"/>
  <c r="BC244"/>
  <c r="BB244"/>
  <c r="BA244"/>
  <c r="BH39"/>
  <c r="BG39"/>
  <c r="BD39"/>
  <c r="BC39"/>
  <c r="BF39"/>
  <c r="BE39"/>
  <c r="BB39"/>
  <c r="BA39"/>
  <c r="BD462"/>
  <c r="BG462"/>
  <c r="BF462"/>
  <c r="BE462"/>
  <c r="BC462"/>
  <c r="BB462"/>
  <c r="BH462"/>
  <c r="BA462"/>
  <c r="BD328"/>
  <c r="BC328"/>
  <c r="BH328"/>
  <c r="BG328"/>
  <c r="BF328"/>
  <c r="BE328"/>
  <c r="BB328"/>
  <c r="BA328"/>
  <c r="BD293"/>
  <c r="BC293"/>
  <c r="BE293"/>
  <c r="BH293"/>
  <c r="BG293"/>
  <c r="BF293"/>
  <c r="BA293"/>
  <c r="BB293"/>
  <c r="BD441"/>
  <c r="BE441"/>
  <c r="BH441"/>
  <c r="BB441"/>
  <c r="BG441"/>
  <c r="BF441"/>
  <c r="BA441"/>
  <c r="BC441"/>
  <c r="BD387"/>
  <c r="BC387"/>
  <c r="BH387"/>
  <c r="BG387"/>
  <c r="BF387"/>
  <c r="BE387"/>
  <c r="BB387"/>
  <c r="BA387"/>
  <c r="BH43"/>
  <c r="BG43"/>
  <c r="BF43"/>
  <c r="BE43"/>
  <c r="BD43"/>
  <c r="BC43"/>
  <c r="BB43"/>
  <c r="BA43"/>
  <c r="BH270"/>
  <c r="BG270"/>
  <c r="BF270"/>
  <c r="BE270"/>
  <c r="BD270"/>
  <c r="BC270"/>
  <c r="BA270"/>
  <c r="BB270"/>
  <c r="BH172"/>
  <c r="BE172"/>
  <c r="BD172"/>
  <c r="BG172"/>
  <c r="BF172"/>
  <c r="BC172"/>
  <c r="BB172"/>
  <c r="BA172"/>
  <c r="BH115"/>
  <c r="BG115"/>
  <c r="BF115"/>
  <c r="BE115"/>
  <c r="BD115"/>
  <c r="BC115"/>
  <c r="BB115"/>
  <c r="BA115"/>
  <c r="BH107"/>
  <c r="BG107"/>
  <c r="BF107"/>
  <c r="BE107"/>
  <c r="BD107"/>
  <c r="BC107"/>
  <c r="BA107"/>
  <c r="BB107"/>
  <c r="BD354"/>
  <c r="BG354"/>
  <c r="BF354"/>
  <c r="BE354"/>
  <c r="BC354"/>
  <c r="BH354"/>
  <c r="BA354"/>
  <c r="BB354"/>
  <c r="BD395"/>
  <c r="BF395"/>
  <c r="BE395"/>
  <c r="BC395"/>
  <c r="BH395"/>
  <c r="BG395"/>
  <c r="BA395"/>
  <c r="BB395"/>
  <c r="BD377"/>
  <c r="BF377"/>
  <c r="BE377"/>
  <c r="BC377"/>
  <c r="BH377"/>
  <c r="BG377"/>
  <c r="BA377"/>
  <c r="BB377"/>
  <c r="BD353"/>
  <c r="BF353"/>
  <c r="BE353"/>
  <c r="BC353"/>
  <c r="BH353"/>
  <c r="BG353"/>
  <c r="BA353"/>
  <c r="BB353"/>
  <c r="BD363"/>
  <c r="BC363"/>
  <c r="BH363"/>
  <c r="BG363"/>
  <c r="BF363"/>
  <c r="BE363"/>
  <c r="BB363"/>
  <c r="BA363"/>
  <c r="BD304"/>
  <c r="BC304"/>
  <c r="BH304"/>
  <c r="BG304"/>
  <c r="BF304"/>
  <c r="BE304"/>
  <c r="BB304"/>
  <c r="BA304"/>
  <c r="BH129"/>
  <c r="BG129"/>
  <c r="BD129"/>
  <c r="BC129"/>
  <c r="BF129"/>
  <c r="BE129"/>
  <c r="BB129"/>
  <c r="BA129"/>
  <c r="BD408"/>
  <c r="BG408"/>
  <c r="BH408"/>
  <c r="BF408"/>
  <c r="BE408"/>
  <c r="BC408"/>
  <c r="BB408"/>
  <c r="BA408"/>
  <c r="BD364"/>
  <c r="BE364"/>
  <c r="BC364"/>
  <c r="BH364"/>
  <c r="BG364"/>
  <c r="BF364"/>
  <c r="BB364"/>
  <c r="BA364"/>
  <c r="BD329"/>
  <c r="BC329"/>
  <c r="BE329"/>
  <c r="BH329"/>
  <c r="BG329"/>
  <c r="BF329"/>
  <c r="BA329"/>
  <c r="BB329"/>
  <c r="BD459"/>
  <c r="BC459"/>
  <c r="BB459"/>
  <c r="BH459"/>
  <c r="BG459"/>
  <c r="BA459"/>
  <c r="BF459"/>
  <c r="BE459"/>
  <c r="BD423"/>
  <c r="BC423"/>
  <c r="BE423"/>
  <c r="BF423"/>
  <c r="BB423"/>
  <c r="BA423"/>
  <c r="BH423"/>
  <c r="BG423"/>
  <c r="BD426"/>
  <c r="BH426"/>
  <c r="BE426"/>
  <c r="BC426"/>
  <c r="BG426"/>
  <c r="BB426"/>
  <c r="BF426"/>
  <c r="BA426"/>
  <c r="BH85"/>
  <c r="BG85"/>
  <c r="BF85"/>
  <c r="BE85"/>
  <c r="BD85"/>
  <c r="BC85"/>
  <c r="BB85"/>
  <c r="BA85"/>
  <c r="BH104"/>
  <c r="BG104"/>
  <c r="BF104"/>
  <c r="BE104"/>
  <c r="BD104"/>
  <c r="BC104"/>
  <c r="BB104"/>
  <c r="BA104"/>
  <c r="BH208"/>
  <c r="BE208"/>
  <c r="BD208"/>
  <c r="BG208"/>
  <c r="BF208"/>
  <c r="BC208"/>
  <c r="BB208"/>
  <c r="BA208"/>
  <c r="BH58"/>
  <c r="BG58"/>
  <c r="BF58"/>
  <c r="BE58"/>
  <c r="BD58"/>
  <c r="BC58"/>
  <c r="BB58"/>
  <c r="BA58"/>
  <c r="BD427"/>
  <c r="BG427"/>
  <c r="BF427"/>
  <c r="BE427"/>
  <c r="BC427"/>
  <c r="BB427"/>
  <c r="BH427"/>
  <c r="BA427"/>
  <c r="BD385"/>
  <c r="BH385"/>
  <c r="BG385"/>
  <c r="BF385"/>
  <c r="BE385"/>
  <c r="BC385"/>
  <c r="BB385"/>
  <c r="BA385"/>
  <c r="BD492"/>
  <c r="BG492"/>
  <c r="BA492"/>
  <c r="BF492"/>
  <c r="BE492"/>
  <c r="BC492"/>
  <c r="BB492"/>
  <c r="BH492"/>
  <c r="BD419"/>
  <c r="BF419"/>
  <c r="BG419"/>
  <c r="BH419"/>
  <c r="BE419"/>
  <c r="BA419"/>
  <c r="BC419"/>
  <c r="BB419"/>
  <c r="BD445"/>
  <c r="BC445"/>
  <c r="BH445"/>
  <c r="BG445"/>
  <c r="BB445"/>
  <c r="BF445"/>
  <c r="BE445"/>
  <c r="BA445"/>
  <c r="BD310"/>
  <c r="BC310"/>
  <c r="BH310"/>
  <c r="BG310"/>
  <c r="BF310"/>
  <c r="BE310"/>
  <c r="BB310"/>
  <c r="BA310"/>
  <c r="BH240"/>
  <c r="BG240"/>
  <c r="BF240"/>
  <c r="BD240"/>
  <c r="BC240"/>
  <c r="BE240"/>
  <c r="BA240"/>
  <c r="BB240"/>
  <c r="BH184"/>
  <c r="BE184"/>
  <c r="BD184"/>
  <c r="BF184"/>
  <c r="BC184"/>
  <c r="BG184"/>
  <c r="BB184"/>
  <c r="BA184"/>
  <c r="BH149"/>
  <c r="BF149"/>
  <c r="BE149"/>
  <c r="BG149"/>
  <c r="BD149"/>
  <c r="BC149"/>
  <c r="BA149"/>
  <c r="BB149"/>
  <c r="BH153"/>
  <c r="BD153"/>
  <c r="BC153"/>
  <c r="BG153"/>
  <c r="BF153"/>
  <c r="BE153"/>
  <c r="BB153"/>
  <c r="BA153"/>
  <c r="BH93"/>
  <c r="BG93"/>
  <c r="BD93"/>
  <c r="BC93"/>
  <c r="BF93"/>
  <c r="BE93"/>
  <c r="BB93"/>
  <c r="BA93"/>
  <c r="BH214"/>
  <c r="BE214"/>
  <c r="BD214"/>
  <c r="BG214"/>
  <c r="BF214"/>
  <c r="BC214"/>
  <c r="BB214"/>
  <c r="BA214"/>
  <c r="BH78"/>
  <c r="BG78"/>
  <c r="BD78"/>
  <c r="BC78"/>
  <c r="BF78"/>
  <c r="BE78"/>
  <c r="BA78"/>
  <c r="BB78"/>
  <c r="BH106"/>
  <c r="BG106"/>
  <c r="BF106"/>
  <c r="BE106"/>
  <c r="BD106"/>
  <c r="BC106"/>
  <c r="BB106"/>
  <c r="BA106"/>
  <c r="BD467"/>
  <c r="BF467"/>
  <c r="BE467"/>
  <c r="BC467"/>
  <c r="BH467"/>
  <c r="BG467"/>
  <c r="BB467"/>
  <c r="BA467"/>
  <c r="BH88"/>
  <c r="BG88"/>
  <c r="BF88"/>
  <c r="BE88"/>
  <c r="BD88"/>
  <c r="BC88"/>
  <c r="BB88"/>
  <c r="BA88"/>
  <c r="BD358"/>
  <c r="BE358"/>
  <c r="BC358"/>
  <c r="BH358"/>
  <c r="BG358"/>
  <c r="BF358"/>
  <c r="BB358"/>
  <c r="BA358"/>
  <c r="BH276"/>
  <c r="BG276"/>
  <c r="BF276"/>
  <c r="BD276"/>
  <c r="BC276"/>
  <c r="BE276"/>
  <c r="BA276"/>
  <c r="BB276"/>
  <c r="BH220"/>
  <c r="BE220"/>
  <c r="BD220"/>
  <c r="BF220"/>
  <c r="BC220"/>
  <c r="BG220"/>
  <c r="BB220"/>
  <c r="BA220"/>
  <c r="BH185"/>
  <c r="BF185"/>
  <c r="BE185"/>
  <c r="BG185"/>
  <c r="BD185"/>
  <c r="BC185"/>
  <c r="BA185"/>
  <c r="BB185"/>
  <c r="BH225"/>
  <c r="BD225"/>
  <c r="BC225"/>
  <c r="BG225"/>
  <c r="BF225"/>
  <c r="BE225"/>
  <c r="BB225"/>
  <c r="BA225"/>
  <c r="BH171"/>
  <c r="BD171"/>
  <c r="BC171"/>
  <c r="BG171"/>
  <c r="BF171"/>
  <c r="BE171"/>
  <c r="BB171"/>
  <c r="BA171"/>
  <c r="BD339"/>
  <c r="BC339"/>
  <c r="BG339"/>
  <c r="BF339"/>
  <c r="BE339"/>
  <c r="BH339"/>
  <c r="BB339"/>
  <c r="BA339"/>
  <c r="BH99"/>
  <c r="BG99"/>
  <c r="BD99"/>
  <c r="BC99"/>
  <c r="BF99"/>
  <c r="BE99"/>
  <c r="BB99"/>
  <c r="BA99"/>
  <c r="BH57"/>
  <c r="BG57"/>
  <c r="BD57"/>
  <c r="BC57"/>
  <c r="BF57"/>
  <c r="BE57"/>
  <c r="BB57"/>
  <c r="BA57"/>
  <c r="BD405"/>
  <c r="BC405"/>
  <c r="BE405"/>
  <c r="BF405"/>
  <c r="BB405"/>
  <c r="BA405"/>
  <c r="BH405"/>
  <c r="BG405"/>
  <c r="BD286"/>
  <c r="BC286"/>
  <c r="BH286"/>
  <c r="BG286"/>
  <c r="BF286"/>
  <c r="BE286"/>
  <c r="BB286"/>
  <c r="BA286"/>
  <c r="BD343"/>
  <c r="BH343"/>
  <c r="BG343"/>
  <c r="BF343"/>
  <c r="BE343"/>
  <c r="BC343"/>
  <c r="BB343"/>
  <c r="BA343"/>
  <c r="BH150"/>
  <c r="BG150"/>
  <c r="BF150"/>
  <c r="BD150"/>
  <c r="BC150"/>
  <c r="BE150"/>
  <c r="BA150"/>
  <c r="BB150"/>
  <c r="BD411"/>
  <c r="BC411"/>
  <c r="BE411"/>
  <c r="BB411"/>
  <c r="BH411"/>
  <c r="BG411"/>
  <c r="BA411"/>
  <c r="BF411"/>
  <c r="BD296"/>
  <c r="BC296"/>
  <c r="BE296"/>
  <c r="BH296"/>
  <c r="BG296"/>
  <c r="BF296"/>
  <c r="BB296"/>
  <c r="BA296"/>
  <c r="BH230"/>
  <c r="BC230"/>
  <c r="BG230"/>
  <c r="BF230"/>
  <c r="BE230"/>
  <c r="BD230"/>
  <c r="BB230"/>
  <c r="BA230"/>
  <c r="BH66"/>
  <c r="BG66"/>
  <c r="BD66"/>
  <c r="BC66"/>
  <c r="BF66"/>
  <c r="BE66"/>
  <c r="BA66"/>
  <c r="BB66"/>
  <c r="BD505"/>
  <c r="BH505"/>
  <c r="BG505"/>
  <c r="BF505"/>
  <c r="BE505"/>
  <c r="BB505"/>
  <c r="BC505"/>
  <c r="BA505"/>
  <c r="BD367"/>
  <c r="BH367"/>
  <c r="BG367"/>
  <c r="BF367"/>
  <c r="BE367"/>
  <c r="BC367"/>
  <c r="BB367"/>
  <c r="BA367"/>
  <c r="BD435"/>
  <c r="BE435"/>
  <c r="BB435"/>
  <c r="BH435"/>
  <c r="BG435"/>
  <c r="BA435"/>
  <c r="BF435"/>
  <c r="BC435"/>
  <c r="BD346"/>
  <c r="BE346"/>
  <c r="BC346"/>
  <c r="BH346"/>
  <c r="BG346"/>
  <c r="BF346"/>
  <c r="BB346"/>
  <c r="BA346"/>
  <c r="BH142"/>
  <c r="BG142"/>
  <c r="BF142"/>
  <c r="BE142"/>
  <c r="BC142"/>
  <c r="BD142"/>
  <c r="BB142"/>
  <c r="BA142"/>
  <c r="BD308"/>
  <c r="BC308"/>
  <c r="BE308"/>
  <c r="BH308"/>
  <c r="BG308"/>
  <c r="BF308"/>
  <c r="BB308"/>
  <c r="BA308"/>
  <c r="BH259"/>
  <c r="BG259"/>
  <c r="BF259"/>
  <c r="BE259"/>
  <c r="BD259"/>
  <c r="BC259"/>
  <c r="BB259"/>
  <c r="BA259"/>
  <c r="BH145"/>
  <c r="BG145"/>
  <c r="BF145"/>
  <c r="BE145"/>
  <c r="BD145"/>
  <c r="BC145"/>
  <c r="BB145"/>
  <c r="BA145"/>
  <c r="BH160"/>
  <c r="BE160"/>
  <c r="BD160"/>
  <c r="BG160"/>
  <c r="BF160"/>
  <c r="BC160"/>
  <c r="BB160"/>
  <c r="BA160"/>
  <c r="BH63"/>
  <c r="BG63"/>
  <c r="BD63"/>
  <c r="BC63"/>
  <c r="BF63"/>
  <c r="BE63"/>
  <c r="BB63"/>
  <c r="BA63"/>
  <c r="BH62"/>
  <c r="BG62"/>
  <c r="BF62"/>
  <c r="BE62"/>
  <c r="BD62"/>
  <c r="BC62"/>
  <c r="BB62"/>
  <c r="BA62"/>
  <c r="BH108"/>
  <c r="BG108"/>
  <c r="BD108"/>
  <c r="BC108"/>
  <c r="BF108"/>
  <c r="BE108"/>
  <c r="BA108"/>
  <c r="BB108"/>
  <c r="BD497"/>
  <c r="BF497"/>
  <c r="BA497"/>
  <c r="BE497"/>
  <c r="BC497"/>
  <c r="BH497"/>
  <c r="BG497"/>
  <c r="BB497"/>
  <c r="BD390"/>
  <c r="BG390"/>
  <c r="BF390"/>
  <c r="BE390"/>
  <c r="BC390"/>
  <c r="BH390"/>
  <c r="BA390"/>
  <c r="BB390"/>
  <c r="BD471"/>
  <c r="BC471"/>
  <c r="BB471"/>
  <c r="BH471"/>
  <c r="BG471"/>
  <c r="BF471"/>
  <c r="BE471"/>
  <c r="BA471"/>
  <c r="BD330"/>
  <c r="BC330"/>
  <c r="BG330"/>
  <c r="BF330"/>
  <c r="BE330"/>
  <c r="BH330"/>
  <c r="BA330"/>
  <c r="BB330"/>
  <c r="BH278"/>
  <c r="BC278"/>
  <c r="BD278"/>
  <c r="BG278"/>
  <c r="BF278"/>
  <c r="BE278"/>
  <c r="BB278"/>
  <c r="BA278"/>
  <c r="BD410"/>
  <c r="BC410"/>
  <c r="BG410"/>
  <c r="BF410"/>
  <c r="BE410"/>
  <c r="BB410"/>
  <c r="BA410"/>
  <c r="BH410"/>
  <c r="BH123"/>
  <c r="BG123"/>
  <c r="BD123"/>
  <c r="BC123"/>
  <c r="BF123"/>
  <c r="BE123"/>
  <c r="BB123"/>
  <c r="BA123"/>
  <c r="BH188"/>
  <c r="BC188"/>
  <c r="BD188"/>
  <c r="BG188"/>
  <c r="BF188"/>
  <c r="BE188"/>
  <c r="BB188"/>
  <c r="BA188"/>
  <c r="BH167"/>
  <c r="BF167"/>
  <c r="BE167"/>
  <c r="BG167"/>
  <c r="BD167"/>
  <c r="BC167"/>
  <c r="BA167"/>
  <c r="BB167"/>
  <c r="BH75"/>
  <c r="BG75"/>
  <c r="BD75"/>
  <c r="BC75"/>
  <c r="BF75"/>
  <c r="BE75"/>
  <c r="BB75"/>
  <c r="BA75"/>
  <c r="BH509"/>
  <c r="BG509"/>
  <c r="BF509"/>
  <c r="BE509"/>
  <c r="BD509"/>
  <c r="BC509"/>
  <c r="BB509"/>
  <c r="BA509"/>
  <c r="BD380"/>
  <c r="BH380"/>
  <c r="BG380"/>
  <c r="BF380"/>
  <c r="BE380"/>
  <c r="BC380"/>
  <c r="BB380"/>
  <c r="BA380"/>
  <c r="BD320"/>
  <c r="BC320"/>
  <c r="BE320"/>
  <c r="BH320"/>
  <c r="BG320"/>
  <c r="BF320"/>
  <c r="BB320"/>
  <c r="BA320"/>
  <c r="BD487"/>
  <c r="BH487"/>
  <c r="BG487"/>
  <c r="BF487"/>
  <c r="BE487"/>
  <c r="BB487"/>
  <c r="BC487"/>
  <c r="BA487"/>
  <c r="BD490"/>
  <c r="BE490"/>
  <c r="BB490"/>
  <c r="BC490"/>
  <c r="BH490"/>
  <c r="BG490"/>
  <c r="BF490"/>
  <c r="BA490"/>
  <c r="BH50"/>
  <c r="BG50"/>
  <c r="BF50"/>
  <c r="BE50"/>
  <c r="BD50"/>
  <c r="BC50"/>
  <c r="BB50"/>
  <c r="BA50"/>
  <c r="BH196"/>
  <c r="BE196"/>
  <c r="BD196"/>
  <c r="BG196"/>
  <c r="BF196"/>
  <c r="BC196"/>
  <c r="BB196"/>
  <c r="BA196"/>
  <c r="BH507"/>
  <c r="BG507"/>
  <c r="BB507"/>
  <c r="BF507"/>
  <c r="BE507"/>
  <c r="BA507"/>
  <c r="BD507"/>
  <c r="BC507"/>
  <c r="BH102"/>
  <c r="BG102"/>
  <c r="BD102"/>
  <c r="BC102"/>
  <c r="BF102"/>
  <c r="BE102"/>
  <c r="BA102"/>
  <c r="BB102"/>
  <c r="BH116"/>
  <c r="BG116"/>
  <c r="BF116"/>
  <c r="BE116"/>
  <c r="BD116"/>
  <c r="BC116"/>
  <c r="BB116"/>
  <c r="BA116"/>
  <c r="BD388"/>
  <c r="BE388"/>
  <c r="BC388"/>
  <c r="BH388"/>
  <c r="BG388"/>
  <c r="BF388"/>
  <c r="BB388"/>
  <c r="BA388"/>
  <c r="BD500"/>
  <c r="BH500"/>
  <c r="BG500"/>
  <c r="BB500"/>
  <c r="BA500"/>
  <c r="BF500"/>
  <c r="BE500"/>
  <c r="BC500"/>
  <c r="BH237"/>
  <c r="BD237"/>
  <c r="BC237"/>
  <c r="BG237"/>
  <c r="BF237"/>
  <c r="BE237"/>
  <c r="BB237"/>
  <c r="BA237"/>
  <c r="BD284"/>
  <c r="BC284"/>
  <c r="BE284"/>
  <c r="BH284"/>
  <c r="BG284"/>
  <c r="BF284"/>
  <c r="BB284"/>
  <c r="BA284"/>
  <c r="BH215"/>
  <c r="BF215"/>
  <c r="BE215"/>
  <c r="BC215"/>
  <c r="BG215"/>
  <c r="BD215"/>
  <c r="BA215"/>
  <c r="BB215"/>
  <c r="BH141"/>
  <c r="BG141"/>
  <c r="BD141"/>
  <c r="BC141"/>
  <c r="BF141"/>
  <c r="BE141"/>
  <c r="BB141"/>
  <c r="BA141"/>
  <c r="BH81"/>
  <c r="BG81"/>
  <c r="BD81"/>
  <c r="BC81"/>
  <c r="BF81"/>
  <c r="BE81"/>
  <c r="BB81"/>
  <c r="BA81"/>
  <c r="BD458"/>
  <c r="BH458"/>
  <c r="BG458"/>
  <c r="BB458"/>
  <c r="BF458"/>
  <c r="BE458"/>
  <c r="BA458"/>
  <c r="BC458"/>
  <c r="BD386"/>
  <c r="BH386"/>
  <c r="BG386"/>
  <c r="BF386"/>
  <c r="BE386"/>
  <c r="BC386"/>
  <c r="BB386"/>
  <c r="BA386"/>
  <c r="BD314"/>
  <c r="BC314"/>
  <c r="BE314"/>
  <c r="BH314"/>
  <c r="BG314"/>
  <c r="BF314"/>
  <c r="BB314"/>
  <c r="BA314"/>
  <c r="BH105"/>
  <c r="BG105"/>
  <c r="BD105"/>
  <c r="BC105"/>
  <c r="BF105"/>
  <c r="BE105"/>
  <c r="BB105"/>
  <c r="BA105"/>
  <c r="BH182"/>
  <c r="BC182"/>
  <c r="BF182"/>
  <c r="BE182"/>
  <c r="BD182"/>
  <c r="BG182"/>
  <c r="BB182"/>
  <c r="BA182"/>
  <c r="BH271"/>
  <c r="BG271"/>
  <c r="BC271"/>
  <c r="BF271"/>
  <c r="BE271"/>
  <c r="BD271"/>
  <c r="BB271"/>
  <c r="BA271"/>
  <c r="BD281"/>
  <c r="BC281"/>
  <c r="BE281"/>
  <c r="BH281"/>
  <c r="BG281"/>
  <c r="BF281"/>
  <c r="BA281"/>
  <c r="BB281"/>
  <c r="BH61"/>
  <c r="BG61"/>
  <c r="BF61"/>
  <c r="BE61"/>
  <c r="BD61"/>
  <c r="BC61"/>
  <c r="BB61"/>
  <c r="BA61"/>
  <c r="BD305"/>
  <c r="BC305"/>
  <c r="BE305"/>
  <c r="BH305"/>
  <c r="BG305"/>
  <c r="BF305"/>
  <c r="BA305"/>
  <c r="BB305"/>
  <c r="BD434"/>
  <c r="BC434"/>
  <c r="BH434"/>
  <c r="BG434"/>
  <c r="BF434"/>
  <c r="BB434"/>
  <c r="BE434"/>
  <c r="BA434"/>
  <c r="BD461"/>
  <c r="BF461"/>
  <c r="BE461"/>
  <c r="BA461"/>
  <c r="BC461"/>
  <c r="BH461"/>
  <c r="BG461"/>
  <c r="BB461"/>
  <c r="BD483"/>
  <c r="BC483"/>
  <c r="BB483"/>
  <c r="BH483"/>
  <c r="BG483"/>
  <c r="BA483"/>
  <c r="BF483"/>
  <c r="BE483"/>
  <c r="BD352"/>
  <c r="BE352"/>
  <c r="BC352"/>
  <c r="BH352"/>
  <c r="BG352"/>
  <c r="BF352"/>
  <c r="BB352"/>
  <c r="BA352"/>
  <c r="BH249"/>
  <c r="BD249"/>
  <c r="BC249"/>
  <c r="BE249"/>
  <c r="BG249"/>
  <c r="BF249"/>
  <c r="BB249"/>
  <c r="BA249"/>
  <c r="BH510"/>
  <c r="BG510"/>
  <c r="BF510"/>
  <c r="BE510"/>
  <c r="BD510"/>
  <c r="BB510"/>
  <c r="BC510"/>
  <c r="BA510"/>
  <c r="BD400"/>
  <c r="BE400"/>
  <c r="BG400"/>
  <c r="BF400"/>
  <c r="BB400"/>
  <c r="BH400"/>
  <c r="BC400"/>
  <c r="BA400"/>
  <c r="BD365"/>
  <c r="BF365"/>
  <c r="BE365"/>
  <c r="BC365"/>
  <c r="BH365"/>
  <c r="BG365"/>
  <c r="BA365"/>
  <c r="BB365"/>
  <c r="BH92"/>
  <c r="BG92"/>
  <c r="BF92"/>
  <c r="BE92"/>
  <c r="BD92"/>
  <c r="BC92"/>
  <c r="BB92"/>
  <c r="BA92"/>
  <c r="BD341"/>
  <c r="BC341"/>
  <c r="BE341"/>
  <c r="BH341"/>
  <c r="BG341"/>
  <c r="BF341"/>
  <c r="BA341"/>
  <c r="BB341"/>
  <c r="BD379"/>
  <c r="BH379"/>
  <c r="BG379"/>
  <c r="BF379"/>
  <c r="BE379"/>
  <c r="BC379"/>
  <c r="BB379"/>
  <c r="BA379"/>
  <c r="BD413"/>
  <c r="BF413"/>
  <c r="BG413"/>
  <c r="BA413"/>
  <c r="BH413"/>
  <c r="BE413"/>
  <c r="BC413"/>
  <c r="BB413"/>
  <c r="BD283"/>
  <c r="BC283"/>
  <c r="BH283"/>
  <c r="BG283"/>
  <c r="BF283"/>
  <c r="BE283"/>
  <c r="BB283"/>
  <c r="BA283"/>
  <c r="BH135"/>
  <c r="BG135"/>
  <c r="BD135"/>
  <c r="BC135"/>
  <c r="BE135"/>
  <c r="BF135"/>
  <c r="BB135"/>
  <c r="BA135"/>
  <c r="BH74"/>
  <c r="BG74"/>
  <c r="BF74"/>
  <c r="BE74"/>
  <c r="BD74"/>
  <c r="BC74"/>
  <c r="BB74"/>
  <c r="BA74"/>
  <c r="BD412"/>
  <c r="BE412"/>
  <c r="BF412"/>
  <c r="BG412"/>
  <c r="BB412"/>
  <c r="BC412"/>
  <c r="BA412"/>
  <c r="BH412"/>
  <c r="BD345"/>
  <c r="BC345"/>
  <c r="BH345"/>
  <c r="BG345"/>
  <c r="BF345"/>
  <c r="BE345"/>
  <c r="BB345"/>
  <c r="BA345"/>
  <c r="BD498"/>
  <c r="BG498"/>
  <c r="BF498"/>
  <c r="BE498"/>
  <c r="BC498"/>
  <c r="BB498"/>
  <c r="BH498"/>
  <c r="BA498"/>
  <c r="BD436"/>
  <c r="BF436"/>
  <c r="BE436"/>
  <c r="BB436"/>
  <c r="BC436"/>
  <c r="BA436"/>
  <c r="BH436"/>
  <c r="BG436"/>
  <c r="BD401"/>
  <c r="BF401"/>
  <c r="BH401"/>
  <c r="BG401"/>
  <c r="BC401"/>
  <c r="BA401"/>
  <c r="BE401"/>
  <c r="BB401"/>
  <c r="BH164"/>
  <c r="BC164"/>
  <c r="BF164"/>
  <c r="BE164"/>
  <c r="BD164"/>
  <c r="BG164"/>
  <c r="BB164"/>
  <c r="BA164"/>
  <c r="BH98"/>
  <c r="BG98"/>
  <c r="BF98"/>
  <c r="BE98"/>
  <c r="BD98"/>
  <c r="BC98"/>
  <c r="BB98"/>
  <c r="BA98"/>
  <c r="BD322"/>
  <c r="BC322"/>
  <c r="BH322"/>
  <c r="BG322"/>
  <c r="BF322"/>
  <c r="BE322"/>
  <c r="BB322"/>
  <c r="BA322"/>
  <c r="BD415"/>
  <c r="BH415"/>
  <c r="BG415"/>
  <c r="BF415"/>
  <c r="BE415"/>
  <c r="BB415"/>
  <c r="BC415"/>
  <c r="BA415"/>
  <c r="BH56"/>
  <c r="BG56"/>
  <c r="BF56"/>
  <c r="BE56"/>
  <c r="BD56"/>
  <c r="BC56"/>
  <c r="BB56"/>
  <c r="BA56"/>
  <c r="BH120"/>
  <c r="BG120"/>
  <c r="BD120"/>
  <c r="BC120"/>
  <c r="BF120"/>
  <c r="BE120"/>
  <c r="BA120"/>
  <c r="BB120"/>
  <c r="BH140"/>
  <c r="BG140"/>
  <c r="BC140"/>
  <c r="BF140"/>
  <c r="BE140"/>
  <c r="BD140"/>
  <c r="BB140"/>
  <c r="BA140"/>
  <c r="BH252"/>
  <c r="BG252"/>
  <c r="BF252"/>
  <c r="BE252"/>
  <c r="BD252"/>
  <c r="BC252"/>
  <c r="BA252"/>
  <c r="BB252"/>
  <c r="BD468"/>
  <c r="BG468"/>
  <c r="BF468"/>
  <c r="BE468"/>
  <c r="BC468"/>
  <c r="BB468"/>
  <c r="BH468"/>
  <c r="BA468"/>
  <c r="BH247"/>
  <c r="BG247"/>
  <c r="BE247"/>
  <c r="BD247"/>
  <c r="BC247"/>
  <c r="BF247"/>
  <c r="BB247"/>
  <c r="BA247"/>
  <c r="BH133"/>
  <c r="BG133"/>
  <c r="BF133"/>
  <c r="BE133"/>
  <c r="BC133"/>
  <c r="BD133"/>
  <c r="BB133"/>
  <c r="BA133"/>
  <c r="BD282"/>
  <c r="BC282"/>
  <c r="BG282"/>
  <c r="BF282"/>
  <c r="BE282"/>
  <c r="BH282"/>
  <c r="BA282"/>
  <c r="BB282"/>
  <c r="BH226"/>
  <c r="BE226"/>
  <c r="BD226"/>
  <c r="BG226"/>
  <c r="BF226"/>
  <c r="BC226"/>
  <c r="BB226"/>
  <c r="BA226"/>
  <c r="BH191"/>
  <c r="BF191"/>
  <c r="BE191"/>
  <c r="BG191"/>
  <c r="BD191"/>
  <c r="BC191"/>
  <c r="BA191"/>
  <c r="BB191"/>
  <c r="BD287"/>
  <c r="BC287"/>
  <c r="BE287"/>
  <c r="BH287"/>
  <c r="BG287"/>
  <c r="BF287"/>
  <c r="BA287"/>
  <c r="BB287"/>
  <c r="BH197"/>
  <c r="BF197"/>
  <c r="BE197"/>
  <c r="BC197"/>
  <c r="BG197"/>
  <c r="BD197"/>
  <c r="BA197"/>
  <c r="BB197"/>
  <c r="BH68"/>
  <c r="BG68"/>
  <c r="BF68"/>
  <c r="BE68"/>
  <c r="BD68"/>
  <c r="BC68"/>
  <c r="BB68"/>
  <c r="BA68"/>
  <c r="BH76"/>
  <c r="BG76"/>
  <c r="BF76"/>
  <c r="BE76"/>
  <c r="BD76"/>
  <c r="BC76"/>
  <c r="BB76"/>
  <c r="BA76"/>
  <c r="BD378"/>
  <c r="BG378"/>
  <c r="BF378"/>
  <c r="BE378"/>
  <c r="BC378"/>
  <c r="BH378"/>
  <c r="BB378"/>
  <c r="BA378"/>
  <c r="BH46"/>
  <c r="BG46"/>
  <c r="BF46"/>
  <c r="BE46"/>
  <c r="BD46"/>
  <c r="BC46"/>
  <c r="BB46"/>
  <c r="BA46"/>
  <c r="BH200"/>
  <c r="BC200"/>
  <c r="BF200"/>
  <c r="BE200"/>
  <c r="BD200"/>
  <c r="BG200"/>
  <c r="BB200"/>
  <c r="BA200"/>
  <c r="BH146"/>
  <c r="BG146"/>
  <c r="BE146"/>
  <c r="BD146"/>
  <c r="BC146"/>
  <c r="BF146"/>
  <c r="BB146"/>
  <c r="BA146"/>
  <c r="BH228"/>
  <c r="BG228"/>
  <c r="BF228"/>
  <c r="BE228"/>
  <c r="BD228"/>
  <c r="BC228"/>
  <c r="BA228"/>
  <c r="BB228"/>
  <c r="BD480"/>
  <c r="BG480"/>
  <c r="BF480"/>
  <c r="BE480"/>
  <c r="BC480"/>
  <c r="BB480"/>
  <c r="BH480"/>
  <c r="BA480"/>
  <c r="BH134"/>
  <c r="BG134"/>
  <c r="BF134"/>
  <c r="BE134"/>
  <c r="BD134"/>
  <c r="BC134"/>
  <c r="BB134"/>
  <c r="BA134"/>
  <c r="BD347"/>
  <c r="BF347"/>
  <c r="BE347"/>
  <c r="BC347"/>
  <c r="BH347"/>
  <c r="BG347"/>
  <c r="BA347"/>
  <c r="BB347"/>
  <c r="BH124"/>
  <c r="BG124"/>
  <c r="BF124"/>
  <c r="BE124"/>
  <c r="BC124"/>
  <c r="BD124"/>
  <c r="BB124"/>
  <c r="BA124"/>
  <c r="BD317"/>
  <c r="BC317"/>
  <c r="BE317"/>
  <c r="BH317"/>
  <c r="BG317"/>
  <c r="BF317"/>
  <c r="BA317"/>
  <c r="BB317"/>
  <c r="BD280"/>
  <c r="BC280"/>
  <c r="BH280"/>
  <c r="BG280"/>
  <c r="BF280"/>
  <c r="BE280"/>
  <c r="BB280"/>
  <c r="BA280"/>
  <c r="BH70"/>
  <c r="BG70"/>
  <c r="BF70"/>
  <c r="BE70"/>
  <c r="BD70"/>
  <c r="BC70"/>
  <c r="BB70"/>
  <c r="BA70"/>
  <c r="BD392"/>
  <c r="BH392"/>
  <c r="BG392"/>
  <c r="BF392"/>
  <c r="BE392"/>
  <c r="BC392"/>
  <c r="BB392"/>
  <c r="BA392"/>
  <c r="BD355"/>
  <c r="BH355"/>
  <c r="BG355"/>
  <c r="BF355"/>
  <c r="BE355"/>
  <c r="BC355"/>
  <c r="BB355"/>
  <c r="BA355"/>
  <c r="BD491"/>
  <c r="BF491"/>
  <c r="BE491"/>
  <c r="BC491"/>
  <c r="BH491"/>
  <c r="BG491"/>
  <c r="BB491"/>
  <c r="BA491"/>
  <c r="BD501"/>
  <c r="BC501"/>
  <c r="BB501"/>
  <c r="BA501"/>
  <c r="BH501"/>
  <c r="BG501"/>
  <c r="BF501"/>
  <c r="BE501"/>
  <c r="BD447"/>
  <c r="BE447"/>
  <c r="BH447"/>
  <c r="BG447"/>
  <c r="BB447"/>
  <c r="BF447"/>
  <c r="BC447"/>
  <c r="BA447"/>
  <c r="BD331"/>
  <c r="BC331"/>
  <c r="BH331"/>
  <c r="BG331"/>
  <c r="BF331"/>
  <c r="BE331"/>
  <c r="BB331"/>
  <c r="BA331"/>
  <c r="BH217"/>
  <c r="BG217"/>
  <c r="BC217"/>
  <c r="BF217"/>
  <c r="BE217"/>
  <c r="BD217"/>
  <c r="BB217"/>
  <c r="BA217"/>
  <c r="BH264"/>
  <c r="BG264"/>
  <c r="BF264"/>
  <c r="BE264"/>
  <c r="BD264"/>
  <c r="BC264"/>
  <c r="BA264"/>
  <c r="BB264"/>
  <c r="BD449"/>
  <c r="BG449"/>
  <c r="BE449"/>
  <c r="BC449"/>
  <c r="BA449"/>
  <c r="BH449"/>
  <c r="BF449"/>
  <c r="BB449"/>
  <c r="BH269"/>
  <c r="BF269"/>
  <c r="BE269"/>
  <c r="BC269"/>
  <c r="BG269"/>
  <c r="BD269"/>
  <c r="BA269"/>
  <c r="BB269"/>
  <c r="BD439"/>
  <c r="BE439"/>
  <c r="BC439"/>
  <c r="BH439"/>
  <c r="BB439"/>
  <c r="BG439"/>
  <c r="BF439"/>
  <c r="BA439"/>
  <c r="BH127"/>
  <c r="BG127"/>
  <c r="BF127"/>
  <c r="BE127"/>
  <c r="BD127"/>
  <c r="BC127"/>
  <c r="BB127"/>
  <c r="BA127"/>
  <c r="BH205"/>
  <c r="BG205"/>
  <c r="BF205"/>
  <c r="BE205"/>
  <c r="BD205"/>
  <c r="BC205"/>
  <c r="BB205"/>
  <c r="BA205"/>
  <c r="BH233"/>
  <c r="BF233"/>
  <c r="BE233"/>
  <c r="BC233"/>
  <c r="BG233"/>
  <c r="BD233"/>
  <c r="BA233"/>
  <c r="BB233"/>
  <c r="BH89"/>
  <c r="BG89"/>
  <c r="BF89"/>
  <c r="BE89"/>
  <c r="BD89"/>
  <c r="BC89"/>
  <c r="BA89"/>
  <c r="BB89"/>
  <c r="BH73"/>
  <c r="BG73"/>
  <c r="BF73"/>
  <c r="BE73"/>
  <c r="BD73"/>
  <c r="BC73"/>
  <c r="BB73"/>
  <c r="BA73"/>
  <c r="BH130"/>
  <c r="BG130"/>
  <c r="BF130"/>
  <c r="BE130"/>
  <c r="BD130"/>
  <c r="BC130"/>
  <c r="BB130"/>
  <c r="BA130"/>
  <c r="BD494"/>
  <c r="BH494"/>
  <c r="BA494"/>
  <c r="BG494"/>
  <c r="BB494"/>
  <c r="BF494"/>
  <c r="BE494"/>
  <c r="BC494"/>
  <c r="BD451"/>
  <c r="BH451"/>
  <c r="BG451"/>
  <c r="BF451"/>
  <c r="BB451"/>
  <c r="BE451"/>
  <c r="BC451"/>
  <c r="BA451"/>
  <c r="BH69"/>
  <c r="BG69"/>
  <c r="BD69"/>
  <c r="BC69"/>
  <c r="BF69"/>
  <c r="BE69"/>
  <c r="BB69"/>
  <c r="BA69"/>
  <c r="BH80"/>
  <c r="BG80"/>
  <c r="BF80"/>
  <c r="BE80"/>
  <c r="BD80"/>
  <c r="BC80"/>
  <c r="BB80"/>
  <c r="BA80"/>
  <c r="BD403"/>
  <c r="BH403"/>
  <c r="BC403"/>
  <c r="BF403"/>
  <c r="BE403"/>
  <c r="BB403"/>
  <c r="BG403"/>
  <c r="BA403"/>
  <c r="BD289"/>
  <c r="BC289"/>
  <c r="BH289"/>
  <c r="BG289"/>
  <c r="BF289"/>
  <c r="BE289"/>
  <c r="BB289"/>
  <c r="BA289"/>
  <c r="BH51"/>
  <c r="BG51"/>
  <c r="BD51"/>
  <c r="BC51"/>
  <c r="BF51"/>
  <c r="BE51"/>
  <c r="BB51"/>
  <c r="BA51"/>
  <c r="BD373"/>
  <c r="BH373"/>
  <c r="BG373"/>
  <c r="BF373"/>
  <c r="BE373"/>
  <c r="BC373"/>
  <c r="BB373"/>
  <c r="BA373"/>
  <c r="BH248"/>
  <c r="BC248"/>
  <c r="BG248"/>
  <c r="BF248"/>
  <c r="BE248"/>
  <c r="BD248"/>
  <c r="BB248"/>
  <c r="BA248"/>
  <c r="BH216"/>
  <c r="BG216"/>
  <c r="BF216"/>
  <c r="BE216"/>
  <c r="BD216"/>
  <c r="BC216"/>
  <c r="BA216"/>
  <c r="BB216"/>
  <c r="BH207"/>
  <c r="BD207"/>
  <c r="BC207"/>
  <c r="BG207"/>
  <c r="BF207"/>
  <c r="BE207"/>
  <c r="BB207"/>
  <c r="BA207"/>
  <c r="BD398"/>
  <c r="BH398"/>
  <c r="BF398"/>
  <c r="BE398"/>
  <c r="BC398"/>
  <c r="BB398"/>
  <c r="BA398"/>
  <c r="BG398"/>
  <c r="BH101"/>
  <c r="BG101"/>
  <c r="BF101"/>
  <c r="BE101"/>
  <c r="BD101"/>
  <c r="BC101"/>
  <c r="BA101"/>
  <c r="BB101"/>
  <c r="BH181"/>
  <c r="BG181"/>
  <c r="BC181"/>
  <c r="BF181"/>
  <c r="BE181"/>
  <c r="BD181"/>
  <c r="BB181"/>
  <c r="BA181"/>
  <c r="BH103"/>
  <c r="BG103"/>
  <c r="BF103"/>
  <c r="BE103"/>
  <c r="BD103"/>
  <c r="BC103"/>
  <c r="BB103"/>
  <c r="BA103"/>
  <c r="BD333"/>
  <c r="BC333"/>
  <c r="BG333"/>
  <c r="BF333"/>
  <c r="BE333"/>
  <c r="BH333"/>
  <c r="BB333"/>
  <c r="BA333"/>
  <c r="BD404"/>
  <c r="BC404"/>
  <c r="BH404"/>
  <c r="BG404"/>
  <c r="BB404"/>
  <c r="BF404"/>
  <c r="BE404"/>
  <c r="BA404"/>
  <c r="BH275"/>
  <c r="BF275"/>
  <c r="BE275"/>
  <c r="BG275"/>
  <c r="BD275"/>
  <c r="BC275"/>
  <c r="BA275"/>
  <c r="BB275"/>
  <c r="BH213"/>
  <c r="BD213"/>
  <c r="BC213"/>
  <c r="BE213"/>
  <c r="BG213"/>
  <c r="BF213"/>
  <c r="BB213"/>
  <c r="BA213"/>
  <c r="BH159"/>
  <c r="BD159"/>
  <c r="BC159"/>
  <c r="BE159"/>
  <c r="BG159"/>
  <c r="BF159"/>
  <c r="BB159"/>
  <c r="BA159"/>
  <c r="BD452"/>
  <c r="BC452"/>
  <c r="BE452"/>
  <c r="BB452"/>
  <c r="BH452"/>
  <c r="BG452"/>
  <c r="BA452"/>
  <c r="BF452"/>
  <c r="BD327"/>
  <c r="BC327"/>
  <c r="BG327"/>
  <c r="BF327"/>
  <c r="BE327"/>
  <c r="BH327"/>
  <c r="BB327"/>
  <c r="BA327"/>
  <c r="BH179"/>
  <c r="BF179"/>
  <c r="BE179"/>
  <c r="BC179"/>
  <c r="BG179"/>
  <c r="BD179"/>
  <c r="BA179"/>
  <c r="BB179"/>
  <c r="BH91"/>
  <c r="BG91"/>
  <c r="BF91"/>
  <c r="BE91"/>
  <c r="BD91"/>
  <c r="BC91"/>
  <c r="BB91"/>
  <c r="BA91"/>
  <c r="BH161"/>
  <c r="BF161"/>
  <c r="BE161"/>
  <c r="BC161"/>
  <c r="BG161"/>
  <c r="BD161"/>
  <c r="BA161"/>
  <c r="BB161"/>
  <c r="BD397"/>
  <c r="BH397"/>
  <c r="BG397"/>
  <c r="BF397"/>
  <c r="BE397"/>
  <c r="BC397"/>
  <c r="BB397"/>
  <c r="BA397"/>
  <c r="BH193"/>
  <c r="BG193"/>
  <c r="BE193"/>
  <c r="BD193"/>
  <c r="BC193"/>
  <c r="BF193"/>
  <c r="BB193"/>
  <c r="BA193"/>
  <c r="BD453"/>
  <c r="BE453"/>
  <c r="BG453"/>
  <c r="BF453"/>
  <c r="BB453"/>
  <c r="BC453"/>
  <c r="BA453"/>
  <c r="BH453"/>
  <c r="BH506"/>
  <c r="BG506"/>
  <c r="BF506"/>
  <c r="BB506"/>
  <c r="BE506"/>
  <c r="BD506"/>
  <c r="BA506"/>
  <c r="BC506"/>
  <c r="BD323"/>
  <c r="BC323"/>
  <c r="BE323"/>
  <c r="BH323"/>
  <c r="BG323"/>
  <c r="BF323"/>
  <c r="BA323"/>
  <c r="BB323"/>
  <c r="BD285"/>
  <c r="BC285"/>
  <c r="BG285"/>
  <c r="BF285"/>
  <c r="BE285"/>
  <c r="BH285"/>
  <c r="BB285"/>
  <c r="BA285"/>
  <c r="BH231"/>
  <c r="BD231"/>
  <c r="BC231"/>
  <c r="BE231"/>
  <c r="BG231"/>
  <c r="BF231"/>
  <c r="BB231"/>
  <c r="BA231"/>
  <c r="BH109"/>
  <c r="BG109"/>
  <c r="BF109"/>
  <c r="BE109"/>
  <c r="BD109"/>
  <c r="BC109"/>
  <c r="BB109"/>
  <c r="BA109"/>
  <c r="BD389"/>
  <c r="BF389"/>
  <c r="BE389"/>
  <c r="BC389"/>
  <c r="BH389"/>
  <c r="BG389"/>
  <c r="BA389"/>
  <c r="BB389"/>
  <c r="BH131"/>
  <c r="BG131"/>
  <c r="BC131"/>
  <c r="BF131"/>
  <c r="BE131"/>
  <c r="BD131"/>
  <c r="BA131"/>
  <c r="BB131"/>
  <c r="BD321"/>
  <c r="BC321"/>
  <c r="BG321"/>
  <c r="BF321"/>
  <c r="BE321"/>
  <c r="BH321"/>
  <c r="BB321"/>
  <c r="BA321"/>
  <c r="BH219"/>
  <c r="BD219"/>
  <c r="BC219"/>
  <c r="BG219"/>
  <c r="BF219"/>
  <c r="BE219"/>
  <c r="BB219"/>
  <c r="BA219"/>
  <c r="BH126"/>
  <c r="BG126"/>
  <c r="BD126"/>
  <c r="BC126"/>
  <c r="BE126"/>
  <c r="BF126"/>
  <c r="BA126"/>
  <c r="BB126"/>
  <c r="BH203"/>
  <c r="BF203"/>
  <c r="BE203"/>
  <c r="BG203"/>
  <c r="BD203"/>
  <c r="BC203"/>
  <c r="BA203"/>
  <c r="BB203"/>
  <c r="BH94"/>
  <c r="BG94"/>
  <c r="BF94"/>
  <c r="BE94"/>
  <c r="BD94"/>
  <c r="BC94"/>
  <c r="BB94"/>
  <c r="BA94"/>
  <c r="BH96"/>
  <c r="BG96"/>
  <c r="BD96"/>
  <c r="BC96"/>
  <c r="BF96"/>
  <c r="BE96"/>
  <c r="BA96"/>
  <c r="BB96"/>
  <c r="BH40"/>
  <c r="BG40"/>
  <c r="BF40"/>
  <c r="BE40"/>
  <c r="BD40"/>
  <c r="BC40"/>
  <c r="BB40"/>
  <c r="BA40"/>
  <c r="BD348"/>
  <c r="BG348"/>
  <c r="BF348"/>
  <c r="BE348"/>
  <c r="BC348"/>
  <c r="BH348"/>
  <c r="BB348"/>
  <c r="BA348"/>
  <c r="BD442"/>
  <c r="BF442"/>
  <c r="BC442"/>
  <c r="BB442"/>
  <c r="BA442"/>
  <c r="BH442"/>
  <c r="BG442"/>
  <c r="BE442"/>
  <c r="BD407"/>
  <c r="BF407"/>
  <c r="BG407"/>
  <c r="BC407"/>
  <c r="BA407"/>
  <c r="BH407"/>
  <c r="BE407"/>
  <c r="BB407"/>
  <c r="BH162"/>
  <c r="BG162"/>
  <c r="BF162"/>
  <c r="BE162"/>
  <c r="BD162"/>
  <c r="BC162"/>
  <c r="BA162"/>
  <c r="BB162"/>
  <c r="BH128"/>
  <c r="BG128"/>
  <c r="BE128"/>
  <c r="BD128"/>
  <c r="BC128"/>
  <c r="BF128"/>
  <c r="BB128"/>
  <c r="BA128"/>
  <c r="BH53"/>
  <c r="BG53"/>
  <c r="BF53"/>
  <c r="BE53"/>
  <c r="BD53"/>
  <c r="BC53"/>
  <c r="BA53"/>
  <c r="BB53"/>
  <c r="BD292"/>
  <c r="BC292"/>
  <c r="BH292"/>
  <c r="BG292"/>
  <c r="BF292"/>
  <c r="BE292"/>
  <c r="BB292"/>
  <c r="BA292"/>
  <c r="BH41"/>
  <c r="BG41"/>
  <c r="BF41"/>
  <c r="BE41"/>
  <c r="BD41"/>
  <c r="BC41"/>
  <c r="BA41"/>
  <c r="BB41"/>
  <c r="BH262"/>
  <c r="BE262"/>
  <c r="BD262"/>
  <c r="BG262"/>
  <c r="BF262"/>
  <c r="BC262"/>
  <c r="BB262"/>
  <c r="BA262"/>
  <c r="BH227"/>
  <c r="BF227"/>
  <c r="BE227"/>
  <c r="BG227"/>
  <c r="BD227"/>
  <c r="BC227"/>
  <c r="BA227"/>
  <c r="BB227"/>
  <c r="BH125"/>
  <c r="BG125"/>
  <c r="BF125"/>
  <c r="BE125"/>
  <c r="BD125"/>
  <c r="BC125"/>
  <c r="BA125"/>
  <c r="BB125"/>
  <c r="BH222"/>
  <c r="BG222"/>
  <c r="BF222"/>
  <c r="BD222"/>
  <c r="BC222"/>
  <c r="BE222"/>
  <c r="BA222"/>
  <c r="BB222"/>
  <c r="BD474"/>
  <c r="BG474"/>
  <c r="BA474"/>
  <c r="BF474"/>
  <c r="BE474"/>
  <c r="BC474"/>
  <c r="BB474"/>
  <c r="BH474"/>
  <c r="BH253"/>
  <c r="BG253"/>
  <c r="BC253"/>
  <c r="BF253"/>
  <c r="BE253"/>
  <c r="BD253"/>
  <c r="BB253"/>
  <c r="BA253"/>
  <c r="BD362"/>
  <c r="BH362"/>
  <c r="BG362"/>
  <c r="BF362"/>
  <c r="BE362"/>
  <c r="BC362"/>
  <c r="BB362"/>
  <c r="BA362"/>
  <c r="BD279"/>
  <c r="BC279"/>
  <c r="BG279"/>
  <c r="BF279"/>
  <c r="BE279"/>
  <c r="BH279"/>
  <c r="BB279"/>
  <c r="BA279"/>
  <c r="BD344"/>
  <c r="BH344"/>
  <c r="BG344"/>
  <c r="BF344"/>
  <c r="BE344"/>
  <c r="BC344"/>
  <c r="BB344"/>
  <c r="BA344"/>
  <c r="BD454"/>
  <c r="BF454"/>
  <c r="BB454"/>
  <c r="BH454"/>
  <c r="BG454"/>
  <c r="BA454"/>
  <c r="BE454"/>
  <c r="BC454"/>
  <c r="BH258"/>
  <c r="BG258"/>
  <c r="BF258"/>
  <c r="BD258"/>
  <c r="BC258"/>
  <c r="BE258"/>
  <c r="BA258"/>
  <c r="BB258"/>
  <c r="BH122"/>
  <c r="BG122"/>
  <c r="BF122"/>
  <c r="BE122"/>
  <c r="BD122"/>
  <c r="BC122"/>
  <c r="BB122"/>
  <c r="BA122"/>
  <c r="BD446"/>
  <c r="BC446"/>
  <c r="BF446"/>
  <c r="BE446"/>
  <c r="BB446"/>
  <c r="BH446"/>
  <c r="BA446"/>
  <c r="BG446"/>
  <c r="BD374"/>
  <c r="BH374"/>
  <c r="BG374"/>
  <c r="BF374"/>
  <c r="BE374"/>
  <c r="BC374"/>
  <c r="BB374"/>
  <c r="BA374"/>
  <c r="BH138"/>
  <c r="BG138"/>
  <c r="BD138"/>
  <c r="BC138"/>
  <c r="BF138"/>
  <c r="BE138"/>
  <c r="BA138"/>
  <c r="BB138"/>
  <c r="BH82"/>
  <c r="BG82"/>
  <c r="BF82"/>
  <c r="BE82"/>
  <c r="BD82"/>
  <c r="BC82"/>
  <c r="BB82"/>
  <c r="BA82"/>
  <c r="BH47"/>
  <c r="BG47"/>
  <c r="BF47"/>
  <c r="BE47"/>
  <c r="BD47"/>
  <c r="BC47"/>
  <c r="BA47"/>
  <c r="BB47"/>
  <c r="BH268"/>
  <c r="BE268"/>
  <c r="BD268"/>
  <c r="BG268"/>
  <c r="BF268"/>
  <c r="BC268"/>
  <c r="BB268"/>
  <c r="BA268"/>
  <c r="BH44"/>
  <c r="BG44"/>
  <c r="BF44"/>
  <c r="BE44"/>
  <c r="BD44"/>
  <c r="BC44"/>
  <c r="BB44"/>
  <c r="BA44"/>
  <c r="BH251"/>
  <c r="BF251"/>
  <c r="BE251"/>
  <c r="BC251"/>
  <c r="BG251"/>
  <c r="BD251"/>
  <c r="BA251"/>
  <c r="BB251"/>
  <c r="BD466"/>
  <c r="BE466"/>
  <c r="BB466"/>
  <c r="BC466"/>
  <c r="BA466"/>
  <c r="BH466"/>
  <c r="BG466"/>
  <c r="BF466"/>
  <c r="BH508"/>
  <c r="BB508"/>
  <c r="BG508"/>
  <c r="BF508"/>
  <c r="BE508"/>
  <c r="BD508"/>
  <c r="BC508"/>
  <c r="BA508"/>
  <c r="BH254"/>
  <c r="BC254"/>
  <c r="BF254"/>
  <c r="BE254"/>
  <c r="BD254"/>
  <c r="BG254"/>
  <c r="BB254"/>
  <c r="BA254"/>
  <c r="BH232"/>
  <c r="BE232"/>
  <c r="BD232"/>
  <c r="BG232"/>
  <c r="BF232"/>
  <c r="BC232"/>
  <c r="BB232"/>
  <c r="BA232"/>
  <c r="BD402"/>
  <c r="BG402"/>
  <c r="BH402"/>
  <c r="BA402"/>
  <c r="BF402"/>
  <c r="BE402"/>
  <c r="BC402"/>
  <c r="BB402"/>
  <c r="BD502"/>
  <c r="BE502"/>
  <c r="BB502"/>
  <c r="BA502"/>
  <c r="BC502"/>
  <c r="BH502"/>
  <c r="BG502"/>
  <c r="BF502"/>
  <c r="BH84"/>
  <c r="BG84"/>
  <c r="BD84"/>
  <c r="BC84"/>
  <c r="BF84"/>
  <c r="BE84"/>
  <c r="BA84"/>
  <c r="BB84"/>
  <c r="BD306"/>
  <c r="BC306"/>
  <c r="BG306"/>
  <c r="BF306"/>
  <c r="BE306"/>
  <c r="BH306"/>
  <c r="BA306"/>
  <c r="BB306"/>
  <c r="BH218"/>
  <c r="BC218"/>
  <c r="BF218"/>
  <c r="BE218"/>
  <c r="BD218"/>
  <c r="BG218"/>
  <c r="BB218"/>
  <c r="BA218"/>
  <c r="BD440"/>
  <c r="BC440"/>
  <c r="BG440"/>
  <c r="BF440"/>
  <c r="BE440"/>
  <c r="BB440"/>
  <c r="BA440"/>
  <c r="BH440"/>
  <c r="BH174"/>
  <c r="BG174"/>
  <c r="BF174"/>
  <c r="BE174"/>
  <c r="BD174"/>
  <c r="BC174"/>
  <c r="BA174"/>
  <c r="BB174"/>
  <c r="BH118"/>
  <c r="BG118"/>
  <c r="BF118"/>
  <c r="BE118"/>
  <c r="BD118"/>
  <c r="BC118"/>
  <c r="BB118"/>
  <c r="BA118"/>
  <c r="BH83"/>
  <c r="BG83"/>
  <c r="BF83"/>
  <c r="BE83"/>
  <c r="BD83"/>
  <c r="BC83"/>
  <c r="BA83"/>
  <c r="BB83"/>
  <c r="BD477"/>
  <c r="BC477"/>
  <c r="BB477"/>
  <c r="BA477"/>
  <c r="BH477"/>
  <c r="BG477"/>
  <c r="BF477"/>
  <c r="BE477"/>
  <c r="BH265"/>
  <c r="BG265"/>
  <c r="BE265"/>
  <c r="BD265"/>
  <c r="BC265"/>
  <c r="BF265"/>
  <c r="BB265"/>
  <c r="BA265"/>
  <c r="BD488"/>
  <c r="BH488"/>
  <c r="BG488"/>
  <c r="BB488"/>
  <c r="BF488"/>
  <c r="BE488"/>
  <c r="BA488"/>
  <c r="BC488"/>
  <c r="BD350"/>
  <c r="BH350"/>
  <c r="BG350"/>
  <c r="BF350"/>
  <c r="BE350"/>
  <c r="BC350"/>
  <c r="BB350"/>
  <c r="BA350"/>
  <c r="BD455"/>
  <c r="BG455"/>
  <c r="BC455"/>
  <c r="BA455"/>
  <c r="BH455"/>
  <c r="BF455"/>
  <c r="BE455"/>
  <c r="BB455"/>
  <c r="BD340"/>
  <c r="BC340"/>
  <c r="BH340"/>
  <c r="BG340"/>
  <c r="BF340"/>
  <c r="BE340"/>
  <c r="BB340"/>
  <c r="BA340"/>
  <c r="BD425"/>
  <c r="BG425"/>
  <c r="BA425"/>
  <c r="BH425"/>
  <c r="BF425"/>
  <c r="BE425"/>
  <c r="BC425"/>
  <c r="BB425"/>
  <c r="BD496"/>
  <c r="BE496"/>
  <c r="BB496"/>
  <c r="BC496"/>
  <c r="BA496"/>
  <c r="BH496"/>
  <c r="BG496"/>
  <c r="BF496"/>
  <c r="BH178"/>
  <c r="BE178"/>
  <c r="BD178"/>
  <c r="BG178"/>
  <c r="BF178"/>
  <c r="BC178"/>
  <c r="BB178"/>
  <c r="BA178"/>
  <c r="BH121"/>
  <c r="BG121"/>
  <c r="BF121"/>
  <c r="BE121"/>
  <c r="BD121"/>
  <c r="BC121"/>
  <c r="BB121"/>
  <c r="BA121"/>
  <c r="BH42"/>
  <c r="BG42"/>
  <c r="BD42"/>
  <c r="BC42"/>
  <c r="BF42"/>
  <c r="BE42"/>
  <c r="BA42"/>
  <c r="BB42"/>
  <c r="BH195"/>
  <c r="BD195"/>
  <c r="BC195"/>
  <c r="BE195"/>
  <c r="BG195"/>
  <c r="BF195"/>
  <c r="BB195"/>
  <c r="BA195"/>
  <c r="BH152"/>
  <c r="BC152"/>
  <c r="BD152"/>
  <c r="BG152"/>
  <c r="BF152"/>
  <c r="BE152"/>
  <c r="BB152"/>
  <c r="BA152"/>
  <c r="BH86"/>
  <c r="BG86"/>
  <c r="BF86"/>
  <c r="BE86"/>
  <c r="BD86"/>
  <c r="BC86"/>
  <c r="BB86"/>
  <c r="BA86"/>
  <c r="BD475"/>
  <c r="BH475"/>
  <c r="BG475"/>
  <c r="BF475"/>
  <c r="BE475"/>
  <c r="BB475"/>
  <c r="BC475"/>
  <c r="BA475"/>
  <c r="BD361"/>
  <c r="BH361"/>
  <c r="BG361"/>
  <c r="BF361"/>
  <c r="BE361"/>
  <c r="BC361"/>
  <c r="BB361"/>
  <c r="BA361"/>
  <c r="BD464"/>
  <c r="BH464"/>
  <c r="BG464"/>
  <c r="BB464"/>
  <c r="BF464"/>
  <c r="BE464"/>
  <c r="BA464"/>
  <c r="BC464"/>
  <c r="BH117"/>
  <c r="BG117"/>
  <c r="BD117"/>
  <c r="BC117"/>
  <c r="BF117"/>
  <c r="BE117"/>
  <c r="BB117"/>
  <c r="BA117"/>
  <c r="BD448"/>
  <c r="BF448"/>
  <c r="BB448"/>
  <c r="BH448"/>
  <c r="BA448"/>
  <c r="BG448"/>
  <c r="BE448"/>
  <c r="BC448"/>
  <c r="BD485"/>
  <c r="BF485"/>
  <c r="BE485"/>
  <c r="BA485"/>
  <c r="BC485"/>
  <c r="BH485"/>
  <c r="BG485"/>
  <c r="BB485"/>
  <c r="BH189"/>
  <c r="BD189"/>
  <c r="BC189"/>
  <c r="BG189"/>
  <c r="BF189"/>
  <c r="BE189"/>
  <c r="BB189"/>
  <c r="BA189"/>
  <c r="BH238"/>
  <c r="BE238"/>
  <c r="BD238"/>
  <c r="BF238"/>
  <c r="BC238"/>
  <c r="BG238"/>
  <c r="BB238"/>
  <c r="BA238"/>
  <c r="BH223"/>
  <c r="BG223"/>
  <c r="BF223"/>
  <c r="BE223"/>
  <c r="BD223"/>
  <c r="BC223"/>
  <c r="BB223"/>
  <c r="BA223"/>
  <c r="BH90"/>
  <c r="BG90"/>
  <c r="BD90"/>
  <c r="BC90"/>
  <c r="BF90"/>
  <c r="BE90"/>
  <c r="BA90"/>
  <c r="BB90"/>
  <c r="BD291"/>
  <c r="BC291"/>
  <c r="BG291"/>
  <c r="BF291"/>
  <c r="BE291"/>
  <c r="BH291"/>
  <c r="BB291"/>
  <c r="BA291"/>
  <c r="BH224"/>
  <c r="BC224"/>
  <c r="BD224"/>
  <c r="BG224"/>
  <c r="BF224"/>
  <c r="BE224"/>
  <c r="BB224"/>
  <c r="BA224"/>
  <c r="BH158"/>
  <c r="BC158"/>
  <c r="BG158"/>
  <c r="BF158"/>
  <c r="BE158"/>
  <c r="BD158"/>
  <c r="BB158"/>
  <c r="BA158"/>
  <c r="BD433"/>
  <c r="BF433"/>
  <c r="BE433"/>
  <c r="BC433"/>
  <c r="BB433"/>
  <c r="BH433"/>
  <c r="BG433"/>
  <c r="BA433"/>
  <c r="BH165"/>
  <c r="BD165"/>
  <c r="BC165"/>
  <c r="BG165"/>
  <c r="BF165"/>
  <c r="BE165"/>
  <c r="BB165"/>
  <c r="BA165"/>
  <c r="BD382"/>
  <c r="BE382"/>
  <c r="BC382"/>
  <c r="BH382"/>
  <c r="BG382"/>
  <c r="BF382"/>
  <c r="BB382"/>
  <c r="BA382"/>
  <c r="BH234"/>
  <c r="BG234"/>
  <c r="BF234"/>
  <c r="BE234"/>
  <c r="BD234"/>
  <c r="BC234"/>
  <c r="BA234"/>
  <c r="BB234"/>
  <c r="BH274"/>
  <c r="BE274"/>
  <c r="BD274"/>
  <c r="BF274"/>
  <c r="BC274"/>
  <c r="BG274"/>
  <c r="BB274"/>
  <c r="BA274"/>
  <c r="BH137"/>
  <c r="BG137"/>
  <c r="BE137"/>
  <c r="BD137"/>
  <c r="BC137"/>
  <c r="BF137"/>
  <c r="BA137"/>
  <c r="BB137"/>
  <c r="BH45"/>
  <c r="BG45"/>
  <c r="BD45"/>
  <c r="BC45"/>
  <c r="BF45"/>
  <c r="BE45"/>
  <c r="BB45"/>
  <c r="BA45"/>
  <c r="BH136"/>
  <c r="BG136"/>
  <c r="BF136"/>
  <c r="BE136"/>
  <c r="BD136"/>
  <c r="BC136"/>
  <c r="BB136"/>
  <c r="BA136"/>
  <c r="BD418"/>
  <c r="BE418"/>
  <c r="BF418"/>
  <c r="BB418"/>
  <c r="BA418"/>
  <c r="BH418"/>
  <c r="BG418"/>
  <c r="BC418"/>
  <c r="BD342"/>
  <c r="BC342"/>
  <c r="BG342"/>
  <c r="BF342"/>
  <c r="BE342"/>
  <c r="BH342"/>
  <c r="BA342"/>
  <c r="BB342"/>
  <c r="BH256"/>
  <c r="BE256"/>
  <c r="BD256"/>
  <c r="BF256"/>
  <c r="BC256"/>
  <c r="BG256"/>
  <c r="BB256"/>
  <c r="BA256"/>
  <c r="BH221"/>
  <c r="BF221"/>
  <c r="BE221"/>
  <c r="BG221"/>
  <c r="BD221"/>
  <c r="BC221"/>
  <c r="BA221"/>
  <c r="BB221"/>
  <c r="BD297"/>
  <c r="BC297"/>
  <c r="BG297"/>
  <c r="BF297"/>
  <c r="BE297"/>
  <c r="BH297"/>
  <c r="BB297"/>
  <c r="BA297"/>
  <c r="BH243"/>
  <c r="BD243"/>
  <c r="BC243"/>
  <c r="BG243"/>
  <c r="BF243"/>
  <c r="BE243"/>
  <c r="BB243"/>
  <c r="BA243"/>
  <c r="BH38"/>
  <c r="BG38"/>
  <c r="BF38"/>
  <c r="BE38"/>
  <c r="BD38"/>
  <c r="BC38"/>
  <c r="BB38"/>
  <c r="BA38"/>
  <c r="BD430"/>
  <c r="BF430"/>
  <c r="BG430"/>
  <c r="BB430"/>
  <c r="BE430"/>
  <c r="BC430"/>
  <c r="BA430"/>
  <c r="BH430"/>
  <c r="BD429"/>
  <c r="BE429"/>
  <c r="BC429"/>
  <c r="BB429"/>
  <c r="BH429"/>
  <c r="BA429"/>
  <c r="BG429"/>
  <c r="BF429"/>
  <c r="BH257"/>
  <c r="BF257"/>
  <c r="BE257"/>
  <c r="BG257"/>
  <c r="BD257"/>
  <c r="BC257"/>
  <c r="BA257"/>
  <c r="BB257"/>
  <c r="BD478"/>
  <c r="BE478"/>
  <c r="BB478"/>
  <c r="BC478"/>
  <c r="BA478"/>
  <c r="BH478"/>
  <c r="BG478"/>
  <c r="BF478"/>
  <c r="BD443"/>
  <c r="BG443"/>
  <c r="BF443"/>
  <c r="BE443"/>
  <c r="BA443"/>
  <c r="BC443"/>
  <c r="BH443"/>
  <c r="BB443"/>
  <c r="BH157"/>
  <c r="BG157"/>
  <c r="BE157"/>
  <c r="BD157"/>
  <c r="BC157"/>
  <c r="BF157"/>
  <c r="BB157"/>
  <c r="BA157"/>
  <c r="BD396"/>
  <c r="BG396"/>
  <c r="BF396"/>
  <c r="BE396"/>
  <c r="BC396"/>
  <c r="BH396"/>
  <c r="BB396"/>
  <c r="BA396"/>
  <c r="BH272"/>
  <c r="BC272"/>
  <c r="BF272"/>
  <c r="BE272"/>
  <c r="BD272"/>
  <c r="BG272"/>
  <c r="BB272"/>
  <c r="BA272"/>
  <c r="BD376"/>
  <c r="BE376"/>
  <c r="BC376"/>
  <c r="BH376"/>
  <c r="BG376"/>
  <c r="BF376"/>
  <c r="BB376"/>
  <c r="BA376"/>
  <c r="BH273"/>
  <c r="BD273"/>
  <c r="BC273"/>
  <c r="BG273"/>
  <c r="BF273"/>
  <c r="BE273"/>
  <c r="BB273"/>
  <c r="BA273"/>
  <c r="BH180"/>
  <c r="BG180"/>
  <c r="BF180"/>
  <c r="BE180"/>
  <c r="BD180"/>
  <c r="BC180"/>
  <c r="BA180"/>
  <c r="BB180"/>
  <c r="BH95"/>
  <c r="BG95"/>
  <c r="BF95"/>
  <c r="BE95"/>
  <c r="BD95"/>
  <c r="BC95"/>
  <c r="BA95"/>
  <c r="BB95"/>
  <c r="BD486"/>
  <c r="BG486"/>
  <c r="BF486"/>
  <c r="BE486"/>
  <c r="BC486"/>
  <c r="BB486"/>
  <c r="BH486"/>
  <c r="BA486"/>
  <c r="BD482"/>
  <c r="BH482"/>
  <c r="BG482"/>
  <c r="BB482"/>
  <c r="BF482"/>
  <c r="BE482"/>
  <c r="BA482"/>
  <c r="BC482"/>
  <c r="BD432"/>
  <c r="BH432"/>
  <c r="BC432"/>
  <c r="BA432"/>
  <c r="BG432"/>
  <c r="BF432"/>
  <c r="BB432"/>
  <c r="BE432"/>
  <c r="BD399"/>
  <c r="BC399"/>
  <c r="BF399"/>
  <c r="BE399"/>
  <c r="BB399"/>
  <c r="BH399"/>
  <c r="BA399"/>
  <c r="BG399"/>
  <c r="BH241"/>
  <c r="BG241"/>
  <c r="BF241"/>
  <c r="BE241"/>
  <c r="BD241"/>
  <c r="BC241"/>
  <c r="BB241"/>
  <c r="BA241"/>
  <c r="BD391"/>
  <c r="BH391"/>
  <c r="BG391"/>
  <c r="BF391"/>
  <c r="BE391"/>
  <c r="BC391"/>
  <c r="BB391"/>
  <c r="BA391"/>
  <c r="BH277"/>
  <c r="BG277"/>
  <c r="BF277"/>
  <c r="BE277"/>
  <c r="BD277"/>
  <c r="BC277"/>
  <c r="BB277"/>
  <c r="BA277"/>
  <c r="BD360"/>
  <c r="BG360"/>
  <c r="BF360"/>
  <c r="BE360"/>
  <c r="BC360"/>
  <c r="BH360"/>
  <c r="BA360"/>
  <c r="BB360"/>
  <c r="BD298"/>
  <c r="BC298"/>
  <c r="BH298"/>
  <c r="BG298"/>
  <c r="BF298"/>
  <c r="BE298"/>
  <c r="BB298"/>
  <c r="BA298"/>
  <c r="BH263"/>
  <c r="BF263"/>
  <c r="BE263"/>
  <c r="BG263"/>
  <c r="BD263"/>
  <c r="BC263"/>
  <c r="BA263"/>
  <c r="BB263"/>
  <c r="BH48"/>
  <c r="BG48"/>
  <c r="BD48"/>
  <c r="BC48"/>
  <c r="BF48"/>
  <c r="BE48"/>
  <c r="BA48"/>
  <c r="BB48"/>
  <c r="BH255"/>
  <c r="BD255"/>
  <c r="BC255"/>
  <c r="BG255"/>
  <c r="BF255"/>
  <c r="BE255"/>
  <c r="BB255"/>
  <c r="BA255"/>
  <c r="BD409"/>
  <c r="BH409"/>
  <c r="BC409"/>
  <c r="BG409"/>
  <c r="BB409"/>
  <c r="BF409"/>
  <c r="BE409"/>
  <c r="BA409"/>
  <c r="BH235"/>
  <c r="BG235"/>
  <c r="BC235"/>
  <c r="BF235"/>
  <c r="BE235"/>
  <c r="BD235"/>
  <c r="BB235"/>
  <c r="BA235"/>
  <c r="BD368"/>
  <c r="BH368"/>
  <c r="BG368"/>
  <c r="BF368"/>
  <c r="BE368"/>
  <c r="BC368"/>
  <c r="BB368"/>
  <c r="BA368"/>
  <c r="BD424"/>
  <c r="BF424"/>
  <c r="BH424"/>
  <c r="BB424"/>
  <c r="BG424"/>
  <c r="BE424"/>
  <c r="BA424"/>
  <c r="BC424"/>
  <c r="BD288"/>
  <c r="BC288"/>
  <c r="BG288"/>
  <c r="BF288"/>
  <c r="BE288"/>
  <c r="BH288"/>
  <c r="BA288"/>
  <c r="BB288"/>
  <c r="BH55"/>
  <c r="BG55"/>
  <c r="BF55"/>
  <c r="BE55"/>
  <c r="BD55"/>
  <c r="BC55"/>
  <c r="BB55"/>
  <c r="BA55"/>
  <c r="BH211"/>
  <c r="BG211"/>
  <c r="BE211"/>
  <c r="BD211"/>
  <c r="BC211"/>
  <c r="BF211"/>
  <c r="BB211"/>
  <c r="BA211"/>
  <c r="BD336"/>
  <c r="BC336"/>
  <c r="BG336"/>
  <c r="BF336"/>
  <c r="BE336"/>
  <c r="BH336"/>
  <c r="BA336"/>
  <c r="BB336"/>
  <c r="BH110"/>
  <c r="BG110"/>
  <c r="BF110"/>
  <c r="BE110"/>
  <c r="BD110"/>
  <c r="BC110"/>
  <c r="BB110"/>
  <c r="BA110"/>
  <c r="BD337"/>
  <c r="BC337"/>
  <c r="BH337"/>
  <c r="BG337"/>
  <c r="BF337"/>
  <c r="BE337"/>
  <c r="BB337"/>
  <c r="BA337"/>
  <c r="BD463"/>
  <c r="BH463"/>
  <c r="BG463"/>
  <c r="BF463"/>
  <c r="BE463"/>
  <c r="BB463"/>
  <c r="BC463"/>
  <c r="BA463"/>
  <c r="BD349"/>
  <c r="BH349"/>
  <c r="BG349"/>
  <c r="BF349"/>
  <c r="BE349"/>
  <c r="BC349"/>
  <c r="BB349"/>
  <c r="BA349"/>
  <c r="BD312"/>
  <c r="BC312"/>
  <c r="BG312"/>
  <c r="BF312"/>
  <c r="BE312"/>
  <c r="BH312"/>
  <c r="BA312"/>
  <c r="BB312"/>
  <c r="BD334"/>
  <c r="BC334"/>
  <c r="BH334"/>
  <c r="BG334"/>
  <c r="BF334"/>
  <c r="BE334"/>
  <c r="BB334"/>
  <c r="BA334"/>
  <c r="BD299"/>
  <c r="BC299"/>
  <c r="BE299"/>
  <c r="BH299"/>
  <c r="BG299"/>
  <c r="BF299"/>
  <c r="BA299"/>
  <c r="BB299"/>
  <c r="BH156"/>
  <c r="BG156"/>
  <c r="BF156"/>
  <c r="BE156"/>
  <c r="BD156"/>
  <c r="BC156"/>
  <c r="BA156"/>
  <c r="BB156"/>
  <c r="BD316"/>
  <c r="BC316"/>
  <c r="BH316"/>
  <c r="BG316"/>
  <c r="BF316"/>
  <c r="BE316"/>
  <c r="BB316"/>
  <c r="BA316"/>
  <c r="BH100"/>
  <c r="BG100"/>
  <c r="BF100"/>
  <c r="BE100"/>
  <c r="BD100"/>
  <c r="BC100"/>
  <c r="BB100"/>
  <c r="BA100"/>
  <c r="BD469"/>
  <c r="BH469"/>
  <c r="BG469"/>
  <c r="BF469"/>
  <c r="BE469"/>
  <c r="BB469"/>
  <c r="BC469"/>
  <c r="BA469"/>
  <c r="BD481"/>
  <c r="BH481"/>
  <c r="BG481"/>
  <c r="BF481"/>
  <c r="BE481"/>
  <c r="BB481"/>
  <c r="BC481"/>
  <c r="BA481"/>
  <c r="BD470"/>
  <c r="BH470"/>
  <c r="BG470"/>
  <c r="BB470"/>
  <c r="BF470"/>
  <c r="BE470"/>
  <c r="BA470"/>
  <c r="BC470"/>
  <c r="BD326"/>
  <c r="BC326"/>
  <c r="BE326"/>
  <c r="BH326"/>
  <c r="BG326"/>
  <c r="BF326"/>
  <c r="BB326"/>
  <c r="BA326"/>
  <c r="BD295"/>
  <c r="BC295"/>
  <c r="BH295"/>
  <c r="BG295"/>
  <c r="BF295"/>
  <c r="BE295"/>
  <c r="BB295"/>
  <c r="BA295"/>
  <c r="BH201"/>
  <c r="BD201"/>
  <c r="BC201"/>
  <c r="BG201"/>
  <c r="BF201"/>
  <c r="BE201"/>
  <c r="BB201"/>
  <c r="BA201"/>
  <c r="BH144"/>
  <c r="BG144"/>
  <c r="BD144"/>
  <c r="BC144"/>
  <c r="BE144"/>
  <c r="BF144"/>
  <c r="BA144"/>
  <c r="BB144"/>
  <c r="BD504"/>
  <c r="BG504"/>
  <c r="BA504"/>
  <c r="BF504"/>
  <c r="BE504"/>
  <c r="BC504"/>
  <c r="BB504"/>
  <c r="BH504"/>
  <c r="BD338"/>
  <c r="BC338"/>
  <c r="BE338"/>
  <c r="BH338"/>
  <c r="BG338"/>
  <c r="BF338"/>
  <c r="BB338"/>
  <c r="BA338"/>
  <c r="BH97"/>
  <c r="BG97"/>
  <c r="BF97"/>
  <c r="BE97"/>
  <c r="BD97"/>
  <c r="BC97"/>
  <c r="BB97"/>
  <c r="BA97"/>
  <c r="BH512"/>
  <c r="BA512"/>
  <c r="BG512"/>
  <c r="BF512"/>
  <c r="BB512"/>
  <c r="BE512"/>
  <c r="BD512"/>
  <c r="BC512"/>
  <c r="BH210"/>
  <c r="BG210"/>
  <c r="BF210"/>
  <c r="BE210"/>
  <c r="BD210"/>
  <c r="BC210"/>
  <c r="BA210"/>
  <c r="BB210"/>
  <c r="BH154"/>
  <c r="BE154"/>
  <c r="BD154"/>
  <c r="BG154"/>
  <c r="BF154"/>
  <c r="BC154"/>
  <c r="BB154"/>
  <c r="BA154"/>
  <c r="BH119"/>
  <c r="BG119"/>
  <c r="BF119"/>
  <c r="BE119"/>
  <c r="BD119"/>
  <c r="BC119"/>
  <c r="BA119"/>
  <c r="BB119"/>
  <c r="BH52"/>
  <c r="BG52"/>
  <c r="BF52"/>
  <c r="BE52"/>
  <c r="BD52"/>
  <c r="BC52"/>
  <c r="BB52"/>
  <c r="BA52"/>
  <c r="BH166"/>
  <c r="BE166"/>
  <c r="BD166"/>
  <c r="BF166"/>
  <c r="BC166"/>
  <c r="BG166"/>
  <c r="BB166"/>
  <c r="BA166"/>
  <c r="BH199"/>
  <c r="BG199"/>
  <c r="BC199"/>
  <c r="BF199"/>
  <c r="BE199"/>
  <c r="BD199"/>
  <c r="BB199"/>
  <c r="BA199"/>
  <c r="BH511"/>
  <c r="BG511"/>
  <c r="BF511"/>
  <c r="BE511"/>
  <c r="BB511"/>
  <c r="BD511"/>
  <c r="BC511"/>
  <c r="BA511"/>
  <c r="BD417"/>
  <c r="BC417"/>
  <c r="BE417"/>
  <c r="BH417"/>
  <c r="BG417"/>
  <c r="BB417"/>
  <c r="BF417"/>
  <c r="BA417"/>
  <c r="BH192"/>
  <c r="BG192"/>
  <c r="BF192"/>
  <c r="BE192"/>
  <c r="BD192"/>
  <c r="BC192"/>
  <c r="BA192"/>
  <c r="BB192"/>
  <c r="BD372"/>
  <c r="BG372"/>
  <c r="BF372"/>
  <c r="BE372"/>
  <c r="BC372"/>
  <c r="BH372"/>
  <c r="BA372"/>
  <c r="BB372"/>
  <c r="BD428"/>
  <c r="BC428"/>
  <c r="BH428"/>
  <c r="BG428"/>
  <c r="BB428"/>
  <c r="BF428"/>
  <c r="BE428"/>
  <c r="BA428"/>
  <c r="BH175"/>
  <c r="BG175"/>
  <c r="BE175"/>
  <c r="BD175"/>
  <c r="BC175"/>
  <c r="BF175"/>
  <c r="BB175"/>
  <c r="BA175"/>
  <c r="BH67"/>
  <c r="BG67"/>
  <c r="BF67"/>
  <c r="BE67"/>
  <c r="BD67"/>
  <c r="BC67"/>
  <c r="BB67"/>
  <c r="BA67"/>
  <c r="BH246"/>
  <c r="BG246"/>
  <c r="BF246"/>
  <c r="BE246"/>
  <c r="BD246"/>
  <c r="BC246"/>
  <c r="BA246"/>
  <c r="BB246"/>
  <c r="BH190"/>
  <c r="BE190"/>
  <c r="BD190"/>
  <c r="BG190"/>
  <c r="BF190"/>
  <c r="BC190"/>
  <c r="BB190"/>
  <c r="BA190"/>
  <c r="BH155"/>
  <c r="BF155"/>
  <c r="BE155"/>
  <c r="BG155"/>
  <c r="BD155"/>
  <c r="BC155"/>
  <c r="BA155"/>
  <c r="BB155"/>
  <c r="BH114"/>
  <c r="BG114"/>
  <c r="BD114"/>
  <c r="BC114"/>
  <c r="BF114"/>
  <c r="BE114"/>
  <c r="BA114"/>
  <c r="BB114"/>
  <c r="BH54"/>
  <c r="BG54"/>
  <c r="BD54"/>
  <c r="BC54"/>
  <c r="BF54"/>
  <c r="BE54"/>
  <c r="BA54"/>
  <c r="BB54"/>
  <c r="BD351"/>
  <c r="BC351"/>
  <c r="BH351"/>
  <c r="BG351"/>
  <c r="BF351"/>
  <c r="BE351"/>
  <c r="BB351"/>
  <c r="BA351"/>
  <c r="BH194"/>
  <c r="BC194"/>
  <c r="BG194"/>
  <c r="BF194"/>
  <c r="BE194"/>
  <c r="BD194"/>
  <c r="BB194"/>
  <c r="BA194"/>
  <c r="BD460"/>
  <c r="BE460"/>
  <c r="BB460"/>
  <c r="BC460"/>
  <c r="BA460"/>
  <c r="BH460"/>
  <c r="BG460"/>
  <c r="BF460"/>
  <c r="BD465"/>
  <c r="BC465"/>
  <c r="BB465"/>
  <c r="BH465"/>
  <c r="BG465"/>
  <c r="BA465"/>
  <c r="BF465"/>
  <c r="BE465"/>
  <c r="BH59"/>
  <c r="BG59"/>
  <c r="BF59"/>
  <c r="BE59"/>
  <c r="BD59"/>
  <c r="BC59"/>
  <c r="BA59"/>
  <c r="BB59"/>
  <c r="BD472"/>
  <c r="BE472"/>
  <c r="BB472"/>
  <c r="BC472"/>
  <c r="BA472"/>
  <c r="BH472"/>
  <c r="BG472"/>
  <c r="BF472"/>
  <c r="BD437"/>
  <c r="BG437"/>
  <c r="BH437"/>
  <c r="BF437"/>
  <c r="BA437"/>
  <c r="BE437"/>
  <c r="BC437"/>
  <c r="BB437"/>
  <c r="BH236"/>
  <c r="BC236"/>
  <c r="BF236"/>
  <c r="BE236"/>
  <c r="BD236"/>
  <c r="BG236"/>
  <c r="BB236"/>
  <c r="BA236"/>
  <c r="BH170"/>
  <c r="BC170"/>
  <c r="BD170"/>
  <c r="BG170"/>
  <c r="BF170"/>
  <c r="BE170"/>
  <c r="BB170"/>
  <c r="BA170"/>
  <c r="BH261"/>
  <c r="BD261"/>
  <c r="BC261"/>
  <c r="BG261"/>
  <c r="BF261"/>
  <c r="BE261"/>
  <c r="BB261"/>
  <c r="BA261"/>
  <c r="BH183"/>
  <c r="BD183"/>
  <c r="BC183"/>
  <c r="BG183"/>
  <c r="BF183"/>
  <c r="BE183"/>
  <c r="BB183"/>
  <c r="BA183"/>
  <c r="BD300"/>
  <c r="BC300"/>
  <c r="BG300"/>
  <c r="BF300"/>
  <c r="BE300"/>
  <c r="BH300"/>
  <c r="BA300"/>
  <c r="BB300"/>
  <c r="BH132"/>
  <c r="BG132"/>
  <c r="BD132"/>
  <c r="BC132"/>
  <c r="BF132"/>
  <c r="BE132"/>
  <c r="BA132"/>
  <c r="BB132"/>
  <c r="BD473"/>
  <c r="BF473"/>
  <c r="BE473"/>
  <c r="BA473"/>
  <c r="BC473"/>
  <c r="BH473"/>
  <c r="BG473"/>
  <c r="BB473"/>
  <c r="BD369"/>
  <c r="BC369"/>
  <c r="BH369"/>
  <c r="BG369"/>
  <c r="BF369"/>
  <c r="BE369"/>
  <c r="BB369"/>
  <c r="BA369"/>
  <c r="BD315"/>
  <c r="BC315"/>
  <c r="BG315"/>
  <c r="BF315"/>
  <c r="BE315"/>
  <c r="BH315"/>
  <c r="BB315"/>
  <c r="BA315"/>
  <c r="BD422"/>
  <c r="BC422"/>
  <c r="BH422"/>
  <c r="BG422"/>
  <c r="BB422"/>
  <c r="BF422"/>
  <c r="BE422"/>
  <c r="BA422"/>
  <c r="BD366"/>
  <c r="BG366"/>
  <c r="BF366"/>
  <c r="BE366"/>
  <c r="BC366"/>
  <c r="BH366"/>
  <c r="BB366"/>
  <c r="BA366"/>
  <c r="BD290"/>
  <c r="BC290"/>
  <c r="BE290"/>
  <c r="BH290"/>
  <c r="BG290"/>
  <c r="BF290"/>
  <c r="BB290"/>
  <c r="BA290"/>
  <c r="BD381"/>
  <c r="BC381"/>
  <c r="BH381"/>
  <c r="BG381"/>
  <c r="BF381"/>
  <c r="BE381"/>
  <c r="BB381"/>
  <c r="BA381"/>
  <c r="BD450"/>
  <c r="BH450"/>
  <c r="BG450"/>
  <c r="BF450"/>
  <c r="BE450"/>
  <c r="BC450"/>
  <c r="BB450"/>
  <c r="BA450"/>
  <c r="BD476"/>
  <c r="BH476"/>
  <c r="BG476"/>
  <c r="BB476"/>
  <c r="BF476"/>
  <c r="BE476"/>
  <c r="BA476"/>
  <c r="BC476"/>
  <c r="BD356"/>
  <c r="BH356"/>
  <c r="BG356"/>
  <c r="BF356"/>
  <c r="BE356"/>
  <c r="BC356"/>
  <c r="BB356"/>
  <c r="BA356"/>
  <c r="BH266"/>
  <c r="BC266"/>
  <c r="BG266"/>
  <c r="BF266"/>
  <c r="BE266"/>
  <c r="BD266"/>
  <c r="BB266"/>
  <c r="BA266"/>
  <c r="BD294"/>
  <c r="BC294"/>
  <c r="BG294"/>
  <c r="BF294"/>
  <c r="BE294"/>
  <c r="BH294"/>
  <c r="BA294"/>
  <c r="BB294"/>
  <c r="BD311"/>
  <c r="BC311"/>
  <c r="BE311"/>
  <c r="BH311"/>
  <c r="BG311"/>
  <c r="BF311"/>
  <c r="BA311"/>
  <c r="BB311"/>
  <c r="BH229"/>
  <c r="BG229"/>
  <c r="BE229"/>
  <c r="BD229"/>
  <c r="BC229"/>
  <c r="BF229"/>
  <c r="BB229"/>
  <c r="BA229"/>
  <c r="BH202"/>
  <c r="BE202"/>
  <c r="BD202"/>
  <c r="BF202"/>
  <c r="BC202"/>
  <c r="BG202"/>
  <c r="BB202"/>
  <c r="BA202"/>
  <c r="BH168"/>
  <c r="BG168"/>
  <c r="BF168"/>
  <c r="BD168"/>
  <c r="BC168"/>
  <c r="BE168"/>
  <c r="BA168"/>
  <c r="BB168"/>
  <c r="BH112"/>
  <c r="BG112"/>
  <c r="BF112"/>
  <c r="BE112"/>
  <c r="BD112"/>
  <c r="BC112"/>
  <c r="BB112"/>
  <c r="BA112"/>
  <c r="BH77"/>
  <c r="BG77"/>
  <c r="BF77"/>
  <c r="BE77"/>
  <c r="BD77"/>
  <c r="BC77"/>
  <c r="BA77"/>
  <c r="BB77"/>
  <c r="BD479"/>
  <c r="BF479"/>
  <c r="BE479"/>
  <c r="BC479"/>
  <c r="BH479"/>
  <c r="BG479"/>
  <c r="BB479"/>
  <c r="BA479"/>
  <c r="BD499"/>
  <c r="BH499"/>
  <c r="BG499"/>
  <c r="BF499"/>
  <c r="BE499"/>
  <c r="BB499"/>
  <c r="BC499"/>
  <c r="BA499"/>
  <c r="BH72"/>
  <c r="BG72"/>
  <c r="BD72"/>
  <c r="BC72"/>
  <c r="BF72"/>
  <c r="BE72"/>
  <c r="BA72"/>
  <c r="BB72"/>
  <c r="BH186"/>
  <c r="BG186"/>
  <c r="BF186"/>
  <c r="BD186"/>
  <c r="BC186"/>
  <c r="BE186"/>
  <c r="BA186"/>
  <c r="BB186"/>
  <c r="BH198"/>
  <c r="BG198"/>
  <c r="BF198"/>
  <c r="BE198"/>
  <c r="BD198"/>
  <c r="BC198"/>
  <c r="BA198"/>
  <c r="BB198"/>
  <c r="BD319"/>
  <c r="BC319"/>
  <c r="BH319"/>
  <c r="BG319"/>
  <c r="BF319"/>
  <c r="BE319"/>
  <c r="BB319"/>
  <c r="BA319"/>
  <c r="BH151"/>
  <c r="BG151"/>
  <c r="BF151"/>
  <c r="BE151"/>
  <c r="BD151"/>
  <c r="BC151"/>
  <c r="BB151"/>
  <c r="BA151"/>
  <c r="BH212"/>
  <c r="BC212"/>
  <c r="BG212"/>
  <c r="BF212"/>
  <c r="BE212"/>
  <c r="BD212"/>
  <c r="BB212"/>
  <c r="BA212"/>
  <c r="BD489"/>
  <c r="BC489"/>
  <c r="BA489"/>
  <c r="BB489"/>
  <c r="BH489"/>
  <c r="BG489"/>
  <c r="BF489"/>
  <c r="BE489"/>
  <c r="BD456"/>
  <c r="BH456"/>
  <c r="BF456"/>
  <c r="BA456"/>
  <c r="BE456"/>
  <c r="BC456"/>
  <c r="BB456"/>
  <c r="BG456"/>
  <c r="BD359"/>
  <c r="BF359"/>
  <c r="BE359"/>
  <c r="BC359"/>
  <c r="BH359"/>
  <c r="BG359"/>
  <c r="BA359"/>
  <c r="BB359"/>
  <c r="BD325"/>
  <c r="BC325"/>
  <c r="BH325"/>
  <c r="BG325"/>
  <c r="BF325"/>
  <c r="BE325"/>
  <c r="BB325"/>
  <c r="BA325"/>
  <c r="BH250"/>
  <c r="BE250"/>
  <c r="BD250"/>
  <c r="BG250"/>
  <c r="BF250"/>
  <c r="BC250"/>
  <c r="BB250"/>
  <c r="BA250"/>
  <c r="BH204"/>
  <c r="BG204"/>
  <c r="BF204"/>
  <c r="BD204"/>
  <c r="BC204"/>
  <c r="BE204"/>
  <c r="BA204"/>
  <c r="BB204"/>
  <c r="BH148"/>
  <c r="BE148"/>
  <c r="BD148"/>
  <c r="BF148"/>
  <c r="BC148"/>
  <c r="BG148"/>
  <c r="BB148"/>
  <c r="BA148"/>
  <c r="BH113"/>
  <c r="BG113"/>
  <c r="BF113"/>
  <c r="BE113"/>
  <c r="BD113"/>
  <c r="BC113"/>
  <c r="BA113"/>
  <c r="BB113"/>
  <c r="BH87"/>
  <c r="BG87"/>
  <c r="BD87"/>
  <c r="BC87"/>
  <c r="BF87"/>
  <c r="BE87"/>
  <c r="BB87"/>
  <c r="BA87"/>
  <c r="BD318"/>
  <c r="BC318"/>
  <c r="BG318"/>
  <c r="BF318"/>
  <c r="BE318"/>
  <c r="BH318"/>
  <c r="BA318"/>
  <c r="BB318"/>
  <c r="BH169"/>
  <c r="BG169"/>
  <c r="BF169"/>
  <c r="BE169"/>
  <c r="BD169"/>
  <c r="BC169"/>
  <c r="BB169"/>
  <c r="BA169"/>
  <c r="BD495"/>
  <c r="BC495"/>
  <c r="BB495"/>
  <c r="BH495"/>
  <c r="BG495"/>
  <c r="BF495"/>
  <c r="BE495"/>
  <c r="BA495"/>
  <c r="BD484"/>
  <c r="BE484"/>
  <c r="BB484"/>
  <c r="BC484"/>
  <c r="BA484"/>
  <c r="BH484"/>
  <c r="BG484"/>
  <c r="BF484"/>
  <c r="BD332"/>
  <c r="BC332"/>
  <c r="BE332"/>
  <c r="BH332"/>
  <c r="BG332"/>
  <c r="BF332"/>
  <c r="BB332"/>
  <c r="BA332"/>
  <c r="BD384"/>
  <c r="BG384"/>
  <c r="BF384"/>
  <c r="BE384"/>
  <c r="BC384"/>
  <c r="BH384"/>
  <c r="BB384"/>
  <c r="BA384"/>
  <c r="BD394"/>
  <c r="BE394"/>
  <c r="BC394"/>
  <c r="BH394"/>
  <c r="BG394"/>
  <c r="BF394"/>
  <c r="BB394"/>
  <c r="BA394"/>
  <c r="BH71"/>
  <c r="BG71"/>
  <c r="BF71"/>
  <c r="BE71"/>
  <c r="BD71"/>
  <c r="BC71"/>
  <c r="BA71"/>
  <c r="BB71"/>
  <c r="BD307"/>
  <c r="BC307"/>
  <c r="BH307"/>
  <c r="BG307"/>
  <c r="BF307"/>
  <c r="BE307"/>
  <c r="BB307"/>
  <c r="BA307"/>
  <c r="BH206"/>
  <c r="BC206"/>
  <c r="BD206"/>
  <c r="BG206"/>
  <c r="BF206"/>
  <c r="BE206"/>
  <c r="BB206"/>
  <c r="BA206"/>
  <c r="BD457"/>
  <c r="BH457"/>
  <c r="BG457"/>
  <c r="BF457"/>
  <c r="BE457"/>
  <c r="BB457"/>
  <c r="BC457"/>
  <c r="BA457"/>
  <c r="BD421"/>
  <c r="BH421"/>
  <c r="BF421"/>
  <c r="BE421"/>
  <c r="BC421"/>
  <c r="BB421"/>
  <c r="BG421"/>
  <c r="BA421"/>
  <c r="BD444"/>
  <c r="BH444"/>
  <c r="BA444"/>
  <c r="BG444"/>
  <c r="BF444"/>
  <c r="BE444"/>
  <c r="BC444"/>
  <c r="BB444"/>
  <c r="BD370"/>
  <c r="BE370"/>
  <c r="BC370"/>
  <c r="BH370"/>
  <c r="BG370"/>
  <c r="BF370"/>
  <c r="BB370"/>
  <c r="BA370"/>
  <c r="BD335"/>
  <c r="BC335"/>
  <c r="BE335"/>
  <c r="BH335"/>
  <c r="BG335"/>
  <c r="BF335"/>
  <c r="BA335"/>
  <c r="BB335"/>
  <c r="AW163"/>
  <c r="AU163"/>
  <c r="AX163"/>
  <c r="AW420"/>
  <c r="AU420"/>
  <c r="AX420"/>
  <c r="AX111"/>
  <c r="AW111"/>
  <c r="AU111"/>
  <c r="AW503"/>
  <c r="AU503"/>
  <c r="AX503"/>
  <c r="AU143"/>
  <c r="AW143"/>
  <c r="AX143"/>
  <c r="AW416"/>
  <c r="AX416"/>
  <c r="AU416"/>
  <c r="AU60"/>
  <c r="AW60"/>
  <c r="AX60"/>
  <c r="AW493"/>
  <c r="AU493"/>
  <c r="AX493"/>
  <c r="AW324"/>
  <c r="AU324"/>
  <c r="AX324"/>
  <c r="AX406"/>
  <c r="AW406"/>
  <c r="AU406"/>
  <c r="AW371"/>
  <c r="AX371"/>
  <c r="AU371"/>
  <c r="AU239"/>
  <c r="AW239"/>
  <c r="AX239"/>
  <c r="AW301"/>
  <c r="AU301"/>
  <c r="AX301"/>
  <c r="AU209"/>
  <c r="AX209"/>
  <c r="AW209"/>
  <c r="AX64"/>
  <c r="AU64"/>
  <c r="AW64"/>
  <c r="AW313"/>
  <c r="AU313"/>
  <c r="AX313"/>
  <c r="AW176"/>
  <c r="AX176"/>
  <c r="AU176"/>
  <c r="AW139"/>
  <c r="AU139"/>
  <c r="AX139"/>
  <c r="AW383"/>
  <c r="AU383"/>
  <c r="AX383"/>
  <c r="AX357"/>
  <c r="AW357"/>
  <c r="AU357"/>
  <c r="AX303"/>
  <c r="AW303"/>
  <c r="AU303"/>
  <c r="AW187"/>
  <c r="AU187"/>
  <c r="AX187"/>
  <c r="AW79"/>
  <c r="AU79"/>
  <c r="AX79"/>
  <c r="AW414"/>
  <c r="AU414"/>
  <c r="AX414"/>
  <c r="AX147"/>
  <c r="AW147"/>
  <c r="AU147"/>
  <c r="AW431"/>
  <c r="AU431"/>
  <c r="AX431"/>
  <c r="AX375"/>
  <c r="AU375"/>
  <c r="AW375"/>
  <c r="AW302"/>
  <c r="AX302"/>
  <c r="AU302"/>
  <c r="AW242"/>
  <c r="AX242"/>
  <c r="AU242"/>
  <c r="AU65"/>
  <c r="AX65"/>
  <c r="AW65"/>
  <c r="AX309"/>
  <c r="AW309"/>
  <c r="AU309"/>
  <c r="AW260"/>
  <c r="AX260"/>
  <c r="AU260"/>
  <c r="AW49"/>
  <c r="AU49"/>
  <c r="AX49"/>
  <c r="AU173"/>
  <c r="AX173"/>
  <c r="AW173"/>
  <c r="AX393"/>
  <c r="AW393"/>
  <c r="AU393"/>
  <c r="AU438"/>
  <c r="AW438"/>
  <c r="AX438"/>
  <c r="AX177"/>
  <c r="AW177"/>
  <c r="AU177"/>
  <c r="AU245"/>
  <c r="AX245"/>
  <c r="AW245"/>
  <c r="AX267"/>
  <c r="AU267"/>
  <c r="AW267"/>
  <c r="AX244"/>
  <c r="AU244"/>
  <c r="AW244"/>
  <c r="AX39"/>
  <c r="AW39"/>
  <c r="AU39"/>
  <c r="AU462"/>
  <c r="AW462"/>
  <c r="AX462"/>
  <c r="AX328"/>
  <c r="AW328"/>
  <c r="AU328"/>
  <c r="AU293"/>
  <c r="AX293"/>
  <c r="AW293"/>
  <c r="AX441"/>
  <c r="AW441"/>
  <c r="AU441"/>
  <c r="AX387"/>
  <c r="AU387"/>
  <c r="AW387"/>
  <c r="AW43"/>
  <c r="AU43"/>
  <c r="AX43"/>
  <c r="AU270"/>
  <c r="AW270"/>
  <c r="AX270"/>
  <c r="AX172"/>
  <c r="AU172"/>
  <c r="AW172"/>
  <c r="AW115"/>
  <c r="AU115"/>
  <c r="AX115"/>
  <c r="AU107"/>
  <c r="AW107"/>
  <c r="AX107"/>
  <c r="AU354"/>
  <c r="AW354"/>
  <c r="AX354"/>
  <c r="AW395"/>
  <c r="AU395"/>
  <c r="AX395"/>
  <c r="AX377"/>
  <c r="AW377"/>
  <c r="AU377"/>
  <c r="AU353"/>
  <c r="AX353"/>
  <c r="AW353"/>
  <c r="AX363"/>
  <c r="AU363"/>
  <c r="AW363"/>
  <c r="AX304"/>
  <c r="AW304"/>
  <c r="AU304"/>
  <c r="AX129"/>
  <c r="AW129"/>
  <c r="AU129"/>
  <c r="AU408"/>
  <c r="AW408"/>
  <c r="AX408"/>
  <c r="AX364"/>
  <c r="AU364"/>
  <c r="AW364"/>
  <c r="AU329"/>
  <c r="AX329"/>
  <c r="AW329"/>
  <c r="AX459"/>
  <c r="AW459"/>
  <c r="AU459"/>
  <c r="AX423"/>
  <c r="AU423"/>
  <c r="AW423"/>
  <c r="AU426"/>
  <c r="AW426"/>
  <c r="AX426"/>
  <c r="AW85"/>
  <c r="AU85"/>
  <c r="AX85"/>
  <c r="AW104"/>
  <c r="AX104"/>
  <c r="AU104"/>
  <c r="AX208"/>
  <c r="AU208"/>
  <c r="AW208"/>
  <c r="AX58"/>
  <c r="AU58"/>
  <c r="AW58"/>
  <c r="AW427"/>
  <c r="AU427"/>
  <c r="AX427"/>
  <c r="AW385"/>
  <c r="AU385"/>
  <c r="AX385"/>
  <c r="AW492"/>
  <c r="AU492"/>
  <c r="AX492"/>
  <c r="AW419"/>
  <c r="AU419"/>
  <c r="AX419"/>
  <c r="AW445"/>
  <c r="AU445"/>
  <c r="AX445"/>
  <c r="AX310"/>
  <c r="AU310"/>
  <c r="AW310"/>
  <c r="AU240"/>
  <c r="AW240"/>
  <c r="AX240"/>
  <c r="AX184"/>
  <c r="AW184"/>
  <c r="AU184"/>
  <c r="AU149"/>
  <c r="AX149"/>
  <c r="AW149"/>
  <c r="AX153"/>
  <c r="AW153"/>
  <c r="AU153"/>
  <c r="AX93"/>
  <c r="AW93"/>
  <c r="AU93"/>
  <c r="AX214"/>
  <c r="AU214"/>
  <c r="AW214"/>
  <c r="AU78"/>
  <c r="AW78"/>
  <c r="AX78"/>
  <c r="AX106"/>
  <c r="AU106"/>
  <c r="AW106"/>
  <c r="AW467"/>
  <c r="AU467"/>
  <c r="AX467"/>
  <c r="AX88"/>
  <c r="AW88"/>
  <c r="AU88"/>
  <c r="AX358"/>
  <c r="AU358"/>
  <c r="AW358"/>
  <c r="AU276"/>
  <c r="AW276"/>
  <c r="AX276"/>
  <c r="AX220"/>
  <c r="AW220"/>
  <c r="AU220"/>
  <c r="AU185"/>
  <c r="AX185"/>
  <c r="AW185"/>
  <c r="AX225"/>
  <c r="AW225"/>
  <c r="AU225"/>
  <c r="AX171"/>
  <c r="AU171"/>
  <c r="AW171"/>
  <c r="AX339"/>
  <c r="AU339"/>
  <c r="AW339"/>
  <c r="AX99"/>
  <c r="AU99"/>
  <c r="AW99"/>
  <c r="AX57"/>
  <c r="AW57"/>
  <c r="AU57"/>
  <c r="AX405"/>
  <c r="AW405"/>
  <c r="AU405"/>
  <c r="AX286"/>
  <c r="AU286"/>
  <c r="AW286"/>
  <c r="AW343"/>
  <c r="AU343"/>
  <c r="AX343"/>
  <c r="AU150"/>
  <c r="AW150"/>
  <c r="AX150"/>
  <c r="AX411"/>
  <c r="AU411"/>
  <c r="AW411"/>
  <c r="AW296"/>
  <c r="AX296"/>
  <c r="AU296"/>
  <c r="AW230"/>
  <c r="AX230"/>
  <c r="AU230"/>
  <c r="AU66"/>
  <c r="AW66"/>
  <c r="AX66"/>
  <c r="AW505"/>
  <c r="AU505"/>
  <c r="AX505"/>
  <c r="AW367"/>
  <c r="AU367"/>
  <c r="AX367"/>
  <c r="AX435"/>
  <c r="AW435"/>
  <c r="AU435"/>
  <c r="AX346"/>
  <c r="AU346"/>
  <c r="AW346"/>
  <c r="AX142"/>
  <c r="AU142"/>
  <c r="AW142"/>
  <c r="AW308"/>
  <c r="AX308"/>
  <c r="AU308"/>
  <c r="AW259"/>
  <c r="AU259"/>
  <c r="AX259"/>
  <c r="AW145"/>
  <c r="AU145"/>
  <c r="AX145"/>
  <c r="AX160"/>
  <c r="AW160"/>
  <c r="AU160"/>
  <c r="AX63"/>
  <c r="AU63"/>
  <c r="AW63"/>
  <c r="AW62"/>
  <c r="AX62"/>
  <c r="AU62"/>
  <c r="AU108"/>
  <c r="AW108"/>
  <c r="AX108"/>
  <c r="AX497"/>
  <c r="AW497"/>
  <c r="AU497"/>
  <c r="AU390"/>
  <c r="AW390"/>
  <c r="AX390"/>
  <c r="AX471"/>
  <c r="AU471"/>
  <c r="AW471"/>
  <c r="AU330"/>
  <c r="AW330"/>
  <c r="AX330"/>
  <c r="AW278"/>
  <c r="AX278"/>
  <c r="AU278"/>
  <c r="AW410"/>
  <c r="AX410"/>
  <c r="AU410"/>
  <c r="AX123"/>
  <c r="AU123"/>
  <c r="AW123"/>
  <c r="AW188"/>
  <c r="AX188"/>
  <c r="AU188"/>
  <c r="AU167"/>
  <c r="AW167"/>
  <c r="AX167"/>
  <c r="AX75"/>
  <c r="AU75"/>
  <c r="AW75"/>
  <c r="AX509"/>
  <c r="AU509"/>
  <c r="AW509"/>
  <c r="AW380"/>
  <c r="AX380"/>
  <c r="AU380"/>
  <c r="AW320"/>
  <c r="AX320"/>
  <c r="AU320"/>
  <c r="AW487"/>
  <c r="AU487"/>
  <c r="AX487"/>
  <c r="AX490"/>
  <c r="AW490"/>
  <c r="AU490"/>
  <c r="AW50"/>
  <c r="AX50"/>
  <c r="AU50"/>
  <c r="AX196"/>
  <c r="AW196"/>
  <c r="AU196"/>
  <c r="AX507"/>
  <c r="AU507"/>
  <c r="AW507"/>
  <c r="AU102"/>
  <c r="AW102"/>
  <c r="AX102"/>
  <c r="AW116"/>
  <c r="AX116"/>
  <c r="AU116"/>
  <c r="AX388"/>
  <c r="AW388"/>
  <c r="AU388"/>
  <c r="AW500"/>
  <c r="AX500"/>
  <c r="AU500"/>
  <c r="AX237"/>
  <c r="AW237"/>
  <c r="AU237"/>
  <c r="AW284"/>
  <c r="AX284"/>
  <c r="AU284"/>
  <c r="AU215"/>
  <c r="AW215"/>
  <c r="AX215"/>
  <c r="AX141"/>
  <c r="AW141"/>
  <c r="AU141"/>
  <c r="AX81"/>
  <c r="AW81"/>
  <c r="AU81"/>
  <c r="AW458"/>
  <c r="AX458"/>
  <c r="AU458"/>
  <c r="AW386"/>
  <c r="AX386"/>
  <c r="AU386"/>
  <c r="AW314"/>
  <c r="AX314"/>
  <c r="AU314"/>
  <c r="AX105"/>
  <c r="AW105"/>
  <c r="AU105"/>
  <c r="AW182"/>
  <c r="AX182"/>
  <c r="AU182"/>
  <c r="AW271"/>
  <c r="AU271"/>
  <c r="AX271"/>
  <c r="AU281"/>
  <c r="AX281"/>
  <c r="AW281"/>
  <c r="AW61"/>
  <c r="AU61"/>
  <c r="AX61"/>
  <c r="AU305"/>
  <c r="AX305"/>
  <c r="AW305"/>
  <c r="AW434"/>
  <c r="AX434"/>
  <c r="AU434"/>
  <c r="AX461"/>
  <c r="AW461"/>
  <c r="AU461"/>
  <c r="AX483"/>
  <c r="AW483"/>
  <c r="AU483"/>
  <c r="AX352"/>
  <c r="AU352"/>
  <c r="AW352"/>
  <c r="AX249"/>
  <c r="AW249"/>
  <c r="AU249"/>
  <c r="AW510"/>
  <c r="AX510"/>
  <c r="AU510"/>
  <c r="AX400"/>
  <c r="AU400"/>
  <c r="AW400"/>
  <c r="AX365"/>
  <c r="AW365"/>
  <c r="AU365"/>
  <c r="AW92"/>
  <c r="AX92"/>
  <c r="AU92"/>
  <c r="AU341"/>
  <c r="AX341"/>
  <c r="AW341"/>
  <c r="AW379"/>
  <c r="AU379"/>
  <c r="AX379"/>
  <c r="AX413"/>
  <c r="AU413"/>
  <c r="AW413"/>
  <c r="AW283"/>
  <c r="AU283"/>
  <c r="AX283"/>
  <c r="AX135"/>
  <c r="AU135"/>
  <c r="AW135"/>
  <c r="AW74"/>
  <c r="AX74"/>
  <c r="AU74"/>
  <c r="AX412"/>
  <c r="AU412"/>
  <c r="AW412"/>
  <c r="AX345"/>
  <c r="AW345"/>
  <c r="AU345"/>
  <c r="AW498"/>
  <c r="AX498"/>
  <c r="AU498"/>
  <c r="AX436"/>
  <c r="AU436"/>
  <c r="AW436"/>
  <c r="AX401"/>
  <c r="AU401"/>
  <c r="AW401"/>
  <c r="AW164"/>
  <c r="AX164"/>
  <c r="AU164"/>
  <c r="AW98"/>
  <c r="AX98"/>
  <c r="AU98"/>
  <c r="AX322"/>
  <c r="AU322"/>
  <c r="AW322"/>
  <c r="AW415"/>
  <c r="AU415"/>
  <c r="AX415"/>
  <c r="AW56"/>
  <c r="AX56"/>
  <c r="AU56"/>
  <c r="AU120"/>
  <c r="AW120"/>
  <c r="AX120"/>
  <c r="AW140"/>
  <c r="AX140"/>
  <c r="AU140"/>
  <c r="AU252"/>
  <c r="AW252"/>
  <c r="AX252"/>
  <c r="AW468"/>
  <c r="AU468"/>
  <c r="AX468"/>
  <c r="AW247"/>
  <c r="AU247"/>
  <c r="AX247"/>
  <c r="AW133"/>
  <c r="AU133"/>
  <c r="AX133"/>
  <c r="AU282"/>
  <c r="AW282"/>
  <c r="AX282"/>
  <c r="AX226"/>
  <c r="AU226"/>
  <c r="AW226"/>
  <c r="AU191"/>
  <c r="AW191"/>
  <c r="AX191"/>
  <c r="AU287"/>
  <c r="AW287"/>
  <c r="AX287"/>
  <c r="AU197"/>
  <c r="AX197"/>
  <c r="AW197"/>
  <c r="AW68"/>
  <c r="AX68"/>
  <c r="AU68"/>
  <c r="AX76"/>
  <c r="AU76"/>
  <c r="AW76"/>
  <c r="AU378"/>
  <c r="AW378"/>
  <c r="AX378"/>
  <c r="AX46"/>
  <c r="AU46"/>
  <c r="AW46"/>
  <c r="AW200"/>
  <c r="AX200"/>
  <c r="AU200"/>
  <c r="AW146"/>
  <c r="AX146"/>
  <c r="AU146"/>
  <c r="AU228"/>
  <c r="AW228"/>
  <c r="AX228"/>
  <c r="AW480"/>
  <c r="AU480"/>
  <c r="AX480"/>
  <c r="AW134"/>
  <c r="AX134"/>
  <c r="AU134"/>
  <c r="AU347"/>
  <c r="AW347"/>
  <c r="AX347"/>
  <c r="AX124"/>
  <c r="AW124"/>
  <c r="AU124"/>
  <c r="AU317"/>
  <c r="AX317"/>
  <c r="AW317"/>
  <c r="AX280"/>
  <c r="AU280"/>
  <c r="AW280"/>
  <c r="AX70"/>
  <c r="AU70"/>
  <c r="AW70"/>
  <c r="AW392"/>
  <c r="AX392"/>
  <c r="AU392"/>
  <c r="AW355"/>
  <c r="AU355"/>
  <c r="AX355"/>
  <c r="AW491"/>
  <c r="AX491"/>
  <c r="AU491"/>
  <c r="AX501"/>
  <c r="AU501"/>
  <c r="AW501"/>
  <c r="AX447"/>
  <c r="AU447"/>
  <c r="AW447"/>
  <c r="AW331"/>
  <c r="AU331"/>
  <c r="AX331"/>
  <c r="AW217"/>
  <c r="AU217"/>
  <c r="AX217"/>
  <c r="AU264"/>
  <c r="AW264"/>
  <c r="AX264"/>
  <c r="AX449"/>
  <c r="AW449"/>
  <c r="AU449"/>
  <c r="AU269"/>
  <c r="AX269"/>
  <c r="AW269"/>
  <c r="AW439"/>
  <c r="AU439"/>
  <c r="AX439"/>
  <c r="AW127"/>
  <c r="AU127"/>
  <c r="AX127"/>
  <c r="AW205"/>
  <c r="AU205"/>
  <c r="AX205"/>
  <c r="AU233"/>
  <c r="AX233"/>
  <c r="AW233"/>
  <c r="AU89"/>
  <c r="AX89"/>
  <c r="AW89"/>
  <c r="AW73"/>
  <c r="AU73"/>
  <c r="AX73"/>
  <c r="AX130"/>
  <c r="AU130"/>
  <c r="AW130"/>
  <c r="AW494"/>
  <c r="AX494"/>
  <c r="AU494"/>
  <c r="AW451"/>
  <c r="AU451"/>
  <c r="AX451"/>
  <c r="AX69"/>
  <c r="AW69"/>
  <c r="AU69"/>
  <c r="AW80"/>
  <c r="AX80"/>
  <c r="AU80"/>
  <c r="AW403"/>
  <c r="AU403"/>
  <c r="AX403"/>
  <c r="AW289"/>
  <c r="AU289"/>
  <c r="AX289"/>
  <c r="AX51"/>
  <c r="AU51"/>
  <c r="AW51"/>
  <c r="AW373"/>
  <c r="AU373"/>
  <c r="AX373"/>
  <c r="AW248"/>
  <c r="AX248"/>
  <c r="AU248"/>
  <c r="AU216"/>
  <c r="AW216"/>
  <c r="AX216"/>
  <c r="AX207"/>
  <c r="AW207"/>
  <c r="AU207"/>
  <c r="AW398"/>
  <c r="AX398"/>
  <c r="AU398"/>
  <c r="AU101"/>
  <c r="AX101"/>
  <c r="AW101"/>
  <c r="AW181"/>
  <c r="AU181"/>
  <c r="AX181"/>
  <c r="AW103"/>
  <c r="AU103"/>
  <c r="AX103"/>
  <c r="AX333"/>
  <c r="AW333"/>
  <c r="AU333"/>
  <c r="AW404"/>
  <c r="AX404"/>
  <c r="AU404"/>
  <c r="AU275"/>
  <c r="AW275"/>
  <c r="AX275"/>
  <c r="AX213"/>
  <c r="AW213"/>
  <c r="AU213"/>
  <c r="AX159"/>
  <c r="AU159"/>
  <c r="AW159"/>
  <c r="AW452"/>
  <c r="AX452"/>
  <c r="AU452"/>
  <c r="AX327"/>
  <c r="AW327"/>
  <c r="AU327"/>
  <c r="AU179"/>
  <c r="AW179"/>
  <c r="AX179"/>
  <c r="AW91"/>
  <c r="AU91"/>
  <c r="AX91"/>
  <c r="AU161"/>
  <c r="AX161"/>
  <c r="AW161"/>
  <c r="AW397"/>
  <c r="AU397"/>
  <c r="AX397"/>
  <c r="AW193"/>
  <c r="AU193"/>
  <c r="AX193"/>
  <c r="AX453"/>
  <c r="AW453"/>
  <c r="AU453"/>
  <c r="AW506"/>
  <c r="AX506"/>
  <c r="AU506"/>
  <c r="AU323"/>
  <c r="AW323"/>
  <c r="AX323"/>
  <c r="AX285"/>
  <c r="AW285"/>
  <c r="AU285"/>
  <c r="AX231"/>
  <c r="AW231"/>
  <c r="AU231"/>
  <c r="AW109"/>
  <c r="AU109"/>
  <c r="AX109"/>
  <c r="AX389"/>
  <c r="AW389"/>
  <c r="AU389"/>
  <c r="AU131"/>
  <c r="AW131"/>
  <c r="AX131"/>
  <c r="AX321"/>
  <c r="AW321"/>
  <c r="AU321"/>
  <c r="AX219"/>
  <c r="AU219"/>
  <c r="AW219"/>
  <c r="AU126"/>
  <c r="AW126"/>
  <c r="AX126"/>
  <c r="AU203"/>
  <c r="AW203"/>
  <c r="AX203"/>
  <c r="AX94"/>
  <c r="AU94"/>
  <c r="AW94"/>
  <c r="AU96"/>
  <c r="AW96"/>
  <c r="AX96"/>
  <c r="AX40"/>
  <c r="AW40"/>
  <c r="AU40"/>
  <c r="AW348"/>
  <c r="AU348"/>
  <c r="AX348"/>
  <c r="AX442"/>
  <c r="AW442"/>
  <c r="AU442"/>
  <c r="AW407"/>
  <c r="AX407"/>
  <c r="AU407"/>
  <c r="AU162"/>
  <c r="AW162"/>
  <c r="AX162"/>
  <c r="AW128"/>
  <c r="AX128"/>
  <c r="AU128"/>
  <c r="AU53"/>
  <c r="AX53"/>
  <c r="AW53"/>
  <c r="AX292"/>
  <c r="AW292"/>
  <c r="AU292"/>
  <c r="AU41"/>
  <c r="AX41"/>
  <c r="AW41"/>
  <c r="AX262"/>
  <c r="AU262"/>
  <c r="AW262"/>
  <c r="AU227"/>
  <c r="AW227"/>
  <c r="AX227"/>
  <c r="AU125"/>
  <c r="AX125"/>
  <c r="AW125"/>
  <c r="AU222"/>
  <c r="AW222"/>
  <c r="AX222"/>
  <c r="AW474"/>
  <c r="AX474"/>
  <c r="AU474"/>
  <c r="AW253"/>
  <c r="AU253"/>
  <c r="AX253"/>
  <c r="AW362"/>
  <c r="AX362"/>
  <c r="AU362"/>
  <c r="AX279"/>
  <c r="AW279"/>
  <c r="AU279"/>
  <c r="AW344"/>
  <c r="AX344"/>
  <c r="AU344"/>
  <c r="AX454"/>
  <c r="AU454"/>
  <c r="AW454"/>
  <c r="AU258"/>
  <c r="AW258"/>
  <c r="AX258"/>
  <c r="AW122"/>
  <c r="AX122"/>
  <c r="AU122"/>
  <c r="AW446"/>
  <c r="AX446"/>
  <c r="AU446"/>
  <c r="AW374"/>
  <c r="AX374"/>
  <c r="AU374"/>
  <c r="AU138"/>
  <c r="AW138"/>
  <c r="AX138"/>
  <c r="AX82"/>
  <c r="AU82"/>
  <c r="AW82"/>
  <c r="AU47"/>
  <c r="AW47"/>
  <c r="AX47"/>
  <c r="AX268"/>
  <c r="AW268"/>
  <c r="AU268"/>
  <c r="AW44"/>
  <c r="AX44"/>
  <c r="AU44"/>
  <c r="AU251"/>
  <c r="AW251"/>
  <c r="AX251"/>
  <c r="AX466"/>
  <c r="AU466"/>
  <c r="AW466"/>
  <c r="AX508"/>
  <c r="AU508"/>
  <c r="AW508"/>
  <c r="AW254"/>
  <c r="AX254"/>
  <c r="AU254"/>
  <c r="AX232"/>
  <c r="AW232"/>
  <c r="AU232"/>
  <c r="AW402"/>
  <c r="AU402"/>
  <c r="AX402"/>
  <c r="AX502"/>
  <c r="AU502"/>
  <c r="AW502"/>
  <c r="AU84"/>
  <c r="AW84"/>
  <c r="AX84"/>
  <c r="AU306"/>
  <c r="AW306"/>
  <c r="AX306"/>
  <c r="AW218"/>
  <c r="AX218"/>
  <c r="AU218"/>
  <c r="AW440"/>
  <c r="AX440"/>
  <c r="AU440"/>
  <c r="AU174"/>
  <c r="AW174"/>
  <c r="AX174"/>
  <c r="AX118"/>
  <c r="AU118"/>
  <c r="AW118"/>
  <c r="AU83"/>
  <c r="AW83"/>
  <c r="AX83"/>
  <c r="AX477"/>
  <c r="AW477"/>
  <c r="AU477"/>
  <c r="AW265"/>
  <c r="AU265"/>
  <c r="AX265"/>
  <c r="AW488"/>
  <c r="AX488"/>
  <c r="AU488"/>
  <c r="AW350"/>
  <c r="AX350"/>
  <c r="AU350"/>
  <c r="AW455"/>
  <c r="AU455"/>
  <c r="AX455"/>
  <c r="AX340"/>
  <c r="AW340"/>
  <c r="AU340"/>
  <c r="AX425"/>
  <c r="AU425"/>
  <c r="AW425"/>
  <c r="AX496"/>
  <c r="AW496"/>
  <c r="AU496"/>
  <c r="AX178"/>
  <c r="AU178"/>
  <c r="AW178"/>
  <c r="AW121"/>
  <c r="AU121"/>
  <c r="AX121"/>
  <c r="AU42"/>
  <c r="AW42"/>
  <c r="AX42"/>
  <c r="AX195"/>
  <c r="AW195"/>
  <c r="AU195"/>
  <c r="AW152"/>
  <c r="AX152"/>
  <c r="AU152"/>
  <c r="AW86"/>
  <c r="AX86"/>
  <c r="AU86"/>
  <c r="AW475"/>
  <c r="AU475"/>
  <c r="AX475"/>
  <c r="AW361"/>
  <c r="AU361"/>
  <c r="AX361"/>
  <c r="AW464"/>
  <c r="AX464"/>
  <c r="AU464"/>
  <c r="AX117"/>
  <c r="AW117"/>
  <c r="AU117"/>
  <c r="AX448"/>
  <c r="AU448"/>
  <c r="AW448"/>
  <c r="AX485"/>
  <c r="AU485"/>
  <c r="AW485"/>
  <c r="AX189"/>
  <c r="AW189"/>
  <c r="AU189"/>
  <c r="AX238"/>
  <c r="AU238"/>
  <c r="AW238"/>
  <c r="AW223"/>
  <c r="AU223"/>
  <c r="AX223"/>
  <c r="AU90"/>
  <c r="AW90"/>
  <c r="AX90"/>
  <c r="AX291"/>
  <c r="AU291"/>
  <c r="AW291"/>
  <c r="AW224"/>
  <c r="AX224"/>
  <c r="AU224"/>
  <c r="AW158"/>
  <c r="AX158"/>
  <c r="AU158"/>
  <c r="AW433"/>
  <c r="AU433"/>
  <c r="AX433"/>
  <c r="AX165"/>
  <c r="AW165"/>
  <c r="AU165"/>
  <c r="AX382"/>
  <c r="AU382"/>
  <c r="AW382"/>
  <c r="AU234"/>
  <c r="AW234"/>
  <c r="AX234"/>
  <c r="AX274"/>
  <c r="AU274"/>
  <c r="AW274"/>
  <c r="AU137"/>
  <c r="AX137"/>
  <c r="AW137"/>
  <c r="AX45"/>
  <c r="AU45"/>
  <c r="AW45"/>
  <c r="AX136"/>
  <c r="AU136"/>
  <c r="AW136"/>
  <c r="AX418"/>
  <c r="AU418"/>
  <c r="AW418"/>
  <c r="AU342"/>
  <c r="AW342"/>
  <c r="AX342"/>
  <c r="AX256"/>
  <c r="AW256"/>
  <c r="AU256"/>
  <c r="AU221"/>
  <c r="AX221"/>
  <c r="AW221"/>
  <c r="AX297"/>
  <c r="AW297"/>
  <c r="AU297"/>
  <c r="AX243"/>
  <c r="AU243"/>
  <c r="AW243"/>
  <c r="AW38"/>
  <c r="AX38"/>
  <c r="AU38"/>
  <c r="AX430"/>
  <c r="AU430"/>
  <c r="AW430"/>
  <c r="AX429"/>
  <c r="AW429"/>
  <c r="AU429"/>
  <c r="AU257"/>
  <c r="AX257"/>
  <c r="AW257"/>
  <c r="AX478"/>
  <c r="AU478"/>
  <c r="AW478"/>
  <c r="AW443"/>
  <c r="AX443"/>
  <c r="AU443"/>
  <c r="AW157"/>
  <c r="AU157"/>
  <c r="AX157"/>
  <c r="AW396"/>
  <c r="AU396"/>
  <c r="AX396"/>
  <c r="AW272"/>
  <c r="AX272"/>
  <c r="AU272"/>
  <c r="AX376"/>
  <c r="AU376"/>
  <c r="AW376"/>
  <c r="AX273"/>
  <c r="AW273"/>
  <c r="AU273"/>
  <c r="AU180"/>
  <c r="AW180"/>
  <c r="AX180"/>
  <c r="AU95"/>
  <c r="AW95"/>
  <c r="AX95"/>
  <c r="AW486"/>
  <c r="AX486"/>
  <c r="AU486"/>
  <c r="AW482"/>
  <c r="AX482"/>
  <c r="AU482"/>
  <c r="AW432"/>
  <c r="AU432"/>
  <c r="AX432"/>
  <c r="AX399"/>
  <c r="AU399"/>
  <c r="AW399"/>
  <c r="AW241"/>
  <c r="AU241"/>
  <c r="AX241"/>
  <c r="AW391"/>
  <c r="AU391"/>
  <c r="AX391"/>
  <c r="AW277"/>
  <c r="AU277"/>
  <c r="AX277"/>
  <c r="AW360"/>
  <c r="AU360"/>
  <c r="AX360"/>
  <c r="AX298"/>
  <c r="AU298"/>
  <c r="AW298"/>
  <c r="AU263"/>
  <c r="AW263"/>
  <c r="AX263"/>
  <c r="AU48"/>
  <c r="AW48"/>
  <c r="AX48"/>
  <c r="AX255"/>
  <c r="AW255"/>
  <c r="AU255"/>
  <c r="AW409"/>
  <c r="AU409"/>
  <c r="AX409"/>
  <c r="AW235"/>
  <c r="AU235"/>
  <c r="AX235"/>
  <c r="AW368"/>
  <c r="AX368"/>
  <c r="AU368"/>
  <c r="AX424"/>
  <c r="AW424"/>
  <c r="AU424"/>
  <c r="AU288"/>
  <c r="AW288"/>
  <c r="AX288"/>
  <c r="AW55"/>
  <c r="AU55"/>
  <c r="AX55"/>
  <c r="AW211"/>
  <c r="AU211"/>
  <c r="AX211"/>
  <c r="AU336"/>
  <c r="AW336"/>
  <c r="AX336"/>
  <c r="AW110"/>
  <c r="AX110"/>
  <c r="AU110"/>
  <c r="AW337"/>
  <c r="AU337"/>
  <c r="AX337"/>
  <c r="AW463"/>
  <c r="AU463"/>
  <c r="AX463"/>
  <c r="AW349"/>
  <c r="AU349"/>
  <c r="AX349"/>
  <c r="AU312"/>
  <c r="AW312"/>
  <c r="AX312"/>
  <c r="AX334"/>
  <c r="AU334"/>
  <c r="AW334"/>
  <c r="AU299"/>
  <c r="AW299"/>
  <c r="AX299"/>
  <c r="AU156"/>
  <c r="AW156"/>
  <c r="AX156"/>
  <c r="AX316"/>
  <c r="AU316"/>
  <c r="AW316"/>
  <c r="AX100"/>
  <c r="AU100"/>
  <c r="AW100"/>
  <c r="AW469"/>
  <c r="AU469"/>
  <c r="AX469"/>
  <c r="AW481"/>
  <c r="AU481"/>
  <c r="AX481"/>
  <c r="AW470"/>
  <c r="AX470"/>
  <c r="AU470"/>
  <c r="AW326"/>
  <c r="AX326"/>
  <c r="AU326"/>
  <c r="AW295"/>
  <c r="AU295"/>
  <c r="AX295"/>
  <c r="AX201"/>
  <c r="AW201"/>
  <c r="AU201"/>
  <c r="AU144"/>
  <c r="AW144"/>
  <c r="AX144"/>
  <c r="AW504"/>
  <c r="AX504"/>
  <c r="AU504"/>
  <c r="AW338"/>
  <c r="AX338"/>
  <c r="AU338"/>
  <c r="AW97"/>
  <c r="AU97"/>
  <c r="AX97"/>
  <c r="AX512"/>
  <c r="AU512"/>
  <c r="AU210"/>
  <c r="AW210"/>
  <c r="AX210"/>
  <c r="AX154"/>
  <c r="AU154"/>
  <c r="AW154"/>
  <c r="AU119"/>
  <c r="AW119"/>
  <c r="AX119"/>
  <c r="AX52"/>
  <c r="AW52"/>
  <c r="AU52"/>
  <c r="AX166"/>
  <c r="AU166"/>
  <c r="AW166"/>
  <c r="AW199"/>
  <c r="AU199"/>
  <c r="AX199"/>
  <c r="AW511"/>
  <c r="AU511"/>
  <c r="AX511"/>
  <c r="AX417"/>
  <c r="AW417"/>
  <c r="AU417"/>
  <c r="AU192"/>
  <c r="AW192"/>
  <c r="AX192"/>
  <c r="AW372"/>
  <c r="AU372"/>
  <c r="AX372"/>
  <c r="AW428"/>
  <c r="AX428"/>
  <c r="AU428"/>
  <c r="AW175"/>
  <c r="AU175"/>
  <c r="AX175"/>
  <c r="AW67"/>
  <c r="AU67"/>
  <c r="AX67"/>
  <c r="AU246"/>
  <c r="AW246"/>
  <c r="AX246"/>
  <c r="AX190"/>
  <c r="AU190"/>
  <c r="AW190"/>
  <c r="AU155"/>
  <c r="AW155"/>
  <c r="AX155"/>
  <c r="AU114"/>
  <c r="AW114"/>
  <c r="AX114"/>
  <c r="AU54"/>
  <c r="AW54"/>
  <c r="AX54"/>
  <c r="AX351"/>
  <c r="AU351"/>
  <c r="AW351"/>
  <c r="AW194"/>
  <c r="AX194"/>
  <c r="AU194"/>
  <c r="AX460"/>
  <c r="AU460"/>
  <c r="AW460"/>
  <c r="AX465"/>
  <c r="AU465"/>
  <c r="AW465"/>
  <c r="AU59"/>
  <c r="AW59"/>
  <c r="AX59"/>
  <c r="AX472"/>
  <c r="AU472"/>
  <c r="AW472"/>
  <c r="AX437"/>
  <c r="AU437"/>
  <c r="AW437"/>
  <c r="AW236"/>
  <c r="AX236"/>
  <c r="AU236"/>
  <c r="AW170"/>
  <c r="AX170"/>
  <c r="AU170"/>
  <c r="AX261"/>
  <c r="AW261"/>
  <c r="AU261"/>
  <c r="AX183"/>
  <c r="AW183"/>
  <c r="AU183"/>
  <c r="AU300"/>
  <c r="AW300"/>
  <c r="AX300"/>
  <c r="AU132"/>
  <c r="AW132"/>
  <c r="AX132"/>
  <c r="AX473"/>
  <c r="AU473"/>
  <c r="AW473"/>
  <c r="AX369"/>
  <c r="AW369"/>
  <c r="AU369"/>
  <c r="AX315"/>
  <c r="AW315"/>
  <c r="AU315"/>
  <c r="AW422"/>
  <c r="AX422"/>
  <c r="AU422"/>
  <c r="AU366"/>
  <c r="AW366"/>
  <c r="AX366"/>
  <c r="AW290"/>
  <c r="AX290"/>
  <c r="AU290"/>
  <c r="AX381"/>
  <c r="AW381"/>
  <c r="AU381"/>
  <c r="AU450"/>
  <c r="AW450"/>
  <c r="AX450"/>
  <c r="AW476"/>
  <c r="AX476"/>
  <c r="AU476"/>
  <c r="AW356"/>
  <c r="AX356"/>
  <c r="AU356"/>
  <c r="AW266"/>
  <c r="AX266"/>
  <c r="AU266"/>
  <c r="AU294"/>
  <c r="AW294"/>
  <c r="AX294"/>
  <c r="AU311"/>
  <c r="AW311"/>
  <c r="AX311"/>
  <c r="AW229"/>
  <c r="AU229"/>
  <c r="AX229"/>
  <c r="AX202"/>
  <c r="AU202"/>
  <c r="AW202"/>
  <c r="AU168"/>
  <c r="AW168"/>
  <c r="AX168"/>
  <c r="AX112"/>
  <c r="AW112"/>
  <c r="AU112"/>
  <c r="AU77"/>
  <c r="AX77"/>
  <c r="AW77"/>
  <c r="AW479"/>
  <c r="AU479"/>
  <c r="AX479"/>
  <c r="AW499"/>
  <c r="AU499"/>
  <c r="AX499"/>
  <c r="AU72"/>
  <c r="AW72"/>
  <c r="AX72"/>
  <c r="AU186"/>
  <c r="AW186"/>
  <c r="AX186"/>
  <c r="AU198"/>
  <c r="AW198"/>
  <c r="AX198"/>
  <c r="AW319"/>
  <c r="AU319"/>
  <c r="AX319"/>
  <c r="AW151"/>
  <c r="AU151"/>
  <c r="AX151"/>
  <c r="AW212"/>
  <c r="AX212"/>
  <c r="AU212"/>
  <c r="AX489"/>
  <c r="AW489"/>
  <c r="AU489"/>
  <c r="AW456"/>
  <c r="AU456"/>
  <c r="AX456"/>
  <c r="AW359"/>
  <c r="AX359"/>
  <c r="AU359"/>
  <c r="AW325"/>
  <c r="AU325"/>
  <c r="AX325"/>
  <c r="AX250"/>
  <c r="AU250"/>
  <c r="AW250"/>
  <c r="AU204"/>
  <c r="AW204"/>
  <c r="AX204"/>
  <c r="AX148"/>
  <c r="AW148"/>
  <c r="AU148"/>
  <c r="AU113"/>
  <c r="AX113"/>
  <c r="AW113"/>
  <c r="AX87"/>
  <c r="AW87"/>
  <c r="AU87"/>
  <c r="AU318"/>
  <c r="AW318"/>
  <c r="AX318"/>
  <c r="AW169"/>
  <c r="AU169"/>
  <c r="AX169"/>
  <c r="AX495"/>
  <c r="AU495"/>
  <c r="AW495"/>
  <c r="AX484"/>
  <c r="AU484"/>
  <c r="AW484"/>
  <c r="AW332"/>
  <c r="AX332"/>
  <c r="AU332"/>
  <c r="AW384"/>
  <c r="AU384"/>
  <c r="AX384"/>
  <c r="AX394"/>
  <c r="AU394"/>
  <c r="AW394"/>
  <c r="AU71"/>
  <c r="AW71"/>
  <c r="AX71"/>
  <c r="AW307"/>
  <c r="AU307"/>
  <c r="AX307"/>
  <c r="AW206"/>
  <c r="AX206"/>
  <c r="AU206"/>
  <c r="AW457"/>
  <c r="AU457"/>
  <c r="AX457"/>
  <c r="AW421"/>
  <c r="AU421"/>
  <c r="AX421"/>
  <c r="AW444"/>
  <c r="AU444"/>
  <c r="AX444"/>
  <c r="AX370"/>
  <c r="AW370"/>
  <c r="AU370"/>
  <c r="AU335"/>
  <c r="AW335"/>
  <c r="AX335"/>
  <c r="U345"/>
  <c r="Q344"/>
  <c r="U492"/>
  <c r="Q491"/>
  <c r="U193"/>
  <c r="Q192"/>
  <c r="U306"/>
  <c r="Q305"/>
  <c r="U428"/>
  <c r="Q427"/>
  <c r="U43"/>
  <c r="Q42"/>
  <c r="U129"/>
  <c r="Q128"/>
  <c r="U196"/>
  <c r="Q195"/>
  <c r="U263"/>
  <c r="Q262"/>
  <c r="U205"/>
  <c r="Q204"/>
  <c r="U318"/>
  <c r="Q317"/>
  <c r="U440"/>
  <c r="Q439"/>
  <c r="U60"/>
  <c r="Q59"/>
  <c r="U135"/>
  <c r="Q134"/>
  <c r="U202"/>
  <c r="Q201"/>
  <c r="U269"/>
  <c r="Q268"/>
  <c r="U109"/>
  <c r="Q108"/>
  <c r="U222"/>
  <c r="Q221"/>
  <c r="U344"/>
  <c r="Q343"/>
  <c r="Q19"/>
  <c r="U87"/>
  <c r="Q86"/>
  <c r="U154"/>
  <c r="Q153"/>
  <c r="U221"/>
  <c r="Q220"/>
  <c r="U458"/>
  <c r="Q457"/>
  <c r="U90"/>
  <c r="Q89"/>
  <c r="U212"/>
  <c r="Q211"/>
  <c r="U453"/>
  <c r="Q452"/>
  <c r="Q20"/>
  <c r="U88"/>
  <c r="Q87"/>
  <c r="U155"/>
  <c r="Q154"/>
  <c r="U326"/>
  <c r="Q325"/>
  <c r="U451"/>
  <c r="Q450"/>
  <c r="U80"/>
  <c r="Q79"/>
  <c r="U387"/>
  <c r="Q386"/>
  <c r="U454"/>
  <c r="Q453"/>
  <c r="Q21"/>
  <c r="U89"/>
  <c r="Q88"/>
  <c r="U374"/>
  <c r="Q373"/>
  <c r="U499"/>
  <c r="Q498"/>
  <c r="U128"/>
  <c r="Q127"/>
  <c r="U411"/>
  <c r="Q410"/>
  <c r="U478"/>
  <c r="Q477"/>
  <c r="U46"/>
  <c r="Q45"/>
  <c r="U113"/>
  <c r="Q112"/>
  <c r="U217"/>
  <c r="Q216"/>
  <c r="U266"/>
  <c r="Q265"/>
  <c r="U330"/>
  <c r="Q329"/>
  <c r="U391"/>
  <c r="Q390"/>
  <c r="U452"/>
  <c r="Q451"/>
  <c r="U504"/>
  <c r="Q503"/>
  <c r="U72"/>
  <c r="Q71"/>
  <c r="U357"/>
  <c r="Q356"/>
  <c r="U141"/>
  <c r="Q140"/>
  <c r="U424"/>
  <c r="Q423"/>
  <c r="U208"/>
  <c r="Q207"/>
  <c r="U491"/>
  <c r="Q490"/>
  <c r="U275"/>
  <c r="Q274"/>
  <c r="U59"/>
  <c r="Q58"/>
  <c r="U157"/>
  <c r="Q156"/>
  <c r="U206"/>
  <c r="Q205"/>
  <c r="U270"/>
  <c r="Q269"/>
  <c r="U331"/>
  <c r="Q330"/>
  <c r="U392"/>
  <c r="Q391"/>
  <c r="U444"/>
  <c r="Q443"/>
  <c r="U44"/>
  <c r="Q43"/>
  <c r="U327"/>
  <c r="Q326"/>
  <c r="U111"/>
  <c r="Q110"/>
  <c r="U394"/>
  <c r="Q393"/>
  <c r="U178"/>
  <c r="Q177"/>
  <c r="U461"/>
  <c r="Q460"/>
  <c r="U245"/>
  <c r="Q244"/>
  <c r="Q28"/>
  <c r="U97"/>
  <c r="Q96"/>
  <c r="U146"/>
  <c r="Q145"/>
  <c r="U210"/>
  <c r="Q209"/>
  <c r="U271"/>
  <c r="Q270"/>
  <c r="U332"/>
  <c r="Q331"/>
  <c r="U384"/>
  <c r="Q383"/>
  <c r="Q13"/>
  <c r="U297"/>
  <c r="Q296"/>
  <c r="U81"/>
  <c r="Q80"/>
  <c r="U364"/>
  <c r="Q363"/>
  <c r="U148"/>
  <c r="Q147"/>
  <c r="U431"/>
  <c r="Q430"/>
  <c r="U215"/>
  <c r="Q214"/>
  <c r="U337"/>
  <c r="Q336"/>
  <c r="U450"/>
  <c r="Q449"/>
  <c r="U79"/>
  <c r="Q78"/>
  <c r="U192"/>
  <c r="Q191"/>
  <c r="U201"/>
  <c r="Q200"/>
  <c r="U268"/>
  <c r="Q267"/>
  <c r="U335"/>
  <c r="Q334"/>
  <c r="U349"/>
  <c r="Q348"/>
  <c r="U462"/>
  <c r="Q461"/>
  <c r="U91"/>
  <c r="Q90"/>
  <c r="U204"/>
  <c r="Q203"/>
  <c r="U207"/>
  <c r="Q206"/>
  <c r="U274"/>
  <c r="Q273"/>
  <c r="U341"/>
  <c r="Q340"/>
  <c r="U253"/>
  <c r="Q252"/>
  <c r="U366"/>
  <c r="Q365"/>
  <c r="U488"/>
  <c r="Q487"/>
  <c r="U108"/>
  <c r="Q107"/>
  <c r="U159"/>
  <c r="Q158"/>
  <c r="U226"/>
  <c r="Q225"/>
  <c r="U293"/>
  <c r="Q292"/>
  <c r="U121"/>
  <c r="Q120"/>
  <c r="U234"/>
  <c r="Q233"/>
  <c r="U356"/>
  <c r="Q355"/>
  <c r="Q25"/>
  <c r="U93"/>
  <c r="Q92"/>
  <c r="U160"/>
  <c r="Q159"/>
  <c r="U227"/>
  <c r="Q226"/>
  <c r="U470"/>
  <c r="Q469"/>
  <c r="U102"/>
  <c r="Q101"/>
  <c r="U224"/>
  <c r="Q223"/>
  <c r="U459"/>
  <c r="Q458"/>
  <c r="Q26"/>
  <c r="U94"/>
  <c r="Q93"/>
  <c r="U161"/>
  <c r="Q160"/>
  <c r="Q29"/>
  <c r="U150"/>
  <c r="Q149"/>
  <c r="U272"/>
  <c r="Q271"/>
  <c r="U483"/>
  <c r="Q482"/>
  <c r="U51"/>
  <c r="Q50"/>
  <c r="U118"/>
  <c r="Q117"/>
  <c r="U185"/>
  <c r="Q184"/>
  <c r="U289"/>
  <c r="Q288"/>
  <c r="U338"/>
  <c r="Q337"/>
  <c r="U402"/>
  <c r="Q401"/>
  <c r="U463"/>
  <c r="Q462"/>
  <c r="Q18"/>
  <c r="U92"/>
  <c r="Q91"/>
  <c r="U144"/>
  <c r="Q143"/>
  <c r="U393"/>
  <c r="Q392"/>
  <c r="U177"/>
  <c r="Q176"/>
  <c r="U460"/>
  <c r="Q459"/>
  <c r="U244"/>
  <c r="Q243"/>
  <c r="Q27"/>
  <c r="U311"/>
  <c r="Q310"/>
  <c r="U95"/>
  <c r="Q94"/>
  <c r="U229"/>
  <c r="Q228"/>
  <c r="U278"/>
  <c r="Q277"/>
  <c r="U342"/>
  <c r="Q341"/>
  <c r="U403"/>
  <c r="Q402"/>
  <c r="U464"/>
  <c r="Q463"/>
  <c r="Q23"/>
  <c r="U84"/>
  <c r="Q83"/>
  <c r="U363"/>
  <c r="Q362"/>
  <c r="U147"/>
  <c r="Q146"/>
  <c r="U430"/>
  <c r="Q429"/>
  <c r="U214"/>
  <c r="Q213"/>
  <c r="U497"/>
  <c r="Q496"/>
  <c r="U281"/>
  <c r="Q280"/>
  <c r="U65"/>
  <c r="Q64"/>
  <c r="U169"/>
  <c r="Q168"/>
  <c r="U218"/>
  <c r="Q217"/>
  <c r="U282"/>
  <c r="Q281"/>
  <c r="U343"/>
  <c r="Q342"/>
  <c r="U404"/>
  <c r="Q403"/>
  <c r="U456"/>
  <c r="Q455"/>
  <c r="U50"/>
  <c r="Q49"/>
  <c r="U333"/>
  <c r="Q332"/>
  <c r="U117"/>
  <c r="Q116"/>
  <c r="U400"/>
  <c r="Q399"/>
  <c r="U184"/>
  <c r="Q183"/>
  <c r="U467"/>
  <c r="Q466"/>
  <c r="U251"/>
  <c r="Q250"/>
  <c r="Q34"/>
  <c r="U481"/>
  <c r="Q480"/>
  <c r="U223"/>
  <c r="Q222"/>
  <c r="U336"/>
  <c r="Q335"/>
  <c r="U273"/>
  <c r="Q272"/>
  <c r="U340"/>
  <c r="Q339"/>
  <c r="U407"/>
  <c r="Q406"/>
  <c r="U493"/>
  <c r="Q492"/>
  <c r="U110"/>
  <c r="Q109"/>
  <c r="U235"/>
  <c r="Q234"/>
  <c r="U348"/>
  <c r="Q347"/>
  <c r="U279"/>
  <c r="Q278"/>
  <c r="U346"/>
  <c r="Q345"/>
  <c r="U413"/>
  <c r="Q412"/>
  <c r="U397"/>
  <c r="Q396"/>
  <c r="U510"/>
  <c r="Q509"/>
  <c r="U139"/>
  <c r="Q138"/>
  <c r="U252"/>
  <c r="Q251"/>
  <c r="U231"/>
  <c r="Q230"/>
  <c r="U298"/>
  <c r="Q297"/>
  <c r="U365"/>
  <c r="Q364"/>
  <c r="U265"/>
  <c r="Q264"/>
  <c r="U378"/>
  <c r="Q377"/>
  <c r="U500"/>
  <c r="Q499"/>
  <c r="U120"/>
  <c r="Q119"/>
  <c r="U165"/>
  <c r="Q164"/>
  <c r="U232"/>
  <c r="Q231"/>
  <c r="U299"/>
  <c r="Q298"/>
  <c r="U133"/>
  <c r="Q132"/>
  <c r="U246"/>
  <c r="Q245"/>
  <c r="U368"/>
  <c r="Q367"/>
  <c r="Q31"/>
  <c r="U99"/>
  <c r="Q98"/>
  <c r="U166"/>
  <c r="Q165"/>
  <c r="U233"/>
  <c r="Q232"/>
  <c r="U181"/>
  <c r="Q180"/>
  <c r="U294"/>
  <c r="Q293"/>
  <c r="U416"/>
  <c r="Q415"/>
  <c r="Q24"/>
  <c r="U123"/>
  <c r="Q122"/>
  <c r="U190"/>
  <c r="Q189"/>
  <c r="U257"/>
  <c r="Q256"/>
  <c r="U361"/>
  <c r="Q360"/>
  <c r="U410"/>
  <c r="Q409"/>
  <c r="U474"/>
  <c r="Q473"/>
  <c r="Q35"/>
  <c r="U103"/>
  <c r="Q102"/>
  <c r="U164"/>
  <c r="Q163"/>
  <c r="U216"/>
  <c r="Q215"/>
  <c r="U429"/>
  <c r="Q428"/>
  <c r="U213"/>
  <c r="Q212"/>
  <c r="U496"/>
  <c r="Q495"/>
  <c r="U280"/>
  <c r="Q279"/>
  <c r="U64"/>
  <c r="Q63"/>
  <c r="U347"/>
  <c r="Q346"/>
  <c r="U131"/>
  <c r="Q130"/>
  <c r="U301"/>
  <c r="Q300"/>
  <c r="U350"/>
  <c r="Q349"/>
  <c r="U414"/>
  <c r="Q413"/>
  <c r="U475"/>
  <c r="Q474"/>
  <c r="Q36"/>
  <c r="U104"/>
  <c r="Q103"/>
  <c r="U156"/>
  <c r="Q155"/>
  <c r="U399"/>
  <c r="Q398"/>
  <c r="U183"/>
  <c r="Q182"/>
  <c r="U466"/>
  <c r="Q465"/>
  <c r="U250"/>
  <c r="Q249"/>
  <c r="Q33"/>
  <c r="U317"/>
  <c r="Q316"/>
  <c r="U101"/>
  <c r="Q100"/>
  <c r="U241"/>
  <c r="Q240"/>
  <c r="U290"/>
  <c r="Q289"/>
  <c r="U354"/>
  <c r="Q353"/>
  <c r="U415"/>
  <c r="Q414"/>
  <c r="U476"/>
  <c r="Q475"/>
  <c r="U42"/>
  <c r="Q41"/>
  <c r="U96"/>
  <c r="Q95"/>
  <c r="U369"/>
  <c r="Q368"/>
  <c r="U153"/>
  <c r="Q152"/>
  <c r="U436"/>
  <c r="Q435"/>
  <c r="U220"/>
  <c r="Q219"/>
  <c r="U503"/>
  <c r="Q502"/>
  <c r="U287"/>
  <c r="Q286"/>
  <c r="U71"/>
  <c r="Q70"/>
  <c r="U242"/>
  <c r="Q241"/>
  <c r="U480"/>
  <c r="Q479"/>
  <c r="U412"/>
  <c r="Q411"/>
  <c r="U47"/>
  <c r="Q46"/>
  <c r="U379"/>
  <c r="Q378"/>
  <c r="U418"/>
  <c r="Q417"/>
  <c r="U485"/>
  <c r="Q484"/>
  <c r="U53"/>
  <c r="Q52"/>
  <c r="U158"/>
  <c r="Q157"/>
  <c r="U283"/>
  <c r="Q282"/>
  <c r="U396"/>
  <c r="Q395"/>
  <c r="U303"/>
  <c r="Q302"/>
  <c r="U370"/>
  <c r="Q369"/>
  <c r="U437"/>
  <c r="Q436"/>
  <c r="U151"/>
  <c r="Q150"/>
  <c r="U237"/>
  <c r="Q236"/>
  <c r="U304"/>
  <c r="Q303"/>
  <c r="U371"/>
  <c r="Q370"/>
  <c r="U277"/>
  <c r="Q276"/>
  <c r="U390"/>
  <c r="Q389"/>
  <c r="U512"/>
  <c r="Q511"/>
  <c r="U132"/>
  <c r="Q131"/>
  <c r="U171"/>
  <c r="Q170"/>
  <c r="U238"/>
  <c r="Q237"/>
  <c r="U305"/>
  <c r="Q304"/>
  <c r="U325"/>
  <c r="Q324"/>
  <c r="U438"/>
  <c r="Q437"/>
  <c r="U67"/>
  <c r="Q66"/>
  <c r="U180"/>
  <c r="Q179"/>
  <c r="U195"/>
  <c r="Q194"/>
  <c r="U262"/>
  <c r="Q261"/>
  <c r="U329"/>
  <c r="Q328"/>
  <c r="U433"/>
  <c r="Q432"/>
  <c r="U482"/>
  <c r="Q481"/>
  <c r="U49"/>
  <c r="Q48"/>
  <c r="U114"/>
  <c r="Q113"/>
  <c r="U175"/>
  <c r="Q174"/>
  <c r="U236"/>
  <c r="Q235"/>
  <c r="U288"/>
  <c r="Q287"/>
  <c r="U465"/>
  <c r="Q464"/>
  <c r="U249"/>
  <c r="Q248"/>
  <c r="Q32"/>
  <c r="U316"/>
  <c r="Q315"/>
  <c r="U100"/>
  <c r="Q99"/>
  <c r="U383"/>
  <c r="Q382"/>
  <c r="U167"/>
  <c r="Q166"/>
  <c r="U373"/>
  <c r="Q372"/>
  <c r="U422"/>
  <c r="Q421"/>
  <c r="U486"/>
  <c r="Q485"/>
  <c r="U54"/>
  <c r="Q53"/>
  <c r="U115"/>
  <c r="Q114"/>
  <c r="U176"/>
  <c r="Q175"/>
  <c r="U228"/>
  <c r="Q227"/>
  <c r="U435"/>
  <c r="Q434"/>
  <c r="U219"/>
  <c r="Q218"/>
  <c r="U502"/>
  <c r="Q501"/>
  <c r="U286"/>
  <c r="Q285"/>
  <c r="U70"/>
  <c r="Q69"/>
  <c r="U353"/>
  <c r="Q352"/>
  <c r="U137"/>
  <c r="Q136"/>
  <c r="U313"/>
  <c r="Q312"/>
  <c r="U362"/>
  <c r="Q361"/>
  <c r="U426"/>
  <c r="Q425"/>
  <c r="U487"/>
  <c r="Q486"/>
  <c r="U55"/>
  <c r="Q54"/>
  <c r="U116"/>
  <c r="Q115"/>
  <c r="U168"/>
  <c r="Q167"/>
  <c r="U405"/>
  <c r="Q404"/>
  <c r="U189"/>
  <c r="Q188"/>
  <c r="U472"/>
  <c r="Q471"/>
  <c r="U256"/>
  <c r="Q255"/>
  <c r="U40"/>
  <c r="Q39"/>
  <c r="U323"/>
  <c r="Q322"/>
  <c r="U107"/>
  <c r="Q106"/>
  <c r="U254"/>
  <c r="Q253"/>
  <c r="U264"/>
  <c r="Q263"/>
  <c r="U386"/>
  <c r="Q385"/>
  <c r="U511"/>
  <c r="Q510"/>
  <c r="U140"/>
  <c r="Q139"/>
  <c r="U417"/>
  <c r="Q416"/>
  <c r="U52"/>
  <c r="Q51"/>
  <c r="U119"/>
  <c r="Q118"/>
  <c r="U398"/>
  <c r="Q397"/>
  <c r="Q17"/>
  <c r="U152"/>
  <c r="Q151"/>
  <c r="U490"/>
  <c r="Q489"/>
  <c r="U58"/>
  <c r="Q57"/>
  <c r="U125"/>
  <c r="Q124"/>
  <c r="U302"/>
  <c r="Q301"/>
  <c r="U427"/>
  <c r="Q426"/>
  <c r="U56"/>
  <c r="Q55"/>
  <c r="U375"/>
  <c r="Q374"/>
  <c r="U442"/>
  <c r="Q441"/>
  <c r="U509"/>
  <c r="Q508"/>
  <c r="U77"/>
  <c r="Q76"/>
  <c r="U170"/>
  <c r="Q169"/>
  <c r="U295"/>
  <c r="Q294"/>
  <c r="U309"/>
  <c r="Q308"/>
  <c r="U376"/>
  <c r="Q375"/>
  <c r="U443"/>
  <c r="Q442"/>
  <c r="U421"/>
  <c r="Q420"/>
  <c r="Q30"/>
  <c r="U163"/>
  <c r="Q162"/>
  <c r="U276"/>
  <c r="Q275"/>
  <c r="U243"/>
  <c r="Q242"/>
  <c r="U310"/>
  <c r="Q309"/>
  <c r="U377"/>
  <c r="Q376"/>
  <c r="U469"/>
  <c r="Q468"/>
  <c r="U86"/>
  <c r="Q85"/>
  <c r="U211"/>
  <c r="Q210"/>
  <c r="U324"/>
  <c r="Q323"/>
  <c r="U267"/>
  <c r="Q266"/>
  <c r="U334"/>
  <c r="Q333"/>
  <c r="U401"/>
  <c r="Q400"/>
  <c r="U505"/>
  <c r="Q504"/>
  <c r="U73"/>
  <c r="Q72"/>
  <c r="U122"/>
  <c r="Q121"/>
  <c r="U186"/>
  <c r="Q185"/>
  <c r="U247"/>
  <c r="Q246"/>
  <c r="U308"/>
  <c r="Q307"/>
  <c r="U360"/>
  <c r="Q359"/>
  <c r="U501"/>
  <c r="Q500"/>
  <c r="U285"/>
  <c r="Q284"/>
  <c r="U69"/>
  <c r="Q68"/>
  <c r="U352"/>
  <c r="Q351"/>
  <c r="U136"/>
  <c r="Q135"/>
  <c r="U419"/>
  <c r="Q418"/>
  <c r="U203"/>
  <c r="Q202"/>
  <c r="U445"/>
  <c r="Q444"/>
  <c r="U494"/>
  <c r="Q493"/>
  <c r="U62"/>
  <c r="Q61"/>
  <c r="U126"/>
  <c r="Q125"/>
  <c r="U187"/>
  <c r="Q186"/>
  <c r="U248"/>
  <c r="Q247"/>
  <c r="U300"/>
  <c r="Q299"/>
  <c r="U471"/>
  <c r="Q470"/>
  <c r="U255"/>
  <c r="Q254"/>
  <c r="U39"/>
  <c r="Q38"/>
  <c r="U322"/>
  <c r="Q321"/>
  <c r="U106"/>
  <c r="Q105"/>
  <c r="U389"/>
  <c r="Q388"/>
  <c r="U173"/>
  <c r="Q172"/>
  <c r="U385"/>
  <c r="Q384"/>
  <c r="U434"/>
  <c r="Q433"/>
  <c r="U498"/>
  <c r="Q497"/>
  <c r="U66"/>
  <c r="Q65"/>
  <c r="U127"/>
  <c r="Q126"/>
  <c r="U188"/>
  <c r="Q187"/>
  <c r="U240"/>
  <c r="Q239"/>
  <c r="U441"/>
  <c r="Q440"/>
  <c r="U225"/>
  <c r="Q224"/>
  <c r="U508"/>
  <c r="Q507"/>
  <c r="U292"/>
  <c r="Q291"/>
  <c r="U76"/>
  <c r="Q75"/>
  <c r="U359"/>
  <c r="Q358"/>
  <c r="U143"/>
  <c r="Q142"/>
  <c r="U98"/>
  <c r="Q97"/>
  <c r="U367"/>
  <c r="Q366"/>
  <c r="U479"/>
  <c r="Q478"/>
  <c r="U351"/>
  <c r="Q350"/>
  <c r="U409"/>
  <c r="Q408"/>
  <c r="U484"/>
  <c r="Q483"/>
  <c r="U423"/>
  <c r="Q422"/>
  <c r="U408"/>
  <c r="Q407"/>
  <c r="U48"/>
  <c r="Q47"/>
  <c r="U162"/>
  <c r="Q161"/>
  <c r="U284"/>
  <c r="Q283"/>
  <c r="U489"/>
  <c r="Q488"/>
  <c r="U57"/>
  <c r="Q56"/>
  <c r="U124"/>
  <c r="Q123"/>
  <c r="U191"/>
  <c r="Q190"/>
  <c r="U61"/>
  <c r="Q60"/>
  <c r="U174"/>
  <c r="Q173"/>
  <c r="U296"/>
  <c r="Q295"/>
  <c r="U495"/>
  <c r="Q494"/>
  <c r="U63"/>
  <c r="Q62"/>
  <c r="U130"/>
  <c r="Q129"/>
  <c r="U197"/>
  <c r="Q196"/>
  <c r="U446"/>
  <c r="Q445"/>
  <c r="U78"/>
  <c r="Q77"/>
  <c r="U200"/>
  <c r="Q199"/>
  <c r="U447"/>
  <c r="Q446"/>
  <c r="Q14"/>
  <c r="U82"/>
  <c r="Q81"/>
  <c r="U149"/>
  <c r="Q148"/>
  <c r="U314"/>
  <c r="Q313"/>
  <c r="U439"/>
  <c r="Q438"/>
  <c r="U68"/>
  <c r="Q67"/>
  <c r="U381"/>
  <c r="Q380"/>
  <c r="U448"/>
  <c r="Q447"/>
  <c r="Q15"/>
  <c r="U83"/>
  <c r="Q82"/>
  <c r="U182"/>
  <c r="Q181"/>
  <c r="U307"/>
  <c r="Q306"/>
  <c r="U420"/>
  <c r="Q419"/>
  <c r="U315"/>
  <c r="Q314"/>
  <c r="U382"/>
  <c r="Q381"/>
  <c r="U449"/>
  <c r="Q448"/>
  <c r="Q16"/>
  <c r="U230"/>
  <c r="Q229"/>
  <c r="U355"/>
  <c r="Q354"/>
  <c r="U468"/>
  <c r="Q467"/>
  <c r="U339"/>
  <c r="Q338"/>
  <c r="U406"/>
  <c r="Q405"/>
  <c r="U473"/>
  <c r="Q472"/>
  <c r="U41"/>
  <c r="Q40"/>
  <c r="U145"/>
  <c r="Q144"/>
  <c r="U194"/>
  <c r="Q193"/>
  <c r="U258"/>
  <c r="Q257"/>
  <c r="U319"/>
  <c r="Q318"/>
  <c r="U380"/>
  <c r="Q379"/>
  <c r="U432"/>
  <c r="Q431"/>
  <c r="U38"/>
  <c r="Q37"/>
  <c r="U321"/>
  <c r="Q320"/>
  <c r="U105"/>
  <c r="Q104"/>
  <c r="U388"/>
  <c r="Q387"/>
  <c r="U172"/>
  <c r="Q171"/>
  <c r="U455"/>
  <c r="Q454"/>
  <c r="U239"/>
  <c r="Q238"/>
  <c r="Q22"/>
  <c r="U85"/>
  <c r="Q84"/>
  <c r="U134"/>
  <c r="Q133"/>
  <c r="U198"/>
  <c r="Q197"/>
  <c r="U259"/>
  <c r="Q258"/>
  <c r="U320"/>
  <c r="Q319"/>
  <c r="U372"/>
  <c r="Q371"/>
  <c r="U507"/>
  <c r="Q506"/>
  <c r="U291"/>
  <c r="Q290"/>
  <c r="U75"/>
  <c r="Q74"/>
  <c r="U358"/>
  <c r="Q357"/>
  <c r="U142"/>
  <c r="Q141"/>
  <c r="U425"/>
  <c r="Q424"/>
  <c r="U209"/>
  <c r="Q208"/>
  <c r="U457"/>
  <c r="Q456"/>
  <c r="U506"/>
  <c r="Q505"/>
  <c r="U74"/>
  <c r="Q73"/>
  <c r="U138"/>
  <c r="Q137"/>
  <c r="U199"/>
  <c r="Q198"/>
  <c r="U260"/>
  <c r="Q259"/>
  <c r="U312"/>
  <c r="Q311"/>
  <c r="U477"/>
  <c r="Q476"/>
  <c r="U261"/>
  <c r="Q260"/>
  <c r="U45"/>
  <c r="Q44"/>
  <c r="U328"/>
  <c r="Q327"/>
  <c r="U112"/>
  <c r="Q111"/>
  <c r="U395"/>
  <c r="Q394"/>
  <c r="U179"/>
  <c r="Q178"/>
  <c r="BL114"/>
  <c r="BM114"/>
  <c r="Y113"/>
  <c r="Z113"/>
  <c r="BM362"/>
  <c r="BL362"/>
  <c r="Z361"/>
  <c r="Y361"/>
  <c r="BL502"/>
  <c r="BM502"/>
  <c r="Z501"/>
  <c r="Y501"/>
  <c r="BL70"/>
  <c r="BM70"/>
  <c r="Z69"/>
  <c r="Y69"/>
  <c r="BL266"/>
  <c r="BM266"/>
  <c r="Z265"/>
  <c r="Y265"/>
  <c r="BM419"/>
  <c r="BL419"/>
  <c r="Z418"/>
  <c r="Y418"/>
  <c r="BM312"/>
  <c r="BL312"/>
  <c r="Y311"/>
  <c r="Z311"/>
  <c r="BL445"/>
  <c r="BM445"/>
  <c r="Z444"/>
  <c r="Y444"/>
  <c r="BM80"/>
  <c r="BL80"/>
  <c r="Z79"/>
  <c r="Y79"/>
  <c r="BL364"/>
  <c r="BM364"/>
  <c r="Z363"/>
  <c r="Y363"/>
  <c r="BL343"/>
  <c r="BM343"/>
  <c r="Z342"/>
  <c r="Y342"/>
  <c r="BM483"/>
  <c r="BL483"/>
  <c r="Z482"/>
  <c r="Y482"/>
  <c r="BM233"/>
  <c r="BL233"/>
  <c r="Z232"/>
  <c r="Y232"/>
  <c r="BM288"/>
  <c r="BL288"/>
  <c r="Y287"/>
  <c r="Z287"/>
  <c r="BL205"/>
  <c r="BM205"/>
  <c r="Y204"/>
  <c r="Z204"/>
  <c r="BL345"/>
  <c r="BM345"/>
  <c r="Z344"/>
  <c r="Y344"/>
  <c r="BL244"/>
  <c r="BM244"/>
  <c r="Z243"/>
  <c r="Y243"/>
  <c r="BL109"/>
  <c r="BM109"/>
  <c r="Y108"/>
  <c r="Z108"/>
  <c r="BL237"/>
  <c r="BM237"/>
  <c r="Z236"/>
  <c r="Y236"/>
  <c r="BM53"/>
  <c r="BL53"/>
  <c r="Y52"/>
  <c r="Z52"/>
  <c r="BL150"/>
  <c r="BM150"/>
  <c r="Z149"/>
  <c r="Y149"/>
  <c r="BM434"/>
  <c r="BL434"/>
  <c r="Z433"/>
  <c r="Y433"/>
  <c r="BL75"/>
  <c r="BM75"/>
  <c r="Z74"/>
  <c r="Y74"/>
  <c r="BL106"/>
  <c r="BM106"/>
  <c r="Z105"/>
  <c r="Y105"/>
  <c r="BL338"/>
  <c r="BM338"/>
  <c r="Z337"/>
  <c r="Y337"/>
  <c r="BM485"/>
  <c r="BL485"/>
  <c r="Z484"/>
  <c r="Y484"/>
  <c r="BM318"/>
  <c r="BL318"/>
  <c r="Z317"/>
  <c r="Y317"/>
  <c r="BL373"/>
  <c r="BM373"/>
  <c r="Z372"/>
  <c r="Y372"/>
  <c r="BM20"/>
  <c r="Y19"/>
  <c r="BL328"/>
  <c r="BM328"/>
  <c r="Z327"/>
  <c r="Y327"/>
  <c r="BL271"/>
  <c r="BM271"/>
  <c r="Z270"/>
  <c r="Y270"/>
  <c r="BM411"/>
  <c r="BL411"/>
  <c r="Z410"/>
  <c r="Y410"/>
  <c r="BM167"/>
  <c r="BL167"/>
  <c r="Y166"/>
  <c r="Z166"/>
  <c r="BM180"/>
  <c r="BL180"/>
  <c r="Z179"/>
  <c r="Y179"/>
  <c r="BL494"/>
  <c r="BM494"/>
  <c r="Z493"/>
  <c r="Y493"/>
  <c r="BL135"/>
  <c r="BM135"/>
  <c r="Z134"/>
  <c r="Y134"/>
  <c r="BL136"/>
  <c r="BM136"/>
  <c r="Z135"/>
  <c r="Y135"/>
  <c r="BL392"/>
  <c r="BM392"/>
  <c r="Z391"/>
  <c r="Y391"/>
  <c r="BM27"/>
  <c r="Y26"/>
  <c r="BM461"/>
  <c r="BL461"/>
  <c r="Z460"/>
  <c r="Y460"/>
  <c r="BM245"/>
  <c r="BL245"/>
  <c r="Z244"/>
  <c r="Y244"/>
  <c r="BL336"/>
  <c r="BM336"/>
  <c r="Z335"/>
  <c r="Y335"/>
  <c r="BL270"/>
  <c r="BM270"/>
  <c r="Y269"/>
  <c r="Z269"/>
  <c r="BL54"/>
  <c r="BM54"/>
  <c r="Y53"/>
  <c r="Z53"/>
  <c r="BL169"/>
  <c r="BM169"/>
  <c r="Y168"/>
  <c r="Z168"/>
  <c r="BL236"/>
  <c r="BM236"/>
  <c r="Z235"/>
  <c r="Y235"/>
  <c r="BL309"/>
  <c r="BM309"/>
  <c r="Z308"/>
  <c r="Y308"/>
  <c r="BL442"/>
  <c r="BM442"/>
  <c r="Y441"/>
  <c r="Z441"/>
  <c r="BL226"/>
  <c r="BM226"/>
  <c r="Z225"/>
  <c r="Y225"/>
  <c r="BM505"/>
  <c r="BL505"/>
  <c r="Y504"/>
  <c r="Z504"/>
  <c r="BL73"/>
  <c r="BM73"/>
  <c r="Z72"/>
  <c r="Y72"/>
  <c r="BM146"/>
  <c r="BL146"/>
  <c r="Z145"/>
  <c r="Y145"/>
  <c r="BL201"/>
  <c r="BM201"/>
  <c r="Z200"/>
  <c r="Y200"/>
  <c r="BM395"/>
  <c r="BL395"/>
  <c r="Z394"/>
  <c r="Y394"/>
  <c r="BM179"/>
  <c r="BL179"/>
  <c r="Y178"/>
  <c r="Z178"/>
  <c r="BL378"/>
  <c r="BM378"/>
  <c r="Z377"/>
  <c r="Y377"/>
  <c r="BM240"/>
  <c r="BL240"/>
  <c r="Z239"/>
  <c r="Y239"/>
  <c r="BM24"/>
  <c r="Y23"/>
  <c r="BL103"/>
  <c r="BM103"/>
  <c r="Z102"/>
  <c r="Y102"/>
  <c r="BL176"/>
  <c r="BM176"/>
  <c r="Z175"/>
  <c r="Y175"/>
  <c r="BL255"/>
  <c r="BM255"/>
  <c r="Z254"/>
  <c r="Y254"/>
  <c r="BM412"/>
  <c r="BL412"/>
  <c r="Z411"/>
  <c r="Y411"/>
  <c r="BM196"/>
  <c r="BL196"/>
  <c r="Z195"/>
  <c r="Y195"/>
  <c r="BL439"/>
  <c r="BM439"/>
  <c r="Z438"/>
  <c r="Y438"/>
  <c r="BM512"/>
  <c r="BL512"/>
  <c r="BL86"/>
  <c r="BM86"/>
  <c r="Z85"/>
  <c r="Y85"/>
  <c r="BL141"/>
  <c r="BM141"/>
  <c r="Z140"/>
  <c r="Y140"/>
  <c r="BM365"/>
  <c r="BL365"/>
  <c r="Z364"/>
  <c r="Y364"/>
  <c r="BM149"/>
  <c r="BL149"/>
  <c r="Z148"/>
  <c r="Y148"/>
  <c r="BM420"/>
  <c r="BL420"/>
  <c r="Z419"/>
  <c r="Y419"/>
  <c r="BM210"/>
  <c r="BL210"/>
  <c r="Z209"/>
  <c r="Y209"/>
  <c r="BL475"/>
  <c r="BM475"/>
  <c r="Z474"/>
  <c r="Y474"/>
  <c r="BL43"/>
  <c r="BM43"/>
  <c r="Z42"/>
  <c r="Y42"/>
  <c r="BM116"/>
  <c r="BL116"/>
  <c r="Z115"/>
  <c r="Y115"/>
  <c r="BM195"/>
  <c r="BL195"/>
  <c r="Z194"/>
  <c r="Y194"/>
  <c r="BM382"/>
  <c r="BL382"/>
  <c r="Y381"/>
  <c r="Z381"/>
  <c r="BM166"/>
  <c r="BL166"/>
  <c r="Z165"/>
  <c r="Y165"/>
  <c r="BL379"/>
  <c r="BM379"/>
  <c r="Y378"/>
  <c r="Z378"/>
  <c r="BL452"/>
  <c r="BM452"/>
  <c r="Z451"/>
  <c r="Y451"/>
  <c r="BM14"/>
  <c r="Y13"/>
  <c r="BM81"/>
  <c r="BL81"/>
  <c r="Z80"/>
  <c r="Y80"/>
  <c r="BM335"/>
  <c r="BL335"/>
  <c r="Z334"/>
  <c r="Y334"/>
  <c r="BM119"/>
  <c r="BL119"/>
  <c r="Z118"/>
  <c r="Y118"/>
  <c r="BL186"/>
  <c r="BM186"/>
  <c r="Z185"/>
  <c r="Y185"/>
  <c r="BM506"/>
  <c r="BL506"/>
  <c r="Z505"/>
  <c r="Y505"/>
  <c r="BL147"/>
  <c r="BM147"/>
  <c r="Z146"/>
  <c r="Y146"/>
  <c r="BL142"/>
  <c r="BM142"/>
  <c r="Z141"/>
  <c r="Y141"/>
  <c r="BM404"/>
  <c r="BL404"/>
  <c r="Z403"/>
  <c r="Y403"/>
  <c r="BM33"/>
  <c r="Y32"/>
  <c r="BL300"/>
  <c r="BM300"/>
  <c r="Y299"/>
  <c r="Z299"/>
  <c r="BL48"/>
  <c r="BM48"/>
  <c r="Y47"/>
  <c r="Z47"/>
  <c r="BM224"/>
  <c r="BL224"/>
  <c r="Z223"/>
  <c r="Y223"/>
  <c r="BL436"/>
  <c r="BM436"/>
  <c r="Y435"/>
  <c r="Z435"/>
  <c r="BL493"/>
  <c r="BM493"/>
  <c r="Z492"/>
  <c r="Y492"/>
  <c r="BL134"/>
  <c r="BM134"/>
  <c r="Z133"/>
  <c r="Y133"/>
  <c r="BM341"/>
  <c r="BL341"/>
  <c r="Z340"/>
  <c r="Y340"/>
  <c r="BM468"/>
  <c r="BL468"/>
  <c r="Y467"/>
  <c r="Z467"/>
  <c r="BL349"/>
  <c r="BM349"/>
  <c r="Z348"/>
  <c r="Y348"/>
  <c r="BL489"/>
  <c r="BM489"/>
  <c r="Y488"/>
  <c r="Z488"/>
  <c r="BL316"/>
  <c r="BM316"/>
  <c r="Z315"/>
  <c r="Y315"/>
  <c r="BL247"/>
  <c r="BM247"/>
  <c r="Z246"/>
  <c r="Y246"/>
  <c r="BL387"/>
  <c r="BM387"/>
  <c r="Z386"/>
  <c r="Y386"/>
  <c r="BM131"/>
  <c r="BL131"/>
  <c r="Y130"/>
  <c r="Z130"/>
  <c r="BL222"/>
  <c r="BM222"/>
  <c r="Z221"/>
  <c r="Y221"/>
  <c r="BL67"/>
  <c r="BM67"/>
  <c r="Y66"/>
  <c r="Z66"/>
  <c r="BL219"/>
  <c r="BM219"/>
  <c r="Z218"/>
  <c r="Y218"/>
  <c r="BL178"/>
  <c r="BM178"/>
  <c r="Z177"/>
  <c r="Y177"/>
  <c r="BM476"/>
  <c r="BL476"/>
  <c r="Z475"/>
  <c r="Y475"/>
  <c r="BL105"/>
  <c r="BM105"/>
  <c r="Z104"/>
  <c r="Y104"/>
  <c r="BL306"/>
  <c r="BM306"/>
  <c r="Z305"/>
  <c r="Y305"/>
  <c r="BM511"/>
  <c r="BL511"/>
  <c r="Z510"/>
  <c r="Y510"/>
  <c r="BM152"/>
  <c r="BL152"/>
  <c r="Z151"/>
  <c r="Y151"/>
  <c r="BL400"/>
  <c r="BM400"/>
  <c r="Z399"/>
  <c r="Y399"/>
  <c r="BL415"/>
  <c r="BM415"/>
  <c r="Z414"/>
  <c r="Y414"/>
  <c r="BL62"/>
  <c r="BM62"/>
  <c r="Z61"/>
  <c r="Y61"/>
  <c r="BM275"/>
  <c r="BL275"/>
  <c r="Y274"/>
  <c r="Z274"/>
  <c r="BM252"/>
  <c r="BL252"/>
  <c r="Z251"/>
  <c r="Y251"/>
  <c r="BL127"/>
  <c r="BM127"/>
  <c r="Y126"/>
  <c r="Z126"/>
  <c r="BL279"/>
  <c r="BM279"/>
  <c r="Z278"/>
  <c r="Y278"/>
  <c r="BL208"/>
  <c r="BM208"/>
  <c r="Z207"/>
  <c r="Y207"/>
  <c r="Y36"/>
  <c r="BL165"/>
  <c r="BM165"/>
  <c r="Z164"/>
  <c r="Y164"/>
  <c r="BM497"/>
  <c r="BL497"/>
  <c r="Z496"/>
  <c r="Y496"/>
  <c r="BM281"/>
  <c r="BL281"/>
  <c r="Y280"/>
  <c r="Z280"/>
  <c r="Y28"/>
  <c r="BL366"/>
  <c r="BM366"/>
  <c r="Z365"/>
  <c r="Y365"/>
  <c r="BL90"/>
  <c r="BM90"/>
  <c r="Y89"/>
  <c r="Z89"/>
  <c r="BL241"/>
  <c r="BM241"/>
  <c r="Y240"/>
  <c r="Z240"/>
  <c r="BL308"/>
  <c r="BM308"/>
  <c r="Z307"/>
  <c r="Y307"/>
  <c r="BL381"/>
  <c r="BM381"/>
  <c r="Z380"/>
  <c r="Y380"/>
  <c r="BL478"/>
  <c r="BM478"/>
  <c r="Y477"/>
  <c r="Z477"/>
  <c r="BL262"/>
  <c r="BM262"/>
  <c r="Z261"/>
  <c r="Y261"/>
  <c r="BL46"/>
  <c r="BM46"/>
  <c r="Z45"/>
  <c r="Y45"/>
  <c r="BL145"/>
  <c r="BM145"/>
  <c r="Z144"/>
  <c r="Y144"/>
  <c r="BM218"/>
  <c r="BL218"/>
  <c r="Z217"/>
  <c r="Y217"/>
  <c r="BL273"/>
  <c r="BM273"/>
  <c r="Z272"/>
  <c r="Y272"/>
  <c r="BM431"/>
  <c r="BL431"/>
  <c r="Z430"/>
  <c r="Y430"/>
  <c r="BM215"/>
  <c r="BL215"/>
  <c r="Z214"/>
  <c r="Y214"/>
  <c r="BL372"/>
  <c r="BM372"/>
  <c r="Z371"/>
  <c r="Y371"/>
  <c r="BM276"/>
  <c r="BL276"/>
  <c r="Z275"/>
  <c r="Y275"/>
  <c r="BM60"/>
  <c r="BL60"/>
  <c r="Y59"/>
  <c r="Z59"/>
  <c r="BL181"/>
  <c r="BM181"/>
  <c r="Y180"/>
  <c r="Z180"/>
  <c r="BL248"/>
  <c r="BM248"/>
  <c r="Z247"/>
  <c r="Y247"/>
  <c r="BL321"/>
  <c r="BM321"/>
  <c r="Z320"/>
  <c r="Y320"/>
  <c r="BM448"/>
  <c r="BL448"/>
  <c r="Z447"/>
  <c r="Y447"/>
  <c r="BM232"/>
  <c r="BL232"/>
  <c r="Y231"/>
  <c r="Z231"/>
  <c r="BM16"/>
  <c r="Y15"/>
  <c r="BL85"/>
  <c r="BM85"/>
  <c r="Y84"/>
  <c r="Z84"/>
  <c r="BL158"/>
  <c r="BM158"/>
  <c r="Z157"/>
  <c r="Y157"/>
  <c r="BL213"/>
  <c r="BM213"/>
  <c r="Z212"/>
  <c r="Y212"/>
  <c r="BM401"/>
  <c r="BL401"/>
  <c r="Z400"/>
  <c r="Y400"/>
  <c r="BM185"/>
  <c r="BL185"/>
  <c r="Z184"/>
  <c r="Y184"/>
  <c r="BL414"/>
  <c r="BM414"/>
  <c r="Z413"/>
  <c r="Y413"/>
  <c r="BM246"/>
  <c r="BL246"/>
  <c r="Y245"/>
  <c r="Z245"/>
  <c r="BM30"/>
  <c r="Y29"/>
  <c r="BL115"/>
  <c r="BM115"/>
  <c r="Y114"/>
  <c r="Z114"/>
  <c r="BM188"/>
  <c r="BL188"/>
  <c r="Z187"/>
  <c r="Y187"/>
  <c r="BM267"/>
  <c r="BL267"/>
  <c r="Z266"/>
  <c r="Y266"/>
  <c r="BM418"/>
  <c r="BL418"/>
  <c r="Y417"/>
  <c r="Z417"/>
  <c r="BM202"/>
  <c r="BL202"/>
  <c r="Z201"/>
  <c r="Y201"/>
  <c r="BL451"/>
  <c r="BM451"/>
  <c r="Y450"/>
  <c r="Z450"/>
  <c r="BL98"/>
  <c r="BM98"/>
  <c r="Z97"/>
  <c r="Y97"/>
  <c r="BM153"/>
  <c r="BL153"/>
  <c r="Z152"/>
  <c r="Y152"/>
  <c r="BM371"/>
  <c r="BL371"/>
  <c r="Z370"/>
  <c r="Y370"/>
  <c r="BM155"/>
  <c r="BL155"/>
  <c r="Z154"/>
  <c r="Y154"/>
  <c r="BL258"/>
  <c r="BM258"/>
  <c r="Y257"/>
  <c r="Z257"/>
  <c r="BL139"/>
  <c r="BM139"/>
  <c r="Y138"/>
  <c r="Z138"/>
  <c r="BL291"/>
  <c r="BM291"/>
  <c r="Z290"/>
  <c r="Y290"/>
  <c r="BL214"/>
  <c r="BM214"/>
  <c r="Z213"/>
  <c r="Y213"/>
  <c r="BL49"/>
  <c r="BM49"/>
  <c r="Y48"/>
  <c r="Z48"/>
  <c r="BL177"/>
  <c r="BM177"/>
  <c r="Z176"/>
  <c r="Y176"/>
  <c r="BM17"/>
  <c r="Y16"/>
  <c r="BL120"/>
  <c r="BM120"/>
  <c r="Z119"/>
  <c r="Y119"/>
  <c r="BL374"/>
  <c r="BM374"/>
  <c r="Z373"/>
  <c r="Y373"/>
  <c r="BL508"/>
  <c r="BM508"/>
  <c r="Y507"/>
  <c r="Z507"/>
  <c r="BL76"/>
  <c r="BM76"/>
  <c r="Z75"/>
  <c r="Y75"/>
  <c r="BL278"/>
  <c r="BM278"/>
  <c r="Z277"/>
  <c r="Y277"/>
  <c r="BM449"/>
  <c r="BL449"/>
  <c r="Z448"/>
  <c r="Y448"/>
  <c r="BM456"/>
  <c r="BL456"/>
  <c r="Z455"/>
  <c r="Y455"/>
  <c r="BL487"/>
  <c r="BM487"/>
  <c r="Y486"/>
  <c r="Z486"/>
  <c r="BL128"/>
  <c r="BM128"/>
  <c r="Z127"/>
  <c r="Y127"/>
  <c r="BL388"/>
  <c r="BM388"/>
  <c r="Z387"/>
  <c r="Y387"/>
  <c r="BL391"/>
  <c r="BM391"/>
  <c r="Z390"/>
  <c r="Y390"/>
  <c r="BM38"/>
  <c r="BL38"/>
  <c r="Z37"/>
  <c r="Y37"/>
  <c r="BM239"/>
  <c r="BL239"/>
  <c r="Z238"/>
  <c r="Y238"/>
  <c r="BL294"/>
  <c r="BM294"/>
  <c r="Z293"/>
  <c r="Y293"/>
  <c r="BL217"/>
  <c r="BM217"/>
  <c r="Y216"/>
  <c r="Z216"/>
  <c r="BL357"/>
  <c r="BM357"/>
  <c r="Z356"/>
  <c r="Y356"/>
  <c r="BL250"/>
  <c r="BM250"/>
  <c r="Z249"/>
  <c r="Y249"/>
  <c r="BL121"/>
  <c r="BM121"/>
  <c r="Y120"/>
  <c r="Z120"/>
  <c r="BL249"/>
  <c r="BM249"/>
  <c r="Z248"/>
  <c r="Y248"/>
  <c r="BM59"/>
  <c r="BL59"/>
  <c r="Z58"/>
  <c r="Y58"/>
  <c r="BL84"/>
  <c r="BM84"/>
  <c r="Y83"/>
  <c r="Z83"/>
  <c r="BM296"/>
  <c r="BL296"/>
  <c r="Z295"/>
  <c r="Y295"/>
  <c r="BL472"/>
  <c r="BM472"/>
  <c r="Y471"/>
  <c r="Z471"/>
  <c r="BL40"/>
  <c r="BM40"/>
  <c r="Z39"/>
  <c r="Y39"/>
  <c r="BL206"/>
  <c r="BM206"/>
  <c r="Z205"/>
  <c r="Y205"/>
  <c r="BM383"/>
  <c r="BL383"/>
  <c r="Z382"/>
  <c r="Y382"/>
  <c r="BL474"/>
  <c r="BM474"/>
  <c r="Z473"/>
  <c r="Y473"/>
  <c r="BL277"/>
  <c r="BM277"/>
  <c r="Z276"/>
  <c r="Y276"/>
  <c r="BL417"/>
  <c r="BM417"/>
  <c r="Z416"/>
  <c r="Y416"/>
  <c r="BL280"/>
  <c r="BM280"/>
  <c r="Z279"/>
  <c r="Y279"/>
  <c r="BL175"/>
  <c r="BM175"/>
  <c r="Y174"/>
  <c r="Z174"/>
  <c r="BL315"/>
  <c r="BM315"/>
  <c r="Z314"/>
  <c r="Y314"/>
  <c r="BM89"/>
  <c r="BL89"/>
  <c r="Y88"/>
  <c r="Z88"/>
  <c r="BM317"/>
  <c r="BL317"/>
  <c r="Z316"/>
  <c r="Y316"/>
  <c r="BM101"/>
  <c r="BL101"/>
  <c r="Z100"/>
  <c r="Y100"/>
  <c r="BM360"/>
  <c r="BL360"/>
  <c r="Y359"/>
  <c r="Z359"/>
  <c r="BL126"/>
  <c r="BM126"/>
  <c r="Y125"/>
  <c r="Z125"/>
  <c r="BL313"/>
  <c r="BM313"/>
  <c r="Y312"/>
  <c r="Z312"/>
  <c r="BL386"/>
  <c r="BM386"/>
  <c r="Z385"/>
  <c r="Y385"/>
  <c r="BL453"/>
  <c r="BM453"/>
  <c r="Y452"/>
  <c r="Z452"/>
  <c r="BM21"/>
  <c r="Y20"/>
  <c r="BL298"/>
  <c r="BM298"/>
  <c r="Z297"/>
  <c r="Y297"/>
  <c r="BL82"/>
  <c r="BM82"/>
  <c r="Z81"/>
  <c r="Y81"/>
  <c r="BL211"/>
  <c r="BM211"/>
  <c r="Y210"/>
  <c r="Z210"/>
  <c r="BM290"/>
  <c r="BL290"/>
  <c r="Z289"/>
  <c r="Y289"/>
  <c r="BL351"/>
  <c r="BM351"/>
  <c r="Z350"/>
  <c r="Y350"/>
  <c r="BM467"/>
  <c r="BL467"/>
  <c r="Z466"/>
  <c r="Y466"/>
  <c r="BM251"/>
  <c r="BL251"/>
  <c r="Z250"/>
  <c r="Y250"/>
  <c r="Y34"/>
  <c r="BL402"/>
  <c r="BM402"/>
  <c r="Z401"/>
  <c r="Y401"/>
  <c r="BM96"/>
  <c r="BL96"/>
  <c r="Z95"/>
  <c r="Y95"/>
  <c r="BL253"/>
  <c r="BM253"/>
  <c r="Y252"/>
  <c r="Z252"/>
  <c r="BL320"/>
  <c r="BM320"/>
  <c r="Z319"/>
  <c r="Y319"/>
  <c r="BL393"/>
  <c r="BM393"/>
  <c r="Z392"/>
  <c r="Y392"/>
  <c r="BM484"/>
  <c r="BL484"/>
  <c r="Z483"/>
  <c r="Y483"/>
  <c r="BM268"/>
  <c r="BL268"/>
  <c r="Y267"/>
  <c r="Z267"/>
  <c r="BM52"/>
  <c r="BL52"/>
  <c r="Z51"/>
  <c r="Y51"/>
  <c r="BL157"/>
  <c r="BM157"/>
  <c r="Y156"/>
  <c r="Z156"/>
  <c r="BL230"/>
  <c r="BM230"/>
  <c r="Z229"/>
  <c r="Y229"/>
  <c r="BL285"/>
  <c r="BM285"/>
  <c r="Z284"/>
  <c r="Y284"/>
  <c r="BM437"/>
  <c r="BL437"/>
  <c r="Z436"/>
  <c r="Y436"/>
  <c r="BM221"/>
  <c r="BL221"/>
  <c r="Y220"/>
  <c r="Z220"/>
  <c r="BL408"/>
  <c r="BM408"/>
  <c r="Z407"/>
  <c r="Y407"/>
  <c r="BM282"/>
  <c r="BL282"/>
  <c r="Y281"/>
  <c r="Z281"/>
  <c r="BM66"/>
  <c r="BL66"/>
  <c r="Y65"/>
  <c r="Z65"/>
  <c r="BL193"/>
  <c r="BM193"/>
  <c r="Y192"/>
  <c r="Z192"/>
  <c r="BM260"/>
  <c r="BL260"/>
  <c r="Z259"/>
  <c r="Y259"/>
  <c r="BM333"/>
  <c r="BL333"/>
  <c r="Z332"/>
  <c r="Y332"/>
  <c r="BM454"/>
  <c r="BL454"/>
  <c r="Y453"/>
  <c r="Z453"/>
  <c r="BM238"/>
  <c r="BL238"/>
  <c r="Y237"/>
  <c r="Z237"/>
  <c r="Y21"/>
  <c r="BL97"/>
  <c r="BM97"/>
  <c r="Z96"/>
  <c r="Y96"/>
  <c r="BL170"/>
  <c r="BM170"/>
  <c r="Z169"/>
  <c r="Y169"/>
  <c r="BM225"/>
  <c r="BL225"/>
  <c r="Z224"/>
  <c r="Y224"/>
  <c r="BM407"/>
  <c r="BL407"/>
  <c r="Z406"/>
  <c r="Y406"/>
  <c r="BM191"/>
  <c r="BL191"/>
  <c r="Z190"/>
  <c r="Y190"/>
  <c r="BM510"/>
  <c r="BL510"/>
  <c r="Z509"/>
  <c r="Y509"/>
  <c r="BL289"/>
  <c r="BM289"/>
  <c r="Z288"/>
  <c r="Y288"/>
  <c r="BL429"/>
  <c r="BM429"/>
  <c r="Z428"/>
  <c r="Y428"/>
  <c r="BL286"/>
  <c r="BM286"/>
  <c r="Y285"/>
  <c r="Z285"/>
  <c r="BL187"/>
  <c r="BM187"/>
  <c r="Z186"/>
  <c r="Y186"/>
  <c r="BL327"/>
  <c r="BM327"/>
  <c r="Z326"/>
  <c r="Y326"/>
  <c r="BM95"/>
  <c r="BL95"/>
  <c r="Y94"/>
  <c r="Z94"/>
  <c r="BL192"/>
  <c r="BM192"/>
  <c r="Z191"/>
  <c r="Y191"/>
  <c r="BM19"/>
  <c r="Y18"/>
  <c r="BM159"/>
  <c r="BL159"/>
  <c r="Z158"/>
  <c r="Y158"/>
  <c r="BL148"/>
  <c r="BM148"/>
  <c r="Z147"/>
  <c r="Y147"/>
  <c r="BL416"/>
  <c r="BM416"/>
  <c r="Z415"/>
  <c r="Y415"/>
  <c r="BM45"/>
  <c r="BL45"/>
  <c r="Z44"/>
  <c r="Y44"/>
  <c r="BL444"/>
  <c r="BM444"/>
  <c r="Z443"/>
  <c r="Y443"/>
  <c r="BM72"/>
  <c r="BL72"/>
  <c r="Y71"/>
  <c r="Z71"/>
  <c r="BL272"/>
  <c r="BM272"/>
  <c r="Z271"/>
  <c r="Y271"/>
  <c r="BL460"/>
  <c r="BM460"/>
  <c r="Z459"/>
  <c r="Y459"/>
  <c r="BM28"/>
  <c r="Y27"/>
  <c r="BM182"/>
  <c r="BL182"/>
  <c r="Z181"/>
  <c r="Y181"/>
  <c r="BM347"/>
  <c r="BL347"/>
  <c r="Z346"/>
  <c r="Y346"/>
  <c r="BM504"/>
  <c r="BL504"/>
  <c r="Y503"/>
  <c r="Z503"/>
  <c r="BL361"/>
  <c r="BM361"/>
  <c r="Y360"/>
  <c r="Z360"/>
  <c r="BL501"/>
  <c r="BM501"/>
  <c r="Z500"/>
  <c r="Y500"/>
  <c r="BL322"/>
  <c r="BM322"/>
  <c r="Y321"/>
  <c r="Z321"/>
  <c r="BL259"/>
  <c r="BM259"/>
  <c r="Z258"/>
  <c r="Y258"/>
  <c r="BL399"/>
  <c r="BM399"/>
  <c r="Z398"/>
  <c r="Y398"/>
  <c r="BM161"/>
  <c r="BL161"/>
  <c r="Z160"/>
  <c r="Y160"/>
  <c r="BL156"/>
  <c r="BM156"/>
  <c r="Z155"/>
  <c r="Y155"/>
  <c r="BL446"/>
  <c r="BM446"/>
  <c r="Z445"/>
  <c r="Y445"/>
  <c r="BM87"/>
  <c r="BL87"/>
  <c r="Z86"/>
  <c r="Y86"/>
  <c r="BL112"/>
  <c r="BM112"/>
  <c r="Z111"/>
  <c r="Y111"/>
  <c r="BL344"/>
  <c r="BM344"/>
  <c r="Z343"/>
  <c r="Y343"/>
  <c r="BM491"/>
  <c r="BL491"/>
  <c r="Z490"/>
  <c r="Y490"/>
  <c r="BM462"/>
  <c r="BL462"/>
  <c r="Z461"/>
  <c r="Y461"/>
  <c r="BL421"/>
  <c r="BM421"/>
  <c r="Z420"/>
  <c r="Y420"/>
  <c r="BL56"/>
  <c r="BM56"/>
  <c r="Z55"/>
  <c r="Y55"/>
  <c r="BL352"/>
  <c r="BM352"/>
  <c r="Z351"/>
  <c r="Y351"/>
  <c r="BL319"/>
  <c r="BM319"/>
  <c r="Z318"/>
  <c r="Y318"/>
  <c r="BL459"/>
  <c r="BM459"/>
  <c r="Z458"/>
  <c r="Y458"/>
  <c r="BM197"/>
  <c r="BL197"/>
  <c r="Z196"/>
  <c r="Y196"/>
  <c r="BM353"/>
  <c r="BL353"/>
  <c r="Z352"/>
  <c r="Y352"/>
  <c r="BM137"/>
  <c r="BL137"/>
  <c r="Z136"/>
  <c r="Y136"/>
  <c r="BM354"/>
  <c r="BL354"/>
  <c r="Y353"/>
  <c r="Z353"/>
  <c r="BL162"/>
  <c r="BM162"/>
  <c r="Z161"/>
  <c r="Y161"/>
  <c r="BL385"/>
  <c r="BM385"/>
  <c r="Z384"/>
  <c r="Y384"/>
  <c r="BL458"/>
  <c r="BM458"/>
  <c r="Z457"/>
  <c r="Y457"/>
  <c r="BM26"/>
  <c r="Y25"/>
  <c r="BL99"/>
  <c r="BM99"/>
  <c r="Z98"/>
  <c r="Y98"/>
  <c r="BL334"/>
  <c r="BM334"/>
  <c r="Z333"/>
  <c r="Y333"/>
  <c r="BL118"/>
  <c r="BM118"/>
  <c r="Z117"/>
  <c r="Y117"/>
  <c r="BL283"/>
  <c r="BM283"/>
  <c r="Y282"/>
  <c r="Z282"/>
  <c r="BL356"/>
  <c r="BM356"/>
  <c r="Z355"/>
  <c r="Y355"/>
  <c r="BL423"/>
  <c r="BM423"/>
  <c r="Z422"/>
  <c r="Y422"/>
  <c r="BM503"/>
  <c r="BL503"/>
  <c r="Z502"/>
  <c r="Y502"/>
  <c r="BM287"/>
  <c r="BL287"/>
  <c r="Z286"/>
  <c r="Y286"/>
  <c r="BM71"/>
  <c r="BL71"/>
  <c r="Y70"/>
  <c r="Z70"/>
  <c r="BM396"/>
  <c r="BL396"/>
  <c r="Y395"/>
  <c r="Z395"/>
  <c r="BM132"/>
  <c r="BL132"/>
  <c r="Z131"/>
  <c r="Y131"/>
  <c r="BL325"/>
  <c r="BM325"/>
  <c r="Y324"/>
  <c r="Z324"/>
  <c r="BM398"/>
  <c r="BL398"/>
  <c r="Z397"/>
  <c r="Y397"/>
  <c r="BL465"/>
  <c r="BM465"/>
  <c r="Z464"/>
  <c r="Y464"/>
  <c r="BL39"/>
  <c r="BM39"/>
  <c r="Z38"/>
  <c r="Y38"/>
  <c r="BM304"/>
  <c r="BL304"/>
  <c r="Y303"/>
  <c r="Z303"/>
  <c r="BM88"/>
  <c r="BL88"/>
  <c r="Z87"/>
  <c r="Y87"/>
  <c r="BL223"/>
  <c r="BM223"/>
  <c r="Z222"/>
  <c r="Y222"/>
  <c r="BL302"/>
  <c r="BM302"/>
  <c r="Z301"/>
  <c r="Y301"/>
  <c r="BL363"/>
  <c r="BM363"/>
  <c r="Z362"/>
  <c r="Y362"/>
  <c r="BM473"/>
  <c r="BL473"/>
  <c r="Z472"/>
  <c r="Y472"/>
  <c r="BM257"/>
  <c r="BL257"/>
  <c r="Y256"/>
  <c r="Z256"/>
  <c r="BM41"/>
  <c r="BL41"/>
  <c r="Y40"/>
  <c r="Z40"/>
  <c r="BL438"/>
  <c r="BM438"/>
  <c r="Z437"/>
  <c r="Y437"/>
  <c r="BM102"/>
  <c r="BL102"/>
  <c r="Y101"/>
  <c r="Z101"/>
  <c r="BL265"/>
  <c r="BM265"/>
  <c r="Y264"/>
  <c r="Z264"/>
  <c r="BM332"/>
  <c r="BL332"/>
  <c r="Z331"/>
  <c r="Y331"/>
  <c r="BM405"/>
  <c r="BL405"/>
  <c r="Z404"/>
  <c r="Y404"/>
  <c r="BM490"/>
  <c r="BL490"/>
  <c r="Y489"/>
  <c r="Z489"/>
  <c r="BM274"/>
  <c r="BL274"/>
  <c r="Y273"/>
  <c r="Z273"/>
  <c r="BM58"/>
  <c r="BL58"/>
  <c r="Z57"/>
  <c r="Y57"/>
  <c r="BL163"/>
  <c r="BM163"/>
  <c r="Y162"/>
  <c r="Z162"/>
  <c r="BL242"/>
  <c r="BM242"/>
  <c r="Z241"/>
  <c r="Y241"/>
  <c r="BM297"/>
  <c r="BL297"/>
  <c r="Z296"/>
  <c r="Y296"/>
  <c r="BM443"/>
  <c r="BL443"/>
  <c r="Z442"/>
  <c r="Y442"/>
  <c r="BM227"/>
  <c r="BL227"/>
  <c r="Z226"/>
  <c r="Y226"/>
  <c r="BM498"/>
  <c r="BL498"/>
  <c r="Z497"/>
  <c r="Y497"/>
  <c r="BL433"/>
  <c r="BM433"/>
  <c r="Z432"/>
  <c r="Y432"/>
  <c r="BL68"/>
  <c r="BM68"/>
  <c r="Z67"/>
  <c r="Y67"/>
  <c r="BL358"/>
  <c r="BM358"/>
  <c r="Y357"/>
  <c r="Z357"/>
  <c r="BL331"/>
  <c r="BM331"/>
  <c r="Z330"/>
  <c r="Y330"/>
  <c r="BL471"/>
  <c r="BM471"/>
  <c r="Z470"/>
  <c r="Y470"/>
  <c r="BM203"/>
  <c r="BL203"/>
  <c r="Z202"/>
  <c r="Y202"/>
  <c r="BL264"/>
  <c r="BM264"/>
  <c r="Z263"/>
  <c r="Y263"/>
  <c r="BL151"/>
  <c r="BM151"/>
  <c r="Y150"/>
  <c r="Z150"/>
  <c r="BM303"/>
  <c r="BL303"/>
  <c r="Z302"/>
  <c r="Y302"/>
  <c r="BL220"/>
  <c r="BM220"/>
  <c r="Z219"/>
  <c r="Y219"/>
  <c r="BL61"/>
  <c r="BM61"/>
  <c r="Y60"/>
  <c r="Z60"/>
  <c r="BM189"/>
  <c r="BL189"/>
  <c r="Z188"/>
  <c r="Y188"/>
  <c r="BM23"/>
  <c r="Y22"/>
  <c r="BM144"/>
  <c r="BL144"/>
  <c r="Z143"/>
  <c r="Y143"/>
  <c r="BL422"/>
  <c r="BM422"/>
  <c r="Z421"/>
  <c r="Y421"/>
  <c r="BL63"/>
  <c r="BM63"/>
  <c r="Z62"/>
  <c r="Y62"/>
  <c r="BL100"/>
  <c r="BM100"/>
  <c r="Z99"/>
  <c r="Y99"/>
  <c r="BM326"/>
  <c r="BL326"/>
  <c r="Z325"/>
  <c r="Y325"/>
  <c r="BM455"/>
  <c r="BL455"/>
  <c r="Z454"/>
  <c r="Y454"/>
  <c r="BM492"/>
  <c r="BL492"/>
  <c r="Z491"/>
  <c r="Y491"/>
  <c r="BM499"/>
  <c r="BL499"/>
  <c r="Z498"/>
  <c r="Y498"/>
  <c r="BL140"/>
  <c r="BM140"/>
  <c r="Z139"/>
  <c r="Y139"/>
  <c r="BL394"/>
  <c r="BM394"/>
  <c r="Y393"/>
  <c r="Z393"/>
  <c r="BL403"/>
  <c r="BM403"/>
  <c r="Z402"/>
  <c r="Y402"/>
  <c r="BL50"/>
  <c r="BM50"/>
  <c r="Z49"/>
  <c r="Y49"/>
  <c r="BM269"/>
  <c r="BL269"/>
  <c r="Z268"/>
  <c r="Y268"/>
  <c r="BL228"/>
  <c r="BM228"/>
  <c r="Z227"/>
  <c r="Y227"/>
  <c r="BL79"/>
  <c r="BM79"/>
  <c r="Y78"/>
  <c r="Z78"/>
  <c r="BM231"/>
  <c r="BL231"/>
  <c r="Z230"/>
  <c r="Y230"/>
  <c r="BL184"/>
  <c r="BM184"/>
  <c r="Z183"/>
  <c r="Y183"/>
  <c r="BL488"/>
  <c r="BM488"/>
  <c r="Z487"/>
  <c r="Y487"/>
  <c r="BM117"/>
  <c r="BL117"/>
  <c r="Z116"/>
  <c r="Y116"/>
  <c r="BL450"/>
  <c r="BM450"/>
  <c r="Z449"/>
  <c r="Y449"/>
  <c r="Y35"/>
  <c r="BL200"/>
  <c r="BM200"/>
  <c r="Z199"/>
  <c r="Y199"/>
  <c r="BL424"/>
  <c r="BM424"/>
  <c r="Z423"/>
  <c r="Y423"/>
  <c r="BL463"/>
  <c r="BM463"/>
  <c r="Z462"/>
  <c r="Y462"/>
  <c r="BM110"/>
  <c r="BL110"/>
  <c r="Z109"/>
  <c r="Y109"/>
  <c r="BM305"/>
  <c r="BL305"/>
  <c r="Z304"/>
  <c r="Y304"/>
  <c r="BM389"/>
  <c r="BL389"/>
  <c r="Z388"/>
  <c r="Y388"/>
  <c r="BM173"/>
  <c r="BL173"/>
  <c r="Y172"/>
  <c r="Z172"/>
  <c r="BM348"/>
  <c r="BL348"/>
  <c r="Z347"/>
  <c r="Y347"/>
  <c r="BL198"/>
  <c r="BM198"/>
  <c r="Y197"/>
  <c r="Z197"/>
  <c r="BL457"/>
  <c r="BM457"/>
  <c r="Z456"/>
  <c r="Y456"/>
  <c r="BM25"/>
  <c r="Y24"/>
  <c r="BL92"/>
  <c r="BM92"/>
  <c r="Z91"/>
  <c r="Y91"/>
  <c r="BL171"/>
  <c r="BM171"/>
  <c r="Z170"/>
  <c r="Y170"/>
  <c r="BL370"/>
  <c r="BM370"/>
  <c r="Z369"/>
  <c r="Y369"/>
  <c r="BL154"/>
  <c r="BM154"/>
  <c r="Z153"/>
  <c r="Y153"/>
  <c r="BL355"/>
  <c r="BM355"/>
  <c r="Z354"/>
  <c r="Y354"/>
  <c r="BL428"/>
  <c r="BM428"/>
  <c r="Z427"/>
  <c r="Y427"/>
  <c r="BL495"/>
  <c r="BM495"/>
  <c r="Z494"/>
  <c r="Y494"/>
  <c r="BL57"/>
  <c r="BM57"/>
  <c r="Z56"/>
  <c r="Y56"/>
  <c r="BM323"/>
  <c r="BL323"/>
  <c r="Z322"/>
  <c r="Y322"/>
  <c r="BM107"/>
  <c r="BL107"/>
  <c r="Y106"/>
  <c r="Z106"/>
  <c r="BM390"/>
  <c r="BL390"/>
  <c r="Z389"/>
  <c r="Y389"/>
  <c r="BM168"/>
  <c r="BL168"/>
  <c r="Y167"/>
  <c r="Z167"/>
  <c r="BL397"/>
  <c r="BM397"/>
  <c r="Z396"/>
  <c r="Y396"/>
  <c r="BM470"/>
  <c r="BL470"/>
  <c r="Z469"/>
  <c r="Y469"/>
  <c r="BM32"/>
  <c r="Y31"/>
  <c r="BL111"/>
  <c r="BM111"/>
  <c r="Z110"/>
  <c r="Y110"/>
  <c r="BM340"/>
  <c r="BL340"/>
  <c r="Y339"/>
  <c r="Z339"/>
  <c r="BM124"/>
  <c r="BL124"/>
  <c r="Z123"/>
  <c r="Y123"/>
  <c r="BL295"/>
  <c r="BM295"/>
  <c r="Z294"/>
  <c r="Y294"/>
  <c r="BM368"/>
  <c r="BL368"/>
  <c r="Z367"/>
  <c r="Y367"/>
  <c r="BL435"/>
  <c r="BM435"/>
  <c r="Z434"/>
  <c r="Y434"/>
  <c r="BM509"/>
  <c r="BL509"/>
  <c r="Z508"/>
  <c r="Y508"/>
  <c r="BM293"/>
  <c r="BL293"/>
  <c r="Z292"/>
  <c r="Y292"/>
  <c r="BM77"/>
  <c r="BL77"/>
  <c r="Z76"/>
  <c r="Y76"/>
  <c r="BM432"/>
  <c r="BL432"/>
  <c r="Y431"/>
  <c r="Z431"/>
  <c r="BM138"/>
  <c r="BL138"/>
  <c r="Y137"/>
  <c r="Z137"/>
  <c r="BL337"/>
  <c r="BM337"/>
  <c r="Z336"/>
  <c r="Y336"/>
  <c r="BL410"/>
  <c r="BM410"/>
  <c r="Z409"/>
  <c r="Y409"/>
  <c r="BM477"/>
  <c r="BL477"/>
  <c r="Y476"/>
  <c r="Z476"/>
  <c r="BM51"/>
  <c r="BL51"/>
  <c r="Z50"/>
  <c r="Y50"/>
  <c r="BM310"/>
  <c r="BL310"/>
  <c r="Z309"/>
  <c r="Y309"/>
  <c r="BM94"/>
  <c r="BL94"/>
  <c r="Z93"/>
  <c r="Y93"/>
  <c r="BL235"/>
  <c r="BM235"/>
  <c r="Z234"/>
  <c r="Y234"/>
  <c r="BL314"/>
  <c r="BM314"/>
  <c r="Z313"/>
  <c r="Y313"/>
  <c r="BM375"/>
  <c r="BL375"/>
  <c r="Z374"/>
  <c r="Y374"/>
  <c r="BM479"/>
  <c r="BL479"/>
  <c r="Z478"/>
  <c r="Y478"/>
  <c r="BM263"/>
  <c r="BL263"/>
  <c r="Z262"/>
  <c r="Y262"/>
  <c r="BM47"/>
  <c r="BL47"/>
  <c r="Z46"/>
  <c r="Y46"/>
  <c r="BL486"/>
  <c r="BM486"/>
  <c r="Z485"/>
  <c r="Y485"/>
  <c r="BL42"/>
  <c r="BM42"/>
  <c r="Z41"/>
  <c r="Y41"/>
  <c r="BL212"/>
  <c r="BM212"/>
  <c r="Z211"/>
  <c r="Y211"/>
  <c r="BL430"/>
  <c r="BM430"/>
  <c r="Z429"/>
  <c r="Y429"/>
  <c r="BL481"/>
  <c r="BM481"/>
  <c r="Z480"/>
  <c r="Y480"/>
  <c r="BL122"/>
  <c r="BM122"/>
  <c r="Z121"/>
  <c r="Y121"/>
  <c r="BM311"/>
  <c r="BL311"/>
  <c r="Z310"/>
  <c r="Y310"/>
  <c r="BM324"/>
  <c r="BL324"/>
  <c r="Y323"/>
  <c r="Z323"/>
  <c r="BL301"/>
  <c r="BM301"/>
  <c r="Z300"/>
  <c r="Y300"/>
  <c r="BM441"/>
  <c r="BL441"/>
  <c r="Y440"/>
  <c r="Z440"/>
  <c r="BL292"/>
  <c r="BM292"/>
  <c r="Z291"/>
  <c r="Y291"/>
  <c r="BL199"/>
  <c r="BM199"/>
  <c r="Y198"/>
  <c r="Z198"/>
  <c r="BM339"/>
  <c r="BL339"/>
  <c r="Z338"/>
  <c r="Y338"/>
  <c r="BM125"/>
  <c r="BL125"/>
  <c r="Z124"/>
  <c r="Y124"/>
  <c r="BM216"/>
  <c r="BL216"/>
  <c r="Y215"/>
  <c r="Z215"/>
  <c r="BL55"/>
  <c r="BM55"/>
  <c r="Y54"/>
  <c r="Z54"/>
  <c r="BL207"/>
  <c r="BM207"/>
  <c r="Z206"/>
  <c r="Y206"/>
  <c r="BL172"/>
  <c r="BM172"/>
  <c r="Z171"/>
  <c r="Y171"/>
  <c r="BL464"/>
  <c r="BM464"/>
  <c r="Z463"/>
  <c r="Y463"/>
  <c r="BL93"/>
  <c r="BM93"/>
  <c r="Z92"/>
  <c r="Y92"/>
  <c r="BL480"/>
  <c r="BM480"/>
  <c r="Z479"/>
  <c r="Y479"/>
  <c r="BL78"/>
  <c r="BM78"/>
  <c r="Y77"/>
  <c r="Z77"/>
  <c r="BL284"/>
  <c r="BM284"/>
  <c r="Z283"/>
  <c r="Y283"/>
  <c r="BL466"/>
  <c r="BM466"/>
  <c r="Z465"/>
  <c r="Y465"/>
  <c r="Y33"/>
  <c r="BL194"/>
  <c r="BM194"/>
  <c r="Z193"/>
  <c r="Y193"/>
  <c r="BM377"/>
  <c r="BL377"/>
  <c r="Z376"/>
  <c r="Y376"/>
  <c r="BL330"/>
  <c r="BM330"/>
  <c r="Z329"/>
  <c r="Y329"/>
  <c r="BL229"/>
  <c r="BM229"/>
  <c r="Y228"/>
  <c r="Z228"/>
  <c r="BM369"/>
  <c r="BL369"/>
  <c r="Z368"/>
  <c r="Y368"/>
  <c r="BL256"/>
  <c r="BM256"/>
  <c r="Y255"/>
  <c r="Z255"/>
  <c r="BL133"/>
  <c r="BM133"/>
  <c r="Y132"/>
  <c r="Z132"/>
  <c r="BM261"/>
  <c r="BL261"/>
  <c r="Z260"/>
  <c r="Y260"/>
  <c r="BM65"/>
  <c r="BL65"/>
  <c r="Y64"/>
  <c r="Z64"/>
  <c r="BM108"/>
  <c r="BL108"/>
  <c r="Z107"/>
  <c r="Y107"/>
  <c r="BL350"/>
  <c r="BM350"/>
  <c r="Z349"/>
  <c r="Y349"/>
  <c r="BL496"/>
  <c r="BM496"/>
  <c r="Z495"/>
  <c r="Y495"/>
  <c r="BL64"/>
  <c r="BM64"/>
  <c r="Z63"/>
  <c r="Y63"/>
  <c r="BM254"/>
  <c r="BL254"/>
  <c r="Z253"/>
  <c r="Y253"/>
  <c r="BM413"/>
  <c r="BL413"/>
  <c r="Z412"/>
  <c r="Y412"/>
  <c r="BM425"/>
  <c r="BL425"/>
  <c r="Z424"/>
  <c r="Y424"/>
  <c r="BM209"/>
  <c r="BL209"/>
  <c r="Y208"/>
  <c r="Z208"/>
  <c r="BL342"/>
  <c r="BM342"/>
  <c r="Z341"/>
  <c r="Y341"/>
  <c r="BL234"/>
  <c r="BM234"/>
  <c r="Y233"/>
  <c r="Z233"/>
  <c r="BM18"/>
  <c r="Y17"/>
  <c r="BL91"/>
  <c r="BM91"/>
  <c r="Y90"/>
  <c r="Z90"/>
  <c r="BL164"/>
  <c r="BM164"/>
  <c r="Z163"/>
  <c r="Y163"/>
  <c r="BL243"/>
  <c r="BM243"/>
  <c r="Z242"/>
  <c r="Y242"/>
  <c r="BL406"/>
  <c r="BM406"/>
  <c r="Z405"/>
  <c r="Y405"/>
  <c r="BL190"/>
  <c r="BM190"/>
  <c r="Z189"/>
  <c r="Y189"/>
  <c r="BL427"/>
  <c r="BM427"/>
  <c r="Y426"/>
  <c r="Z426"/>
  <c r="BL500"/>
  <c r="BM500"/>
  <c r="Z499"/>
  <c r="Y499"/>
  <c r="BM74"/>
  <c r="BL74"/>
  <c r="Z73"/>
  <c r="Y73"/>
  <c r="BL129"/>
  <c r="BM129"/>
  <c r="Z128"/>
  <c r="Y128"/>
  <c r="BM359"/>
  <c r="BL359"/>
  <c r="Z358"/>
  <c r="Y358"/>
  <c r="BM143"/>
  <c r="BL143"/>
  <c r="Z142"/>
  <c r="Y142"/>
  <c r="BM384"/>
  <c r="BL384"/>
  <c r="Z383"/>
  <c r="Y383"/>
  <c r="BM204"/>
  <c r="BL204"/>
  <c r="Y203"/>
  <c r="Z203"/>
  <c r="BL469"/>
  <c r="BM469"/>
  <c r="Y468"/>
  <c r="Z468"/>
  <c r="BM31"/>
  <c r="Y30"/>
  <c r="BL104"/>
  <c r="BM104"/>
  <c r="Z103"/>
  <c r="Y103"/>
  <c r="BL183"/>
  <c r="BM183"/>
  <c r="Z182"/>
  <c r="Y182"/>
  <c r="BM376"/>
  <c r="BL376"/>
  <c r="Z375"/>
  <c r="Y375"/>
  <c r="BM160"/>
  <c r="BL160"/>
  <c r="Z159"/>
  <c r="Y159"/>
  <c r="BL367"/>
  <c r="BM367"/>
  <c r="Z366"/>
  <c r="Y366"/>
  <c r="BM440"/>
  <c r="BL440"/>
  <c r="Z439"/>
  <c r="Y439"/>
  <c r="BL507"/>
  <c r="BM507"/>
  <c r="Z506"/>
  <c r="Y506"/>
  <c r="BL69"/>
  <c r="BM69"/>
  <c r="Z68"/>
  <c r="Y68"/>
  <c r="BM329"/>
  <c r="BL329"/>
  <c r="Z328"/>
  <c r="Y328"/>
  <c r="BM113"/>
  <c r="BL113"/>
  <c r="Z112"/>
  <c r="Y112"/>
  <c r="BM426"/>
  <c r="BL426"/>
  <c r="Z425"/>
  <c r="Y425"/>
  <c r="BM174"/>
  <c r="BL174"/>
  <c r="Z173"/>
  <c r="Y173"/>
  <c r="BL409"/>
  <c r="BM409"/>
  <c r="Y408"/>
  <c r="Z408"/>
  <c r="BL482"/>
  <c r="BM482"/>
  <c r="Z481"/>
  <c r="Y481"/>
  <c r="BM44"/>
  <c r="BL44"/>
  <c r="Z43"/>
  <c r="Y43"/>
  <c r="BM123"/>
  <c r="BL123"/>
  <c r="Z122"/>
  <c r="Y122"/>
  <c r="BM346"/>
  <c r="BL346"/>
  <c r="Y345"/>
  <c r="Z345"/>
  <c r="BM130"/>
  <c r="BL130"/>
  <c r="Z129"/>
  <c r="Y129"/>
  <c r="BL307"/>
  <c r="BM307"/>
  <c r="Z306"/>
  <c r="Y306"/>
  <c r="BL380"/>
  <c r="BM380"/>
  <c r="Z379"/>
  <c r="Y379"/>
  <c r="BM447"/>
  <c r="BL447"/>
  <c r="Z446"/>
  <c r="Y446"/>
  <c r="BM15"/>
  <c r="Y14"/>
  <c r="BM299"/>
  <c r="BL299"/>
  <c r="Y298"/>
  <c r="Z298"/>
  <c r="BM83"/>
  <c r="BL83"/>
  <c r="Z82"/>
  <c r="Y82"/>
  <c r="EX37" i="1"/>
  <c r="EV38"/>
  <c r="EY38" s="1"/>
  <c r="J25" i="7"/>
  <c r="AF37" i="5"/>
  <c r="J33" i="7"/>
  <c r="J29"/>
  <c r="AF34" i="5"/>
  <c r="AF30"/>
  <c r="AF35"/>
  <c r="AF33"/>
  <c r="AF32"/>
  <c r="AF29"/>
  <c r="AF36"/>
  <c r="Z36" i="7"/>
  <c r="Z33"/>
  <c r="Z34"/>
  <c r="Z35"/>
  <c r="Z28"/>
  <c r="EW37" i="1"/>
  <c r="Z21" i="7"/>
  <c r="BI13" a="1"/>
  <c r="BM36" l="1"/>
  <c r="BM35"/>
  <c r="BM37"/>
  <c r="BM29"/>
  <c r="BM22"/>
  <c r="BI47"/>
  <c r="BI83"/>
  <c r="BI119"/>
  <c r="BI155"/>
  <c r="BI191"/>
  <c r="BI227"/>
  <c r="BI263"/>
  <c r="BI299"/>
  <c r="BI335"/>
  <c r="BI371"/>
  <c r="BI407"/>
  <c r="BI443"/>
  <c r="BI479"/>
  <c r="BI16"/>
  <c r="BI52"/>
  <c r="BI88"/>
  <c r="BI124"/>
  <c r="BI160"/>
  <c r="BI196"/>
  <c r="BI232"/>
  <c r="BI268"/>
  <c r="BI304"/>
  <c r="BI340"/>
  <c r="BI376"/>
  <c r="BI412"/>
  <c r="BI448"/>
  <c r="BI484"/>
  <c r="BI21"/>
  <c r="BI57"/>
  <c r="BI93"/>
  <c r="BI129"/>
  <c r="BI165"/>
  <c r="BI201"/>
  <c r="BI237"/>
  <c r="BI273"/>
  <c r="BI309"/>
  <c r="BI345"/>
  <c r="BI381"/>
  <c r="BI417"/>
  <c r="BI453"/>
  <c r="BI489"/>
  <c r="BI32"/>
  <c r="BI42"/>
  <c r="BI120"/>
  <c r="BI192"/>
  <c r="BI264"/>
  <c r="BI336"/>
  <c r="BI408"/>
  <c r="BI480"/>
  <c r="BI68"/>
  <c r="BI140"/>
  <c r="BI212"/>
  <c r="BI284"/>
  <c r="BI356"/>
  <c r="BI428"/>
  <c r="BI500"/>
  <c r="BI79"/>
  <c r="BI151"/>
  <c r="BI223"/>
  <c r="BI295"/>
  <c r="BI367"/>
  <c r="BI439"/>
  <c r="BI511"/>
  <c r="BI90"/>
  <c r="BI162"/>
  <c r="BI234"/>
  <c r="BI306"/>
  <c r="BI378"/>
  <c r="BI450"/>
  <c r="BI13"/>
  <c r="BI98"/>
  <c r="BI170"/>
  <c r="BI242"/>
  <c r="BI314"/>
  <c r="BI386"/>
  <c r="BI458"/>
  <c r="BI43"/>
  <c r="BI121"/>
  <c r="BI193"/>
  <c r="BI265"/>
  <c r="BI337"/>
  <c r="BI409"/>
  <c r="BI481"/>
  <c r="BI41"/>
  <c r="BI77"/>
  <c r="BI113"/>
  <c r="BI149"/>
  <c r="BI185"/>
  <c r="BI221"/>
  <c r="BI257"/>
  <c r="BI293"/>
  <c r="BI329"/>
  <c r="BI365"/>
  <c r="BI401"/>
  <c r="BI437"/>
  <c r="BI473"/>
  <c r="BI509"/>
  <c r="BI46"/>
  <c r="BI82"/>
  <c r="BI118"/>
  <c r="BI154"/>
  <c r="BI190"/>
  <c r="BI226"/>
  <c r="BI262"/>
  <c r="BI298"/>
  <c r="BI334"/>
  <c r="BI370"/>
  <c r="BI406"/>
  <c r="BI442"/>
  <c r="BI478"/>
  <c r="BI15"/>
  <c r="BI51"/>
  <c r="BI87"/>
  <c r="BI123"/>
  <c r="BI159"/>
  <c r="BI195"/>
  <c r="BI231"/>
  <c r="BI267"/>
  <c r="BI303"/>
  <c r="BI339"/>
  <c r="BI375"/>
  <c r="BI411"/>
  <c r="BI447"/>
  <c r="BI483"/>
  <c r="BI26"/>
  <c r="BI24"/>
  <c r="BI108"/>
  <c r="BI180"/>
  <c r="BI252"/>
  <c r="BI324"/>
  <c r="BI396"/>
  <c r="BI468"/>
  <c r="BI55"/>
  <c r="BI128"/>
  <c r="BI200"/>
  <c r="BI272"/>
  <c r="BI344"/>
  <c r="BI416"/>
  <c r="BI488"/>
  <c r="BI67"/>
  <c r="BI139"/>
  <c r="BI211"/>
  <c r="BI283"/>
  <c r="BI355"/>
  <c r="BI427"/>
  <c r="BI499"/>
  <c r="BI78"/>
  <c r="BI150"/>
  <c r="BI222"/>
  <c r="BI294"/>
  <c r="BI366"/>
  <c r="BI438"/>
  <c r="BI510"/>
  <c r="BI86"/>
  <c r="BI158"/>
  <c r="BI230"/>
  <c r="BI302"/>
  <c r="BI374"/>
  <c r="BI446"/>
  <c r="BI25"/>
  <c r="BI109"/>
  <c r="BI181"/>
  <c r="BI253"/>
  <c r="BI325"/>
  <c r="BI397"/>
  <c r="BI469"/>
  <c r="BI35"/>
  <c r="BI71"/>
  <c r="BI107"/>
  <c r="BI143"/>
  <c r="BI179"/>
  <c r="BI215"/>
  <c r="BI251"/>
  <c r="BI287"/>
  <c r="BI323"/>
  <c r="BI359"/>
  <c r="BI395"/>
  <c r="BI431"/>
  <c r="BI467"/>
  <c r="BI503"/>
  <c r="BI40"/>
  <c r="BI76"/>
  <c r="BI112"/>
  <c r="BI148"/>
  <c r="BI184"/>
  <c r="BI220"/>
  <c r="BI256"/>
  <c r="BI292"/>
  <c r="BI328"/>
  <c r="BI364"/>
  <c r="BI400"/>
  <c r="BI436"/>
  <c r="BI472"/>
  <c r="BI508"/>
  <c r="BI45"/>
  <c r="BI81"/>
  <c r="BI117"/>
  <c r="BI153"/>
  <c r="BI189"/>
  <c r="BI225"/>
  <c r="BI261"/>
  <c r="BI297"/>
  <c r="BI333"/>
  <c r="BI369"/>
  <c r="BI405"/>
  <c r="BI441"/>
  <c r="BI477"/>
  <c r="BI14"/>
  <c r="BI56"/>
  <c r="BI96"/>
  <c r="BI168"/>
  <c r="BI240"/>
  <c r="BI312"/>
  <c r="BI384"/>
  <c r="BI456"/>
  <c r="BI37"/>
  <c r="BI116"/>
  <c r="BI188"/>
  <c r="BI260"/>
  <c r="BI332"/>
  <c r="BI404"/>
  <c r="BI476"/>
  <c r="BI54"/>
  <c r="BI127"/>
  <c r="BI199"/>
  <c r="BI271"/>
  <c r="BI343"/>
  <c r="BI415"/>
  <c r="BI487"/>
  <c r="BI66"/>
  <c r="BI138"/>
  <c r="BI210"/>
  <c r="BI282"/>
  <c r="BI354"/>
  <c r="BI426"/>
  <c r="BI498"/>
  <c r="BI74"/>
  <c r="BI146"/>
  <c r="BI218"/>
  <c r="BI290"/>
  <c r="BI362"/>
  <c r="BI434"/>
  <c r="BI506"/>
  <c r="BI97"/>
  <c r="BI169"/>
  <c r="BI241"/>
  <c r="BI313"/>
  <c r="BI385"/>
  <c r="BI457"/>
  <c r="BI29"/>
  <c r="BI65"/>
  <c r="BI101"/>
  <c r="BI137"/>
  <c r="BI173"/>
  <c r="BI209"/>
  <c r="BI245"/>
  <c r="BI95"/>
  <c r="BI203"/>
  <c r="BI305"/>
  <c r="BI377"/>
  <c r="BI449"/>
  <c r="BI22"/>
  <c r="BI94"/>
  <c r="BI166"/>
  <c r="BI238"/>
  <c r="BI310"/>
  <c r="BI382"/>
  <c r="BI454"/>
  <c r="BI27"/>
  <c r="BI99"/>
  <c r="BI171"/>
  <c r="BI243"/>
  <c r="BI315"/>
  <c r="BI387"/>
  <c r="BI459"/>
  <c r="BI38"/>
  <c r="BI132"/>
  <c r="BI276"/>
  <c r="BI420"/>
  <c r="BI80"/>
  <c r="BI224"/>
  <c r="BI368"/>
  <c r="BI512"/>
  <c r="BI163"/>
  <c r="BI307"/>
  <c r="BI451"/>
  <c r="BI102"/>
  <c r="BI246"/>
  <c r="BI390"/>
  <c r="BI30"/>
  <c r="BI182"/>
  <c r="BI326"/>
  <c r="BI470"/>
  <c r="BI133"/>
  <c r="BI277"/>
  <c r="BI421"/>
  <c r="BI89"/>
  <c r="BI197"/>
  <c r="BI281"/>
  <c r="BI353"/>
  <c r="BI425"/>
  <c r="BI497"/>
  <c r="BI70"/>
  <c r="BI142"/>
  <c r="BI214"/>
  <c r="BI286"/>
  <c r="BI358"/>
  <c r="BI430"/>
  <c r="BI502"/>
  <c r="BI75"/>
  <c r="BI147"/>
  <c r="BI219"/>
  <c r="BI291"/>
  <c r="BI363"/>
  <c r="BI435"/>
  <c r="BI507"/>
  <c r="BI84"/>
  <c r="BI228"/>
  <c r="BI372"/>
  <c r="BI20"/>
  <c r="BI176"/>
  <c r="BI320"/>
  <c r="BI464"/>
  <c r="BI115"/>
  <c r="BI259"/>
  <c r="BI403"/>
  <c r="BI49"/>
  <c r="BI198"/>
  <c r="BI342"/>
  <c r="BI486"/>
  <c r="BI134"/>
  <c r="BI278"/>
  <c r="BI422"/>
  <c r="BI85"/>
  <c r="BI229"/>
  <c r="BI373"/>
  <c r="BI59"/>
  <c r="BI167"/>
  <c r="BI275"/>
  <c r="BI347"/>
  <c r="BI419"/>
  <c r="BI491"/>
  <c r="BI64"/>
  <c r="BI136"/>
  <c r="BI208"/>
  <c r="BI280"/>
  <c r="BI352"/>
  <c r="BI424"/>
  <c r="BI496"/>
  <c r="BI69"/>
  <c r="BI141"/>
  <c r="BI213"/>
  <c r="BI285"/>
  <c r="BI357"/>
  <c r="BI429"/>
  <c r="BI501"/>
  <c r="BI72"/>
  <c r="BI216"/>
  <c r="BI360"/>
  <c r="BI504"/>
  <c r="BI164"/>
  <c r="BI308"/>
  <c r="BI452"/>
  <c r="BI103"/>
  <c r="BI247"/>
  <c r="BI391"/>
  <c r="BI31"/>
  <c r="BI186"/>
  <c r="BI330"/>
  <c r="BI474"/>
  <c r="BI122"/>
  <c r="BI266"/>
  <c r="BI410"/>
  <c r="BI73"/>
  <c r="BI217"/>
  <c r="BI361"/>
  <c r="BI505"/>
  <c r="BI53"/>
  <c r="BI161"/>
  <c r="BI269"/>
  <c r="BI341"/>
  <c r="BI413"/>
  <c r="BI485"/>
  <c r="BI58"/>
  <c r="BI130"/>
  <c r="BI202"/>
  <c r="BI274"/>
  <c r="BI346"/>
  <c r="BI418"/>
  <c r="BI490"/>
  <c r="BI63"/>
  <c r="BI135"/>
  <c r="BI207"/>
  <c r="BI279"/>
  <c r="BI351"/>
  <c r="BI423"/>
  <c r="BI495"/>
  <c r="BI60"/>
  <c r="BI204"/>
  <c r="BI348"/>
  <c r="BI492"/>
  <c r="BI152"/>
  <c r="BI296"/>
  <c r="BI440"/>
  <c r="BI91"/>
  <c r="BI235"/>
  <c r="BI379"/>
  <c r="BI18"/>
  <c r="BI174"/>
  <c r="BI318"/>
  <c r="BI462"/>
  <c r="BI110"/>
  <c r="BI254"/>
  <c r="BI398"/>
  <c r="BI61"/>
  <c r="BI205"/>
  <c r="BI349"/>
  <c r="BI493"/>
  <c r="BI23"/>
  <c r="BI131"/>
  <c r="BI239"/>
  <c r="BI317"/>
  <c r="BI389"/>
  <c r="BI461"/>
  <c r="BI34"/>
  <c r="BI106"/>
  <c r="BI178"/>
  <c r="BI250"/>
  <c r="BI322"/>
  <c r="BI394"/>
  <c r="BI466"/>
  <c r="BI39"/>
  <c r="BI111"/>
  <c r="BI183"/>
  <c r="BI255"/>
  <c r="BI327"/>
  <c r="BI399"/>
  <c r="BI471"/>
  <c r="BI50"/>
  <c r="BI156"/>
  <c r="BI300"/>
  <c r="BI444"/>
  <c r="BI104"/>
  <c r="BI248"/>
  <c r="BI392"/>
  <c r="BI36"/>
  <c r="BI187"/>
  <c r="BI331"/>
  <c r="BI475"/>
  <c r="BI126"/>
  <c r="BI270"/>
  <c r="BI414"/>
  <c r="BI62"/>
  <c r="BI206"/>
  <c r="BI350"/>
  <c r="BI494"/>
  <c r="BI157"/>
  <c r="BI301"/>
  <c r="BI445"/>
  <c r="BI17"/>
  <c r="BI125"/>
  <c r="BI233"/>
  <c r="BI311"/>
  <c r="BI383"/>
  <c r="BI455"/>
  <c r="BI28"/>
  <c r="BI100"/>
  <c r="BI172"/>
  <c r="BI244"/>
  <c r="BI316"/>
  <c r="BI388"/>
  <c r="BI460"/>
  <c r="BI33"/>
  <c r="BI105"/>
  <c r="BI177"/>
  <c r="BI249"/>
  <c r="BI321"/>
  <c r="BI393"/>
  <c r="BI465"/>
  <c r="BI44"/>
  <c r="BI144"/>
  <c r="BI288"/>
  <c r="BI432"/>
  <c r="BI92"/>
  <c r="BI236"/>
  <c r="BI380"/>
  <c r="BI19"/>
  <c r="BI175"/>
  <c r="BI319"/>
  <c r="BI463"/>
  <c r="BI114"/>
  <c r="BI258"/>
  <c r="BI402"/>
  <c r="BI48"/>
  <c r="BI194"/>
  <c r="BI338"/>
  <c r="BI482"/>
  <c r="BI145"/>
  <c r="BI289"/>
  <c r="BI433"/>
  <c r="BM34"/>
  <c r="BN365"/>
  <c r="BN131"/>
  <c r="BN152"/>
  <c r="BN149"/>
  <c r="BN209"/>
  <c r="BN425"/>
  <c r="BN413"/>
  <c r="BN254"/>
  <c r="BN261"/>
  <c r="BN369"/>
  <c r="BN377"/>
  <c r="BN288"/>
  <c r="BN233"/>
  <c r="BN362"/>
  <c r="BN392"/>
  <c r="BN494"/>
  <c r="BN271"/>
  <c r="BN328"/>
  <c r="BN512"/>
  <c r="BN65"/>
  <c r="BN45"/>
  <c r="BN414"/>
  <c r="BN116"/>
  <c r="BN386"/>
  <c r="BN313"/>
  <c r="BN175"/>
  <c r="BN277"/>
  <c r="BN206"/>
  <c r="BN472"/>
  <c r="BN84"/>
  <c r="BN249"/>
  <c r="BN121"/>
  <c r="BN155"/>
  <c r="BN379"/>
  <c r="BN213"/>
  <c r="BN457"/>
  <c r="BN198"/>
  <c r="BN463"/>
  <c r="BN450"/>
  <c r="BN184"/>
  <c r="BN79"/>
  <c r="BN403"/>
  <c r="BN422"/>
  <c r="BN357"/>
  <c r="BN217"/>
  <c r="BN391"/>
  <c r="BN487"/>
  <c r="BN278"/>
  <c r="BN508"/>
  <c r="BN120"/>
  <c r="BN43"/>
  <c r="BN475"/>
  <c r="BN141"/>
  <c r="BN439"/>
  <c r="BN255"/>
  <c r="BN176"/>
  <c r="BN103"/>
  <c r="BN143"/>
  <c r="BN359"/>
  <c r="BN107"/>
  <c r="BN323"/>
  <c r="BN221"/>
  <c r="BN437"/>
  <c r="BN251"/>
  <c r="BN467"/>
  <c r="BN185"/>
  <c r="BN401"/>
  <c r="BN85"/>
  <c r="BN470"/>
  <c r="BN390"/>
  <c r="BN238"/>
  <c r="BN454"/>
  <c r="BN333"/>
  <c r="BN260"/>
  <c r="BN62"/>
  <c r="BN159"/>
  <c r="BN232"/>
  <c r="BN448"/>
  <c r="BN276"/>
  <c r="BN218"/>
  <c r="BN284"/>
  <c r="BN464"/>
  <c r="BN55"/>
  <c r="BN199"/>
  <c r="BN292"/>
  <c r="BN301"/>
  <c r="BN481"/>
  <c r="BN212"/>
  <c r="BN486"/>
  <c r="BN314"/>
  <c r="BN235"/>
  <c r="BN337"/>
  <c r="BN435"/>
  <c r="BN295"/>
  <c r="BN111"/>
  <c r="BN168"/>
  <c r="BN161"/>
  <c r="BN327"/>
  <c r="BN187"/>
  <c r="BN429"/>
  <c r="BN289"/>
  <c r="BN170"/>
  <c r="BN97"/>
  <c r="BN52"/>
  <c r="BN96"/>
  <c r="BN127"/>
  <c r="BN415"/>
  <c r="BN400"/>
  <c r="BN306"/>
  <c r="BN105"/>
  <c r="BN219"/>
  <c r="BN67"/>
  <c r="BN247"/>
  <c r="BN349"/>
  <c r="BN134"/>
  <c r="BN493"/>
  <c r="BN436"/>
  <c r="BN343"/>
  <c r="BN282"/>
  <c r="BN268"/>
  <c r="BN484"/>
  <c r="BN290"/>
  <c r="BN404"/>
  <c r="BN506"/>
  <c r="BN99"/>
  <c r="BN335"/>
  <c r="BN81"/>
  <c r="BN201"/>
  <c r="BN309"/>
  <c r="BN236"/>
  <c r="BN336"/>
  <c r="BN447"/>
  <c r="BN130"/>
  <c r="BN346"/>
  <c r="BN123"/>
  <c r="BN426"/>
  <c r="BN440"/>
  <c r="BN160"/>
  <c r="BN376"/>
  <c r="BN63"/>
  <c r="BN189"/>
  <c r="BN303"/>
  <c r="BN203"/>
  <c r="BN498"/>
  <c r="BN227"/>
  <c r="BN443"/>
  <c r="BN297"/>
  <c r="BN274"/>
  <c r="BN490"/>
  <c r="BN405"/>
  <c r="BN332"/>
  <c r="BN304"/>
  <c r="BN398"/>
  <c r="BN396"/>
  <c r="BN503"/>
  <c r="BN40"/>
  <c r="BN76"/>
  <c r="BN371"/>
  <c r="BN153"/>
  <c r="BN202"/>
  <c r="BN418"/>
  <c r="BN267"/>
  <c r="BN188"/>
  <c r="BN372"/>
  <c r="BN273"/>
  <c r="BN381"/>
  <c r="BN308"/>
  <c r="BN366"/>
  <c r="BN240"/>
  <c r="BN146"/>
  <c r="BN505"/>
  <c r="BN54"/>
  <c r="BN245"/>
  <c r="BN461"/>
  <c r="BN338"/>
  <c r="BN106"/>
  <c r="BN150"/>
  <c r="BN266"/>
  <c r="BN70"/>
  <c r="BN44"/>
  <c r="BN125"/>
  <c r="BN47"/>
  <c r="BN94"/>
  <c r="BN51"/>
  <c r="BN140"/>
  <c r="BN58"/>
  <c r="BN88"/>
  <c r="BN132"/>
  <c r="BN95"/>
  <c r="BN46"/>
  <c r="BN90"/>
  <c r="BN142"/>
  <c r="BN186"/>
  <c r="BN469"/>
  <c r="BN500"/>
  <c r="BN427"/>
  <c r="BN190"/>
  <c r="BN406"/>
  <c r="BN91"/>
  <c r="BN458"/>
  <c r="BN385"/>
  <c r="BN319"/>
  <c r="BN56"/>
  <c r="BN421"/>
  <c r="BN112"/>
  <c r="BN156"/>
  <c r="BN399"/>
  <c r="BN259"/>
  <c r="BN501"/>
  <c r="BN361"/>
  <c r="BN60"/>
  <c r="BN82"/>
  <c r="BN113"/>
  <c r="BN329"/>
  <c r="BN104"/>
  <c r="BN78"/>
  <c r="BN42"/>
  <c r="BN77"/>
  <c r="BN293"/>
  <c r="BN41"/>
  <c r="BN257"/>
  <c r="BN473"/>
  <c r="BN39"/>
  <c r="BN71"/>
  <c r="BN287"/>
  <c r="BN180"/>
  <c r="BN167"/>
  <c r="BN83"/>
  <c r="BN380"/>
  <c r="BN482"/>
  <c r="BN69"/>
  <c r="BN64"/>
  <c r="BN496"/>
  <c r="BN330"/>
  <c r="BN194"/>
  <c r="BN138"/>
  <c r="BN495"/>
  <c r="BN171"/>
  <c r="BN92"/>
  <c r="BN173"/>
  <c r="BN144"/>
  <c r="BN264"/>
  <c r="BN358"/>
  <c r="BN68"/>
  <c r="BN438"/>
  <c r="BN302"/>
  <c r="BN423"/>
  <c r="BN137"/>
  <c r="BN460"/>
  <c r="BN272"/>
  <c r="BN444"/>
  <c r="BN416"/>
  <c r="BN408"/>
  <c r="BN230"/>
  <c r="BN402"/>
  <c r="BN351"/>
  <c r="BN101"/>
  <c r="BN89"/>
  <c r="BN59"/>
  <c r="BN214"/>
  <c r="BN258"/>
  <c r="BN237"/>
  <c r="BN244"/>
  <c r="BN345"/>
  <c r="BN502"/>
  <c r="BN114"/>
  <c r="BN307"/>
  <c r="BN409"/>
  <c r="BN507"/>
  <c r="BN367"/>
  <c r="BN183"/>
  <c r="BN234"/>
  <c r="BN342"/>
  <c r="BN350"/>
  <c r="BN133"/>
  <c r="BN256"/>
  <c r="BN229"/>
  <c r="BN397"/>
  <c r="BN57"/>
  <c r="BN428"/>
  <c r="BN355"/>
  <c r="BN154"/>
  <c r="BN370"/>
  <c r="BN61"/>
  <c r="BN220"/>
  <c r="BN151"/>
  <c r="BN471"/>
  <c r="BN331"/>
  <c r="BN433"/>
  <c r="BN242"/>
  <c r="BN163"/>
  <c r="BN265"/>
  <c r="BN363"/>
  <c r="BN223"/>
  <c r="BN465"/>
  <c r="BN325"/>
  <c r="BN356"/>
  <c r="BN283"/>
  <c r="BN118"/>
  <c r="BN334"/>
  <c r="BN148"/>
  <c r="BN193"/>
  <c r="BN285"/>
  <c r="BN157"/>
  <c r="BN393"/>
  <c r="BN320"/>
  <c r="BN253"/>
  <c r="BN211"/>
  <c r="BN298"/>
  <c r="BN177"/>
  <c r="BN49"/>
  <c r="BN291"/>
  <c r="BN139"/>
  <c r="BN98"/>
  <c r="BN451"/>
  <c r="BN115"/>
  <c r="BN321"/>
  <c r="BN248"/>
  <c r="BN181"/>
  <c r="BN215"/>
  <c r="BN431"/>
  <c r="BN145"/>
  <c r="BN262"/>
  <c r="BN478"/>
  <c r="BN241"/>
  <c r="BN147"/>
  <c r="BN378"/>
  <c r="BN179"/>
  <c r="BN395"/>
  <c r="BN73"/>
  <c r="BN226"/>
  <c r="BN442"/>
  <c r="BN169"/>
  <c r="BN270"/>
  <c r="BN373"/>
  <c r="BN75"/>
  <c r="BN109"/>
  <c r="BN205"/>
  <c r="BN364"/>
  <c r="BN445"/>
  <c r="BN318"/>
  <c r="BN485"/>
  <c r="BN434"/>
  <c r="BN483"/>
  <c r="BN312"/>
  <c r="BN419"/>
  <c r="BN174"/>
  <c r="BN129"/>
  <c r="BN243"/>
  <c r="BN164"/>
  <c r="BN108"/>
  <c r="BN466"/>
  <c r="BN480"/>
  <c r="BN93"/>
  <c r="BN172"/>
  <c r="BN207"/>
  <c r="BN122"/>
  <c r="BN430"/>
  <c r="BN410"/>
  <c r="BN424"/>
  <c r="BN200"/>
  <c r="BN488"/>
  <c r="BN228"/>
  <c r="BN50"/>
  <c r="BN394"/>
  <c r="BN100"/>
  <c r="BN102"/>
  <c r="BN459"/>
  <c r="BN352"/>
  <c r="BN344"/>
  <c r="BN446"/>
  <c r="BN322"/>
  <c r="BN72"/>
  <c r="BN192"/>
  <c r="BN286"/>
  <c r="BN66"/>
  <c r="BN453"/>
  <c r="BN315"/>
  <c r="BN280"/>
  <c r="BN417"/>
  <c r="BN474"/>
  <c r="BN250"/>
  <c r="BN294"/>
  <c r="BN388"/>
  <c r="BN128"/>
  <c r="BN374"/>
  <c r="BN158"/>
  <c r="BN165"/>
  <c r="BN208"/>
  <c r="BN279"/>
  <c r="BN178"/>
  <c r="BN222"/>
  <c r="BN387"/>
  <c r="BN316"/>
  <c r="BN489"/>
  <c r="BN300"/>
  <c r="BN119"/>
  <c r="BN452"/>
  <c r="BN86"/>
  <c r="BN136"/>
  <c r="BN135"/>
  <c r="BN53"/>
  <c r="BN80"/>
  <c r="BN299"/>
  <c r="BN204"/>
  <c r="BN384"/>
  <c r="BN74"/>
  <c r="BN216"/>
  <c r="BN339"/>
  <c r="BN441"/>
  <c r="BN324"/>
  <c r="BN311"/>
  <c r="BN263"/>
  <c r="BN479"/>
  <c r="BN375"/>
  <c r="BN310"/>
  <c r="BN477"/>
  <c r="BN432"/>
  <c r="BN509"/>
  <c r="BN368"/>
  <c r="BN124"/>
  <c r="BN340"/>
  <c r="BN348"/>
  <c r="BN389"/>
  <c r="BN305"/>
  <c r="BN110"/>
  <c r="BN117"/>
  <c r="BN231"/>
  <c r="BN269"/>
  <c r="BN499"/>
  <c r="BN492"/>
  <c r="BN455"/>
  <c r="BN326"/>
  <c r="BN162"/>
  <c r="BN354"/>
  <c r="BN353"/>
  <c r="BN197"/>
  <c r="BN462"/>
  <c r="BN491"/>
  <c r="BN87"/>
  <c r="BN504"/>
  <c r="BN347"/>
  <c r="BN182"/>
  <c r="BN510"/>
  <c r="BN191"/>
  <c r="BN407"/>
  <c r="BN225"/>
  <c r="BN126"/>
  <c r="BN360"/>
  <c r="BN317"/>
  <c r="BN383"/>
  <c r="BN296"/>
  <c r="BN239"/>
  <c r="BN38"/>
  <c r="BN456"/>
  <c r="BN449"/>
  <c r="BN246"/>
  <c r="BN281"/>
  <c r="BN497"/>
  <c r="BN252"/>
  <c r="BN275"/>
  <c r="BN511"/>
  <c r="BN476"/>
  <c r="BN468"/>
  <c r="BN341"/>
  <c r="BN224"/>
  <c r="BN48"/>
  <c r="BN166"/>
  <c r="BN382"/>
  <c r="BN195"/>
  <c r="BN210"/>
  <c r="BN420"/>
  <c r="BN196"/>
  <c r="BN412"/>
  <c r="BN411"/>
  <c r="EX38" i="1"/>
  <c r="EV39"/>
  <c r="EY39" s="1"/>
  <c r="EW38"/>
  <c r="EX39" l="1"/>
  <c r="EV40"/>
  <c r="EY40" s="1"/>
  <c r="BD30" i="5"/>
  <c r="BD29"/>
  <c r="EW39" i="1"/>
  <c r="EX40" l="1"/>
  <c r="EV41"/>
  <c r="EY41" s="1"/>
  <c r="AR39" i="5"/>
  <c r="EW40" i="1"/>
  <c r="EX41" l="1"/>
  <c r="EV42"/>
  <c r="EY42" s="1"/>
  <c r="AR41" i="5"/>
  <c r="AR38"/>
  <c r="AR40"/>
  <c r="EW41" i="1"/>
  <c r="W15" i="5" l="1" a="1"/>
  <c r="W24" s="1"/>
  <c r="EX42" i="1"/>
  <c r="EV43"/>
  <c r="EY43" s="1"/>
  <c r="AR35" i="5"/>
  <c r="EW42" i="1"/>
  <c r="W23" i="5" l="1"/>
  <c r="W20"/>
  <c r="W17"/>
  <c r="W19"/>
  <c r="W22"/>
  <c r="W26"/>
  <c r="W16"/>
  <c r="W18"/>
  <c r="W15"/>
  <c r="W25"/>
  <c r="W21"/>
  <c r="EX43" i="1"/>
  <c r="EV44"/>
  <c r="EY44" s="1"/>
  <c r="AR32" i="5"/>
  <c r="EW43" i="1"/>
  <c r="CJ23" i="5" l="1" a="1"/>
  <c r="CJ32" s="1"/>
  <c r="EX44" i="1"/>
  <c r="EV45"/>
  <c r="EY45" s="1"/>
  <c r="BD31" i="5"/>
  <c r="AR30"/>
  <c r="AR33"/>
  <c r="BP29"/>
  <c r="AR31"/>
  <c r="AR34"/>
  <c r="EW44" i="1"/>
  <c r="CM32" i="5"/>
  <c r="CJ24" l="1"/>
  <c r="CJ31"/>
  <c r="CJ23"/>
  <c r="CJ25"/>
  <c r="CJ26"/>
  <c r="CJ27"/>
  <c r="CJ28"/>
  <c r="CJ29"/>
  <c r="CJ33"/>
  <c r="CJ30"/>
  <c r="CJ34"/>
  <c r="EX45" i="1"/>
  <c r="EV46"/>
  <c r="EY46" s="1"/>
  <c r="BD22" i="5"/>
  <c r="EW45" i="1"/>
  <c r="CM24" i="5"/>
  <c r="CL25"/>
  <c r="CM31"/>
  <c r="CM26"/>
  <c r="CL32"/>
  <c r="CL28"/>
  <c r="CM27"/>
  <c r="CL27"/>
  <c r="CL26"/>
  <c r="CL34"/>
  <c r="CL29"/>
  <c r="CM30"/>
  <c r="CL23"/>
  <c r="CL33"/>
  <c r="EX46" i="1" l="1"/>
  <c r="EV47"/>
  <c r="EY47" s="1"/>
  <c r="BD20" i="5"/>
  <c r="BD23"/>
  <c r="BD24"/>
  <c r="BD21"/>
  <c r="BD19"/>
  <c r="EW46" i="1"/>
  <c r="CM28" i="5"/>
  <c r="CM23"/>
  <c r="CM34"/>
  <c r="CM25"/>
  <c r="CM29"/>
  <c r="CL31"/>
  <c r="CL30"/>
  <c r="CM33"/>
  <c r="CL24"/>
  <c r="EX47" i="1" l="1"/>
  <c r="EV48"/>
  <c r="EY48" s="1"/>
  <c r="EW47"/>
  <c r="EX48" l="1"/>
  <c r="EV49"/>
  <c r="EY49" s="1"/>
  <c r="EW48"/>
  <c r="EX49" l="1"/>
  <c r="EV50"/>
  <c r="EY50" s="1"/>
  <c r="AF15" i="5"/>
  <c r="EW49" i="1"/>
  <c r="AC16" i="5" l="1" a="1"/>
  <c r="AD16" s="1"/>
  <c r="EX50" i="1"/>
  <c r="EV51"/>
  <c r="EY51" s="1"/>
  <c r="AQ15" i="5"/>
  <c r="EW50" i="1"/>
  <c r="AC16" i="5" l="1"/>
  <c r="AF16" s="1"/>
  <c r="EX51" i="1"/>
  <c r="EV52"/>
  <c r="EY52" s="1"/>
  <c r="EW51"/>
  <c r="AC17" i="5" l="1" a="1"/>
  <c r="AC17" s="1"/>
  <c r="AQ16"/>
  <c r="EX52" i="1"/>
  <c r="EV53"/>
  <c r="EY53" s="1"/>
  <c r="BD14" i="5"/>
  <c r="BP13"/>
  <c r="EW52" i="1"/>
  <c r="AD17" i="5" l="1"/>
  <c r="AF17" s="1"/>
  <c r="EX53" i="1"/>
  <c r="EV54"/>
  <c r="EY54" s="1"/>
  <c r="BP12" i="5"/>
  <c r="BD12"/>
  <c r="BD10"/>
  <c r="BD13"/>
  <c r="BP15"/>
  <c r="BD15"/>
  <c r="BP11"/>
  <c r="BP14"/>
  <c r="BD11"/>
  <c r="BP10"/>
  <c r="EW53" i="1"/>
  <c r="AQ17" i="5" l="1"/>
  <c r="AC18" a="1"/>
  <c r="EX54" i="1"/>
  <c r="EV55"/>
  <c r="EY55" s="1"/>
  <c r="AI24" i="5"/>
  <c r="AI23"/>
  <c r="AI25"/>
  <c r="AI26"/>
  <c r="AI15"/>
  <c r="EW54" i="1"/>
  <c r="AD18" i="5" l="1"/>
  <c r="AC18"/>
  <c r="EX55" i="1"/>
  <c r="EV56"/>
  <c r="EY56" s="1"/>
  <c r="AI16" i="5"/>
  <c r="AI21"/>
  <c r="AI17"/>
  <c r="AI18"/>
  <c r="AI19"/>
  <c r="AI20"/>
  <c r="AI22"/>
  <c r="EW55" i="1"/>
  <c r="AF18" i="5" l="1"/>
  <c r="EX56" i="1"/>
  <c r="EV57"/>
  <c r="EY57" s="1"/>
  <c r="BJ18"/>
  <c r="BJ19"/>
  <c r="BJ20"/>
  <c r="BJ21"/>
  <c r="BJ22"/>
  <c r="BJ23"/>
  <c r="BJ24"/>
  <c r="BJ25"/>
  <c r="EW56"/>
  <c r="AQ18" i="5" l="1"/>
  <c r="AC19" a="1"/>
  <c r="EX57" i="1"/>
  <c r="EV58"/>
  <c r="EY58" s="1"/>
  <c r="EW57"/>
  <c r="AD19" i="5" l="1"/>
  <c r="AC19"/>
  <c r="BS18" i="1"/>
  <c r="BP19" s="1" a="1"/>
  <c r="EX58"/>
  <c r="EV59"/>
  <c r="EY59" s="1"/>
  <c r="BG23"/>
  <c r="EW58"/>
  <c r="AF19" i="5" l="1"/>
  <c r="BQ19" i="1"/>
  <c r="BP19"/>
  <c r="EX59"/>
  <c r="EV60"/>
  <c r="EY60" s="1"/>
  <c r="EW59"/>
  <c r="BS19" l="1"/>
  <c r="BP20" s="1" a="1"/>
  <c r="BP20" s="1"/>
  <c r="AC20" i="5" a="1"/>
  <c r="AQ19"/>
  <c r="EX60" i="1"/>
  <c r="EV61"/>
  <c r="EY61" s="1"/>
  <c r="EW60"/>
  <c r="BQ20" l="1"/>
  <c r="BS20" s="1"/>
  <c r="BP21" s="1" a="1"/>
  <c r="BP21" s="1"/>
  <c r="AD20" i="5"/>
  <c r="AC20"/>
  <c r="EX61" i="1"/>
  <c r="EV62"/>
  <c r="EY62" s="1"/>
  <c r="EW61"/>
  <c r="AF20" i="5" l="1"/>
  <c r="BQ21" i="1"/>
  <c r="BS21" s="1"/>
  <c r="BP22" s="1" a="1"/>
  <c r="BP22" s="1"/>
  <c r="EX62"/>
  <c r="EV63"/>
  <c r="EY63" s="1"/>
  <c r="EW62"/>
  <c r="AC21" i="5" l="1" a="1"/>
  <c r="AQ20"/>
  <c r="BQ22" i="1"/>
  <c r="BS22" s="1"/>
  <c r="BP23" s="1" a="1"/>
  <c r="BP23" s="1"/>
  <c r="EX63"/>
  <c r="EV64"/>
  <c r="EY64" s="1"/>
  <c r="EW63"/>
  <c r="AD21" i="5" l="1"/>
  <c r="AC21"/>
  <c r="BQ23" i="1"/>
  <c r="BS23" s="1"/>
  <c r="BP24" s="1" a="1"/>
  <c r="EX64"/>
  <c r="EV65"/>
  <c r="EY65" s="1"/>
  <c r="AH9"/>
  <c r="EW64"/>
  <c r="AF21" i="5" l="1"/>
  <c r="BP24" i="1"/>
  <c r="BQ24"/>
  <c r="EX65"/>
  <c r="EV66"/>
  <c r="EY66" s="1"/>
  <c r="BG30"/>
  <c r="BS30"/>
  <c r="BG20"/>
  <c r="AU37"/>
  <c r="BG12"/>
  <c r="BG34"/>
  <c r="BG33"/>
  <c r="AU33"/>
  <c r="AU29"/>
  <c r="AH12"/>
  <c r="BS12"/>
  <c r="AH6"/>
  <c r="AI6" s="1"/>
  <c r="EW65"/>
  <c r="AC22" i="5" l="1" a="1"/>
  <c r="AQ21"/>
  <c r="BS24" i="1"/>
  <c r="BP25" s="1" a="1"/>
  <c r="BP25" s="1"/>
  <c r="EX66"/>
  <c r="EV67"/>
  <c r="EY67" s="1"/>
  <c r="BG28"/>
  <c r="BG32"/>
  <c r="BG29"/>
  <c r="BG31"/>
  <c r="BG15"/>
  <c r="BS33"/>
  <c r="AU30"/>
  <c r="AH14"/>
  <c r="AU28"/>
  <c r="AH5"/>
  <c r="BS35"/>
  <c r="AU31"/>
  <c r="BS28"/>
  <c r="BG10"/>
  <c r="BG21"/>
  <c r="BG18"/>
  <c r="BS34"/>
  <c r="BG13"/>
  <c r="AU35"/>
  <c r="AU36"/>
  <c r="BG22"/>
  <c r="BG19"/>
  <c r="BG14"/>
  <c r="BG11"/>
  <c r="BS10"/>
  <c r="BS37"/>
  <c r="AU32"/>
  <c r="BS36"/>
  <c r="BS29"/>
  <c r="BS32"/>
  <c r="AH15"/>
  <c r="BS31"/>
  <c r="AU34"/>
  <c r="AU38"/>
  <c r="BS13"/>
  <c r="BS11"/>
  <c r="AH10"/>
  <c r="BS14"/>
  <c r="AH11"/>
  <c r="BS15"/>
  <c r="AH13"/>
  <c r="AH18"/>
  <c r="AF32"/>
  <c r="AE32"/>
  <c r="AF38"/>
  <c r="K44" i="7"/>
  <c r="EW66" i="1"/>
  <c r="AI5" l="1"/>
  <c r="AE19" a="1"/>
  <c r="AE19" s="1"/>
  <c r="AD22" i="5"/>
  <c r="AC22"/>
  <c r="BQ25" i="1"/>
  <c r="BS25" s="1"/>
  <c r="EX67"/>
  <c r="EV68"/>
  <c r="EY68" s="1"/>
  <c r="AI18"/>
  <c r="AI9" a="1"/>
  <c r="AI15" s="1"/>
  <c r="AE36"/>
  <c r="AE34"/>
  <c r="AF37"/>
  <c r="AF41"/>
  <c r="AF40"/>
  <c r="AE42"/>
  <c r="AF43"/>
  <c r="AF34"/>
  <c r="AF36"/>
  <c r="AE30"/>
  <c r="AE28"/>
  <c r="AF30"/>
  <c r="AF31"/>
  <c r="AF33"/>
  <c r="AE38"/>
  <c r="AH38" s="1"/>
  <c r="AF29"/>
  <c r="AF35"/>
  <c r="AF42"/>
  <c r="AF28"/>
  <c r="AF39"/>
  <c r="AH32"/>
  <c r="AE43"/>
  <c r="AE37"/>
  <c r="AE35"/>
  <c r="AE39"/>
  <c r="AE31"/>
  <c r="AE29"/>
  <c r="AE33"/>
  <c r="EW67"/>
  <c r="AF19" l="1"/>
  <c r="AH19" s="1"/>
  <c r="AF22" i="5"/>
  <c r="EX68" i="1"/>
  <c r="EV69"/>
  <c r="EY69" s="1"/>
  <c r="AI12"/>
  <c r="AI11"/>
  <c r="AI13"/>
  <c r="AI14"/>
  <c r="AI10"/>
  <c r="AI9"/>
  <c r="AH34"/>
  <c r="AH36"/>
  <c r="AH30"/>
  <c r="AH43"/>
  <c r="AH37"/>
  <c r="AH40"/>
  <c r="AH35"/>
  <c r="AI28"/>
  <c r="AH41"/>
  <c r="AH42"/>
  <c r="AH29"/>
  <c r="AH33"/>
  <c r="AH39"/>
  <c r="AH31"/>
  <c r="EW68"/>
  <c r="AC23" i="5" l="1" a="1"/>
  <c r="AQ22"/>
  <c r="AE20" i="1" a="1"/>
  <c r="AI19"/>
  <c r="EX69"/>
  <c r="EV70"/>
  <c r="EY70" s="1"/>
  <c r="AI29" a="1"/>
  <c r="AI32" s="1"/>
  <c r="AI33" a="1"/>
  <c r="AI38" s="1"/>
  <c r="EW69"/>
  <c r="AC23" i="5" l="1"/>
  <c r="AD23"/>
  <c r="AF20" i="1"/>
  <c r="AE20"/>
  <c r="EX70"/>
  <c r="EV71"/>
  <c r="EY71" s="1"/>
  <c r="AI41"/>
  <c r="AI33"/>
  <c r="AI39"/>
  <c r="AI35"/>
  <c r="AI36"/>
  <c r="AI29"/>
  <c r="AI37"/>
  <c r="AI40"/>
  <c r="AI30"/>
  <c r="AI34"/>
  <c r="AI42"/>
  <c r="AI31"/>
  <c r="AI43"/>
  <c r="EW70"/>
  <c r="AH20" l="1"/>
  <c r="AF23" i="5"/>
  <c r="EX71" i="1"/>
  <c r="EV72"/>
  <c r="EY72" s="1"/>
  <c r="AL18"/>
  <c r="AL19"/>
  <c r="AL20"/>
  <c r="AL21"/>
  <c r="AL22"/>
  <c r="AL23"/>
  <c r="AL24"/>
  <c r="AL25"/>
  <c r="EW71"/>
  <c r="AI20" l="1"/>
  <c r="AQ23" i="5"/>
  <c r="AE21" i="1" a="1"/>
  <c r="AF21" s="1"/>
  <c r="AC24" i="5" a="1"/>
  <c r="AD24" s="1"/>
  <c r="EX72" i="1"/>
  <c r="EV73"/>
  <c r="EY73" s="1"/>
  <c r="EW72"/>
  <c r="AE21" l="1"/>
  <c r="AH21" s="1"/>
  <c r="AC24" i="5"/>
  <c r="AF24" s="1"/>
  <c r="EX73" i="1"/>
  <c r="EV74"/>
  <c r="EY74" s="1"/>
  <c r="EW73"/>
  <c r="AC25" i="5" l="1" a="1"/>
  <c r="AQ24"/>
  <c r="AE22" i="1" a="1"/>
  <c r="AI21"/>
  <c r="DJ18" i="10"/>
  <c r="EX74" i="1"/>
  <c r="EV75"/>
  <c r="EY75" s="1"/>
  <c r="EW74"/>
  <c r="AC25" i="5" l="1"/>
  <c r="AD25"/>
  <c r="AF22" i="1"/>
  <c r="AE22"/>
  <c r="EX75"/>
  <c r="EV76"/>
  <c r="EY76" s="1"/>
  <c r="EW75"/>
  <c r="AH22" l="1"/>
  <c r="AF25" i="5"/>
  <c r="EX76" i="1"/>
  <c r="EV77"/>
  <c r="EY77" s="1"/>
  <c r="EW76"/>
  <c r="AQ25" i="5" l="1"/>
  <c r="AC26" a="1"/>
  <c r="AD26" s="1"/>
  <c r="AE23" i="1" a="1"/>
  <c r="AF23" s="1"/>
  <c r="AI22"/>
  <c r="EX77"/>
  <c r="EV78"/>
  <c r="EY78" s="1"/>
  <c r="EW77"/>
  <c r="AE23" l="1"/>
  <c r="AH23" s="1"/>
  <c r="AC26" i="5"/>
  <c r="AF26" s="1"/>
  <c r="EX78" i="1"/>
  <c r="EV79"/>
  <c r="EY79" s="1"/>
  <c r="EW78"/>
  <c r="AE24" l="1" a="1"/>
  <c r="AF24" s="1"/>
  <c r="AQ26" i="5"/>
  <c r="AI23" i="1"/>
  <c r="EX79"/>
  <c r="EV80"/>
  <c r="EY80" s="1"/>
  <c r="EW79"/>
  <c r="AE24" l="1"/>
  <c r="AH24" s="1"/>
  <c r="EX80"/>
  <c r="EV81"/>
  <c r="EY81" s="1"/>
  <c r="EW80"/>
  <c r="AI24" l="1"/>
  <c r="AE25" a="1"/>
  <c r="AE25" s="1"/>
  <c r="EX81"/>
  <c r="EV82"/>
  <c r="EY82" s="1"/>
  <c r="EW81"/>
  <c r="AF25" l="1"/>
  <c r="AH25" s="1"/>
  <c r="EX82"/>
  <c r="EV83"/>
  <c r="EY83" s="1"/>
  <c r="EW82"/>
  <c r="AI25" l="1"/>
  <c r="EX83"/>
  <c r="EV84"/>
  <c r="EY84" s="1"/>
  <c r="EW83"/>
  <c r="EX84" l="1"/>
  <c r="EV85"/>
  <c r="EY85" s="1"/>
  <c r="EW84"/>
  <c r="EX85" l="1"/>
  <c r="EV86"/>
  <c r="EY86" s="1"/>
  <c r="EW85"/>
  <c r="EX86" l="1"/>
  <c r="EV87"/>
  <c r="EY87" s="1"/>
  <c r="EW86"/>
  <c r="EX87" l="1"/>
  <c r="EV88"/>
  <c r="EY88" s="1"/>
  <c r="EW87"/>
  <c r="EX88" l="1"/>
  <c r="EV89"/>
  <c r="EY89" s="1"/>
  <c r="EW88"/>
  <c r="EX89" l="1"/>
  <c r="EV90"/>
  <c r="EY90" s="1"/>
  <c r="EW89"/>
  <c r="EX90" l="1"/>
  <c r="EV91"/>
  <c r="EY91" s="1"/>
  <c r="EW90"/>
  <c r="EX91" l="1"/>
  <c r="EV92"/>
  <c r="EY92" s="1"/>
  <c r="EW91"/>
  <c r="EX92" l="1"/>
  <c r="EV93"/>
  <c r="EY93" s="1"/>
  <c r="EW92"/>
  <c r="EX93" l="1"/>
  <c r="EV94"/>
  <c r="EY94" s="1"/>
  <c r="EW93"/>
  <c r="EX94" l="1"/>
  <c r="EV95"/>
  <c r="EY95" s="1"/>
  <c r="EW94"/>
  <c r="EX95" l="1"/>
  <c r="EV96"/>
  <c r="EY96" s="1"/>
  <c r="EW95"/>
  <c r="EX96" l="1"/>
  <c r="EV97"/>
  <c r="EY97" s="1"/>
  <c r="EW96"/>
  <c r="EX97" l="1"/>
  <c r="EV98"/>
  <c r="EY98" s="1"/>
  <c r="EW97"/>
  <c r="EX98" l="1"/>
  <c r="EV99"/>
  <c r="EY99" s="1"/>
  <c r="EW98"/>
  <c r="EX99" l="1"/>
  <c r="EV100"/>
  <c r="EY100" s="1"/>
  <c r="EW99"/>
  <c r="EX100" l="1"/>
  <c r="EV101"/>
  <c r="EY101" s="1"/>
  <c r="EW100"/>
  <c r="EX101" l="1"/>
  <c r="EV102"/>
  <c r="EY102" s="1"/>
  <c r="EW101"/>
  <c r="EX102" l="1"/>
  <c r="EV103"/>
  <c r="EY103" s="1"/>
  <c r="EW102"/>
  <c r="EX103" l="1"/>
  <c r="EV104"/>
  <c r="EY104" s="1"/>
  <c r="EW103"/>
  <c r="EX104" l="1"/>
  <c r="EV105"/>
  <c r="EY105" s="1"/>
  <c r="EW104"/>
  <c r="EX105" l="1"/>
  <c r="EV106"/>
  <c r="EY106" s="1"/>
  <c r="EW105"/>
  <c r="EX106" l="1"/>
  <c r="EV107"/>
  <c r="EY107" s="1"/>
  <c r="EW106"/>
  <c r="EX107" l="1"/>
  <c r="EV108"/>
  <c r="EY108" s="1"/>
  <c r="EW107"/>
  <c r="EX108" l="1"/>
  <c r="EV109"/>
  <c r="EY109" s="1"/>
  <c r="EW108"/>
  <c r="EX109" l="1"/>
  <c r="EV110"/>
  <c r="EY110" s="1"/>
  <c r="EW109"/>
  <c r="EX110" l="1"/>
  <c r="EV111"/>
  <c r="EY111" s="1"/>
  <c r="EW110"/>
  <c r="EX111" l="1"/>
  <c r="EV112"/>
  <c r="EY112" s="1"/>
  <c r="EW111"/>
  <c r="EX112" l="1"/>
  <c r="EV113"/>
  <c r="EY113" s="1"/>
  <c r="EW112"/>
  <c r="EX113" l="1"/>
  <c r="EV114"/>
  <c r="EY114" s="1"/>
  <c r="EW113"/>
  <c r="EX114" l="1"/>
  <c r="EV115"/>
  <c r="EY115" s="1"/>
  <c r="EW114"/>
  <c r="EX115" l="1"/>
  <c r="EV116"/>
  <c r="EY116" s="1"/>
  <c r="EW115"/>
  <c r="EX116" l="1"/>
  <c r="EV117"/>
  <c r="EY117" s="1"/>
  <c r="EW116"/>
  <c r="EX117" l="1"/>
  <c r="EV118"/>
  <c r="EY118" s="1"/>
  <c r="EW117"/>
  <c r="EX118" l="1"/>
  <c r="EV119"/>
  <c r="EY119" s="1"/>
  <c r="EW118"/>
  <c r="EX119" l="1"/>
  <c r="EV120"/>
  <c r="EY120" s="1"/>
  <c r="EW119"/>
  <c r="EX120" l="1"/>
  <c r="EV121"/>
  <c r="EY121" s="1"/>
  <c r="EW120"/>
  <c r="EX121" l="1"/>
  <c r="EV122"/>
  <c r="EY122" s="1"/>
  <c r="EW121"/>
  <c r="EX122" l="1"/>
  <c r="EV123"/>
  <c r="EY123" s="1"/>
  <c r="EW122"/>
  <c r="EX123" l="1"/>
  <c r="EV124"/>
  <c r="EY124" s="1"/>
  <c r="EW123"/>
  <c r="EX124" l="1"/>
  <c r="EV125"/>
  <c r="EY125" s="1"/>
  <c r="EW124"/>
  <c r="EX125" l="1"/>
  <c r="EV126"/>
  <c r="EY126" s="1"/>
  <c r="EW125"/>
  <c r="EX126" l="1"/>
  <c r="EV127"/>
  <c r="EY127" s="1"/>
  <c r="EW126"/>
  <c r="EX127" l="1"/>
  <c r="EV128"/>
  <c r="EY128" s="1"/>
  <c r="EW127"/>
  <c r="EX128" l="1"/>
  <c r="EV129"/>
  <c r="EY129" s="1"/>
  <c r="EW128"/>
  <c r="EX129" l="1"/>
  <c r="EV130"/>
  <c r="EY130" s="1"/>
  <c r="EW129"/>
  <c r="EX130" l="1"/>
  <c r="EV131"/>
  <c r="EY131" s="1"/>
  <c r="EW130"/>
  <c r="EX131" l="1"/>
  <c r="EV132"/>
  <c r="EY132" s="1"/>
  <c r="EW131"/>
  <c r="EX132" l="1"/>
  <c r="EV133"/>
  <c r="EY133" s="1"/>
  <c r="EW132"/>
  <c r="EX133" l="1"/>
  <c r="EV134"/>
  <c r="EY134" s="1"/>
  <c r="EW133"/>
  <c r="EX134" l="1"/>
  <c r="EV135"/>
  <c r="EY135" s="1"/>
  <c r="EW134"/>
  <c r="EX135" l="1"/>
  <c r="EV136"/>
  <c r="EY136" s="1"/>
  <c r="EW135"/>
  <c r="EX136" l="1"/>
  <c r="EV137"/>
  <c r="EY137" s="1"/>
  <c r="EW136"/>
  <c r="EX137" l="1"/>
  <c r="EV138"/>
  <c r="EY138" s="1"/>
  <c r="EW137"/>
  <c r="EX138" l="1"/>
  <c r="EV139"/>
  <c r="EY139" s="1"/>
  <c r="EW138"/>
  <c r="EX139" l="1"/>
  <c r="EV140"/>
  <c r="EY140" s="1"/>
  <c r="EW139"/>
  <c r="EX140" l="1"/>
  <c r="EV141"/>
  <c r="EY141" s="1"/>
  <c r="EW140"/>
  <c r="EX141" l="1"/>
  <c r="EV142"/>
  <c r="EY142" s="1"/>
  <c r="EW141"/>
  <c r="EX142" l="1"/>
  <c r="EV143"/>
  <c r="EY143" s="1"/>
  <c r="EW142"/>
  <c r="EX143" l="1"/>
  <c r="EV144"/>
  <c r="EY144" s="1"/>
  <c r="EW143"/>
  <c r="EX144" l="1"/>
  <c r="EV145"/>
  <c r="EY145" s="1"/>
  <c r="EW144"/>
  <c r="EX145" l="1"/>
  <c r="EV146"/>
  <c r="EY146" s="1"/>
  <c r="EW145"/>
  <c r="EX146" l="1"/>
  <c r="EV147"/>
  <c r="EY147" s="1"/>
  <c r="EW146"/>
  <c r="EX147" l="1"/>
  <c r="EV148"/>
  <c r="EY148" s="1"/>
  <c r="EW147"/>
  <c r="EX148" l="1"/>
  <c r="EV149"/>
  <c r="EY149" s="1"/>
  <c r="EW148"/>
  <c r="EX149" l="1"/>
  <c r="EV150"/>
  <c r="EY150" s="1"/>
  <c r="EW149"/>
  <c r="EX150" l="1"/>
  <c r="EV151"/>
  <c r="EY151" s="1"/>
  <c r="EW150"/>
  <c r="EX151" l="1"/>
  <c r="EV152"/>
  <c r="EY152" s="1"/>
  <c r="EW151"/>
  <c r="EX152" l="1"/>
  <c r="EV153"/>
  <c r="EY153" s="1"/>
  <c r="EW152"/>
  <c r="EX153" l="1"/>
  <c r="EV154"/>
  <c r="EY154" s="1"/>
  <c r="EW153"/>
  <c r="EX154" l="1"/>
  <c r="EV155"/>
  <c r="EY155" s="1"/>
  <c r="EW154"/>
  <c r="EX155" l="1"/>
  <c r="EV156"/>
  <c r="EY156" s="1"/>
  <c r="EW155"/>
  <c r="EX156" l="1"/>
  <c r="EV157"/>
  <c r="EY157" s="1"/>
  <c r="EW156"/>
  <c r="EX157" l="1"/>
  <c r="EV158"/>
  <c r="EY158" s="1"/>
  <c r="EW157"/>
  <c r="EX158" l="1"/>
  <c r="EV159"/>
  <c r="EY159" s="1"/>
  <c r="EW158"/>
  <c r="EX159" l="1"/>
  <c r="EV160"/>
  <c r="EY160" s="1"/>
  <c r="EW159"/>
  <c r="EX160" l="1"/>
  <c r="EV161"/>
  <c r="EY161" s="1"/>
  <c r="EW160"/>
  <c r="EX161" l="1"/>
  <c r="EV162"/>
  <c r="EY162" s="1"/>
  <c r="EW161"/>
  <c r="EX162" l="1"/>
  <c r="EV163"/>
  <c r="EY163" s="1"/>
  <c r="EW162"/>
  <c r="EX163" l="1"/>
  <c r="EV164"/>
  <c r="EY164" s="1"/>
  <c r="EW163"/>
  <c r="EX164" l="1"/>
  <c r="EV165"/>
  <c r="EY165" s="1"/>
  <c r="EW164"/>
  <c r="EX165" l="1"/>
  <c r="EV166"/>
  <c r="EY166" s="1"/>
  <c r="EW165"/>
  <c r="EX166" l="1"/>
  <c r="EV167"/>
  <c r="EY167" s="1"/>
  <c r="EW166"/>
  <c r="EX167" l="1"/>
  <c r="EV168"/>
  <c r="EY168" s="1"/>
  <c r="EW167"/>
  <c r="EX168" l="1"/>
  <c r="EV169"/>
  <c r="EY169" s="1"/>
  <c r="EW168"/>
  <c r="EX169" l="1"/>
  <c r="EV170"/>
  <c r="EY170" s="1"/>
  <c r="EW169"/>
  <c r="EX170" l="1"/>
  <c r="EV171"/>
  <c r="EY171" s="1"/>
  <c r="EW170"/>
  <c r="EX171" l="1"/>
  <c r="EV172"/>
  <c r="EY172" s="1"/>
  <c r="EW171"/>
  <c r="EX172" l="1"/>
  <c r="EV173"/>
  <c r="EY173" s="1"/>
  <c r="EW172"/>
  <c r="EX173" l="1"/>
  <c r="EV174"/>
  <c r="EY174" s="1"/>
  <c r="EW173"/>
  <c r="EX174" l="1"/>
  <c r="EV175"/>
  <c r="EY175" s="1"/>
  <c r="EW174"/>
  <c r="EX175" l="1"/>
  <c r="EV176"/>
  <c r="EY176" s="1"/>
  <c r="EW175"/>
  <c r="EX176" l="1"/>
  <c r="EV177"/>
  <c r="EY177" s="1"/>
  <c r="EW176"/>
  <c r="EX177" l="1"/>
  <c r="EV178"/>
  <c r="EY178" s="1"/>
  <c r="EW177"/>
  <c r="EX178" l="1"/>
  <c r="EV179"/>
  <c r="EY179" s="1"/>
  <c r="EW178"/>
  <c r="EX179" l="1"/>
  <c r="EV180"/>
  <c r="EY180" s="1"/>
  <c r="EW179"/>
  <c r="EX180" l="1"/>
  <c r="EV181"/>
  <c r="EY181" s="1"/>
  <c r="EW180"/>
  <c r="EX181" l="1"/>
  <c r="EV182"/>
  <c r="EY182" s="1"/>
  <c r="EW181"/>
  <c r="EX182" l="1"/>
  <c r="EV183"/>
  <c r="EY183" s="1"/>
  <c r="EW182"/>
  <c r="EX183" l="1"/>
  <c r="EV184"/>
  <c r="EY184" s="1"/>
  <c r="EW183"/>
  <c r="EX184" l="1"/>
  <c r="EV185"/>
  <c r="EY185" s="1"/>
  <c r="EW184"/>
  <c r="EX185" l="1"/>
  <c r="EV186"/>
  <c r="EY186" s="1"/>
  <c r="EW185"/>
  <c r="EX186" l="1"/>
  <c r="EV187"/>
  <c r="EY187" s="1"/>
  <c r="EW186"/>
  <c r="EX187" l="1"/>
  <c r="EV188"/>
  <c r="EY188" s="1"/>
  <c r="EW187"/>
  <c r="EX188" l="1"/>
  <c r="EV189"/>
  <c r="EY189" s="1"/>
  <c r="EW188"/>
  <c r="EX189" l="1"/>
  <c r="EV190"/>
  <c r="EY190" s="1"/>
  <c r="EW189"/>
  <c r="EX190" l="1"/>
  <c r="EV191"/>
  <c r="EY191" s="1"/>
  <c r="EW190"/>
  <c r="EX191" l="1"/>
  <c r="EV192"/>
  <c r="EY192" s="1"/>
  <c r="EW191"/>
  <c r="EX192" l="1"/>
  <c r="EV193"/>
  <c r="EY193" s="1"/>
  <c r="EW192"/>
  <c r="EX193" l="1"/>
  <c r="EV194"/>
  <c r="EY194" s="1"/>
  <c r="EW193"/>
  <c r="EX194" l="1"/>
  <c r="EV195"/>
  <c r="EY195" s="1"/>
  <c r="EW194"/>
  <c r="EX195" l="1"/>
  <c r="EV196"/>
  <c r="EY196" s="1"/>
  <c r="EW195"/>
  <c r="EX196" l="1"/>
  <c r="EV197"/>
  <c r="EY197" s="1"/>
  <c r="EW196"/>
  <c r="EX197" l="1"/>
  <c r="EV198"/>
  <c r="EY198" s="1"/>
  <c r="EW197"/>
  <c r="EX198" l="1"/>
  <c r="EV199"/>
  <c r="EY199" s="1"/>
  <c r="EW198"/>
  <c r="EX199" l="1"/>
  <c r="EV200"/>
  <c r="EY200" s="1"/>
  <c r="EW199"/>
  <c r="EX200" l="1"/>
  <c r="EV201"/>
  <c r="EY201" s="1"/>
  <c r="EW200"/>
  <c r="EX201" l="1"/>
  <c r="EV202"/>
  <c r="EY202" s="1"/>
  <c r="EW201"/>
  <c r="EX202" l="1"/>
  <c r="EV203"/>
  <c r="EY203" s="1"/>
  <c r="EW202"/>
  <c r="EX203" l="1"/>
  <c r="EV204"/>
  <c r="EY204" s="1"/>
  <c r="EW203"/>
  <c r="EX204" l="1"/>
  <c r="EV205"/>
  <c r="EY205" s="1"/>
  <c r="EW204"/>
  <c r="EX205" l="1"/>
  <c r="EV206"/>
  <c r="EY206" s="1"/>
  <c r="EW205"/>
  <c r="EX206" l="1"/>
  <c r="EV207"/>
  <c r="EY207" s="1"/>
  <c r="EW206"/>
  <c r="EX207" l="1"/>
  <c r="EV208"/>
  <c r="EY208" s="1"/>
  <c r="EW207"/>
  <c r="EX208" l="1"/>
  <c r="EV209"/>
  <c r="EY209" s="1"/>
  <c r="EW208"/>
  <c r="EX209" l="1"/>
  <c r="EV210"/>
  <c r="EY210" s="1"/>
  <c r="EW209"/>
  <c r="EX210" l="1"/>
  <c r="EV211"/>
  <c r="EY211" s="1"/>
  <c r="EW210"/>
  <c r="EX211" l="1"/>
  <c r="EV212"/>
  <c r="EY212" s="1"/>
  <c r="EW211"/>
  <c r="EX212" l="1"/>
  <c r="EV213"/>
  <c r="EY213" s="1"/>
  <c r="EW212"/>
  <c r="EX213" l="1"/>
  <c r="EV214"/>
  <c r="EY214" s="1"/>
  <c r="EW213"/>
  <c r="EX214" l="1"/>
  <c r="EV215"/>
  <c r="EY215" s="1"/>
  <c r="EW214"/>
  <c r="EX215" l="1"/>
  <c r="EV216"/>
  <c r="EY216" s="1"/>
  <c r="EW215"/>
  <c r="EX216" l="1"/>
  <c r="EV217"/>
  <c r="EY217" s="1"/>
  <c r="EW216"/>
  <c r="EX217" l="1"/>
  <c r="EV218"/>
  <c r="EY218" s="1"/>
  <c r="EW217"/>
  <c r="EX218" l="1"/>
  <c r="EV219"/>
  <c r="EY219" s="1"/>
  <c r="EW218"/>
  <c r="EX219" l="1"/>
  <c r="EV220"/>
  <c r="EY220" s="1"/>
  <c r="EW219"/>
  <c r="EX220" l="1"/>
  <c r="EV221"/>
  <c r="EY221" s="1"/>
  <c r="EW220"/>
  <c r="EX221" l="1"/>
  <c r="EV222"/>
  <c r="EY222" s="1"/>
  <c r="EW221"/>
  <c r="EX222" l="1"/>
  <c r="EV223"/>
  <c r="EY223" s="1"/>
  <c r="EW222"/>
  <c r="EX223" l="1"/>
  <c r="EV224"/>
  <c r="EY224" s="1"/>
  <c r="EW223"/>
  <c r="EX224" l="1"/>
  <c r="EW224"/>
  <c r="ES30" i="12" l="1"/>
  <c r="EO30" s="1"/>
  <c r="J7" i="10" l="1"/>
  <c r="EZ5" i="1" l="1"/>
  <c r="EZ6" s="1"/>
  <c r="FA6" l="1"/>
  <c r="EZ7"/>
  <c r="EZ8" l="1"/>
  <c r="FB7"/>
  <c r="FA7"/>
  <c r="FA8" l="1"/>
  <c r="FB8"/>
  <c r="EZ9"/>
  <c r="FB9" l="1"/>
  <c r="EZ10"/>
  <c r="FA9"/>
  <c r="FC9"/>
  <c r="FB10" l="1"/>
  <c r="EZ11"/>
  <c r="FA10"/>
  <c r="FC10"/>
  <c r="FB11" l="1"/>
  <c r="FC11"/>
  <c r="EZ12"/>
  <c r="FA11"/>
  <c r="FC12" l="1"/>
  <c r="FB12"/>
  <c r="FA12"/>
  <c r="EZ13"/>
  <c r="FA13" l="1"/>
  <c r="FB13"/>
  <c r="EZ14"/>
  <c r="FC13"/>
  <c r="EZ15" l="1"/>
  <c r="FC14"/>
  <c r="FB14"/>
  <c r="FA14"/>
  <c r="FB15" l="1"/>
  <c r="FC15"/>
  <c r="FA15"/>
  <c r="EZ16"/>
  <c r="FB16" l="1"/>
  <c r="EZ17"/>
  <c r="FC16"/>
  <c r="FA16"/>
  <c r="EZ18" l="1"/>
  <c r="FA17"/>
  <c r="FC17"/>
  <c r="FB17"/>
  <c r="FB18" l="1"/>
  <c r="FA18"/>
  <c r="FC18"/>
  <c r="EZ19"/>
  <c r="FB19" l="1"/>
  <c r="EZ20"/>
  <c r="FA19"/>
  <c r="FC19"/>
  <c r="FB20" l="1"/>
  <c r="FA20"/>
  <c r="FC20"/>
  <c r="EZ21"/>
  <c r="FA21" l="1"/>
  <c r="EZ22"/>
  <c r="FC21"/>
  <c r="FB21"/>
  <c r="FB22" l="1"/>
  <c r="EZ23"/>
  <c r="FC22"/>
  <c r="FA22"/>
  <c r="FB23" l="1"/>
  <c r="FA23"/>
  <c r="EZ24"/>
  <c r="FC23"/>
  <c r="EZ25" l="1"/>
  <c r="FC24"/>
  <c r="FA24"/>
  <c r="FB24"/>
  <c r="FB25" l="1"/>
  <c r="FC25"/>
  <c r="FA25"/>
  <c r="EZ26"/>
  <c r="FC26" l="1"/>
  <c r="FA26"/>
  <c r="EZ27"/>
  <c r="FB26"/>
  <c r="FA27" l="1"/>
  <c r="FB27"/>
  <c r="EZ28"/>
  <c r="FC27"/>
  <c r="FC28" l="1"/>
  <c r="FA28"/>
  <c r="FB28"/>
  <c r="EZ29"/>
  <c r="EZ30" l="1"/>
  <c r="FB29"/>
  <c r="FA29"/>
  <c r="FC29"/>
  <c r="FC30" l="1"/>
  <c r="FB30"/>
  <c r="EZ31"/>
  <c r="FA30"/>
  <c r="FA31" l="1"/>
  <c r="FB31"/>
  <c r="EZ32"/>
  <c r="FC31"/>
  <c r="FC32" l="1"/>
  <c r="EZ33"/>
  <c r="FA32"/>
  <c r="FB32"/>
  <c r="FB33" l="1"/>
  <c r="FC33"/>
  <c r="EZ34"/>
  <c r="FA33"/>
  <c r="FB34" l="1"/>
  <c r="EZ35"/>
  <c r="FC34"/>
  <c r="FA34"/>
  <c r="FA35" l="1"/>
  <c r="EZ36"/>
  <c r="FB35"/>
  <c r="FC35"/>
  <c r="EZ37" l="1"/>
  <c r="FB36"/>
  <c r="FA36"/>
  <c r="FC36"/>
  <c r="K6" i="16"/>
  <c r="FA37" i="1" l="1"/>
  <c r="EZ38"/>
  <c r="FB37"/>
  <c r="FC37"/>
  <c r="AM44" i="5"/>
  <c r="K13" i="19"/>
  <c r="AM5"/>
  <c r="K13" i="16"/>
  <c r="AM28" i="5"/>
  <c r="M23" i="1"/>
  <c r="K29" i="5"/>
  <c r="K13" i="18"/>
  <c r="M12" i="1"/>
  <c r="AY9" i="19"/>
  <c r="BK9"/>
  <c r="M32" i="1"/>
  <c r="M9"/>
  <c r="FB38" l="1"/>
  <c r="FA38"/>
  <c r="EZ39"/>
  <c r="FC38"/>
  <c r="BC42" i="19"/>
  <c r="FB39" i="1" l="1"/>
  <c r="EZ40"/>
  <c r="FA39"/>
  <c r="FC39"/>
  <c r="BC44" i="19"/>
  <c r="BC43"/>
  <c r="BC47"/>
  <c r="BC46"/>
  <c r="BC45"/>
  <c r="EZ41" i="1" l="1"/>
  <c r="FB40"/>
  <c r="FA40"/>
  <c r="FC40"/>
  <c r="BC51" i="19" a="1"/>
  <c r="BC53" s="1"/>
  <c r="EZ42" i="1" l="1"/>
  <c r="FA41"/>
  <c r="FC41"/>
  <c r="FB41"/>
  <c r="ET34" i="12"/>
  <c r="EZ43" i="1" l="1"/>
  <c r="FB42"/>
  <c r="FA42"/>
  <c r="FC42"/>
  <c r="BC51" i="19"/>
  <c r="BC54"/>
  <c r="BC52"/>
  <c r="BC55"/>
  <c r="FC43" i="1" l="1"/>
  <c r="EZ44"/>
  <c r="FB43"/>
  <c r="FA43"/>
  <c r="EP34" i="12"/>
  <c r="FB44" i="1" l="1"/>
  <c r="FC44"/>
  <c r="FA44"/>
  <c r="EZ45"/>
  <c r="FA45" l="1"/>
  <c r="FB45"/>
  <c r="EZ46"/>
  <c r="FC45"/>
  <c r="EZ47" l="1"/>
  <c r="FA46"/>
  <c r="FB46"/>
  <c r="FC46"/>
  <c r="FB47" l="1"/>
  <c r="EZ48"/>
  <c r="FC47"/>
  <c r="FA47"/>
  <c r="FA48" l="1"/>
  <c r="FB48"/>
  <c r="FC48"/>
  <c r="EZ49"/>
  <c r="EZ50" l="1"/>
  <c r="FA49"/>
  <c r="FC49"/>
  <c r="FB49"/>
  <c r="FA50" l="1"/>
  <c r="FB50"/>
  <c r="FC50"/>
  <c r="EZ51"/>
  <c r="FC51" l="1"/>
  <c r="FA51"/>
  <c r="EZ52"/>
  <c r="FB51"/>
  <c r="FA52" l="1"/>
  <c r="FC52"/>
  <c r="FB52"/>
  <c r="EZ53"/>
  <c r="FA53" l="1"/>
  <c r="FB53"/>
  <c r="EZ54"/>
  <c r="FC53"/>
  <c r="BK475" i="10"/>
  <c r="BK370"/>
  <c r="BK421"/>
  <c r="BK459"/>
  <c r="BK441"/>
  <c r="BK510"/>
  <c r="BK362"/>
  <c r="BK488"/>
  <c r="BK437"/>
  <c r="BK427"/>
  <c r="BK498"/>
  <c r="BK404"/>
  <c r="BK436"/>
  <c r="BK501"/>
  <c r="BK461"/>
  <c r="BK382"/>
  <c r="BK410"/>
  <c r="BK377"/>
  <c r="BK403"/>
  <c r="BK486"/>
  <c r="BK482"/>
  <c r="BK374"/>
  <c r="BK507"/>
  <c r="BK467"/>
  <c r="BK356"/>
  <c r="BK466"/>
  <c r="BK373"/>
  <c r="BK445"/>
  <c r="BK456"/>
  <c r="BK365"/>
  <c r="BK430"/>
  <c r="BK422"/>
  <c r="BK505"/>
  <c r="BK406"/>
  <c r="BK412"/>
  <c r="BK357"/>
  <c r="BK468"/>
  <c r="BK367"/>
  <c r="BK450"/>
  <c r="BK446"/>
  <c r="BK438"/>
  <c r="BK428"/>
  <c r="BK388"/>
  <c r="BK355"/>
  <c r="BK402"/>
  <c r="BK493"/>
  <c r="BK420"/>
  <c r="BK380"/>
  <c r="BK444"/>
  <c r="BK409"/>
  <c r="BK375"/>
  <c r="BK516"/>
  <c r="BK393"/>
  <c r="BK415"/>
  <c r="BK469"/>
  <c r="BK396"/>
  <c r="BK487"/>
  <c r="BK453"/>
  <c r="BK511"/>
  <c r="BK379"/>
  <c r="BK454"/>
  <c r="BK399"/>
  <c r="BK386"/>
  <c r="BK515"/>
  <c r="BK484"/>
  <c r="BK470"/>
  <c r="BK440"/>
  <c r="BK363"/>
  <c r="BK490"/>
  <c r="BK435"/>
  <c r="BK366"/>
  <c r="BK495"/>
  <c r="BK424"/>
  <c r="BK369"/>
  <c r="BK506"/>
  <c r="BK508"/>
  <c r="BK479"/>
  <c r="BK433"/>
  <c r="BK360"/>
  <c r="BK451"/>
  <c r="BK471"/>
  <c r="BK431"/>
  <c r="BK496"/>
  <c r="BK413"/>
  <c r="BK439"/>
  <c r="BK385"/>
  <c r="BK423"/>
  <c r="BK419"/>
  <c r="BK434"/>
  <c r="BK394"/>
  <c r="BK491"/>
  <c r="BK462"/>
  <c r="BK494"/>
  <c r="BK407"/>
  <c r="BK361"/>
  <c r="BK476"/>
  <c r="BK504"/>
  <c r="BK368"/>
  <c r="BK400"/>
  <c r="BK465"/>
  <c r="BK425"/>
  <c r="BK378"/>
  <c r="BK500"/>
  <c r="BK480"/>
  <c r="BK517"/>
  <c r="BK381"/>
  <c r="BK395"/>
  <c r="BK457"/>
  <c r="BK384"/>
  <c r="BK464"/>
  <c r="BK426"/>
  <c r="BK458"/>
  <c r="BK371"/>
  <c r="BK359"/>
  <c r="BK449"/>
  <c r="BK472"/>
  <c r="BK497"/>
  <c r="BK418"/>
  <c r="BK432"/>
  <c r="BK489"/>
  <c r="BK414"/>
  <c r="BK460"/>
  <c r="BK405"/>
  <c r="BK514"/>
  <c r="BK474"/>
  <c r="BK502"/>
  <c r="BK408"/>
  <c r="BK509"/>
  <c r="BK499"/>
  <c r="BK481"/>
  <c r="BK390"/>
  <c r="BK478"/>
  <c r="BK376"/>
  <c r="BK372"/>
  <c r="BK473"/>
  <c r="BK463"/>
  <c r="BK411"/>
  <c r="BK364"/>
  <c r="BK429"/>
  <c r="BK389"/>
  <c r="BK417"/>
  <c r="BK443"/>
  <c r="BK397"/>
  <c r="BK512"/>
  <c r="BK442"/>
  <c r="BK503"/>
  <c r="BK392"/>
  <c r="BK485"/>
  <c r="BK513"/>
  <c r="BK383"/>
  <c r="BK492"/>
  <c r="BK452"/>
  <c r="BK401"/>
  <c r="BK391"/>
  <c r="BK477"/>
  <c r="BK398"/>
  <c r="BK358"/>
  <c r="BK455"/>
  <c r="BK447"/>
  <c r="BK416"/>
  <c r="BK448"/>
  <c r="BK483"/>
  <c r="BK387"/>
  <c r="EZ55" i="1" l="1"/>
  <c r="FA54"/>
  <c r="FC54"/>
  <c r="FB54"/>
  <c r="FA55" l="1"/>
  <c r="FC55"/>
  <c r="EZ56"/>
  <c r="FB55"/>
  <c r="FB56" l="1"/>
  <c r="EZ57"/>
  <c r="FA56"/>
  <c r="FC56"/>
  <c r="EZ58" l="1"/>
  <c r="FB57"/>
  <c r="FA57"/>
  <c r="FC57"/>
  <c r="FB58" l="1"/>
  <c r="FC58"/>
  <c r="EZ59"/>
  <c r="FA58"/>
  <c r="DG188" i="10"/>
  <c r="DJ188" s="1"/>
  <c r="DJ373"/>
  <c r="DJ328"/>
  <c r="DJ315"/>
  <c r="DJ441"/>
  <c r="DJ360"/>
  <c r="DJ419"/>
  <c r="DJ489"/>
  <c r="DJ280"/>
  <c r="DJ470"/>
  <c r="DJ321"/>
  <c r="DJ406"/>
  <c r="DJ282"/>
  <c r="DJ301"/>
  <c r="DJ217"/>
  <c r="DJ208"/>
  <c r="DJ294"/>
  <c r="DJ281"/>
  <c r="DJ289"/>
  <c r="DJ191"/>
  <c r="DJ308"/>
  <c r="DJ476"/>
  <c r="DJ209"/>
  <c r="DJ355"/>
  <c r="DJ348"/>
  <c r="DJ210"/>
  <c r="DJ234"/>
  <c r="DJ213"/>
  <c r="DJ309"/>
  <c r="DJ303"/>
  <c r="DJ471"/>
  <c r="DJ431"/>
  <c r="DJ341"/>
  <c r="DJ340"/>
  <c r="DJ391"/>
  <c r="DJ502"/>
  <c r="DJ481"/>
  <c r="DJ487"/>
  <c r="DJ394"/>
  <c r="DJ264"/>
  <c r="DJ212"/>
  <c r="DJ416"/>
  <c r="DJ304"/>
  <c r="DJ334"/>
  <c r="DJ313"/>
  <c r="DJ232"/>
  <c r="DJ274"/>
  <c r="DJ226"/>
  <c r="DJ205"/>
  <c r="DJ400"/>
  <c r="DJ517"/>
  <c r="DJ292"/>
  <c r="DJ307"/>
  <c r="DJ230"/>
  <c r="DJ437"/>
  <c r="DJ512"/>
  <c r="DJ510"/>
  <c r="DJ195"/>
  <c r="DJ461"/>
  <c r="DJ239"/>
  <c r="DJ446"/>
  <c r="DJ251"/>
  <c r="DJ369"/>
  <c r="DJ432"/>
  <c r="DJ384"/>
  <c r="DJ393"/>
  <c r="DJ227"/>
  <c r="DJ483"/>
  <c r="DJ401"/>
  <c r="DJ250"/>
  <c r="DJ296"/>
  <c r="DJ299"/>
  <c r="DJ380"/>
  <c r="DJ329"/>
  <c r="DJ322"/>
  <c r="DJ192"/>
  <c r="DJ412"/>
  <c r="DJ193"/>
  <c r="DJ385"/>
  <c r="DJ390"/>
  <c r="DJ423"/>
  <c r="DJ375"/>
  <c r="DJ336"/>
  <c r="DJ323"/>
  <c r="DJ218"/>
  <c r="DJ449"/>
  <c r="DJ422"/>
  <c r="DJ407"/>
  <c r="DJ356"/>
  <c r="DJ430"/>
  <c r="DJ325"/>
  <c r="DJ330"/>
  <c r="DJ507"/>
  <c r="DJ495"/>
  <c r="DJ456"/>
  <c r="DJ426"/>
  <c r="DJ450"/>
  <c r="DJ387"/>
  <c r="DJ257"/>
  <c r="DJ241"/>
  <c r="DJ409"/>
  <c r="DJ414"/>
  <c r="DJ202"/>
  <c r="DJ288"/>
  <c r="DJ261"/>
  <c r="DJ242"/>
  <c r="DJ219"/>
  <c r="DJ429"/>
  <c r="DJ342"/>
  <c r="DJ458"/>
  <c r="DJ445"/>
  <c r="DJ448"/>
  <c r="DJ498"/>
  <c r="DJ320"/>
  <c r="DJ263"/>
  <c r="DJ389"/>
  <c r="DJ378"/>
  <c r="DJ404"/>
  <c r="DJ347"/>
  <c r="DJ221"/>
  <c r="DJ262"/>
  <c r="DJ516"/>
  <c r="DJ272"/>
  <c r="DJ310"/>
  <c r="DJ199"/>
  <c r="DJ357"/>
  <c r="DJ278"/>
  <c r="DJ415"/>
  <c r="DJ411"/>
  <c r="DJ194"/>
  <c r="DJ368"/>
  <c r="DJ284"/>
  <c r="DJ269"/>
  <c r="DJ311"/>
  <c r="DJ443"/>
  <c r="DJ337"/>
  <c r="DJ235"/>
  <c r="DJ457"/>
  <c r="DJ364"/>
  <c r="DJ453"/>
  <c r="DJ270"/>
  <c r="DJ215"/>
  <c r="DJ408"/>
  <c r="DJ295"/>
  <c r="DJ291"/>
  <c r="DJ428"/>
  <c r="DJ496"/>
  <c r="DJ433"/>
  <c r="DJ397"/>
  <c r="DJ343"/>
  <c r="DJ298"/>
  <c r="DJ216"/>
  <c r="DJ371"/>
  <c r="DJ383"/>
  <c r="DJ497"/>
  <c r="DJ266"/>
  <c r="DJ224"/>
  <c r="DJ326"/>
  <c r="DJ350"/>
  <c r="DJ484"/>
  <c r="DJ472"/>
  <c r="DJ451"/>
  <c r="DJ420"/>
  <c r="DJ346"/>
  <c r="DJ314"/>
  <c r="DJ293"/>
  <c r="DJ504"/>
  <c r="DJ477"/>
  <c r="DJ223"/>
  <c r="DJ259"/>
  <c r="DJ319"/>
  <c r="DJ238"/>
  <c r="DJ468"/>
  <c r="DJ225"/>
  <c r="DJ351"/>
  <c r="DJ469"/>
  <c r="DJ273"/>
  <c r="DJ306"/>
  <c r="DJ425"/>
  <c r="DJ435"/>
  <c r="DJ396"/>
  <c r="DJ300"/>
  <c r="DJ473"/>
  <c r="DJ231"/>
  <c r="DJ440"/>
  <c r="DJ505"/>
  <c r="DJ267"/>
  <c r="DJ421"/>
  <c r="DJ335"/>
  <c r="DJ268"/>
  <c r="DJ436"/>
  <c r="DJ283"/>
  <c r="DJ197"/>
  <c r="DJ463"/>
  <c r="DJ190"/>
  <c r="DJ452"/>
  <c r="DJ327"/>
  <c r="DJ506"/>
  <c r="DJ500"/>
  <c r="DJ485"/>
  <c r="DJ247"/>
  <c r="DJ379"/>
  <c r="DJ198"/>
  <c r="DJ418"/>
  <c r="DJ201"/>
  <c r="DJ189"/>
  <c r="DJ363"/>
  <c r="DJ276"/>
  <c r="DJ362"/>
  <c r="DJ486"/>
  <c r="DJ243"/>
  <c r="DJ344"/>
  <c r="DJ398"/>
  <c r="DJ455"/>
  <c r="DJ244"/>
  <c r="DJ376"/>
  <c r="DJ211"/>
  <c r="DJ370"/>
  <c r="DJ214"/>
  <c r="DJ249"/>
  <c r="DJ403"/>
  <c r="DJ246"/>
  <c r="DJ339"/>
  <c r="DJ513"/>
  <c r="DJ501"/>
  <c r="DJ511"/>
  <c r="DJ245"/>
  <c r="DJ413"/>
  <c r="DJ444"/>
  <c r="DJ220"/>
  <c r="DJ482"/>
  <c r="DJ258"/>
  <c r="DJ514"/>
  <c r="DJ206"/>
  <c r="DJ479"/>
  <c r="DJ338"/>
  <c r="DJ434"/>
  <c r="DJ275"/>
  <c r="DJ493"/>
  <c r="DJ196"/>
  <c r="DJ331"/>
  <c r="DJ358"/>
  <c r="DJ515"/>
  <c r="DJ316"/>
  <c r="DJ439"/>
  <c r="DJ490"/>
  <c r="DJ442"/>
  <c r="DJ459"/>
  <c r="DJ204"/>
  <c r="DJ474"/>
  <c r="DJ447"/>
  <c r="DJ260"/>
  <c r="DJ492"/>
  <c r="DJ386"/>
  <c r="DJ499"/>
  <c r="DJ466"/>
  <c r="DJ229"/>
  <c r="DJ475"/>
  <c r="DJ454"/>
  <c r="DJ324"/>
  <c r="DJ255"/>
  <c r="DJ312"/>
  <c r="DJ345"/>
  <c r="DJ480"/>
  <c r="DJ467"/>
  <c r="DJ236"/>
  <c r="DJ491"/>
  <c r="DJ349"/>
  <c r="DJ402"/>
  <c r="DJ388"/>
  <c r="DJ248"/>
  <c r="DJ287"/>
  <c r="DJ353"/>
  <c r="DJ237"/>
  <c r="DJ399"/>
  <c r="DJ200"/>
  <c r="DJ424"/>
  <c r="DJ228"/>
  <c r="DJ333"/>
  <c r="DJ207"/>
  <c r="DJ464"/>
  <c r="DJ233"/>
  <c r="DJ332"/>
  <c r="DJ410"/>
  <c r="DJ359"/>
  <c r="DJ365"/>
  <c r="DJ317"/>
  <c r="DJ302"/>
  <c r="DJ392"/>
  <c r="DJ252"/>
  <c r="DJ508"/>
  <c r="DJ279"/>
  <c r="DJ240"/>
  <c r="DJ417"/>
  <c r="DJ405"/>
  <c r="DJ366"/>
  <c r="DJ372"/>
  <c r="DJ297"/>
  <c r="DJ462"/>
  <c r="DJ203"/>
  <c r="DJ438"/>
  <c r="DJ277"/>
  <c r="DJ509"/>
  <c r="DJ318"/>
  <c r="DJ286"/>
  <c r="DJ265"/>
  <c r="DJ460"/>
  <c r="DJ427"/>
  <c r="DJ361"/>
  <c r="DJ305"/>
  <c r="DJ465"/>
  <c r="DJ354"/>
  <c r="DJ254"/>
  <c r="DJ381"/>
  <c r="DJ271"/>
  <c r="DJ367"/>
  <c r="DJ352"/>
  <c r="DJ222"/>
  <c r="DJ478"/>
  <c r="DJ256"/>
  <c r="DJ374"/>
  <c r="DJ382"/>
  <c r="DJ377"/>
  <c r="DJ290"/>
  <c r="DJ503"/>
  <c r="DJ488"/>
  <c r="DJ494"/>
  <c r="DJ395"/>
  <c r="DJ253"/>
  <c r="DJ285"/>
  <c r="DG156"/>
  <c r="DJ156" s="1"/>
  <c r="DG155"/>
  <c r="DJ155" s="1"/>
  <c r="DG167"/>
  <c r="DJ167" s="1"/>
  <c r="DG121"/>
  <c r="DJ121" s="1"/>
  <c r="DG138"/>
  <c r="DJ138" s="1"/>
  <c r="DG136"/>
  <c r="DJ136" s="1"/>
  <c r="DG125"/>
  <c r="DJ125" s="1"/>
  <c r="DG165"/>
  <c r="DJ165" s="1"/>
  <c r="DG179"/>
  <c r="DJ179" s="1"/>
  <c r="DG143"/>
  <c r="DJ143" s="1"/>
  <c r="DG172"/>
  <c r="DJ172" s="1"/>
  <c r="DG168"/>
  <c r="DJ168" s="1"/>
  <c r="DG152"/>
  <c r="DJ152" s="1"/>
  <c r="DG148"/>
  <c r="DJ148" s="1"/>
  <c r="DG141"/>
  <c r="DJ141" s="1"/>
  <c r="DG157"/>
  <c r="DJ157" s="1"/>
  <c r="DG161"/>
  <c r="DJ161" s="1"/>
  <c r="DG150"/>
  <c r="DJ150" s="1"/>
  <c r="DG151"/>
  <c r="DJ151" s="1"/>
  <c r="DG140"/>
  <c r="DJ140" s="1"/>
  <c r="DG184"/>
  <c r="DJ184" s="1"/>
  <c r="DG149"/>
  <c r="DJ149" s="1"/>
  <c r="DG174"/>
  <c r="DJ174" s="1"/>
  <c r="DG145"/>
  <c r="DJ145" s="1"/>
  <c r="DG135"/>
  <c r="DJ135" s="1"/>
  <c r="DG134"/>
  <c r="DJ134" s="1"/>
  <c r="DG154"/>
  <c r="DJ154" s="1"/>
  <c r="DG126"/>
  <c r="DJ126" s="1"/>
  <c r="DG137"/>
  <c r="DJ137" s="1"/>
  <c r="DG185"/>
  <c r="DJ185" s="1"/>
  <c r="DG162"/>
  <c r="DJ162" s="1"/>
  <c r="DG122"/>
  <c r="DJ122" s="1"/>
  <c r="DG130"/>
  <c r="DJ130" s="1"/>
  <c r="DG128"/>
  <c r="DJ128" s="1"/>
  <c r="DG181"/>
  <c r="DJ181" s="1"/>
  <c r="DG123"/>
  <c r="DJ123" s="1"/>
  <c r="DG182"/>
  <c r="DJ182" s="1"/>
  <c r="DG164"/>
  <c r="DJ164" s="1"/>
  <c r="DG176"/>
  <c r="DJ176" s="1"/>
  <c r="DG170"/>
  <c r="DJ170" s="1"/>
  <c r="DG129"/>
  <c r="DJ129" s="1"/>
  <c r="DG171"/>
  <c r="DJ171" s="1"/>
  <c r="DG177"/>
  <c r="DJ177" s="1"/>
  <c r="DG132"/>
  <c r="DJ132" s="1"/>
  <c r="DG144"/>
  <c r="DJ144" s="1"/>
  <c r="DG142"/>
  <c r="DJ142" s="1"/>
  <c r="DG127"/>
  <c r="DJ127" s="1"/>
  <c r="DG178"/>
  <c r="DJ178" s="1"/>
  <c r="DG175"/>
  <c r="DJ175" s="1"/>
  <c r="DG186"/>
  <c r="DJ186" s="1"/>
  <c r="DG173"/>
  <c r="DJ173" s="1"/>
  <c r="DG120"/>
  <c r="DJ120" s="1"/>
  <c r="DG187"/>
  <c r="DJ187" s="1"/>
  <c r="DG147"/>
  <c r="DJ147" s="1"/>
  <c r="DG153"/>
  <c r="DJ153" s="1"/>
  <c r="DG166"/>
  <c r="DJ166" s="1"/>
  <c r="DG139"/>
  <c r="DJ139" s="1"/>
  <c r="DG169"/>
  <c r="DJ169" s="1"/>
  <c r="DG158"/>
  <c r="DJ158" s="1"/>
  <c r="DG133"/>
  <c r="DJ133" s="1"/>
  <c r="DG159"/>
  <c r="DJ159" s="1"/>
  <c r="DG131"/>
  <c r="DJ131" s="1"/>
  <c r="DG163"/>
  <c r="DJ163" s="1"/>
  <c r="DG124"/>
  <c r="DJ124" s="1"/>
  <c r="DG119"/>
  <c r="DJ119" s="1"/>
  <c r="DG180"/>
  <c r="DJ180" s="1"/>
  <c r="DG183"/>
  <c r="DJ183" s="1"/>
  <c r="DG160"/>
  <c r="DJ160" s="1"/>
  <c r="DG146"/>
  <c r="DJ146" s="1"/>
  <c r="FA59" i="1" l="1"/>
  <c r="FC59"/>
  <c r="EZ60"/>
  <c r="FB59"/>
  <c r="FA60" l="1"/>
  <c r="FB60"/>
  <c r="FC60"/>
  <c r="EZ61"/>
  <c r="FB61" l="1"/>
  <c r="FC61"/>
  <c r="EZ62"/>
  <c r="FA61"/>
  <c r="FC62" l="1"/>
  <c r="EZ63"/>
  <c r="FA62"/>
  <c r="FB62"/>
  <c r="EP30" i="12"/>
  <c r="EQ30" s="1"/>
  <c r="EZ64" i="1" l="1"/>
  <c r="FA63"/>
  <c r="FB63"/>
  <c r="FC63"/>
  <c r="EZ65" l="1"/>
  <c r="FA64"/>
  <c r="FC64"/>
  <c r="FB64"/>
  <c r="ES35" i="12"/>
  <c r="EO35" s="1"/>
  <c r="ES34"/>
  <c r="EO34" s="1"/>
  <c r="EQ34" s="1"/>
  <c r="AS31" i="11"/>
  <c r="AL31"/>
  <c r="AE31"/>
  <c r="FA65" i="1" l="1"/>
  <c r="FC65"/>
  <c r="EZ66"/>
  <c r="FB65"/>
  <c r="FC66" l="1"/>
  <c r="EZ67"/>
  <c r="FA66"/>
  <c r="FB66"/>
  <c r="FC67" l="1"/>
  <c r="FB67"/>
  <c r="EZ68"/>
  <c r="FA67"/>
  <c r="FA68" l="1"/>
  <c r="FB68"/>
  <c r="FC68"/>
  <c r="EZ69"/>
  <c r="FB69" l="1"/>
  <c r="FC69"/>
  <c r="FA69"/>
  <c r="EZ70"/>
  <c r="FA70" l="1"/>
  <c r="FB70"/>
  <c r="FC70"/>
  <c r="EZ71"/>
  <c r="EZ72" l="1"/>
  <c r="FA71"/>
  <c r="FB71"/>
  <c r="FC71"/>
  <c r="FB72" l="1"/>
  <c r="FC72"/>
  <c r="FA72"/>
  <c r="EZ73"/>
  <c r="FC73" l="1"/>
  <c r="FB73"/>
  <c r="FA73"/>
  <c r="EZ74"/>
  <c r="EZ75" l="1"/>
  <c r="FA74"/>
  <c r="FC74"/>
  <c r="FB74"/>
  <c r="FB75" l="1"/>
  <c r="EZ76"/>
  <c r="FC75"/>
  <c r="FA75"/>
  <c r="FB76" l="1"/>
  <c r="EZ77"/>
  <c r="FA76"/>
  <c r="FC76"/>
  <c r="EZ78" l="1"/>
  <c r="FA77"/>
  <c r="FC77"/>
  <c r="FB77"/>
  <c r="EZ79" l="1"/>
  <c r="FA78"/>
  <c r="FB78"/>
  <c r="FC78"/>
  <c r="FC79" l="1"/>
  <c r="FA79"/>
  <c r="EZ80"/>
  <c r="FB79"/>
  <c r="EZ81" l="1"/>
  <c r="FB80"/>
  <c r="FC80"/>
  <c r="FA80"/>
  <c r="FA81" l="1"/>
  <c r="FB81"/>
  <c r="EZ82"/>
  <c r="FC81"/>
  <c r="EZ83" l="1"/>
  <c r="FA82"/>
  <c r="FC82"/>
  <c r="FB82"/>
  <c r="FA83" l="1"/>
  <c r="FB83"/>
  <c r="FC83"/>
  <c r="EZ84"/>
  <c r="EZ85" l="1"/>
  <c r="FA84"/>
  <c r="FC84"/>
  <c r="FB84"/>
  <c r="EZ86" l="1"/>
  <c r="FA85"/>
  <c r="FB85"/>
  <c r="FC85"/>
  <c r="AB68" i="11"/>
  <c r="FC86" i="1" l="1"/>
  <c r="EZ87"/>
  <c r="FA86"/>
  <c r="FB86"/>
  <c r="EH8" i="12"/>
  <c r="EZ88" i="1" l="1"/>
  <c r="FA87"/>
  <c r="FB87"/>
  <c r="FC87"/>
  <c r="EH14" i="12" a="1"/>
  <c r="EH35" l="1"/>
  <c r="EH18"/>
  <c r="ES18" s="1"/>
  <c r="EH24"/>
  <c r="ES24" s="1"/>
  <c r="EH31"/>
  <c r="EH29"/>
  <c r="ES29" s="1"/>
  <c r="EH26"/>
  <c r="ES26" s="1"/>
  <c r="EH30"/>
  <c r="EH36"/>
  <c r="EH32"/>
  <c r="ES32" s="1"/>
  <c r="EH22"/>
  <c r="ES22" s="1"/>
  <c r="EH15"/>
  <c r="ES15" s="1"/>
  <c r="EH33"/>
  <c r="ES33" s="1"/>
  <c r="EH28"/>
  <c r="ES28" s="1"/>
  <c r="EH34"/>
  <c r="EH23"/>
  <c r="ES23" s="1"/>
  <c r="EH37"/>
  <c r="EH20"/>
  <c r="ES20" s="1"/>
  <c r="EH40"/>
  <c r="EH25"/>
  <c r="ES25" s="1"/>
  <c r="EH19"/>
  <c r="ES19" s="1"/>
  <c r="EH16"/>
  <c r="ES16" s="1"/>
  <c r="EH27"/>
  <c r="ES27" s="1"/>
  <c r="EH21"/>
  <c r="ES21" s="1"/>
  <c r="EH17"/>
  <c r="ES17" s="1"/>
  <c r="EH38"/>
  <c r="EH14"/>
  <c r="ES14" s="1"/>
  <c r="ED7" s="1"/>
  <c r="EH39"/>
  <c r="FB88" i="1"/>
  <c r="EZ89"/>
  <c r="FC88"/>
  <c r="FA88"/>
  <c r="EO25" i="12" l="1"/>
  <c r="EO28"/>
  <c r="EO19"/>
  <c r="EO18"/>
  <c r="EO16"/>
  <c r="EO23"/>
  <c r="EO32"/>
  <c r="EO24"/>
  <c r="EO27"/>
  <c r="EO22"/>
  <c r="EO21"/>
  <c r="EO20"/>
  <c r="EO15"/>
  <c r="EO29"/>
  <c r="EO17"/>
  <c r="EO33"/>
  <c r="EO26"/>
  <c r="EZ90" i="1"/>
  <c r="FA89"/>
  <c r="FB89"/>
  <c r="FC89"/>
  <c r="EZ91" l="1"/>
  <c r="FA90"/>
  <c r="FB90"/>
  <c r="FC90"/>
  <c r="FA91" l="1"/>
  <c r="EZ92"/>
  <c r="FB91"/>
  <c r="FC91"/>
  <c r="FA92" l="1"/>
  <c r="FC92"/>
  <c r="FB92"/>
  <c r="EZ93"/>
  <c r="FB93" l="1"/>
  <c r="FC93"/>
  <c r="EZ94"/>
  <c r="FA93"/>
  <c r="FB94" l="1"/>
  <c r="FC94"/>
  <c r="EZ95"/>
  <c r="FA94"/>
  <c r="FC95" l="1"/>
  <c r="EZ96"/>
  <c r="FB95"/>
  <c r="FA95"/>
  <c r="FB96" l="1"/>
  <c r="FA96"/>
  <c r="EZ97"/>
  <c r="FC96"/>
  <c r="EZ98" l="1"/>
  <c r="FC97"/>
  <c r="FB97"/>
  <c r="FA97"/>
  <c r="EZ99" l="1"/>
  <c r="FA98"/>
  <c r="FC98"/>
  <c r="FB98"/>
  <c r="EZ100" l="1"/>
  <c r="FB99"/>
  <c r="FA99"/>
  <c r="FC99"/>
  <c r="FA100" l="1"/>
  <c r="FB100"/>
  <c r="FC100"/>
  <c r="EZ101"/>
  <c r="FB101" l="1"/>
  <c r="FC101"/>
  <c r="FA101"/>
  <c r="EZ102"/>
  <c r="FA102" l="1"/>
  <c r="FB102"/>
  <c r="EZ103"/>
  <c r="FC102"/>
  <c r="EZ104" l="1"/>
  <c r="FA103"/>
  <c r="FB103"/>
  <c r="FC103"/>
  <c r="FB104" l="1"/>
  <c r="FC104"/>
  <c r="EZ105"/>
  <c r="FA104"/>
  <c r="EZ106" l="1"/>
  <c r="FB105"/>
  <c r="FC105"/>
  <c r="FA105"/>
  <c r="FA106" l="1"/>
  <c r="FB106"/>
  <c r="FC106"/>
  <c r="EZ107"/>
  <c r="FA107" l="1"/>
  <c r="FB107"/>
  <c r="EZ108"/>
  <c r="FC107"/>
  <c r="J15" i="7"/>
  <c r="FC108" i="1" l="1"/>
  <c r="FA108"/>
  <c r="EZ109"/>
  <c r="FB108"/>
  <c r="FA109" l="1"/>
  <c r="FB109"/>
  <c r="FC109"/>
  <c r="EZ110"/>
  <c r="FC110" l="1"/>
  <c r="EZ111"/>
  <c r="FA110"/>
  <c r="FB110"/>
  <c r="EZ112" l="1"/>
  <c r="FB111"/>
  <c r="FC111"/>
  <c r="FA111"/>
  <c r="FC112" l="1"/>
  <c r="EZ113"/>
  <c r="FA112"/>
  <c r="FB112"/>
  <c r="FB113" l="1"/>
  <c r="FC113"/>
  <c r="FA113"/>
  <c r="EZ114"/>
  <c r="FA114" l="1"/>
  <c r="FB114"/>
  <c r="FC114"/>
  <c r="EZ115"/>
  <c r="FC115" l="1"/>
  <c r="FB115"/>
  <c r="EZ116"/>
  <c r="FA115"/>
  <c r="FA116" l="1"/>
  <c r="FC116"/>
  <c r="FB116"/>
  <c r="EZ117"/>
  <c r="EZ118" l="1"/>
  <c r="FB117"/>
  <c r="FC117"/>
  <c r="FA117"/>
  <c r="FB118" l="1"/>
  <c r="FA118"/>
  <c r="FC118"/>
  <c r="EZ119"/>
  <c r="FB119" l="1"/>
  <c r="EZ120"/>
  <c r="FC119"/>
  <c r="FA119"/>
  <c r="FB120" l="1"/>
  <c r="FC120"/>
  <c r="FA120"/>
  <c r="EZ121"/>
  <c r="FA121" l="1"/>
  <c r="FB121"/>
  <c r="FC121"/>
  <c r="EZ122"/>
  <c r="EZ123" l="1"/>
  <c r="FA122"/>
  <c r="FB122"/>
  <c r="FC122"/>
  <c r="FA123" l="1"/>
  <c r="FB123"/>
  <c r="EZ124"/>
  <c r="FC123"/>
  <c r="FA124" l="1"/>
  <c r="FB124"/>
  <c r="EZ125"/>
  <c r="FC124"/>
  <c r="FB125" l="1"/>
  <c r="FC125"/>
  <c r="EZ126"/>
  <c r="FA125"/>
  <c r="FA126" l="1"/>
  <c r="FB126"/>
  <c r="EZ127"/>
  <c r="FC126"/>
  <c r="FA127" l="1"/>
  <c r="FB127"/>
  <c r="EZ128"/>
  <c r="FC127"/>
  <c r="FC128" l="1"/>
  <c r="FA128"/>
  <c r="EZ129"/>
  <c r="FB128"/>
  <c r="FA129" l="1"/>
  <c r="FB129"/>
  <c r="EZ130"/>
  <c r="FC129"/>
  <c r="FA130" l="1"/>
  <c r="FB130"/>
  <c r="EZ131"/>
  <c r="FC130"/>
  <c r="EZ132" l="1"/>
  <c r="FC131"/>
  <c r="FA131"/>
  <c r="FB131"/>
  <c r="FA132" l="1"/>
  <c r="FB132"/>
  <c r="EZ133"/>
  <c r="FC132"/>
  <c r="FA133" l="1"/>
  <c r="FB133"/>
  <c r="FC133"/>
  <c r="EZ134"/>
  <c r="FA134" l="1"/>
  <c r="FB134"/>
  <c r="FC134"/>
  <c r="EZ135"/>
  <c r="FB135" l="1"/>
  <c r="FA135"/>
  <c r="FC135"/>
  <c r="EZ136"/>
  <c r="EZ137" l="1"/>
  <c r="FA136"/>
  <c r="FC136"/>
  <c r="FB136"/>
  <c r="EZ138" l="1"/>
  <c r="FC137"/>
  <c r="FA137"/>
  <c r="FB137"/>
  <c r="FA138" l="1"/>
  <c r="FB138"/>
  <c r="FC138"/>
  <c r="EZ139"/>
  <c r="FA139" l="1"/>
  <c r="FB139"/>
  <c r="EZ140"/>
  <c r="FC139"/>
  <c r="FC140" l="1"/>
  <c r="FA140"/>
  <c r="FB140"/>
  <c r="EZ141"/>
  <c r="FA141" l="1"/>
  <c r="FB141"/>
  <c r="EZ142"/>
  <c r="FC141"/>
  <c r="FA142" l="1"/>
  <c r="FB142"/>
  <c r="FC142"/>
  <c r="EZ143"/>
  <c r="FA143" l="1"/>
  <c r="FB143"/>
  <c r="EZ144"/>
  <c r="FC143"/>
  <c r="FB144" l="1"/>
  <c r="FA144"/>
  <c r="EZ145"/>
  <c r="FC144"/>
  <c r="EZ146" l="1"/>
  <c r="FB145"/>
  <c r="FC145"/>
  <c r="FA145"/>
  <c r="EZ147" l="1"/>
  <c r="FA146"/>
  <c r="FB146"/>
  <c r="FC146"/>
  <c r="FC147" l="1"/>
  <c r="FA147"/>
  <c r="FB147"/>
  <c r="EZ148"/>
  <c r="FC148" l="1"/>
  <c r="EZ149"/>
  <c r="FA148"/>
  <c r="FB148"/>
  <c r="FB149" l="1"/>
  <c r="FA149"/>
  <c r="FC149"/>
  <c r="EZ150"/>
  <c r="FC150" l="1"/>
  <c r="FA150"/>
  <c r="FB150"/>
  <c r="EZ151"/>
  <c r="FB151" l="1"/>
  <c r="FC151"/>
  <c r="FA151"/>
  <c r="EZ152"/>
  <c r="FC152" l="1"/>
  <c r="FB152"/>
  <c r="EZ153"/>
  <c r="FA152"/>
  <c r="FC153" l="1"/>
  <c r="FB153"/>
  <c r="FA153"/>
  <c r="EZ154"/>
  <c r="FA154" l="1"/>
  <c r="FB154"/>
  <c r="EZ155"/>
  <c r="FC154"/>
  <c r="FA155" l="1"/>
  <c r="FB155"/>
  <c r="FC155"/>
  <c r="EZ156"/>
  <c r="FB156" l="1"/>
  <c r="FC156"/>
  <c r="FA156"/>
  <c r="EZ157"/>
  <c r="FB157" l="1"/>
  <c r="FC157"/>
  <c r="FA157"/>
  <c r="EZ158"/>
  <c r="FB158" l="1"/>
  <c r="FC158"/>
  <c r="EZ159"/>
  <c r="FA158"/>
  <c r="FA159" l="1"/>
  <c r="FB159"/>
  <c r="EZ160"/>
  <c r="FC159"/>
  <c r="FA160" l="1"/>
  <c r="FB160"/>
  <c r="EZ161"/>
  <c r="FC160"/>
  <c r="FA161" l="1"/>
  <c r="FB161"/>
  <c r="EZ162"/>
  <c r="FC161"/>
  <c r="FB162" l="1"/>
  <c r="FC162"/>
  <c r="EZ163"/>
  <c r="FA162"/>
  <c r="EZ164" l="1"/>
  <c r="FA163"/>
  <c r="FC163"/>
  <c r="FB163"/>
  <c r="EZ165" l="1"/>
  <c r="FA164"/>
  <c r="FC164"/>
  <c r="FB164"/>
  <c r="FA165" l="1"/>
  <c r="EZ166"/>
  <c r="FC165"/>
  <c r="FB165"/>
  <c r="FA166" l="1"/>
  <c r="FB166"/>
  <c r="EZ167"/>
  <c r="FC166"/>
  <c r="FC167" l="1"/>
  <c r="EZ168"/>
  <c r="FB167"/>
  <c r="FA167"/>
  <c r="FA168" l="1"/>
  <c r="FC168"/>
  <c r="EZ169"/>
  <c r="FB168"/>
  <c r="FA169" l="1"/>
  <c r="FB169"/>
  <c r="FC169"/>
  <c r="EZ170"/>
  <c r="EZ171" l="1"/>
  <c r="FA170"/>
  <c r="FB170"/>
  <c r="FC170"/>
  <c r="FB171" l="1"/>
  <c r="FC171"/>
  <c r="EZ172"/>
  <c r="FA171"/>
  <c r="FA172" l="1"/>
  <c r="FC172"/>
  <c r="EZ173"/>
  <c r="FB172"/>
  <c r="FB173" l="1"/>
  <c r="FC173"/>
  <c r="FA173"/>
  <c r="EZ174"/>
  <c r="EZ175" l="1"/>
  <c r="FB174"/>
  <c r="FC174"/>
  <c r="FA174"/>
  <c r="FB175" l="1"/>
  <c r="EZ176"/>
  <c r="FA175"/>
  <c r="FC175"/>
  <c r="FC176" l="1"/>
  <c r="EZ177"/>
  <c r="FB176"/>
  <c r="FA176"/>
  <c r="FA177" l="1"/>
  <c r="FB177"/>
  <c r="EZ178"/>
  <c r="FC177"/>
  <c r="FC178" l="1"/>
  <c r="EZ179"/>
  <c r="FB178"/>
  <c r="FA178"/>
  <c r="FA179" l="1"/>
  <c r="FB179"/>
  <c r="FC179"/>
  <c r="EZ180"/>
  <c r="EZ181" l="1"/>
  <c r="FA180"/>
  <c r="FC180"/>
  <c r="FB180"/>
  <c r="EZ182" l="1"/>
  <c r="FA181"/>
  <c r="FC181"/>
  <c r="FB181"/>
  <c r="FC182" l="1"/>
  <c r="EZ183"/>
  <c r="FB182"/>
  <c r="FA182"/>
  <c r="FC183" l="1"/>
  <c r="EZ184"/>
  <c r="FB183"/>
  <c r="FA183"/>
  <c r="FA184" l="1"/>
  <c r="FC184"/>
  <c r="FB184"/>
  <c r="EZ185"/>
  <c r="EZ186" l="1"/>
  <c r="FB185"/>
  <c r="FC185"/>
  <c r="FA185"/>
  <c r="FB186" l="1"/>
  <c r="FC186"/>
  <c r="FA186"/>
  <c r="EZ187"/>
  <c r="FB187" l="1"/>
  <c r="FC187"/>
  <c r="FA187"/>
  <c r="EZ188"/>
  <c r="FA188" l="1"/>
  <c r="FB188"/>
  <c r="FC188"/>
  <c r="EZ189"/>
  <c r="EZ190" l="1"/>
  <c r="FA189"/>
  <c r="FC189"/>
  <c r="FB189"/>
  <c r="FA190" l="1"/>
  <c r="FB190"/>
  <c r="FC190"/>
  <c r="EZ191"/>
  <c r="FC191" l="1"/>
  <c r="EZ192"/>
  <c r="FB191"/>
  <c r="FA191"/>
  <c r="FB192" l="1"/>
  <c r="FC192"/>
  <c r="FA192"/>
  <c r="EZ193"/>
  <c r="FA193" l="1"/>
  <c r="FC193"/>
  <c r="EZ194"/>
  <c r="FB193"/>
  <c r="EZ195" l="1"/>
  <c r="FA194"/>
  <c r="FC194"/>
  <c r="FB194"/>
  <c r="FC195" l="1"/>
  <c r="EZ196"/>
  <c r="FA195"/>
  <c r="FB195"/>
  <c r="EZ197" l="1"/>
  <c r="FA196"/>
  <c r="FC196"/>
  <c r="FB196"/>
  <c r="FB197" l="1"/>
  <c r="EZ198"/>
  <c r="FA197"/>
  <c r="FC197"/>
  <c r="EZ199" l="1"/>
  <c r="FA198"/>
  <c r="FB198"/>
  <c r="FC198"/>
  <c r="FA199" l="1"/>
  <c r="FB199"/>
  <c r="FC199"/>
  <c r="EZ200"/>
  <c r="FB200" l="1"/>
  <c r="FC200"/>
  <c r="FA200"/>
  <c r="EZ201"/>
  <c r="EZ202" l="1"/>
  <c r="FA201"/>
  <c r="FC201"/>
  <c r="FB201"/>
  <c r="EZ203" l="1"/>
  <c r="FA202"/>
  <c r="FC202"/>
  <c r="FB202"/>
  <c r="EZ204" l="1"/>
  <c r="FA203"/>
  <c r="FC203"/>
  <c r="FB203"/>
  <c r="FC204" l="1"/>
  <c r="FA204"/>
  <c r="EZ205"/>
  <c r="FB204"/>
  <c r="FB205" l="1"/>
  <c r="FC205"/>
  <c r="FA205"/>
  <c r="EZ206"/>
  <c r="EZ207" l="1"/>
  <c r="FA206"/>
  <c r="FC206"/>
  <c r="FB206"/>
  <c r="FC207" l="1"/>
  <c r="FB207"/>
  <c r="EZ208"/>
  <c r="FA207"/>
  <c r="FC208" l="1"/>
  <c r="FB208"/>
  <c r="EZ209"/>
  <c r="FA208"/>
  <c r="EZ210" l="1"/>
  <c r="FA209"/>
  <c r="FC209"/>
  <c r="FB209"/>
  <c r="EZ211" l="1"/>
  <c r="FB210"/>
  <c r="FA210"/>
  <c r="FC210"/>
  <c r="FA211" l="1"/>
  <c r="FB211"/>
  <c r="EZ212"/>
  <c r="FC211"/>
  <c r="FA212" l="1"/>
  <c r="FB212"/>
  <c r="EZ213"/>
  <c r="FC212"/>
  <c r="FB213" l="1"/>
  <c r="FC213"/>
  <c r="FA213"/>
  <c r="EZ214"/>
  <c r="FA214" l="1"/>
  <c r="FB214"/>
  <c r="EZ215"/>
  <c r="FC214"/>
  <c r="FC215" l="1"/>
  <c r="FB215"/>
  <c r="EZ216"/>
  <c r="FA215"/>
  <c r="FB216" l="1"/>
  <c r="FC216"/>
  <c r="FA216"/>
  <c r="EZ217"/>
  <c r="EZ218" l="1"/>
  <c r="FA217"/>
  <c r="FC217"/>
  <c r="FB217"/>
  <c r="FA218" l="1"/>
  <c r="FC218"/>
  <c r="FB218"/>
  <c r="EZ219"/>
  <c r="FC219" l="1"/>
  <c r="EZ220"/>
  <c r="FB219"/>
  <c r="FA219"/>
  <c r="FC220" l="1"/>
  <c r="EZ221"/>
  <c r="FA220"/>
  <c r="FB220"/>
  <c r="FA221" l="1"/>
  <c r="FB221"/>
  <c r="FC221"/>
  <c r="EZ222"/>
  <c r="FB222" l="1"/>
  <c r="FC222"/>
  <c r="EZ223"/>
  <c r="FA222"/>
  <c r="FB223" l="1"/>
  <c r="EZ224"/>
  <c r="FC223"/>
  <c r="FA223"/>
  <c r="FA224" l="1"/>
  <c r="FB224"/>
  <c r="FC224"/>
  <c r="CL8" i="5"/>
  <c r="CM8"/>
  <c r="M31" i="11"/>
  <c r="DG79" i="10" l="1"/>
  <c r="DJ79" s="1"/>
  <c r="DG59" l="1"/>
  <c r="DJ59" s="1"/>
  <c r="DG68"/>
  <c r="DJ68" s="1"/>
  <c r="DG106"/>
  <c r="DJ106" s="1"/>
  <c r="DG90"/>
  <c r="DJ90" s="1"/>
  <c r="DG71"/>
  <c r="DJ71" s="1"/>
  <c r="DG115"/>
  <c r="DJ115" s="1"/>
  <c r="DG54"/>
  <c r="DJ54" s="1"/>
  <c r="DG104"/>
  <c r="DJ104" s="1"/>
  <c r="DG57"/>
  <c r="DJ57" s="1"/>
  <c r="DG64"/>
  <c r="DJ64" s="1"/>
  <c r="DG49"/>
  <c r="DJ49" s="1"/>
  <c r="DG53"/>
  <c r="DJ53" s="1"/>
  <c r="DG87"/>
  <c r="DJ87" s="1"/>
  <c r="DG91"/>
  <c r="DJ91" s="1"/>
  <c r="DG75"/>
  <c r="DJ75" s="1"/>
  <c r="DG61"/>
  <c r="DJ61" s="1"/>
  <c r="DG110"/>
  <c r="DJ110" s="1"/>
  <c r="DG107"/>
  <c r="DJ107" s="1"/>
  <c r="DG105"/>
  <c r="DJ105" s="1"/>
  <c r="DG56"/>
  <c r="DJ56" s="1"/>
  <c r="DG77"/>
  <c r="DJ77" s="1"/>
  <c r="DG93"/>
  <c r="DJ93" s="1"/>
  <c r="DG74"/>
  <c r="DJ74" s="1"/>
  <c r="DG89"/>
  <c r="DJ89" s="1"/>
  <c r="DG44"/>
  <c r="DJ44" s="1"/>
  <c r="DG111"/>
  <c r="DJ111" s="1"/>
  <c r="DG72"/>
  <c r="DJ72" s="1"/>
  <c r="DG76"/>
  <c r="DJ76" s="1"/>
  <c r="DG48"/>
  <c r="DJ48" s="1"/>
  <c r="DG102"/>
  <c r="DJ102" s="1"/>
  <c r="DG46"/>
  <c r="DJ46" s="1"/>
  <c r="DG113"/>
  <c r="DJ113" s="1"/>
  <c r="DG47"/>
  <c r="DJ47" s="1"/>
  <c r="DG97"/>
  <c r="DJ97" s="1"/>
  <c r="DG58"/>
  <c r="DJ58" s="1"/>
  <c r="DG78"/>
  <c r="DJ78" s="1"/>
  <c r="DG65"/>
  <c r="DJ65" s="1"/>
  <c r="DG80"/>
  <c r="DJ80" s="1"/>
  <c r="DG45"/>
  <c r="DJ45" s="1"/>
  <c r="DG112"/>
  <c r="DJ112" s="1"/>
  <c r="DG55"/>
  <c r="DJ55" s="1"/>
  <c r="DG73"/>
  <c r="DJ73" s="1"/>
  <c r="DG82"/>
  <c r="DJ82" s="1"/>
  <c r="DG62"/>
  <c r="DJ62" s="1"/>
  <c r="DG114"/>
  <c r="DJ114" s="1"/>
  <c r="DG83"/>
  <c r="DJ83" s="1"/>
  <c r="DG69"/>
  <c r="DJ69" s="1"/>
  <c r="DG108"/>
  <c r="DJ108" s="1"/>
  <c r="DG94"/>
  <c r="DJ94" s="1"/>
  <c r="DG43"/>
  <c r="DJ43" s="1"/>
  <c r="DG98"/>
  <c r="DJ98" s="1"/>
  <c r="DG101"/>
  <c r="DJ101" s="1"/>
  <c r="DG109"/>
  <c r="DJ109" s="1"/>
  <c r="DG95"/>
  <c r="DJ95" s="1"/>
  <c r="DG103"/>
  <c r="DJ103" s="1"/>
  <c r="DG81"/>
  <c r="DJ81" s="1"/>
  <c r="DG100"/>
  <c r="DJ100" s="1"/>
  <c r="DG84"/>
  <c r="DJ84" s="1"/>
  <c r="DG51"/>
  <c r="DJ51" s="1"/>
  <c r="DG118"/>
  <c r="DJ118" s="1"/>
  <c r="DG85"/>
  <c r="DJ85" s="1"/>
  <c r="DG52"/>
  <c r="DJ52" s="1"/>
  <c r="DG67"/>
  <c r="DJ67" s="1"/>
  <c r="DG116"/>
  <c r="DJ116" s="1"/>
  <c r="DG63"/>
  <c r="DJ63" s="1"/>
  <c r="DG60"/>
  <c r="DJ60" s="1"/>
  <c r="DG70"/>
  <c r="DJ70" s="1"/>
  <c r="DG50"/>
  <c r="DJ50" s="1"/>
  <c r="DG117"/>
  <c r="DJ117" s="1"/>
  <c r="DG92"/>
  <c r="DJ92" s="1"/>
  <c r="DG96"/>
  <c r="DJ96" s="1"/>
  <c r="DG88"/>
  <c r="DJ88" s="1"/>
  <c r="DG99"/>
  <c r="DJ99" s="1"/>
  <c r="CM22" i="18"/>
  <c r="CL22" i="16"/>
  <c r="CL20" i="1"/>
  <c r="CL22" i="18"/>
  <c r="K16" i="5"/>
  <c r="CM22" i="16"/>
  <c r="CM22" i="5"/>
  <c r="CL22"/>
  <c r="DG86" i="10" l="1"/>
  <c r="DJ86" s="1"/>
  <c r="DG66"/>
  <c r="DJ66" s="1"/>
  <c r="AJ70" l="1"/>
  <c r="AJ42"/>
  <c r="AJ96"/>
  <c r="AJ74"/>
  <c r="AJ72"/>
  <c r="AJ61"/>
  <c r="AJ79"/>
  <c r="AJ88"/>
  <c r="AJ108"/>
  <c r="AJ82"/>
  <c r="AJ80"/>
  <c r="AJ114"/>
  <c r="AJ50"/>
  <c r="AJ117"/>
  <c r="AJ64"/>
  <c r="AJ89"/>
  <c r="AJ98"/>
  <c r="AJ175"/>
  <c r="AJ148"/>
  <c r="AJ153"/>
  <c r="AJ169"/>
  <c r="AJ142"/>
  <c r="AJ149"/>
  <c r="AJ141"/>
  <c r="AJ155"/>
  <c r="AJ161"/>
  <c r="AJ140"/>
  <c r="AJ154"/>
  <c r="AJ164"/>
  <c r="AJ81"/>
  <c r="AJ51"/>
  <c r="AJ62"/>
  <c r="AJ107"/>
  <c r="AJ90"/>
  <c r="AJ115"/>
  <c r="AJ47"/>
  <c r="AJ94"/>
  <c r="AJ73"/>
  <c r="AJ102"/>
  <c r="AJ184"/>
  <c r="AJ158"/>
  <c r="AJ168"/>
  <c r="AJ143"/>
  <c r="AJ119"/>
  <c r="AJ124"/>
  <c r="AJ157"/>
  <c r="AJ152"/>
  <c r="AJ135"/>
  <c r="AJ133"/>
  <c r="AJ156"/>
  <c r="AJ186"/>
  <c r="AJ75"/>
  <c r="AJ71"/>
  <c r="AJ59"/>
  <c r="AJ105"/>
  <c r="AJ48"/>
  <c r="AJ85"/>
  <c r="AJ53"/>
  <c r="AJ63"/>
  <c r="AJ69"/>
  <c r="AJ86"/>
  <c r="AJ130"/>
  <c r="AJ166"/>
  <c r="AJ137"/>
  <c r="AJ136"/>
  <c r="AJ138"/>
  <c r="AJ178"/>
  <c r="AJ145"/>
  <c r="AJ122"/>
  <c r="AJ127"/>
  <c r="AJ150"/>
  <c r="AJ185"/>
  <c r="AJ147"/>
  <c r="AJ77"/>
  <c r="AJ43"/>
  <c r="AJ52"/>
  <c r="AJ49"/>
  <c r="AJ84"/>
  <c r="AJ112"/>
  <c r="AJ67"/>
  <c r="AJ103"/>
  <c r="AJ60"/>
  <c r="AJ91"/>
  <c r="AJ87"/>
  <c r="AJ110"/>
  <c r="AJ76"/>
  <c r="AJ104"/>
  <c r="AJ151"/>
  <c r="AJ126"/>
  <c r="AJ179"/>
  <c r="AJ162"/>
  <c r="AJ146"/>
  <c r="AJ118"/>
  <c r="AJ120"/>
  <c r="AJ131"/>
  <c r="AJ172"/>
  <c r="AJ181"/>
  <c r="AJ121"/>
  <c r="AJ109"/>
  <c r="AJ44"/>
  <c r="AJ101"/>
  <c r="AJ55"/>
  <c r="AJ106"/>
  <c r="AJ45"/>
  <c r="AJ97"/>
  <c r="AJ116"/>
  <c r="AJ174"/>
  <c r="AJ182"/>
  <c r="AJ180"/>
  <c r="AJ139"/>
  <c r="AJ167"/>
  <c r="AJ123"/>
  <c r="AJ129"/>
  <c r="AJ134"/>
  <c r="AJ171"/>
  <c r="AJ165"/>
  <c r="AJ125"/>
  <c r="AJ58"/>
  <c r="AJ68"/>
  <c r="AJ92"/>
  <c r="AJ57"/>
  <c r="AJ78"/>
  <c r="AJ95"/>
  <c r="AJ83"/>
  <c r="AJ113"/>
  <c r="AJ56"/>
  <c r="AJ66"/>
  <c r="AJ100"/>
  <c r="AJ65"/>
  <c r="AJ111"/>
  <c r="AJ93"/>
  <c r="AJ46"/>
  <c r="AJ54"/>
  <c r="AJ99"/>
  <c r="AJ160"/>
  <c r="AJ132"/>
  <c r="AJ176"/>
  <c r="AJ170"/>
  <c r="AJ183"/>
  <c r="AJ173"/>
  <c r="AJ128"/>
  <c r="AJ159"/>
  <c r="AJ177"/>
  <c r="AJ144"/>
  <c r="AJ163"/>
  <c r="AJ187"/>
  <c r="AJ351"/>
  <c r="AJ262"/>
  <c r="AJ242"/>
  <c r="AJ318"/>
  <c r="AJ277"/>
  <c r="AJ299"/>
  <c r="AJ241"/>
  <c r="AJ198"/>
  <c r="AJ317"/>
  <c r="AJ225"/>
  <c r="AJ284"/>
  <c r="AJ203"/>
  <c r="AJ216"/>
  <c r="AJ280"/>
  <c r="AJ340"/>
  <c r="AJ347"/>
  <c r="AJ261"/>
  <c r="AJ194"/>
  <c r="AJ191"/>
  <c r="AJ264"/>
  <c r="AJ251"/>
  <c r="AJ301"/>
  <c r="AJ192"/>
  <c r="AJ296"/>
  <c r="AJ315"/>
  <c r="AJ231"/>
  <c r="AJ297"/>
  <c r="AJ230"/>
  <c r="AJ222"/>
  <c r="AJ257"/>
  <c r="AJ220"/>
  <c r="AJ250"/>
  <c r="AJ209"/>
  <c r="AJ195"/>
  <c r="AJ343"/>
  <c r="AJ294"/>
  <c r="AJ248"/>
  <c r="AJ293"/>
  <c r="AJ270"/>
  <c r="AJ310"/>
  <c r="AJ224"/>
  <c r="AJ214"/>
  <c r="AJ300"/>
  <c r="AJ215"/>
  <c r="AJ342"/>
  <c r="AJ228"/>
  <c r="AJ188"/>
  <c r="AJ350"/>
  <c r="AJ344"/>
  <c r="AJ244"/>
  <c r="AJ327"/>
  <c r="AJ288"/>
  <c r="AJ276"/>
  <c r="AJ190"/>
  <c r="AJ210"/>
  <c r="AJ268"/>
  <c r="AJ295"/>
  <c r="AJ274"/>
  <c r="AJ313"/>
  <c r="AJ287"/>
  <c r="AJ217"/>
  <c r="AJ211"/>
  <c r="AJ273"/>
  <c r="AJ229"/>
  <c r="AJ234"/>
  <c r="AJ308"/>
  <c r="AJ307"/>
  <c r="AJ291"/>
  <c r="AJ272"/>
  <c r="AJ232"/>
  <c r="AJ326"/>
  <c r="AJ304"/>
  <c r="AJ263"/>
  <c r="AJ348"/>
  <c r="AJ285"/>
  <c r="AJ219"/>
  <c r="AJ332"/>
  <c r="AJ207"/>
  <c r="AJ206"/>
  <c r="AJ333"/>
  <c r="AJ334"/>
  <c r="AJ282"/>
  <c r="AJ290"/>
  <c r="AJ202"/>
  <c r="AJ338"/>
  <c r="AJ303"/>
  <c r="AJ227"/>
  <c r="AJ256"/>
  <c r="AJ286"/>
  <c r="AJ311"/>
  <c r="AJ200"/>
  <c r="AJ306"/>
  <c r="AJ266"/>
  <c r="AJ324"/>
  <c r="AJ226"/>
  <c r="AJ260"/>
  <c r="AJ320"/>
  <c r="AJ253"/>
  <c r="AJ331"/>
  <c r="AJ279"/>
  <c r="AJ212"/>
  <c r="AJ221"/>
  <c r="AJ339"/>
  <c r="AJ336"/>
  <c r="AJ341"/>
  <c r="AJ223"/>
  <c r="AJ271"/>
  <c r="AJ337"/>
  <c r="AJ259"/>
  <c r="AJ325"/>
  <c r="AJ258"/>
  <c r="AJ346"/>
  <c r="AJ314"/>
  <c r="AJ197"/>
  <c r="AJ312"/>
  <c r="AJ281"/>
  <c r="AJ238"/>
  <c r="AJ233"/>
  <c r="AJ189"/>
  <c r="AJ201"/>
  <c r="AJ240"/>
  <c r="AJ302"/>
  <c r="AJ235"/>
  <c r="AJ254"/>
  <c r="AJ283"/>
  <c r="AJ349"/>
  <c r="AJ193"/>
  <c r="AJ275"/>
  <c r="AJ352"/>
  <c r="AJ247"/>
  <c r="AJ322"/>
  <c r="AJ278"/>
  <c r="AJ196"/>
  <c r="AJ328"/>
  <c r="AJ323"/>
  <c r="AJ218"/>
  <c r="AJ298"/>
  <c r="AJ316"/>
  <c r="AJ345"/>
  <c r="AJ267"/>
  <c r="AJ213"/>
  <c r="AJ329"/>
  <c r="AJ245"/>
  <c r="AJ249"/>
  <c r="AJ309"/>
  <c r="AJ205"/>
  <c r="AJ255"/>
  <c r="AJ243"/>
  <c r="AJ330"/>
  <c r="AJ236"/>
  <c r="AJ269"/>
  <c r="AJ239"/>
  <c r="AJ265"/>
  <c r="AJ321"/>
  <c r="AJ289"/>
  <c r="AJ252"/>
  <c r="AJ208"/>
  <c r="AJ353"/>
  <c r="AJ237"/>
  <c r="AJ204"/>
  <c r="AJ335"/>
  <c r="AJ199"/>
  <c r="AJ305"/>
  <c r="AJ292"/>
  <c r="AJ246"/>
  <c r="AJ319"/>
  <c r="AI44"/>
  <c r="AI55"/>
  <c r="AI63"/>
  <c r="AI70"/>
  <c r="AI116"/>
  <c r="AI83"/>
  <c r="AI58"/>
  <c r="AI87"/>
  <c r="AI99"/>
  <c r="AI42"/>
  <c r="AI66"/>
  <c r="AI65"/>
  <c r="AI100"/>
  <c r="AI149"/>
  <c r="AI141"/>
  <c r="AI122"/>
  <c r="AI131"/>
  <c r="AI178"/>
  <c r="AI127"/>
  <c r="AI158"/>
  <c r="AI126"/>
  <c r="AI180"/>
  <c r="AI133"/>
  <c r="AI186"/>
  <c r="AI96"/>
  <c r="AI75"/>
  <c r="AI51"/>
  <c r="AI54"/>
  <c r="AI109"/>
  <c r="AI50"/>
  <c r="AI105"/>
  <c r="AI88"/>
  <c r="AI56"/>
  <c r="AI102"/>
  <c r="AI160"/>
  <c r="AI143"/>
  <c r="AI151"/>
  <c r="AI159"/>
  <c r="AI150"/>
  <c r="AI165"/>
  <c r="AI155"/>
  <c r="AI184"/>
  <c r="AI124"/>
  <c r="AI182"/>
  <c r="AI147"/>
  <c r="AI164"/>
  <c r="AI45"/>
  <c r="AI74"/>
  <c r="AI60"/>
  <c r="AI62"/>
  <c r="AI72"/>
  <c r="AI107"/>
  <c r="AI43"/>
  <c r="AI93"/>
  <c r="AI104"/>
  <c r="AI97"/>
  <c r="AI49"/>
  <c r="AI67"/>
  <c r="AI114"/>
  <c r="AI137"/>
  <c r="AI139"/>
  <c r="AI120"/>
  <c r="AI145"/>
  <c r="AI167"/>
  <c r="AI157"/>
  <c r="AI152"/>
  <c r="AI172"/>
  <c r="AI166"/>
  <c r="AI130"/>
  <c r="AI125"/>
  <c r="AI163"/>
  <c r="AI94"/>
  <c r="AI57"/>
  <c r="AI80"/>
  <c r="AI61"/>
  <c r="AI115"/>
  <c r="AI73"/>
  <c r="AI85"/>
  <c r="AI91"/>
  <c r="AI98"/>
  <c r="AI183"/>
  <c r="AI123"/>
  <c r="AI146"/>
  <c r="AI118"/>
  <c r="AI142"/>
  <c r="AI144"/>
  <c r="AI174"/>
  <c r="AI132"/>
  <c r="AI153"/>
  <c r="AI185"/>
  <c r="AI138"/>
  <c r="AI154"/>
  <c r="AI47"/>
  <c r="AI69"/>
  <c r="AI106"/>
  <c r="AI52"/>
  <c r="AI76"/>
  <c r="AI89"/>
  <c r="AI111"/>
  <c r="AI48"/>
  <c r="AI53"/>
  <c r="AI79"/>
  <c r="AI68"/>
  <c r="AI112"/>
  <c r="AI92"/>
  <c r="AI113"/>
  <c r="AI101"/>
  <c r="AI179"/>
  <c r="AI129"/>
  <c r="AI170"/>
  <c r="AI171"/>
  <c r="AI169"/>
  <c r="AI128"/>
  <c r="AI161"/>
  <c r="AI168"/>
  <c r="AI181"/>
  <c r="AI162"/>
  <c r="AI177"/>
  <c r="AI187"/>
  <c r="AI46"/>
  <c r="AI78"/>
  <c r="AI81"/>
  <c r="AI103"/>
  <c r="AI64"/>
  <c r="AI77"/>
  <c r="AI71"/>
  <c r="AI117"/>
  <c r="AI90"/>
  <c r="AI84"/>
  <c r="AI82"/>
  <c r="AI59"/>
  <c r="AI108"/>
  <c r="AI86"/>
  <c r="AI95"/>
  <c r="AI110"/>
  <c r="AI176"/>
  <c r="AI119"/>
  <c r="AI173"/>
  <c r="AI135"/>
  <c r="AI140"/>
  <c r="AI156"/>
  <c r="AI134"/>
  <c r="AI175"/>
  <c r="AI148"/>
  <c r="AI136"/>
  <c r="AI121"/>
  <c r="AI231"/>
  <c r="AI313"/>
  <c r="AI297"/>
  <c r="AI222"/>
  <c r="AI287"/>
  <c r="AI217"/>
  <c r="AI195"/>
  <c r="AI294"/>
  <c r="AI270"/>
  <c r="AI295"/>
  <c r="AI274"/>
  <c r="AI307"/>
  <c r="AI228"/>
  <c r="AI351"/>
  <c r="AI262"/>
  <c r="AI211"/>
  <c r="AI242"/>
  <c r="AI318"/>
  <c r="AI344"/>
  <c r="AI277"/>
  <c r="AI229"/>
  <c r="AI288"/>
  <c r="AI276"/>
  <c r="AI210"/>
  <c r="AI308"/>
  <c r="AI241"/>
  <c r="AI284"/>
  <c r="AI203"/>
  <c r="AI280"/>
  <c r="AI273"/>
  <c r="AI347"/>
  <c r="AI194"/>
  <c r="AI299"/>
  <c r="AI234"/>
  <c r="AI251"/>
  <c r="AI317"/>
  <c r="AI250"/>
  <c r="AI296"/>
  <c r="AI315"/>
  <c r="AI191"/>
  <c r="AI198"/>
  <c r="AI225"/>
  <c r="AI301"/>
  <c r="AI230"/>
  <c r="AI257"/>
  <c r="AI216"/>
  <c r="AI340"/>
  <c r="AI261"/>
  <c r="AI343"/>
  <c r="AI248"/>
  <c r="AI293"/>
  <c r="AI264"/>
  <c r="AI224"/>
  <c r="AI214"/>
  <c r="AI215"/>
  <c r="AI342"/>
  <c r="AI188"/>
  <c r="AI220"/>
  <c r="AI350"/>
  <c r="AI209"/>
  <c r="AI192"/>
  <c r="AI244"/>
  <c r="AI327"/>
  <c r="AI190"/>
  <c r="AI268"/>
  <c r="AI310"/>
  <c r="AI300"/>
  <c r="AI247"/>
  <c r="AI309"/>
  <c r="AI205"/>
  <c r="AI189"/>
  <c r="AI328"/>
  <c r="AI330"/>
  <c r="AI201"/>
  <c r="AI240"/>
  <c r="AI269"/>
  <c r="AI218"/>
  <c r="AI239"/>
  <c r="AI321"/>
  <c r="AI289"/>
  <c r="AI208"/>
  <c r="AI349"/>
  <c r="AI199"/>
  <c r="AI245"/>
  <c r="AI305"/>
  <c r="AI322"/>
  <c r="AI232"/>
  <c r="AI304"/>
  <c r="AI348"/>
  <c r="AI236"/>
  <c r="AI332"/>
  <c r="AI265"/>
  <c r="AI206"/>
  <c r="AI267"/>
  <c r="AI213"/>
  <c r="AI333"/>
  <c r="AI249"/>
  <c r="AI292"/>
  <c r="AI334"/>
  <c r="AI319"/>
  <c r="AI272"/>
  <c r="AI223"/>
  <c r="AI338"/>
  <c r="AI255"/>
  <c r="AI243"/>
  <c r="AI263"/>
  <c r="AI303"/>
  <c r="AI286"/>
  <c r="AI311"/>
  <c r="AI252"/>
  <c r="AI353"/>
  <c r="AI237"/>
  <c r="AI204"/>
  <c r="AI335"/>
  <c r="AI306"/>
  <c r="AI266"/>
  <c r="AI324"/>
  <c r="AI226"/>
  <c r="AI260"/>
  <c r="AI320"/>
  <c r="AI253"/>
  <c r="AI246"/>
  <c r="AI291"/>
  <c r="AI212"/>
  <c r="AI221"/>
  <c r="AI339"/>
  <c r="AI336"/>
  <c r="AI341"/>
  <c r="AI290"/>
  <c r="AI202"/>
  <c r="AI271"/>
  <c r="AI326"/>
  <c r="AI259"/>
  <c r="AI325"/>
  <c r="AI227"/>
  <c r="AI285"/>
  <c r="AI256"/>
  <c r="AI219"/>
  <c r="AI207"/>
  <c r="AI314"/>
  <c r="AI200"/>
  <c r="AI197"/>
  <c r="AI312"/>
  <c r="AI282"/>
  <c r="AI196"/>
  <c r="AI233"/>
  <c r="AI337"/>
  <c r="AI302"/>
  <c r="AI235"/>
  <c r="AI346"/>
  <c r="AI275"/>
  <c r="AI331"/>
  <c r="AI279"/>
  <c r="AI352"/>
  <c r="AI278"/>
  <c r="AI281"/>
  <c r="AI238"/>
  <c r="AI323"/>
  <c r="AI258"/>
  <c r="AI298"/>
  <c r="AI316"/>
  <c r="AI254"/>
  <c r="AI283"/>
  <c r="AI345"/>
  <c r="AI329"/>
  <c r="AI193"/>
  <c r="AP89"/>
  <c r="AP55"/>
  <c r="AP42"/>
  <c r="AP67"/>
  <c r="AP58"/>
  <c r="AP104"/>
  <c r="AP90"/>
  <c r="AP54"/>
  <c r="AP74"/>
  <c r="AP123"/>
  <c r="AP167"/>
  <c r="AP159"/>
  <c r="AP179"/>
  <c r="AP182"/>
  <c r="AP122"/>
  <c r="AP132"/>
  <c r="AP180"/>
  <c r="AP146"/>
  <c r="AP158"/>
  <c r="AP186"/>
  <c r="AP187"/>
  <c r="AP111"/>
  <c r="AP78"/>
  <c r="AP85"/>
  <c r="AP97"/>
  <c r="AP102"/>
  <c r="AP49"/>
  <c r="AP83"/>
  <c r="AP87"/>
  <c r="AP57"/>
  <c r="AP59"/>
  <c r="AP91"/>
  <c r="AP176"/>
  <c r="AP129"/>
  <c r="AP118"/>
  <c r="AP144"/>
  <c r="AP156"/>
  <c r="AP174"/>
  <c r="AP119"/>
  <c r="AP153"/>
  <c r="AP142"/>
  <c r="AP136"/>
  <c r="AP147"/>
  <c r="AP163"/>
  <c r="AP92"/>
  <c r="AP72"/>
  <c r="AP105"/>
  <c r="AP79"/>
  <c r="AP113"/>
  <c r="AP95"/>
  <c r="AP101"/>
  <c r="AP96"/>
  <c r="AP70"/>
  <c r="AP56"/>
  <c r="AP88"/>
  <c r="AP117"/>
  <c r="AP169"/>
  <c r="AP128"/>
  <c r="AP152"/>
  <c r="AP150"/>
  <c r="AP131"/>
  <c r="AP160"/>
  <c r="AP127"/>
  <c r="AP168"/>
  <c r="AP130"/>
  <c r="AP166"/>
  <c r="AP161"/>
  <c r="AP121"/>
  <c r="AP43"/>
  <c r="AP94"/>
  <c r="AP68"/>
  <c r="AP93"/>
  <c r="AP109"/>
  <c r="AP76"/>
  <c r="AP63"/>
  <c r="AP52"/>
  <c r="AP71"/>
  <c r="AP81"/>
  <c r="AP64"/>
  <c r="AP108"/>
  <c r="AP51"/>
  <c r="AP82"/>
  <c r="AP112"/>
  <c r="AP44"/>
  <c r="AP77"/>
  <c r="AP73"/>
  <c r="AP103"/>
  <c r="AP183"/>
  <c r="AP141"/>
  <c r="AP149"/>
  <c r="AP171"/>
  <c r="AP165"/>
  <c r="AP137"/>
  <c r="AP185"/>
  <c r="AP140"/>
  <c r="AP181"/>
  <c r="AP151"/>
  <c r="AP138"/>
  <c r="AP125"/>
  <c r="AP75"/>
  <c r="AP86"/>
  <c r="AP116"/>
  <c r="AP61"/>
  <c r="AP107"/>
  <c r="AP53"/>
  <c r="AP46"/>
  <c r="AP69"/>
  <c r="AP45"/>
  <c r="AP62"/>
  <c r="AP80"/>
  <c r="AP110"/>
  <c r="AP66"/>
  <c r="AP100"/>
  <c r="AP134"/>
  <c r="AP124"/>
  <c r="AP177"/>
  <c r="AP145"/>
  <c r="AP133"/>
  <c r="AP143"/>
  <c r="AP126"/>
  <c r="AP170"/>
  <c r="AP175"/>
  <c r="AP148"/>
  <c r="AP154"/>
  <c r="AP99"/>
  <c r="AP48"/>
  <c r="AP65"/>
  <c r="AP115"/>
  <c r="AP50"/>
  <c r="AP98"/>
  <c r="AP47"/>
  <c r="AP60"/>
  <c r="AP106"/>
  <c r="AP84"/>
  <c r="AP114"/>
  <c r="AP155"/>
  <c r="AP120"/>
  <c r="AP135"/>
  <c r="AP139"/>
  <c r="AP172"/>
  <c r="AP157"/>
  <c r="AP184"/>
  <c r="AP173"/>
  <c r="AP178"/>
  <c r="AP162"/>
  <c r="AP164"/>
  <c r="AP231"/>
  <c r="AP297"/>
  <c r="AP222"/>
  <c r="AP217"/>
  <c r="AP211"/>
  <c r="AP250"/>
  <c r="AP195"/>
  <c r="AP229"/>
  <c r="AP244"/>
  <c r="AP343"/>
  <c r="AP294"/>
  <c r="AP190"/>
  <c r="AP191"/>
  <c r="AP270"/>
  <c r="AP251"/>
  <c r="AP317"/>
  <c r="AP300"/>
  <c r="AP274"/>
  <c r="AP307"/>
  <c r="AP342"/>
  <c r="AP228"/>
  <c r="AP296"/>
  <c r="AP327"/>
  <c r="AP288"/>
  <c r="AP276"/>
  <c r="AP210"/>
  <c r="AP224"/>
  <c r="AP214"/>
  <c r="AP188"/>
  <c r="AP284"/>
  <c r="AP262"/>
  <c r="AP273"/>
  <c r="AP209"/>
  <c r="AP340"/>
  <c r="AP194"/>
  <c r="AP234"/>
  <c r="AP268"/>
  <c r="AP295"/>
  <c r="AP313"/>
  <c r="AP301"/>
  <c r="AP215"/>
  <c r="AP351"/>
  <c r="AP203"/>
  <c r="AP280"/>
  <c r="AP318"/>
  <c r="AP277"/>
  <c r="AP241"/>
  <c r="AP198"/>
  <c r="AP225"/>
  <c r="AP230"/>
  <c r="AP216"/>
  <c r="AP242"/>
  <c r="AP344"/>
  <c r="AP261"/>
  <c r="AP248"/>
  <c r="AP264"/>
  <c r="AP308"/>
  <c r="AP257"/>
  <c r="AP287"/>
  <c r="AP220"/>
  <c r="AP350"/>
  <c r="AP192"/>
  <c r="AP347"/>
  <c r="AP299"/>
  <c r="AP315"/>
  <c r="AP293"/>
  <c r="AP310"/>
  <c r="AP312"/>
  <c r="AP189"/>
  <c r="AP323"/>
  <c r="AP326"/>
  <c r="AP201"/>
  <c r="AP240"/>
  <c r="AP227"/>
  <c r="AP298"/>
  <c r="AP265"/>
  <c r="AP316"/>
  <c r="AP346"/>
  <c r="AP289"/>
  <c r="AP353"/>
  <c r="AP335"/>
  <c r="AP199"/>
  <c r="AP305"/>
  <c r="AP319"/>
  <c r="AP196"/>
  <c r="AP239"/>
  <c r="AP332"/>
  <c r="AP254"/>
  <c r="AP345"/>
  <c r="AP208"/>
  <c r="AP267"/>
  <c r="AP197"/>
  <c r="AP213"/>
  <c r="AP249"/>
  <c r="AP292"/>
  <c r="AP331"/>
  <c r="AP352"/>
  <c r="AP309"/>
  <c r="AP281"/>
  <c r="AP205"/>
  <c r="AP233"/>
  <c r="AP328"/>
  <c r="AP255"/>
  <c r="AP243"/>
  <c r="AP330"/>
  <c r="AP218"/>
  <c r="AP321"/>
  <c r="AP252"/>
  <c r="AP314"/>
  <c r="AP237"/>
  <c r="AP204"/>
  <c r="AP266"/>
  <c r="AP329"/>
  <c r="AP253"/>
  <c r="AP246"/>
  <c r="AP291"/>
  <c r="AP212"/>
  <c r="AP278"/>
  <c r="AP202"/>
  <c r="AP271"/>
  <c r="AP348"/>
  <c r="AP236"/>
  <c r="AP285"/>
  <c r="AP256"/>
  <c r="AP219"/>
  <c r="AP207"/>
  <c r="AP349"/>
  <c r="AP333"/>
  <c r="AP226"/>
  <c r="AP245"/>
  <c r="AP320"/>
  <c r="AP282"/>
  <c r="AP221"/>
  <c r="AP272"/>
  <c r="AP341"/>
  <c r="AP223"/>
  <c r="AP232"/>
  <c r="AP338"/>
  <c r="AP303"/>
  <c r="AP269"/>
  <c r="AP235"/>
  <c r="AP311"/>
  <c r="AP283"/>
  <c r="AP206"/>
  <c r="AP306"/>
  <c r="AP324"/>
  <c r="AP193"/>
  <c r="AP334"/>
  <c r="AP279"/>
  <c r="AP247"/>
  <c r="AP322"/>
  <c r="AP339"/>
  <c r="AP336"/>
  <c r="AP238"/>
  <c r="AP290"/>
  <c r="AP337"/>
  <c r="AP259"/>
  <c r="AP304"/>
  <c r="AP325"/>
  <c r="AP263"/>
  <c r="AP258"/>
  <c r="AP302"/>
  <c r="AP286"/>
  <c r="AP200"/>
  <c r="AP260"/>
  <c r="AP275"/>
  <c r="AO49"/>
  <c r="AO54"/>
  <c r="AO95"/>
  <c r="AO106"/>
  <c r="AO114"/>
  <c r="AO76"/>
  <c r="AO71"/>
  <c r="AO55"/>
  <c r="AO52"/>
  <c r="AO42"/>
  <c r="AO75"/>
  <c r="AO69"/>
  <c r="AO108"/>
  <c r="AO48"/>
  <c r="AO93"/>
  <c r="AO47"/>
  <c r="AO60"/>
  <c r="AO102"/>
  <c r="AO129"/>
  <c r="AO152"/>
  <c r="AO171"/>
  <c r="AO131"/>
  <c r="AO137"/>
  <c r="AO143"/>
  <c r="AO153"/>
  <c r="AO130"/>
  <c r="AO166"/>
  <c r="AO120"/>
  <c r="AO141"/>
  <c r="AO125"/>
  <c r="AO94"/>
  <c r="AO84"/>
  <c r="AO111"/>
  <c r="AO70"/>
  <c r="AO73"/>
  <c r="AO50"/>
  <c r="AO96"/>
  <c r="AO83"/>
  <c r="AO67"/>
  <c r="AO116"/>
  <c r="AO72"/>
  <c r="AO101"/>
  <c r="AO44"/>
  <c r="AO97"/>
  <c r="AO89"/>
  <c r="AO113"/>
  <c r="AO144"/>
  <c r="AO177"/>
  <c r="AO165"/>
  <c r="AO133"/>
  <c r="AO157"/>
  <c r="AO140"/>
  <c r="AO138"/>
  <c r="AO151"/>
  <c r="AO183"/>
  <c r="AO134"/>
  <c r="AO154"/>
  <c r="AO98"/>
  <c r="AO64"/>
  <c r="AO78"/>
  <c r="AO91"/>
  <c r="AO103"/>
  <c r="AO51"/>
  <c r="AO82"/>
  <c r="AO88"/>
  <c r="AO66"/>
  <c r="AO53"/>
  <c r="AO85"/>
  <c r="AO115"/>
  <c r="AO149"/>
  <c r="AO135"/>
  <c r="AO145"/>
  <c r="AO126"/>
  <c r="AO122"/>
  <c r="AO184"/>
  <c r="AO181"/>
  <c r="AO175"/>
  <c r="AO161"/>
  <c r="AO155"/>
  <c r="AO164"/>
  <c r="AO92"/>
  <c r="AO107"/>
  <c r="AO46"/>
  <c r="AO81"/>
  <c r="AO105"/>
  <c r="AO61"/>
  <c r="AO65"/>
  <c r="AO112"/>
  <c r="AO57"/>
  <c r="AO124"/>
  <c r="AO156"/>
  <c r="AO139"/>
  <c r="AO172"/>
  <c r="AO180"/>
  <c r="AO119"/>
  <c r="AO162"/>
  <c r="AO178"/>
  <c r="AO148"/>
  <c r="AO123"/>
  <c r="AO147"/>
  <c r="AO100"/>
  <c r="AO87"/>
  <c r="AO86"/>
  <c r="AO68"/>
  <c r="AO109"/>
  <c r="AO80"/>
  <c r="AO99"/>
  <c r="AO45"/>
  <c r="AO90"/>
  <c r="AO77"/>
  <c r="AO43"/>
  <c r="AO58"/>
  <c r="AO150"/>
  <c r="AO159"/>
  <c r="AO179"/>
  <c r="AO182"/>
  <c r="AO168"/>
  <c r="AO127"/>
  <c r="AO170"/>
  <c r="AO146"/>
  <c r="AO158"/>
  <c r="AO176"/>
  <c r="AO186"/>
  <c r="AO163"/>
  <c r="AO79"/>
  <c r="AO110"/>
  <c r="AO59"/>
  <c r="AO63"/>
  <c r="AO62"/>
  <c r="AO117"/>
  <c r="AO56"/>
  <c r="AO74"/>
  <c r="AO104"/>
  <c r="AO167"/>
  <c r="AO118"/>
  <c r="AO174"/>
  <c r="AO132"/>
  <c r="AO160"/>
  <c r="AO185"/>
  <c r="AO173"/>
  <c r="AO142"/>
  <c r="AO136"/>
  <c r="AO169"/>
  <c r="AO128"/>
  <c r="AO121"/>
  <c r="AO187"/>
  <c r="AO257"/>
  <c r="AO287"/>
  <c r="AO220"/>
  <c r="AO350"/>
  <c r="AO216"/>
  <c r="AO347"/>
  <c r="AO299"/>
  <c r="AO315"/>
  <c r="AO293"/>
  <c r="AO264"/>
  <c r="AO310"/>
  <c r="AO231"/>
  <c r="AO297"/>
  <c r="AO217"/>
  <c r="AO211"/>
  <c r="AO250"/>
  <c r="AO195"/>
  <c r="AO192"/>
  <c r="AO229"/>
  <c r="AO244"/>
  <c r="AO343"/>
  <c r="AO190"/>
  <c r="AO191"/>
  <c r="AO251"/>
  <c r="AO317"/>
  <c r="AO274"/>
  <c r="AO307"/>
  <c r="AO222"/>
  <c r="AO296"/>
  <c r="AO327"/>
  <c r="AO294"/>
  <c r="AO270"/>
  <c r="AO224"/>
  <c r="AO214"/>
  <c r="AO300"/>
  <c r="AO342"/>
  <c r="AO228"/>
  <c r="AO188"/>
  <c r="AO284"/>
  <c r="AO262"/>
  <c r="AO273"/>
  <c r="AO209"/>
  <c r="AO340"/>
  <c r="AO194"/>
  <c r="AO288"/>
  <c r="AO276"/>
  <c r="AO210"/>
  <c r="AO268"/>
  <c r="AO295"/>
  <c r="AO313"/>
  <c r="AO301"/>
  <c r="AO215"/>
  <c r="AO351"/>
  <c r="AO203"/>
  <c r="AO280"/>
  <c r="AO277"/>
  <c r="AO234"/>
  <c r="AO241"/>
  <c r="AO225"/>
  <c r="AO230"/>
  <c r="AO242"/>
  <c r="AO318"/>
  <c r="AO344"/>
  <c r="AO261"/>
  <c r="AO248"/>
  <c r="AO308"/>
  <c r="AO198"/>
  <c r="AO279"/>
  <c r="AO282"/>
  <c r="AO247"/>
  <c r="AO322"/>
  <c r="AO339"/>
  <c r="AO238"/>
  <c r="AO290"/>
  <c r="AO337"/>
  <c r="AO259"/>
  <c r="AO304"/>
  <c r="AO325"/>
  <c r="AO263"/>
  <c r="AO302"/>
  <c r="AO286"/>
  <c r="AO200"/>
  <c r="AO306"/>
  <c r="AO324"/>
  <c r="AO260"/>
  <c r="AO275"/>
  <c r="AO336"/>
  <c r="AO189"/>
  <c r="AO323"/>
  <c r="AO326"/>
  <c r="AO201"/>
  <c r="AO258"/>
  <c r="AO227"/>
  <c r="AO298"/>
  <c r="AO265"/>
  <c r="AO316"/>
  <c r="AO346"/>
  <c r="AO289"/>
  <c r="AO353"/>
  <c r="AO335"/>
  <c r="AO199"/>
  <c r="AO305"/>
  <c r="AO319"/>
  <c r="AO312"/>
  <c r="AO196"/>
  <c r="AO240"/>
  <c r="AO239"/>
  <c r="AO332"/>
  <c r="AO254"/>
  <c r="AO345"/>
  <c r="AO208"/>
  <c r="AO267"/>
  <c r="AO197"/>
  <c r="AO213"/>
  <c r="AO249"/>
  <c r="AO292"/>
  <c r="AO331"/>
  <c r="AO352"/>
  <c r="AO309"/>
  <c r="AO281"/>
  <c r="AO205"/>
  <c r="AO233"/>
  <c r="AO328"/>
  <c r="AO255"/>
  <c r="AO243"/>
  <c r="AO218"/>
  <c r="AO321"/>
  <c r="AO314"/>
  <c r="AO237"/>
  <c r="AO266"/>
  <c r="AO329"/>
  <c r="AO253"/>
  <c r="AO291"/>
  <c r="AO212"/>
  <c r="AO278"/>
  <c r="AO202"/>
  <c r="AO271"/>
  <c r="AO330"/>
  <c r="AO236"/>
  <c r="AO285"/>
  <c r="AO256"/>
  <c r="AO219"/>
  <c r="AO207"/>
  <c r="AO252"/>
  <c r="AO349"/>
  <c r="AO204"/>
  <c r="AO333"/>
  <c r="AO226"/>
  <c r="AO245"/>
  <c r="AO320"/>
  <c r="AO246"/>
  <c r="AO221"/>
  <c r="AO272"/>
  <c r="AO341"/>
  <c r="AO223"/>
  <c r="AO232"/>
  <c r="AO338"/>
  <c r="AO348"/>
  <c r="AO303"/>
  <c r="AO269"/>
  <c r="AO235"/>
  <c r="AO311"/>
  <c r="AO283"/>
  <c r="AO206"/>
  <c r="AO193"/>
  <c r="AO334"/>
  <c r="AL62"/>
  <c r="AL66"/>
  <c r="AL112"/>
  <c r="AL48"/>
  <c r="AL63"/>
  <c r="AL76"/>
  <c r="AL100"/>
  <c r="AL91"/>
  <c r="AL55"/>
  <c r="AL71"/>
  <c r="AL109"/>
  <c r="AL58"/>
  <c r="AL130"/>
  <c r="AL136"/>
  <c r="AL150"/>
  <c r="AL127"/>
  <c r="AL124"/>
  <c r="AL126"/>
  <c r="AL179"/>
  <c r="AL160"/>
  <c r="AL143"/>
  <c r="AL129"/>
  <c r="AL177"/>
  <c r="AL154"/>
  <c r="AL75"/>
  <c r="AL67"/>
  <c r="AL46"/>
  <c r="AL60"/>
  <c r="AL89"/>
  <c r="AL53"/>
  <c r="AL54"/>
  <c r="AL171"/>
  <c r="AL139"/>
  <c r="AL182"/>
  <c r="AL157"/>
  <c r="AL153"/>
  <c r="AL132"/>
  <c r="AL180"/>
  <c r="AL137"/>
  <c r="AL134"/>
  <c r="AL119"/>
  <c r="AL135"/>
  <c r="AL163"/>
  <c r="AL108"/>
  <c r="AL43"/>
  <c r="AL161"/>
  <c r="AL181"/>
  <c r="AL128"/>
  <c r="AL159"/>
  <c r="AL121"/>
  <c r="AL99"/>
  <c r="AL106"/>
  <c r="AL57"/>
  <c r="AL52"/>
  <c r="AL93"/>
  <c r="AL68"/>
  <c r="AL96"/>
  <c r="AL116"/>
  <c r="AL155"/>
  <c r="AL151"/>
  <c r="AL115"/>
  <c r="AL65"/>
  <c r="AL61"/>
  <c r="AL120"/>
  <c r="AL122"/>
  <c r="AL118"/>
  <c r="AL172"/>
  <c r="AL123"/>
  <c r="AL185"/>
  <c r="AL152"/>
  <c r="AL186"/>
  <c r="AL44"/>
  <c r="AL107"/>
  <c r="AL162"/>
  <c r="AL105"/>
  <c r="AL45"/>
  <c r="AL64"/>
  <c r="AL49"/>
  <c r="AL98"/>
  <c r="AL79"/>
  <c r="AL47"/>
  <c r="AL85"/>
  <c r="AL166"/>
  <c r="AL174"/>
  <c r="AL183"/>
  <c r="AL88"/>
  <c r="AL50"/>
  <c r="AL90"/>
  <c r="AL102"/>
  <c r="AL82"/>
  <c r="AL113"/>
  <c r="AL69"/>
  <c r="AL101"/>
  <c r="AL111"/>
  <c r="AL148"/>
  <c r="AL140"/>
  <c r="AL168"/>
  <c r="AL59"/>
  <c r="AL97"/>
  <c r="AL42"/>
  <c r="AL95"/>
  <c r="AL104"/>
  <c r="AL83"/>
  <c r="AL73"/>
  <c r="AL103"/>
  <c r="AL92"/>
  <c r="AL117"/>
  <c r="AL72"/>
  <c r="AL74"/>
  <c r="AL178"/>
  <c r="AL165"/>
  <c r="AL144"/>
  <c r="AL167"/>
  <c r="AL170"/>
  <c r="AL175"/>
  <c r="AL131"/>
  <c r="AL176"/>
  <c r="AL138"/>
  <c r="AL173"/>
  <c r="AL164"/>
  <c r="AL187"/>
  <c r="AL87"/>
  <c r="AL80"/>
  <c r="AL94"/>
  <c r="AL56"/>
  <c r="AL110"/>
  <c r="AL81"/>
  <c r="AL70"/>
  <c r="AL86"/>
  <c r="AL51"/>
  <c r="AL77"/>
  <c r="AL114"/>
  <c r="AL84"/>
  <c r="AL78"/>
  <c r="AL142"/>
  <c r="AL145"/>
  <c r="AL133"/>
  <c r="AL156"/>
  <c r="AL149"/>
  <c r="AL146"/>
  <c r="AL158"/>
  <c r="AL169"/>
  <c r="AL141"/>
  <c r="AL184"/>
  <c r="AL147"/>
  <c r="AL125"/>
  <c r="AL230"/>
  <c r="AL242"/>
  <c r="AL344"/>
  <c r="AL192"/>
  <c r="AL261"/>
  <c r="AL248"/>
  <c r="AL308"/>
  <c r="AL214"/>
  <c r="AL222"/>
  <c r="AL262"/>
  <c r="AL350"/>
  <c r="AL209"/>
  <c r="AL340"/>
  <c r="AL294"/>
  <c r="AL315"/>
  <c r="AL270"/>
  <c r="AL268"/>
  <c r="AL300"/>
  <c r="AL231"/>
  <c r="AL215"/>
  <c r="AL342"/>
  <c r="AL297"/>
  <c r="AL228"/>
  <c r="AL217"/>
  <c r="AL203"/>
  <c r="AL280"/>
  <c r="AL211"/>
  <c r="AL195"/>
  <c r="AL229"/>
  <c r="AL343"/>
  <c r="AL288"/>
  <c r="AL276"/>
  <c r="AL210"/>
  <c r="AL307"/>
  <c r="AL296"/>
  <c r="AL327"/>
  <c r="AL234"/>
  <c r="AL224"/>
  <c r="AL257"/>
  <c r="AL188"/>
  <c r="AL287"/>
  <c r="AL284"/>
  <c r="AL220"/>
  <c r="AL318"/>
  <c r="AL273"/>
  <c r="AL347"/>
  <c r="AL194"/>
  <c r="AL299"/>
  <c r="AL293"/>
  <c r="AL310"/>
  <c r="AL198"/>
  <c r="AL295"/>
  <c r="AL313"/>
  <c r="AL301"/>
  <c r="AL351"/>
  <c r="AL216"/>
  <c r="AL250"/>
  <c r="AL277"/>
  <c r="AL244"/>
  <c r="AL190"/>
  <c r="AL191"/>
  <c r="AL264"/>
  <c r="AL241"/>
  <c r="AL251"/>
  <c r="AL317"/>
  <c r="AL274"/>
  <c r="AL225"/>
  <c r="AL291"/>
  <c r="AL272"/>
  <c r="AL196"/>
  <c r="AL336"/>
  <c r="AL223"/>
  <c r="AL338"/>
  <c r="AL303"/>
  <c r="AL258"/>
  <c r="AL235"/>
  <c r="AL239"/>
  <c r="AL283"/>
  <c r="AL208"/>
  <c r="AL206"/>
  <c r="AL197"/>
  <c r="AL193"/>
  <c r="AL292"/>
  <c r="AL312"/>
  <c r="AL279"/>
  <c r="AL352"/>
  <c r="AL247"/>
  <c r="AL281"/>
  <c r="AL339"/>
  <c r="AL290"/>
  <c r="AL233"/>
  <c r="AL328"/>
  <c r="AL337"/>
  <c r="AL259"/>
  <c r="AL325"/>
  <c r="AL240"/>
  <c r="AL302"/>
  <c r="AL200"/>
  <c r="AL329"/>
  <c r="AL260"/>
  <c r="AL202"/>
  <c r="AL189"/>
  <c r="AL326"/>
  <c r="AL201"/>
  <c r="AL256"/>
  <c r="AL265"/>
  <c r="AL289"/>
  <c r="AL199"/>
  <c r="AL226"/>
  <c r="AL245"/>
  <c r="AL319"/>
  <c r="AL221"/>
  <c r="AL341"/>
  <c r="AL232"/>
  <c r="AL330"/>
  <c r="AL269"/>
  <c r="AL332"/>
  <c r="AL254"/>
  <c r="AL311"/>
  <c r="AL252"/>
  <c r="AL345"/>
  <c r="AL267"/>
  <c r="AL204"/>
  <c r="AL213"/>
  <c r="AL249"/>
  <c r="AL334"/>
  <c r="AL246"/>
  <c r="AL331"/>
  <c r="AL322"/>
  <c r="AL309"/>
  <c r="AL205"/>
  <c r="AL238"/>
  <c r="AL255"/>
  <c r="AL304"/>
  <c r="AL243"/>
  <c r="AL263"/>
  <c r="AL348"/>
  <c r="AL218"/>
  <c r="AL286"/>
  <c r="AL321"/>
  <c r="AL314"/>
  <c r="AL237"/>
  <c r="AL266"/>
  <c r="AL253"/>
  <c r="AL275"/>
  <c r="AL212"/>
  <c r="AL282"/>
  <c r="AL278"/>
  <c r="AL271"/>
  <c r="AL323"/>
  <c r="AL236"/>
  <c r="AL227"/>
  <c r="AL285"/>
  <c r="AL298"/>
  <c r="AL219"/>
  <c r="AL316"/>
  <c r="AL346"/>
  <c r="AL207"/>
  <c r="AL353"/>
  <c r="AL349"/>
  <c r="AL335"/>
  <c r="AL306"/>
  <c r="AL333"/>
  <c r="AL324"/>
  <c r="AL305"/>
  <c r="AL320"/>
  <c r="AT320" l="1"/>
  <c r="BA320" s="1"/>
  <c r="BH321" s="1"/>
  <c r="BK321" s="1"/>
  <c r="AT305"/>
  <c r="BA305" s="1"/>
  <c r="BH306" s="1"/>
  <c r="BK306" s="1"/>
  <c r="AT324"/>
  <c r="BA324" s="1"/>
  <c r="BH325" s="1"/>
  <c r="BK325" s="1"/>
  <c r="AT333"/>
  <c r="BA333" s="1"/>
  <c r="BH334" s="1"/>
  <c r="BK334" s="1"/>
  <c r="AT306"/>
  <c r="BA306" s="1"/>
  <c r="BH307" s="1"/>
  <c r="BK307" s="1"/>
  <c r="AT335"/>
  <c r="BA335" s="1"/>
  <c r="BH336" s="1"/>
  <c r="BK336" s="1"/>
  <c r="AT349"/>
  <c r="BA349" s="1"/>
  <c r="BH350" s="1"/>
  <c r="BK350" s="1"/>
  <c r="AT353"/>
  <c r="BA353" s="1"/>
  <c r="BH354" s="1"/>
  <c r="BK354" s="1"/>
  <c r="AT207"/>
  <c r="BA207" s="1"/>
  <c r="BH208" s="1"/>
  <c r="BK208" s="1"/>
  <c r="AT346"/>
  <c r="BA346" s="1"/>
  <c r="BH347" s="1"/>
  <c r="BK347" s="1"/>
  <c r="AT316"/>
  <c r="BA316" s="1"/>
  <c r="BH317" s="1"/>
  <c r="BK317" s="1"/>
  <c r="AT219"/>
  <c r="BA219" s="1"/>
  <c r="BH220" s="1"/>
  <c r="BK220" s="1"/>
  <c r="AT298"/>
  <c r="BA298" s="1"/>
  <c r="BH299" s="1"/>
  <c r="BK299" s="1"/>
  <c r="AT285"/>
  <c r="BA285" s="1"/>
  <c r="BH286" s="1"/>
  <c r="BK286" s="1"/>
  <c r="AT227"/>
  <c r="BA227" s="1"/>
  <c r="BH228" s="1"/>
  <c r="BK228" s="1"/>
  <c r="AT236"/>
  <c r="BA236" s="1"/>
  <c r="BH237" s="1"/>
  <c r="BK237" s="1"/>
  <c r="AT323"/>
  <c r="BA323" s="1"/>
  <c r="BH324" s="1"/>
  <c r="BK324" s="1"/>
  <c r="AT271"/>
  <c r="BA271" s="1"/>
  <c r="BH272" s="1"/>
  <c r="BK272" s="1"/>
  <c r="AT278"/>
  <c r="BA278" s="1"/>
  <c r="BH279" s="1"/>
  <c r="BK279" s="1"/>
  <c r="AT282"/>
  <c r="BA282" s="1"/>
  <c r="BH283" s="1"/>
  <c r="BK283" s="1"/>
  <c r="AT212"/>
  <c r="BA212" s="1"/>
  <c r="BH213" s="1"/>
  <c r="BK213" s="1"/>
  <c r="AT275"/>
  <c r="BA275" s="1"/>
  <c r="BH276" s="1"/>
  <c r="BK276" s="1"/>
  <c r="AT253"/>
  <c r="BA253" s="1"/>
  <c r="BH254" s="1"/>
  <c r="BK254" s="1"/>
  <c r="AT266"/>
  <c r="BA266" s="1"/>
  <c r="BH267" s="1"/>
  <c r="BK267" s="1"/>
  <c r="AT237"/>
  <c r="BA237" s="1"/>
  <c r="BH238" s="1"/>
  <c r="BK238" s="1"/>
  <c r="AT314"/>
  <c r="BA314" s="1"/>
  <c r="BH315" s="1"/>
  <c r="BK315" s="1"/>
  <c r="AT321"/>
  <c r="BA321" s="1"/>
  <c r="BH322" s="1"/>
  <c r="BK322" s="1"/>
  <c r="AT286"/>
  <c r="BA286" s="1"/>
  <c r="BH287" s="1"/>
  <c r="BK287" s="1"/>
  <c r="AT218"/>
  <c r="BA218" s="1"/>
  <c r="BH219" s="1"/>
  <c r="BK219" s="1"/>
  <c r="AT348"/>
  <c r="BA348" s="1"/>
  <c r="BH349" s="1"/>
  <c r="BK349" s="1"/>
  <c r="AT263"/>
  <c r="BA263" s="1"/>
  <c r="BH264" s="1"/>
  <c r="BK264" s="1"/>
  <c r="AT243"/>
  <c r="BA243" s="1"/>
  <c r="BH244" s="1"/>
  <c r="BK244" s="1"/>
  <c r="AT304"/>
  <c r="BA304" s="1"/>
  <c r="BH305" s="1"/>
  <c r="BK305" s="1"/>
  <c r="AT255"/>
  <c r="BA255" s="1"/>
  <c r="BH256" s="1"/>
  <c r="BK256" s="1"/>
  <c r="AT238"/>
  <c r="BA238" s="1"/>
  <c r="BH239" s="1"/>
  <c r="BK239" s="1"/>
  <c r="AT205"/>
  <c r="BA205" s="1"/>
  <c r="BH206" s="1"/>
  <c r="BK206" s="1"/>
  <c r="AT309"/>
  <c r="BA309" s="1"/>
  <c r="BH310" s="1"/>
  <c r="BK310" s="1"/>
  <c r="AT322"/>
  <c r="BA322" s="1"/>
  <c r="BH323" s="1"/>
  <c r="BK323" s="1"/>
  <c r="AT331"/>
  <c r="BA331" s="1"/>
  <c r="BH332" s="1"/>
  <c r="BK332" s="1"/>
  <c r="AT246"/>
  <c r="BA246" s="1"/>
  <c r="BH247" s="1"/>
  <c r="BK247" s="1"/>
  <c r="AT334"/>
  <c r="BA334" s="1"/>
  <c r="BH335" s="1"/>
  <c r="BK335" s="1"/>
  <c r="AT249"/>
  <c r="BA249" s="1"/>
  <c r="BH250" s="1"/>
  <c r="BK250" s="1"/>
  <c r="AT213"/>
  <c r="BA213" s="1"/>
  <c r="BH214" s="1"/>
  <c r="BK214" s="1"/>
  <c r="AT204"/>
  <c r="BA204" s="1"/>
  <c r="BH205" s="1"/>
  <c r="BK205" s="1"/>
  <c r="AT267"/>
  <c r="BA267" s="1"/>
  <c r="BH268" s="1"/>
  <c r="BK268" s="1"/>
  <c r="AT345"/>
  <c r="BA345" s="1"/>
  <c r="BH346" s="1"/>
  <c r="BK346" s="1"/>
  <c r="AT252"/>
  <c r="BA252" s="1"/>
  <c r="BH253" s="1"/>
  <c r="BK253" s="1"/>
  <c r="AT311"/>
  <c r="BA311" s="1"/>
  <c r="BH312" s="1"/>
  <c r="BK312" s="1"/>
  <c r="AT254"/>
  <c r="BA254" s="1"/>
  <c r="BH255" s="1"/>
  <c r="BK255" s="1"/>
  <c r="AT332"/>
  <c r="BA332" s="1"/>
  <c r="BH333" s="1"/>
  <c r="BK333" s="1"/>
  <c r="AT269"/>
  <c r="BA269" s="1"/>
  <c r="BH270" s="1"/>
  <c r="BK270" s="1"/>
  <c r="AT330"/>
  <c r="BA330" s="1"/>
  <c r="BH331" s="1"/>
  <c r="BK331" s="1"/>
  <c r="AT232"/>
  <c r="BA232" s="1"/>
  <c r="BH233" s="1"/>
  <c r="BK233" s="1"/>
  <c r="AT341"/>
  <c r="BA341" s="1"/>
  <c r="BH342" s="1"/>
  <c r="BK342" s="1"/>
  <c r="AT221"/>
  <c r="BA221" s="1"/>
  <c r="BH222" s="1"/>
  <c r="BK222" s="1"/>
  <c r="AT319"/>
  <c r="BA319" s="1"/>
  <c r="BH320" s="1"/>
  <c r="BK320" s="1"/>
  <c r="AT245"/>
  <c r="BA245" s="1"/>
  <c r="BH246" s="1"/>
  <c r="BK246" s="1"/>
  <c r="AT226"/>
  <c r="BA226" s="1"/>
  <c r="BH227" s="1"/>
  <c r="BK227" s="1"/>
  <c r="AT199"/>
  <c r="BA199" s="1"/>
  <c r="BH200" s="1"/>
  <c r="BK200" s="1"/>
  <c r="AT289"/>
  <c r="BA289" s="1"/>
  <c r="BH290" s="1"/>
  <c r="BK290" s="1"/>
  <c r="AT265"/>
  <c r="BA265" s="1"/>
  <c r="BH266" s="1"/>
  <c r="BK266" s="1"/>
  <c r="AT256"/>
  <c r="BA256" s="1"/>
  <c r="BH257" s="1"/>
  <c r="BK257" s="1"/>
  <c r="AT201"/>
  <c r="BA201" s="1"/>
  <c r="BH202" s="1"/>
  <c r="BK202" s="1"/>
  <c r="AT326"/>
  <c r="BA326" s="1"/>
  <c r="BH327" s="1"/>
  <c r="BK327" s="1"/>
  <c r="AT189"/>
  <c r="BA189" s="1"/>
  <c r="BH190" s="1"/>
  <c r="BK190" s="1"/>
  <c r="AT202"/>
  <c r="BA202" s="1"/>
  <c r="BH203" s="1"/>
  <c r="BK203" s="1"/>
  <c r="AT260"/>
  <c r="BA260" s="1"/>
  <c r="BH261" s="1"/>
  <c r="BK261" s="1"/>
  <c r="AT329"/>
  <c r="BA329" s="1"/>
  <c r="BH330" s="1"/>
  <c r="BK330" s="1"/>
  <c r="AT200"/>
  <c r="BA200" s="1"/>
  <c r="BH201" s="1"/>
  <c r="BK201" s="1"/>
  <c r="AT302"/>
  <c r="BA302" s="1"/>
  <c r="BH303" s="1"/>
  <c r="BK303" s="1"/>
  <c r="AT240"/>
  <c r="BA240" s="1"/>
  <c r="BH241" s="1"/>
  <c r="BK241" s="1"/>
  <c r="AT325"/>
  <c r="BA325" s="1"/>
  <c r="BH326" s="1"/>
  <c r="BK326" s="1"/>
  <c r="AT259"/>
  <c r="BA259" s="1"/>
  <c r="BH260" s="1"/>
  <c r="BK260" s="1"/>
  <c r="AT337"/>
  <c r="BA337" s="1"/>
  <c r="BH338" s="1"/>
  <c r="BK338" s="1"/>
  <c r="AT328"/>
  <c r="BA328" s="1"/>
  <c r="BH329" s="1"/>
  <c r="BK329" s="1"/>
  <c r="AT233"/>
  <c r="BA233" s="1"/>
  <c r="BH234" s="1"/>
  <c r="BK234" s="1"/>
  <c r="AT290"/>
  <c r="BA290" s="1"/>
  <c r="BH291" s="1"/>
  <c r="BK291" s="1"/>
  <c r="AT339"/>
  <c r="BA339" s="1"/>
  <c r="BH340" s="1"/>
  <c r="BK340" s="1"/>
  <c r="AT281"/>
  <c r="BA281" s="1"/>
  <c r="BH282" s="1"/>
  <c r="BK282" s="1"/>
  <c r="AT247"/>
  <c r="BA247" s="1"/>
  <c r="BH248" s="1"/>
  <c r="BK248" s="1"/>
  <c r="AT352"/>
  <c r="BA352" s="1"/>
  <c r="BH353" s="1"/>
  <c r="BK353" s="1"/>
  <c r="AT279"/>
  <c r="BA279" s="1"/>
  <c r="BH280" s="1"/>
  <c r="BK280" s="1"/>
  <c r="AT312"/>
  <c r="BA312" s="1"/>
  <c r="BH313" s="1"/>
  <c r="BK313" s="1"/>
  <c r="AT292"/>
  <c r="BA292" s="1"/>
  <c r="BH293" s="1"/>
  <c r="BK293" s="1"/>
  <c r="AT193"/>
  <c r="BA193" s="1"/>
  <c r="BH194" s="1"/>
  <c r="BK194" s="1"/>
  <c r="AT197"/>
  <c r="BA197" s="1"/>
  <c r="BH198" s="1"/>
  <c r="BK198" s="1"/>
  <c r="AT206"/>
  <c r="BA206" s="1"/>
  <c r="BH207" s="1"/>
  <c r="BK207" s="1"/>
  <c r="AT208"/>
  <c r="BA208" s="1"/>
  <c r="BH209" s="1"/>
  <c r="BK209" s="1"/>
  <c r="AT283"/>
  <c r="BA283" s="1"/>
  <c r="BH284" s="1"/>
  <c r="BK284" s="1"/>
  <c r="AT239"/>
  <c r="BA239" s="1"/>
  <c r="BH240" s="1"/>
  <c r="BK240" s="1"/>
  <c r="AT235"/>
  <c r="BA235" s="1"/>
  <c r="BH236" s="1"/>
  <c r="BK236" s="1"/>
  <c r="AT258"/>
  <c r="BA258" s="1"/>
  <c r="BH259" s="1"/>
  <c r="BK259" s="1"/>
  <c r="AT303"/>
  <c r="BA303" s="1"/>
  <c r="BH304" s="1"/>
  <c r="BK304" s="1"/>
  <c r="AT338"/>
  <c r="BA338" s="1"/>
  <c r="BH339" s="1"/>
  <c r="BK339" s="1"/>
  <c r="AT223"/>
  <c r="BA223" s="1"/>
  <c r="BH224" s="1"/>
  <c r="BK224" s="1"/>
  <c r="AT336"/>
  <c r="BA336" s="1"/>
  <c r="BH337" s="1"/>
  <c r="BK337" s="1"/>
  <c r="AT196"/>
  <c r="BA196" s="1"/>
  <c r="BH197" s="1"/>
  <c r="BK197" s="1"/>
  <c r="AT272"/>
  <c r="BA272" s="1"/>
  <c r="BH273" s="1"/>
  <c r="BK273" s="1"/>
  <c r="AT291"/>
  <c r="BA291" s="1"/>
  <c r="BH292" s="1"/>
  <c r="BK292" s="1"/>
  <c r="AT225"/>
  <c r="BA225" s="1"/>
  <c r="BH226" s="1"/>
  <c r="BK226" s="1"/>
  <c r="AT274"/>
  <c r="BA274" s="1"/>
  <c r="BH275" s="1"/>
  <c r="BK275" s="1"/>
  <c r="AT317"/>
  <c r="BA317" s="1"/>
  <c r="BH318" s="1"/>
  <c r="BK318" s="1"/>
  <c r="AT251"/>
  <c r="BA251" s="1"/>
  <c r="BH252" s="1"/>
  <c r="BK252" s="1"/>
  <c r="AT241"/>
  <c r="BA241" s="1"/>
  <c r="BH242" s="1"/>
  <c r="BK242" s="1"/>
  <c r="AT264"/>
  <c r="BA264" s="1"/>
  <c r="BH265" s="1"/>
  <c r="BK265" s="1"/>
  <c r="AT191"/>
  <c r="BA191" s="1"/>
  <c r="BH192" s="1"/>
  <c r="BK192" s="1"/>
  <c r="AT190"/>
  <c r="BA190" s="1"/>
  <c r="BH191" s="1"/>
  <c r="BK191" s="1"/>
  <c r="AT244"/>
  <c r="BA244" s="1"/>
  <c r="BH245" s="1"/>
  <c r="BK245" s="1"/>
  <c r="AT277"/>
  <c r="BA277" s="1"/>
  <c r="BH278" s="1"/>
  <c r="BK278" s="1"/>
  <c r="AT250"/>
  <c r="BA250" s="1"/>
  <c r="BH251" s="1"/>
  <c r="BK251" s="1"/>
  <c r="AT216"/>
  <c r="BA216" s="1"/>
  <c r="BH217" s="1"/>
  <c r="BK217" s="1"/>
  <c r="AT351"/>
  <c r="BA351" s="1"/>
  <c r="BH352" s="1"/>
  <c r="BK352" s="1"/>
  <c r="AT301"/>
  <c r="BA301" s="1"/>
  <c r="BH302" s="1"/>
  <c r="BK302" s="1"/>
  <c r="AT313"/>
  <c r="BA313" s="1"/>
  <c r="BH314" s="1"/>
  <c r="BK314" s="1"/>
  <c r="AT295"/>
  <c r="BA295" s="1"/>
  <c r="BH296" s="1"/>
  <c r="BK296" s="1"/>
  <c r="AT198"/>
  <c r="BA198" s="1"/>
  <c r="BH199" s="1"/>
  <c r="BK199" s="1"/>
  <c r="AT310"/>
  <c r="BA310" s="1"/>
  <c r="BH311" s="1"/>
  <c r="BK311" s="1"/>
  <c r="AT293"/>
  <c r="BA293" s="1"/>
  <c r="BH294" s="1"/>
  <c r="BK294" s="1"/>
  <c r="AT299"/>
  <c r="BA299" s="1"/>
  <c r="BH300" s="1"/>
  <c r="BK300" s="1"/>
  <c r="AT194"/>
  <c r="BA194" s="1"/>
  <c r="BH195" s="1"/>
  <c r="BK195" s="1"/>
  <c r="AT347"/>
  <c r="BA347" s="1"/>
  <c r="BH348" s="1"/>
  <c r="BK348" s="1"/>
  <c r="AT273"/>
  <c r="BA273" s="1"/>
  <c r="BH274" s="1"/>
  <c r="BK274" s="1"/>
  <c r="AT318"/>
  <c r="BA318" s="1"/>
  <c r="BH319" s="1"/>
  <c r="BK319" s="1"/>
  <c r="AT220"/>
  <c r="BA220" s="1"/>
  <c r="BH221" s="1"/>
  <c r="BK221" s="1"/>
  <c r="AT284"/>
  <c r="BA284" s="1"/>
  <c r="BH285" s="1"/>
  <c r="BK285" s="1"/>
  <c r="AT287"/>
  <c r="BA287" s="1"/>
  <c r="BH288" s="1"/>
  <c r="BK288" s="1"/>
  <c r="AT188"/>
  <c r="BA188" s="1"/>
  <c r="BH189" s="1"/>
  <c r="BK189" s="1"/>
  <c r="AT257"/>
  <c r="BA257" s="1"/>
  <c r="BH258" s="1"/>
  <c r="BK258" s="1"/>
  <c r="AT224"/>
  <c r="BA224" s="1"/>
  <c r="BH225" s="1"/>
  <c r="BK225" s="1"/>
  <c r="AT234"/>
  <c r="BA234" s="1"/>
  <c r="BH235" s="1"/>
  <c r="BK235" s="1"/>
  <c r="AT327"/>
  <c r="BA327" s="1"/>
  <c r="BH328" s="1"/>
  <c r="BK328" s="1"/>
  <c r="AT296"/>
  <c r="BA296" s="1"/>
  <c r="BH297" s="1"/>
  <c r="BK297" s="1"/>
  <c r="AT307"/>
  <c r="BA307" s="1"/>
  <c r="BH308" s="1"/>
  <c r="BK308" s="1"/>
  <c r="AT210"/>
  <c r="BA210" s="1"/>
  <c r="BH211" s="1"/>
  <c r="BK211" s="1"/>
  <c r="AT276"/>
  <c r="BA276" s="1"/>
  <c r="BH277" s="1"/>
  <c r="BK277" s="1"/>
  <c r="AT288"/>
  <c r="BA288" s="1"/>
  <c r="BH289" s="1"/>
  <c r="BK289" s="1"/>
  <c r="AT343"/>
  <c r="BA343" s="1"/>
  <c r="BH344" s="1"/>
  <c r="BK344" s="1"/>
  <c r="AT229"/>
  <c r="BA229" s="1"/>
  <c r="BH230" s="1"/>
  <c r="BK230" s="1"/>
  <c r="AT195"/>
  <c r="BA195" s="1"/>
  <c r="BH196" s="1"/>
  <c r="BK196" s="1"/>
  <c r="AT211"/>
  <c r="BA211" s="1"/>
  <c r="BH212" s="1"/>
  <c r="BK212" s="1"/>
  <c r="AT280"/>
  <c r="BA280" s="1"/>
  <c r="BH281" s="1"/>
  <c r="BK281" s="1"/>
  <c r="AT203"/>
  <c r="BA203" s="1"/>
  <c r="BH204" s="1"/>
  <c r="BK204" s="1"/>
  <c r="AT217"/>
  <c r="BA217" s="1"/>
  <c r="BH218" s="1"/>
  <c r="BK218" s="1"/>
  <c r="AT228"/>
  <c r="BA228" s="1"/>
  <c r="BH229" s="1"/>
  <c r="BK229" s="1"/>
  <c r="AT297"/>
  <c r="BA297" s="1"/>
  <c r="BH298" s="1"/>
  <c r="BK298" s="1"/>
  <c r="AT342"/>
  <c r="BA342" s="1"/>
  <c r="BH343" s="1"/>
  <c r="BK343" s="1"/>
  <c r="AT215"/>
  <c r="BA215" s="1"/>
  <c r="BH216" s="1"/>
  <c r="BK216" s="1"/>
  <c r="AT231"/>
  <c r="BA231" s="1"/>
  <c r="BH232" s="1"/>
  <c r="BK232" s="1"/>
  <c r="AT300"/>
  <c r="BA300" s="1"/>
  <c r="BH301" s="1"/>
  <c r="BK301" s="1"/>
  <c r="AT268"/>
  <c r="BA268" s="1"/>
  <c r="BH269" s="1"/>
  <c r="BK269" s="1"/>
  <c r="AT270"/>
  <c r="BA270" s="1"/>
  <c r="BH271" s="1"/>
  <c r="BK271" s="1"/>
  <c r="AT315"/>
  <c r="BA315" s="1"/>
  <c r="BH316" s="1"/>
  <c r="BK316" s="1"/>
  <c r="AT294"/>
  <c r="BA294" s="1"/>
  <c r="BH295" s="1"/>
  <c r="BK295" s="1"/>
  <c r="AT340"/>
  <c r="BA340" s="1"/>
  <c r="BH341" s="1"/>
  <c r="BK341" s="1"/>
  <c r="AT209"/>
  <c r="BA209" s="1"/>
  <c r="BH210" s="1"/>
  <c r="BK210" s="1"/>
  <c r="AT350"/>
  <c r="BA350" s="1"/>
  <c r="BH351" s="1"/>
  <c r="BK351" s="1"/>
  <c r="AT262"/>
  <c r="BA262" s="1"/>
  <c r="BH263" s="1"/>
  <c r="BK263" s="1"/>
  <c r="AT222"/>
  <c r="BA222" s="1"/>
  <c r="BH223" s="1"/>
  <c r="BK223" s="1"/>
  <c r="AT214"/>
  <c r="BA214" s="1"/>
  <c r="BH215" s="1"/>
  <c r="BK215" s="1"/>
  <c r="AT308"/>
  <c r="BA308" s="1"/>
  <c r="BH309" s="1"/>
  <c r="BK309" s="1"/>
  <c r="AT248"/>
  <c r="BA248" s="1"/>
  <c r="BH249" s="1"/>
  <c r="BK249" s="1"/>
  <c r="AT261"/>
  <c r="BA261" s="1"/>
  <c r="BH262" s="1"/>
  <c r="BK262" s="1"/>
  <c r="AT192"/>
  <c r="BA192" s="1"/>
  <c r="BH193" s="1"/>
  <c r="BK193" s="1"/>
  <c r="AT344"/>
  <c r="BA344" s="1"/>
  <c r="BH345" s="1"/>
  <c r="BK345" s="1"/>
  <c r="AT242"/>
  <c r="BA242" s="1"/>
  <c r="BH243" s="1"/>
  <c r="BK243" s="1"/>
  <c r="AT230"/>
  <c r="BA230" s="1"/>
  <c r="BH231" s="1"/>
  <c r="BK231" s="1"/>
  <c r="AT125"/>
  <c r="BA125" s="1"/>
  <c r="BH126" s="1"/>
  <c r="BK126" s="1"/>
  <c r="AT147"/>
  <c r="BA147" s="1"/>
  <c r="BH148" s="1"/>
  <c r="BK148" s="1"/>
  <c r="AT184"/>
  <c r="BA184" s="1"/>
  <c r="BH185" s="1"/>
  <c r="BK185" s="1"/>
  <c r="AT141"/>
  <c r="BA141" s="1"/>
  <c r="BH142" s="1"/>
  <c r="BK142" s="1"/>
  <c r="AT169"/>
  <c r="BA169" s="1"/>
  <c r="BH170" s="1"/>
  <c r="BK170" s="1"/>
  <c r="AT158"/>
  <c r="BA158" s="1"/>
  <c r="BH159" s="1"/>
  <c r="BK159" s="1"/>
  <c r="AT146"/>
  <c r="BA146" s="1"/>
  <c r="BH147" s="1"/>
  <c r="BK147" s="1"/>
  <c r="AT149"/>
  <c r="BA149" s="1"/>
  <c r="BH150" s="1"/>
  <c r="BK150" s="1"/>
  <c r="AT156"/>
  <c r="BA156" s="1"/>
  <c r="BH157" s="1"/>
  <c r="BK157" s="1"/>
  <c r="AT133"/>
  <c r="BA133" s="1"/>
  <c r="BH134" s="1"/>
  <c r="BK134" s="1"/>
  <c r="AT145"/>
  <c r="BA145" s="1"/>
  <c r="BH146" s="1"/>
  <c r="BK146" s="1"/>
  <c r="AT142"/>
  <c r="BA142" s="1"/>
  <c r="BH143" s="1"/>
  <c r="BK143" s="1"/>
  <c r="AT78"/>
  <c r="BA78" s="1"/>
  <c r="BH79" s="1"/>
  <c r="BK79" s="1"/>
  <c r="AT84"/>
  <c r="BA84" s="1"/>
  <c r="BH85" s="1"/>
  <c r="BK85" s="1"/>
  <c r="AT114"/>
  <c r="BA114" s="1"/>
  <c r="BH115" s="1"/>
  <c r="BK115" s="1"/>
  <c r="AT77"/>
  <c r="BA77" s="1"/>
  <c r="BH78" s="1"/>
  <c r="BK78" s="1"/>
  <c r="AT51"/>
  <c r="BA51" s="1"/>
  <c r="BH52" s="1"/>
  <c r="BK52" s="1"/>
  <c r="AT86"/>
  <c r="BA86" s="1"/>
  <c r="BH87" s="1"/>
  <c r="BK87" s="1"/>
  <c r="AT70"/>
  <c r="BA70" s="1"/>
  <c r="BH71" s="1"/>
  <c r="BK71" s="1"/>
  <c r="AT81"/>
  <c r="BA81" s="1"/>
  <c r="BH82" s="1"/>
  <c r="BK82" s="1"/>
  <c r="AT110"/>
  <c r="BA110" s="1"/>
  <c r="BH111" s="1"/>
  <c r="BK111" s="1"/>
  <c r="AT56"/>
  <c r="BA56" s="1"/>
  <c r="BH57" s="1"/>
  <c r="BK57" s="1"/>
  <c r="AT94"/>
  <c r="BA94" s="1"/>
  <c r="BH95" s="1"/>
  <c r="BK95" s="1"/>
  <c r="AT80"/>
  <c r="BA80" s="1"/>
  <c r="BH81" s="1"/>
  <c r="BK81" s="1"/>
  <c r="AT87"/>
  <c r="BA87" s="1"/>
  <c r="BH88" s="1"/>
  <c r="BK88" s="1"/>
  <c r="AT187"/>
  <c r="BA187" s="1"/>
  <c r="BH188" s="1"/>
  <c r="BK188" s="1"/>
  <c r="AT164"/>
  <c r="BA164" s="1"/>
  <c r="BH165" s="1"/>
  <c r="BK165" s="1"/>
  <c r="AT173"/>
  <c r="BA173" s="1"/>
  <c r="BH174" s="1"/>
  <c r="BK174" s="1"/>
  <c r="AT138"/>
  <c r="BA138" s="1"/>
  <c r="BH139" s="1"/>
  <c r="BK139" s="1"/>
  <c r="AT176"/>
  <c r="BA176" s="1"/>
  <c r="BH177" s="1"/>
  <c r="BK177" s="1"/>
  <c r="AT131"/>
  <c r="BA131" s="1"/>
  <c r="BH132" s="1"/>
  <c r="BK132" s="1"/>
  <c r="AT175"/>
  <c r="BA175" s="1"/>
  <c r="BH176" s="1"/>
  <c r="BK176" s="1"/>
  <c r="AT170"/>
  <c r="BA170" s="1"/>
  <c r="BH171" s="1"/>
  <c r="BK171" s="1"/>
  <c r="AT167"/>
  <c r="BA167" s="1"/>
  <c r="BH168" s="1"/>
  <c r="BK168" s="1"/>
  <c r="AT144"/>
  <c r="BA144" s="1"/>
  <c r="BH145" s="1"/>
  <c r="BK145" s="1"/>
  <c r="AT165"/>
  <c r="BA165" s="1"/>
  <c r="BH166" s="1"/>
  <c r="BK166" s="1"/>
  <c r="AT178"/>
  <c r="BA178" s="1"/>
  <c r="BH179" s="1"/>
  <c r="BK179" s="1"/>
  <c r="AT74"/>
  <c r="BA74" s="1"/>
  <c r="BH75" s="1"/>
  <c r="BK75" s="1"/>
  <c r="AT72"/>
  <c r="BA72" s="1"/>
  <c r="BH73" s="1"/>
  <c r="BK73" s="1"/>
  <c r="AT117"/>
  <c r="BA117" s="1"/>
  <c r="BH118" s="1"/>
  <c r="BK118" s="1"/>
  <c r="AT92"/>
  <c r="BA92" s="1"/>
  <c r="BH93" s="1"/>
  <c r="BK93" s="1"/>
  <c r="AT103"/>
  <c r="BA103" s="1"/>
  <c r="BH104" s="1"/>
  <c r="BK104" s="1"/>
  <c r="AT73"/>
  <c r="BA73" s="1"/>
  <c r="BH74" s="1"/>
  <c r="BK74" s="1"/>
  <c r="AT83"/>
  <c r="BA83" s="1"/>
  <c r="BH84" s="1"/>
  <c r="BK84" s="1"/>
  <c r="AT104"/>
  <c r="BA104" s="1"/>
  <c r="BH105" s="1"/>
  <c r="BK105" s="1"/>
  <c r="AT95"/>
  <c r="BA95" s="1"/>
  <c r="BH96" s="1"/>
  <c r="BK96" s="1"/>
  <c r="AT42"/>
  <c r="BA42" s="1"/>
  <c r="BH43" s="1"/>
  <c r="BK43" s="1"/>
  <c r="AT97"/>
  <c r="BA97" s="1"/>
  <c r="BH98" s="1"/>
  <c r="BK98" s="1"/>
  <c r="AT59"/>
  <c r="BA59" s="1"/>
  <c r="BH60" s="1"/>
  <c r="BK60" s="1"/>
  <c r="AT168"/>
  <c r="BA168" s="1"/>
  <c r="BH169" s="1"/>
  <c r="BK169" s="1"/>
  <c r="AT140"/>
  <c r="BA140" s="1"/>
  <c r="BH141" s="1"/>
  <c r="BK141" s="1"/>
  <c r="AT148"/>
  <c r="BA148" s="1"/>
  <c r="BH149" s="1"/>
  <c r="BK149" s="1"/>
  <c r="AT111"/>
  <c r="BA111" s="1"/>
  <c r="BH112" s="1"/>
  <c r="BK112" s="1"/>
  <c r="AT101"/>
  <c r="BA101" s="1"/>
  <c r="BH102" s="1"/>
  <c r="BK102" s="1"/>
  <c r="AT69"/>
  <c r="BA69" s="1"/>
  <c r="BH70" s="1"/>
  <c r="BK70" s="1"/>
  <c r="AT113"/>
  <c r="BA113" s="1"/>
  <c r="BH114" s="1"/>
  <c r="BK114" s="1"/>
  <c r="AT82"/>
  <c r="BA82" s="1"/>
  <c r="BH83" s="1"/>
  <c r="BK83" s="1"/>
  <c r="AT102"/>
  <c r="BA102" s="1"/>
  <c r="BH103" s="1"/>
  <c r="BK103" s="1"/>
  <c r="AT90"/>
  <c r="BA90" s="1"/>
  <c r="BH91" s="1"/>
  <c r="BK91" s="1"/>
  <c r="AT50"/>
  <c r="BA50" s="1"/>
  <c r="BH51" s="1"/>
  <c r="BK51" s="1"/>
  <c r="AT88"/>
  <c r="BA88" s="1"/>
  <c r="BH89" s="1"/>
  <c r="BK89" s="1"/>
  <c r="AT183"/>
  <c r="BA183" s="1"/>
  <c r="BH184" s="1"/>
  <c r="BK184" s="1"/>
  <c r="AT174"/>
  <c r="BA174" s="1"/>
  <c r="BH175" s="1"/>
  <c r="BK175" s="1"/>
  <c r="AT166"/>
  <c r="BA166" s="1"/>
  <c r="BH167" s="1"/>
  <c r="BK167" s="1"/>
  <c r="AT85"/>
  <c r="BA85" s="1"/>
  <c r="BH86" s="1"/>
  <c r="BK86" s="1"/>
  <c r="AT47"/>
  <c r="BA47" s="1"/>
  <c r="BH48" s="1"/>
  <c r="BK48" s="1"/>
  <c r="AT79"/>
  <c r="BA79" s="1"/>
  <c r="BH80" s="1"/>
  <c r="BK80" s="1"/>
  <c r="AT98"/>
  <c r="BA98" s="1"/>
  <c r="BH99" s="1"/>
  <c r="BK99" s="1"/>
  <c r="AT49"/>
  <c r="BA49" s="1"/>
  <c r="BH50" s="1"/>
  <c r="BK50" s="1"/>
  <c r="AT64"/>
  <c r="BA64" s="1"/>
  <c r="BH65" s="1"/>
  <c r="BK65" s="1"/>
  <c r="AT45"/>
  <c r="BA45" s="1"/>
  <c r="BH46" s="1"/>
  <c r="BK46" s="1"/>
  <c r="AT105"/>
  <c r="BA105" s="1"/>
  <c r="BH106" s="1"/>
  <c r="BK106" s="1"/>
  <c r="AT162"/>
  <c r="BA162" s="1"/>
  <c r="BH163" s="1"/>
  <c r="BK163" s="1"/>
  <c r="AT107"/>
  <c r="BA107" s="1"/>
  <c r="BH108" s="1"/>
  <c r="BK108" s="1"/>
  <c r="AT44"/>
  <c r="BA44" s="1"/>
  <c r="BH45" s="1"/>
  <c r="BK45" s="1"/>
  <c r="AT186"/>
  <c r="BA186" s="1"/>
  <c r="BH187" s="1"/>
  <c r="BK187" s="1"/>
  <c r="AT152"/>
  <c r="BA152" s="1"/>
  <c r="BH153" s="1"/>
  <c r="BK153" s="1"/>
  <c r="AT185"/>
  <c r="BA185" s="1"/>
  <c r="BH186" s="1"/>
  <c r="BK186" s="1"/>
  <c r="AT123"/>
  <c r="BA123" s="1"/>
  <c r="BH124" s="1"/>
  <c r="BK124" s="1"/>
  <c r="AT172"/>
  <c r="BA172" s="1"/>
  <c r="BH173" s="1"/>
  <c r="BK173" s="1"/>
  <c r="AT118"/>
  <c r="BA118" s="1"/>
  <c r="BH119" s="1"/>
  <c r="BK119" s="1"/>
  <c r="AT122"/>
  <c r="BA122" s="1"/>
  <c r="BH123" s="1"/>
  <c r="BK123" s="1"/>
  <c r="AT120"/>
  <c r="BA120" s="1"/>
  <c r="BH121" s="1"/>
  <c r="BK121" s="1"/>
  <c r="AT61"/>
  <c r="BA61" s="1"/>
  <c r="BH62" s="1"/>
  <c r="BK62" s="1"/>
  <c r="AT65"/>
  <c r="BA65" s="1"/>
  <c r="BH66" s="1"/>
  <c r="BK66" s="1"/>
  <c r="AT115"/>
  <c r="BA115" s="1"/>
  <c r="BH116" s="1"/>
  <c r="BK116" s="1"/>
  <c r="AT151"/>
  <c r="BA151" s="1"/>
  <c r="BH152" s="1"/>
  <c r="BK152" s="1"/>
  <c r="AT155"/>
  <c r="BA155" s="1"/>
  <c r="BH156" s="1"/>
  <c r="BK156" s="1"/>
  <c r="AT116"/>
  <c r="BA116" s="1"/>
  <c r="BH117" s="1"/>
  <c r="BK117" s="1"/>
  <c r="AT96"/>
  <c r="BA96" s="1"/>
  <c r="BH97" s="1"/>
  <c r="BK97" s="1"/>
  <c r="AT68"/>
  <c r="BA68" s="1"/>
  <c r="BH69" s="1"/>
  <c r="BK69" s="1"/>
  <c r="AT93"/>
  <c r="BA93" s="1"/>
  <c r="BH94" s="1"/>
  <c r="BK94" s="1"/>
  <c r="AT52"/>
  <c r="BA52" s="1"/>
  <c r="BH53" s="1"/>
  <c r="BK53" s="1"/>
  <c r="AT57"/>
  <c r="BA57" s="1"/>
  <c r="BH58" s="1"/>
  <c r="BK58" s="1"/>
  <c r="AT106"/>
  <c r="BA106" s="1"/>
  <c r="BH107" s="1"/>
  <c r="BK107" s="1"/>
  <c r="AT99"/>
  <c r="BA99" s="1"/>
  <c r="BH100" s="1"/>
  <c r="BK100" s="1"/>
  <c r="AT121"/>
  <c r="BA121" s="1"/>
  <c r="BH122" s="1"/>
  <c r="BK122" s="1"/>
  <c r="AT159"/>
  <c r="BA159" s="1"/>
  <c r="BH160" s="1"/>
  <c r="BK160" s="1"/>
  <c r="AT128"/>
  <c r="BA128" s="1"/>
  <c r="BH129" s="1"/>
  <c r="BK129" s="1"/>
  <c r="AT181"/>
  <c r="BA181" s="1"/>
  <c r="BH182" s="1"/>
  <c r="BK182" s="1"/>
  <c r="AT161"/>
  <c r="BA161" s="1"/>
  <c r="BH162" s="1"/>
  <c r="BK162" s="1"/>
  <c r="AT43"/>
  <c r="BA43" s="1"/>
  <c r="BH44" s="1"/>
  <c r="BK44" s="1"/>
  <c r="AT108"/>
  <c r="BA108" s="1"/>
  <c r="BH109" s="1"/>
  <c r="BK109" s="1"/>
  <c r="AT163"/>
  <c r="BA163" s="1"/>
  <c r="BH164" s="1"/>
  <c r="BK164" s="1"/>
  <c r="AT135"/>
  <c r="BA135" s="1"/>
  <c r="BH136" s="1"/>
  <c r="BK136" s="1"/>
  <c r="AT119"/>
  <c r="BA119" s="1"/>
  <c r="BH120" s="1"/>
  <c r="BK120" s="1"/>
  <c r="AT134"/>
  <c r="BA134" s="1"/>
  <c r="BH135" s="1"/>
  <c r="BK135" s="1"/>
  <c r="AT137"/>
  <c r="BA137" s="1"/>
  <c r="BH138" s="1"/>
  <c r="BK138" s="1"/>
  <c r="AT180"/>
  <c r="BA180" s="1"/>
  <c r="BH181" s="1"/>
  <c r="BK181" s="1"/>
  <c r="AT132"/>
  <c r="BA132" s="1"/>
  <c r="BH133" s="1"/>
  <c r="BK133" s="1"/>
  <c r="AT153"/>
  <c r="BA153" s="1"/>
  <c r="BH154" s="1"/>
  <c r="BK154" s="1"/>
  <c r="AT157"/>
  <c r="BA157" s="1"/>
  <c r="BH158" s="1"/>
  <c r="BK158" s="1"/>
  <c r="AT182"/>
  <c r="BA182" s="1"/>
  <c r="BH183" s="1"/>
  <c r="BK183" s="1"/>
  <c r="AT139"/>
  <c r="BA139" s="1"/>
  <c r="BH140" s="1"/>
  <c r="BK140" s="1"/>
  <c r="AT171"/>
  <c r="BA171" s="1"/>
  <c r="BH172" s="1"/>
  <c r="BK172" s="1"/>
  <c r="AT54"/>
  <c r="BA54" s="1"/>
  <c r="BH55" s="1"/>
  <c r="BK55" s="1"/>
  <c r="AT53"/>
  <c r="BA53" s="1"/>
  <c r="BH54" s="1"/>
  <c r="BK54" s="1"/>
  <c r="AT89"/>
  <c r="BA89" s="1"/>
  <c r="BH90" s="1"/>
  <c r="BK90" s="1"/>
  <c r="AT60"/>
  <c r="BA60" s="1"/>
  <c r="BH61" s="1"/>
  <c r="BK61" s="1"/>
  <c r="AT46"/>
  <c r="BA46" s="1"/>
  <c r="BH47" s="1"/>
  <c r="BK47" s="1"/>
  <c r="AT67"/>
  <c r="BA67" s="1"/>
  <c r="BH68" s="1"/>
  <c r="BK68" s="1"/>
  <c r="AT75"/>
  <c r="BA75" s="1"/>
  <c r="BH76" s="1"/>
  <c r="BK76" s="1"/>
  <c r="AT154"/>
  <c r="BA154" s="1"/>
  <c r="BH155" s="1"/>
  <c r="BK155" s="1"/>
  <c r="AT177"/>
  <c r="BA177" s="1"/>
  <c r="BH178" s="1"/>
  <c r="BK178" s="1"/>
  <c r="AT129"/>
  <c r="BA129" s="1"/>
  <c r="BH130" s="1"/>
  <c r="BK130" s="1"/>
  <c r="AT143"/>
  <c r="BA143" s="1"/>
  <c r="BH144" s="1"/>
  <c r="BK144" s="1"/>
  <c r="AT160"/>
  <c r="BA160" s="1"/>
  <c r="BH161" s="1"/>
  <c r="BK161" s="1"/>
  <c r="AT179"/>
  <c r="BA179" s="1"/>
  <c r="BH180" s="1"/>
  <c r="BK180" s="1"/>
  <c r="AT126"/>
  <c r="BA126" s="1"/>
  <c r="BH127" s="1"/>
  <c r="BK127" s="1"/>
  <c r="AT124"/>
  <c r="BA124" s="1"/>
  <c r="BH125" s="1"/>
  <c r="BK125" s="1"/>
  <c r="AT127"/>
  <c r="BA127" s="1"/>
  <c r="BH128" s="1"/>
  <c r="BK128" s="1"/>
  <c r="AT150"/>
  <c r="BA150" s="1"/>
  <c r="BH151" s="1"/>
  <c r="BK151" s="1"/>
  <c r="AT136"/>
  <c r="BA136" s="1"/>
  <c r="BH137" s="1"/>
  <c r="BK137" s="1"/>
  <c r="AT130"/>
  <c r="BA130" s="1"/>
  <c r="BH131" s="1"/>
  <c r="BK131" s="1"/>
  <c r="AT58"/>
  <c r="BA58" s="1"/>
  <c r="BH59" s="1"/>
  <c r="BK59" s="1"/>
  <c r="AT109"/>
  <c r="BA109" s="1"/>
  <c r="BH110" s="1"/>
  <c r="BK110" s="1"/>
  <c r="AT71"/>
  <c r="BA71" s="1"/>
  <c r="BH72" s="1"/>
  <c r="BK72" s="1"/>
  <c r="AT55"/>
  <c r="BA55" s="1"/>
  <c r="BH56" s="1"/>
  <c r="BK56" s="1"/>
  <c r="AT91"/>
  <c r="BA91" s="1"/>
  <c r="BH92" s="1"/>
  <c r="BK92" s="1"/>
  <c r="AT100"/>
  <c r="BA100" s="1"/>
  <c r="BH101" s="1"/>
  <c r="BK101" s="1"/>
  <c r="AT76"/>
  <c r="BA76" s="1"/>
  <c r="BH77" s="1"/>
  <c r="BK77" s="1"/>
  <c r="AT63"/>
  <c r="BA63" s="1"/>
  <c r="BH64" s="1"/>
  <c r="BK64" s="1"/>
  <c r="AT48"/>
  <c r="BA48" s="1"/>
  <c r="BH49" s="1"/>
  <c r="BK49" s="1"/>
  <c r="AT112"/>
  <c r="BA112" s="1"/>
  <c r="BH113" s="1"/>
  <c r="BK113" s="1"/>
  <c r="AT66"/>
  <c r="BA66" s="1"/>
  <c r="BH67" s="1"/>
  <c r="BK67" s="1"/>
  <c r="AT62"/>
  <c r="BA62" s="1"/>
  <c r="BH63" s="1"/>
  <c r="BK63" s="1"/>
  <c r="AW334"/>
  <c r="AM334"/>
  <c r="AW193"/>
  <c r="AM193"/>
  <c r="AW206"/>
  <c r="AM206"/>
  <c r="AW283"/>
  <c r="AM283"/>
  <c r="AW311"/>
  <c r="AM311"/>
  <c r="AW235"/>
  <c r="AM235"/>
  <c r="AW269"/>
  <c r="AM269"/>
  <c r="AW303"/>
  <c r="AM303"/>
  <c r="AW348"/>
  <c r="AM348"/>
  <c r="AW338"/>
  <c r="AM338"/>
  <c r="AW232"/>
  <c r="AM232"/>
  <c r="AW223"/>
  <c r="AM223"/>
  <c r="AW341"/>
  <c r="AM341"/>
  <c r="AW272"/>
  <c r="AM272"/>
  <c r="AW221"/>
  <c r="AM221"/>
  <c r="AW246"/>
  <c r="AM246"/>
  <c r="AW320"/>
  <c r="AM320"/>
  <c r="AW245"/>
  <c r="AM245"/>
  <c r="AW226"/>
  <c r="AM226"/>
  <c r="AW333"/>
  <c r="AM333"/>
  <c r="AW204"/>
  <c r="AM204"/>
  <c r="AW349"/>
  <c r="AM349"/>
  <c r="AW252"/>
  <c r="AM252"/>
  <c r="AW207"/>
  <c r="AM207"/>
  <c r="AW219"/>
  <c r="AM219"/>
  <c r="AW256"/>
  <c r="AM256"/>
  <c r="AW285"/>
  <c r="AM285"/>
  <c r="AW236"/>
  <c r="AM236"/>
  <c r="AW330"/>
  <c r="AM330"/>
  <c r="AW271"/>
  <c r="AM271"/>
  <c r="AW202"/>
  <c r="AM202"/>
  <c r="AW278"/>
  <c r="AM278"/>
  <c r="AW212"/>
  <c r="AM212"/>
  <c r="AW291"/>
  <c r="AM291"/>
  <c r="AW253"/>
  <c r="AM253"/>
  <c r="AW329"/>
  <c r="AM329"/>
  <c r="AW266"/>
  <c r="AM266"/>
  <c r="AW237"/>
  <c r="AM237"/>
  <c r="AW314"/>
  <c r="AM314"/>
  <c r="AW321"/>
  <c r="AM321"/>
  <c r="AW218"/>
  <c r="AM218"/>
  <c r="AW243"/>
  <c r="AM243"/>
  <c r="AW255"/>
  <c r="AM255"/>
  <c r="AW328"/>
  <c r="AM328"/>
  <c r="AW233"/>
  <c r="AM233"/>
  <c r="AW205"/>
  <c r="AM205"/>
  <c r="AW281"/>
  <c r="AM281"/>
  <c r="AW309"/>
  <c r="AM309"/>
  <c r="AW352"/>
  <c r="AM352"/>
  <c r="AW331"/>
  <c r="AM331"/>
  <c r="AW292"/>
  <c r="AM292"/>
  <c r="AW249"/>
  <c r="AM249"/>
  <c r="AW213"/>
  <c r="AM213"/>
  <c r="AW197"/>
  <c r="AM197"/>
  <c r="AW267"/>
  <c r="AM267"/>
  <c r="AW208"/>
  <c r="AM208"/>
  <c r="AW345"/>
  <c r="AM345"/>
  <c r="AW254"/>
  <c r="AM254"/>
  <c r="AW332"/>
  <c r="AM332"/>
  <c r="AW239"/>
  <c r="AM239"/>
  <c r="AW240"/>
  <c r="AM240"/>
  <c r="AW196"/>
  <c r="AM196"/>
  <c r="AW312"/>
  <c r="AM312"/>
  <c r="AW319"/>
  <c r="AM319"/>
  <c r="AW305"/>
  <c r="AM305"/>
  <c r="AW199"/>
  <c r="AM199"/>
  <c r="AW335"/>
  <c r="AM335"/>
  <c r="AW353"/>
  <c r="AM353"/>
  <c r="AW289"/>
  <c r="AM289"/>
  <c r="AW346"/>
  <c r="AM346"/>
  <c r="AW316"/>
  <c r="AM316"/>
  <c r="AW265"/>
  <c r="AM265"/>
  <c r="AW298"/>
  <c r="AM298"/>
  <c r="AW227"/>
  <c r="AM227"/>
  <c r="AW258"/>
  <c r="AM258"/>
  <c r="AW201"/>
  <c r="AM201"/>
  <c r="AW326"/>
  <c r="AM326"/>
  <c r="AW323"/>
  <c r="AM323"/>
  <c r="AW189"/>
  <c r="AM189"/>
  <c r="AW336"/>
  <c r="AM336"/>
  <c r="AW275"/>
  <c r="AM275"/>
  <c r="AW260"/>
  <c r="AM260"/>
  <c r="AW324"/>
  <c r="AM324"/>
  <c r="AW306"/>
  <c r="AM306"/>
  <c r="AW200"/>
  <c r="AM200"/>
  <c r="AW286"/>
  <c r="AM286"/>
  <c r="AW302"/>
  <c r="AM302"/>
  <c r="AW263"/>
  <c r="AM263"/>
  <c r="AW325"/>
  <c r="AM325"/>
  <c r="AW304"/>
  <c r="AM304"/>
  <c r="AW259"/>
  <c r="AM259"/>
  <c r="AW337"/>
  <c r="AM337"/>
  <c r="AW290"/>
  <c r="AM290"/>
  <c r="AW238"/>
  <c r="AM238"/>
  <c r="AW339"/>
  <c r="AM339"/>
  <c r="AW322"/>
  <c r="AM322"/>
  <c r="AW247"/>
  <c r="AM247"/>
  <c r="AW282"/>
  <c r="AM282"/>
  <c r="AW279"/>
  <c r="AM279"/>
  <c r="AW198"/>
  <c r="AM198"/>
  <c r="AW308"/>
  <c r="AM308"/>
  <c r="AW248"/>
  <c r="AM248"/>
  <c r="AW261"/>
  <c r="AM261"/>
  <c r="AW344"/>
  <c r="AM344"/>
  <c r="AW318"/>
  <c r="AM318"/>
  <c r="AW242"/>
  <c r="AM242"/>
  <c r="AW230"/>
  <c r="AM230"/>
  <c r="AW225"/>
  <c r="AM225"/>
  <c r="AW241"/>
  <c r="AM241"/>
  <c r="AW234"/>
  <c r="AM234"/>
  <c r="AW277"/>
  <c r="AM277"/>
  <c r="AW280"/>
  <c r="AM280"/>
  <c r="AW203"/>
  <c r="AM203"/>
  <c r="AW351"/>
  <c r="AM351"/>
  <c r="AW215"/>
  <c r="AM215"/>
  <c r="AW301"/>
  <c r="AM301"/>
  <c r="AW313"/>
  <c r="AM313"/>
  <c r="AW295"/>
  <c r="AM295"/>
  <c r="AW268"/>
  <c r="AM268"/>
  <c r="AW210"/>
  <c r="AM210"/>
  <c r="AW276"/>
  <c r="AM276"/>
  <c r="AW288"/>
  <c r="AM288"/>
  <c r="AW194"/>
  <c r="AM194"/>
  <c r="AW340"/>
  <c r="AM340"/>
  <c r="AW209"/>
  <c r="AM209"/>
  <c r="AW273"/>
  <c r="AM273"/>
  <c r="AW262"/>
  <c r="AM262"/>
  <c r="AW284"/>
  <c r="AM284"/>
  <c r="AW188"/>
  <c r="AM188"/>
  <c r="AW228"/>
  <c r="AM228"/>
  <c r="AW342"/>
  <c r="AM342"/>
  <c r="AW300"/>
  <c r="AM300"/>
  <c r="AW214"/>
  <c r="AM214"/>
  <c r="AW224"/>
  <c r="AM224"/>
  <c r="AW270"/>
  <c r="AM270"/>
  <c r="AW294"/>
  <c r="AM294"/>
  <c r="AW327"/>
  <c r="AM327"/>
  <c r="AW296"/>
  <c r="AM296"/>
  <c r="AW222"/>
  <c r="AM222"/>
  <c r="AW307"/>
  <c r="AM307"/>
  <c r="AW274"/>
  <c r="AM274"/>
  <c r="AW317"/>
  <c r="AM317"/>
  <c r="AW251"/>
  <c r="AM251"/>
  <c r="AW191"/>
  <c r="AM191"/>
  <c r="AW190"/>
  <c r="AM190"/>
  <c r="AW343"/>
  <c r="AM343"/>
  <c r="AW244"/>
  <c r="AM244"/>
  <c r="AW229"/>
  <c r="AM229"/>
  <c r="AW192"/>
  <c r="AM192"/>
  <c r="AW195"/>
  <c r="AM195"/>
  <c r="AW250"/>
  <c r="AM250"/>
  <c r="AW211"/>
  <c r="AM211"/>
  <c r="AW217"/>
  <c r="AM217"/>
  <c r="AW297"/>
  <c r="AM297"/>
  <c r="AW231"/>
  <c r="AM231"/>
  <c r="AW310"/>
  <c r="AM310"/>
  <c r="AW264"/>
  <c r="AM264"/>
  <c r="AW293"/>
  <c r="AM293"/>
  <c r="AW315"/>
  <c r="AM315"/>
  <c r="AW299"/>
  <c r="AM299"/>
  <c r="AW347"/>
  <c r="AM347"/>
  <c r="AW216"/>
  <c r="AM216"/>
  <c r="AW350"/>
  <c r="AM350"/>
  <c r="AW220"/>
  <c r="AM220"/>
  <c r="AW287"/>
  <c r="AM287"/>
  <c r="AW257"/>
  <c r="AM257"/>
  <c r="AW187"/>
  <c r="AM187"/>
  <c r="AW121"/>
  <c r="AM121"/>
  <c r="AW128"/>
  <c r="AM128"/>
  <c r="AW169"/>
  <c r="AM169"/>
  <c r="AW136"/>
  <c r="AM136"/>
  <c r="AW142"/>
  <c r="AM142"/>
  <c r="AW173"/>
  <c r="AM173"/>
  <c r="AW185"/>
  <c r="AM185"/>
  <c r="AW160"/>
  <c r="AM160"/>
  <c r="AW132"/>
  <c r="AM132"/>
  <c r="AW174"/>
  <c r="AM174"/>
  <c r="AW118"/>
  <c r="AM118"/>
  <c r="AW167"/>
  <c r="AM167"/>
  <c r="AW104"/>
  <c r="AM104"/>
  <c r="AW74"/>
  <c r="AM74"/>
  <c r="AW56"/>
  <c r="AM56"/>
  <c r="AW117"/>
  <c r="AM117"/>
  <c r="AW62"/>
  <c r="AM62"/>
  <c r="AW63"/>
  <c r="AM63"/>
  <c r="AW59"/>
  <c r="AM59"/>
  <c r="AW110"/>
  <c r="AM110"/>
  <c r="AW79"/>
  <c r="AM79"/>
  <c r="AW163"/>
  <c r="AM163"/>
  <c r="AW186"/>
  <c r="AM186"/>
  <c r="AW176"/>
  <c r="AM176"/>
  <c r="AW158"/>
  <c r="AM158"/>
  <c r="AW146"/>
  <c r="AM146"/>
  <c r="AW170"/>
  <c r="AM170"/>
  <c r="AW127"/>
  <c r="AM127"/>
  <c r="AW168"/>
  <c r="AM168"/>
  <c r="AW182"/>
  <c r="AM182"/>
  <c r="AW179"/>
  <c r="AM179"/>
  <c r="AW159"/>
  <c r="AM159"/>
  <c r="AW150"/>
  <c r="AM150"/>
  <c r="AW58"/>
  <c r="AM58"/>
  <c r="AW43"/>
  <c r="AM43"/>
  <c r="AW77"/>
  <c r="AM77"/>
  <c r="AW90"/>
  <c r="AM90"/>
  <c r="AW45"/>
  <c r="AM45"/>
  <c r="AW99"/>
  <c r="AM99"/>
  <c r="AW80"/>
  <c r="AM80"/>
  <c r="AW109"/>
  <c r="AM109"/>
  <c r="AW68"/>
  <c r="AM68"/>
  <c r="AW86"/>
  <c r="AM86"/>
  <c r="AW87"/>
  <c r="AM87"/>
  <c r="AW100"/>
  <c r="AM100"/>
  <c r="AW147"/>
  <c r="AM147"/>
  <c r="AW123"/>
  <c r="AM123"/>
  <c r="AW148"/>
  <c r="AM148"/>
  <c r="AW178"/>
  <c r="AM178"/>
  <c r="AW162"/>
  <c r="AM162"/>
  <c r="AW119"/>
  <c r="AM119"/>
  <c r="AW180"/>
  <c r="AM180"/>
  <c r="AW172"/>
  <c r="AM172"/>
  <c r="AW139"/>
  <c r="AM139"/>
  <c r="AW156"/>
  <c r="AM156"/>
  <c r="AW124"/>
  <c r="AM124"/>
  <c r="AW57"/>
  <c r="AM57"/>
  <c r="AW112"/>
  <c r="AM112"/>
  <c r="AW65"/>
  <c r="AM65"/>
  <c r="AW61"/>
  <c r="AM61"/>
  <c r="AW105"/>
  <c r="AM105"/>
  <c r="AW81"/>
  <c r="AM81"/>
  <c r="AW46"/>
  <c r="AM46"/>
  <c r="AW107"/>
  <c r="AM107"/>
  <c r="AW92"/>
  <c r="AM92"/>
  <c r="AW164"/>
  <c r="AM164"/>
  <c r="AW155"/>
  <c r="AM155"/>
  <c r="AW161"/>
  <c r="AM161"/>
  <c r="AW175"/>
  <c r="AM175"/>
  <c r="AW181"/>
  <c r="AM181"/>
  <c r="AW184"/>
  <c r="AM184"/>
  <c r="AW122"/>
  <c r="AM122"/>
  <c r="AW126"/>
  <c r="AM126"/>
  <c r="AW145"/>
  <c r="AM145"/>
  <c r="AW135"/>
  <c r="AM135"/>
  <c r="AW149"/>
  <c r="AM149"/>
  <c r="AW115"/>
  <c r="AM115"/>
  <c r="AW85"/>
  <c r="AM85"/>
  <c r="AW53"/>
  <c r="AM53"/>
  <c r="AW66"/>
  <c r="AM66"/>
  <c r="AW88"/>
  <c r="AM88"/>
  <c r="AW82"/>
  <c r="AM82"/>
  <c r="AW51"/>
  <c r="AM51"/>
  <c r="AW103"/>
  <c r="AM103"/>
  <c r="AW91"/>
  <c r="AM91"/>
  <c r="AW78"/>
  <c r="AM78"/>
  <c r="AW64"/>
  <c r="AM64"/>
  <c r="AW98"/>
  <c r="AM98"/>
  <c r="AW154"/>
  <c r="AM154"/>
  <c r="AW134"/>
  <c r="AM134"/>
  <c r="AW183"/>
  <c r="AM183"/>
  <c r="AW151"/>
  <c r="AM151"/>
  <c r="AW138"/>
  <c r="AM138"/>
  <c r="AW140"/>
  <c r="AM140"/>
  <c r="AW157"/>
  <c r="AM157"/>
  <c r="AW133"/>
  <c r="AM133"/>
  <c r="AW165"/>
  <c r="AM165"/>
  <c r="AW177"/>
  <c r="AM177"/>
  <c r="AW144"/>
  <c r="AM144"/>
  <c r="AW113"/>
  <c r="AM113"/>
  <c r="AW89"/>
  <c r="AM89"/>
  <c r="AW97"/>
  <c r="AM97"/>
  <c r="AW44"/>
  <c r="AM44"/>
  <c r="AW101"/>
  <c r="AM101"/>
  <c r="AW72"/>
  <c r="AM72"/>
  <c r="AW116"/>
  <c r="AM116"/>
  <c r="AW67"/>
  <c r="AM67"/>
  <c r="AW83"/>
  <c r="AM83"/>
  <c r="AW96"/>
  <c r="AM96"/>
  <c r="AW50"/>
  <c r="AM50"/>
  <c r="AW73"/>
  <c r="AM73"/>
  <c r="AW70"/>
  <c r="AM70"/>
  <c r="AW111"/>
  <c r="AM111"/>
  <c r="AW84"/>
  <c r="AM84"/>
  <c r="AW94"/>
  <c r="AM94"/>
  <c r="AW125"/>
  <c r="AM125"/>
  <c r="AW141"/>
  <c r="AM141"/>
  <c r="AW120"/>
  <c r="AM120"/>
  <c r="AW166"/>
  <c r="AM166"/>
  <c r="AW130"/>
  <c r="AM130"/>
  <c r="AW153"/>
  <c r="AM153"/>
  <c r="AW143"/>
  <c r="AM143"/>
  <c r="AW137"/>
  <c r="AM137"/>
  <c r="AW131"/>
  <c r="AM131"/>
  <c r="AW171"/>
  <c r="AM171"/>
  <c r="AW152"/>
  <c r="AM152"/>
  <c r="AW129"/>
  <c r="AM129"/>
  <c r="AW102"/>
  <c r="AM102"/>
  <c r="AW60"/>
  <c r="AM60"/>
  <c r="AW47"/>
  <c r="AM47"/>
  <c r="AW93"/>
  <c r="AM93"/>
  <c r="AW48"/>
  <c r="AM48"/>
  <c r="AW108"/>
  <c r="AM108"/>
  <c r="AW69"/>
  <c r="AM69"/>
  <c r="AW75"/>
  <c r="AM75"/>
  <c r="AW42"/>
  <c r="AM42"/>
  <c r="AW52"/>
  <c r="AM52"/>
  <c r="AW55"/>
  <c r="AM55"/>
  <c r="AW71"/>
  <c r="AM71"/>
  <c r="AW76"/>
  <c r="AM76"/>
  <c r="AW114"/>
  <c r="AM114"/>
  <c r="AW106"/>
  <c r="AM106"/>
  <c r="AW95"/>
  <c r="AM95"/>
  <c r="AW54"/>
  <c r="AM54"/>
  <c r="AW49"/>
  <c r="AM49"/>
  <c r="AX275"/>
  <c r="AX260"/>
  <c r="AX200"/>
  <c r="AX286"/>
  <c r="AX302"/>
  <c r="AX258"/>
  <c r="AX263"/>
  <c r="AX325"/>
  <c r="AX304"/>
  <c r="AX259"/>
  <c r="AX337"/>
  <c r="AX290"/>
  <c r="AX238"/>
  <c r="AX336"/>
  <c r="AX339"/>
  <c r="AX322"/>
  <c r="AX247"/>
  <c r="AX279"/>
  <c r="AX334"/>
  <c r="AX193"/>
  <c r="AX324"/>
  <c r="AX306"/>
  <c r="AX206"/>
  <c r="AX283"/>
  <c r="AX311"/>
  <c r="AX235"/>
  <c r="AX269"/>
  <c r="AX303"/>
  <c r="AX338"/>
  <c r="AX232"/>
  <c r="AX223"/>
  <c r="AX341"/>
  <c r="AX272"/>
  <c r="AX221"/>
  <c r="AX282"/>
  <c r="AX320"/>
  <c r="AX245"/>
  <c r="AX226"/>
  <c r="AX333"/>
  <c r="AX349"/>
  <c r="AX207"/>
  <c r="AX219"/>
  <c r="AX256"/>
  <c r="AX285"/>
  <c r="AX236"/>
  <c r="AX348"/>
  <c r="AX271"/>
  <c r="AX202"/>
  <c r="AX278"/>
  <c r="AX212"/>
  <c r="AX291"/>
  <c r="AX246"/>
  <c r="AX253"/>
  <c r="AX329"/>
  <c r="AX266"/>
  <c r="AX204"/>
  <c r="AX237"/>
  <c r="AX314"/>
  <c r="AX252"/>
  <c r="AX321"/>
  <c r="AX218"/>
  <c r="AX330"/>
  <c r="AX243"/>
  <c r="AX255"/>
  <c r="AX328"/>
  <c r="AX233"/>
  <c r="AX205"/>
  <c r="AX281"/>
  <c r="AX309"/>
  <c r="AX352"/>
  <c r="AX331"/>
  <c r="AX292"/>
  <c r="AX249"/>
  <c r="AX213"/>
  <c r="AX197"/>
  <c r="AX267"/>
  <c r="AX208"/>
  <c r="AX345"/>
  <c r="AX254"/>
  <c r="AX332"/>
  <c r="AX239"/>
  <c r="AX196"/>
  <c r="AX319"/>
  <c r="AX305"/>
  <c r="AX199"/>
  <c r="AX335"/>
  <c r="AX353"/>
  <c r="AX289"/>
  <c r="AX346"/>
  <c r="AX316"/>
  <c r="AX265"/>
  <c r="AX298"/>
  <c r="AX227"/>
  <c r="AX240"/>
  <c r="AX201"/>
  <c r="AX326"/>
  <c r="AX323"/>
  <c r="AX189"/>
  <c r="AX312"/>
  <c r="AX310"/>
  <c r="AX293"/>
  <c r="AX315"/>
  <c r="AX299"/>
  <c r="AX347"/>
  <c r="AX192"/>
  <c r="AX350"/>
  <c r="AX220"/>
  <c r="AX287"/>
  <c r="AX257"/>
  <c r="AX308"/>
  <c r="AX264"/>
  <c r="AX248"/>
  <c r="AX261"/>
  <c r="AX344"/>
  <c r="AX242"/>
  <c r="AX216"/>
  <c r="AX230"/>
  <c r="AX225"/>
  <c r="AX198"/>
  <c r="AX241"/>
  <c r="AX277"/>
  <c r="AX318"/>
  <c r="AX280"/>
  <c r="AX203"/>
  <c r="AX351"/>
  <c r="AX215"/>
  <c r="AX301"/>
  <c r="AX313"/>
  <c r="AX295"/>
  <c r="AX268"/>
  <c r="AX234"/>
  <c r="AX194"/>
  <c r="AX340"/>
  <c r="AX209"/>
  <c r="AX273"/>
  <c r="AX262"/>
  <c r="AX284"/>
  <c r="AX188"/>
  <c r="AX214"/>
  <c r="AX224"/>
  <c r="AX210"/>
  <c r="AX276"/>
  <c r="AX288"/>
  <c r="AX327"/>
  <c r="AX296"/>
  <c r="AX228"/>
  <c r="AX342"/>
  <c r="AX307"/>
  <c r="AX274"/>
  <c r="AX300"/>
  <c r="AX317"/>
  <c r="AX251"/>
  <c r="AX270"/>
  <c r="AX191"/>
  <c r="AX190"/>
  <c r="AX294"/>
  <c r="AX343"/>
  <c r="AX244"/>
  <c r="AX229"/>
  <c r="AX195"/>
  <c r="AX250"/>
  <c r="AX211"/>
  <c r="AX217"/>
  <c r="AX222"/>
  <c r="AX297"/>
  <c r="AX231"/>
  <c r="AX164"/>
  <c r="AX162"/>
  <c r="AX178"/>
  <c r="AX173"/>
  <c r="AX184"/>
  <c r="AX157"/>
  <c r="AX172"/>
  <c r="AX139"/>
  <c r="AX135"/>
  <c r="AX120"/>
  <c r="AX155"/>
  <c r="AX114"/>
  <c r="AX84"/>
  <c r="AX106"/>
  <c r="AX60"/>
  <c r="AX47"/>
  <c r="AX98"/>
  <c r="AX50"/>
  <c r="AX115"/>
  <c r="AX65"/>
  <c r="AX48"/>
  <c r="AX99"/>
  <c r="AX154"/>
  <c r="AX148"/>
  <c r="AX175"/>
  <c r="AX170"/>
  <c r="AX126"/>
  <c r="AX143"/>
  <c r="AX133"/>
  <c r="AX145"/>
  <c r="AX177"/>
  <c r="AX124"/>
  <c r="AX134"/>
  <c r="AX100"/>
  <c r="AX66"/>
  <c r="AX110"/>
  <c r="AX80"/>
  <c r="AX62"/>
  <c r="AX45"/>
  <c r="AX69"/>
  <c r="AX46"/>
  <c r="AX53"/>
  <c r="AX107"/>
  <c r="AX61"/>
  <c r="AX116"/>
  <c r="AX86"/>
  <c r="AX75"/>
  <c r="AX125"/>
  <c r="AX138"/>
  <c r="AX151"/>
  <c r="AX181"/>
  <c r="AX140"/>
  <c r="AX185"/>
  <c r="AX137"/>
  <c r="AX165"/>
  <c r="AX171"/>
  <c r="AX149"/>
  <c r="AX141"/>
  <c r="AX183"/>
  <c r="AX103"/>
  <c r="AX73"/>
  <c r="AX77"/>
  <c r="AX44"/>
  <c r="AX112"/>
  <c r="AX82"/>
  <c r="AX51"/>
  <c r="AX108"/>
  <c r="AX64"/>
  <c r="AX81"/>
  <c r="AX71"/>
  <c r="AX52"/>
  <c r="AX63"/>
  <c r="AX76"/>
  <c r="AX109"/>
  <c r="AX93"/>
  <c r="AX68"/>
  <c r="AX94"/>
  <c r="AX43"/>
  <c r="AX121"/>
  <c r="AX161"/>
  <c r="AX166"/>
  <c r="AX130"/>
  <c r="AX168"/>
  <c r="AX127"/>
  <c r="AX160"/>
  <c r="AX131"/>
  <c r="AX150"/>
  <c r="AX152"/>
  <c r="AX128"/>
  <c r="AX169"/>
  <c r="AX117"/>
  <c r="AX88"/>
  <c r="AX56"/>
  <c r="AX70"/>
  <c r="AX96"/>
  <c r="AX101"/>
  <c r="AX95"/>
  <c r="AX113"/>
  <c r="AX79"/>
  <c r="AX105"/>
  <c r="AX72"/>
  <c r="AX92"/>
  <c r="AX163"/>
  <c r="AX147"/>
  <c r="AX136"/>
  <c r="AX142"/>
  <c r="AX153"/>
  <c r="AX119"/>
  <c r="AX174"/>
  <c r="AX156"/>
  <c r="AX144"/>
  <c r="AX118"/>
  <c r="AX129"/>
  <c r="AX176"/>
  <c r="AX91"/>
  <c r="AX59"/>
  <c r="AX57"/>
  <c r="AX87"/>
  <c r="AX83"/>
  <c r="AX49"/>
  <c r="AX102"/>
  <c r="AX97"/>
  <c r="AX85"/>
  <c r="AX78"/>
  <c r="AX111"/>
  <c r="AX187"/>
  <c r="AX186"/>
  <c r="AX158"/>
  <c r="AX146"/>
  <c r="AX180"/>
  <c r="AX132"/>
  <c r="AX122"/>
  <c r="AX182"/>
  <c r="AX179"/>
  <c r="AX159"/>
  <c r="AX167"/>
  <c r="AX123"/>
  <c r="AX74"/>
  <c r="AX54"/>
  <c r="AX90"/>
  <c r="AX104"/>
  <c r="AX58"/>
  <c r="AX67"/>
  <c r="AX42"/>
  <c r="AX55"/>
  <c r="AX89"/>
  <c r="AQ193"/>
  <c r="AQ329"/>
  <c r="AQ345"/>
  <c r="AQ283"/>
  <c r="AQ254"/>
  <c r="AQ316"/>
  <c r="AQ298"/>
  <c r="AQ258"/>
  <c r="AQ323"/>
  <c r="AQ238"/>
  <c r="AQ281"/>
  <c r="AQ278"/>
  <c r="AQ352"/>
  <c r="AQ279"/>
  <c r="AQ331"/>
  <c r="AQ275"/>
  <c r="AQ346"/>
  <c r="AQ235"/>
  <c r="AQ302"/>
  <c r="AQ337"/>
  <c r="AQ233"/>
  <c r="AQ196"/>
  <c r="AQ282"/>
  <c r="AQ312"/>
  <c r="AQ197"/>
  <c r="AQ200"/>
  <c r="AQ314"/>
  <c r="AQ207"/>
  <c r="AQ219"/>
  <c r="AQ256"/>
  <c r="AQ285"/>
  <c r="AQ227"/>
  <c r="AQ325"/>
  <c r="AQ259"/>
  <c r="AQ326"/>
  <c r="AQ271"/>
  <c r="AQ202"/>
  <c r="AQ290"/>
  <c r="AQ341"/>
  <c r="AQ336"/>
  <c r="AQ339"/>
  <c r="AQ221"/>
  <c r="AQ212"/>
  <c r="AQ291"/>
  <c r="AQ246"/>
  <c r="AQ253"/>
  <c r="AQ320"/>
  <c r="AQ260"/>
  <c r="AQ226"/>
  <c r="AQ324"/>
  <c r="AQ266"/>
  <c r="AQ306"/>
  <c r="AQ335"/>
  <c r="AQ204"/>
  <c r="AQ237"/>
  <c r="AQ353"/>
  <c r="AQ252"/>
  <c r="AQ311"/>
  <c r="AQ286"/>
  <c r="AQ303"/>
  <c r="AQ263"/>
  <c r="AQ243"/>
  <c r="AQ255"/>
  <c r="AQ338"/>
  <c r="AQ223"/>
  <c r="AQ272"/>
  <c r="AQ319"/>
  <c r="AQ334"/>
  <c r="AQ292"/>
  <c r="AQ249"/>
  <c r="AQ333"/>
  <c r="AQ213"/>
  <c r="AQ267"/>
  <c r="AQ206"/>
  <c r="AQ265"/>
  <c r="AQ332"/>
  <c r="AQ236"/>
  <c r="AQ348"/>
  <c r="AQ304"/>
  <c r="AQ232"/>
  <c r="AQ322"/>
  <c r="AQ305"/>
  <c r="AQ245"/>
  <c r="AQ199"/>
  <c r="AQ349"/>
  <c r="AQ208"/>
  <c r="AQ289"/>
  <c r="AQ321"/>
  <c r="AQ239"/>
  <c r="AQ218"/>
  <c r="AQ269"/>
  <c r="AQ240"/>
  <c r="AQ201"/>
  <c r="AQ330"/>
  <c r="AQ328"/>
  <c r="AQ189"/>
  <c r="AQ205"/>
  <c r="AQ309"/>
  <c r="AQ247"/>
  <c r="AQ300"/>
  <c r="AQ310"/>
  <c r="AQ268"/>
  <c r="AQ190"/>
  <c r="AQ327"/>
  <c r="AQ244"/>
  <c r="AQ192"/>
  <c r="AQ209"/>
  <c r="AQ350"/>
  <c r="AQ220"/>
  <c r="AQ188"/>
  <c r="AQ342"/>
  <c r="AQ215"/>
  <c r="AQ214"/>
  <c r="AQ224"/>
  <c r="AQ264"/>
  <c r="AQ293"/>
  <c r="AQ248"/>
  <c r="AQ343"/>
  <c r="AQ261"/>
  <c r="AQ340"/>
  <c r="AQ216"/>
  <c r="AQ257"/>
  <c r="AQ230"/>
  <c r="AQ301"/>
  <c r="AQ225"/>
  <c r="AQ198"/>
  <c r="AQ191"/>
  <c r="AQ315"/>
  <c r="AQ296"/>
  <c r="AQ250"/>
  <c r="AQ317"/>
  <c r="AQ251"/>
  <c r="AQ234"/>
  <c r="AQ299"/>
  <c r="AQ194"/>
  <c r="AQ347"/>
  <c r="AQ273"/>
  <c r="AQ280"/>
  <c r="AQ203"/>
  <c r="AQ284"/>
  <c r="AQ241"/>
  <c r="AQ308"/>
  <c r="AQ210"/>
  <c r="AQ276"/>
  <c r="AQ288"/>
  <c r="AQ229"/>
  <c r="AQ277"/>
  <c r="AQ344"/>
  <c r="AQ318"/>
  <c r="AQ242"/>
  <c r="AQ211"/>
  <c r="AQ262"/>
  <c r="AQ351"/>
  <c r="AQ228"/>
  <c r="AQ307"/>
  <c r="AQ274"/>
  <c r="AQ295"/>
  <c r="AQ270"/>
  <c r="AQ294"/>
  <c r="AQ195"/>
  <c r="AQ217"/>
  <c r="AQ287"/>
  <c r="AQ222"/>
  <c r="AQ297"/>
  <c r="AQ313"/>
  <c r="AQ231"/>
  <c r="AQ121"/>
  <c r="AQ136"/>
  <c r="AQ148"/>
  <c r="AQ175"/>
  <c r="AQ134"/>
  <c r="AQ156"/>
  <c r="AQ140"/>
  <c r="AQ135"/>
  <c r="AQ173"/>
  <c r="AQ119"/>
  <c r="AQ176"/>
  <c r="AQ110"/>
  <c r="AQ95"/>
  <c r="AQ86"/>
  <c r="AQ108"/>
  <c r="AQ59"/>
  <c r="AQ82"/>
  <c r="AQ84"/>
  <c r="AQ90"/>
  <c r="AQ117"/>
  <c r="AQ71"/>
  <c r="AQ77"/>
  <c r="AQ64"/>
  <c r="AQ103"/>
  <c r="AQ81"/>
  <c r="AQ78"/>
  <c r="AQ46"/>
  <c r="AQ187"/>
  <c r="AQ177"/>
  <c r="AQ162"/>
  <c r="AQ181"/>
  <c r="AQ168"/>
  <c r="AQ161"/>
  <c r="AQ128"/>
  <c r="AQ169"/>
  <c r="AQ171"/>
  <c r="AQ170"/>
  <c r="AQ129"/>
  <c r="AQ179"/>
  <c r="AQ101"/>
  <c r="AQ113"/>
  <c r="AQ92"/>
  <c r="AQ112"/>
  <c r="AQ68"/>
  <c r="AQ79"/>
  <c r="AQ53"/>
  <c r="AQ48"/>
  <c r="AQ111"/>
  <c r="AQ89"/>
  <c r="AQ76"/>
  <c r="AQ52"/>
  <c r="AQ106"/>
  <c r="AQ69"/>
  <c r="AQ47"/>
  <c r="AQ154"/>
  <c r="AQ138"/>
  <c r="AQ185"/>
  <c r="AQ153"/>
  <c r="AQ132"/>
  <c r="AQ174"/>
  <c r="AQ144"/>
  <c r="AQ142"/>
  <c r="AQ118"/>
  <c r="AQ146"/>
  <c r="AQ123"/>
  <c r="AQ183"/>
  <c r="AQ98"/>
  <c r="AQ91"/>
  <c r="AQ85"/>
  <c r="AQ73"/>
  <c r="AQ115"/>
  <c r="AQ61"/>
  <c r="AQ80"/>
  <c r="AQ57"/>
  <c r="AQ94"/>
  <c r="AQ163"/>
  <c r="AQ125"/>
  <c r="AQ130"/>
  <c r="AQ166"/>
  <c r="AQ172"/>
  <c r="AQ152"/>
  <c r="AQ157"/>
  <c r="AQ167"/>
  <c r="AQ145"/>
  <c r="AQ120"/>
  <c r="AQ139"/>
  <c r="AQ137"/>
  <c r="AQ114"/>
  <c r="AQ67"/>
  <c r="AQ49"/>
  <c r="AQ97"/>
  <c r="AQ104"/>
  <c r="AQ93"/>
  <c r="AQ43"/>
  <c r="AQ107"/>
  <c r="AQ72"/>
  <c r="AQ62"/>
  <c r="AQ60"/>
  <c r="AQ74"/>
  <c r="AQ45"/>
  <c r="AQ164"/>
  <c r="AQ147"/>
  <c r="AQ182"/>
  <c r="AQ124"/>
  <c r="AQ184"/>
  <c r="AQ155"/>
  <c r="AQ165"/>
  <c r="AQ150"/>
  <c r="AQ159"/>
  <c r="AQ151"/>
  <c r="AQ143"/>
  <c r="AQ160"/>
  <c r="AQ102"/>
  <c r="AQ56"/>
  <c r="AQ88"/>
  <c r="AQ105"/>
  <c r="AQ50"/>
  <c r="AQ109"/>
  <c r="AQ54"/>
  <c r="AQ51"/>
  <c r="AQ75"/>
  <c r="AQ96"/>
  <c r="AQ186"/>
  <c r="AQ133"/>
  <c r="AQ180"/>
  <c r="AQ126"/>
  <c r="AQ158"/>
  <c r="AQ127"/>
  <c r="AQ178"/>
  <c r="AQ131"/>
  <c r="AQ122"/>
  <c r="AQ141"/>
  <c r="AQ149"/>
  <c r="AQ100"/>
  <c r="AQ65"/>
  <c r="AQ66"/>
  <c r="AQ42"/>
  <c r="AQ99"/>
  <c r="AQ87"/>
  <c r="AQ58"/>
  <c r="AQ83"/>
  <c r="AQ116"/>
  <c r="AQ70"/>
  <c r="AQ63"/>
  <c r="AQ55"/>
  <c r="AQ44"/>
  <c r="AR319"/>
  <c r="AK319"/>
  <c r="AS319" s="1"/>
  <c r="AR246"/>
  <c r="AK246"/>
  <c r="AS246" s="1"/>
  <c r="AR292"/>
  <c r="AK292"/>
  <c r="AS292" s="1"/>
  <c r="AR305"/>
  <c r="AK305"/>
  <c r="AS305" s="1"/>
  <c r="AR199"/>
  <c r="AK199"/>
  <c r="AS199" s="1"/>
  <c r="AR335"/>
  <c r="AK335"/>
  <c r="AS335" s="1"/>
  <c r="AR204"/>
  <c r="AK204"/>
  <c r="AS204" s="1"/>
  <c r="AR237"/>
  <c r="AK237"/>
  <c r="AS237" s="1"/>
  <c r="AR353"/>
  <c r="AK353"/>
  <c r="AS353" s="1"/>
  <c r="AR208"/>
  <c r="AK208"/>
  <c r="AS208" s="1"/>
  <c r="AR252"/>
  <c r="AK252"/>
  <c r="AS252" s="1"/>
  <c r="AR289"/>
  <c r="AK289"/>
  <c r="AS289" s="1"/>
  <c r="AR321"/>
  <c r="AK321"/>
  <c r="AS321" s="1"/>
  <c r="AR265"/>
  <c r="AK265"/>
  <c r="AS265" s="1"/>
  <c r="AR239"/>
  <c r="AK239"/>
  <c r="AS239" s="1"/>
  <c r="AR269"/>
  <c r="AK269"/>
  <c r="AS269" s="1"/>
  <c r="AR236"/>
  <c r="AK236"/>
  <c r="AS236" s="1"/>
  <c r="AR330"/>
  <c r="AK330"/>
  <c r="AS330" s="1"/>
  <c r="AR243"/>
  <c r="AK243"/>
  <c r="AS243" s="1"/>
  <c r="AR255"/>
  <c r="AK255"/>
  <c r="AS255" s="1"/>
  <c r="AR205"/>
  <c r="AK205"/>
  <c r="AS205" s="1"/>
  <c r="AR309"/>
  <c r="AK309"/>
  <c r="AS309" s="1"/>
  <c r="AR249"/>
  <c r="AK249"/>
  <c r="AS249" s="1"/>
  <c r="AR245"/>
  <c r="AK245"/>
  <c r="AS245" s="1"/>
  <c r="AR329"/>
  <c r="AK329"/>
  <c r="AS329" s="1"/>
  <c r="AR213"/>
  <c r="AK213"/>
  <c r="AS213" s="1"/>
  <c r="AR267"/>
  <c r="AK267"/>
  <c r="AS267" s="1"/>
  <c r="AR345"/>
  <c r="AK345"/>
  <c r="AS345" s="1"/>
  <c r="AR316"/>
  <c r="AK316"/>
  <c r="AS316" s="1"/>
  <c r="AR298"/>
  <c r="AK298"/>
  <c r="AS298" s="1"/>
  <c r="AR218"/>
  <c r="AK218"/>
  <c r="AS218" s="1"/>
  <c r="AR323"/>
  <c r="AK323"/>
  <c r="AS323" s="1"/>
  <c r="AR328"/>
  <c r="AK328"/>
  <c r="AS328" s="1"/>
  <c r="AR196"/>
  <c r="AK196"/>
  <c r="AS196" s="1"/>
  <c r="AR278"/>
  <c r="AK278"/>
  <c r="AS278" s="1"/>
  <c r="AR322"/>
  <c r="AK322"/>
  <c r="AS322" s="1"/>
  <c r="AR247"/>
  <c r="AK247"/>
  <c r="AS247" s="1"/>
  <c r="AR352"/>
  <c r="AK352"/>
  <c r="AS352" s="1"/>
  <c r="AR275"/>
  <c r="AK275"/>
  <c r="AS275" s="1"/>
  <c r="AR193"/>
  <c r="AK193"/>
  <c r="AS193" s="1"/>
  <c r="AR349"/>
  <c r="AK349"/>
  <c r="AS349" s="1"/>
  <c r="AR283"/>
  <c r="AK283"/>
  <c r="AS283" s="1"/>
  <c r="AR254"/>
  <c r="AK254"/>
  <c r="AS254" s="1"/>
  <c r="AR235"/>
  <c r="AK235"/>
  <c r="AS235" s="1"/>
  <c r="AR302"/>
  <c r="AK302"/>
  <c r="AS302" s="1"/>
  <c r="AR240"/>
  <c r="AK240"/>
  <c r="AS240" s="1"/>
  <c r="AR201"/>
  <c r="AK201"/>
  <c r="AS201" s="1"/>
  <c r="AR189"/>
  <c r="AK189"/>
  <c r="AS189" s="1"/>
  <c r="AR233"/>
  <c r="AK233"/>
  <c r="AS233" s="1"/>
  <c r="AR238"/>
  <c r="AK238"/>
  <c r="AS238" s="1"/>
  <c r="AR281"/>
  <c r="AK281"/>
  <c r="AS281" s="1"/>
  <c r="AR312"/>
  <c r="AK312"/>
  <c r="AS312" s="1"/>
  <c r="AR197"/>
  <c r="AK197"/>
  <c r="AS197" s="1"/>
  <c r="AR314"/>
  <c r="AK314"/>
  <c r="AS314" s="1"/>
  <c r="AR346"/>
  <c r="AK346"/>
  <c r="AS346" s="1"/>
  <c r="AR258"/>
  <c r="AK258"/>
  <c r="AS258" s="1"/>
  <c r="AR325"/>
  <c r="AK325"/>
  <c r="AS325" s="1"/>
  <c r="AR259"/>
  <c r="AK259"/>
  <c r="AS259" s="1"/>
  <c r="AR337"/>
  <c r="AK337"/>
  <c r="AS337" s="1"/>
  <c r="AR271"/>
  <c r="AK271"/>
  <c r="AS271" s="1"/>
  <c r="AR223"/>
  <c r="AK223"/>
  <c r="AS223" s="1"/>
  <c r="AR341"/>
  <c r="AK341"/>
  <c r="AS341" s="1"/>
  <c r="AR336"/>
  <c r="AK336"/>
  <c r="AS336" s="1"/>
  <c r="AR339"/>
  <c r="AK339"/>
  <c r="AS339" s="1"/>
  <c r="AR221"/>
  <c r="AK221"/>
  <c r="AS221" s="1"/>
  <c r="AR212"/>
  <c r="AK212"/>
  <c r="AS212" s="1"/>
  <c r="AR279"/>
  <c r="AK279"/>
  <c r="AS279" s="1"/>
  <c r="AR331"/>
  <c r="AK331"/>
  <c r="AS331" s="1"/>
  <c r="AR253"/>
  <c r="AK253"/>
  <c r="AS253" s="1"/>
  <c r="AR320"/>
  <c r="AK320"/>
  <c r="AS320" s="1"/>
  <c r="AR260"/>
  <c r="AK260"/>
  <c r="AS260" s="1"/>
  <c r="AR226"/>
  <c r="AK226"/>
  <c r="AS226" s="1"/>
  <c r="AR324"/>
  <c r="AK324"/>
  <c r="AS324" s="1"/>
  <c r="AR266"/>
  <c r="AK266"/>
  <c r="AS266" s="1"/>
  <c r="AR306"/>
  <c r="AK306"/>
  <c r="AS306" s="1"/>
  <c r="AR200"/>
  <c r="AK200"/>
  <c r="AS200" s="1"/>
  <c r="AR311"/>
  <c r="AK311"/>
  <c r="AS311" s="1"/>
  <c r="AR286"/>
  <c r="AK286"/>
  <c r="AS286" s="1"/>
  <c r="AR256"/>
  <c r="AK256"/>
  <c r="AS256" s="1"/>
  <c r="AR227"/>
  <c r="AK227"/>
  <c r="AS227" s="1"/>
  <c r="AR303"/>
  <c r="AK303"/>
  <c r="AS303" s="1"/>
  <c r="AR338"/>
  <c r="AK338"/>
  <c r="AS338" s="1"/>
  <c r="AR202"/>
  <c r="AK202"/>
  <c r="AS202" s="1"/>
  <c r="AR290"/>
  <c r="AK290"/>
  <c r="AS290" s="1"/>
  <c r="AR282"/>
  <c r="AK282"/>
  <c r="AS282" s="1"/>
  <c r="AR334"/>
  <c r="AK334"/>
  <c r="AS334" s="1"/>
  <c r="AR333"/>
  <c r="AK333"/>
  <c r="AS333" s="1"/>
  <c r="AR206"/>
  <c r="AK206"/>
  <c r="AS206" s="1"/>
  <c r="AR207"/>
  <c r="AK207"/>
  <c r="AS207" s="1"/>
  <c r="AR332"/>
  <c r="AK332"/>
  <c r="AS332" s="1"/>
  <c r="AR219"/>
  <c r="AK219"/>
  <c r="AS219" s="1"/>
  <c r="AR285"/>
  <c r="AK285"/>
  <c r="AS285" s="1"/>
  <c r="AR348"/>
  <c r="AK348"/>
  <c r="AS348" s="1"/>
  <c r="AR263"/>
  <c r="AK263"/>
  <c r="AS263" s="1"/>
  <c r="AR304"/>
  <c r="AK304"/>
  <c r="AS304" s="1"/>
  <c r="AR326"/>
  <c r="AK326"/>
  <c r="AS326" s="1"/>
  <c r="AR232"/>
  <c r="AK232"/>
  <c r="AS232" s="1"/>
  <c r="AR272"/>
  <c r="AK272"/>
  <c r="AS272" s="1"/>
  <c r="AR291"/>
  <c r="AK291"/>
  <c r="AS291" s="1"/>
  <c r="AR307"/>
  <c r="AK307"/>
  <c r="AS307" s="1"/>
  <c r="AR308"/>
  <c r="AK308"/>
  <c r="AS308" s="1"/>
  <c r="AR234"/>
  <c r="AK234"/>
  <c r="AS234" s="1"/>
  <c r="AR229"/>
  <c r="AK229"/>
  <c r="AS229" s="1"/>
  <c r="AR273"/>
  <c r="AK273"/>
  <c r="AS273" s="1"/>
  <c r="AR211"/>
  <c r="AK211"/>
  <c r="AS211" s="1"/>
  <c r="AR217"/>
  <c r="AK217"/>
  <c r="AS217" s="1"/>
  <c r="AR287"/>
  <c r="AK287"/>
  <c r="AS287" s="1"/>
  <c r="AR313"/>
  <c r="AK313"/>
  <c r="AS313" s="1"/>
  <c r="AR274"/>
  <c r="AK274"/>
  <c r="AS274" s="1"/>
  <c r="AR295"/>
  <c r="AK295"/>
  <c r="AS295" s="1"/>
  <c r="AR268"/>
  <c r="AK268"/>
  <c r="AS268" s="1"/>
  <c r="AR210"/>
  <c r="AK210"/>
  <c r="AS210" s="1"/>
  <c r="AR190"/>
  <c r="AK190"/>
  <c r="AS190" s="1"/>
  <c r="AR276"/>
  <c r="AK276"/>
  <c r="AS276" s="1"/>
  <c r="AR288"/>
  <c r="AK288"/>
  <c r="AS288" s="1"/>
  <c r="AR327"/>
  <c r="AK327"/>
  <c r="AS327" s="1"/>
  <c r="AR244"/>
  <c r="AK244"/>
  <c r="AS244" s="1"/>
  <c r="AR344"/>
  <c r="AK344"/>
  <c r="AS344" s="1"/>
  <c r="AR350"/>
  <c r="AK350"/>
  <c r="AS350" s="1"/>
  <c r="AR188"/>
  <c r="AK188"/>
  <c r="AS188" s="1"/>
  <c r="AR228"/>
  <c r="AK228"/>
  <c r="AS228" s="1"/>
  <c r="AR342"/>
  <c r="AK342"/>
  <c r="AS342" s="1"/>
  <c r="AR215"/>
  <c r="AK215"/>
  <c r="AS215" s="1"/>
  <c r="AR300"/>
  <c r="AK300"/>
  <c r="AS300" s="1"/>
  <c r="AR214"/>
  <c r="AK214"/>
  <c r="AS214" s="1"/>
  <c r="AR224"/>
  <c r="AK224"/>
  <c r="AS224" s="1"/>
  <c r="AR310"/>
  <c r="AK310"/>
  <c r="AS310" s="1"/>
  <c r="AR270"/>
  <c r="AK270"/>
  <c r="AS270" s="1"/>
  <c r="AR293"/>
  <c r="AK293"/>
  <c r="AS293" s="1"/>
  <c r="AR248"/>
  <c r="AK248"/>
  <c r="AS248" s="1"/>
  <c r="AR294"/>
  <c r="AK294"/>
  <c r="AS294" s="1"/>
  <c r="AR343"/>
  <c r="AK343"/>
  <c r="AS343" s="1"/>
  <c r="AR195"/>
  <c r="AK195"/>
  <c r="AS195" s="1"/>
  <c r="AR209"/>
  <c r="AK209"/>
  <c r="AS209" s="1"/>
  <c r="AR250"/>
  <c r="AK250"/>
  <c r="AS250" s="1"/>
  <c r="AR220"/>
  <c r="AK220"/>
  <c r="AS220" s="1"/>
  <c r="AR257"/>
  <c r="AK257"/>
  <c r="AS257" s="1"/>
  <c r="AR222"/>
  <c r="AK222"/>
  <c r="AS222" s="1"/>
  <c r="AR230"/>
  <c r="AK230"/>
  <c r="AS230" s="1"/>
  <c r="AR297"/>
  <c r="AK297"/>
  <c r="AS297" s="1"/>
  <c r="AR231"/>
  <c r="AK231"/>
  <c r="AS231" s="1"/>
  <c r="AR315"/>
  <c r="AK315"/>
  <c r="AS315" s="1"/>
  <c r="AR296"/>
  <c r="AK296"/>
  <c r="AS296" s="1"/>
  <c r="AR192"/>
  <c r="AK192"/>
  <c r="AS192" s="1"/>
  <c r="AR301"/>
  <c r="AK301"/>
  <c r="AS301" s="1"/>
  <c r="AR251"/>
  <c r="AK251"/>
  <c r="AS251" s="1"/>
  <c r="AR264"/>
  <c r="AK264"/>
  <c r="AS264" s="1"/>
  <c r="AR191"/>
  <c r="AK191"/>
  <c r="AS191" s="1"/>
  <c r="AR194"/>
  <c r="AK194"/>
  <c r="AS194" s="1"/>
  <c r="AR261"/>
  <c r="AK261"/>
  <c r="AS261" s="1"/>
  <c r="AR347"/>
  <c r="AK347"/>
  <c r="AS347" s="1"/>
  <c r="AR340"/>
  <c r="AK340"/>
  <c r="AS340" s="1"/>
  <c r="AR280"/>
  <c r="AK280"/>
  <c r="AS280" s="1"/>
  <c r="AR216"/>
  <c r="AK216"/>
  <c r="AS216" s="1"/>
  <c r="AR203"/>
  <c r="AK203"/>
  <c r="AS203" s="1"/>
  <c r="AR284"/>
  <c r="AK284"/>
  <c r="AS284" s="1"/>
  <c r="AR225"/>
  <c r="AK225"/>
  <c r="AS225" s="1"/>
  <c r="AR317"/>
  <c r="AK317"/>
  <c r="AS317" s="1"/>
  <c r="AR198"/>
  <c r="AK198"/>
  <c r="AS198" s="1"/>
  <c r="AR241"/>
  <c r="AK241"/>
  <c r="AS241" s="1"/>
  <c r="AR299"/>
  <c r="AK299"/>
  <c r="AS299" s="1"/>
  <c r="AR277"/>
  <c r="AK277"/>
  <c r="AS277" s="1"/>
  <c r="AR318"/>
  <c r="AK318"/>
  <c r="AS318" s="1"/>
  <c r="AR242"/>
  <c r="AK242"/>
  <c r="AS242" s="1"/>
  <c r="AR262"/>
  <c r="AK262"/>
  <c r="AS262" s="1"/>
  <c r="AR351"/>
  <c r="AK351"/>
  <c r="AS351" s="1"/>
  <c r="AR187"/>
  <c r="AK187"/>
  <c r="AS187" s="1"/>
  <c r="AR163"/>
  <c r="AK163"/>
  <c r="AS163" s="1"/>
  <c r="AR144"/>
  <c r="AK144"/>
  <c r="AS144" s="1"/>
  <c r="AR177"/>
  <c r="AK177"/>
  <c r="AS177" s="1"/>
  <c r="AR159"/>
  <c r="AK159"/>
  <c r="AS159" s="1"/>
  <c r="AR128"/>
  <c r="AK128"/>
  <c r="AS128" s="1"/>
  <c r="AR173"/>
  <c r="AK173"/>
  <c r="AS173" s="1"/>
  <c r="AR183"/>
  <c r="AK183"/>
  <c r="AS183" s="1"/>
  <c r="AR170"/>
  <c r="AK170"/>
  <c r="AS170" s="1"/>
  <c r="AR176"/>
  <c r="AK176"/>
  <c r="AS176" s="1"/>
  <c r="AR132"/>
  <c r="AK132"/>
  <c r="AS132" s="1"/>
  <c r="AR160"/>
  <c r="AK160"/>
  <c r="AS160" s="1"/>
  <c r="AR99"/>
  <c r="AK99"/>
  <c r="AS99" s="1"/>
  <c r="AR54"/>
  <c r="AK54"/>
  <c r="AS54" s="1"/>
  <c r="AR46"/>
  <c r="AK46"/>
  <c r="AS46" s="1"/>
  <c r="AR93"/>
  <c r="AK93"/>
  <c r="AS93" s="1"/>
  <c r="AR111"/>
  <c r="AK111"/>
  <c r="AS111" s="1"/>
  <c r="AR65"/>
  <c r="AK65"/>
  <c r="AS65" s="1"/>
  <c r="AR100"/>
  <c r="AK100"/>
  <c r="AS100" s="1"/>
  <c r="AR66"/>
  <c r="AK66"/>
  <c r="AS66" s="1"/>
  <c r="AR56"/>
  <c r="AK56"/>
  <c r="AS56" s="1"/>
  <c r="AR113"/>
  <c r="AK113"/>
  <c r="AS113" s="1"/>
  <c r="AR83"/>
  <c r="AK83"/>
  <c r="AS83" s="1"/>
  <c r="AR95"/>
  <c r="AK95"/>
  <c r="AS95" s="1"/>
  <c r="AR78"/>
  <c r="AK78"/>
  <c r="AS78" s="1"/>
  <c r="AR57"/>
  <c r="AK57"/>
  <c r="AS57" s="1"/>
  <c r="AR92"/>
  <c r="AK92"/>
  <c r="AS92" s="1"/>
  <c r="AR68"/>
  <c r="AK68"/>
  <c r="AS68" s="1"/>
  <c r="AR58"/>
  <c r="AK58"/>
  <c r="AS58" s="1"/>
  <c r="AR125"/>
  <c r="AK125"/>
  <c r="AS125" s="1"/>
  <c r="AR165"/>
  <c r="AK165"/>
  <c r="AS165" s="1"/>
  <c r="AR171"/>
  <c r="AK171"/>
  <c r="AS171" s="1"/>
  <c r="AR134"/>
  <c r="AK134"/>
  <c r="AS134" s="1"/>
  <c r="AR129"/>
  <c r="AK129"/>
  <c r="AS129" s="1"/>
  <c r="AR123"/>
  <c r="AK123"/>
  <c r="AS123" s="1"/>
  <c r="AR167"/>
  <c r="AK167"/>
  <c r="AS167" s="1"/>
  <c r="AR139"/>
  <c r="AK139"/>
  <c r="AS139" s="1"/>
  <c r="AR180"/>
  <c r="AK180"/>
  <c r="AS180" s="1"/>
  <c r="AR182"/>
  <c r="AK182"/>
  <c r="AS182" s="1"/>
  <c r="AR174"/>
  <c r="AK174"/>
  <c r="AS174" s="1"/>
  <c r="AR116"/>
  <c r="AK116"/>
  <c r="AS116" s="1"/>
  <c r="AR97"/>
  <c r="AK97"/>
  <c r="AS97" s="1"/>
  <c r="AR45"/>
  <c r="AK45"/>
  <c r="AS45" s="1"/>
  <c r="AR106"/>
  <c r="AK106"/>
  <c r="AS106" s="1"/>
  <c r="AR55"/>
  <c r="AK55"/>
  <c r="AS55" s="1"/>
  <c r="AR101"/>
  <c r="AK101"/>
  <c r="AS101" s="1"/>
  <c r="AR44"/>
  <c r="AK44"/>
  <c r="AS44" s="1"/>
  <c r="AR109"/>
  <c r="AK109"/>
  <c r="AS109" s="1"/>
  <c r="AR121"/>
  <c r="AK121"/>
  <c r="AS121" s="1"/>
  <c r="AR181"/>
  <c r="AK181"/>
  <c r="AS181" s="1"/>
  <c r="AR172"/>
  <c r="AK172"/>
  <c r="AS172" s="1"/>
  <c r="AR131"/>
  <c r="AK131"/>
  <c r="AS131" s="1"/>
  <c r="AR120"/>
  <c r="AK120"/>
  <c r="AS120" s="1"/>
  <c r="AR118"/>
  <c r="AK118"/>
  <c r="AS118" s="1"/>
  <c r="AR146"/>
  <c r="AK146"/>
  <c r="AS146" s="1"/>
  <c r="AR162"/>
  <c r="AK162"/>
  <c r="AS162" s="1"/>
  <c r="AR179"/>
  <c r="AK179"/>
  <c r="AS179" s="1"/>
  <c r="AR126"/>
  <c r="AK126"/>
  <c r="AS126" s="1"/>
  <c r="AR151"/>
  <c r="AK151"/>
  <c r="AS151" s="1"/>
  <c r="AR104"/>
  <c r="AK104"/>
  <c r="AS104" s="1"/>
  <c r="AR76"/>
  <c r="AK76"/>
  <c r="AS76" s="1"/>
  <c r="AR110"/>
  <c r="AK110"/>
  <c r="AS110" s="1"/>
  <c r="AR87"/>
  <c r="AK87"/>
  <c r="AS87" s="1"/>
  <c r="AR91"/>
  <c r="AK91"/>
  <c r="AS91" s="1"/>
  <c r="AR60"/>
  <c r="AK60"/>
  <c r="AS60" s="1"/>
  <c r="AR103"/>
  <c r="AK103"/>
  <c r="AS103" s="1"/>
  <c r="AR67"/>
  <c r="AK67"/>
  <c r="AS67" s="1"/>
  <c r="AR112"/>
  <c r="AK112"/>
  <c r="AS112" s="1"/>
  <c r="AR84"/>
  <c r="AK84"/>
  <c r="AS84" s="1"/>
  <c r="AR49"/>
  <c r="AK49"/>
  <c r="AS49" s="1"/>
  <c r="AR52"/>
  <c r="AK52"/>
  <c r="AS52" s="1"/>
  <c r="AR43"/>
  <c r="AK43"/>
  <c r="AS43" s="1"/>
  <c r="AR77"/>
  <c r="AK77"/>
  <c r="AS77" s="1"/>
  <c r="AR147"/>
  <c r="AK147"/>
  <c r="AS147" s="1"/>
  <c r="AR185"/>
  <c r="AK185"/>
  <c r="AS185" s="1"/>
  <c r="AR150"/>
  <c r="AK150"/>
  <c r="AS150" s="1"/>
  <c r="AR127"/>
  <c r="AK127"/>
  <c r="AS127" s="1"/>
  <c r="AR122"/>
  <c r="AK122"/>
  <c r="AS122" s="1"/>
  <c r="AR145"/>
  <c r="AK145"/>
  <c r="AS145" s="1"/>
  <c r="AR178"/>
  <c r="AK178"/>
  <c r="AS178" s="1"/>
  <c r="AR138"/>
  <c r="AK138"/>
  <c r="AS138" s="1"/>
  <c r="AR136"/>
  <c r="AK136"/>
  <c r="AS136" s="1"/>
  <c r="AR137"/>
  <c r="AK137"/>
  <c r="AS137" s="1"/>
  <c r="AR166"/>
  <c r="AK166"/>
  <c r="AS166" s="1"/>
  <c r="AR130"/>
  <c r="AK130"/>
  <c r="AS130" s="1"/>
  <c r="AR86"/>
  <c r="AK86"/>
  <c r="AS86" s="1"/>
  <c r="AR69"/>
  <c r="AK69"/>
  <c r="AS69" s="1"/>
  <c r="AR63"/>
  <c r="AK63"/>
  <c r="AS63" s="1"/>
  <c r="AR53"/>
  <c r="AK53"/>
  <c r="AS53" s="1"/>
  <c r="AR85"/>
  <c r="AK85"/>
  <c r="AS85" s="1"/>
  <c r="AR48"/>
  <c r="AK48"/>
  <c r="AS48" s="1"/>
  <c r="AR105"/>
  <c r="AK105"/>
  <c r="AS105" s="1"/>
  <c r="AR59"/>
  <c r="AK59"/>
  <c r="AS59" s="1"/>
  <c r="AR71"/>
  <c r="AK71"/>
  <c r="AS71" s="1"/>
  <c r="AR75"/>
  <c r="AK75"/>
  <c r="AS75" s="1"/>
  <c r="AR186"/>
  <c r="AK186"/>
  <c r="AS186" s="1"/>
  <c r="AR156"/>
  <c r="AK156"/>
  <c r="AS156" s="1"/>
  <c r="AR133"/>
  <c r="AK133"/>
  <c r="AS133" s="1"/>
  <c r="AR135"/>
  <c r="AK135"/>
  <c r="AS135" s="1"/>
  <c r="AR152"/>
  <c r="AK152"/>
  <c r="AS152" s="1"/>
  <c r="AR157"/>
  <c r="AK157"/>
  <c r="AS157" s="1"/>
  <c r="AR124"/>
  <c r="AK124"/>
  <c r="AS124" s="1"/>
  <c r="AR119"/>
  <c r="AK119"/>
  <c r="AS119" s="1"/>
  <c r="AR143"/>
  <c r="AK143"/>
  <c r="AS143" s="1"/>
  <c r="AR168"/>
  <c r="AK168"/>
  <c r="AS168" s="1"/>
  <c r="AR158"/>
  <c r="AK158"/>
  <c r="AS158" s="1"/>
  <c r="AR184"/>
  <c r="AK184"/>
  <c r="AS184" s="1"/>
  <c r="AR102"/>
  <c r="AK102"/>
  <c r="AS102" s="1"/>
  <c r="AR73"/>
  <c r="AK73"/>
  <c r="AS73" s="1"/>
  <c r="AR94"/>
  <c r="AK94"/>
  <c r="AS94" s="1"/>
  <c r="AR47"/>
  <c r="AK47"/>
  <c r="AS47" s="1"/>
  <c r="AR115"/>
  <c r="AK115"/>
  <c r="AS115" s="1"/>
  <c r="AR90"/>
  <c r="AK90"/>
  <c r="AS90" s="1"/>
  <c r="AR107"/>
  <c r="AK107"/>
  <c r="AS107" s="1"/>
  <c r="AR62"/>
  <c r="AK62"/>
  <c r="AS62" s="1"/>
  <c r="AR51"/>
  <c r="AK51"/>
  <c r="AS51" s="1"/>
  <c r="AR81"/>
  <c r="AK81"/>
  <c r="AS81" s="1"/>
  <c r="AR164"/>
  <c r="AK164"/>
  <c r="AS164" s="1"/>
  <c r="AR154"/>
  <c r="AK154"/>
  <c r="AS154" s="1"/>
  <c r="AR140"/>
  <c r="AK140"/>
  <c r="AS140" s="1"/>
  <c r="AR161"/>
  <c r="AK161"/>
  <c r="AS161" s="1"/>
  <c r="AR155"/>
  <c r="AK155"/>
  <c r="AS155" s="1"/>
  <c r="AR141"/>
  <c r="AK141"/>
  <c r="AS141" s="1"/>
  <c r="AR149"/>
  <c r="AK149"/>
  <c r="AS149" s="1"/>
  <c r="AR142"/>
  <c r="AK142"/>
  <c r="AS142" s="1"/>
  <c r="AR169"/>
  <c r="AK169"/>
  <c r="AS169" s="1"/>
  <c r="AR153"/>
  <c r="AK153"/>
  <c r="AS153" s="1"/>
  <c r="AR148"/>
  <c r="AK148"/>
  <c r="AS148" s="1"/>
  <c r="AR175"/>
  <c r="AK175"/>
  <c r="AS175" s="1"/>
  <c r="AR98"/>
  <c r="AK98"/>
  <c r="AS98" s="1"/>
  <c r="AR89"/>
  <c r="AK89"/>
  <c r="AS89" s="1"/>
  <c r="AR64"/>
  <c r="AK64"/>
  <c r="AS64" s="1"/>
  <c r="AR117"/>
  <c r="AK117"/>
  <c r="AS117" s="1"/>
  <c r="AR50"/>
  <c r="AK50"/>
  <c r="AS50" s="1"/>
  <c r="AR114"/>
  <c r="AK114"/>
  <c r="AS114" s="1"/>
  <c r="AR80"/>
  <c r="AK80"/>
  <c r="AS80" s="1"/>
  <c r="AR82"/>
  <c r="AK82"/>
  <c r="AS82" s="1"/>
  <c r="AR108"/>
  <c r="AK108"/>
  <c r="AS108" s="1"/>
  <c r="AR88"/>
  <c r="AK88"/>
  <c r="AS88" s="1"/>
  <c r="AR79"/>
  <c r="AK79"/>
  <c r="AS79" s="1"/>
  <c r="AR61"/>
  <c r="AK61"/>
  <c r="AS61" s="1"/>
  <c r="AR72"/>
  <c r="AK72"/>
  <c r="AS72" s="1"/>
  <c r="AR74"/>
  <c r="AK74"/>
  <c r="AS74" s="1"/>
  <c r="AR96"/>
  <c r="AK96"/>
  <c r="AS96" s="1"/>
  <c r="AR42"/>
  <c r="AK42"/>
  <c r="AS42" s="1"/>
  <c r="AR70"/>
  <c r="AK70"/>
  <c r="AS70" s="1"/>
  <c r="AU54" l="1"/>
  <c r="AN54"/>
  <c r="AV54" s="1"/>
  <c r="AU114"/>
  <c r="AN114"/>
  <c r="AV114" s="1"/>
  <c r="AU52"/>
  <c r="AN52"/>
  <c r="AV52" s="1"/>
  <c r="AU69"/>
  <c r="AN69"/>
  <c r="AV69" s="1"/>
  <c r="AU93"/>
  <c r="AN93"/>
  <c r="AV93" s="1"/>
  <c r="AU102"/>
  <c r="AN102"/>
  <c r="AV102" s="1"/>
  <c r="AU171"/>
  <c r="AN171"/>
  <c r="AV171" s="1"/>
  <c r="AU143"/>
  <c r="AN143"/>
  <c r="AV143" s="1"/>
  <c r="AU166"/>
  <c r="AN166"/>
  <c r="AV166" s="1"/>
  <c r="AU125"/>
  <c r="AN125"/>
  <c r="AV125" s="1"/>
  <c r="AU111"/>
  <c r="AN111"/>
  <c r="AV111" s="1"/>
  <c r="AU50"/>
  <c r="AN50"/>
  <c r="AV50" s="1"/>
  <c r="AU67"/>
  <c r="AN67"/>
  <c r="AV67" s="1"/>
  <c r="AU72"/>
  <c r="AN72"/>
  <c r="AV72" s="1"/>
  <c r="AU97"/>
  <c r="AN97"/>
  <c r="AV97" s="1"/>
  <c r="AN144"/>
  <c r="AV144" s="1"/>
  <c r="AU144"/>
  <c r="AU133"/>
  <c r="AN133"/>
  <c r="AV133" s="1"/>
  <c r="AU138"/>
  <c r="AN138"/>
  <c r="AV138" s="1"/>
  <c r="AU134"/>
  <c r="AN134"/>
  <c r="AV134" s="1"/>
  <c r="AU98"/>
  <c r="AN98"/>
  <c r="AV98" s="1"/>
  <c r="AN91"/>
  <c r="AV91" s="1"/>
  <c r="AU91"/>
  <c r="AU82"/>
  <c r="AN82"/>
  <c r="AV82" s="1"/>
  <c r="AU115"/>
  <c r="AN115"/>
  <c r="AV115" s="1"/>
  <c r="AU145"/>
  <c r="AN145"/>
  <c r="AV145" s="1"/>
  <c r="AU184"/>
  <c r="AN184"/>
  <c r="AV184" s="1"/>
  <c r="AU161"/>
  <c r="AN161"/>
  <c r="AV161" s="1"/>
  <c r="AU92"/>
  <c r="AN92"/>
  <c r="AV92" s="1"/>
  <c r="AN81"/>
  <c r="AV81" s="1"/>
  <c r="AU81"/>
  <c r="AU65"/>
  <c r="AN65"/>
  <c r="AV65" s="1"/>
  <c r="AU57"/>
  <c r="AN57"/>
  <c r="AV57" s="1"/>
  <c r="AU139"/>
  <c r="AN139"/>
  <c r="AV139" s="1"/>
  <c r="AU119"/>
  <c r="AN119"/>
  <c r="AV119" s="1"/>
  <c r="AU148"/>
  <c r="AN148"/>
  <c r="AV148" s="1"/>
  <c r="AU86"/>
  <c r="AN86"/>
  <c r="AV86" s="1"/>
  <c r="AU80"/>
  <c r="AN80"/>
  <c r="AV80" s="1"/>
  <c r="AU90"/>
  <c r="AN90"/>
  <c r="AV90" s="1"/>
  <c r="AU43"/>
  <c r="AN43"/>
  <c r="AV43" s="1"/>
  <c r="AU159"/>
  <c r="AN159"/>
  <c r="AV159" s="1"/>
  <c r="AU168"/>
  <c r="AN168"/>
  <c r="AV168" s="1"/>
  <c r="AU146"/>
  <c r="AN146"/>
  <c r="AV146" s="1"/>
  <c r="AU186"/>
  <c r="AN186"/>
  <c r="AV186" s="1"/>
  <c r="AU79"/>
  <c r="AN79"/>
  <c r="AV79" s="1"/>
  <c r="AU59"/>
  <c r="AN59"/>
  <c r="AV59" s="1"/>
  <c r="AU117"/>
  <c r="AN117"/>
  <c r="AV117" s="1"/>
  <c r="AU74"/>
  <c r="AN74"/>
  <c r="AV74" s="1"/>
  <c r="AU118"/>
  <c r="AN118"/>
  <c r="AV118" s="1"/>
  <c r="AU160"/>
  <c r="AN160"/>
  <c r="AV160" s="1"/>
  <c r="AU142"/>
  <c r="AN142"/>
  <c r="AV142" s="1"/>
  <c r="AU128"/>
  <c r="AN128"/>
  <c r="AV128" s="1"/>
  <c r="AU257"/>
  <c r="AN257"/>
  <c r="AV257" s="1"/>
  <c r="AU350"/>
  <c r="AN350"/>
  <c r="AV350" s="1"/>
  <c r="AU299"/>
  <c r="AN299"/>
  <c r="AV299" s="1"/>
  <c r="AU264"/>
  <c r="AN264"/>
  <c r="AV264" s="1"/>
  <c r="AU297"/>
  <c r="AN297"/>
  <c r="AV297" s="1"/>
  <c r="AU250"/>
  <c r="AN250"/>
  <c r="AV250" s="1"/>
  <c r="AU229"/>
  <c r="AN229"/>
  <c r="AV229" s="1"/>
  <c r="AU190"/>
  <c r="AN190"/>
  <c r="AV190" s="1"/>
  <c r="AU317"/>
  <c r="AN317"/>
  <c r="AV317" s="1"/>
  <c r="AU222"/>
  <c r="AN222"/>
  <c r="AV222" s="1"/>
  <c r="AU294"/>
  <c r="AN294"/>
  <c r="AV294" s="1"/>
  <c r="AU214"/>
  <c r="AN214"/>
  <c r="AV214" s="1"/>
  <c r="AU228"/>
  <c r="AN228"/>
  <c r="AV228" s="1"/>
  <c r="AU262"/>
  <c r="AN262"/>
  <c r="AV262" s="1"/>
  <c r="AU340"/>
  <c r="AN340"/>
  <c r="AV340" s="1"/>
  <c r="AU276"/>
  <c r="AN276"/>
  <c r="AV276" s="1"/>
  <c r="AU295"/>
  <c r="AN295"/>
  <c r="AV295" s="1"/>
  <c r="AU215"/>
  <c r="AN215"/>
  <c r="AV215" s="1"/>
  <c r="AU280"/>
  <c r="AN280"/>
  <c r="AV280" s="1"/>
  <c r="AU241"/>
  <c r="AN241"/>
  <c r="AV241" s="1"/>
  <c r="AU242"/>
  <c r="AN242"/>
  <c r="AV242" s="1"/>
  <c r="AU261"/>
  <c r="AN261"/>
  <c r="AV261" s="1"/>
  <c r="AU198"/>
  <c r="AN198"/>
  <c r="AV198" s="1"/>
  <c r="AU247"/>
  <c r="AN247"/>
  <c r="AV247" s="1"/>
  <c r="AU238"/>
  <c r="AN238"/>
  <c r="AV238" s="1"/>
  <c r="AU259"/>
  <c r="AN259"/>
  <c r="AV259" s="1"/>
  <c r="AU263"/>
  <c r="AN263"/>
  <c r="AV263" s="1"/>
  <c r="AU200"/>
  <c r="AN200"/>
  <c r="AV200" s="1"/>
  <c r="AU260"/>
  <c r="AN260"/>
  <c r="AV260" s="1"/>
  <c r="AU189"/>
  <c r="AN189"/>
  <c r="AV189" s="1"/>
  <c r="AU201"/>
  <c r="AN201"/>
  <c r="AV201" s="1"/>
  <c r="AU298"/>
  <c r="AN298"/>
  <c r="AV298" s="1"/>
  <c r="AU346"/>
  <c r="AN346"/>
  <c r="AV346" s="1"/>
  <c r="AU335"/>
  <c r="AN335"/>
  <c r="AV335" s="1"/>
  <c r="AU319"/>
  <c r="AN319"/>
  <c r="AV319" s="1"/>
  <c r="AU240"/>
  <c r="AN240"/>
  <c r="AV240" s="1"/>
  <c r="AU254"/>
  <c r="AN254"/>
  <c r="AV254" s="1"/>
  <c r="AU267"/>
  <c r="AN267"/>
  <c r="AV267" s="1"/>
  <c r="AU249"/>
  <c r="AN249"/>
  <c r="AV249" s="1"/>
  <c r="AU352"/>
  <c r="AN352"/>
  <c r="AV352" s="1"/>
  <c r="AU205"/>
  <c r="AN205"/>
  <c r="AV205" s="1"/>
  <c r="AU255"/>
  <c r="AN255"/>
  <c r="AV255" s="1"/>
  <c r="AU321"/>
  <c r="AN321"/>
  <c r="AV321" s="1"/>
  <c r="AU266"/>
  <c r="AN266"/>
  <c r="AV266" s="1"/>
  <c r="AU291"/>
  <c r="AN291"/>
  <c r="AV291" s="1"/>
  <c r="AU202"/>
  <c r="AN202"/>
  <c r="AV202" s="1"/>
  <c r="AU236"/>
  <c r="AN236"/>
  <c r="AV236" s="1"/>
  <c r="AU219"/>
  <c r="AN219"/>
  <c r="AV219" s="1"/>
  <c r="AU349"/>
  <c r="AN349"/>
  <c r="AV349" s="1"/>
  <c r="AU226"/>
  <c r="AN226"/>
  <c r="AV226" s="1"/>
  <c r="AU246"/>
  <c r="AN246"/>
  <c r="AV246" s="1"/>
  <c r="AU341"/>
  <c r="AN341"/>
  <c r="AV341" s="1"/>
  <c r="AU338"/>
  <c r="AN338"/>
  <c r="AV338" s="1"/>
  <c r="AU269"/>
  <c r="AN269"/>
  <c r="AV269" s="1"/>
  <c r="AU283"/>
  <c r="AN283"/>
  <c r="AV283" s="1"/>
  <c r="AU334"/>
  <c r="AN334"/>
  <c r="AV334" s="1"/>
  <c r="AU49"/>
  <c r="AN49"/>
  <c r="AV49" s="1"/>
  <c r="AU106"/>
  <c r="AN106"/>
  <c r="AV106" s="1"/>
  <c r="AU76"/>
  <c r="AN76"/>
  <c r="AV76" s="1"/>
  <c r="AU55"/>
  <c r="AN55"/>
  <c r="AV55" s="1"/>
  <c r="AU75"/>
  <c r="AN75"/>
  <c r="AV75" s="1"/>
  <c r="AU48"/>
  <c r="AN48"/>
  <c r="AV48" s="1"/>
  <c r="AU60"/>
  <c r="AN60"/>
  <c r="AV60" s="1"/>
  <c r="AU152"/>
  <c r="AN152"/>
  <c r="AV152" s="1"/>
  <c r="AU137"/>
  <c r="AN137"/>
  <c r="AV137" s="1"/>
  <c r="AU130"/>
  <c r="AN130"/>
  <c r="AV130" s="1"/>
  <c r="AU141"/>
  <c r="AN141"/>
  <c r="AV141" s="1"/>
  <c r="AU84"/>
  <c r="AN84"/>
  <c r="AV84" s="1"/>
  <c r="AU73"/>
  <c r="AN73"/>
  <c r="AV73" s="1"/>
  <c r="AU83"/>
  <c r="AN83"/>
  <c r="AV83" s="1"/>
  <c r="AU44"/>
  <c r="AN44"/>
  <c r="AV44" s="1"/>
  <c r="AU113"/>
  <c r="AN113"/>
  <c r="AV113" s="1"/>
  <c r="AU165"/>
  <c r="AN165"/>
  <c r="AV165" s="1"/>
  <c r="AU140"/>
  <c r="AN140"/>
  <c r="AV140" s="1"/>
  <c r="AU183"/>
  <c r="AN183"/>
  <c r="AV183" s="1"/>
  <c r="AU78"/>
  <c r="AN78"/>
  <c r="AV78" s="1"/>
  <c r="AU51"/>
  <c r="AN51"/>
  <c r="AV51" s="1"/>
  <c r="AU66"/>
  <c r="AN66"/>
  <c r="AV66" s="1"/>
  <c r="AU85"/>
  <c r="AN85"/>
  <c r="AV85" s="1"/>
  <c r="AU135"/>
  <c r="AN135"/>
  <c r="AV135" s="1"/>
  <c r="AU122"/>
  <c r="AN122"/>
  <c r="AV122" s="1"/>
  <c r="AU175"/>
  <c r="AN175"/>
  <c r="AV175" s="1"/>
  <c r="AU164"/>
  <c r="AN164"/>
  <c r="AV164" s="1"/>
  <c r="AU46"/>
  <c r="AN46"/>
  <c r="AV46" s="1"/>
  <c r="AU61"/>
  <c r="AN61"/>
  <c r="AV61" s="1"/>
  <c r="AU156"/>
  <c r="AN156"/>
  <c r="AV156" s="1"/>
  <c r="AU180"/>
  <c r="AN180"/>
  <c r="AV180" s="1"/>
  <c r="AN178"/>
  <c r="AV178" s="1"/>
  <c r="AU178"/>
  <c r="AU147"/>
  <c r="AN147"/>
  <c r="AV147" s="1"/>
  <c r="AU87"/>
  <c r="AN87"/>
  <c r="AV87" s="1"/>
  <c r="AU109"/>
  <c r="AN109"/>
  <c r="AV109" s="1"/>
  <c r="AU45"/>
  <c r="AN45"/>
  <c r="AV45" s="1"/>
  <c r="AU150"/>
  <c r="AN150"/>
  <c r="AV150" s="1"/>
  <c r="AU182"/>
  <c r="AN182"/>
  <c r="AV182" s="1"/>
  <c r="AU170"/>
  <c r="AN170"/>
  <c r="AV170" s="1"/>
  <c r="AU176"/>
  <c r="AN176"/>
  <c r="AV176" s="1"/>
  <c r="AU62"/>
  <c r="AN62"/>
  <c r="AV62" s="1"/>
  <c r="AU56"/>
  <c r="AN56"/>
  <c r="AV56" s="1"/>
  <c r="AU167"/>
  <c r="AN167"/>
  <c r="AV167" s="1"/>
  <c r="AU132"/>
  <c r="AN132"/>
  <c r="AV132" s="1"/>
  <c r="AU173"/>
  <c r="AN173"/>
  <c r="AV173" s="1"/>
  <c r="AU169"/>
  <c r="AN169"/>
  <c r="AV169" s="1"/>
  <c r="AU187"/>
  <c r="AN187"/>
  <c r="AV187" s="1"/>
  <c r="AU220"/>
  <c r="AN220"/>
  <c r="AV220" s="1"/>
  <c r="AU347"/>
  <c r="AN347"/>
  <c r="AV347" s="1"/>
  <c r="AU293"/>
  <c r="AN293"/>
  <c r="AV293" s="1"/>
  <c r="AU231"/>
  <c r="AN231"/>
  <c r="AV231" s="1"/>
  <c r="AU211"/>
  <c r="AN211"/>
  <c r="AV211" s="1"/>
  <c r="AU192"/>
  <c r="AN192"/>
  <c r="AV192" s="1"/>
  <c r="AU343"/>
  <c r="AN343"/>
  <c r="AV343" s="1"/>
  <c r="AU251"/>
  <c r="AN251"/>
  <c r="AV251" s="1"/>
  <c r="AU307"/>
  <c r="AN307"/>
  <c r="AV307" s="1"/>
  <c r="AU327"/>
  <c r="AN327"/>
  <c r="AV327" s="1"/>
  <c r="AU224"/>
  <c r="AN224"/>
  <c r="AV224" s="1"/>
  <c r="AU342"/>
  <c r="AN342"/>
  <c r="AV342" s="1"/>
  <c r="AU284"/>
  <c r="AN284"/>
  <c r="AV284" s="1"/>
  <c r="AU209"/>
  <c r="AN209"/>
  <c r="AV209" s="1"/>
  <c r="AU288"/>
  <c r="AN288"/>
  <c r="AV288" s="1"/>
  <c r="AU268"/>
  <c r="AN268"/>
  <c r="AV268" s="1"/>
  <c r="AU301"/>
  <c r="AN301"/>
  <c r="AV301" s="1"/>
  <c r="AU203"/>
  <c r="AN203"/>
  <c r="AV203" s="1"/>
  <c r="AU234"/>
  <c r="AN234"/>
  <c r="AV234" s="1"/>
  <c r="AU230"/>
  <c r="AN230"/>
  <c r="AV230" s="1"/>
  <c r="AU344"/>
  <c r="AN344"/>
  <c r="AV344" s="1"/>
  <c r="AU308"/>
  <c r="AN308"/>
  <c r="AV308" s="1"/>
  <c r="AU282"/>
  <c r="AN282"/>
  <c r="AV282" s="1"/>
  <c r="AU339"/>
  <c r="AN339"/>
  <c r="AV339" s="1"/>
  <c r="AU337"/>
  <c r="AN337"/>
  <c r="AV337" s="1"/>
  <c r="AU325"/>
  <c r="AN325"/>
  <c r="AV325" s="1"/>
  <c r="AU286"/>
  <c r="AN286"/>
  <c r="AV286" s="1"/>
  <c r="AU324"/>
  <c r="AN324"/>
  <c r="AV324" s="1"/>
  <c r="AU336"/>
  <c r="AN336"/>
  <c r="AV336" s="1"/>
  <c r="AU326"/>
  <c r="AN326"/>
  <c r="AV326" s="1"/>
  <c r="AU227"/>
  <c r="AN227"/>
  <c r="AV227" s="1"/>
  <c r="AU316"/>
  <c r="AN316"/>
  <c r="AV316" s="1"/>
  <c r="AU353"/>
  <c r="AN353"/>
  <c r="AV353" s="1"/>
  <c r="AU305"/>
  <c r="AN305"/>
  <c r="AV305" s="1"/>
  <c r="AU196"/>
  <c r="AN196"/>
  <c r="AV196" s="1"/>
  <c r="AU332"/>
  <c r="AN332"/>
  <c r="AV332" s="1"/>
  <c r="AU208"/>
  <c r="AN208"/>
  <c r="AV208" s="1"/>
  <c r="AU213"/>
  <c r="AN213"/>
  <c r="AV213" s="1"/>
  <c r="AU331"/>
  <c r="AN331"/>
  <c r="AV331" s="1"/>
  <c r="AU281"/>
  <c r="AN281"/>
  <c r="AV281" s="1"/>
  <c r="AU328"/>
  <c r="AN328"/>
  <c r="AV328" s="1"/>
  <c r="AU218"/>
  <c r="AN218"/>
  <c r="AV218" s="1"/>
  <c r="AU237"/>
  <c r="AN237"/>
  <c r="AV237" s="1"/>
  <c r="AU253"/>
  <c r="AN253"/>
  <c r="AV253" s="1"/>
  <c r="AU278"/>
  <c r="AN278"/>
  <c r="AV278" s="1"/>
  <c r="AU330"/>
  <c r="AN330"/>
  <c r="AV330" s="1"/>
  <c r="AU256"/>
  <c r="AN256"/>
  <c r="AV256" s="1"/>
  <c r="AU252"/>
  <c r="AN252"/>
  <c r="AV252" s="1"/>
  <c r="AU333"/>
  <c r="AN333"/>
  <c r="AV333" s="1"/>
  <c r="AU320"/>
  <c r="AN320"/>
  <c r="AV320" s="1"/>
  <c r="AU272"/>
  <c r="AN272"/>
  <c r="AV272" s="1"/>
  <c r="AU232"/>
  <c r="AN232"/>
  <c r="AV232" s="1"/>
  <c r="AU303"/>
  <c r="AN303"/>
  <c r="AV303" s="1"/>
  <c r="AU311"/>
  <c r="AN311"/>
  <c r="AV311" s="1"/>
  <c r="AU193"/>
  <c r="AN193"/>
  <c r="AV193" s="1"/>
  <c r="AU95"/>
  <c r="AN95"/>
  <c r="AV95" s="1"/>
  <c r="AU71"/>
  <c r="AN71"/>
  <c r="AV71" s="1"/>
  <c r="AN42"/>
  <c r="AV42" s="1"/>
  <c r="AU42"/>
  <c r="AU108"/>
  <c r="AN108"/>
  <c r="AV108" s="1"/>
  <c r="AU47"/>
  <c r="AN47"/>
  <c r="AV47" s="1"/>
  <c r="AU129"/>
  <c r="AN129"/>
  <c r="AV129" s="1"/>
  <c r="AU131"/>
  <c r="AN131"/>
  <c r="AV131" s="1"/>
  <c r="AU153"/>
  <c r="AN153"/>
  <c r="AV153" s="1"/>
  <c r="AU120"/>
  <c r="AN120"/>
  <c r="AV120" s="1"/>
  <c r="AU94"/>
  <c r="AN94"/>
  <c r="AV94" s="1"/>
  <c r="AU70"/>
  <c r="AN70"/>
  <c r="AV70" s="1"/>
  <c r="AU96"/>
  <c r="AN96"/>
  <c r="AV96" s="1"/>
  <c r="AU116"/>
  <c r="AN116"/>
  <c r="AV116" s="1"/>
  <c r="AU101"/>
  <c r="AN101"/>
  <c r="AV101" s="1"/>
  <c r="AU89"/>
  <c r="AN89"/>
  <c r="AV89" s="1"/>
  <c r="AU177"/>
  <c r="AN177"/>
  <c r="AV177" s="1"/>
  <c r="AU157"/>
  <c r="AN157"/>
  <c r="AV157" s="1"/>
  <c r="AU151"/>
  <c r="AN151"/>
  <c r="AV151" s="1"/>
  <c r="AU154"/>
  <c r="AN154"/>
  <c r="AV154" s="1"/>
  <c r="AN64"/>
  <c r="AV64" s="1"/>
  <c r="AU64"/>
  <c r="AU103"/>
  <c r="AN103"/>
  <c r="AV103" s="1"/>
  <c r="AU88"/>
  <c r="AN88"/>
  <c r="AV88" s="1"/>
  <c r="AU53"/>
  <c r="AN53"/>
  <c r="AV53" s="1"/>
  <c r="AU149"/>
  <c r="AN149"/>
  <c r="AV149" s="1"/>
  <c r="AN126"/>
  <c r="AV126" s="1"/>
  <c r="AU126"/>
  <c r="AU181"/>
  <c r="AN181"/>
  <c r="AV181" s="1"/>
  <c r="AU155"/>
  <c r="AN155"/>
  <c r="AV155" s="1"/>
  <c r="AU107"/>
  <c r="AN107"/>
  <c r="AV107" s="1"/>
  <c r="AU105"/>
  <c r="AN105"/>
  <c r="AV105" s="1"/>
  <c r="AU112"/>
  <c r="AN112"/>
  <c r="AV112" s="1"/>
  <c r="AU124"/>
  <c r="AN124"/>
  <c r="AV124" s="1"/>
  <c r="AU172"/>
  <c r="AN172"/>
  <c r="AV172" s="1"/>
  <c r="AU162"/>
  <c r="AN162"/>
  <c r="AV162" s="1"/>
  <c r="AU123"/>
  <c r="AN123"/>
  <c r="AV123" s="1"/>
  <c r="AU100"/>
  <c r="AN100"/>
  <c r="AV100" s="1"/>
  <c r="AU68"/>
  <c r="AN68"/>
  <c r="AV68" s="1"/>
  <c r="AU99"/>
  <c r="AN99"/>
  <c r="AV99" s="1"/>
  <c r="AU77"/>
  <c r="AN77"/>
  <c r="AV77" s="1"/>
  <c r="AU58"/>
  <c r="AN58"/>
  <c r="AV58" s="1"/>
  <c r="AU179"/>
  <c r="AN179"/>
  <c r="AV179" s="1"/>
  <c r="AU127"/>
  <c r="AN127"/>
  <c r="AV127" s="1"/>
  <c r="AN158"/>
  <c r="AV158" s="1"/>
  <c r="AU158"/>
  <c r="AU163"/>
  <c r="AN163"/>
  <c r="AV163" s="1"/>
  <c r="AU110"/>
  <c r="AN110"/>
  <c r="AV110" s="1"/>
  <c r="AU63"/>
  <c r="AN63"/>
  <c r="AV63" s="1"/>
  <c r="AU104"/>
  <c r="AN104"/>
  <c r="AV104" s="1"/>
  <c r="AU174"/>
  <c r="AN174"/>
  <c r="AV174" s="1"/>
  <c r="AN185"/>
  <c r="AV185" s="1"/>
  <c r="AU185"/>
  <c r="AU136"/>
  <c r="AN136"/>
  <c r="AV136" s="1"/>
  <c r="AU121"/>
  <c r="AN121"/>
  <c r="AV121" s="1"/>
  <c r="AU287"/>
  <c r="AN287"/>
  <c r="AV287" s="1"/>
  <c r="AU216"/>
  <c r="AN216"/>
  <c r="AV216" s="1"/>
  <c r="AU315"/>
  <c r="AN315"/>
  <c r="AV315" s="1"/>
  <c r="AU310"/>
  <c r="AN310"/>
  <c r="AV310" s="1"/>
  <c r="AU217"/>
  <c r="AN217"/>
  <c r="AV217" s="1"/>
  <c r="AU195"/>
  <c r="AN195"/>
  <c r="AV195" s="1"/>
  <c r="AU244"/>
  <c r="AN244"/>
  <c r="AV244" s="1"/>
  <c r="AU191"/>
  <c r="AN191"/>
  <c r="AV191" s="1"/>
  <c r="AU274"/>
  <c r="AN274"/>
  <c r="AV274" s="1"/>
  <c r="AU296"/>
  <c r="AN296"/>
  <c r="AV296" s="1"/>
  <c r="AU270"/>
  <c r="AN270"/>
  <c r="AV270" s="1"/>
  <c r="AU300"/>
  <c r="AN300"/>
  <c r="AV300" s="1"/>
  <c r="AU188"/>
  <c r="AN188"/>
  <c r="AV188" s="1"/>
  <c r="AU273"/>
  <c r="AN273"/>
  <c r="AV273" s="1"/>
  <c r="AU194"/>
  <c r="AN194"/>
  <c r="AV194" s="1"/>
  <c r="AU210"/>
  <c r="AN210"/>
  <c r="AV210" s="1"/>
  <c r="AU313"/>
  <c r="AN313"/>
  <c r="AV313" s="1"/>
  <c r="AU351"/>
  <c r="AN351"/>
  <c r="AV351" s="1"/>
  <c r="AU277"/>
  <c r="AN277"/>
  <c r="AV277" s="1"/>
  <c r="AU225"/>
  <c r="AN225"/>
  <c r="AV225" s="1"/>
  <c r="AU318"/>
  <c r="AN318"/>
  <c r="AV318" s="1"/>
  <c r="AU248"/>
  <c r="AN248"/>
  <c r="AV248" s="1"/>
  <c r="AU279"/>
  <c r="AN279"/>
  <c r="AV279" s="1"/>
  <c r="AU322"/>
  <c r="AN322"/>
  <c r="AV322" s="1"/>
  <c r="AU290"/>
  <c r="AN290"/>
  <c r="AV290" s="1"/>
  <c r="AU304"/>
  <c r="AN304"/>
  <c r="AV304" s="1"/>
  <c r="AU302"/>
  <c r="AN302"/>
  <c r="AV302" s="1"/>
  <c r="AU306"/>
  <c r="AN306"/>
  <c r="AV306" s="1"/>
  <c r="AU275"/>
  <c r="AN275"/>
  <c r="AV275" s="1"/>
  <c r="AU323"/>
  <c r="AN323"/>
  <c r="AV323" s="1"/>
  <c r="AU258"/>
  <c r="AN258"/>
  <c r="AV258" s="1"/>
  <c r="AU265"/>
  <c r="AN265"/>
  <c r="AV265" s="1"/>
  <c r="AU289"/>
  <c r="AN289"/>
  <c r="AV289" s="1"/>
  <c r="AU199"/>
  <c r="AN199"/>
  <c r="AV199" s="1"/>
  <c r="AU312"/>
  <c r="AN312"/>
  <c r="AV312" s="1"/>
  <c r="AU239"/>
  <c r="AN239"/>
  <c r="AV239" s="1"/>
  <c r="AU345"/>
  <c r="AN345"/>
  <c r="AV345" s="1"/>
  <c r="AU197"/>
  <c r="AN197"/>
  <c r="AV197" s="1"/>
  <c r="AU292"/>
  <c r="AN292"/>
  <c r="AV292" s="1"/>
  <c r="AU309"/>
  <c r="AN309"/>
  <c r="AV309" s="1"/>
  <c r="AU233"/>
  <c r="AN233"/>
  <c r="AV233" s="1"/>
  <c r="AU243"/>
  <c r="AN243"/>
  <c r="AV243" s="1"/>
  <c r="AU314"/>
  <c r="AN314"/>
  <c r="AV314" s="1"/>
  <c r="AU329"/>
  <c r="AN329"/>
  <c r="AV329" s="1"/>
  <c r="AU212"/>
  <c r="AN212"/>
  <c r="AV212" s="1"/>
  <c r="AU271"/>
  <c r="AN271"/>
  <c r="AV271" s="1"/>
  <c r="AU285"/>
  <c r="AN285"/>
  <c r="AV285" s="1"/>
  <c r="AU207"/>
  <c r="AN207"/>
  <c r="AV207" s="1"/>
  <c r="AU204"/>
  <c r="AN204"/>
  <c r="AV204" s="1"/>
  <c r="AU245"/>
  <c r="AN245"/>
  <c r="AV245" s="1"/>
  <c r="AU221"/>
  <c r="AN221"/>
  <c r="AV221" s="1"/>
  <c r="AU223"/>
  <c r="AN223"/>
  <c r="AV223" s="1"/>
  <c r="AU348"/>
  <c r="AN348"/>
  <c r="AV348" s="1"/>
  <c r="AU235"/>
  <c r="AN235"/>
  <c r="AV235" s="1"/>
  <c r="AU206"/>
  <c r="AN206"/>
  <c r="AV206" s="1"/>
  <c r="CV33" l="1"/>
  <c r="CV38"/>
  <c r="CV40"/>
  <c r="CV42"/>
  <c r="CV35"/>
  <c r="CV37"/>
  <c r="CV36"/>
  <c r="CV41"/>
  <c r="CV32"/>
  <c r="CV39"/>
  <c r="CV34"/>
  <c r="CT36" l="1"/>
  <c r="CT42"/>
  <c r="CT33"/>
  <c r="CT39"/>
  <c r="CT41"/>
  <c r="CT35"/>
  <c r="CT38"/>
  <c r="CT34"/>
  <c r="CT32"/>
  <c r="CT37"/>
  <c r="CT40"/>
  <c r="AP32" l="1"/>
  <c r="AP40"/>
  <c r="AP33"/>
  <c r="AP37"/>
  <c r="AP38"/>
  <c r="AP39"/>
  <c r="AP34"/>
  <c r="AP36"/>
  <c r="AP35"/>
  <c r="AP41"/>
  <c r="AP31"/>
  <c r="AJ41"/>
  <c r="AJ33"/>
  <c r="AJ38"/>
  <c r="AJ39"/>
  <c r="AJ37"/>
  <c r="AJ35"/>
  <c r="AJ36"/>
  <c r="AJ40"/>
  <c r="AJ31"/>
  <c r="AJ32"/>
  <c r="AJ34"/>
  <c r="AI33"/>
  <c r="AI31"/>
  <c r="AI34"/>
  <c r="AI41"/>
  <c r="AI32"/>
  <c r="AI36"/>
  <c r="AI40"/>
  <c r="AI39"/>
  <c r="AI35"/>
  <c r="AI37"/>
  <c r="AI38"/>
  <c r="AL39"/>
  <c r="AL38"/>
  <c r="AL34"/>
  <c r="AL35"/>
  <c r="AL41"/>
  <c r="AL32"/>
  <c r="AL36"/>
  <c r="AL33"/>
  <c r="AL40"/>
  <c r="AL37"/>
  <c r="AL31"/>
  <c r="AO33"/>
  <c r="AO40"/>
  <c r="AO38"/>
  <c r="AO32"/>
  <c r="AO31"/>
  <c r="AO35"/>
  <c r="AO41"/>
  <c r="AO34"/>
  <c r="AO36"/>
  <c r="AO39"/>
  <c r="AO37"/>
  <c r="AM37" l="1"/>
  <c r="AW37"/>
  <c r="AM39"/>
  <c r="AW39"/>
  <c r="AM36"/>
  <c r="AW36"/>
  <c r="AM34"/>
  <c r="AW34"/>
  <c r="AM41"/>
  <c r="AW41"/>
  <c r="AM35"/>
  <c r="AW35"/>
  <c r="AM31"/>
  <c r="AW31"/>
  <c r="AM32"/>
  <c r="AW32"/>
  <c r="AM38"/>
  <c r="AW38"/>
  <c r="AM40"/>
  <c r="AW40"/>
  <c r="AM33"/>
  <c r="AW33"/>
  <c r="AT31"/>
  <c r="BA31" s="1"/>
  <c r="BH32" s="1"/>
  <c r="BK32" s="1"/>
  <c r="AT37"/>
  <c r="BA37" s="1"/>
  <c r="BH38" s="1"/>
  <c r="BK38" s="1"/>
  <c r="AT40"/>
  <c r="BA40" s="1"/>
  <c r="BH41" s="1"/>
  <c r="BK41" s="1"/>
  <c r="AT33"/>
  <c r="BA33" s="1"/>
  <c r="BH34" s="1"/>
  <c r="BK34" s="1"/>
  <c r="AT36"/>
  <c r="BA36" s="1"/>
  <c r="BH37" s="1"/>
  <c r="BK37" s="1"/>
  <c r="AT32"/>
  <c r="BA32" s="1"/>
  <c r="BH33" s="1"/>
  <c r="BK33" s="1"/>
  <c r="AT41"/>
  <c r="BA41" s="1"/>
  <c r="BH42" s="1"/>
  <c r="BK42" s="1"/>
  <c r="AT35"/>
  <c r="BA35" s="1"/>
  <c r="BH36" s="1"/>
  <c r="BK36" s="1"/>
  <c r="AT34"/>
  <c r="BA34" s="1"/>
  <c r="BH35" s="1"/>
  <c r="BK35" s="1"/>
  <c r="AT38"/>
  <c r="BA38" s="1"/>
  <c r="BH39" s="1"/>
  <c r="BK39" s="1"/>
  <c r="AT39"/>
  <c r="BA39" s="1"/>
  <c r="BH40" s="1"/>
  <c r="BK40" s="1"/>
  <c r="AQ38"/>
  <c r="AQ37"/>
  <c r="AQ35"/>
  <c r="AQ39"/>
  <c r="AQ40"/>
  <c r="AQ36"/>
  <c r="AQ32"/>
  <c r="AQ41"/>
  <c r="AQ34"/>
  <c r="AQ31"/>
  <c r="AQ33"/>
  <c r="AK34"/>
  <c r="AS34" s="1"/>
  <c r="AR34"/>
  <c r="AK32"/>
  <c r="AS32" s="1"/>
  <c r="AR32"/>
  <c r="AK31"/>
  <c r="AS31" s="1"/>
  <c r="AR31"/>
  <c r="AK40"/>
  <c r="AS40" s="1"/>
  <c r="AR40"/>
  <c r="AR36"/>
  <c r="AK36"/>
  <c r="AS36" s="1"/>
  <c r="AK35"/>
  <c r="AS35" s="1"/>
  <c r="AR35"/>
  <c r="AK37"/>
  <c r="AS37" s="1"/>
  <c r="AR37"/>
  <c r="AK39"/>
  <c r="AS39" s="1"/>
  <c r="AR39"/>
  <c r="AK38"/>
  <c r="AS38" s="1"/>
  <c r="AR38"/>
  <c r="AK33"/>
  <c r="AS33" s="1"/>
  <c r="AR33"/>
  <c r="AK41"/>
  <c r="AS41" s="1"/>
  <c r="AR41"/>
  <c r="AX31"/>
  <c r="AX41"/>
  <c r="AX35"/>
  <c r="AX36"/>
  <c r="AX34"/>
  <c r="AX39"/>
  <c r="AX38"/>
  <c r="AX37"/>
  <c r="AX33"/>
  <c r="AX40"/>
  <c r="AX32"/>
  <c r="AN38" l="1"/>
  <c r="AV38" s="1"/>
  <c r="AU38"/>
  <c r="AN35"/>
  <c r="AV35" s="1"/>
  <c r="AU35"/>
  <c r="AN36"/>
  <c r="AV36" s="1"/>
  <c r="AU36"/>
  <c r="AN37"/>
  <c r="AV37" s="1"/>
  <c r="AU37"/>
  <c r="AN40"/>
  <c r="AV40" s="1"/>
  <c r="AU40"/>
  <c r="AU31"/>
  <c r="AN31"/>
  <c r="AV31" s="1"/>
  <c r="AN34"/>
  <c r="AV34" s="1"/>
  <c r="AU34"/>
  <c r="AN39"/>
  <c r="AV39" s="1"/>
  <c r="AU39"/>
  <c r="AU33"/>
  <c r="AN33"/>
  <c r="AV33" s="1"/>
  <c r="AN32"/>
  <c r="AV32" s="1"/>
  <c r="AU32"/>
  <c r="AU41"/>
  <c r="AN41"/>
  <c r="AV41" s="1"/>
  <c r="CZ31" l="1"/>
  <c r="DG32"/>
  <c r="DJ32" s="1"/>
  <c r="CW38"/>
  <c r="CW33"/>
  <c r="CS37"/>
  <c r="CZ37"/>
  <c r="DG38"/>
  <c r="DJ38" s="1"/>
  <c r="CS39"/>
  <c r="CZ39"/>
  <c r="DG40"/>
  <c r="DJ40" s="1"/>
  <c r="CW41"/>
  <c r="CW36"/>
  <c r="CW35"/>
  <c r="CW37"/>
  <c r="CS41"/>
  <c r="CZ41"/>
  <c r="DG42"/>
  <c r="DJ42" s="1"/>
  <c r="CS33"/>
  <c r="CZ33"/>
  <c r="DG34"/>
  <c r="DJ34" s="1"/>
  <c r="CS34"/>
  <c r="CZ34"/>
  <c r="DG35"/>
  <c r="DJ35" s="1"/>
  <c r="CS36"/>
  <c r="CZ36"/>
  <c r="DG37"/>
  <c r="DJ37" s="1"/>
  <c r="CS35"/>
  <c r="CZ35"/>
  <c r="DG36"/>
  <c r="DJ36" s="1"/>
  <c r="CS32"/>
  <c r="CZ32"/>
  <c r="DG33"/>
  <c r="DJ33" s="1"/>
  <c r="CW32"/>
  <c r="CW34"/>
  <c r="CU39"/>
  <c r="DG31"/>
  <c r="DJ31" s="1"/>
  <c r="CS42"/>
  <c r="CW40"/>
  <c r="CU38"/>
  <c r="CS38"/>
  <c r="CZ38"/>
  <c r="DG39"/>
  <c r="DJ39" s="1"/>
  <c r="CS40"/>
  <c r="CZ40"/>
  <c r="DG41"/>
  <c r="DJ41" s="1"/>
  <c r="CW42"/>
  <c r="CW39"/>
  <c r="CU37"/>
  <c r="CU40"/>
  <c r="CU41"/>
  <c r="CR38"/>
  <c r="CQ34"/>
  <c r="CQ39"/>
  <c r="CP32"/>
  <c r="CU34"/>
  <c r="CR33"/>
  <c r="CQ37"/>
  <c r="CQ40"/>
  <c r="CP41"/>
  <c r="CU35"/>
  <c r="CR40"/>
  <c r="CR35"/>
  <c r="CR39"/>
  <c r="CQ33"/>
  <c r="CQ38"/>
  <c r="CR36"/>
  <c r="CQ36"/>
  <c r="CQ35"/>
  <c r="CQ42"/>
  <c r="CP34"/>
  <c r="CU42"/>
  <c r="CU33"/>
  <c r="CR41"/>
  <c r="CR42"/>
  <c r="CQ41"/>
  <c r="CP36"/>
  <c r="CU32"/>
  <c r="CU36"/>
  <c r="CR34"/>
  <c r="CR37"/>
  <c r="CR32"/>
  <c r="CQ32"/>
  <c r="CP35"/>
  <c r="CP39"/>
  <c r="CP38"/>
  <c r="CP37"/>
  <c r="CP42"/>
  <c r="CP33"/>
  <c r="CP40"/>
  <c r="J6" l="1"/>
  <c r="J5"/>
  <c r="BD34" i="7" l="1"/>
  <c r="BK34" s="1"/>
  <c r="BL35" s="1"/>
  <c r="BN35" s="1"/>
  <c r="BD36"/>
  <c r="BK36" s="1"/>
  <c r="BL37" s="1"/>
  <c r="BN37" s="1"/>
  <c r="BD35"/>
  <c r="BK35" s="1"/>
  <c r="BL36" s="1"/>
  <c r="BN36" s="1"/>
  <c r="BD37"/>
  <c r="BD30"/>
  <c r="BK30" s="1"/>
  <c r="BL31" s="1"/>
  <c r="BN31" s="1"/>
  <c r="BD33"/>
  <c r="BK33" s="1"/>
  <c r="BL34" s="1"/>
  <c r="BN34" s="1"/>
  <c r="BD26"/>
  <c r="BK26" s="1"/>
  <c r="BL27" s="1"/>
  <c r="BN27" s="1"/>
  <c r="BD31"/>
  <c r="BK31" s="1"/>
  <c r="BL32" s="1"/>
  <c r="BN32" s="1"/>
  <c r="BD28"/>
  <c r="BK28" s="1"/>
  <c r="BL29" s="1"/>
  <c r="BN29" s="1"/>
  <c r="BD27"/>
  <c r="BK27" s="1"/>
  <c r="BL28" s="1"/>
  <c r="BN28" s="1"/>
  <c r="BD29"/>
  <c r="BK29" s="1"/>
  <c r="BL30" s="1"/>
  <c r="BN30" s="1"/>
  <c r="BD32"/>
  <c r="BK32" s="1"/>
  <c r="BL33" s="1"/>
  <c r="BN33" s="1"/>
  <c r="BG34" l="1"/>
  <c r="AW34"/>
  <c r="BG36"/>
  <c r="AW36"/>
  <c r="BG35"/>
  <c r="AW35"/>
  <c r="BG37"/>
  <c r="AW37"/>
  <c r="BG32"/>
  <c r="AW32"/>
  <c r="BG28"/>
  <c r="AW28"/>
  <c r="BG29"/>
  <c r="AW29"/>
  <c r="BG33"/>
  <c r="AW33"/>
  <c r="BG27"/>
  <c r="AW27"/>
  <c r="BG26"/>
  <c r="AW26"/>
  <c r="BG31"/>
  <c r="AW31"/>
  <c r="BG30"/>
  <c r="AW30"/>
  <c r="AX37" l="1"/>
  <c r="BF37" s="1"/>
  <c r="BE37"/>
  <c r="BE34"/>
  <c r="AX34"/>
  <c r="BF34" s="1"/>
  <c r="BE36"/>
  <c r="AX36"/>
  <c r="BF36" s="1"/>
  <c r="BE35"/>
  <c r="AX35"/>
  <c r="BF35" s="1"/>
  <c r="BE31"/>
  <c r="AX31"/>
  <c r="BF31" s="1"/>
  <c r="BE33"/>
  <c r="AX33"/>
  <c r="BF33" s="1"/>
  <c r="BE32"/>
  <c r="AX32"/>
  <c r="BF32" s="1"/>
  <c r="AX30"/>
  <c r="BF30" s="1"/>
  <c r="BE30"/>
  <c r="BE27"/>
  <c r="AX27"/>
  <c r="BF27" s="1"/>
  <c r="AX28"/>
  <c r="BF28" s="1"/>
  <c r="BE28"/>
  <c r="AX26"/>
  <c r="BF26" s="1"/>
  <c r="BE26"/>
  <c r="BE29"/>
  <c r="AX29"/>
  <c r="BF29" s="1"/>
  <c r="BB36" l="1"/>
  <c r="AU36"/>
  <c r="BC36" s="1"/>
  <c r="U36"/>
  <c r="U37"/>
  <c r="U35"/>
  <c r="U34"/>
  <c r="AU37"/>
  <c r="BC37" s="1"/>
  <c r="BB37"/>
  <c r="BB35"/>
  <c r="AU35"/>
  <c r="BC35" s="1"/>
  <c r="BB34"/>
  <c r="AU34"/>
  <c r="BC34" s="1"/>
  <c r="BB29"/>
  <c r="AU29"/>
  <c r="BC29" s="1"/>
  <c r="U32"/>
  <c r="U31"/>
  <c r="U33"/>
  <c r="U29"/>
  <c r="U27"/>
  <c r="U30"/>
  <c r="U28"/>
  <c r="U26"/>
  <c r="BB32"/>
  <c r="AU32"/>
  <c r="BC32" s="1"/>
  <c r="AU33"/>
  <c r="BC33" s="1"/>
  <c r="BB33"/>
  <c r="BB31"/>
  <c r="AU31"/>
  <c r="BC31" s="1"/>
  <c r="BB28"/>
  <c r="AU28"/>
  <c r="BC28" s="1"/>
  <c r="BB26"/>
  <c r="AU26"/>
  <c r="BC26" s="1"/>
  <c r="AU30"/>
  <c r="BC30" s="1"/>
  <c r="BB30"/>
  <c r="BB27"/>
  <c r="AU27"/>
  <c r="BC27" s="1"/>
  <c r="BH31"/>
  <c r="BH33"/>
  <c r="BH32"/>
  <c r="BH35"/>
  <c r="BH28"/>
  <c r="BH27"/>
  <c r="BH26"/>
  <c r="BK25"/>
  <c r="BL26"/>
  <c r="BN26" s="1"/>
  <c r="BH34"/>
  <c r="BH29"/>
  <c r="BH37"/>
  <c r="BH30"/>
  <c r="BH36"/>
  <c r="BA35"/>
  <c r="BA27"/>
  <c r="BA37"/>
  <c r="BA33"/>
  <c r="BA34"/>
  <c r="BA28"/>
  <c r="BA32"/>
  <c r="BA31"/>
  <c r="BA36"/>
  <c r="BA26"/>
  <c r="BA30"/>
  <c r="BA29"/>
  <c r="DG25" i="10" l="1"/>
  <c r="DJ25" s="1"/>
  <c r="DG20"/>
  <c r="DJ20" s="1"/>
  <c r="DG26"/>
  <c r="DJ26" s="1"/>
  <c r="DG24"/>
  <c r="DJ24" s="1"/>
  <c r="DG23"/>
  <c r="DJ23" s="1"/>
  <c r="DG29"/>
  <c r="DJ29" s="1"/>
  <c r="DG28"/>
  <c r="DJ28" s="1"/>
  <c r="DG27"/>
  <c r="DJ27" s="1"/>
  <c r="DG22"/>
  <c r="DJ22" s="1"/>
  <c r="DG21"/>
  <c r="DJ21" s="1"/>
  <c r="DG30"/>
  <c r="DJ30" s="1"/>
  <c r="DG19"/>
  <c r="DJ19" s="1"/>
  <c r="BC60" i="16" l="1" a="1"/>
  <c r="BG60" i="1" l="1" a="1"/>
  <c r="AO30" i="10" l="1"/>
  <c r="AW30" l="1"/>
  <c r="AL30"/>
  <c r="AT30" l="1"/>
  <c r="BA30" s="1"/>
  <c r="BH31" s="1"/>
  <c r="BK31" s="1"/>
  <c r="AM30"/>
  <c r="AU30" l="1"/>
  <c r="AN30"/>
  <c r="AV30" s="1"/>
  <c r="AI30" l="1"/>
  <c r="AQ30" l="1"/>
  <c r="AJ30" l="1"/>
  <c r="AK30" l="1"/>
  <c r="AS30" s="1"/>
  <c r="AR30"/>
  <c r="AP30" l="1"/>
  <c r="AX30" l="1"/>
  <c r="BH19" l="1"/>
  <c r="BK19" s="1"/>
  <c r="CV31" l="1"/>
  <c r="CT31" l="1"/>
  <c r="BC59" i="18" l="1" a="1"/>
  <c r="CW24" i="16" l="1"/>
  <c r="AP16" s="1"/>
  <c r="AR16" s="1"/>
  <c r="CW23"/>
  <c r="AP15"/>
  <c r="AR15" s="1"/>
  <c r="CW30"/>
  <c r="AP22" s="1"/>
  <c r="AR22" s="1"/>
  <c r="CW25"/>
  <c r="AP17" s="1"/>
  <c r="AR17" s="1"/>
  <c r="CW26"/>
  <c r="AP18" s="1"/>
  <c r="AR18" s="1"/>
  <c r="CW27"/>
  <c r="AP19" s="1"/>
  <c r="AR19" s="1"/>
  <c r="CW28"/>
  <c r="AP20" s="1"/>
  <c r="AR20" s="1"/>
  <c r="CW29"/>
  <c r="AP21"/>
  <c r="AR21" s="1"/>
  <c r="CV21" i="1"/>
  <c r="CW21" s="1"/>
  <c r="CX21" s="1"/>
  <c r="AR18" s="1"/>
  <c r="AU18" s="1"/>
  <c r="CV22"/>
  <c r="CW22" s="1"/>
  <c r="CX22" s="1"/>
  <c r="AR19" s="1"/>
  <c r="AU19" s="1"/>
  <c r="CV23"/>
  <c r="CW23" s="1"/>
  <c r="CX23" s="1"/>
  <c r="AR20" s="1"/>
  <c r="AU20" s="1"/>
  <c r="CV24"/>
  <c r="CW24" s="1"/>
  <c r="CX24" s="1"/>
  <c r="AR21" s="1"/>
  <c r="AU21" s="1"/>
  <c r="CV25"/>
  <c r="CW25" s="1"/>
  <c r="CX25" s="1"/>
  <c r="AR22" s="1"/>
  <c r="AU22" s="1"/>
  <c r="CV26"/>
  <c r="CW26" s="1"/>
  <c r="CX26" s="1"/>
  <c r="AR23" s="1"/>
  <c r="AU23" s="1"/>
  <c r="CV27" l="1"/>
  <c r="CW31" i="16"/>
  <c r="CV28" i="1" l="1"/>
  <c r="CW28" s="1"/>
  <c r="CX28" s="1"/>
  <c r="AR25" s="1"/>
  <c r="AU25" s="1"/>
  <c r="CW27"/>
  <c r="CX27" s="1"/>
  <c r="AR24" s="1"/>
  <c r="AU24" s="1"/>
  <c r="CW32" i="16"/>
  <c r="AP23"/>
  <c r="AR23" s="1"/>
  <c r="AP24" l="1"/>
  <c r="AR24" s="1"/>
  <c r="CW33"/>
  <c r="CW34" l="1"/>
  <c r="AP26" s="1"/>
  <c r="AR26" s="1"/>
  <c r="AP25"/>
  <c r="AR25" s="1"/>
  <c r="BC51"/>
  <c r="BX7" a="1"/>
  <c r="BW7" a="1"/>
  <c r="BU7" a="1"/>
  <c r="BV7" a="1"/>
  <c r="BV27" l="1"/>
  <c r="BV12"/>
  <c r="BV21"/>
  <c r="BV23"/>
  <c r="BV26"/>
  <c r="BV28"/>
  <c r="BV8"/>
  <c r="BV7"/>
  <c r="BV30"/>
  <c r="BV13"/>
  <c r="BV19"/>
  <c r="BV22"/>
  <c r="BV16"/>
  <c r="BV9"/>
  <c r="BV25"/>
  <c r="BV11"/>
  <c r="BV29"/>
  <c r="BV18"/>
  <c r="BV24"/>
  <c r="BV20"/>
  <c r="BV10"/>
  <c r="BV17"/>
  <c r="BV14"/>
  <c r="BV15"/>
  <c r="BU17"/>
  <c r="BU28"/>
  <c r="BU11"/>
  <c r="BU9"/>
  <c r="BU18"/>
  <c r="BU8"/>
  <c r="BU27"/>
  <c r="BU23"/>
  <c r="BU19"/>
  <c r="BU25"/>
  <c r="BU30"/>
  <c r="BU20"/>
  <c r="BU7"/>
  <c r="BU21"/>
  <c r="BU15"/>
  <c r="BU16"/>
  <c r="BU24"/>
  <c r="BU29"/>
  <c r="BU12"/>
  <c r="BU13"/>
  <c r="BU22"/>
  <c r="BU10"/>
  <c r="BU14"/>
  <c r="BU26"/>
  <c r="BW27"/>
  <c r="BW20"/>
  <c r="BW8"/>
  <c r="BW17"/>
  <c r="BW12"/>
  <c r="BW28"/>
  <c r="BW25"/>
  <c r="BW19"/>
  <c r="BW21"/>
  <c r="BW24"/>
  <c r="BW10"/>
  <c r="BW16"/>
  <c r="BW23"/>
  <c r="BW26"/>
  <c r="BW13"/>
  <c r="BW18"/>
  <c r="BW7"/>
  <c r="BW14"/>
  <c r="BW9"/>
  <c r="BW11"/>
  <c r="BW22"/>
  <c r="BW15"/>
  <c r="BW29"/>
  <c r="BW30"/>
  <c r="BX11"/>
  <c r="BX18"/>
  <c r="BX8"/>
  <c r="BX30"/>
  <c r="BX14"/>
  <c r="BX21"/>
  <c r="BX7"/>
  <c r="BX12"/>
  <c r="BX17"/>
  <c r="BX26"/>
  <c r="BX28"/>
  <c r="BX24"/>
  <c r="BX22"/>
  <c r="BX15"/>
  <c r="BX10"/>
  <c r="BX19"/>
  <c r="BX9"/>
  <c r="BX23"/>
  <c r="BX25"/>
  <c r="BX20"/>
  <c r="BX16"/>
  <c r="BX27"/>
  <c r="BX29"/>
  <c r="BX13"/>
  <c r="BC54"/>
  <c r="BC62" s="1"/>
  <c r="BG52" i="1"/>
  <c r="BZ7" a="1"/>
  <c r="CA7" a="1"/>
  <c r="BY7" a="1"/>
  <c r="BY20" l="1"/>
  <c r="BY18"/>
  <c r="BY24"/>
  <c r="BY9"/>
  <c r="BY13"/>
  <c r="BY15"/>
  <c r="BY26"/>
  <c r="BY16"/>
  <c r="BY27"/>
  <c r="BY25"/>
  <c r="BY10"/>
  <c r="BY14"/>
  <c r="BY12"/>
  <c r="BY17"/>
  <c r="BY11"/>
  <c r="BY22"/>
  <c r="BY21"/>
  <c r="BY19"/>
  <c r="BY7"/>
  <c r="BY23"/>
  <c r="BY8"/>
  <c r="CA23"/>
  <c r="CA10"/>
  <c r="CA9"/>
  <c r="CA21"/>
  <c r="CA19"/>
  <c r="CA13"/>
  <c r="CA7"/>
  <c r="CA24"/>
  <c r="CA12"/>
  <c r="CA8"/>
  <c r="CA15"/>
  <c r="CA17"/>
  <c r="CA27"/>
  <c r="CA16"/>
  <c r="CA14"/>
  <c r="CA18"/>
  <c r="CA25"/>
  <c r="CA26"/>
  <c r="CA22"/>
  <c r="CA20"/>
  <c r="CA11"/>
  <c r="BZ9"/>
  <c r="BZ14"/>
  <c r="BZ21"/>
  <c r="BZ7"/>
  <c r="BZ10"/>
  <c r="BZ11"/>
  <c r="BZ26"/>
  <c r="BZ27"/>
  <c r="BZ16"/>
  <c r="BZ19"/>
  <c r="BZ18"/>
  <c r="BZ24"/>
  <c r="BZ8"/>
  <c r="BZ12"/>
  <c r="BZ17"/>
  <c r="BZ25"/>
  <c r="BZ15"/>
  <c r="BZ20"/>
  <c r="BZ22"/>
  <c r="BZ13"/>
  <c r="BZ23"/>
  <c r="BG55"/>
  <c r="BC52" i="16"/>
  <c r="BG62" i="1" l="1"/>
  <c r="BC60" i="16"/>
  <c r="FN7" i="12"/>
  <c r="BC55" i="16"/>
  <c r="BC63" l="1"/>
  <c r="BC56"/>
  <c r="BC64" l="1"/>
  <c r="BC53"/>
  <c r="BC61" l="1"/>
  <c r="BG56" i="1"/>
  <c r="BG57" l="1"/>
  <c r="BG63"/>
  <c r="BG53"/>
  <c r="BG64" l="1"/>
  <c r="BG60"/>
  <c r="BG54"/>
  <c r="BG61" l="1"/>
  <c r="AP16" i="18"/>
  <c r="AR16" s="1"/>
  <c r="CW28"/>
  <c r="AP20" s="1"/>
  <c r="AR20" s="1"/>
  <c r="CW29"/>
  <c r="AP21" s="1"/>
  <c r="AR21" s="1"/>
  <c r="CW23" i="5"/>
  <c r="AP15" s="1"/>
  <c r="AR15" s="1"/>
  <c r="CW25"/>
  <c r="AP17" s="1"/>
  <c r="AR17" s="1"/>
  <c r="CW24"/>
  <c r="AP16" s="1"/>
  <c r="AR16" s="1"/>
  <c r="CW26"/>
  <c r="AP18" s="1"/>
  <c r="AR18" s="1"/>
  <c r="CW27"/>
  <c r="AP19" s="1"/>
  <c r="AR19" s="1"/>
  <c r="CW28"/>
  <c r="AP20" s="1"/>
  <c r="AR20" s="1"/>
  <c r="CW29"/>
  <c r="AP21" s="1"/>
  <c r="AR21" s="1"/>
  <c r="CW30"/>
  <c r="CW31" s="1"/>
  <c r="CW27" i="18"/>
  <c r="AP19" s="1"/>
  <c r="AR19" s="1"/>
  <c r="CW26"/>
  <c r="AP18" s="1"/>
  <c r="AR18" s="1"/>
  <c r="CW25"/>
  <c r="AP17" s="1"/>
  <c r="AR17" s="1"/>
  <c r="CW24"/>
  <c r="CW23"/>
  <c r="AP15"/>
  <c r="AR15" s="1"/>
  <c r="AP22" i="5" l="1"/>
  <c r="AR22" s="1"/>
  <c r="AP23"/>
  <c r="AR23" s="1"/>
  <c r="CW32"/>
  <c r="CW30" i="18"/>
  <c r="AP22" l="1"/>
  <c r="AR22" s="1"/>
  <c r="CW31"/>
  <c r="CW33" i="5"/>
  <c r="AP24"/>
  <c r="AR24" s="1"/>
  <c r="CW32" i="18" l="1"/>
  <c r="AP23"/>
  <c r="AR23" s="1"/>
  <c r="CW34" i="5"/>
  <c r="AP26" s="1"/>
  <c r="AR26" s="1"/>
  <c r="AP25"/>
  <c r="AR25" s="1"/>
  <c r="CW33" i="18" l="1"/>
  <c r="AP24"/>
  <c r="AR24" s="1"/>
  <c r="CW34" l="1"/>
  <c r="AP26" s="1"/>
  <c r="AR26" s="1"/>
  <c r="AP25"/>
  <c r="AR25" s="1"/>
  <c r="BC50"/>
  <c r="BW7" a="1"/>
  <c r="BU7" a="1"/>
  <c r="BV7" a="1"/>
  <c r="BX7" a="1"/>
  <c r="BX8" l="1"/>
  <c r="BX13"/>
  <c r="BX9"/>
  <c r="BX10"/>
  <c r="BX21"/>
  <c r="BX20"/>
  <c r="BX15"/>
  <c r="BX28"/>
  <c r="BX19"/>
  <c r="BX25"/>
  <c r="BX7"/>
  <c r="BX27"/>
  <c r="BX23"/>
  <c r="BX22"/>
  <c r="BX17"/>
  <c r="BX12"/>
  <c r="BX24"/>
  <c r="BX16"/>
  <c r="BX26"/>
  <c r="BX11"/>
  <c r="BX14"/>
  <c r="BX18"/>
  <c r="BV13"/>
  <c r="BV7"/>
  <c r="BV8"/>
  <c r="BV10"/>
  <c r="BV21"/>
  <c r="BV24"/>
  <c r="BV25"/>
  <c r="BV26"/>
  <c r="BV15"/>
  <c r="BV27"/>
  <c r="BV16"/>
  <c r="BV11"/>
  <c r="BV20"/>
  <c r="BV14"/>
  <c r="BV23"/>
  <c r="BV19"/>
  <c r="BV12"/>
  <c r="BV9"/>
  <c r="BV22"/>
  <c r="BV18"/>
  <c r="BV28"/>
  <c r="BV17"/>
  <c r="BU17"/>
  <c r="BU25"/>
  <c r="BU19"/>
  <c r="BU26"/>
  <c r="BU14"/>
  <c r="BU28"/>
  <c r="BU24"/>
  <c r="BU9"/>
  <c r="BU21"/>
  <c r="BU13"/>
  <c r="BU10"/>
  <c r="BU16"/>
  <c r="BU8"/>
  <c r="BU12"/>
  <c r="BU15"/>
  <c r="BU7"/>
  <c r="BU27"/>
  <c r="BU18"/>
  <c r="BU11"/>
  <c r="BU23"/>
  <c r="BU22"/>
  <c r="BU20"/>
  <c r="BW24"/>
  <c r="BW21"/>
  <c r="BW13"/>
  <c r="BW9"/>
  <c r="BW14"/>
  <c r="BW12"/>
  <c r="BW16"/>
  <c r="BW19"/>
  <c r="BW28"/>
  <c r="BW22"/>
  <c r="BW27"/>
  <c r="BW18"/>
  <c r="BW26"/>
  <c r="BW8"/>
  <c r="BW7"/>
  <c r="BW17"/>
  <c r="BW10"/>
  <c r="BW23"/>
  <c r="BW11"/>
  <c r="BW20"/>
  <c r="BW25"/>
  <c r="BW15"/>
  <c r="BC53"/>
  <c r="BC61" s="1"/>
  <c r="BC48" i="5"/>
  <c r="BC59" i="16"/>
  <c r="CE15" i="12" s="1" a="1"/>
  <c r="BV7" i="5" a="1"/>
  <c r="BW7" a="1"/>
  <c r="BU7" a="1"/>
  <c r="BX7" a="1"/>
  <c r="BC58" i="18"/>
  <c r="CQ15" i="12" s="1" a="1"/>
  <c r="BC50" i="19"/>
  <c r="DC15" i="12" s="1" a="1"/>
  <c r="BG59" i="1"/>
  <c r="DO15" i="12" a="1"/>
  <c r="EK9"/>
  <c r="EL14" s="1" a="1"/>
  <c r="BI15" a="1"/>
  <c r="BS15" a="1"/>
  <c r="FN6"/>
  <c r="EH9"/>
  <c r="EI14" s="1" a="1"/>
  <c r="FU15"/>
  <c r="FT9"/>
  <c r="FS6"/>
  <c r="FY6"/>
  <c r="FT11"/>
  <c r="GA14"/>
  <c r="GA11"/>
  <c r="FU10"/>
  <c r="FZ15"/>
  <c r="GE10"/>
  <c r="GB12"/>
  <c r="FS15"/>
  <c r="FS13"/>
  <c r="FZ16"/>
  <c r="GF8"/>
  <c r="FY9"/>
  <c r="FW17"/>
  <c r="GD6"/>
  <c r="FV14"/>
  <c r="FY8"/>
  <c r="FT16"/>
  <c r="FV17"/>
  <c r="FZ14"/>
  <c r="GC18"/>
  <c r="FT13"/>
  <c r="GA18"/>
  <c r="GA8"/>
  <c r="FU13"/>
  <c r="FX9"/>
  <c r="FW11"/>
  <c r="FX14"/>
  <c r="FV6"/>
  <c r="GF6"/>
  <c r="GG14"/>
  <c r="GG16"/>
  <c r="GD16"/>
  <c r="FV13"/>
  <c r="FZ7"/>
  <c r="GG6"/>
  <c r="GB13"/>
  <c r="FS17"/>
  <c r="FU14"/>
  <c r="GF16"/>
  <c r="FV11"/>
  <c r="GB18"/>
  <c r="GB7"/>
  <c r="GC14"/>
  <c r="GE12"/>
  <c r="FZ11"/>
  <c r="GG12"/>
  <c r="FZ12"/>
  <c r="GE9"/>
  <c r="GC7"/>
  <c r="FZ6"/>
  <c r="GF15"/>
  <c r="FX17"/>
  <c r="FW14"/>
  <c r="GC11"/>
  <c r="GB17"/>
  <c r="GD15"/>
  <c r="FX6"/>
  <c r="GC13"/>
  <c r="GG10"/>
  <c r="FZ8"/>
  <c r="FY17"/>
  <c r="GC15"/>
  <c r="GA13"/>
  <c r="GD13"/>
  <c r="FS12"/>
  <c r="FS8"/>
  <c r="GC10"/>
  <c r="GE7"/>
  <c r="GE17"/>
  <c r="FS14"/>
  <c r="FT8"/>
  <c r="FW18"/>
  <c r="GD14"/>
  <c r="FU9"/>
  <c r="FW10"/>
  <c r="GD11"/>
  <c r="FZ18"/>
  <c r="GB9"/>
  <c r="FS9"/>
  <c r="FX8"/>
  <c r="GB16"/>
  <c r="FS18"/>
  <c r="FT7"/>
  <c r="GG15"/>
  <c r="FT15"/>
  <c r="GG18"/>
  <c r="FZ10"/>
  <c r="FS10"/>
  <c r="GC6"/>
  <c r="FX18"/>
  <c r="FV8"/>
  <c r="FY7"/>
  <c r="GF7"/>
  <c r="FY12"/>
  <c r="GE16"/>
  <c r="GC17"/>
  <c r="GA12"/>
  <c r="FW7"/>
  <c r="FY13"/>
  <c r="FU17"/>
  <c r="GE15"/>
  <c r="FW8"/>
  <c r="GC9"/>
  <c r="FT18"/>
  <c r="FX13"/>
  <c r="FS11"/>
  <c r="GG11"/>
  <c r="GC12"/>
  <c r="GD8"/>
  <c r="FU8"/>
  <c r="FY18"/>
  <c r="GA10"/>
  <c r="FW9"/>
  <c r="FU11"/>
  <c r="FS7"/>
  <c r="FV18"/>
  <c r="GD12"/>
  <c r="GE11"/>
  <c r="FY11"/>
  <c r="GA17"/>
  <c r="FU12"/>
  <c r="FU16"/>
  <c r="GD18"/>
  <c r="FU7"/>
  <c r="GG13"/>
  <c r="FW16"/>
  <c r="GG9"/>
  <c r="GF10"/>
  <c r="FV9"/>
  <c r="GA7"/>
  <c r="GD9"/>
  <c r="GD17"/>
  <c r="FT14"/>
  <c r="FZ9"/>
  <c r="GF18"/>
  <c r="FV7"/>
  <c r="GA6"/>
  <c r="FW13"/>
  <c r="FU18"/>
  <c r="FU6"/>
  <c r="FX10"/>
  <c r="FZ13"/>
  <c r="GF12"/>
  <c r="GF9"/>
  <c r="FX12"/>
  <c r="FX15"/>
  <c r="FW6"/>
  <c r="GE8"/>
  <c r="GB15"/>
  <c r="GB8"/>
  <c r="FV16"/>
  <c r="FT6"/>
  <c r="GF14"/>
  <c r="FT17"/>
  <c r="GA15"/>
  <c r="FX7"/>
  <c r="FV15"/>
  <c r="GE14"/>
  <c r="GE6"/>
  <c r="FV10"/>
  <c r="GC16"/>
  <c r="FX16"/>
  <c r="FY10"/>
  <c r="GB11"/>
  <c r="GD10"/>
  <c r="FV12"/>
  <c r="FT10"/>
  <c r="FS16"/>
  <c r="GA9"/>
  <c r="FY15"/>
  <c r="GE13"/>
  <c r="GB6"/>
  <c r="GD7"/>
  <c r="GG7"/>
  <c r="FW15"/>
  <c r="FZ17"/>
  <c r="GG17"/>
  <c r="GB14"/>
  <c r="FY14"/>
  <c r="FY16"/>
  <c r="GB10"/>
  <c r="FX11"/>
  <c r="GF13"/>
  <c r="GC8"/>
  <c r="GF11"/>
  <c r="GE18"/>
  <c r="FT12"/>
  <c r="GG8"/>
  <c r="GF17"/>
  <c r="GA16"/>
  <c r="FW12"/>
  <c r="EI29" l="1"/>
  <c r="EI18"/>
  <c r="EI23"/>
  <c r="EI38"/>
  <c r="EI31"/>
  <c r="EI17"/>
  <c r="EI16"/>
  <c r="EI20"/>
  <c r="EI26"/>
  <c r="EI24"/>
  <c r="EI19"/>
  <c r="EI35"/>
  <c r="EI28"/>
  <c r="EI34"/>
  <c r="EI40"/>
  <c r="EI21"/>
  <c r="EI33"/>
  <c r="EI30"/>
  <c r="EI32"/>
  <c r="EI14"/>
  <c r="EI25"/>
  <c r="EI36"/>
  <c r="EI22"/>
  <c r="EI27"/>
  <c r="EI37"/>
  <c r="EI15"/>
  <c r="EI39"/>
  <c r="BS493"/>
  <c r="BS126"/>
  <c r="BS509"/>
  <c r="BS23"/>
  <c r="BS384"/>
  <c r="BS439"/>
  <c r="BS274"/>
  <c r="BS324"/>
  <c r="BS257"/>
  <c r="BS250"/>
  <c r="BS75"/>
  <c r="BS272"/>
  <c r="BS445"/>
  <c r="BS398"/>
  <c r="BS72"/>
  <c r="BS247"/>
  <c r="BS63"/>
  <c r="BS224"/>
  <c r="BS342"/>
  <c r="BS110"/>
  <c r="BS350"/>
  <c r="BS395"/>
  <c r="BS427"/>
  <c r="BS279"/>
  <c r="BS500"/>
  <c r="BS59"/>
  <c r="BS210"/>
  <c r="BS295"/>
  <c r="BS293"/>
  <c r="BS333"/>
  <c r="BS125"/>
  <c r="BS208"/>
  <c r="BS430"/>
  <c r="BS402"/>
  <c r="BS140"/>
  <c r="BS412"/>
  <c r="BS452"/>
  <c r="BS470"/>
  <c r="BS146"/>
  <c r="BS93"/>
  <c r="BS297"/>
  <c r="BS139"/>
  <c r="BS330"/>
  <c r="BS172"/>
  <c r="BS399"/>
  <c r="BS137"/>
  <c r="BS62"/>
  <c r="BS368"/>
  <c r="BS42"/>
  <c r="BS321"/>
  <c r="BS106"/>
  <c r="BS149"/>
  <c r="BS433"/>
  <c r="BS181"/>
  <c r="BS246"/>
  <c r="BS377"/>
  <c r="BS423"/>
  <c r="BS387"/>
  <c r="BS314"/>
  <c r="BS252"/>
  <c r="BS312"/>
  <c r="BS341"/>
  <c r="BS64"/>
  <c r="BS437"/>
  <c r="BS426"/>
  <c r="BS347"/>
  <c r="BS148"/>
  <c r="BS315"/>
  <c r="BS129"/>
  <c r="BS205"/>
  <c r="BS375"/>
  <c r="BS100"/>
  <c r="BS308"/>
  <c r="BS112"/>
  <c r="BS151"/>
  <c r="BS195"/>
  <c r="BS132"/>
  <c r="BS117"/>
  <c r="BS48"/>
  <c r="BS268"/>
  <c r="BS351"/>
  <c r="BS114"/>
  <c r="BS458"/>
  <c r="BS49"/>
  <c r="BS461"/>
  <c r="BS442"/>
  <c r="BS119"/>
  <c r="BS56"/>
  <c r="BS471"/>
  <c r="BS323"/>
  <c r="BS443"/>
  <c r="BS39"/>
  <c r="BS111"/>
  <c r="BS254"/>
  <c r="BS78"/>
  <c r="BS214"/>
  <c r="BS217"/>
  <c r="BS506"/>
  <c r="BS213"/>
  <c r="BS187"/>
  <c r="BS171"/>
  <c r="BS194"/>
  <c r="BS183"/>
  <c r="BS102"/>
  <c r="BS299"/>
  <c r="BS305"/>
  <c r="BS352"/>
  <c r="BS294"/>
  <c r="BS465"/>
  <c r="BS410"/>
  <c r="BS512"/>
  <c r="BS176"/>
  <c r="BS366"/>
  <c r="BS200"/>
  <c r="BS468"/>
  <c r="BS45"/>
  <c r="BS152"/>
  <c r="BS291"/>
  <c r="BS29"/>
  <c r="BS483"/>
  <c r="BS419"/>
  <c r="BS457"/>
  <c r="BS160"/>
  <c r="BS434"/>
  <c r="BS113"/>
  <c r="BS185"/>
  <c r="BS332"/>
  <c r="BS53"/>
  <c r="BS276"/>
  <c r="BS348"/>
  <c r="BS255"/>
  <c r="BS486"/>
  <c r="BS309"/>
  <c r="BS270"/>
  <c r="BS130"/>
  <c r="BS98"/>
  <c r="BS118"/>
  <c r="BS32"/>
  <c r="BS206"/>
  <c r="BS319"/>
  <c r="BS417"/>
  <c r="BS425"/>
  <c r="BS380"/>
  <c r="BS57"/>
  <c r="BS123"/>
  <c r="BS282"/>
  <c r="BS156"/>
  <c r="BS30"/>
  <c r="BS44"/>
  <c r="BS507"/>
  <c r="BS173"/>
  <c r="BS84"/>
  <c r="BS251"/>
  <c r="BS435"/>
  <c r="BS371"/>
  <c r="BS497"/>
  <c r="BS378"/>
  <c r="BS92"/>
  <c r="BS67"/>
  <c r="BS147"/>
  <c r="BS482"/>
  <c r="BS475"/>
  <c r="BS311"/>
  <c r="BS278"/>
  <c r="BS165"/>
  <c r="BS33"/>
  <c r="BS35"/>
  <c r="BS453"/>
  <c r="BS230"/>
  <c r="BS466"/>
  <c r="BS190"/>
  <c r="BS424"/>
  <c r="BS71"/>
  <c r="BS159"/>
  <c r="BS446"/>
  <c r="BS18"/>
  <c r="BS166"/>
  <c r="BS391"/>
  <c r="BS162"/>
  <c r="BS76"/>
  <c r="BS413"/>
  <c r="BS488"/>
  <c r="BS66"/>
  <c r="BS411"/>
  <c r="BS337"/>
  <c r="BS334"/>
  <c r="BS46"/>
  <c r="BS492"/>
  <c r="BS360"/>
  <c r="BS20"/>
  <c r="BS233"/>
  <c r="BS216"/>
  <c r="BS38"/>
  <c r="BS367"/>
  <c r="BS188"/>
  <c r="BS456"/>
  <c r="BS89"/>
  <c r="BS338"/>
  <c r="BS418"/>
  <c r="BS508"/>
  <c r="BS451"/>
  <c r="BS242"/>
  <c r="BS476"/>
  <c r="BS502"/>
  <c r="BS284"/>
  <c r="BS510"/>
  <c r="BS484"/>
  <c r="BS167"/>
  <c r="BS138"/>
  <c r="BS184"/>
  <c r="BS344"/>
  <c r="BS178"/>
  <c r="BS490"/>
  <c r="BS41"/>
  <c r="BS133"/>
  <c r="BS513"/>
  <c r="BS376"/>
  <c r="BS390"/>
  <c r="BS199"/>
  <c r="BS128"/>
  <c r="BS145"/>
  <c r="BS469"/>
  <c r="BS400"/>
  <c r="BS127"/>
  <c r="BS77"/>
  <c r="BS248"/>
  <c r="BS249"/>
  <c r="BS462"/>
  <c r="BS480"/>
  <c r="BS265"/>
  <c r="BS104"/>
  <c r="BS397"/>
  <c r="BS357"/>
  <c r="BS70"/>
  <c r="BS203"/>
  <c r="BS109"/>
  <c r="BS514"/>
  <c r="BS204"/>
  <c r="BS304"/>
  <c r="BS300"/>
  <c r="BS155"/>
  <c r="BS201"/>
  <c r="BS141"/>
  <c r="BS24"/>
  <c r="BS298"/>
  <c r="BS441"/>
  <c r="BS198"/>
  <c r="BS154"/>
  <c r="BS361"/>
  <c r="BS235"/>
  <c r="BS262"/>
  <c r="BS440"/>
  <c r="BS459"/>
  <c r="BS28"/>
  <c r="BS124"/>
  <c r="BS223"/>
  <c r="BS409"/>
  <c r="BS307"/>
  <c r="BS316"/>
  <c r="BS318"/>
  <c r="BS383"/>
  <c r="BS144"/>
  <c r="BS182"/>
  <c r="BS135"/>
  <c r="BS228"/>
  <c r="BS68"/>
  <c r="BS374"/>
  <c r="BS355"/>
  <c r="BS99"/>
  <c r="BS487"/>
  <c r="BS343"/>
  <c r="BS50"/>
  <c r="BS353"/>
  <c r="BS320"/>
  <c r="BS229"/>
  <c r="BS256"/>
  <c r="BS396"/>
  <c r="BS335"/>
  <c r="BS489"/>
  <c r="BS180"/>
  <c r="BS477"/>
  <c r="BS346"/>
  <c r="BS438"/>
  <c r="BS372"/>
  <c r="BS232"/>
  <c r="BS325"/>
  <c r="BS287"/>
  <c r="BS85"/>
  <c r="BS511"/>
  <c r="BS379"/>
  <c r="BS479"/>
  <c r="BS281"/>
  <c r="BS226"/>
  <c r="BS322"/>
  <c r="BS362"/>
  <c r="BS225"/>
  <c r="BS186"/>
  <c r="BS73"/>
  <c r="BS498"/>
  <c r="BS467"/>
  <c r="BS266"/>
  <c r="BS55"/>
  <c r="BS236"/>
  <c r="BS474"/>
  <c r="BS349"/>
  <c r="BS86"/>
  <c r="BS464"/>
  <c r="BS405"/>
  <c r="BS394"/>
  <c r="BS47"/>
  <c r="BS472"/>
  <c r="BS179"/>
  <c r="BS370"/>
  <c r="BS244"/>
  <c r="BS81"/>
  <c r="BS271"/>
  <c r="BS238"/>
  <c r="BS339"/>
  <c r="BS240"/>
  <c r="BS97"/>
  <c r="BS326"/>
  <c r="BS460"/>
  <c r="BS220"/>
  <c r="BS192"/>
  <c r="BS302"/>
  <c r="BS285"/>
  <c r="BS87"/>
  <c r="BS90"/>
  <c r="BS219"/>
  <c r="BS259"/>
  <c r="BS269"/>
  <c r="BS313"/>
  <c r="BS227"/>
  <c r="BS80"/>
  <c r="BS157"/>
  <c r="BS428"/>
  <c r="BS221"/>
  <c r="BS385"/>
  <c r="BS211"/>
  <c r="BS197"/>
  <c r="BS40"/>
  <c r="BS169"/>
  <c r="BS275"/>
  <c r="BS317"/>
  <c r="BS231"/>
  <c r="BS263"/>
  <c r="BS310"/>
  <c r="BS136"/>
  <c r="BS393"/>
  <c r="BS415"/>
  <c r="BS414"/>
  <c r="BS177"/>
  <c r="BS382"/>
  <c r="BS363"/>
  <c r="BS504"/>
  <c r="BS131"/>
  <c r="BS260"/>
  <c r="BS354"/>
  <c r="BS79"/>
  <c r="BS327"/>
  <c r="BS499"/>
  <c r="BS121"/>
  <c r="BS196"/>
  <c r="BS239"/>
  <c r="BS392"/>
  <c r="BS356"/>
  <c r="BS345"/>
  <c r="BS359"/>
  <c r="BS101"/>
  <c r="BS245"/>
  <c r="BS358"/>
  <c r="BS473"/>
  <c r="BS16"/>
  <c r="BU16" s="1"/>
  <c r="BS416"/>
  <c r="BS163"/>
  <c r="BS218"/>
  <c r="BS296"/>
  <c r="BS103"/>
  <c r="BS74"/>
  <c r="BS258"/>
  <c r="BS280"/>
  <c r="BS31"/>
  <c r="BS27"/>
  <c r="BS95"/>
  <c r="BS421"/>
  <c r="BS115"/>
  <c r="BS432"/>
  <c r="BS331"/>
  <c r="BS340"/>
  <c r="BS142"/>
  <c r="BS26"/>
  <c r="BS222"/>
  <c r="BS52"/>
  <c r="BS134"/>
  <c r="BS170"/>
  <c r="BS481"/>
  <c r="BS336"/>
  <c r="BS454"/>
  <c r="BS420"/>
  <c r="BS25"/>
  <c r="BS447"/>
  <c r="BS243"/>
  <c r="BS283"/>
  <c r="BS429"/>
  <c r="BS108"/>
  <c r="BS174"/>
  <c r="BS61"/>
  <c r="BS150"/>
  <c r="BS43"/>
  <c r="BS496"/>
  <c r="BS164"/>
  <c r="BS96"/>
  <c r="BS105"/>
  <c r="BS364"/>
  <c r="BS191"/>
  <c r="BS51"/>
  <c r="BS264"/>
  <c r="BS494"/>
  <c r="BS267"/>
  <c r="BS153"/>
  <c r="BS328"/>
  <c r="BS449"/>
  <c r="BS401"/>
  <c r="BS303"/>
  <c r="BS17"/>
  <c r="BS450"/>
  <c r="BS65"/>
  <c r="BS193"/>
  <c r="BS389"/>
  <c r="BS373"/>
  <c r="BS15"/>
  <c r="BS478"/>
  <c r="BS209"/>
  <c r="BS444"/>
  <c r="BS289"/>
  <c r="BS448"/>
  <c r="BS403"/>
  <c r="BS408"/>
  <c r="BS107"/>
  <c r="BS88"/>
  <c r="BS19"/>
  <c r="BS329"/>
  <c r="BS406"/>
  <c r="BS58"/>
  <c r="BS491"/>
  <c r="BS253"/>
  <c r="BS120"/>
  <c r="BS485"/>
  <c r="BS505"/>
  <c r="BS463"/>
  <c r="BS116"/>
  <c r="BS381"/>
  <c r="BS407"/>
  <c r="BS234"/>
  <c r="BS212"/>
  <c r="BS306"/>
  <c r="BS83"/>
  <c r="BS292"/>
  <c r="BS91"/>
  <c r="BS60"/>
  <c r="BS277"/>
  <c r="BS422"/>
  <c r="BS288"/>
  <c r="BS175"/>
  <c r="BS168"/>
  <c r="BS158"/>
  <c r="BS495"/>
  <c r="BS436"/>
  <c r="BS431"/>
  <c r="BS36"/>
  <c r="BS365"/>
  <c r="BS237"/>
  <c r="BS69"/>
  <c r="BS82"/>
  <c r="BS261"/>
  <c r="BS455"/>
  <c r="BS503"/>
  <c r="BS286"/>
  <c r="BS404"/>
  <c r="BS369"/>
  <c r="BS215"/>
  <c r="BS207"/>
  <c r="BS94"/>
  <c r="BS21"/>
  <c r="BS301"/>
  <c r="BS388"/>
  <c r="BS54"/>
  <c r="BS241"/>
  <c r="BS189"/>
  <c r="BS161"/>
  <c r="BS501"/>
  <c r="BS202"/>
  <c r="BS37"/>
  <c r="BS143"/>
  <c r="BS122"/>
  <c r="BS22"/>
  <c r="BS273"/>
  <c r="BS386"/>
  <c r="BS34"/>
  <c r="BS290"/>
  <c r="BI153"/>
  <c r="BI315"/>
  <c r="BI180"/>
  <c r="BI28"/>
  <c r="BI89"/>
  <c r="BI294"/>
  <c r="BI256"/>
  <c r="BI155"/>
  <c r="BI457"/>
  <c r="BI165"/>
  <c r="BI244"/>
  <c r="BI415"/>
  <c r="BI490"/>
  <c r="BI43"/>
  <c r="BI448"/>
  <c r="BI500"/>
  <c r="BI189"/>
  <c r="BI329"/>
  <c r="BI485"/>
  <c r="BI191"/>
  <c r="BI64"/>
  <c r="BI375"/>
  <c r="BI376"/>
  <c r="BI297"/>
  <c r="BI439"/>
  <c r="BI31"/>
  <c r="BI178"/>
  <c r="BI77"/>
  <c r="BI123"/>
  <c r="BI118"/>
  <c r="BI282"/>
  <c r="BI127"/>
  <c r="BI290"/>
  <c r="BI22"/>
  <c r="BI437"/>
  <c r="BI241"/>
  <c r="BI493"/>
  <c r="BI107"/>
  <c r="BI116"/>
  <c r="BI142"/>
  <c r="BI230"/>
  <c r="BI492"/>
  <c r="BI149"/>
  <c r="BI222"/>
  <c r="BI88"/>
  <c r="BI243"/>
  <c r="BI380"/>
  <c r="BI156"/>
  <c r="BI383"/>
  <c r="BI104"/>
  <c r="BI287"/>
  <c r="BI487"/>
  <c r="BI49"/>
  <c r="BI278"/>
  <c r="BI378"/>
  <c r="BI150"/>
  <c r="BI223"/>
  <c r="BI434"/>
  <c r="BI303"/>
  <c r="BI168"/>
  <c r="BI169"/>
  <c r="BI334"/>
  <c r="BI396"/>
  <c r="BI326"/>
  <c r="BI429"/>
  <c r="BI467"/>
  <c r="BI139"/>
  <c r="BI56"/>
  <c r="BI199"/>
  <c r="BI427"/>
  <c r="BI369"/>
  <c r="BI460"/>
  <c r="BI146"/>
  <c r="BI225"/>
  <c r="BI366"/>
  <c r="BI409"/>
  <c r="BI393"/>
  <c r="BI456"/>
  <c r="BI406"/>
  <c r="BI42"/>
  <c r="BI351"/>
  <c r="BI292"/>
  <c r="BI132"/>
  <c r="BI27"/>
  <c r="BI363"/>
  <c r="BI451"/>
  <c r="BI445"/>
  <c r="BI342"/>
  <c r="BI140"/>
  <c r="BI365"/>
  <c r="BI473"/>
  <c r="BI320"/>
  <c r="BI97"/>
  <c r="BI318"/>
  <c r="BI291"/>
  <c r="BI54"/>
  <c r="BI285"/>
  <c r="BI304"/>
  <c r="BI331"/>
  <c r="BI99"/>
  <c r="BI455"/>
  <c r="BI224"/>
  <c r="BI221"/>
  <c r="BI122"/>
  <c r="BI207"/>
  <c r="BI255"/>
  <c r="BI25"/>
  <c r="BI173"/>
  <c r="BI425"/>
  <c r="BI63"/>
  <c r="BI286"/>
  <c r="BI300"/>
  <c r="BI24"/>
  <c r="BI358"/>
  <c r="BI265"/>
  <c r="BI368"/>
  <c r="BI226"/>
  <c r="BI171"/>
  <c r="BI208"/>
  <c r="BI209"/>
  <c r="BI299"/>
  <c r="BI323"/>
  <c r="BI235"/>
  <c r="BI478"/>
  <c r="BI138"/>
  <c r="BI239"/>
  <c r="BI322"/>
  <c r="BI394"/>
  <c r="BI179"/>
  <c r="BI32"/>
  <c r="BI440"/>
  <c r="BI154"/>
  <c r="BI357"/>
  <c r="BI381"/>
  <c r="BI192"/>
  <c r="BI135"/>
  <c r="BI353"/>
  <c r="BI364"/>
  <c r="BI400"/>
  <c r="BI483"/>
  <c r="BI152"/>
  <c r="BI486"/>
  <c r="BI309"/>
  <c r="BI419"/>
  <c r="BI210"/>
  <c r="BI432"/>
  <c r="BI247"/>
  <c r="BI227"/>
  <c r="BI231"/>
  <c r="BI85"/>
  <c r="BI277"/>
  <c r="BI113"/>
  <c r="BI167"/>
  <c r="BI229"/>
  <c r="BI386"/>
  <c r="BI111"/>
  <c r="BI29"/>
  <c r="BI87"/>
  <c r="BI213"/>
  <c r="BI95"/>
  <c r="BI38"/>
  <c r="BI399"/>
  <c r="BI371"/>
  <c r="BI337"/>
  <c r="BI100"/>
  <c r="BI283"/>
  <c r="BI18"/>
  <c r="BI484"/>
  <c r="BI264"/>
  <c r="BI120"/>
  <c r="BI511"/>
  <c r="BI308"/>
  <c r="BI458"/>
  <c r="BI295"/>
  <c r="BI258"/>
  <c r="BI253"/>
  <c r="BI463"/>
  <c r="BI502"/>
  <c r="BI143"/>
  <c r="BI301"/>
  <c r="BI86"/>
  <c r="BI62"/>
  <c r="BI90"/>
  <c r="BI312"/>
  <c r="BI482"/>
  <c r="BI339"/>
  <c r="BI50"/>
  <c r="BI452"/>
  <c r="BI47"/>
  <c r="BI461"/>
  <c r="BI413"/>
  <c r="BI469"/>
  <c r="BI96"/>
  <c r="BI416"/>
  <c r="BI433"/>
  <c r="BI293"/>
  <c r="BI314"/>
  <c r="BI46"/>
  <c r="BI105"/>
  <c r="BI391"/>
  <c r="BI232"/>
  <c r="BI417"/>
  <c r="BI78"/>
  <c r="BI52"/>
  <c r="BI475"/>
  <c r="BI272"/>
  <c r="BI465"/>
  <c r="BI237"/>
  <c r="BI196"/>
  <c r="BI266"/>
  <c r="BI195"/>
  <c r="BI164"/>
  <c r="BI328"/>
  <c r="BI421"/>
  <c r="BI249"/>
  <c r="BI76"/>
  <c r="BI73"/>
  <c r="BI361"/>
  <c r="BI177"/>
  <c r="BI194"/>
  <c r="BI220"/>
  <c r="BI103"/>
  <c r="BI464"/>
  <c r="BI101"/>
  <c r="BI65"/>
  <c r="BI211"/>
  <c r="BI405"/>
  <c r="BI158"/>
  <c r="BI57"/>
  <c r="BI108"/>
  <c r="BI204"/>
  <c r="BI145"/>
  <c r="BI273"/>
  <c r="BI228"/>
  <c r="BI321"/>
  <c r="BI147"/>
  <c r="BI252"/>
  <c r="BI288"/>
  <c r="BI343"/>
  <c r="BI362"/>
  <c r="BI217"/>
  <c r="BI181"/>
  <c r="BI20"/>
  <c r="BI387"/>
  <c r="BI336"/>
  <c r="BI30"/>
  <c r="BI81"/>
  <c r="BI403"/>
  <c r="BI289"/>
  <c r="BI68"/>
  <c r="BI481"/>
  <c r="BI125"/>
  <c r="BI186"/>
  <c r="BI98"/>
  <c r="BI307"/>
  <c r="BI355"/>
  <c r="BI345"/>
  <c r="BI268"/>
  <c r="BI263"/>
  <c r="BI197"/>
  <c r="BI51"/>
  <c r="BI91"/>
  <c r="BI379"/>
  <c r="BI259"/>
  <c r="BI102"/>
  <c r="BI276"/>
  <c r="BI183"/>
  <c r="BI495"/>
  <c r="BI172"/>
  <c r="BI275"/>
  <c r="BI488"/>
  <c r="BI491"/>
  <c r="BI505"/>
  <c r="BI447"/>
  <c r="BI480"/>
  <c r="BI449"/>
  <c r="BI360"/>
  <c r="BI367"/>
  <c r="BI109"/>
  <c r="BI23"/>
  <c r="BI302"/>
  <c r="BI15"/>
  <c r="BI250"/>
  <c r="BI201"/>
  <c r="BI203"/>
  <c r="BI80"/>
  <c r="BI82"/>
  <c r="BI137"/>
  <c r="BI349"/>
  <c r="BI185"/>
  <c r="BI468"/>
  <c r="BI53"/>
  <c r="BI401"/>
  <c r="BI470"/>
  <c r="BI48"/>
  <c r="BI498"/>
  <c r="BI270"/>
  <c r="BI126"/>
  <c r="BI67"/>
  <c r="BI431"/>
  <c r="BI385"/>
  <c r="BI66"/>
  <c r="BI163"/>
  <c r="BI404"/>
  <c r="BI16"/>
  <c r="BK16" s="1"/>
  <c r="BI136"/>
  <c r="BI205"/>
  <c r="BI514"/>
  <c r="BI450"/>
  <c r="BI346"/>
  <c r="BI509"/>
  <c r="BI313"/>
  <c r="BI170"/>
  <c r="BI510"/>
  <c r="BI234"/>
  <c r="BI281"/>
  <c r="BI422"/>
  <c r="BI389"/>
  <c r="BI271"/>
  <c r="BI374"/>
  <c r="BI333"/>
  <c r="BI305"/>
  <c r="BI112"/>
  <c r="BI198"/>
  <c r="BI414"/>
  <c r="BI348"/>
  <c r="BI114"/>
  <c r="BI21"/>
  <c r="BI418"/>
  <c r="BI420"/>
  <c r="BI503"/>
  <c r="BI501"/>
  <c r="BI377"/>
  <c r="BI341"/>
  <c r="BI40"/>
  <c r="BI41"/>
  <c r="BI335"/>
  <c r="BI408"/>
  <c r="BI19"/>
  <c r="BI106"/>
  <c r="BI124"/>
  <c r="BI119"/>
  <c r="BI175"/>
  <c r="BI497"/>
  <c r="BI430"/>
  <c r="BI55"/>
  <c r="BI423"/>
  <c r="BI148"/>
  <c r="BI214"/>
  <c r="BI26"/>
  <c r="BI269"/>
  <c r="BI284"/>
  <c r="BI157"/>
  <c r="BI236"/>
  <c r="BI472"/>
  <c r="BI438"/>
  <c r="BI454"/>
  <c r="BI436"/>
  <c r="BI33"/>
  <c r="BI444"/>
  <c r="BI144"/>
  <c r="BI44"/>
  <c r="BI426"/>
  <c r="BI459"/>
  <c r="BI84"/>
  <c r="BI513"/>
  <c r="BI218"/>
  <c r="BI428"/>
  <c r="BI37"/>
  <c r="BI466"/>
  <c r="BI58"/>
  <c r="BI260"/>
  <c r="BI392"/>
  <c r="BI489"/>
  <c r="BI330"/>
  <c r="BI317"/>
  <c r="BI504"/>
  <c r="BI311"/>
  <c r="BI280"/>
  <c r="BI382"/>
  <c r="BI245"/>
  <c r="BI71"/>
  <c r="BI92"/>
  <c r="BI512"/>
  <c r="BI442"/>
  <c r="BI94"/>
  <c r="BI39"/>
  <c r="BI384"/>
  <c r="BI262"/>
  <c r="BI248"/>
  <c r="BI83"/>
  <c r="BI296"/>
  <c r="BI93"/>
  <c r="BI327"/>
  <c r="BI446"/>
  <c r="BI325"/>
  <c r="BI59"/>
  <c r="BI373"/>
  <c r="BI441"/>
  <c r="BI69"/>
  <c r="BI453"/>
  <c r="BI242"/>
  <c r="BI354"/>
  <c r="BI279"/>
  <c r="BI159"/>
  <c r="BI435"/>
  <c r="BI34"/>
  <c r="BI410"/>
  <c r="BI212"/>
  <c r="BI397"/>
  <c r="BI508"/>
  <c r="BI238"/>
  <c r="BI121"/>
  <c r="BI340"/>
  <c r="BI187"/>
  <c r="BI496"/>
  <c r="BI347"/>
  <c r="BI17"/>
  <c r="BI388"/>
  <c r="BI261"/>
  <c r="BI215"/>
  <c r="BI390"/>
  <c r="BI251"/>
  <c r="BI174"/>
  <c r="BI499"/>
  <c r="BI79"/>
  <c r="BI350"/>
  <c r="BI131"/>
  <c r="BI319"/>
  <c r="BI471"/>
  <c r="BI274"/>
  <c r="BI72"/>
  <c r="BI202"/>
  <c r="BI133"/>
  <c r="BI115"/>
  <c r="BI494"/>
  <c r="BI372"/>
  <c r="BI74"/>
  <c r="BI151"/>
  <c r="BI162"/>
  <c r="BI344"/>
  <c r="BI240"/>
  <c r="BI219"/>
  <c r="BI117"/>
  <c r="BI412"/>
  <c r="BI407"/>
  <c r="BI477"/>
  <c r="BI324"/>
  <c r="BI134"/>
  <c r="BI61"/>
  <c r="BI257"/>
  <c r="BI395"/>
  <c r="BI479"/>
  <c r="BI70"/>
  <c r="BI161"/>
  <c r="BI45"/>
  <c r="BI424"/>
  <c r="BI188"/>
  <c r="BI129"/>
  <c r="BI332"/>
  <c r="BI254"/>
  <c r="BI35"/>
  <c r="BI316"/>
  <c r="BI128"/>
  <c r="BI474"/>
  <c r="BI506"/>
  <c r="BI507"/>
  <c r="BI160"/>
  <c r="BI110"/>
  <c r="BI190"/>
  <c r="BI176"/>
  <c r="BI356"/>
  <c r="BI141"/>
  <c r="BI193"/>
  <c r="BI411"/>
  <c r="BI359"/>
  <c r="BI310"/>
  <c r="BI60"/>
  <c r="BI130"/>
  <c r="BI352"/>
  <c r="BI200"/>
  <c r="BI206"/>
  <c r="BI338"/>
  <c r="BI182"/>
  <c r="BI402"/>
  <c r="BI370"/>
  <c r="BI216"/>
  <c r="BI398"/>
  <c r="BI75"/>
  <c r="BI298"/>
  <c r="BI36"/>
  <c r="BI306"/>
  <c r="BI166"/>
  <c r="BI462"/>
  <c r="BI233"/>
  <c r="BI443"/>
  <c r="BI267"/>
  <c r="BI476"/>
  <c r="BI246"/>
  <c r="BI184"/>
  <c r="EL18"/>
  <c r="EL37"/>
  <c r="EL21"/>
  <c r="EL19"/>
  <c r="EL25"/>
  <c r="EL22"/>
  <c r="EL16"/>
  <c r="EL40"/>
  <c r="EL33"/>
  <c r="EL14"/>
  <c r="EL24"/>
  <c r="EL36"/>
  <c r="EL31"/>
  <c r="EL38"/>
  <c r="EL26"/>
  <c r="EL23"/>
  <c r="EL28"/>
  <c r="EL35"/>
  <c r="ET35" s="1"/>
  <c r="EP35" s="1"/>
  <c r="EQ35" s="1"/>
  <c r="EL20"/>
  <c r="EL32"/>
  <c r="EL39"/>
  <c r="EL29"/>
  <c r="EL17"/>
  <c r="EL15"/>
  <c r="EL27"/>
  <c r="EL30"/>
  <c r="EL34"/>
  <c r="DO222"/>
  <c r="DO58"/>
  <c r="DO346"/>
  <c r="DO126"/>
  <c r="DO425"/>
  <c r="DO129"/>
  <c r="DO219"/>
  <c r="DO435"/>
  <c r="DO381"/>
  <c r="DO31"/>
  <c r="DO496"/>
  <c r="DO301"/>
  <c r="DO152"/>
  <c r="DO342"/>
  <c r="DO27"/>
  <c r="DO436"/>
  <c r="DO504"/>
  <c r="DO163"/>
  <c r="DO176"/>
  <c r="DO179"/>
  <c r="DO36"/>
  <c r="DO448"/>
  <c r="DO329"/>
  <c r="DO420"/>
  <c r="DO400"/>
  <c r="DO178"/>
  <c r="DO226"/>
  <c r="DO308"/>
  <c r="DO317"/>
  <c r="DO492"/>
  <c r="DO189"/>
  <c r="DO267"/>
  <c r="DO213"/>
  <c r="DO46"/>
  <c r="DO387"/>
  <c r="DO319"/>
  <c r="DO70"/>
  <c r="DO85"/>
  <c r="DO367"/>
  <c r="DO402"/>
  <c r="DO511"/>
  <c r="DO433"/>
  <c r="DO351"/>
  <c r="DO24"/>
  <c r="DO323"/>
  <c r="DO43"/>
  <c r="DO205"/>
  <c r="DO184"/>
  <c r="DO456"/>
  <c r="DO372"/>
  <c r="DO230"/>
  <c r="DO45"/>
  <c r="DO432"/>
  <c r="DO293"/>
  <c r="DO338"/>
  <c r="DO489"/>
  <c r="DO44"/>
  <c r="DO315"/>
  <c r="DO243"/>
  <c r="DO409"/>
  <c r="DO157"/>
  <c r="DO218"/>
  <c r="DO388"/>
  <c r="DO335"/>
  <c r="DO233"/>
  <c r="DO376"/>
  <c r="DO471"/>
  <c r="DO216"/>
  <c r="DO341"/>
  <c r="DO476"/>
  <c r="DO145"/>
  <c r="DO61"/>
  <c r="DO505"/>
  <c r="DO355"/>
  <c r="DO472"/>
  <c r="DO325"/>
  <c r="DO281"/>
  <c r="DO403"/>
  <c r="DO144"/>
  <c r="DO299"/>
  <c r="DO406"/>
  <c r="DO262"/>
  <c r="DO503"/>
  <c r="DO256"/>
  <c r="DO93"/>
  <c r="DO207"/>
  <c r="DO304"/>
  <c r="DO68"/>
  <c r="DO214"/>
  <c r="DO478"/>
  <c r="DO361"/>
  <c r="DO248"/>
  <c r="DO510"/>
  <c r="DO28"/>
  <c r="DO140"/>
  <c r="DO232"/>
  <c r="DO40"/>
  <c r="DO307"/>
  <c r="DO161"/>
  <c r="DO373"/>
  <c r="DO136"/>
  <c r="DO479"/>
  <c r="DO227"/>
  <c r="DO223"/>
  <c r="DO451"/>
  <c r="DO190"/>
  <c r="DO449"/>
  <c r="DO108"/>
  <c r="DO482"/>
  <c r="DO330"/>
  <c r="DO481"/>
  <c r="DO65"/>
  <c r="DO169"/>
  <c r="DO42"/>
  <c r="DO466"/>
  <c r="DO137"/>
  <c r="DO257"/>
  <c r="DO337"/>
  <c r="DO297"/>
  <c r="DO399"/>
  <c r="DO437"/>
  <c r="DO247"/>
  <c r="DO395"/>
  <c r="DO497"/>
  <c r="DO115"/>
  <c r="DO431"/>
  <c r="DO347"/>
  <c r="DO384"/>
  <c r="DO348"/>
  <c r="DO438"/>
  <c r="DO276"/>
  <c r="DO414"/>
  <c r="DO334"/>
  <c r="DO404"/>
  <c r="DO236"/>
  <c r="DO271"/>
  <c r="DO266"/>
  <c r="DO344"/>
  <c r="DO453"/>
  <c r="DO416"/>
  <c r="DO64"/>
  <c r="DO240"/>
  <c r="DO280"/>
  <c r="DO259"/>
  <c r="DO318"/>
  <c r="DO53"/>
  <c r="DO66"/>
  <c r="DO495"/>
  <c r="DO484"/>
  <c r="DO197"/>
  <c r="DO71"/>
  <c r="DO513"/>
  <c r="DO418"/>
  <c r="DO370"/>
  <c r="DO158"/>
  <c r="DO235"/>
  <c r="DO90"/>
  <c r="DO250"/>
  <c r="DO295"/>
  <c r="DO217"/>
  <c r="DO15"/>
  <c r="DO382"/>
  <c r="DO72"/>
  <c r="DO20"/>
  <c r="DO231"/>
  <c r="DO269"/>
  <c r="DO439"/>
  <c r="DO181"/>
  <c r="DO407"/>
  <c r="DO22"/>
  <c r="DO411"/>
  <c r="DO292"/>
  <c r="DO242"/>
  <c r="DO261"/>
  <c r="DO21"/>
  <c r="DO195"/>
  <c r="DO494"/>
  <c r="DO349"/>
  <c r="DO52"/>
  <c r="DO421"/>
  <c r="DO133"/>
  <c r="DO454"/>
  <c r="DO260"/>
  <c r="DO210"/>
  <c r="DO114"/>
  <c r="DO83"/>
  <c r="DO225"/>
  <c r="DO441"/>
  <c r="DO30"/>
  <c r="DO429"/>
  <c r="DO32"/>
  <c r="DO175"/>
  <c r="DO128"/>
  <c r="DO408"/>
  <c r="DO125"/>
  <c r="DO468"/>
  <c r="DO320"/>
  <c r="DO103"/>
  <c r="DO470"/>
  <c r="DO508"/>
  <c r="DO109"/>
  <c r="DO426"/>
  <c r="DO412"/>
  <c r="DO229"/>
  <c r="DO343"/>
  <c r="DO443"/>
  <c r="DO154"/>
  <c r="DO423"/>
  <c r="DO139"/>
  <c r="DO208"/>
  <c r="DO413"/>
  <c r="DO477"/>
  <c r="DO234"/>
  <c r="DO485"/>
  <c r="DO245"/>
  <c r="DO417"/>
  <c r="DO212"/>
  <c r="DO475"/>
  <c r="DO378"/>
  <c r="DO358"/>
  <c r="DO110"/>
  <c r="DO265"/>
  <c r="DO434"/>
  <c r="DO487"/>
  <c r="DO328"/>
  <c r="DO427"/>
  <c r="DO162"/>
  <c r="DO50"/>
  <c r="DO377"/>
  <c r="DO345"/>
  <c r="DO469"/>
  <c r="DO398"/>
  <c r="DO288"/>
  <c r="DO394"/>
  <c r="DO464"/>
  <c r="DO298"/>
  <c r="DO150"/>
  <c r="DO153"/>
  <c r="DO440"/>
  <c r="DO512"/>
  <c r="DO116"/>
  <c r="DO459"/>
  <c r="DO278"/>
  <c r="DO80"/>
  <c r="DO273"/>
  <c r="DO168"/>
  <c r="DO215"/>
  <c r="DO270"/>
  <c r="DO134"/>
  <c r="DO159"/>
  <c r="DO380"/>
  <c r="DO290"/>
  <c r="DO193"/>
  <c r="DO105"/>
  <c r="DO188"/>
  <c r="DO480"/>
  <c r="DO369"/>
  <c r="DO228"/>
  <c r="DO164"/>
  <c r="DO500"/>
  <c r="DO56"/>
  <c r="DO123"/>
  <c r="DO302"/>
  <c r="DO63"/>
  <c r="DO458"/>
  <c r="DO16"/>
  <c r="DQ16" s="1"/>
  <c r="DO211"/>
  <c r="DO360"/>
  <c r="DO62"/>
  <c r="DO419"/>
  <c r="DO379"/>
  <c r="DO405"/>
  <c r="DO309"/>
  <c r="DO170"/>
  <c r="DO486"/>
  <c r="DO428"/>
  <c r="DO200"/>
  <c r="DO124"/>
  <c r="DO224"/>
  <c r="DO155"/>
  <c r="DO386"/>
  <c r="DO76"/>
  <c r="DO33"/>
  <c r="DO55"/>
  <c r="DO300"/>
  <c r="DO69"/>
  <c r="DO251"/>
  <c r="DO202"/>
  <c r="DO39"/>
  <c r="DO401"/>
  <c r="DO18"/>
  <c r="DO92"/>
  <c r="DO336"/>
  <c r="DO146"/>
  <c r="DO23"/>
  <c r="DO294"/>
  <c r="DO462"/>
  <c r="DO54"/>
  <c r="DO311"/>
  <c r="DO99"/>
  <c r="DO209"/>
  <c r="DO94"/>
  <c r="DO312"/>
  <c r="DO507"/>
  <c r="DO362"/>
  <c r="DO187"/>
  <c r="DO183"/>
  <c r="DO282"/>
  <c r="DO171"/>
  <c r="DO366"/>
  <c r="DO97"/>
  <c r="DO25"/>
  <c r="DO310"/>
  <c r="DO274"/>
  <c r="DO19"/>
  <c r="DO75"/>
  <c r="DO327"/>
  <c r="DO331"/>
  <c r="DO81"/>
  <c r="DO17"/>
  <c r="DO461"/>
  <c r="DO106"/>
  <c r="DO286"/>
  <c r="DO95"/>
  <c r="DO165"/>
  <c r="DO191"/>
  <c r="DO73"/>
  <c r="DO26"/>
  <c r="DO156"/>
  <c r="DO514"/>
  <c r="DO430"/>
  <c r="DO460"/>
  <c r="DO255"/>
  <c r="DO363"/>
  <c r="DO354"/>
  <c r="DO122"/>
  <c r="DO353"/>
  <c r="DO303"/>
  <c r="DO364"/>
  <c r="DO289"/>
  <c r="DO67"/>
  <c r="DO509"/>
  <c r="DO198"/>
  <c r="DO474"/>
  <c r="DO244"/>
  <c r="DO397"/>
  <c r="DO332"/>
  <c r="DO180"/>
  <c r="DO100"/>
  <c r="DO221"/>
  <c r="DO77"/>
  <c r="DO135"/>
  <c r="DO88"/>
  <c r="DO359"/>
  <c r="DO57"/>
  <c r="DO196"/>
  <c r="DO89"/>
  <c r="DO246"/>
  <c r="DO279"/>
  <c r="DO283"/>
  <c r="DO357"/>
  <c r="DO375"/>
  <c r="DO160"/>
  <c r="DO60"/>
  <c r="DO127"/>
  <c r="DO499"/>
  <c r="DO314"/>
  <c r="DO120"/>
  <c r="DO385"/>
  <c r="DO371"/>
  <c r="DO396"/>
  <c r="DO389"/>
  <c r="DO390"/>
  <c r="DO121"/>
  <c r="DO113"/>
  <c r="DO117"/>
  <c r="DO287"/>
  <c r="DO488"/>
  <c r="DO48"/>
  <c r="DO264"/>
  <c r="DO447"/>
  <c r="DO424"/>
  <c r="DO74"/>
  <c r="DO206"/>
  <c r="DO199"/>
  <c r="DO324"/>
  <c r="DO143"/>
  <c r="DO102"/>
  <c r="DO352"/>
  <c r="DO291"/>
  <c r="DO186"/>
  <c r="DO285"/>
  <c r="DO111"/>
  <c r="DO258"/>
  <c r="DO374"/>
  <c r="DO321"/>
  <c r="DO326"/>
  <c r="DO51"/>
  <c r="DO96"/>
  <c r="DO446"/>
  <c r="DO35"/>
  <c r="DO444"/>
  <c r="DO78"/>
  <c r="DO34"/>
  <c r="DO204"/>
  <c r="DO79"/>
  <c r="DO506"/>
  <c r="DO316"/>
  <c r="DO49"/>
  <c r="DO47"/>
  <c r="DO174"/>
  <c r="DO306"/>
  <c r="DO86"/>
  <c r="DO415"/>
  <c r="DO38"/>
  <c r="DO138"/>
  <c r="DO442"/>
  <c r="DO410"/>
  <c r="DO268"/>
  <c r="DO148"/>
  <c r="DO340"/>
  <c r="DO237"/>
  <c r="DO82"/>
  <c r="DO238"/>
  <c r="DO490"/>
  <c r="DO104"/>
  <c r="DO192"/>
  <c r="DO467"/>
  <c r="DO98"/>
  <c r="DO142"/>
  <c r="DO457"/>
  <c r="DO220"/>
  <c r="DO132"/>
  <c r="DO313"/>
  <c r="DO322"/>
  <c r="DO131"/>
  <c r="DO167"/>
  <c r="DO383"/>
  <c r="DO284"/>
  <c r="DO141"/>
  <c r="DO368"/>
  <c r="DO29"/>
  <c r="DO166"/>
  <c r="DO391"/>
  <c r="DO465"/>
  <c r="DO263"/>
  <c r="DO502"/>
  <c r="DO149"/>
  <c r="DO254"/>
  <c r="DO41"/>
  <c r="DO147"/>
  <c r="DO498"/>
  <c r="DO452"/>
  <c r="DO177"/>
  <c r="DO350"/>
  <c r="DO272"/>
  <c r="DO253"/>
  <c r="DO455"/>
  <c r="DO185"/>
  <c r="DO252"/>
  <c r="DO305"/>
  <c r="DO239"/>
  <c r="DO119"/>
  <c r="DO101"/>
  <c r="DO445"/>
  <c r="DO173"/>
  <c r="DO201"/>
  <c r="DO151"/>
  <c r="DO118"/>
  <c r="DO37"/>
  <c r="DO91"/>
  <c r="DO203"/>
  <c r="DO450"/>
  <c r="DO365"/>
  <c r="DO393"/>
  <c r="DO107"/>
  <c r="DO333"/>
  <c r="DO59"/>
  <c r="DO473"/>
  <c r="DO296"/>
  <c r="DO241"/>
  <c r="DO249"/>
  <c r="DO87"/>
  <c r="DO356"/>
  <c r="DO422"/>
  <c r="DO84"/>
  <c r="DO194"/>
  <c r="DO483"/>
  <c r="DO275"/>
  <c r="DO392"/>
  <c r="DO277"/>
  <c r="DO501"/>
  <c r="DO172"/>
  <c r="DO339"/>
  <c r="DO463"/>
  <c r="DO182"/>
  <c r="DO493"/>
  <c r="DO112"/>
  <c r="DO491"/>
  <c r="DO130"/>
  <c r="DC372"/>
  <c r="DC347"/>
  <c r="DC42"/>
  <c r="DC119"/>
  <c r="DC327"/>
  <c r="DC425"/>
  <c r="DC410"/>
  <c r="DC50"/>
  <c r="DC164"/>
  <c r="DC362"/>
  <c r="DC136"/>
  <c r="DC389"/>
  <c r="DC33"/>
  <c r="DC63"/>
  <c r="DC313"/>
  <c r="DC479"/>
  <c r="DC46"/>
  <c r="DC108"/>
  <c r="DC478"/>
  <c r="DC496"/>
  <c r="DC452"/>
  <c r="DC132"/>
  <c r="DC141"/>
  <c r="DC44"/>
  <c r="DC212"/>
  <c r="DC68"/>
  <c r="DC270"/>
  <c r="DC60"/>
  <c r="DC101"/>
  <c r="DC312"/>
  <c r="DC361"/>
  <c r="DC80"/>
  <c r="DC36"/>
  <c r="DC399"/>
  <c r="DC465"/>
  <c r="DC388"/>
  <c r="DC319"/>
  <c r="DC31"/>
  <c r="DC449"/>
  <c r="DC247"/>
  <c r="DC293"/>
  <c r="DC317"/>
  <c r="DC256"/>
  <c r="DC48"/>
  <c r="DC236"/>
  <c r="DC318"/>
  <c r="DC485"/>
  <c r="DC257"/>
  <c r="DC471"/>
  <c r="DC467"/>
  <c r="DC443"/>
  <c r="DC206"/>
  <c r="DC52"/>
  <c r="DC160"/>
  <c r="DC315"/>
  <c r="DC197"/>
  <c r="DC488"/>
  <c r="DC221"/>
  <c r="DC183"/>
  <c r="DC150"/>
  <c r="DC343"/>
  <c r="DC494"/>
  <c r="DC226"/>
  <c r="DC268"/>
  <c r="DC295"/>
  <c r="DC54"/>
  <c r="DC279"/>
  <c r="DC75"/>
  <c r="DC142"/>
  <c r="DC429"/>
  <c r="DC428"/>
  <c r="DC486"/>
  <c r="DC254"/>
  <c r="DC294"/>
  <c r="DC440"/>
  <c r="DC490"/>
  <c r="DC103"/>
  <c r="DC205"/>
  <c r="DC213"/>
  <c r="DC230"/>
  <c r="DC348"/>
  <c r="DC23"/>
  <c r="DC398"/>
  <c r="DC26"/>
  <c r="DC451"/>
  <c r="DC334"/>
  <c r="DC308"/>
  <c r="DC192"/>
  <c r="DC403"/>
  <c r="DC110"/>
  <c r="DC512"/>
  <c r="DC241"/>
  <c r="DC130"/>
  <c r="DC301"/>
  <c r="DC193"/>
  <c r="DC450"/>
  <c r="DC55"/>
  <c r="DC310"/>
  <c r="DC134"/>
  <c r="DC38"/>
  <c r="DC181"/>
  <c r="DC366"/>
  <c r="DC156"/>
  <c r="DC87"/>
  <c r="DC69"/>
  <c r="DC276"/>
  <c r="DC162"/>
  <c r="DC152"/>
  <c r="DC106"/>
  <c r="DC148"/>
  <c r="DC153"/>
  <c r="DC89"/>
  <c r="DC179"/>
  <c r="DC298"/>
  <c r="DC83"/>
  <c r="DC354"/>
  <c r="DC325"/>
  <c r="DC323"/>
  <c r="DC233"/>
  <c r="DC98"/>
  <c r="DC99"/>
  <c r="DC458"/>
  <c r="DC415"/>
  <c r="DC93"/>
  <c r="DC47"/>
  <c r="DC480"/>
  <c r="DC157"/>
  <c r="DC258"/>
  <c r="DC448"/>
  <c r="DC357"/>
  <c r="DC352"/>
  <c r="DC239"/>
  <c r="DC514"/>
  <c r="DC178"/>
  <c r="DC307"/>
  <c r="DC62"/>
  <c r="DC336"/>
  <c r="DC305"/>
  <c r="DC320"/>
  <c r="DC287"/>
  <c r="DC393"/>
  <c r="DC321"/>
  <c r="DC407"/>
  <c r="DC497"/>
  <c r="DC43"/>
  <c r="DC384"/>
  <c r="DC503"/>
  <c r="DC215"/>
  <c r="DC300"/>
  <c r="DC311"/>
  <c r="DC158"/>
  <c r="DC377"/>
  <c r="DC373"/>
  <c r="DC345"/>
  <c r="DC376"/>
  <c r="DC346"/>
  <c r="DC216"/>
  <c r="DC96"/>
  <c r="DC238"/>
  <c r="DC104"/>
  <c r="DC302"/>
  <c r="DC383"/>
  <c r="DC487"/>
  <c r="DC281"/>
  <c r="DC314"/>
  <c r="DC505"/>
  <c r="DC45"/>
  <c r="DC401"/>
  <c r="DC324"/>
  <c r="DC434"/>
  <c r="DC191"/>
  <c r="DC265"/>
  <c r="DC303"/>
  <c r="DC113"/>
  <c r="DC129"/>
  <c r="DC159"/>
  <c r="DC349"/>
  <c r="DC351"/>
  <c r="DC260"/>
  <c r="DC255"/>
  <c r="DC198"/>
  <c r="DC273"/>
  <c r="DC163"/>
  <c r="DC284"/>
  <c r="DC85"/>
  <c r="DC468"/>
  <c r="DC392"/>
  <c r="DC53"/>
  <c r="DC422"/>
  <c r="DC473"/>
  <c r="DC344"/>
  <c r="DC285"/>
  <c r="DC176"/>
  <c r="DC418"/>
  <c r="DC493"/>
  <c r="DC18"/>
  <c r="DC408"/>
  <c r="DC177"/>
  <c r="DC229"/>
  <c r="DC131"/>
  <c r="DC200"/>
  <c r="DC72"/>
  <c r="DC469"/>
  <c r="DC118"/>
  <c r="DC65"/>
  <c r="DC299"/>
  <c r="DC66"/>
  <c r="DC70"/>
  <c r="DC180"/>
  <c r="DC15"/>
  <c r="DC22"/>
  <c r="DC275"/>
  <c r="DC107"/>
  <c r="DC475"/>
  <c r="DC411"/>
  <c r="DC491"/>
  <c r="DC20"/>
  <c r="DC79"/>
  <c r="DC333"/>
  <c r="DC115"/>
  <c r="DC126"/>
  <c r="DC92"/>
  <c r="DC144"/>
  <c r="DC358"/>
  <c r="DC364"/>
  <c r="DC435"/>
  <c r="DC137"/>
  <c r="DC211"/>
  <c r="DC259"/>
  <c r="DC492"/>
  <c r="DC508"/>
  <c r="DC306"/>
  <c r="DC506"/>
  <c r="DC368"/>
  <c r="DC208"/>
  <c r="DC222"/>
  <c r="DC290"/>
  <c r="DC326"/>
  <c r="DC339"/>
  <c r="DC61"/>
  <c r="DC269"/>
  <c r="DC251"/>
  <c r="DC382"/>
  <c r="DC461"/>
  <c r="DC95"/>
  <c r="DC402"/>
  <c r="DC138"/>
  <c r="DC32"/>
  <c r="DC342"/>
  <c r="DC414"/>
  <c r="DC170"/>
  <c r="DC39"/>
  <c r="DC220"/>
  <c r="DC84"/>
  <c r="DC484"/>
  <c r="DC309"/>
  <c r="DC350"/>
  <c r="DC263"/>
  <c r="DC355"/>
  <c r="DC140"/>
  <c r="DC277"/>
  <c r="DC472"/>
  <c r="DC146"/>
  <c r="DC112"/>
  <c r="DC234"/>
  <c r="DC447"/>
  <c r="DC375"/>
  <c r="DC335"/>
  <c r="DC304"/>
  <c r="DC442"/>
  <c r="DC214"/>
  <c r="DC173"/>
  <c r="DC223"/>
  <c r="DC174"/>
  <c r="DC367"/>
  <c r="DC49"/>
  <c r="DC76"/>
  <c r="DC510"/>
  <c r="DC246"/>
  <c r="DC252"/>
  <c r="DC189"/>
  <c r="DC432"/>
  <c r="DC145"/>
  <c r="DC509"/>
  <c r="DC86"/>
  <c r="DC249"/>
  <c r="DC28"/>
  <c r="DC513"/>
  <c r="DC74"/>
  <c r="DC210"/>
  <c r="DC231"/>
  <c r="DC67"/>
  <c r="DC253"/>
  <c r="DC396"/>
  <c r="DC19"/>
  <c r="DC125"/>
  <c r="DC446"/>
  <c r="DC413"/>
  <c r="DC147"/>
  <c r="DC240"/>
  <c r="DC360"/>
  <c r="DC73"/>
  <c r="DC81"/>
  <c r="DC424"/>
  <c r="DC417"/>
  <c r="DC82"/>
  <c r="DC175"/>
  <c r="DC235"/>
  <c r="DC261"/>
  <c r="DC271"/>
  <c r="DC128"/>
  <c r="DC445"/>
  <c r="DC169"/>
  <c r="DC381"/>
  <c r="DC482"/>
  <c r="DC199"/>
  <c r="DC499"/>
  <c r="DC511"/>
  <c r="DC438"/>
  <c r="DC280"/>
  <c r="DC190"/>
  <c r="DC419"/>
  <c r="DC243"/>
  <c r="DC90"/>
  <c r="DC369"/>
  <c r="DC217"/>
  <c r="DC135"/>
  <c r="DC59"/>
  <c r="DC328"/>
  <c r="DC359"/>
  <c r="DC495"/>
  <c r="DC133"/>
  <c r="DC218"/>
  <c r="DC406"/>
  <c r="DC332"/>
  <c r="DC498"/>
  <c r="DC292"/>
  <c r="DC245"/>
  <c r="DC161"/>
  <c r="DC155"/>
  <c r="DC21"/>
  <c r="DC184"/>
  <c r="DC460"/>
  <c r="DC288"/>
  <c r="DC395"/>
  <c r="DC27"/>
  <c r="DC507"/>
  <c r="DC330"/>
  <c r="DC109"/>
  <c r="DC182"/>
  <c r="DC456"/>
  <c r="DC405"/>
  <c r="DC224"/>
  <c r="DC71"/>
  <c r="DC341"/>
  <c r="DC166"/>
  <c r="DC151"/>
  <c r="DC470"/>
  <c r="DC194"/>
  <c r="DC25"/>
  <c r="DC57"/>
  <c r="DC149"/>
  <c r="DC114"/>
  <c r="DC433"/>
  <c r="DC266"/>
  <c r="DC356"/>
  <c r="DC77"/>
  <c r="DC412"/>
  <c r="DC264"/>
  <c r="DC420"/>
  <c r="DC391"/>
  <c r="DC219"/>
  <c r="DC430"/>
  <c r="DC171"/>
  <c r="DC185"/>
  <c r="DC105"/>
  <c r="DC378"/>
  <c r="DC143"/>
  <c r="DC329"/>
  <c r="DC454"/>
  <c r="DC371"/>
  <c r="DC400"/>
  <c r="DC322"/>
  <c r="DC390"/>
  <c r="DC444"/>
  <c r="DC250"/>
  <c r="DC30"/>
  <c r="DC421"/>
  <c r="DC228"/>
  <c r="DC427"/>
  <c r="DC502"/>
  <c r="DC291"/>
  <c r="DC426"/>
  <c r="DC409"/>
  <c r="DC423"/>
  <c r="DC466"/>
  <c r="DC123"/>
  <c r="DC365"/>
  <c r="DC338"/>
  <c r="DC379"/>
  <c r="DC337"/>
  <c r="DC439"/>
  <c r="DC370"/>
  <c r="DC41"/>
  <c r="DC37"/>
  <c r="DC453"/>
  <c r="DC416"/>
  <c r="DC477"/>
  <c r="DC394"/>
  <c r="DC436"/>
  <c r="DC267"/>
  <c r="DC91"/>
  <c r="DC481"/>
  <c r="DC97"/>
  <c r="DC500"/>
  <c r="DC186"/>
  <c r="DC196"/>
  <c r="DC102"/>
  <c r="DC463"/>
  <c r="DC489"/>
  <c r="DC431"/>
  <c r="DC201"/>
  <c r="DC203"/>
  <c r="DC94"/>
  <c r="DC457"/>
  <c r="DC58"/>
  <c r="DC207"/>
  <c r="DC100"/>
  <c r="DC116"/>
  <c r="DC40"/>
  <c r="DC209"/>
  <c r="DC117"/>
  <c r="DC272"/>
  <c r="DC404"/>
  <c r="DC227"/>
  <c r="DC24"/>
  <c r="DC385"/>
  <c r="DC122"/>
  <c r="DC16"/>
  <c r="DE16" s="1"/>
  <c r="DC237"/>
  <c r="DC111"/>
  <c r="DC504"/>
  <c r="DC34"/>
  <c r="DC462"/>
  <c r="DC283"/>
  <c r="DC172"/>
  <c r="DC121"/>
  <c r="DC204"/>
  <c r="DC139"/>
  <c r="DC363"/>
  <c r="DC441"/>
  <c r="DC353"/>
  <c r="DC232"/>
  <c r="DC154"/>
  <c r="DC387"/>
  <c r="DC437"/>
  <c r="DC476"/>
  <c r="DC248"/>
  <c r="DC88"/>
  <c r="DC286"/>
  <c r="DC29"/>
  <c r="DC51"/>
  <c r="DC459"/>
  <c r="DC340"/>
  <c r="DC289"/>
  <c r="DC374"/>
  <c r="DC124"/>
  <c r="DC120"/>
  <c r="DC202"/>
  <c r="DC188"/>
  <c r="DC127"/>
  <c r="DC474"/>
  <c r="DC274"/>
  <c r="DC262"/>
  <c r="DC187"/>
  <c r="DC167"/>
  <c r="DC165"/>
  <c r="DC483"/>
  <c r="DC17"/>
  <c r="DC331"/>
  <c r="DC386"/>
  <c r="DC225"/>
  <c r="DC244"/>
  <c r="DC297"/>
  <c r="DC242"/>
  <c r="DC397"/>
  <c r="DC282"/>
  <c r="DC380"/>
  <c r="DC316"/>
  <c r="DC278"/>
  <c r="DC455"/>
  <c r="DC501"/>
  <c r="DC168"/>
  <c r="DC464"/>
  <c r="DC64"/>
  <c r="DC35"/>
  <c r="DC195"/>
  <c r="DC296"/>
  <c r="DC78"/>
  <c r="DC56"/>
  <c r="CQ264"/>
  <c r="CQ65"/>
  <c r="CQ157"/>
  <c r="CQ103"/>
  <c r="CQ465"/>
  <c r="CQ511"/>
  <c r="CQ60"/>
  <c r="CQ469"/>
  <c r="CQ177"/>
  <c r="CQ256"/>
  <c r="CQ134"/>
  <c r="CQ222"/>
  <c r="CQ388"/>
  <c r="CQ220"/>
  <c r="CQ183"/>
  <c r="CQ210"/>
  <c r="CQ185"/>
  <c r="CQ44"/>
  <c r="CQ121"/>
  <c r="CQ158"/>
  <c r="CQ325"/>
  <c r="CQ277"/>
  <c r="CQ363"/>
  <c r="CQ173"/>
  <c r="CQ329"/>
  <c r="CQ209"/>
  <c r="CQ213"/>
  <c r="CQ18"/>
  <c r="CQ474"/>
  <c r="CQ347"/>
  <c r="CQ57"/>
  <c r="CQ369"/>
  <c r="CQ241"/>
  <c r="CQ225"/>
  <c r="CQ191"/>
  <c r="CQ488"/>
  <c r="CQ207"/>
  <c r="CQ120"/>
  <c r="CQ479"/>
  <c r="CQ386"/>
  <c r="CQ223"/>
  <c r="CQ42"/>
  <c r="CQ287"/>
  <c r="CQ439"/>
  <c r="CQ419"/>
  <c r="CQ408"/>
  <c r="CQ76"/>
  <c r="CQ20"/>
  <c r="CQ410"/>
  <c r="CQ319"/>
  <c r="CQ70"/>
  <c r="CQ285"/>
  <c r="CQ438"/>
  <c r="CQ406"/>
  <c r="CQ308"/>
  <c r="CQ15"/>
  <c r="CQ512"/>
  <c r="CQ118"/>
  <c r="CQ141"/>
  <c r="CQ114"/>
  <c r="CQ41"/>
  <c r="CQ332"/>
  <c r="CQ448"/>
  <c r="CQ79"/>
  <c r="CQ427"/>
  <c r="CQ345"/>
  <c r="CQ88"/>
  <c r="CQ204"/>
  <c r="CQ230"/>
  <c r="CQ187"/>
  <c r="CQ359"/>
  <c r="CQ179"/>
  <c r="CQ219"/>
  <c r="CQ263"/>
  <c r="CQ428"/>
  <c r="CQ84"/>
  <c r="CQ96"/>
  <c r="CQ457"/>
  <c r="CQ83"/>
  <c r="CQ32"/>
  <c r="CQ402"/>
  <c r="CQ128"/>
  <c r="CQ232"/>
  <c r="CQ171"/>
  <c r="CQ86"/>
  <c r="CQ336"/>
  <c r="CQ91"/>
  <c r="CQ306"/>
  <c r="CQ420"/>
  <c r="CQ95"/>
  <c r="CQ188"/>
  <c r="CQ151"/>
  <c r="CQ145"/>
  <c r="CQ214"/>
  <c r="CQ397"/>
  <c r="CQ30"/>
  <c r="CQ47"/>
  <c r="CQ19"/>
  <c r="CQ190"/>
  <c r="CQ49"/>
  <c r="CQ473"/>
  <c r="CQ106"/>
  <c r="CQ132"/>
  <c r="CQ17"/>
  <c r="CQ322"/>
  <c r="CQ513"/>
  <c r="CQ330"/>
  <c r="CQ337"/>
  <c r="CQ433"/>
  <c r="CQ440"/>
  <c r="CQ274"/>
  <c r="CQ441"/>
  <c r="CQ133"/>
  <c r="CQ484"/>
  <c r="CQ436"/>
  <c r="CQ426"/>
  <c r="CQ212"/>
  <c r="CQ38"/>
  <c r="CQ215"/>
  <c r="CQ404"/>
  <c r="CQ237"/>
  <c r="CQ296"/>
  <c r="CQ165"/>
  <c r="CQ229"/>
  <c r="CQ368"/>
  <c r="CQ152"/>
  <c r="CQ146"/>
  <c r="CQ244"/>
  <c r="CQ304"/>
  <c r="CQ195"/>
  <c r="CQ407"/>
  <c r="CQ487"/>
  <c r="CQ217"/>
  <c r="CQ493"/>
  <c r="CQ89"/>
  <c r="CQ376"/>
  <c r="CQ93"/>
  <c r="CQ449"/>
  <c r="CQ314"/>
  <c r="CQ442"/>
  <c r="CQ162"/>
  <c r="CQ432"/>
  <c r="CQ163"/>
  <c r="CQ501"/>
  <c r="CQ124"/>
  <c r="CQ176"/>
  <c r="CQ69"/>
  <c r="CQ169"/>
  <c r="CQ228"/>
  <c r="CQ90"/>
  <c r="CQ224"/>
  <c r="CQ389"/>
  <c r="CQ194"/>
  <c r="CQ413"/>
  <c r="CQ490"/>
  <c r="CQ39"/>
  <c r="CQ458"/>
  <c r="CQ351"/>
  <c r="CQ104"/>
  <c r="CQ139"/>
  <c r="CQ16"/>
  <c r="CS16" s="1"/>
  <c r="CQ245"/>
  <c r="CQ55"/>
  <c r="CQ67"/>
  <c r="CQ200"/>
  <c r="CQ250"/>
  <c r="CQ257"/>
  <c r="CQ371"/>
  <c r="CQ36"/>
  <c r="CQ278"/>
  <c r="CQ500"/>
  <c r="CQ125"/>
  <c r="CQ182"/>
  <c r="CQ170"/>
  <c r="CQ367"/>
  <c r="CQ122"/>
  <c r="CQ68"/>
  <c r="CQ161"/>
  <c r="CQ482"/>
  <c r="CQ377"/>
  <c r="CQ299"/>
  <c r="CQ208"/>
  <c r="CQ254"/>
  <c r="CQ293"/>
  <c r="CQ455"/>
  <c r="CQ495"/>
  <c r="CQ280"/>
  <c r="CQ154"/>
  <c r="CQ366"/>
  <c r="CQ315"/>
  <c r="CQ243"/>
  <c r="CQ472"/>
  <c r="CQ310"/>
  <c r="CQ503"/>
  <c r="CQ434"/>
  <c r="CQ247"/>
  <c r="CQ192"/>
  <c r="CQ63"/>
  <c r="CQ348"/>
  <c r="CQ460"/>
  <c r="CQ261"/>
  <c r="CQ61"/>
  <c r="CQ307"/>
  <c r="CQ411"/>
  <c r="CQ316"/>
  <c r="CQ109"/>
  <c r="CQ108"/>
  <c r="CQ148"/>
  <c r="CQ396"/>
  <c r="CQ462"/>
  <c r="CQ504"/>
  <c r="CQ302"/>
  <c r="CQ312"/>
  <c r="CQ353"/>
  <c r="CQ110"/>
  <c r="CQ364"/>
  <c r="CQ275"/>
  <c r="CQ272"/>
  <c r="CQ197"/>
  <c r="CQ486"/>
  <c r="CQ456"/>
  <c r="CQ260"/>
  <c r="CQ172"/>
  <c r="CQ281"/>
  <c r="CQ45"/>
  <c r="CQ100"/>
  <c r="CQ142"/>
  <c r="CQ409"/>
  <c r="CQ255"/>
  <c r="CQ393"/>
  <c r="CQ327"/>
  <c r="CQ340"/>
  <c r="CQ81"/>
  <c r="CQ234"/>
  <c r="CQ391"/>
  <c r="CQ382"/>
  <c r="CQ326"/>
  <c r="CQ373"/>
  <c r="CQ227"/>
  <c r="CQ235"/>
  <c r="CQ117"/>
  <c r="CQ34"/>
  <c r="CQ284"/>
  <c r="CQ328"/>
  <c r="CQ343"/>
  <c r="CQ461"/>
  <c r="CQ320"/>
  <c r="CQ349"/>
  <c r="CQ480"/>
  <c r="CQ143"/>
  <c r="CQ116"/>
  <c r="CQ414"/>
  <c r="CQ505"/>
  <c r="CQ147"/>
  <c r="CQ494"/>
  <c r="CQ445"/>
  <c r="CQ233"/>
  <c r="CQ268"/>
  <c r="CQ485"/>
  <c r="CQ111"/>
  <c r="CQ175"/>
  <c r="CQ166"/>
  <c r="CQ286"/>
  <c r="CQ385"/>
  <c r="CQ127"/>
  <c r="CQ477"/>
  <c r="CQ365"/>
  <c r="CQ476"/>
  <c r="CQ181"/>
  <c r="CQ466"/>
  <c r="CQ37"/>
  <c r="CQ509"/>
  <c r="CQ321"/>
  <c r="CQ136"/>
  <c r="CQ492"/>
  <c r="CQ481"/>
  <c r="CQ46"/>
  <c r="CQ437"/>
  <c r="CQ203"/>
  <c r="CQ444"/>
  <c r="CQ417"/>
  <c r="CQ99"/>
  <c r="CQ196"/>
  <c r="CQ295"/>
  <c r="CQ394"/>
  <c r="CQ342"/>
  <c r="CQ298"/>
  <c r="CQ56"/>
  <c r="CQ423"/>
  <c r="CQ140"/>
  <c r="CQ403"/>
  <c r="CQ383"/>
  <c r="CQ384"/>
  <c r="CQ205"/>
  <c r="CQ361"/>
  <c r="CQ270"/>
  <c r="CQ199"/>
  <c r="CQ211"/>
  <c r="CQ392"/>
  <c r="CQ33"/>
  <c r="CQ380"/>
  <c r="CQ156"/>
  <c r="CQ370"/>
  <c r="CQ317"/>
  <c r="CQ266"/>
  <c r="CQ239"/>
  <c r="CQ318"/>
  <c r="CQ155"/>
  <c r="CQ291"/>
  <c r="CQ290"/>
  <c r="CQ66"/>
  <c r="CQ72"/>
  <c r="CQ236"/>
  <c r="CQ262"/>
  <c r="CQ335"/>
  <c r="CQ35"/>
  <c r="CQ252"/>
  <c r="CQ221"/>
  <c r="CQ334"/>
  <c r="CQ424"/>
  <c r="CQ119"/>
  <c r="CQ309"/>
  <c r="CQ51"/>
  <c r="CQ375"/>
  <c r="CQ470"/>
  <c r="CQ180"/>
  <c r="CQ300"/>
  <c r="CQ303"/>
  <c r="CQ422"/>
  <c r="CQ497"/>
  <c r="CQ186"/>
  <c r="CQ352"/>
  <c r="CQ240"/>
  <c r="CQ483"/>
  <c r="CQ131"/>
  <c r="CQ258"/>
  <c r="CQ292"/>
  <c r="CQ150"/>
  <c r="CQ381"/>
  <c r="CQ248"/>
  <c r="CQ112"/>
  <c r="CQ514"/>
  <c r="CQ468"/>
  <c r="CQ390"/>
  <c r="CQ21"/>
  <c r="CQ475"/>
  <c r="CQ251"/>
  <c r="CQ22"/>
  <c r="CQ451"/>
  <c r="CQ498"/>
  <c r="CQ153"/>
  <c r="CQ193"/>
  <c r="CQ43"/>
  <c r="CQ491"/>
  <c r="CQ40"/>
  <c r="CQ273"/>
  <c r="CQ496"/>
  <c r="CQ189"/>
  <c r="CQ97"/>
  <c r="CQ405"/>
  <c r="CQ412"/>
  <c r="CQ378"/>
  <c r="CQ425"/>
  <c r="CQ305"/>
  <c r="CQ297"/>
  <c r="CQ226"/>
  <c r="CQ59"/>
  <c r="CQ73"/>
  <c r="CQ27"/>
  <c r="CQ506"/>
  <c r="CQ356"/>
  <c r="CQ282"/>
  <c r="CQ246"/>
  <c r="CQ138"/>
  <c r="CQ85"/>
  <c r="CQ400"/>
  <c r="CQ24"/>
  <c r="CQ446"/>
  <c r="CQ160"/>
  <c r="CQ135"/>
  <c r="CQ267"/>
  <c r="CQ443"/>
  <c r="CQ459"/>
  <c r="CQ467"/>
  <c r="CQ379"/>
  <c r="CQ333"/>
  <c r="CQ25"/>
  <c r="CQ269"/>
  <c r="CQ418"/>
  <c r="CQ231"/>
  <c r="CQ198"/>
  <c r="CQ452"/>
  <c r="CQ98"/>
  <c r="CQ64"/>
  <c r="CQ338"/>
  <c r="CQ31"/>
  <c r="CQ238"/>
  <c r="CQ123"/>
  <c r="CQ294"/>
  <c r="CQ94"/>
  <c r="CQ499"/>
  <c r="CQ58"/>
  <c r="CQ421"/>
  <c r="CQ50"/>
  <c r="CQ450"/>
  <c r="CQ82"/>
  <c r="CQ507"/>
  <c r="CQ216"/>
  <c r="CQ28"/>
  <c r="CQ416"/>
  <c r="CQ271"/>
  <c r="CQ283"/>
  <c r="CQ130"/>
  <c r="CQ431"/>
  <c r="CQ355"/>
  <c r="CQ202"/>
  <c r="CQ354"/>
  <c r="CQ178"/>
  <c r="CQ167"/>
  <c r="CQ313"/>
  <c r="CQ360"/>
  <c r="CQ464"/>
  <c r="CQ508"/>
  <c r="CQ149"/>
  <c r="CQ510"/>
  <c r="CQ478"/>
  <c r="CQ29"/>
  <c r="CQ435"/>
  <c r="CQ77"/>
  <c r="CQ113"/>
  <c r="CQ48"/>
  <c r="CQ129"/>
  <c r="CQ331"/>
  <c r="CQ26"/>
  <c r="CQ105"/>
  <c r="CQ350"/>
  <c r="CQ372"/>
  <c r="CQ387"/>
  <c r="CQ259"/>
  <c r="CQ75"/>
  <c r="CQ74"/>
  <c r="CQ92"/>
  <c r="CQ341"/>
  <c r="CQ168"/>
  <c r="CQ206"/>
  <c r="CQ249"/>
  <c r="CQ265"/>
  <c r="CQ454"/>
  <c r="CQ362"/>
  <c r="CQ323"/>
  <c r="CQ471"/>
  <c r="CQ447"/>
  <c r="CQ311"/>
  <c r="CQ279"/>
  <c r="CQ218"/>
  <c r="CQ71"/>
  <c r="CQ137"/>
  <c r="CQ357"/>
  <c r="CQ101"/>
  <c r="CQ144"/>
  <c r="CQ398"/>
  <c r="CQ453"/>
  <c r="CQ395"/>
  <c r="CQ289"/>
  <c r="CQ107"/>
  <c r="CQ489"/>
  <c r="CQ102"/>
  <c r="CQ502"/>
  <c r="CQ288"/>
  <c r="CQ159"/>
  <c r="CQ62"/>
  <c r="CQ53"/>
  <c r="CQ430"/>
  <c r="CQ346"/>
  <c r="CQ344"/>
  <c r="CQ174"/>
  <c r="CQ374"/>
  <c r="CQ401"/>
  <c r="CQ87"/>
  <c r="CQ358"/>
  <c r="CQ54"/>
  <c r="CQ399"/>
  <c r="CQ23"/>
  <c r="CQ463"/>
  <c r="CQ276"/>
  <c r="CQ78"/>
  <c r="CQ339"/>
  <c r="CQ324"/>
  <c r="CQ52"/>
  <c r="CQ429"/>
  <c r="CQ115"/>
  <c r="CQ80"/>
  <c r="CQ415"/>
  <c r="CQ126"/>
  <c r="CQ301"/>
  <c r="CQ201"/>
  <c r="CQ242"/>
  <c r="CQ184"/>
  <c r="CQ253"/>
  <c r="CQ164"/>
  <c r="CE355"/>
  <c r="CE197"/>
  <c r="CE19"/>
  <c r="CE345"/>
  <c r="CE514"/>
  <c r="CE499"/>
  <c r="CE348"/>
  <c r="CE94"/>
  <c r="CE420"/>
  <c r="CE241"/>
  <c r="CE474"/>
  <c r="CE486"/>
  <c r="CE360"/>
  <c r="CE438"/>
  <c r="CE34"/>
  <c r="CE476"/>
  <c r="CE85"/>
  <c r="CE270"/>
  <c r="CE91"/>
  <c r="CE205"/>
  <c r="CE171"/>
  <c r="CE429"/>
  <c r="CE465"/>
  <c r="CE268"/>
  <c r="CE423"/>
  <c r="CE322"/>
  <c r="CE384"/>
  <c r="CE173"/>
  <c r="CE244"/>
  <c r="CE403"/>
  <c r="CE115"/>
  <c r="CE480"/>
  <c r="CE54"/>
  <c r="CE506"/>
  <c r="CE376"/>
  <c r="CE354"/>
  <c r="CE305"/>
  <c r="CE494"/>
  <c r="CE113"/>
  <c r="CE82"/>
  <c r="CE136"/>
  <c r="CE436"/>
  <c r="CE42"/>
  <c r="CE220"/>
  <c r="CE504"/>
  <c r="CE411"/>
  <c r="CE240"/>
  <c r="CE36"/>
  <c r="CE109"/>
  <c r="CE288"/>
  <c r="CE252"/>
  <c r="CE77"/>
  <c r="CE498"/>
  <c r="CE475"/>
  <c r="CE181"/>
  <c r="CE276"/>
  <c r="CE331"/>
  <c r="CE161"/>
  <c r="CE182"/>
  <c r="CE245"/>
  <c r="CE151"/>
  <c r="CE419"/>
  <c r="CE87"/>
  <c r="CE267"/>
  <c r="CE139"/>
  <c r="CE238"/>
  <c r="CE264"/>
  <c r="CE473"/>
  <c r="CE93"/>
  <c r="CE190"/>
  <c r="CE114"/>
  <c r="CE446"/>
  <c r="CE306"/>
  <c r="CE464"/>
  <c r="CE187"/>
  <c r="CE373"/>
  <c r="CE497"/>
  <c r="CE302"/>
  <c r="CE239"/>
  <c r="CE492"/>
  <c r="CE167"/>
  <c r="CE330"/>
  <c r="CE219"/>
  <c r="CE191"/>
  <c r="CE471"/>
  <c r="CE478"/>
  <c r="CE71"/>
  <c r="CE273"/>
  <c r="CE154"/>
  <c r="CE434"/>
  <c r="CE138"/>
  <c r="CE112"/>
  <c r="CE102"/>
  <c r="CE228"/>
  <c r="CE232"/>
  <c r="CE378"/>
  <c r="CE356"/>
  <c r="CE426"/>
  <c r="CE452"/>
  <c r="CE75"/>
  <c r="CE130"/>
  <c r="CE199"/>
  <c r="CE60"/>
  <c r="CE164"/>
  <c r="CE377"/>
  <c r="CE483"/>
  <c r="CE260"/>
  <c r="CE340"/>
  <c r="CE275"/>
  <c r="CE263"/>
  <c r="CE510"/>
  <c r="CE145"/>
  <c r="CE210"/>
  <c r="CE254"/>
  <c r="CE17"/>
  <c r="CE26"/>
  <c r="CE414"/>
  <c r="CE38"/>
  <c r="CE162"/>
  <c r="CE501"/>
  <c r="CE198"/>
  <c r="CE404"/>
  <c r="CE301"/>
  <c r="CE496"/>
  <c r="CE450"/>
  <c r="CE512"/>
  <c r="CE445"/>
  <c r="CE457"/>
  <c r="CE20"/>
  <c r="CE148"/>
  <c r="CE129"/>
  <c r="CE333"/>
  <c r="CE265"/>
  <c r="CE56"/>
  <c r="CE177"/>
  <c r="CE99"/>
  <c r="CE447"/>
  <c r="CE131"/>
  <c r="CE153"/>
  <c r="CE246"/>
  <c r="CE397"/>
  <c r="CE108"/>
  <c r="CE126"/>
  <c r="CE65"/>
  <c r="CE410"/>
  <c r="CE110"/>
  <c r="CE505"/>
  <c r="CE86"/>
  <c r="CE466"/>
  <c r="CE27"/>
  <c r="CE318"/>
  <c r="CE258"/>
  <c r="CE454"/>
  <c r="CE193"/>
  <c r="CE90"/>
  <c r="CE388"/>
  <c r="CE180"/>
  <c r="CE159"/>
  <c r="CE351"/>
  <c r="CE174"/>
  <c r="CE422"/>
  <c r="CE392"/>
  <c r="CE212"/>
  <c r="CE443"/>
  <c r="CE461"/>
  <c r="CE495"/>
  <c r="CE189"/>
  <c r="CE147"/>
  <c r="CE502"/>
  <c r="CE195"/>
  <c r="CE295"/>
  <c r="CE150"/>
  <c r="CE427"/>
  <c r="CE192"/>
  <c r="CE489"/>
  <c r="CE69"/>
  <c r="CE424"/>
  <c r="CE176"/>
  <c r="CE222"/>
  <c r="CE294"/>
  <c r="CE375"/>
  <c r="CE104"/>
  <c r="CE289"/>
  <c r="CE31"/>
  <c r="CE367"/>
  <c r="CE155"/>
  <c r="CE124"/>
  <c r="CE312"/>
  <c r="CE442"/>
  <c r="CE185"/>
  <c r="CE73"/>
  <c r="CE274"/>
  <c r="CE261"/>
  <c r="CE209"/>
  <c r="CE381"/>
  <c r="CE221"/>
  <c r="CE341"/>
  <c r="CE156"/>
  <c r="CE448"/>
  <c r="CE47"/>
  <c r="CE368"/>
  <c r="CE297"/>
  <c r="CE234"/>
  <c r="CE488"/>
  <c r="CE387"/>
  <c r="CE135"/>
  <c r="CE225"/>
  <c r="CE317"/>
  <c r="CE304"/>
  <c r="CE117"/>
  <c r="CE444"/>
  <c r="CE379"/>
  <c r="CE52"/>
  <c r="CE175"/>
  <c r="CE364"/>
  <c r="CE508"/>
  <c r="CE25"/>
  <c r="CE183"/>
  <c r="CE188"/>
  <c r="CE230"/>
  <c r="CE21"/>
  <c r="CE362"/>
  <c r="CE292"/>
  <c r="CE58"/>
  <c r="CE48"/>
  <c r="CE89"/>
  <c r="CE123"/>
  <c r="CE196"/>
  <c r="CE282"/>
  <c r="CE433"/>
  <c r="CE482"/>
  <c r="CE299"/>
  <c r="CE500"/>
  <c r="CE98"/>
  <c r="CE184"/>
  <c r="CE137"/>
  <c r="CE485"/>
  <c r="CE320"/>
  <c r="CE227"/>
  <c r="CE338"/>
  <c r="CE383"/>
  <c r="CE257"/>
  <c r="CE28"/>
  <c r="CE349"/>
  <c r="CE216"/>
  <c r="CE96"/>
  <c r="CE372"/>
  <c r="CE290"/>
  <c r="CE107"/>
  <c r="CE469"/>
  <c r="CE266"/>
  <c r="CE412"/>
  <c r="CE291"/>
  <c r="CE350"/>
  <c r="CE408"/>
  <c r="CE472"/>
  <c r="CE435"/>
  <c r="CE226"/>
  <c r="CE51"/>
  <c r="CE493"/>
  <c r="CE337"/>
  <c r="CE80"/>
  <c r="CE206"/>
  <c r="CE97"/>
  <c r="CE262"/>
  <c r="CE248"/>
  <c r="CE166"/>
  <c r="CE458"/>
  <c r="CE200"/>
  <c r="CE431"/>
  <c r="CE149"/>
  <c r="CE402"/>
  <c r="CE76"/>
  <c r="CE409"/>
  <c r="CE128"/>
  <c r="CE477"/>
  <c r="CE386"/>
  <c r="CE467"/>
  <c r="CE231"/>
  <c r="CE105"/>
  <c r="CE63"/>
  <c r="CE462"/>
  <c r="CE470"/>
  <c r="CE247"/>
  <c r="CE44"/>
  <c r="CE332"/>
  <c r="CE122"/>
  <c r="CE249"/>
  <c r="CE361"/>
  <c r="CE22"/>
  <c r="CE344"/>
  <c r="CE106"/>
  <c r="CE194"/>
  <c r="CE163"/>
  <c r="CE407"/>
  <c r="CE211"/>
  <c r="CE287"/>
  <c r="CE169"/>
  <c r="CE61"/>
  <c r="CE207"/>
  <c r="CE281"/>
  <c r="CE203"/>
  <c r="CE509"/>
  <c r="CE35"/>
  <c r="CE382"/>
  <c r="CE343"/>
  <c r="CE421"/>
  <c r="CE30"/>
  <c r="CE41"/>
  <c r="CE399"/>
  <c r="CE78"/>
  <c r="CE237"/>
  <c r="CE342"/>
  <c r="CE326"/>
  <c r="CE18"/>
  <c r="CE43"/>
  <c r="CE235"/>
  <c r="CE120"/>
  <c r="CE389"/>
  <c r="CE95"/>
  <c r="CE283"/>
  <c r="CE213"/>
  <c r="CE279"/>
  <c r="CE417"/>
  <c r="CE24"/>
  <c r="CE365"/>
  <c r="CE334"/>
  <c r="CE33"/>
  <c r="CE142"/>
  <c r="CE79"/>
  <c r="CE460"/>
  <c r="CE29"/>
  <c r="CE66"/>
  <c r="CE413"/>
  <c r="CE415"/>
  <c r="CE256"/>
  <c r="CE405"/>
  <c r="CE68"/>
  <c r="CE286"/>
  <c r="CE179"/>
  <c r="CE451"/>
  <c r="CE491"/>
  <c r="CE396"/>
  <c r="CE133"/>
  <c r="CE214"/>
  <c r="CE111"/>
  <c r="CE416"/>
  <c r="CE328"/>
  <c r="CE253"/>
  <c r="CE487"/>
  <c r="CE141"/>
  <c r="CE46"/>
  <c r="CE64"/>
  <c r="CE50"/>
  <c r="CE285"/>
  <c r="CE101"/>
  <c r="CE329"/>
  <c r="CE339"/>
  <c r="CE40"/>
  <c r="CE369"/>
  <c r="CE327"/>
  <c r="CE357"/>
  <c r="CE186"/>
  <c r="CE321"/>
  <c r="CE441"/>
  <c r="CE62"/>
  <c r="CE374"/>
  <c r="CE428"/>
  <c r="CE119"/>
  <c r="CE406"/>
  <c r="CE490"/>
  <c r="CE324"/>
  <c r="CE319"/>
  <c r="CE400"/>
  <c r="CE336"/>
  <c r="CE269"/>
  <c r="CE74"/>
  <c r="CE152"/>
  <c r="CE53"/>
  <c r="CE45"/>
  <c r="CE70"/>
  <c r="CE243"/>
  <c r="CE178"/>
  <c r="CE16"/>
  <c r="CG16" s="1"/>
  <c r="CG17" s="1"/>
  <c r="CE255"/>
  <c r="CE67"/>
  <c r="CE308"/>
  <c r="CE395"/>
  <c r="CE390"/>
  <c r="CE127"/>
  <c r="CE513"/>
  <c r="CE316"/>
  <c r="CE453"/>
  <c r="CE425"/>
  <c r="CE479"/>
  <c r="CE484"/>
  <c r="CE284"/>
  <c r="CE57"/>
  <c r="CE303"/>
  <c r="CE134"/>
  <c r="CE380"/>
  <c r="CE311"/>
  <c r="CE359"/>
  <c r="CE347"/>
  <c r="CE143"/>
  <c r="CE503"/>
  <c r="CE215"/>
  <c r="CE250"/>
  <c r="CE39"/>
  <c r="CE335"/>
  <c r="CE352"/>
  <c r="CE157"/>
  <c r="CE325"/>
  <c r="CE300"/>
  <c r="CE92"/>
  <c r="CE391"/>
  <c r="CE468"/>
  <c r="CE32"/>
  <c r="CE353"/>
  <c r="CE23"/>
  <c r="CE346"/>
  <c r="CE323"/>
  <c r="CE218"/>
  <c r="CE385"/>
  <c r="CE140"/>
  <c r="CE363"/>
  <c r="CE202"/>
  <c r="CE401"/>
  <c r="CE315"/>
  <c r="CE296"/>
  <c r="CE455"/>
  <c r="CE278"/>
  <c r="CE146"/>
  <c r="CE371"/>
  <c r="CE370"/>
  <c r="CE259"/>
  <c r="CE170"/>
  <c r="CE418"/>
  <c r="CE456"/>
  <c r="CE236"/>
  <c r="CE440"/>
  <c r="CE59"/>
  <c r="CE88"/>
  <c r="CE459"/>
  <c r="CE158"/>
  <c r="CE251"/>
  <c r="CE481"/>
  <c r="CE242"/>
  <c r="CE172"/>
  <c r="CE144"/>
  <c r="CE280"/>
  <c r="CE463"/>
  <c r="CE272"/>
  <c r="CE125"/>
  <c r="CE293"/>
  <c r="CE398"/>
  <c r="CE208"/>
  <c r="CE432"/>
  <c r="CE37"/>
  <c r="CE132"/>
  <c r="CE229"/>
  <c r="CE314"/>
  <c r="CE393"/>
  <c r="CE81"/>
  <c r="CE298"/>
  <c r="CE160"/>
  <c r="CE100"/>
  <c r="CE217"/>
  <c r="CE394"/>
  <c r="CE449"/>
  <c r="CE310"/>
  <c r="CE437"/>
  <c r="CE358"/>
  <c r="CE72"/>
  <c r="CE168"/>
  <c r="CE430"/>
  <c r="CE118"/>
  <c r="CE165"/>
  <c r="CE277"/>
  <c r="CE103"/>
  <c r="CE313"/>
  <c r="CE511"/>
  <c r="CE204"/>
  <c r="CE121"/>
  <c r="CE49"/>
  <c r="CE116"/>
  <c r="CE223"/>
  <c r="CE307"/>
  <c r="CE15"/>
  <c r="CE439"/>
  <c r="CE55"/>
  <c r="CE84"/>
  <c r="CE224"/>
  <c r="CE201"/>
  <c r="CE366"/>
  <c r="CE271"/>
  <c r="CE233"/>
  <c r="CE309"/>
  <c r="CE507"/>
  <c r="CE83"/>
  <c r="BX12" i="5"/>
  <c r="BX7"/>
  <c r="BX30"/>
  <c r="BX23"/>
  <c r="BX10"/>
  <c r="BX25"/>
  <c r="BX27"/>
  <c r="BX31"/>
  <c r="BX29"/>
  <c r="BX11"/>
  <c r="BX9"/>
  <c r="BX32"/>
  <c r="BX8"/>
  <c r="BX20"/>
  <c r="BX22"/>
  <c r="BX21"/>
  <c r="BX15"/>
  <c r="BX13"/>
  <c r="BX18"/>
  <c r="BX16"/>
  <c r="BX24"/>
  <c r="BX28"/>
  <c r="BX14"/>
  <c r="BX17"/>
  <c r="BX26"/>
  <c r="BX19"/>
  <c r="BU30"/>
  <c r="BU25"/>
  <c r="BU10"/>
  <c r="BU9"/>
  <c r="BU26"/>
  <c r="BU22"/>
  <c r="BU12"/>
  <c r="BU18"/>
  <c r="BU20"/>
  <c r="BU28"/>
  <c r="BU24"/>
  <c r="BU19"/>
  <c r="BU16"/>
  <c r="BU14"/>
  <c r="BU29"/>
  <c r="BU27"/>
  <c r="BU17"/>
  <c r="BU21"/>
  <c r="BU8"/>
  <c r="BU15"/>
  <c r="BU13"/>
  <c r="BU23"/>
  <c r="BU7"/>
  <c r="BU11"/>
  <c r="BU31"/>
  <c r="BU32"/>
  <c r="BW17"/>
  <c r="BW24"/>
  <c r="BW10"/>
  <c r="BW23"/>
  <c r="BW20"/>
  <c r="BW19"/>
  <c r="BW16"/>
  <c r="BW9"/>
  <c r="BW8"/>
  <c r="BW26"/>
  <c r="BW22"/>
  <c r="BW14"/>
  <c r="BW7"/>
  <c r="BW13"/>
  <c r="BW18"/>
  <c r="BW21"/>
  <c r="BW27"/>
  <c r="BW28"/>
  <c r="BW15"/>
  <c r="BW30"/>
  <c r="BW32"/>
  <c r="BW29"/>
  <c r="BW11"/>
  <c r="BW25"/>
  <c r="BW31"/>
  <c r="BW12"/>
  <c r="BV20"/>
  <c r="BV28"/>
  <c r="BV10"/>
  <c r="BV25"/>
  <c r="BV11"/>
  <c r="BV27"/>
  <c r="BV30"/>
  <c r="BV7"/>
  <c r="BV14"/>
  <c r="BV31"/>
  <c r="BV17"/>
  <c r="BV16"/>
  <c r="BV29"/>
  <c r="BV26"/>
  <c r="BV19"/>
  <c r="BV9"/>
  <c r="BV22"/>
  <c r="BV15"/>
  <c r="BV12"/>
  <c r="BV24"/>
  <c r="BV8"/>
  <c r="BV23"/>
  <c r="BV18"/>
  <c r="BV21"/>
  <c r="BV32"/>
  <c r="BV13"/>
  <c r="BC51"/>
  <c r="BL67" i="1"/>
  <c r="BC54" i="18"/>
  <c r="DE17" i="12" l="1"/>
  <c r="DE18" s="1"/>
  <c r="DE19" s="1"/>
  <c r="DE20" s="1"/>
  <c r="DE21" s="1"/>
  <c r="DE22" s="1"/>
  <c r="DE23" s="1"/>
  <c r="ET14"/>
  <c r="ET28"/>
  <c r="ET29"/>
  <c r="ET25"/>
  <c r="ET23"/>
  <c r="ET24"/>
  <c r="EP24" s="1"/>
  <c r="EQ24" s="1"/>
  <c r="CS17"/>
  <c r="CS18" s="1"/>
  <c r="CS19" s="1"/>
  <c r="CU16" s="1"/>
  <c r="ET26"/>
  <c r="ET32"/>
  <c r="ET16"/>
  <c r="ET15"/>
  <c r="EP15" s="1"/>
  <c r="EQ15" s="1"/>
  <c r="ET20"/>
  <c r="EP20" s="1"/>
  <c r="EQ20" s="1"/>
  <c r="ET18"/>
  <c r="CG18"/>
  <c r="CG19" s="1"/>
  <c r="BK17"/>
  <c r="BK18" s="1"/>
  <c r="BK19" s="1"/>
  <c r="BU17"/>
  <c r="BU18" s="1"/>
  <c r="BU19" s="1"/>
  <c r="ET21"/>
  <c r="EP21" s="1"/>
  <c r="EQ21" s="1"/>
  <c r="ET22"/>
  <c r="EP22" s="1"/>
  <c r="EQ22" s="1"/>
  <c r="ET19"/>
  <c r="ET33"/>
  <c r="DQ17"/>
  <c r="DQ18" s="1"/>
  <c r="DQ19" s="1"/>
  <c r="ET27"/>
  <c r="ET17"/>
  <c r="EP17" s="1"/>
  <c r="EQ17" s="1"/>
  <c r="BC62" i="18"/>
  <c r="BC55"/>
  <c r="EP19" i="12" l="1"/>
  <c r="EQ19" s="1"/>
  <c r="EP18"/>
  <c r="EQ18" s="1"/>
  <c r="EP28"/>
  <c r="EQ28" s="1"/>
  <c r="EP33"/>
  <c r="EQ33" s="1"/>
  <c r="EP26"/>
  <c r="EQ26" s="1"/>
  <c r="EP29"/>
  <c r="EQ29" s="1"/>
  <c r="EP32"/>
  <c r="EQ32" s="1"/>
  <c r="EP25"/>
  <c r="EQ25" s="1"/>
  <c r="EP27"/>
  <c r="EQ27" s="1"/>
  <c r="EP16"/>
  <c r="EQ16" s="1"/>
  <c r="EP23"/>
  <c r="EQ23" s="1"/>
  <c r="CS20"/>
  <c r="CS21" s="1"/>
  <c r="CS22" s="1"/>
  <c r="CS23" s="1"/>
  <c r="CU17" s="1"/>
  <c r="DG16"/>
  <c r="CG20"/>
  <c r="CG21" s="1"/>
  <c r="CG22" s="1"/>
  <c r="CG23" s="1"/>
  <c r="CI16"/>
  <c r="BK20"/>
  <c r="BK21" s="1"/>
  <c r="BK22" s="1"/>
  <c r="BK23" s="1"/>
  <c r="BM16"/>
  <c r="DE24"/>
  <c r="DE25" s="1"/>
  <c r="DE26" s="1"/>
  <c r="DE27" s="1"/>
  <c r="DG17"/>
  <c r="DS16"/>
  <c r="DQ20"/>
  <c r="DQ21" s="1"/>
  <c r="DQ22" s="1"/>
  <c r="DQ23" s="1"/>
  <c r="BW16"/>
  <c r="BU20"/>
  <c r="BU21" s="1"/>
  <c r="BU22" s="1"/>
  <c r="BU23" s="1"/>
  <c r="BC63" i="18"/>
  <c r="BC52"/>
  <c r="DI16" i="12" l="1"/>
  <c r="CS24"/>
  <c r="CS25" s="1"/>
  <c r="CS26" s="1"/>
  <c r="CS27" s="1"/>
  <c r="CS28" s="1"/>
  <c r="CS29" s="1"/>
  <c r="CS30" s="1"/>
  <c r="CS31" s="1"/>
  <c r="CS32" s="1"/>
  <c r="CS33" s="1"/>
  <c r="CS34" s="1"/>
  <c r="CS35" s="1"/>
  <c r="BW17"/>
  <c r="BU24"/>
  <c r="BU25" s="1"/>
  <c r="BU26" s="1"/>
  <c r="BU27" s="1"/>
  <c r="DE28"/>
  <c r="DE29" s="1"/>
  <c r="DE30" s="1"/>
  <c r="DE31" s="1"/>
  <c r="DE32" s="1"/>
  <c r="DE33" s="1"/>
  <c r="DE34" s="1"/>
  <c r="DE35" s="1"/>
  <c r="DG18"/>
  <c r="CU18"/>
  <c r="CI17"/>
  <c r="CG24"/>
  <c r="CG25" s="1"/>
  <c r="CG26" s="1"/>
  <c r="CG27" s="1"/>
  <c r="DQ24"/>
  <c r="DQ25" s="1"/>
  <c r="DQ26" s="1"/>
  <c r="DQ27" s="1"/>
  <c r="DS17"/>
  <c r="BK24"/>
  <c r="BK25" s="1"/>
  <c r="BK26" s="1"/>
  <c r="BK27" s="1"/>
  <c r="BM17"/>
  <c r="CW17" s="1"/>
  <c r="CW16"/>
  <c r="DU16"/>
  <c r="CK16"/>
  <c r="BY16"/>
  <c r="BC60" i="18"/>
  <c r="BC51"/>
  <c r="DI17" i="12" l="1"/>
  <c r="DU17"/>
  <c r="BK28"/>
  <c r="BK29" s="1"/>
  <c r="BK30" s="1"/>
  <c r="BK31" s="1"/>
  <c r="BK32" s="1"/>
  <c r="BK33" s="1"/>
  <c r="BK34" s="1"/>
  <c r="BK35" s="1"/>
  <c r="BM18"/>
  <c r="DI18" s="1"/>
  <c r="CK17"/>
  <c r="BY17"/>
  <c r="CI18"/>
  <c r="CG28"/>
  <c r="CG29" s="1"/>
  <c r="CG30" s="1"/>
  <c r="CG31" s="1"/>
  <c r="CG32" s="1"/>
  <c r="CG33" s="1"/>
  <c r="CG34" s="1"/>
  <c r="CG35" s="1"/>
  <c r="BW18"/>
  <c r="BU28"/>
  <c r="BU29" s="1"/>
  <c r="BU30" s="1"/>
  <c r="BU31" s="1"/>
  <c r="BU32" s="1"/>
  <c r="BU33" s="1"/>
  <c r="BU34" s="1"/>
  <c r="BU35" s="1"/>
  <c r="DE36"/>
  <c r="DE37" s="1"/>
  <c r="DE38" s="1"/>
  <c r="DE39" s="1"/>
  <c r="DG19"/>
  <c r="DQ28"/>
  <c r="DQ29" s="1"/>
  <c r="DQ30" s="1"/>
  <c r="DQ31" s="1"/>
  <c r="DQ32" s="1"/>
  <c r="DQ33" s="1"/>
  <c r="DQ34" s="1"/>
  <c r="DQ35" s="1"/>
  <c r="DS18"/>
  <c r="CS36"/>
  <c r="CS37" s="1"/>
  <c r="CS38" s="1"/>
  <c r="CS39" s="1"/>
  <c r="CU19"/>
  <c r="BC59" i="18"/>
  <c r="BC49" i="5"/>
  <c r="BC52"/>
  <c r="BC53"/>
  <c r="BC50"/>
  <c r="D11" i="10" a="1"/>
  <c r="J11" a="1"/>
  <c r="DS19" i="12" l="1"/>
  <c r="DQ36"/>
  <c r="DQ37" s="1"/>
  <c r="DQ38" s="1"/>
  <c r="DQ39" s="1"/>
  <c r="BK36"/>
  <c r="BK37" s="1"/>
  <c r="BK38" s="1"/>
  <c r="BK39" s="1"/>
  <c r="BM19"/>
  <c r="DI19" s="1"/>
  <c r="DU18"/>
  <c r="BY18"/>
  <c r="CU20"/>
  <c r="CS40"/>
  <c r="CS41" s="1"/>
  <c r="CS42" s="1"/>
  <c r="CS43" s="1"/>
  <c r="CW19"/>
  <c r="CK18"/>
  <c r="BW19"/>
  <c r="BU36"/>
  <c r="BU37" s="1"/>
  <c r="BU38" s="1"/>
  <c r="BU39" s="1"/>
  <c r="DE40"/>
  <c r="DE41" s="1"/>
  <c r="DE42" s="1"/>
  <c r="DE43" s="1"/>
  <c r="DG20"/>
  <c r="CG36"/>
  <c r="CG37" s="1"/>
  <c r="CG38" s="1"/>
  <c r="CG39" s="1"/>
  <c r="CI19"/>
  <c r="CW18"/>
  <c r="D15" i="10"/>
  <c r="AO14" s="1"/>
  <c r="D14"/>
  <c r="AO28"/>
  <c r="DU19" i="12" l="1"/>
  <c r="BU40"/>
  <c r="BU41" s="1"/>
  <c r="BU42" s="1"/>
  <c r="BU43" s="1"/>
  <c r="BW20"/>
  <c r="DG21"/>
  <c r="DE44"/>
  <c r="DE45" s="1"/>
  <c r="DE46" s="1"/>
  <c r="DE47" s="1"/>
  <c r="DQ40"/>
  <c r="DQ41" s="1"/>
  <c r="DQ42" s="1"/>
  <c r="DQ43" s="1"/>
  <c r="DS20"/>
  <c r="CS44"/>
  <c r="CS45" s="1"/>
  <c r="CS46" s="1"/>
  <c r="CS47" s="1"/>
  <c r="CU21"/>
  <c r="BM20"/>
  <c r="BK40"/>
  <c r="BK41" s="1"/>
  <c r="BK42" s="1"/>
  <c r="BK43" s="1"/>
  <c r="CG40"/>
  <c r="CG41" s="1"/>
  <c r="CG42" s="1"/>
  <c r="CG43" s="1"/>
  <c r="CI20"/>
  <c r="CW20"/>
  <c r="DI20"/>
  <c r="CK19"/>
  <c r="BY19"/>
  <c r="AL14" i="10"/>
  <c r="AW28"/>
  <c r="AO20"/>
  <c r="AL28"/>
  <c r="BY20" i="12" l="1"/>
  <c r="CS48"/>
  <c r="CS49" s="1"/>
  <c r="CS50" s="1"/>
  <c r="CS51" s="1"/>
  <c r="CU22"/>
  <c r="BU44"/>
  <c r="BU45" s="1"/>
  <c r="BU46" s="1"/>
  <c r="BU47" s="1"/>
  <c r="BW21"/>
  <c r="BK44"/>
  <c r="BK45" s="1"/>
  <c r="BK46" s="1"/>
  <c r="BK47" s="1"/>
  <c r="BM21"/>
  <c r="CW21" s="1"/>
  <c r="DG22"/>
  <c r="DE48"/>
  <c r="DE49" s="1"/>
  <c r="DE50" s="1"/>
  <c r="DE51" s="1"/>
  <c r="CG44"/>
  <c r="CG45" s="1"/>
  <c r="CG46" s="1"/>
  <c r="CG47" s="1"/>
  <c r="CI21"/>
  <c r="DQ44"/>
  <c r="DQ45" s="1"/>
  <c r="DQ46" s="1"/>
  <c r="DQ47" s="1"/>
  <c r="DS21"/>
  <c r="DU21" s="1"/>
  <c r="CK20"/>
  <c r="DU20"/>
  <c r="AW20" i="10"/>
  <c r="AM28"/>
  <c r="AL20"/>
  <c r="DI21" i="12" l="1"/>
  <c r="CK21"/>
  <c r="BY21"/>
  <c r="CU23"/>
  <c r="CS52"/>
  <c r="CS53" s="1"/>
  <c r="CS54" s="1"/>
  <c r="CS55" s="1"/>
  <c r="DG23"/>
  <c r="DE52"/>
  <c r="DE53" s="1"/>
  <c r="DE54" s="1"/>
  <c r="DE55" s="1"/>
  <c r="CI22"/>
  <c r="CG48"/>
  <c r="CG49" s="1"/>
  <c r="CG50" s="1"/>
  <c r="CG51" s="1"/>
  <c r="BU48"/>
  <c r="BU49" s="1"/>
  <c r="BU50" s="1"/>
  <c r="BU51" s="1"/>
  <c r="BW22"/>
  <c r="DS22"/>
  <c r="DQ48"/>
  <c r="DQ49" s="1"/>
  <c r="DQ50" s="1"/>
  <c r="DQ51" s="1"/>
  <c r="BK48"/>
  <c r="BK49" s="1"/>
  <c r="BK50" s="1"/>
  <c r="BK51" s="1"/>
  <c r="BM22"/>
  <c r="DI22" s="1"/>
  <c r="AM20" i="10"/>
  <c r="AN20" s="1"/>
  <c r="AV20" s="1"/>
  <c r="AN28"/>
  <c r="AV28" s="1"/>
  <c r="AU28"/>
  <c r="AO29"/>
  <c r="CW22" i="12" l="1"/>
  <c r="BY22"/>
  <c r="DU22"/>
  <c r="CK22"/>
  <c r="BU52"/>
  <c r="BU53" s="1"/>
  <c r="BU54" s="1"/>
  <c r="BU55" s="1"/>
  <c r="BW23"/>
  <c r="CU24"/>
  <c r="CS56"/>
  <c r="CS57" s="1"/>
  <c r="CS58" s="1"/>
  <c r="CS59" s="1"/>
  <c r="DS23"/>
  <c r="DQ52"/>
  <c r="DQ53" s="1"/>
  <c r="DQ54" s="1"/>
  <c r="DQ55" s="1"/>
  <c r="DE56"/>
  <c r="DE57" s="1"/>
  <c r="DE58" s="1"/>
  <c r="DE59" s="1"/>
  <c r="DG24"/>
  <c r="BM23"/>
  <c r="CW23" s="1"/>
  <c r="BK52"/>
  <c r="BK53" s="1"/>
  <c r="BK54" s="1"/>
  <c r="BK55" s="1"/>
  <c r="CG52"/>
  <c r="CG53" s="1"/>
  <c r="CG54" s="1"/>
  <c r="CG55" s="1"/>
  <c r="CI23"/>
  <c r="AW29" i="10"/>
  <c r="AU20"/>
  <c r="AL29"/>
  <c r="DI23" i="12" l="1"/>
  <c r="BY23"/>
  <c r="DE60"/>
  <c r="DE61" s="1"/>
  <c r="DE62" s="1"/>
  <c r="DE63" s="1"/>
  <c r="DG25"/>
  <c r="BW24"/>
  <c r="BU56"/>
  <c r="BU57" s="1"/>
  <c r="BU58" s="1"/>
  <c r="BU59" s="1"/>
  <c r="BK56"/>
  <c r="BK57" s="1"/>
  <c r="BK58" s="1"/>
  <c r="BK59" s="1"/>
  <c r="BM24"/>
  <c r="DI24" s="1"/>
  <c r="CU25"/>
  <c r="CS60"/>
  <c r="CS61" s="1"/>
  <c r="CS62" s="1"/>
  <c r="CS63" s="1"/>
  <c r="CI24"/>
  <c r="CG56"/>
  <c r="CG57" s="1"/>
  <c r="CG58" s="1"/>
  <c r="CG59" s="1"/>
  <c r="DQ56"/>
  <c r="DQ57" s="1"/>
  <c r="DQ58" s="1"/>
  <c r="DQ59" s="1"/>
  <c r="DS24"/>
  <c r="DU24" s="1"/>
  <c r="DU23"/>
  <c r="CK23"/>
  <c r="AM29" i="10"/>
  <c r="AU29" s="1"/>
  <c r="AO25"/>
  <c r="CK24" i="12" l="1"/>
  <c r="CW24"/>
  <c r="BY24"/>
  <c r="DE64"/>
  <c r="DE65" s="1"/>
  <c r="DE66" s="1"/>
  <c r="DE67" s="1"/>
  <c r="DE68" s="1"/>
  <c r="DE69" s="1"/>
  <c r="DE70" s="1"/>
  <c r="DE71" s="1"/>
  <c r="DE72" s="1"/>
  <c r="DE73" s="1"/>
  <c r="DE74" s="1"/>
  <c r="DE75" s="1"/>
  <c r="DG26"/>
  <c r="CS64"/>
  <c r="CS65" s="1"/>
  <c r="CS66" s="1"/>
  <c r="CS67" s="1"/>
  <c r="CS68" s="1"/>
  <c r="CS69" s="1"/>
  <c r="CS70" s="1"/>
  <c r="CS71" s="1"/>
  <c r="CS72" s="1"/>
  <c r="CS73" s="1"/>
  <c r="CS74" s="1"/>
  <c r="CS75" s="1"/>
  <c r="CU26"/>
  <c r="CG60"/>
  <c r="CG61" s="1"/>
  <c r="CG62" s="1"/>
  <c r="CG63" s="1"/>
  <c r="CI25"/>
  <c r="BW25"/>
  <c r="BU60"/>
  <c r="BU61" s="1"/>
  <c r="BU62" s="1"/>
  <c r="BU63" s="1"/>
  <c r="DQ60"/>
  <c r="DQ61" s="1"/>
  <c r="DQ62" s="1"/>
  <c r="DQ63" s="1"/>
  <c r="DS25"/>
  <c r="BM25"/>
  <c r="DI25" s="1"/>
  <c r="BK60"/>
  <c r="BK61" s="1"/>
  <c r="BK62" s="1"/>
  <c r="BK63" s="1"/>
  <c r="AW25" i="10"/>
  <c r="AN29"/>
  <c r="AV29" s="1"/>
  <c r="AL25"/>
  <c r="CK25" i="12" l="1"/>
  <c r="DU25"/>
  <c r="CW25"/>
  <c r="BY25"/>
  <c r="BK64"/>
  <c r="BK65" s="1"/>
  <c r="BK66" s="1"/>
  <c r="BK67" s="1"/>
  <c r="BK68" s="1"/>
  <c r="BK69" s="1"/>
  <c r="BK70" s="1"/>
  <c r="BK71" s="1"/>
  <c r="BK72" s="1"/>
  <c r="BK73" s="1"/>
  <c r="BK74" s="1"/>
  <c r="BK75" s="1"/>
  <c r="BM26"/>
  <c r="DI26" s="1"/>
  <c r="DG27"/>
  <c r="DE76"/>
  <c r="DE77" s="1"/>
  <c r="DE78" s="1"/>
  <c r="DE79" s="1"/>
  <c r="DE80" s="1"/>
  <c r="DE81" s="1"/>
  <c r="DE82" s="1"/>
  <c r="DE83" s="1"/>
  <c r="DE84" s="1"/>
  <c r="DE85" s="1"/>
  <c r="DE86" s="1"/>
  <c r="DE87" s="1"/>
  <c r="DE88" s="1"/>
  <c r="DE89" s="1"/>
  <c r="DE90" s="1"/>
  <c r="DE91" s="1"/>
  <c r="DE92" s="1"/>
  <c r="DE93" s="1"/>
  <c r="DE94" s="1"/>
  <c r="DE95" s="1"/>
  <c r="BW26"/>
  <c r="BU64"/>
  <c r="BU65" s="1"/>
  <c r="BU66" s="1"/>
  <c r="BU67" s="1"/>
  <c r="BU68" s="1"/>
  <c r="BU69" s="1"/>
  <c r="BU70" s="1"/>
  <c r="BU71" s="1"/>
  <c r="BU72" s="1"/>
  <c r="BU73" s="1"/>
  <c r="BU74" s="1"/>
  <c r="BU75" s="1"/>
  <c r="DQ64"/>
  <c r="DQ65" s="1"/>
  <c r="DQ66" s="1"/>
  <c r="DQ67" s="1"/>
  <c r="DQ68" s="1"/>
  <c r="DQ69" s="1"/>
  <c r="DQ70" s="1"/>
  <c r="DQ71" s="1"/>
  <c r="DQ72" s="1"/>
  <c r="DQ73" s="1"/>
  <c r="DQ74" s="1"/>
  <c r="DQ75" s="1"/>
  <c r="DS26"/>
  <c r="DU26" s="1"/>
  <c r="CS76"/>
  <c r="CS77" s="1"/>
  <c r="CS78" s="1"/>
  <c r="CS79" s="1"/>
  <c r="CS80" s="1"/>
  <c r="CS81" s="1"/>
  <c r="CS82" s="1"/>
  <c r="CS83" s="1"/>
  <c r="CS84" s="1"/>
  <c r="CS85" s="1"/>
  <c r="CS86" s="1"/>
  <c r="CS87" s="1"/>
  <c r="CS88" s="1"/>
  <c r="CS89" s="1"/>
  <c r="CS90" s="1"/>
  <c r="CS91" s="1"/>
  <c r="CS92" s="1"/>
  <c r="CS93" s="1"/>
  <c r="CS94" s="1"/>
  <c r="CS95" s="1"/>
  <c r="CU27"/>
  <c r="CI26"/>
  <c r="CG64"/>
  <c r="CG65" s="1"/>
  <c r="CG66" s="1"/>
  <c r="CG67" s="1"/>
  <c r="CG68" s="1"/>
  <c r="CG69" s="1"/>
  <c r="CG70" s="1"/>
  <c r="CG71" s="1"/>
  <c r="CG72" s="1"/>
  <c r="CG73" s="1"/>
  <c r="CG74" s="1"/>
  <c r="CG75" s="1"/>
  <c r="AM25" i="10"/>
  <c r="AU25" s="1"/>
  <c r="AO24"/>
  <c r="DS27" i="12" l="1"/>
  <c r="DQ76"/>
  <c r="DQ77" s="1"/>
  <c r="DQ78" s="1"/>
  <c r="DQ79" s="1"/>
  <c r="DQ80" s="1"/>
  <c r="DQ81" s="1"/>
  <c r="DQ82" s="1"/>
  <c r="DQ83" s="1"/>
  <c r="DQ84" s="1"/>
  <c r="DQ85" s="1"/>
  <c r="DQ86" s="1"/>
  <c r="DQ87" s="1"/>
  <c r="DQ88" s="1"/>
  <c r="DQ89" s="1"/>
  <c r="DQ90" s="1"/>
  <c r="DQ91" s="1"/>
  <c r="DQ92" s="1"/>
  <c r="DQ93" s="1"/>
  <c r="DQ94" s="1"/>
  <c r="DQ95" s="1"/>
  <c r="BK76"/>
  <c r="BK77" s="1"/>
  <c r="BK78" s="1"/>
  <c r="BK79" s="1"/>
  <c r="BK80" s="1"/>
  <c r="BK81" s="1"/>
  <c r="BK82" s="1"/>
  <c r="BK83" s="1"/>
  <c r="BK84" s="1"/>
  <c r="BK85" s="1"/>
  <c r="BK86" s="1"/>
  <c r="BK87" s="1"/>
  <c r="BK88" s="1"/>
  <c r="BK89" s="1"/>
  <c r="BK90" s="1"/>
  <c r="BK91" s="1"/>
  <c r="BK92" s="1"/>
  <c r="BK93" s="1"/>
  <c r="BK94" s="1"/>
  <c r="BK95" s="1"/>
  <c r="BM27"/>
  <c r="CW27" s="1"/>
  <c r="CW26"/>
  <c r="CK26"/>
  <c r="CU28"/>
  <c r="CS96"/>
  <c r="CS97" s="1"/>
  <c r="CS98" s="1"/>
  <c r="CS99" s="1"/>
  <c r="CS100" s="1"/>
  <c r="CS101" s="1"/>
  <c r="CS102" s="1"/>
  <c r="CS103" s="1"/>
  <c r="CS104" s="1"/>
  <c r="CS105" s="1"/>
  <c r="CS106" s="1"/>
  <c r="CS107" s="1"/>
  <c r="CS108" s="1"/>
  <c r="CS109" s="1"/>
  <c r="CS110" s="1"/>
  <c r="CS111" s="1"/>
  <c r="CS112" s="1"/>
  <c r="CS113" s="1"/>
  <c r="CS114" s="1"/>
  <c r="CS115" s="1"/>
  <c r="DG28"/>
  <c r="DE96"/>
  <c r="DE97" s="1"/>
  <c r="DE98" s="1"/>
  <c r="DE99" s="1"/>
  <c r="DE100" s="1"/>
  <c r="DE101" s="1"/>
  <c r="DE102" s="1"/>
  <c r="DE103" s="1"/>
  <c r="DE104" s="1"/>
  <c r="DE105" s="1"/>
  <c r="DE106" s="1"/>
  <c r="DE107" s="1"/>
  <c r="DE108" s="1"/>
  <c r="DE109" s="1"/>
  <c r="DE110" s="1"/>
  <c r="DE111" s="1"/>
  <c r="DE112" s="1"/>
  <c r="DE113" s="1"/>
  <c r="DE114" s="1"/>
  <c r="DE115" s="1"/>
  <c r="BY26"/>
  <c r="CG76"/>
  <c r="CG77" s="1"/>
  <c r="CG78" s="1"/>
  <c r="CG79" s="1"/>
  <c r="CG80" s="1"/>
  <c r="CG81" s="1"/>
  <c r="CG82" s="1"/>
  <c r="CG83" s="1"/>
  <c r="CG84" s="1"/>
  <c r="CG85" s="1"/>
  <c r="CG86" s="1"/>
  <c r="CG87" s="1"/>
  <c r="CG88" s="1"/>
  <c r="CG89" s="1"/>
  <c r="CG90" s="1"/>
  <c r="CG91" s="1"/>
  <c r="CG92" s="1"/>
  <c r="CG93" s="1"/>
  <c r="CG94" s="1"/>
  <c r="CG95" s="1"/>
  <c r="CI27"/>
  <c r="CK27" s="1"/>
  <c r="BW27"/>
  <c r="BY27" s="1"/>
  <c r="BU76"/>
  <c r="BU77" s="1"/>
  <c r="BU78" s="1"/>
  <c r="BU79" s="1"/>
  <c r="BU80" s="1"/>
  <c r="BU81" s="1"/>
  <c r="BU82" s="1"/>
  <c r="BU83" s="1"/>
  <c r="BU84" s="1"/>
  <c r="BU85" s="1"/>
  <c r="BU86" s="1"/>
  <c r="BU87" s="1"/>
  <c r="BU88" s="1"/>
  <c r="BU89" s="1"/>
  <c r="BU90" s="1"/>
  <c r="BU91" s="1"/>
  <c r="BU92" s="1"/>
  <c r="BU93" s="1"/>
  <c r="BU94" s="1"/>
  <c r="BU95" s="1"/>
  <c r="AW24" i="10"/>
  <c r="AN25"/>
  <c r="AV25" s="1"/>
  <c r="AL24"/>
  <c r="CU29" i="12" l="1"/>
  <c r="CS116"/>
  <c r="CS117" s="1"/>
  <c r="CS118" s="1"/>
  <c r="CS119" s="1"/>
  <c r="CS120" s="1"/>
  <c r="CS121" s="1"/>
  <c r="CS122" s="1"/>
  <c r="CS123" s="1"/>
  <c r="CS124" s="1"/>
  <c r="CS125" s="1"/>
  <c r="CS126" s="1"/>
  <c r="CS127" s="1"/>
  <c r="CS128" s="1"/>
  <c r="CS129" s="1"/>
  <c r="CS130" s="1"/>
  <c r="CS131" s="1"/>
  <c r="CS132" s="1"/>
  <c r="CS133" s="1"/>
  <c r="CS134" s="1"/>
  <c r="CS135" s="1"/>
  <c r="CI28"/>
  <c r="CG96"/>
  <c r="CG97" s="1"/>
  <c r="CG98" s="1"/>
  <c r="CG99" s="1"/>
  <c r="CG100" s="1"/>
  <c r="CG101" s="1"/>
  <c r="CG102" s="1"/>
  <c r="CG103" s="1"/>
  <c r="CG104" s="1"/>
  <c r="CG105" s="1"/>
  <c r="CG106" s="1"/>
  <c r="CG107" s="1"/>
  <c r="CG108" s="1"/>
  <c r="CG109" s="1"/>
  <c r="CG110" s="1"/>
  <c r="CG111" s="1"/>
  <c r="CG112" s="1"/>
  <c r="CG113" s="1"/>
  <c r="CG114" s="1"/>
  <c r="CG115" s="1"/>
  <c r="DI27"/>
  <c r="DU27"/>
  <c r="DQ96"/>
  <c r="DQ97" s="1"/>
  <c r="DQ98" s="1"/>
  <c r="DQ99" s="1"/>
  <c r="DQ100" s="1"/>
  <c r="DQ101" s="1"/>
  <c r="DQ102" s="1"/>
  <c r="DQ103" s="1"/>
  <c r="DQ104" s="1"/>
  <c r="DQ105" s="1"/>
  <c r="DQ106" s="1"/>
  <c r="DQ107" s="1"/>
  <c r="DQ108" s="1"/>
  <c r="DQ109" s="1"/>
  <c r="DQ110" s="1"/>
  <c r="DQ111" s="1"/>
  <c r="DQ112" s="1"/>
  <c r="DQ113" s="1"/>
  <c r="DQ114" s="1"/>
  <c r="DQ115" s="1"/>
  <c r="DS28"/>
  <c r="DU28" s="1"/>
  <c r="BK96"/>
  <c r="BK97" s="1"/>
  <c r="BK98" s="1"/>
  <c r="BK99" s="1"/>
  <c r="BK100" s="1"/>
  <c r="BK101" s="1"/>
  <c r="BK102" s="1"/>
  <c r="BK103" s="1"/>
  <c r="BK104" s="1"/>
  <c r="BK105" s="1"/>
  <c r="BK106" s="1"/>
  <c r="BK107" s="1"/>
  <c r="BK108" s="1"/>
  <c r="BK109" s="1"/>
  <c r="BK110" s="1"/>
  <c r="BK111" s="1"/>
  <c r="BK112" s="1"/>
  <c r="BK113" s="1"/>
  <c r="BK114" s="1"/>
  <c r="BK115" s="1"/>
  <c r="BM28"/>
  <c r="DI28" s="1"/>
  <c r="BW28"/>
  <c r="BU96"/>
  <c r="BU97" s="1"/>
  <c r="BU98" s="1"/>
  <c r="BU99" s="1"/>
  <c r="BU100" s="1"/>
  <c r="BU101" s="1"/>
  <c r="BU102" s="1"/>
  <c r="BU103" s="1"/>
  <c r="BU104" s="1"/>
  <c r="BU105" s="1"/>
  <c r="BU106" s="1"/>
  <c r="BU107" s="1"/>
  <c r="BU108" s="1"/>
  <c r="BU109" s="1"/>
  <c r="BU110" s="1"/>
  <c r="BU111" s="1"/>
  <c r="BU112" s="1"/>
  <c r="BU113" s="1"/>
  <c r="BU114" s="1"/>
  <c r="BU115" s="1"/>
  <c r="DG29"/>
  <c r="DE116"/>
  <c r="DE117" s="1"/>
  <c r="DE118" s="1"/>
  <c r="DE119" s="1"/>
  <c r="DE120" s="1"/>
  <c r="DE121" s="1"/>
  <c r="DE122" s="1"/>
  <c r="DE123" s="1"/>
  <c r="DE124" s="1"/>
  <c r="DE125" s="1"/>
  <c r="DE126" s="1"/>
  <c r="DE127" s="1"/>
  <c r="DE128" s="1"/>
  <c r="DE129" s="1"/>
  <c r="DE130" s="1"/>
  <c r="DE131" s="1"/>
  <c r="DE132" s="1"/>
  <c r="DE133" s="1"/>
  <c r="DE134" s="1"/>
  <c r="DE135" s="1"/>
  <c r="AM24" i="10"/>
  <c r="AU24" s="1"/>
  <c r="AO26"/>
  <c r="CK28" i="12" l="1"/>
  <c r="BY28"/>
  <c r="DS29"/>
  <c r="DQ116"/>
  <c r="DQ117" s="1"/>
  <c r="DQ118" s="1"/>
  <c r="DQ119" s="1"/>
  <c r="DQ120" s="1"/>
  <c r="DQ121" s="1"/>
  <c r="DQ122" s="1"/>
  <c r="DQ123" s="1"/>
  <c r="DQ124" s="1"/>
  <c r="DQ125" s="1"/>
  <c r="DQ126" s="1"/>
  <c r="DQ127" s="1"/>
  <c r="DQ128" s="1"/>
  <c r="DQ129" s="1"/>
  <c r="DQ130" s="1"/>
  <c r="DQ131" s="1"/>
  <c r="DQ132" s="1"/>
  <c r="DQ133" s="1"/>
  <c r="DQ134" s="1"/>
  <c r="DQ135" s="1"/>
  <c r="BW29"/>
  <c r="BU116"/>
  <c r="BU117" s="1"/>
  <c r="BU118" s="1"/>
  <c r="BU119" s="1"/>
  <c r="BU120" s="1"/>
  <c r="BU121" s="1"/>
  <c r="BU122" s="1"/>
  <c r="BU123" s="1"/>
  <c r="BU124" s="1"/>
  <c r="BU125" s="1"/>
  <c r="BU126" s="1"/>
  <c r="BU127" s="1"/>
  <c r="BU128" s="1"/>
  <c r="BU129" s="1"/>
  <c r="BU130" s="1"/>
  <c r="BU131" s="1"/>
  <c r="BU132" s="1"/>
  <c r="BU133" s="1"/>
  <c r="BU134" s="1"/>
  <c r="BU135" s="1"/>
  <c r="CU30"/>
  <c r="CS136"/>
  <c r="CS137" s="1"/>
  <c r="CS138" s="1"/>
  <c r="CS139" s="1"/>
  <c r="CS140" s="1"/>
  <c r="CS141" s="1"/>
  <c r="CS142" s="1"/>
  <c r="CS143" s="1"/>
  <c r="CS144" s="1"/>
  <c r="CS145" s="1"/>
  <c r="CS146" s="1"/>
  <c r="CS147" s="1"/>
  <c r="CS148" s="1"/>
  <c r="CS149" s="1"/>
  <c r="CS150" s="1"/>
  <c r="CS151" s="1"/>
  <c r="CS152" s="1"/>
  <c r="CS153" s="1"/>
  <c r="CS154" s="1"/>
  <c r="CS155" s="1"/>
  <c r="BM29"/>
  <c r="DI29" s="1"/>
  <c r="BK116"/>
  <c r="BK117" s="1"/>
  <c r="BK118" s="1"/>
  <c r="BK119" s="1"/>
  <c r="BK120" s="1"/>
  <c r="BK121" s="1"/>
  <c r="BK122" s="1"/>
  <c r="BK123" s="1"/>
  <c r="BK124" s="1"/>
  <c r="BK125" s="1"/>
  <c r="BK126" s="1"/>
  <c r="BK127" s="1"/>
  <c r="BK128" s="1"/>
  <c r="BK129" s="1"/>
  <c r="BK130" s="1"/>
  <c r="BK131" s="1"/>
  <c r="BK132" s="1"/>
  <c r="BK133" s="1"/>
  <c r="BK134" s="1"/>
  <c r="BK135" s="1"/>
  <c r="CW28"/>
  <c r="DE136"/>
  <c r="DE137" s="1"/>
  <c r="DE138" s="1"/>
  <c r="DE139" s="1"/>
  <c r="DE140" s="1"/>
  <c r="DE141" s="1"/>
  <c r="DE142" s="1"/>
  <c r="DE143" s="1"/>
  <c r="DE144" s="1"/>
  <c r="DE145" s="1"/>
  <c r="DE146" s="1"/>
  <c r="DE147" s="1"/>
  <c r="DE148" s="1"/>
  <c r="DE149" s="1"/>
  <c r="DE150" s="1"/>
  <c r="DE151" s="1"/>
  <c r="DE152" s="1"/>
  <c r="DE153" s="1"/>
  <c r="DE154" s="1"/>
  <c r="DE155" s="1"/>
  <c r="DG30"/>
  <c r="CI29"/>
  <c r="CG116"/>
  <c r="CG117" s="1"/>
  <c r="CG118" s="1"/>
  <c r="CG119" s="1"/>
  <c r="CG120" s="1"/>
  <c r="CG121" s="1"/>
  <c r="CG122" s="1"/>
  <c r="CG123" s="1"/>
  <c r="CG124" s="1"/>
  <c r="CG125" s="1"/>
  <c r="CG126" s="1"/>
  <c r="CG127" s="1"/>
  <c r="CG128" s="1"/>
  <c r="CG129" s="1"/>
  <c r="CG130" s="1"/>
  <c r="CG131" s="1"/>
  <c r="CG132" s="1"/>
  <c r="CG133" s="1"/>
  <c r="CG134" s="1"/>
  <c r="CG135" s="1"/>
  <c r="AN24" i="10"/>
  <c r="AV24" s="1"/>
  <c r="AW26"/>
  <c r="AL26"/>
  <c r="AO18"/>
  <c r="CK29" i="12" l="1"/>
  <c r="CS156"/>
  <c r="CS157" s="1"/>
  <c r="CS158" s="1"/>
  <c r="CS159" s="1"/>
  <c r="CS160" s="1"/>
  <c r="CS161" s="1"/>
  <c r="CS162" s="1"/>
  <c r="CS163" s="1"/>
  <c r="CS164" s="1"/>
  <c r="CS165" s="1"/>
  <c r="CS166" s="1"/>
  <c r="CS167" s="1"/>
  <c r="CS168" s="1"/>
  <c r="CS169" s="1"/>
  <c r="CS170" s="1"/>
  <c r="CS171" s="1"/>
  <c r="CS172" s="1"/>
  <c r="CS173" s="1"/>
  <c r="CS174" s="1"/>
  <c r="CS175" s="1"/>
  <c r="CU31"/>
  <c r="DU29"/>
  <c r="DS30"/>
  <c r="DQ136"/>
  <c r="DQ137" s="1"/>
  <c r="DQ138" s="1"/>
  <c r="DQ139" s="1"/>
  <c r="DQ140" s="1"/>
  <c r="DQ141" s="1"/>
  <c r="DQ142" s="1"/>
  <c r="DQ143" s="1"/>
  <c r="DQ144" s="1"/>
  <c r="DQ145" s="1"/>
  <c r="DQ146" s="1"/>
  <c r="DQ147" s="1"/>
  <c r="DQ148" s="1"/>
  <c r="DQ149" s="1"/>
  <c r="DQ150" s="1"/>
  <c r="DQ151" s="1"/>
  <c r="DQ152" s="1"/>
  <c r="DQ153" s="1"/>
  <c r="DQ154" s="1"/>
  <c r="DQ155" s="1"/>
  <c r="BK136"/>
  <c r="BK137" s="1"/>
  <c r="BK138" s="1"/>
  <c r="BK139" s="1"/>
  <c r="BK140" s="1"/>
  <c r="BK141" s="1"/>
  <c r="BK142" s="1"/>
  <c r="BK143" s="1"/>
  <c r="BK144" s="1"/>
  <c r="BK145" s="1"/>
  <c r="BK146" s="1"/>
  <c r="BK147" s="1"/>
  <c r="BK148" s="1"/>
  <c r="BK149" s="1"/>
  <c r="BK150" s="1"/>
  <c r="BK151" s="1"/>
  <c r="BK152" s="1"/>
  <c r="BK153" s="1"/>
  <c r="BK154" s="1"/>
  <c r="BK155" s="1"/>
  <c r="BM30"/>
  <c r="CW30" s="1"/>
  <c r="CW29"/>
  <c r="BY29"/>
  <c r="DE156"/>
  <c r="DE157" s="1"/>
  <c r="DE158" s="1"/>
  <c r="DE159" s="1"/>
  <c r="DE160" s="1"/>
  <c r="DE161" s="1"/>
  <c r="DE162" s="1"/>
  <c r="DE163" s="1"/>
  <c r="DE164" s="1"/>
  <c r="DE165" s="1"/>
  <c r="DE166" s="1"/>
  <c r="DE167" s="1"/>
  <c r="DE168" s="1"/>
  <c r="DE169" s="1"/>
  <c r="DE170" s="1"/>
  <c r="DE171" s="1"/>
  <c r="DE172" s="1"/>
  <c r="DE173" s="1"/>
  <c r="DE174" s="1"/>
  <c r="DE175" s="1"/>
  <c r="DG31"/>
  <c r="CI30"/>
  <c r="CG136"/>
  <c r="CG137" s="1"/>
  <c r="CG138" s="1"/>
  <c r="CG139" s="1"/>
  <c r="CG140" s="1"/>
  <c r="CG141" s="1"/>
  <c r="CG142" s="1"/>
  <c r="CG143" s="1"/>
  <c r="CG144" s="1"/>
  <c r="CG145" s="1"/>
  <c r="CG146" s="1"/>
  <c r="CG147" s="1"/>
  <c r="CG148" s="1"/>
  <c r="CG149" s="1"/>
  <c r="CG150" s="1"/>
  <c r="CG151" s="1"/>
  <c r="CG152" s="1"/>
  <c r="CG153" s="1"/>
  <c r="CG154" s="1"/>
  <c r="CG155" s="1"/>
  <c r="BU136"/>
  <c r="BU137" s="1"/>
  <c r="BU138" s="1"/>
  <c r="BU139" s="1"/>
  <c r="BU140" s="1"/>
  <c r="BU141" s="1"/>
  <c r="BU142" s="1"/>
  <c r="BU143" s="1"/>
  <c r="BU144" s="1"/>
  <c r="BU145" s="1"/>
  <c r="BU146" s="1"/>
  <c r="BU147" s="1"/>
  <c r="BU148" s="1"/>
  <c r="BU149" s="1"/>
  <c r="BU150" s="1"/>
  <c r="BU151" s="1"/>
  <c r="BU152" s="1"/>
  <c r="BU153" s="1"/>
  <c r="BU154" s="1"/>
  <c r="BU155" s="1"/>
  <c r="BW30"/>
  <c r="AM26" i="10"/>
  <c r="AU26" s="1"/>
  <c r="AW18"/>
  <c r="AO21"/>
  <c r="AL18"/>
  <c r="BM31" i="12" l="1"/>
  <c r="CW31" s="1"/>
  <c r="BK156"/>
  <c r="BK157" s="1"/>
  <c r="BK158" s="1"/>
  <c r="BK159" s="1"/>
  <c r="BK160" s="1"/>
  <c r="BK161" s="1"/>
  <c r="BK162" s="1"/>
  <c r="BK163" s="1"/>
  <c r="BK164" s="1"/>
  <c r="BK165" s="1"/>
  <c r="BK166" s="1"/>
  <c r="BK167" s="1"/>
  <c r="BK168" s="1"/>
  <c r="BK169" s="1"/>
  <c r="BK170" s="1"/>
  <c r="BK171" s="1"/>
  <c r="BK172" s="1"/>
  <c r="BK173" s="1"/>
  <c r="BK174" s="1"/>
  <c r="BK175" s="1"/>
  <c r="CS176"/>
  <c r="CS177" s="1"/>
  <c r="CS178" s="1"/>
  <c r="CS179" s="1"/>
  <c r="CS180" s="1"/>
  <c r="CS181" s="1"/>
  <c r="CS182" s="1"/>
  <c r="CS183" s="1"/>
  <c r="CS184" s="1"/>
  <c r="CS185" s="1"/>
  <c r="CS186" s="1"/>
  <c r="CS187" s="1"/>
  <c r="CS188" s="1"/>
  <c r="CS189" s="1"/>
  <c r="CS190" s="1"/>
  <c r="CS191" s="1"/>
  <c r="CS192" s="1"/>
  <c r="CS193" s="1"/>
  <c r="CS194" s="1"/>
  <c r="CS195" s="1"/>
  <c r="CS196" s="1"/>
  <c r="CS197" s="1"/>
  <c r="CS198" s="1"/>
  <c r="CS199" s="1"/>
  <c r="CS200" s="1"/>
  <c r="CS201" s="1"/>
  <c r="CS202" s="1"/>
  <c r="CS203" s="1"/>
  <c r="CS204" s="1"/>
  <c r="CS205" s="1"/>
  <c r="CS206" s="1"/>
  <c r="CS207" s="1"/>
  <c r="CS208" s="1"/>
  <c r="CS209" s="1"/>
  <c r="CS210" s="1"/>
  <c r="CS211" s="1"/>
  <c r="CS212" s="1"/>
  <c r="CS213" s="1"/>
  <c r="CS214" s="1"/>
  <c r="CS215" s="1"/>
  <c r="CS216" s="1"/>
  <c r="CS217" s="1"/>
  <c r="CS218" s="1"/>
  <c r="CS219" s="1"/>
  <c r="CS220" s="1"/>
  <c r="CS221" s="1"/>
  <c r="CS222" s="1"/>
  <c r="CS223" s="1"/>
  <c r="CS224" s="1"/>
  <c r="CS225" s="1"/>
  <c r="CS226" s="1"/>
  <c r="CS227" s="1"/>
  <c r="CS228" s="1"/>
  <c r="CS229" s="1"/>
  <c r="CS230" s="1"/>
  <c r="CS231" s="1"/>
  <c r="CS232" s="1"/>
  <c r="CS233" s="1"/>
  <c r="CS234" s="1"/>
  <c r="CS235" s="1"/>
  <c r="CS236" s="1"/>
  <c r="CS237" s="1"/>
  <c r="CS238" s="1"/>
  <c r="CS239" s="1"/>
  <c r="CS240" s="1"/>
  <c r="CS241" s="1"/>
  <c r="CS242" s="1"/>
  <c r="CS243" s="1"/>
  <c r="CS244" s="1"/>
  <c r="CS245" s="1"/>
  <c r="CS246" s="1"/>
  <c r="CS247" s="1"/>
  <c r="CS248" s="1"/>
  <c r="CS249" s="1"/>
  <c r="CS250" s="1"/>
  <c r="CS251" s="1"/>
  <c r="CS252" s="1"/>
  <c r="CS253" s="1"/>
  <c r="CS254" s="1"/>
  <c r="CS255" s="1"/>
  <c r="CS256" s="1"/>
  <c r="CS257" s="1"/>
  <c r="CS258" s="1"/>
  <c r="CS259" s="1"/>
  <c r="CS260" s="1"/>
  <c r="CS261" s="1"/>
  <c r="CS262" s="1"/>
  <c r="CS263" s="1"/>
  <c r="CS264" s="1"/>
  <c r="CS265" s="1"/>
  <c r="CS266" s="1"/>
  <c r="CS267" s="1"/>
  <c r="CS268" s="1"/>
  <c r="CS269" s="1"/>
  <c r="CS270" s="1"/>
  <c r="CS271" s="1"/>
  <c r="CS272" s="1"/>
  <c r="CS273" s="1"/>
  <c r="CS274" s="1"/>
  <c r="CS275" s="1"/>
  <c r="CS276" s="1"/>
  <c r="CS277" s="1"/>
  <c r="CS278" s="1"/>
  <c r="CS279" s="1"/>
  <c r="CS280" s="1"/>
  <c r="CS281" s="1"/>
  <c r="CS282" s="1"/>
  <c r="CS283" s="1"/>
  <c r="CS284" s="1"/>
  <c r="CS285" s="1"/>
  <c r="CS286" s="1"/>
  <c r="CS287" s="1"/>
  <c r="CS288" s="1"/>
  <c r="CS289" s="1"/>
  <c r="CS290" s="1"/>
  <c r="CS291" s="1"/>
  <c r="CS292" s="1"/>
  <c r="CS293" s="1"/>
  <c r="CS294" s="1"/>
  <c r="CS295" s="1"/>
  <c r="CS296" s="1"/>
  <c r="CS297" s="1"/>
  <c r="CS298" s="1"/>
  <c r="CS299" s="1"/>
  <c r="CS300" s="1"/>
  <c r="CS301" s="1"/>
  <c r="CS302" s="1"/>
  <c r="CS303" s="1"/>
  <c r="CS304" s="1"/>
  <c r="CS305" s="1"/>
  <c r="CS306" s="1"/>
  <c r="CS307" s="1"/>
  <c r="CS308" s="1"/>
  <c r="CS309" s="1"/>
  <c r="CS310" s="1"/>
  <c r="CS311" s="1"/>
  <c r="CS312" s="1"/>
  <c r="CS313" s="1"/>
  <c r="CS314" s="1"/>
  <c r="CS315" s="1"/>
  <c r="CS316" s="1"/>
  <c r="CS317" s="1"/>
  <c r="CS318" s="1"/>
  <c r="CS319" s="1"/>
  <c r="CS320" s="1"/>
  <c r="CS321" s="1"/>
  <c r="CS322" s="1"/>
  <c r="CS323" s="1"/>
  <c r="CS324" s="1"/>
  <c r="CS325" s="1"/>
  <c r="CS326" s="1"/>
  <c r="CS327" s="1"/>
  <c r="CS328" s="1"/>
  <c r="CS329" s="1"/>
  <c r="CS330" s="1"/>
  <c r="CS331" s="1"/>
  <c r="CS332" s="1"/>
  <c r="CS333" s="1"/>
  <c r="CS334" s="1"/>
  <c r="CS335" s="1"/>
  <c r="CS336" s="1"/>
  <c r="CS337" s="1"/>
  <c r="CS338" s="1"/>
  <c r="CS339" s="1"/>
  <c r="CS340" s="1"/>
  <c r="CS341" s="1"/>
  <c r="CS342" s="1"/>
  <c r="CS343" s="1"/>
  <c r="CS344" s="1"/>
  <c r="CS345" s="1"/>
  <c r="CS346" s="1"/>
  <c r="CS347" s="1"/>
  <c r="CS348" s="1"/>
  <c r="CS349" s="1"/>
  <c r="CS350" s="1"/>
  <c r="CS351" s="1"/>
  <c r="CS352" s="1"/>
  <c r="CS353" s="1"/>
  <c r="CS354" s="1"/>
  <c r="CS355" s="1"/>
  <c r="CS356" s="1"/>
  <c r="CS357" s="1"/>
  <c r="CS358" s="1"/>
  <c r="CS359" s="1"/>
  <c r="CS360" s="1"/>
  <c r="CS361" s="1"/>
  <c r="CS362" s="1"/>
  <c r="CS363" s="1"/>
  <c r="CS364" s="1"/>
  <c r="CS365" s="1"/>
  <c r="CS366" s="1"/>
  <c r="CS367" s="1"/>
  <c r="CS368" s="1"/>
  <c r="CS369" s="1"/>
  <c r="CS370" s="1"/>
  <c r="CS371" s="1"/>
  <c r="CS372" s="1"/>
  <c r="CS373" s="1"/>
  <c r="CS374" s="1"/>
  <c r="CS375" s="1"/>
  <c r="CS376" s="1"/>
  <c r="CS377" s="1"/>
  <c r="CS378" s="1"/>
  <c r="CS379" s="1"/>
  <c r="CS380" s="1"/>
  <c r="CS381" s="1"/>
  <c r="CS382" s="1"/>
  <c r="CS383" s="1"/>
  <c r="CS384" s="1"/>
  <c r="CS385" s="1"/>
  <c r="CS386" s="1"/>
  <c r="CS387" s="1"/>
  <c r="CS388" s="1"/>
  <c r="CS389" s="1"/>
  <c r="CS390" s="1"/>
  <c r="CS391" s="1"/>
  <c r="CS392" s="1"/>
  <c r="CS393" s="1"/>
  <c r="CS394" s="1"/>
  <c r="CS395" s="1"/>
  <c r="CS396" s="1"/>
  <c r="CS397" s="1"/>
  <c r="CS398" s="1"/>
  <c r="CS399" s="1"/>
  <c r="CS400" s="1"/>
  <c r="CS401" s="1"/>
  <c r="CS402" s="1"/>
  <c r="CS403" s="1"/>
  <c r="CS404" s="1"/>
  <c r="CS405" s="1"/>
  <c r="CS406" s="1"/>
  <c r="CS407" s="1"/>
  <c r="CS408" s="1"/>
  <c r="CS409" s="1"/>
  <c r="CS410" s="1"/>
  <c r="CS411" s="1"/>
  <c r="CS412" s="1"/>
  <c r="CS413" s="1"/>
  <c r="CS414" s="1"/>
  <c r="CS415" s="1"/>
  <c r="CS416" s="1"/>
  <c r="CS417" s="1"/>
  <c r="CS418" s="1"/>
  <c r="CS419" s="1"/>
  <c r="CS420" s="1"/>
  <c r="CS421" s="1"/>
  <c r="CS422" s="1"/>
  <c r="CS423" s="1"/>
  <c r="CS424" s="1"/>
  <c r="CS425" s="1"/>
  <c r="CS426" s="1"/>
  <c r="CS427" s="1"/>
  <c r="CS428" s="1"/>
  <c r="CS429" s="1"/>
  <c r="CS430" s="1"/>
  <c r="CS431" s="1"/>
  <c r="CS432" s="1"/>
  <c r="CS433" s="1"/>
  <c r="CS434" s="1"/>
  <c r="CS435" s="1"/>
  <c r="CS436" s="1"/>
  <c r="CS437" s="1"/>
  <c r="CS438" s="1"/>
  <c r="CS439" s="1"/>
  <c r="CS440" s="1"/>
  <c r="CS441" s="1"/>
  <c r="CS442" s="1"/>
  <c r="CS443" s="1"/>
  <c r="CS444" s="1"/>
  <c r="CS445" s="1"/>
  <c r="CS446" s="1"/>
  <c r="CS447" s="1"/>
  <c r="CS448" s="1"/>
  <c r="CS449" s="1"/>
  <c r="CS450" s="1"/>
  <c r="CS451" s="1"/>
  <c r="CS452" s="1"/>
  <c r="CS453" s="1"/>
  <c r="CS454" s="1"/>
  <c r="CS455" s="1"/>
  <c r="CS456" s="1"/>
  <c r="CS457" s="1"/>
  <c r="CS458" s="1"/>
  <c r="CS459" s="1"/>
  <c r="CS460" s="1"/>
  <c r="CS461" s="1"/>
  <c r="CS462" s="1"/>
  <c r="CS463" s="1"/>
  <c r="CS464" s="1"/>
  <c r="CS465" s="1"/>
  <c r="CS466" s="1"/>
  <c r="CS467" s="1"/>
  <c r="CS468" s="1"/>
  <c r="CS469" s="1"/>
  <c r="CS470" s="1"/>
  <c r="CS471" s="1"/>
  <c r="CS472" s="1"/>
  <c r="CS473" s="1"/>
  <c r="CS474" s="1"/>
  <c r="CS475" s="1"/>
  <c r="CS476" s="1"/>
  <c r="CS477" s="1"/>
  <c r="CS478" s="1"/>
  <c r="CS479" s="1"/>
  <c r="CS480" s="1"/>
  <c r="CS481" s="1"/>
  <c r="CS482" s="1"/>
  <c r="CS483" s="1"/>
  <c r="CS484" s="1"/>
  <c r="CS485" s="1"/>
  <c r="CS486" s="1"/>
  <c r="CS487" s="1"/>
  <c r="CS488" s="1"/>
  <c r="CS489" s="1"/>
  <c r="CS490" s="1"/>
  <c r="CS491" s="1"/>
  <c r="CS492" s="1"/>
  <c r="CS493" s="1"/>
  <c r="CS494" s="1"/>
  <c r="CS495" s="1"/>
  <c r="CS496" s="1"/>
  <c r="CS497" s="1"/>
  <c r="CS498" s="1"/>
  <c r="CS499" s="1"/>
  <c r="CS500" s="1"/>
  <c r="CS501" s="1"/>
  <c r="CS502" s="1"/>
  <c r="CS503" s="1"/>
  <c r="CS504" s="1"/>
  <c r="CS505" s="1"/>
  <c r="CS506" s="1"/>
  <c r="CS507" s="1"/>
  <c r="CS508" s="1"/>
  <c r="CS509" s="1"/>
  <c r="CS510" s="1"/>
  <c r="CS511" s="1"/>
  <c r="CS512" s="1"/>
  <c r="CS513" s="1"/>
  <c r="CS514" s="1"/>
  <c r="CU32"/>
  <c r="CK30"/>
  <c r="BU156"/>
  <c r="BU157" s="1"/>
  <c r="BU158" s="1"/>
  <c r="BU159" s="1"/>
  <c r="BU160" s="1"/>
  <c r="BU161" s="1"/>
  <c r="BU162" s="1"/>
  <c r="BU163" s="1"/>
  <c r="BU164" s="1"/>
  <c r="BU165" s="1"/>
  <c r="BU166" s="1"/>
  <c r="BU167" s="1"/>
  <c r="BU168" s="1"/>
  <c r="BU169" s="1"/>
  <c r="BU170" s="1"/>
  <c r="BU171" s="1"/>
  <c r="BU172" s="1"/>
  <c r="BU173" s="1"/>
  <c r="BU174" s="1"/>
  <c r="BU175" s="1"/>
  <c r="BW31"/>
  <c r="BY31" s="1"/>
  <c r="DI30"/>
  <c r="CI31"/>
  <c r="CK31" s="1"/>
  <c r="CG156"/>
  <c r="CG157" s="1"/>
  <c r="CG158" s="1"/>
  <c r="CG159" s="1"/>
  <c r="CG160" s="1"/>
  <c r="CG161" s="1"/>
  <c r="CG162" s="1"/>
  <c r="CG163" s="1"/>
  <c r="CG164" s="1"/>
  <c r="CG165" s="1"/>
  <c r="CG166" s="1"/>
  <c r="CG167" s="1"/>
  <c r="CG168" s="1"/>
  <c r="CG169" s="1"/>
  <c r="CG170" s="1"/>
  <c r="CG171" s="1"/>
  <c r="CG172" s="1"/>
  <c r="CG173" s="1"/>
  <c r="CG174" s="1"/>
  <c r="CG175" s="1"/>
  <c r="BY30"/>
  <c r="DG32"/>
  <c r="DE176"/>
  <c r="DE177" s="1"/>
  <c r="DE178" s="1"/>
  <c r="DE179" s="1"/>
  <c r="DE180" s="1"/>
  <c r="DE181" s="1"/>
  <c r="DE182" s="1"/>
  <c r="DE183" s="1"/>
  <c r="DE184" s="1"/>
  <c r="DE185" s="1"/>
  <c r="DE186" s="1"/>
  <c r="DE187" s="1"/>
  <c r="DE188" s="1"/>
  <c r="DE189" s="1"/>
  <c r="DE190" s="1"/>
  <c r="DE191" s="1"/>
  <c r="DE192" s="1"/>
  <c r="DE193" s="1"/>
  <c r="DE194" s="1"/>
  <c r="DE195" s="1"/>
  <c r="DE196" s="1"/>
  <c r="DE197" s="1"/>
  <c r="DE198" s="1"/>
  <c r="DE199" s="1"/>
  <c r="DE200" s="1"/>
  <c r="DE201" s="1"/>
  <c r="DE202" s="1"/>
  <c r="DE203" s="1"/>
  <c r="DE204" s="1"/>
  <c r="DE205" s="1"/>
  <c r="DE206" s="1"/>
  <c r="DE207" s="1"/>
  <c r="DE208" s="1"/>
  <c r="DE209" s="1"/>
  <c r="DE210" s="1"/>
  <c r="DE211" s="1"/>
  <c r="DE212" s="1"/>
  <c r="DE213" s="1"/>
  <c r="DE214" s="1"/>
  <c r="DE215" s="1"/>
  <c r="DE216" s="1"/>
  <c r="DE217" s="1"/>
  <c r="DE218" s="1"/>
  <c r="DE219" s="1"/>
  <c r="DE220" s="1"/>
  <c r="DE221" s="1"/>
  <c r="DE222" s="1"/>
  <c r="DE223" s="1"/>
  <c r="DE224" s="1"/>
  <c r="DE225" s="1"/>
  <c r="DE226" s="1"/>
  <c r="DE227" s="1"/>
  <c r="DE228" s="1"/>
  <c r="DE229" s="1"/>
  <c r="DE230" s="1"/>
  <c r="DE231" s="1"/>
  <c r="DE232" s="1"/>
  <c r="DE233" s="1"/>
  <c r="DE234" s="1"/>
  <c r="DE235" s="1"/>
  <c r="DE236" s="1"/>
  <c r="DE237" s="1"/>
  <c r="DE238" s="1"/>
  <c r="DE239" s="1"/>
  <c r="DE240" s="1"/>
  <c r="DE241" s="1"/>
  <c r="DE242" s="1"/>
  <c r="DE243" s="1"/>
  <c r="DE244" s="1"/>
  <c r="DE245" s="1"/>
  <c r="DE246" s="1"/>
  <c r="DE247" s="1"/>
  <c r="DE248" s="1"/>
  <c r="DE249" s="1"/>
  <c r="DE250" s="1"/>
  <c r="DE251" s="1"/>
  <c r="DE252" s="1"/>
  <c r="DE253" s="1"/>
  <c r="DE254" s="1"/>
  <c r="DE255" s="1"/>
  <c r="DE256" s="1"/>
  <c r="DE257" s="1"/>
  <c r="DE258" s="1"/>
  <c r="DE259" s="1"/>
  <c r="DE260" s="1"/>
  <c r="DE261" s="1"/>
  <c r="DE262" s="1"/>
  <c r="DE263" s="1"/>
  <c r="DE264" s="1"/>
  <c r="DE265" s="1"/>
  <c r="DE266" s="1"/>
  <c r="DE267" s="1"/>
  <c r="DE268" s="1"/>
  <c r="DE269" s="1"/>
  <c r="DE270" s="1"/>
  <c r="DE271" s="1"/>
  <c r="DE272" s="1"/>
  <c r="DE273" s="1"/>
  <c r="DE274" s="1"/>
  <c r="DE275" s="1"/>
  <c r="DE276" s="1"/>
  <c r="DE277" s="1"/>
  <c r="DE278" s="1"/>
  <c r="DE279" s="1"/>
  <c r="DE280" s="1"/>
  <c r="DE281" s="1"/>
  <c r="DE282" s="1"/>
  <c r="DE283" s="1"/>
  <c r="DE284" s="1"/>
  <c r="DE285" s="1"/>
  <c r="DE286" s="1"/>
  <c r="DE287" s="1"/>
  <c r="DE288" s="1"/>
  <c r="DE289" s="1"/>
  <c r="DE290" s="1"/>
  <c r="DE291" s="1"/>
  <c r="DE292" s="1"/>
  <c r="DE293" s="1"/>
  <c r="DE294" s="1"/>
  <c r="DE295" s="1"/>
  <c r="DE296" s="1"/>
  <c r="DE297" s="1"/>
  <c r="DE298" s="1"/>
  <c r="DE299" s="1"/>
  <c r="DE300" s="1"/>
  <c r="DE301" s="1"/>
  <c r="DE302" s="1"/>
  <c r="DE303" s="1"/>
  <c r="DE304" s="1"/>
  <c r="DE305" s="1"/>
  <c r="DE306" s="1"/>
  <c r="DE307" s="1"/>
  <c r="DE308" s="1"/>
  <c r="DE309" s="1"/>
  <c r="DE310" s="1"/>
  <c r="DE311" s="1"/>
  <c r="DE312" s="1"/>
  <c r="DE313" s="1"/>
  <c r="DE314" s="1"/>
  <c r="DE315" s="1"/>
  <c r="DE316" s="1"/>
  <c r="DE317" s="1"/>
  <c r="DE318" s="1"/>
  <c r="DE319" s="1"/>
  <c r="DE320" s="1"/>
  <c r="DE321" s="1"/>
  <c r="DE322" s="1"/>
  <c r="DE323" s="1"/>
  <c r="DE324" s="1"/>
  <c r="DE325" s="1"/>
  <c r="DE326" s="1"/>
  <c r="DE327" s="1"/>
  <c r="DE328" s="1"/>
  <c r="DE329" s="1"/>
  <c r="DE330" s="1"/>
  <c r="DE331" s="1"/>
  <c r="DE332" s="1"/>
  <c r="DE333" s="1"/>
  <c r="DE334" s="1"/>
  <c r="DE335" s="1"/>
  <c r="DE336" s="1"/>
  <c r="DE337" s="1"/>
  <c r="DE338" s="1"/>
  <c r="DE339" s="1"/>
  <c r="DE340" s="1"/>
  <c r="DE341" s="1"/>
  <c r="DE342" s="1"/>
  <c r="DE343" s="1"/>
  <c r="DE344" s="1"/>
  <c r="DE345" s="1"/>
  <c r="DE346" s="1"/>
  <c r="DE347" s="1"/>
  <c r="DE348" s="1"/>
  <c r="DE349" s="1"/>
  <c r="DE350" s="1"/>
  <c r="DE351" s="1"/>
  <c r="DE352" s="1"/>
  <c r="DE353" s="1"/>
  <c r="DE354" s="1"/>
  <c r="DE355" s="1"/>
  <c r="DE356" s="1"/>
  <c r="DE357" s="1"/>
  <c r="DE358" s="1"/>
  <c r="DE359" s="1"/>
  <c r="DE360" s="1"/>
  <c r="DE361" s="1"/>
  <c r="DE362" s="1"/>
  <c r="DE363" s="1"/>
  <c r="DE364" s="1"/>
  <c r="DE365" s="1"/>
  <c r="DE366" s="1"/>
  <c r="DE367" s="1"/>
  <c r="DE368" s="1"/>
  <c r="DE369" s="1"/>
  <c r="DE370" s="1"/>
  <c r="DE371" s="1"/>
  <c r="DE372" s="1"/>
  <c r="DE373" s="1"/>
  <c r="DE374" s="1"/>
  <c r="DE375" s="1"/>
  <c r="DE376" s="1"/>
  <c r="DE377" s="1"/>
  <c r="DE378" s="1"/>
  <c r="DE379" s="1"/>
  <c r="DE380" s="1"/>
  <c r="DE381" s="1"/>
  <c r="DE382" s="1"/>
  <c r="DE383" s="1"/>
  <c r="DE384" s="1"/>
  <c r="DE385" s="1"/>
  <c r="DE386" s="1"/>
  <c r="DE387" s="1"/>
  <c r="DE388" s="1"/>
  <c r="DE389" s="1"/>
  <c r="DE390" s="1"/>
  <c r="DE391" s="1"/>
  <c r="DE392" s="1"/>
  <c r="DE393" s="1"/>
  <c r="DE394" s="1"/>
  <c r="DE395" s="1"/>
  <c r="DE396" s="1"/>
  <c r="DE397" s="1"/>
  <c r="DE398" s="1"/>
  <c r="DE399" s="1"/>
  <c r="DE400" s="1"/>
  <c r="DE401" s="1"/>
  <c r="DE402" s="1"/>
  <c r="DE403" s="1"/>
  <c r="DE404" s="1"/>
  <c r="DE405" s="1"/>
  <c r="DE406" s="1"/>
  <c r="DE407" s="1"/>
  <c r="DE408" s="1"/>
  <c r="DE409" s="1"/>
  <c r="DE410" s="1"/>
  <c r="DE411" s="1"/>
  <c r="DE412" s="1"/>
  <c r="DE413" s="1"/>
  <c r="DE414" s="1"/>
  <c r="DE415" s="1"/>
  <c r="DE416" s="1"/>
  <c r="DE417" s="1"/>
  <c r="DE418" s="1"/>
  <c r="DE419" s="1"/>
  <c r="DE420" s="1"/>
  <c r="DE421" s="1"/>
  <c r="DE422" s="1"/>
  <c r="DE423" s="1"/>
  <c r="DE424" s="1"/>
  <c r="DE425" s="1"/>
  <c r="DE426" s="1"/>
  <c r="DE427" s="1"/>
  <c r="DE428" s="1"/>
  <c r="DE429" s="1"/>
  <c r="DE430" s="1"/>
  <c r="DE431" s="1"/>
  <c r="DE432" s="1"/>
  <c r="DE433" s="1"/>
  <c r="DE434" s="1"/>
  <c r="DE435" s="1"/>
  <c r="DE436" s="1"/>
  <c r="DE437" s="1"/>
  <c r="DE438" s="1"/>
  <c r="DE439" s="1"/>
  <c r="DE440" s="1"/>
  <c r="DE441" s="1"/>
  <c r="DE442" s="1"/>
  <c r="DE443" s="1"/>
  <c r="DE444" s="1"/>
  <c r="DE445" s="1"/>
  <c r="DE446" s="1"/>
  <c r="DE447" s="1"/>
  <c r="DE448" s="1"/>
  <c r="DE449" s="1"/>
  <c r="DE450" s="1"/>
  <c r="DE451" s="1"/>
  <c r="DE452" s="1"/>
  <c r="DE453" s="1"/>
  <c r="DE454" s="1"/>
  <c r="DE455" s="1"/>
  <c r="DE456" s="1"/>
  <c r="DE457" s="1"/>
  <c r="DE458" s="1"/>
  <c r="DE459" s="1"/>
  <c r="DE460" s="1"/>
  <c r="DE461" s="1"/>
  <c r="DE462" s="1"/>
  <c r="DE463" s="1"/>
  <c r="DE464" s="1"/>
  <c r="DE465" s="1"/>
  <c r="DE466" s="1"/>
  <c r="DE467" s="1"/>
  <c r="DE468" s="1"/>
  <c r="DE469" s="1"/>
  <c r="DE470" s="1"/>
  <c r="DE471" s="1"/>
  <c r="DE472" s="1"/>
  <c r="DE473" s="1"/>
  <c r="DE474" s="1"/>
  <c r="DE475" s="1"/>
  <c r="DE476" s="1"/>
  <c r="DE477" s="1"/>
  <c r="DE478" s="1"/>
  <c r="DE479" s="1"/>
  <c r="DE480" s="1"/>
  <c r="DE481" s="1"/>
  <c r="DE482" s="1"/>
  <c r="DE483" s="1"/>
  <c r="DE484" s="1"/>
  <c r="DE485" s="1"/>
  <c r="DE486" s="1"/>
  <c r="DE487" s="1"/>
  <c r="DE488" s="1"/>
  <c r="DE489" s="1"/>
  <c r="DE490" s="1"/>
  <c r="DE491" s="1"/>
  <c r="DE492" s="1"/>
  <c r="DE493" s="1"/>
  <c r="DE494" s="1"/>
  <c r="DE495" s="1"/>
  <c r="DE496" s="1"/>
  <c r="DE497" s="1"/>
  <c r="DE498" s="1"/>
  <c r="DE499" s="1"/>
  <c r="DE500" s="1"/>
  <c r="DE501" s="1"/>
  <c r="DE502" s="1"/>
  <c r="DE503" s="1"/>
  <c r="DE504" s="1"/>
  <c r="DE505" s="1"/>
  <c r="DE506" s="1"/>
  <c r="DE507" s="1"/>
  <c r="DE508" s="1"/>
  <c r="DE509" s="1"/>
  <c r="DE510" s="1"/>
  <c r="DE511" s="1"/>
  <c r="DE512" s="1"/>
  <c r="DE513" s="1"/>
  <c r="DE514" s="1"/>
  <c r="DU30"/>
  <c r="DS31"/>
  <c r="DU31" s="1"/>
  <c r="DQ156"/>
  <c r="DQ157" s="1"/>
  <c r="DQ158" s="1"/>
  <c r="DQ159" s="1"/>
  <c r="DQ160" s="1"/>
  <c r="DQ161" s="1"/>
  <c r="DQ162" s="1"/>
  <c r="DQ163" s="1"/>
  <c r="DQ164" s="1"/>
  <c r="DQ165" s="1"/>
  <c r="DQ166" s="1"/>
  <c r="DQ167" s="1"/>
  <c r="DQ168" s="1"/>
  <c r="DQ169" s="1"/>
  <c r="DQ170" s="1"/>
  <c r="DQ171" s="1"/>
  <c r="DQ172" s="1"/>
  <c r="DQ173" s="1"/>
  <c r="DQ174" s="1"/>
  <c r="DQ175" s="1"/>
  <c r="AM18" i="10"/>
  <c r="AU18" s="1"/>
  <c r="AW21"/>
  <c r="AN26"/>
  <c r="AV26" s="1"/>
  <c r="AL21"/>
  <c r="AO19"/>
  <c r="BU176" i="12" l="1"/>
  <c r="BU177" s="1"/>
  <c r="BU178" s="1"/>
  <c r="BU179" s="1"/>
  <c r="BU180" s="1"/>
  <c r="BU181" s="1"/>
  <c r="BU182" s="1"/>
  <c r="BU183" s="1"/>
  <c r="BU184" s="1"/>
  <c r="BU185" s="1"/>
  <c r="BU186" s="1"/>
  <c r="BU187" s="1"/>
  <c r="BU188" s="1"/>
  <c r="BU189" s="1"/>
  <c r="BU190" s="1"/>
  <c r="BU191" s="1"/>
  <c r="BU192" s="1"/>
  <c r="BU193" s="1"/>
  <c r="BU194" s="1"/>
  <c r="BU195" s="1"/>
  <c r="BU196" s="1"/>
  <c r="BU197" s="1"/>
  <c r="BU198" s="1"/>
  <c r="BU199" s="1"/>
  <c r="BU200" s="1"/>
  <c r="BU201" s="1"/>
  <c r="BU202" s="1"/>
  <c r="BU203" s="1"/>
  <c r="BU204" s="1"/>
  <c r="BU205" s="1"/>
  <c r="BU206" s="1"/>
  <c r="BU207" s="1"/>
  <c r="BU208" s="1"/>
  <c r="BU209" s="1"/>
  <c r="BU210" s="1"/>
  <c r="BU211" s="1"/>
  <c r="BU212" s="1"/>
  <c r="BU213" s="1"/>
  <c r="BU214" s="1"/>
  <c r="BU215" s="1"/>
  <c r="BU216" s="1"/>
  <c r="BU217" s="1"/>
  <c r="BU218" s="1"/>
  <c r="BU219" s="1"/>
  <c r="BU220" s="1"/>
  <c r="BU221" s="1"/>
  <c r="BU222" s="1"/>
  <c r="BU223" s="1"/>
  <c r="BU224" s="1"/>
  <c r="BU225" s="1"/>
  <c r="BU226" s="1"/>
  <c r="BU227" s="1"/>
  <c r="BU228" s="1"/>
  <c r="BU229" s="1"/>
  <c r="BU230" s="1"/>
  <c r="BU231" s="1"/>
  <c r="BU232" s="1"/>
  <c r="BU233" s="1"/>
  <c r="BU234" s="1"/>
  <c r="BU235" s="1"/>
  <c r="BU236" s="1"/>
  <c r="BU237" s="1"/>
  <c r="BU238" s="1"/>
  <c r="BU239" s="1"/>
  <c r="BU240" s="1"/>
  <c r="BU241" s="1"/>
  <c r="BU242" s="1"/>
  <c r="BU243" s="1"/>
  <c r="BU244" s="1"/>
  <c r="BU245" s="1"/>
  <c r="BU246" s="1"/>
  <c r="BU247" s="1"/>
  <c r="BU248" s="1"/>
  <c r="BU249" s="1"/>
  <c r="BU250" s="1"/>
  <c r="BU251" s="1"/>
  <c r="BU252" s="1"/>
  <c r="BU253" s="1"/>
  <c r="BU254" s="1"/>
  <c r="BU255" s="1"/>
  <c r="BU256" s="1"/>
  <c r="BU257" s="1"/>
  <c r="BU258" s="1"/>
  <c r="BU259" s="1"/>
  <c r="BU260" s="1"/>
  <c r="BU261" s="1"/>
  <c r="BU262" s="1"/>
  <c r="BU263" s="1"/>
  <c r="BU264" s="1"/>
  <c r="BU265" s="1"/>
  <c r="BU266" s="1"/>
  <c r="BU267" s="1"/>
  <c r="BU268" s="1"/>
  <c r="BU269" s="1"/>
  <c r="BU270" s="1"/>
  <c r="BU271" s="1"/>
  <c r="BU272" s="1"/>
  <c r="BU273" s="1"/>
  <c r="BU274" s="1"/>
  <c r="BU275" s="1"/>
  <c r="BU276" s="1"/>
  <c r="BU277" s="1"/>
  <c r="BU278" s="1"/>
  <c r="BU279" s="1"/>
  <c r="BU280" s="1"/>
  <c r="BU281" s="1"/>
  <c r="BU282" s="1"/>
  <c r="BU283" s="1"/>
  <c r="BU284" s="1"/>
  <c r="BU285" s="1"/>
  <c r="BU286" s="1"/>
  <c r="BU287" s="1"/>
  <c r="BU288" s="1"/>
  <c r="BU289" s="1"/>
  <c r="BU290" s="1"/>
  <c r="BU291" s="1"/>
  <c r="BU292" s="1"/>
  <c r="BU293" s="1"/>
  <c r="BU294" s="1"/>
  <c r="BU295" s="1"/>
  <c r="BU296" s="1"/>
  <c r="BU297" s="1"/>
  <c r="BU298" s="1"/>
  <c r="BU299" s="1"/>
  <c r="BU300" s="1"/>
  <c r="BU301" s="1"/>
  <c r="BU302" s="1"/>
  <c r="BU303" s="1"/>
  <c r="BU304" s="1"/>
  <c r="BU305" s="1"/>
  <c r="BU306" s="1"/>
  <c r="BU307" s="1"/>
  <c r="BU308" s="1"/>
  <c r="BU309" s="1"/>
  <c r="BU310" s="1"/>
  <c r="BU311" s="1"/>
  <c r="BU312" s="1"/>
  <c r="BU313" s="1"/>
  <c r="BU314" s="1"/>
  <c r="BU315" s="1"/>
  <c r="BU316" s="1"/>
  <c r="BU317" s="1"/>
  <c r="BU318" s="1"/>
  <c r="BU319" s="1"/>
  <c r="BU320" s="1"/>
  <c r="BU321" s="1"/>
  <c r="BU322" s="1"/>
  <c r="BU323" s="1"/>
  <c r="BU324" s="1"/>
  <c r="BU325" s="1"/>
  <c r="BU326" s="1"/>
  <c r="BU327" s="1"/>
  <c r="BU328" s="1"/>
  <c r="BU329" s="1"/>
  <c r="BU330" s="1"/>
  <c r="BU331" s="1"/>
  <c r="BU332" s="1"/>
  <c r="BU333" s="1"/>
  <c r="BU334" s="1"/>
  <c r="BU335" s="1"/>
  <c r="BU336" s="1"/>
  <c r="BU337" s="1"/>
  <c r="BU338" s="1"/>
  <c r="BU339" s="1"/>
  <c r="BU340" s="1"/>
  <c r="BU341" s="1"/>
  <c r="BU342" s="1"/>
  <c r="BU343" s="1"/>
  <c r="BU344" s="1"/>
  <c r="BU345" s="1"/>
  <c r="BU346" s="1"/>
  <c r="BU347" s="1"/>
  <c r="BU348" s="1"/>
  <c r="BU349" s="1"/>
  <c r="BU350" s="1"/>
  <c r="BU351" s="1"/>
  <c r="BU352" s="1"/>
  <c r="BU353" s="1"/>
  <c r="BU354" s="1"/>
  <c r="BU355" s="1"/>
  <c r="BU356" s="1"/>
  <c r="BU357" s="1"/>
  <c r="BU358" s="1"/>
  <c r="BU359" s="1"/>
  <c r="BU360" s="1"/>
  <c r="BU361" s="1"/>
  <c r="BU362" s="1"/>
  <c r="BU363" s="1"/>
  <c r="BU364" s="1"/>
  <c r="BU365" s="1"/>
  <c r="BU366" s="1"/>
  <c r="BU367" s="1"/>
  <c r="BU368" s="1"/>
  <c r="BU369" s="1"/>
  <c r="BU370" s="1"/>
  <c r="BU371" s="1"/>
  <c r="BU372" s="1"/>
  <c r="BU373" s="1"/>
  <c r="BU374" s="1"/>
  <c r="BU375" s="1"/>
  <c r="BU376" s="1"/>
  <c r="BU377" s="1"/>
  <c r="BU378" s="1"/>
  <c r="BU379" s="1"/>
  <c r="BU380" s="1"/>
  <c r="BU381" s="1"/>
  <c r="BU382" s="1"/>
  <c r="BU383" s="1"/>
  <c r="BU384" s="1"/>
  <c r="BU385" s="1"/>
  <c r="BU386" s="1"/>
  <c r="BU387" s="1"/>
  <c r="BU388" s="1"/>
  <c r="BU389" s="1"/>
  <c r="BU390" s="1"/>
  <c r="BU391" s="1"/>
  <c r="BU392" s="1"/>
  <c r="BU393" s="1"/>
  <c r="BU394" s="1"/>
  <c r="BU395" s="1"/>
  <c r="BU396" s="1"/>
  <c r="BU397" s="1"/>
  <c r="BU398" s="1"/>
  <c r="BU399" s="1"/>
  <c r="BU400" s="1"/>
  <c r="BU401" s="1"/>
  <c r="BU402" s="1"/>
  <c r="BU403" s="1"/>
  <c r="BU404" s="1"/>
  <c r="BU405" s="1"/>
  <c r="BU406" s="1"/>
  <c r="BU407" s="1"/>
  <c r="BU408" s="1"/>
  <c r="BU409" s="1"/>
  <c r="BU410" s="1"/>
  <c r="BU411" s="1"/>
  <c r="BU412" s="1"/>
  <c r="BU413" s="1"/>
  <c r="BU414" s="1"/>
  <c r="BU415" s="1"/>
  <c r="BU416" s="1"/>
  <c r="BU417" s="1"/>
  <c r="BU418" s="1"/>
  <c r="BU419" s="1"/>
  <c r="BU420" s="1"/>
  <c r="BU421" s="1"/>
  <c r="BU422" s="1"/>
  <c r="BU423" s="1"/>
  <c r="BU424" s="1"/>
  <c r="BU425" s="1"/>
  <c r="BU426" s="1"/>
  <c r="BU427" s="1"/>
  <c r="BU428" s="1"/>
  <c r="BU429" s="1"/>
  <c r="BU430" s="1"/>
  <c r="BU431" s="1"/>
  <c r="BU432" s="1"/>
  <c r="BU433" s="1"/>
  <c r="BU434" s="1"/>
  <c r="BU435" s="1"/>
  <c r="BU436" s="1"/>
  <c r="BU437" s="1"/>
  <c r="BU438" s="1"/>
  <c r="BU439" s="1"/>
  <c r="BU440" s="1"/>
  <c r="BU441" s="1"/>
  <c r="BU442" s="1"/>
  <c r="BU443" s="1"/>
  <c r="BU444" s="1"/>
  <c r="BU445" s="1"/>
  <c r="BU446" s="1"/>
  <c r="BU447" s="1"/>
  <c r="BU448" s="1"/>
  <c r="BU449" s="1"/>
  <c r="BU450" s="1"/>
  <c r="BU451" s="1"/>
  <c r="BU452" s="1"/>
  <c r="BU453" s="1"/>
  <c r="BU454" s="1"/>
  <c r="BU455" s="1"/>
  <c r="BU456" s="1"/>
  <c r="BU457" s="1"/>
  <c r="BU458" s="1"/>
  <c r="BU459" s="1"/>
  <c r="BU460" s="1"/>
  <c r="BU461" s="1"/>
  <c r="BU462" s="1"/>
  <c r="BU463" s="1"/>
  <c r="BU464" s="1"/>
  <c r="BU465" s="1"/>
  <c r="BU466" s="1"/>
  <c r="BU467" s="1"/>
  <c r="BU468" s="1"/>
  <c r="BU469" s="1"/>
  <c r="BU470" s="1"/>
  <c r="BU471" s="1"/>
  <c r="BU472" s="1"/>
  <c r="BU473" s="1"/>
  <c r="BU474" s="1"/>
  <c r="BU475" s="1"/>
  <c r="BU476" s="1"/>
  <c r="BU477" s="1"/>
  <c r="BU478" s="1"/>
  <c r="BU479" s="1"/>
  <c r="BU480" s="1"/>
  <c r="BU481" s="1"/>
  <c r="BU482" s="1"/>
  <c r="BU483" s="1"/>
  <c r="BU484" s="1"/>
  <c r="BU485" s="1"/>
  <c r="BU486" s="1"/>
  <c r="BU487" s="1"/>
  <c r="BU488" s="1"/>
  <c r="BU489" s="1"/>
  <c r="BU490" s="1"/>
  <c r="BU491" s="1"/>
  <c r="BU492" s="1"/>
  <c r="BU493" s="1"/>
  <c r="BU494" s="1"/>
  <c r="BU495" s="1"/>
  <c r="BU496" s="1"/>
  <c r="BU497" s="1"/>
  <c r="BU498" s="1"/>
  <c r="BU499" s="1"/>
  <c r="BU500" s="1"/>
  <c r="BU501" s="1"/>
  <c r="BU502" s="1"/>
  <c r="BU503" s="1"/>
  <c r="BU504" s="1"/>
  <c r="BU505" s="1"/>
  <c r="BU506" s="1"/>
  <c r="BU507" s="1"/>
  <c r="BU508" s="1"/>
  <c r="BU509" s="1"/>
  <c r="BU510" s="1"/>
  <c r="BU511" s="1"/>
  <c r="BU512" s="1"/>
  <c r="BU513" s="1"/>
  <c r="BU514" s="1"/>
  <c r="BW32"/>
  <c r="BK176"/>
  <c r="BK177" s="1"/>
  <c r="BK178" s="1"/>
  <c r="BK179" s="1"/>
  <c r="BK180" s="1"/>
  <c r="BK181" s="1"/>
  <c r="BK182" s="1"/>
  <c r="BK183" s="1"/>
  <c r="BK184" s="1"/>
  <c r="BK185" s="1"/>
  <c r="BK186" s="1"/>
  <c r="BK187" s="1"/>
  <c r="BK188" s="1"/>
  <c r="BK189" s="1"/>
  <c r="BK190" s="1"/>
  <c r="BK191" s="1"/>
  <c r="BK192" s="1"/>
  <c r="BK193" s="1"/>
  <c r="BK194" s="1"/>
  <c r="BK195" s="1"/>
  <c r="BK196" s="1"/>
  <c r="BK197" s="1"/>
  <c r="BK198" s="1"/>
  <c r="BK199" s="1"/>
  <c r="BK200" s="1"/>
  <c r="BK201" s="1"/>
  <c r="BK202" s="1"/>
  <c r="BK203" s="1"/>
  <c r="BK204" s="1"/>
  <c r="BK205" s="1"/>
  <c r="BK206" s="1"/>
  <c r="BK207" s="1"/>
  <c r="BK208" s="1"/>
  <c r="BK209" s="1"/>
  <c r="BK210" s="1"/>
  <c r="BK211" s="1"/>
  <c r="BK212" s="1"/>
  <c r="BK213" s="1"/>
  <c r="BK214" s="1"/>
  <c r="BK215" s="1"/>
  <c r="BK216" s="1"/>
  <c r="BK217" s="1"/>
  <c r="BK218" s="1"/>
  <c r="BK219" s="1"/>
  <c r="BK220" s="1"/>
  <c r="BK221" s="1"/>
  <c r="BK222" s="1"/>
  <c r="BK223" s="1"/>
  <c r="BK224" s="1"/>
  <c r="BK225" s="1"/>
  <c r="BK226" s="1"/>
  <c r="BK227" s="1"/>
  <c r="BK228" s="1"/>
  <c r="BK229" s="1"/>
  <c r="BK230" s="1"/>
  <c r="BK231" s="1"/>
  <c r="BK232" s="1"/>
  <c r="BK233" s="1"/>
  <c r="BK234" s="1"/>
  <c r="BK235" s="1"/>
  <c r="BK236" s="1"/>
  <c r="BK237" s="1"/>
  <c r="BK238" s="1"/>
  <c r="BK239" s="1"/>
  <c r="BK240" s="1"/>
  <c r="BK241" s="1"/>
  <c r="BK242" s="1"/>
  <c r="BK243" s="1"/>
  <c r="BK244" s="1"/>
  <c r="BK245" s="1"/>
  <c r="BK246" s="1"/>
  <c r="BK247" s="1"/>
  <c r="BK248" s="1"/>
  <c r="BK249" s="1"/>
  <c r="BK250" s="1"/>
  <c r="BK251" s="1"/>
  <c r="BK252" s="1"/>
  <c r="BK253" s="1"/>
  <c r="BK254" s="1"/>
  <c r="BK255" s="1"/>
  <c r="BK256" s="1"/>
  <c r="BK257" s="1"/>
  <c r="BK258" s="1"/>
  <c r="BK259" s="1"/>
  <c r="BK260" s="1"/>
  <c r="BK261" s="1"/>
  <c r="BK262" s="1"/>
  <c r="BK263" s="1"/>
  <c r="BK264" s="1"/>
  <c r="BK265" s="1"/>
  <c r="BK266" s="1"/>
  <c r="BK267" s="1"/>
  <c r="BK268" s="1"/>
  <c r="BK269" s="1"/>
  <c r="BK270" s="1"/>
  <c r="BK271" s="1"/>
  <c r="BK272" s="1"/>
  <c r="BK273" s="1"/>
  <c r="BK274" s="1"/>
  <c r="BK275" s="1"/>
  <c r="BK276" s="1"/>
  <c r="BK277" s="1"/>
  <c r="BK278" s="1"/>
  <c r="BK279" s="1"/>
  <c r="BK280" s="1"/>
  <c r="BK281" s="1"/>
  <c r="BK282" s="1"/>
  <c r="BK283" s="1"/>
  <c r="BK284" s="1"/>
  <c r="BK285" s="1"/>
  <c r="BK286" s="1"/>
  <c r="BK287" s="1"/>
  <c r="BK288" s="1"/>
  <c r="BK289" s="1"/>
  <c r="BK290" s="1"/>
  <c r="BK291" s="1"/>
  <c r="BK292" s="1"/>
  <c r="BK293" s="1"/>
  <c r="BK294" s="1"/>
  <c r="BK295" s="1"/>
  <c r="BK296" s="1"/>
  <c r="BK297" s="1"/>
  <c r="BK298" s="1"/>
  <c r="BK299" s="1"/>
  <c r="BK300" s="1"/>
  <c r="BK301" s="1"/>
  <c r="BK302" s="1"/>
  <c r="BK303" s="1"/>
  <c r="BK304" s="1"/>
  <c r="BK305" s="1"/>
  <c r="BK306" s="1"/>
  <c r="BK307" s="1"/>
  <c r="BK308" s="1"/>
  <c r="BK309" s="1"/>
  <c r="BK310" s="1"/>
  <c r="BK311" s="1"/>
  <c r="BK312" s="1"/>
  <c r="BK313" s="1"/>
  <c r="BK314" s="1"/>
  <c r="BK315" s="1"/>
  <c r="BK316" s="1"/>
  <c r="BK317" s="1"/>
  <c r="BK318" s="1"/>
  <c r="BK319" s="1"/>
  <c r="BK320" s="1"/>
  <c r="BK321" s="1"/>
  <c r="BK322" s="1"/>
  <c r="BK323" s="1"/>
  <c r="BK324" s="1"/>
  <c r="BK325" s="1"/>
  <c r="BK326" s="1"/>
  <c r="BK327" s="1"/>
  <c r="BK328" s="1"/>
  <c r="BK329" s="1"/>
  <c r="BK330" s="1"/>
  <c r="BK331" s="1"/>
  <c r="BK332" s="1"/>
  <c r="BK333" s="1"/>
  <c r="BK334" s="1"/>
  <c r="BK335" s="1"/>
  <c r="BK336" s="1"/>
  <c r="BK337" s="1"/>
  <c r="BK338" s="1"/>
  <c r="BK339" s="1"/>
  <c r="BK340" s="1"/>
  <c r="BK341" s="1"/>
  <c r="BK342" s="1"/>
  <c r="BK343" s="1"/>
  <c r="BK344" s="1"/>
  <c r="BK345" s="1"/>
  <c r="BK346" s="1"/>
  <c r="BK347" s="1"/>
  <c r="BK348" s="1"/>
  <c r="BK349" s="1"/>
  <c r="BK350" s="1"/>
  <c r="BK351" s="1"/>
  <c r="BK352" s="1"/>
  <c r="BK353" s="1"/>
  <c r="BK354" s="1"/>
  <c r="BK355" s="1"/>
  <c r="BK356" s="1"/>
  <c r="BK357" s="1"/>
  <c r="BK358" s="1"/>
  <c r="BK359" s="1"/>
  <c r="BK360" s="1"/>
  <c r="BK361" s="1"/>
  <c r="BK362" s="1"/>
  <c r="BK363" s="1"/>
  <c r="BK364" s="1"/>
  <c r="BK365" s="1"/>
  <c r="BK366" s="1"/>
  <c r="BK367" s="1"/>
  <c r="BK368" s="1"/>
  <c r="BK369" s="1"/>
  <c r="BK370" s="1"/>
  <c r="BK371" s="1"/>
  <c r="BK372" s="1"/>
  <c r="BK373" s="1"/>
  <c r="BK374" s="1"/>
  <c r="BK375" s="1"/>
  <c r="BK376" s="1"/>
  <c r="BK377" s="1"/>
  <c r="BK378" s="1"/>
  <c r="BK379" s="1"/>
  <c r="BK380" s="1"/>
  <c r="BK381" s="1"/>
  <c r="BK382" s="1"/>
  <c r="BK383" s="1"/>
  <c r="BK384" s="1"/>
  <c r="BK385" s="1"/>
  <c r="BK386" s="1"/>
  <c r="BK387" s="1"/>
  <c r="BK388" s="1"/>
  <c r="BK389" s="1"/>
  <c r="BK390" s="1"/>
  <c r="BK391" s="1"/>
  <c r="BK392" s="1"/>
  <c r="BK393" s="1"/>
  <c r="BK394" s="1"/>
  <c r="BK395" s="1"/>
  <c r="BK396" s="1"/>
  <c r="BK397" s="1"/>
  <c r="BK398" s="1"/>
  <c r="BK399" s="1"/>
  <c r="BK400" s="1"/>
  <c r="BK401" s="1"/>
  <c r="BK402" s="1"/>
  <c r="BK403" s="1"/>
  <c r="BK404" s="1"/>
  <c r="BK405" s="1"/>
  <c r="BK406" s="1"/>
  <c r="BK407" s="1"/>
  <c r="BK408" s="1"/>
  <c r="BK409" s="1"/>
  <c r="BK410" s="1"/>
  <c r="BK411" s="1"/>
  <c r="BK412" s="1"/>
  <c r="BK413" s="1"/>
  <c r="BK414" s="1"/>
  <c r="BK415" s="1"/>
  <c r="BK416" s="1"/>
  <c r="BK417" s="1"/>
  <c r="BK418" s="1"/>
  <c r="BK419" s="1"/>
  <c r="BK420" s="1"/>
  <c r="BK421" s="1"/>
  <c r="BK422" s="1"/>
  <c r="BK423" s="1"/>
  <c r="BK424" s="1"/>
  <c r="BK425" s="1"/>
  <c r="BK426" s="1"/>
  <c r="BK427" s="1"/>
  <c r="BK428" s="1"/>
  <c r="BK429" s="1"/>
  <c r="BK430" s="1"/>
  <c r="BK431" s="1"/>
  <c r="BK432" s="1"/>
  <c r="BK433" s="1"/>
  <c r="BK434" s="1"/>
  <c r="BK435" s="1"/>
  <c r="BK436" s="1"/>
  <c r="BK437" s="1"/>
  <c r="BK438" s="1"/>
  <c r="BK439" s="1"/>
  <c r="BK440" s="1"/>
  <c r="BK441" s="1"/>
  <c r="BK442" s="1"/>
  <c r="BK443" s="1"/>
  <c r="BK444" s="1"/>
  <c r="BK445" s="1"/>
  <c r="BK446" s="1"/>
  <c r="BK447" s="1"/>
  <c r="BK448" s="1"/>
  <c r="BK449" s="1"/>
  <c r="BK450" s="1"/>
  <c r="BK451" s="1"/>
  <c r="BK452" s="1"/>
  <c r="BK453" s="1"/>
  <c r="BK454" s="1"/>
  <c r="BK455" s="1"/>
  <c r="BK456" s="1"/>
  <c r="BK457" s="1"/>
  <c r="BK458" s="1"/>
  <c r="BK459" s="1"/>
  <c r="BK460" s="1"/>
  <c r="BK461" s="1"/>
  <c r="BK462" s="1"/>
  <c r="BK463" s="1"/>
  <c r="BK464" s="1"/>
  <c r="BK465" s="1"/>
  <c r="BK466" s="1"/>
  <c r="BK467" s="1"/>
  <c r="BK468" s="1"/>
  <c r="BK469" s="1"/>
  <c r="BK470" s="1"/>
  <c r="BK471" s="1"/>
  <c r="BK472" s="1"/>
  <c r="BK473" s="1"/>
  <c r="BK474" s="1"/>
  <c r="BK475" s="1"/>
  <c r="BK476" s="1"/>
  <c r="BK477" s="1"/>
  <c r="BK478" s="1"/>
  <c r="BK479" s="1"/>
  <c r="BK480" s="1"/>
  <c r="BK481" s="1"/>
  <c r="BK482" s="1"/>
  <c r="BK483" s="1"/>
  <c r="BK484" s="1"/>
  <c r="BK485" s="1"/>
  <c r="BK486" s="1"/>
  <c r="BK487" s="1"/>
  <c r="BK488" s="1"/>
  <c r="BK489" s="1"/>
  <c r="BK490" s="1"/>
  <c r="BK491" s="1"/>
  <c r="BK492" s="1"/>
  <c r="BK493" s="1"/>
  <c r="BK494" s="1"/>
  <c r="BK495" s="1"/>
  <c r="BK496" s="1"/>
  <c r="BK497" s="1"/>
  <c r="BK498" s="1"/>
  <c r="BK499" s="1"/>
  <c r="BK500" s="1"/>
  <c r="BK501" s="1"/>
  <c r="BK502" s="1"/>
  <c r="BK503" s="1"/>
  <c r="BK504" s="1"/>
  <c r="BK505" s="1"/>
  <c r="BK506" s="1"/>
  <c r="BK507" s="1"/>
  <c r="BK508" s="1"/>
  <c r="BK509" s="1"/>
  <c r="BK510" s="1"/>
  <c r="BK511" s="1"/>
  <c r="BK512" s="1"/>
  <c r="BK513" s="1"/>
  <c r="BK514" s="1"/>
  <c r="BM32"/>
  <c r="CW32" s="1"/>
  <c r="CI32"/>
  <c r="CG176"/>
  <c r="CG177" s="1"/>
  <c r="CG178" s="1"/>
  <c r="CG179" s="1"/>
  <c r="CG180" s="1"/>
  <c r="CG181" s="1"/>
  <c r="CG182" s="1"/>
  <c r="CG183" s="1"/>
  <c r="CG184" s="1"/>
  <c r="CG185" s="1"/>
  <c r="CG186" s="1"/>
  <c r="CG187" s="1"/>
  <c r="CG188" s="1"/>
  <c r="CG189" s="1"/>
  <c r="CG190" s="1"/>
  <c r="CG191" s="1"/>
  <c r="CG192" s="1"/>
  <c r="CG193" s="1"/>
  <c r="CG194" s="1"/>
  <c r="CG195" s="1"/>
  <c r="CG196" s="1"/>
  <c r="CG197" s="1"/>
  <c r="CG198" s="1"/>
  <c r="CG199" s="1"/>
  <c r="CG200" s="1"/>
  <c r="CG201" s="1"/>
  <c r="CG202" s="1"/>
  <c r="CG203" s="1"/>
  <c r="CG204" s="1"/>
  <c r="CG205" s="1"/>
  <c r="CG206" s="1"/>
  <c r="CG207" s="1"/>
  <c r="CG208" s="1"/>
  <c r="CG209" s="1"/>
  <c r="CG210" s="1"/>
  <c r="CG211" s="1"/>
  <c r="CG212" s="1"/>
  <c r="CG213" s="1"/>
  <c r="CG214" s="1"/>
  <c r="CG215" s="1"/>
  <c r="CG216" s="1"/>
  <c r="CG217" s="1"/>
  <c r="CG218" s="1"/>
  <c r="CG219" s="1"/>
  <c r="CG220" s="1"/>
  <c r="CG221" s="1"/>
  <c r="CG222" s="1"/>
  <c r="CG223" s="1"/>
  <c r="CG224" s="1"/>
  <c r="CG225" s="1"/>
  <c r="CG226" s="1"/>
  <c r="CG227" s="1"/>
  <c r="CG228" s="1"/>
  <c r="CG229" s="1"/>
  <c r="CG230" s="1"/>
  <c r="CG231" s="1"/>
  <c r="CG232" s="1"/>
  <c r="CG233" s="1"/>
  <c r="CG234" s="1"/>
  <c r="CG235" s="1"/>
  <c r="CG236" s="1"/>
  <c r="CG237" s="1"/>
  <c r="CG238" s="1"/>
  <c r="CG239" s="1"/>
  <c r="CG240" s="1"/>
  <c r="CG241" s="1"/>
  <c r="CG242" s="1"/>
  <c r="CG243" s="1"/>
  <c r="CG244" s="1"/>
  <c r="CG245" s="1"/>
  <c r="CG246" s="1"/>
  <c r="CG247" s="1"/>
  <c r="CG248" s="1"/>
  <c r="CG249" s="1"/>
  <c r="CG250" s="1"/>
  <c r="CG251" s="1"/>
  <c r="CG252" s="1"/>
  <c r="CG253" s="1"/>
  <c r="CG254" s="1"/>
  <c r="CG255" s="1"/>
  <c r="CG256" s="1"/>
  <c r="CG257" s="1"/>
  <c r="CG258" s="1"/>
  <c r="CG259" s="1"/>
  <c r="CG260" s="1"/>
  <c r="CG261" s="1"/>
  <c r="CG262" s="1"/>
  <c r="CG263" s="1"/>
  <c r="CG264" s="1"/>
  <c r="CG265" s="1"/>
  <c r="CG266" s="1"/>
  <c r="CG267" s="1"/>
  <c r="CG268" s="1"/>
  <c r="CG269" s="1"/>
  <c r="CG270" s="1"/>
  <c r="CG271" s="1"/>
  <c r="CG272" s="1"/>
  <c r="CG273" s="1"/>
  <c r="CG274" s="1"/>
  <c r="CG275" s="1"/>
  <c r="CG276" s="1"/>
  <c r="CG277" s="1"/>
  <c r="CG278" s="1"/>
  <c r="CG279" s="1"/>
  <c r="CG280" s="1"/>
  <c r="CG281" s="1"/>
  <c r="CG282" s="1"/>
  <c r="CG283" s="1"/>
  <c r="CG284" s="1"/>
  <c r="CG285" s="1"/>
  <c r="CG286" s="1"/>
  <c r="CG287" s="1"/>
  <c r="CG288" s="1"/>
  <c r="CG289" s="1"/>
  <c r="CG290" s="1"/>
  <c r="CG291" s="1"/>
  <c r="CG292" s="1"/>
  <c r="CG293" s="1"/>
  <c r="CG294" s="1"/>
  <c r="CG295" s="1"/>
  <c r="CG296" s="1"/>
  <c r="CG297" s="1"/>
  <c r="CG298" s="1"/>
  <c r="CG299" s="1"/>
  <c r="CG300" s="1"/>
  <c r="CG301" s="1"/>
  <c r="CG302" s="1"/>
  <c r="CG303" s="1"/>
  <c r="CG304" s="1"/>
  <c r="CG305" s="1"/>
  <c r="CG306" s="1"/>
  <c r="CG307" s="1"/>
  <c r="CG308" s="1"/>
  <c r="CG309" s="1"/>
  <c r="CG310" s="1"/>
  <c r="CG311" s="1"/>
  <c r="CG312" s="1"/>
  <c r="CG313" s="1"/>
  <c r="CG314" s="1"/>
  <c r="CG315" s="1"/>
  <c r="CG316" s="1"/>
  <c r="CG317" s="1"/>
  <c r="CG318" s="1"/>
  <c r="CG319" s="1"/>
  <c r="CG320" s="1"/>
  <c r="CG321" s="1"/>
  <c r="CG322" s="1"/>
  <c r="CG323" s="1"/>
  <c r="CG324" s="1"/>
  <c r="CG325" s="1"/>
  <c r="CG326" s="1"/>
  <c r="CG327" s="1"/>
  <c r="CG328" s="1"/>
  <c r="CG329" s="1"/>
  <c r="CG330" s="1"/>
  <c r="CG331" s="1"/>
  <c r="CG332" s="1"/>
  <c r="CG333" s="1"/>
  <c r="CG334" s="1"/>
  <c r="CG335" s="1"/>
  <c r="CG336" s="1"/>
  <c r="CG337" s="1"/>
  <c r="CG338" s="1"/>
  <c r="CG339" s="1"/>
  <c r="CG340" s="1"/>
  <c r="CG341" s="1"/>
  <c r="CG342" s="1"/>
  <c r="CG343" s="1"/>
  <c r="CG344" s="1"/>
  <c r="CG345" s="1"/>
  <c r="CG346" s="1"/>
  <c r="CG347" s="1"/>
  <c r="CG348" s="1"/>
  <c r="CG349" s="1"/>
  <c r="CG350" s="1"/>
  <c r="CG351" s="1"/>
  <c r="CG352" s="1"/>
  <c r="CG353" s="1"/>
  <c r="CG354" s="1"/>
  <c r="CG355" s="1"/>
  <c r="CG356" s="1"/>
  <c r="CG357" s="1"/>
  <c r="CG358" s="1"/>
  <c r="CG359" s="1"/>
  <c r="CG360" s="1"/>
  <c r="CG361" s="1"/>
  <c r="CG362" s="1"/>
  <c r="CG363" s="1"/>
  <c r="CG364" s="1"/>
  <c r="CG365" s="1"/>
  <c r="CG366" s="1"/>
  <c r="CG367" s="1"/>
  <c r="CG368" s="1"/>
  <c r="CG369" s="1"/>
  <c r="CG370" s="1"/>
  <c r="CG371" s="1"/>
  <c r="CG372" s="1"/>
  <c r="CG373" s="1"/>
  <c r="CG374" s="1"/>
  <c r="CG375" s="1"/>
  <c r="CG376" s="1"/>
  <c r="CG377" s="1"/>
  <c r="CG378" s="1"/>
  <c r="CG379" s="1"/>
  <c r="CG380" s="1"/>
  <c r="CG381" s="1"/>
  <c r="CG382" s="1"/>
  <c r="CG383" s="1"/>
  <c r="CG384" s="1"/>
  <c r="CG385" s="1"/>
  <c r="CG386" s="1"/>
  <c r="CG387" s="1"/>
  <c r="CG388" s="1"/>
  <c r="CG389" s="1"/>
  <c r="CG390" s="1"/>
  <c r="CG391" s="1"/>
  <c r="CG392" s="1"/>
  <c r="CG393" s="1"/>
  <c r="CG394" s="1"/>
  <c r="CG395" s="1"/>
  <c r="CG396" s="1"/>
  <c r="CG397" s="1"/>
  <c r="CG398" s="1"/>
  <c r="CG399" s="1"/>
  <c r="CG400" s="1"/>
  <c r="CG401" s="1"/>
  <c r="CG402" s="1"/>
  <c r="CG403" s="1"/>
  <c r="CG404" s="1"/>
  <c r="CG405" s="1"/>
  <c r="CG406" s="1"/>
  <c r="CG407" s="1"/>
  <c r="CG408" s="1"/>
  <c r="CG409" s="1"/>
  <c r="CG410" s="1"/>
  <c r="CG411" s="1"/>
  <c r="CG412" s="1"/>
  <c r="CG413" s="1"/>
  <c r="CG414" s="1"/>
  <c r="CG415" s="1"/>
  <c r="CG416" s="1"/>
  <c r="CG417" s="1"/>
  <c r="CG418" s="1"/>
  <c r="CG419" s="1"/>
  <c r="CG420" s="1"/>
  <c r="CG421" s="1"/>
  <c r="CG422" s="1"/>
  <c r="CG423" s="1"/>
  <c r="CG424" s="1"/>
  <c r="CG425" s="1"/>
  <c r="CG426" s="1"/>
  <c r="CG427" s="1"/>
  <c r="CG428" s="1"/>
  <c r="CG429" s="1"/>
  <c r="CG430" s="1"/>
  <c r="CG431" s="1"/>
  <c r="CG432" s="1"/>
  <c r="CG433" s="1"/>
  <c r="CG434" s="1"/>
  <c r="CG435" s="1"/>
  <c r="CG436" s="1"/>
  <c r="CG437" s="1"/>
  <c r="CG438" s="1"/>
  <c r="CG439" s="1"/>
  <c r="CG440" s="1"/>
  <c r="CG441" s="1"/>
  <c r="CG442" s="1"/>
  <c r="CG443" s="1"/>
  <c r="CG444" s="1"/>
  <c r="CG445" s="1"/>
  <c r="CG446" s="1"/>
  <c r="CG447" s="1"/>
  <c r="CG448" s="1"/>
  <c r="CG449" s="1"/>
  <c r="CG450" s="1"/>
  <c r="CG451" s="1"/>
  <c r="CG452" s="1"/>
  <c r="CG453" s="1"/>
  <c r="CG454" s="1"/>
  <c r="CG455" s="1"/>
  <c r="CG456" s="1"/>
  <c r="CG457" s="1"/>
  <c r="CG458" s="1"/>
  <c r="CG459" s="1"/>
  <c r="CG460" s="1"/>
  <c r="CG461" s="1"/>
  <c r="CG462" s="1"/>
  <c r="CG463" s="1"/>
  <c r="CG464" s="1"/>
  <c r="CG465" s="1"/>
  <c r="CG466" s="1"/>
  <c r="CG467" s="1"/>
  <c r="CG468" s="1"/>
  <c r="CG469" s="1"/>
  <c r="CG470" s="1"/>
  <c r="CG471" s="1"/>
  <c r="CG472" s="1"/>
  <c r="CG473" s="1"/>
  <c r="CG474" s="1"/>
  <c r="CG475" s="1"/>
  <c r="CG476" s="1"/>
  <c r="CG477" s="1"/>
  <c r="CG478" s="1"/>
  <c r="CG479" s="1"/>
  <c r="CG480" s="1"/>
  <c r="CG481" s="1"/>
  <c r="CG482" s="1"/>
  <c r="CG483" s="1"/>
  <c r="CG484" s="1"/>
  <c r="CG485" s="1"/>
  <c r="CG486" s="1"/>
  <c r="CG487" s="1"/>
  <c r="CG488" s="1"/>
  <c r="CG489" s="1"/>
  <c r="CG490" s="1"/>
  <c r="CG491" s="1"/>
  <c r="CG492" s="1"/>
  <c r="CG493" s="1"/>
  <c r="CG494" s="1"/>
  <c r="CG495" s="1"/>
  <c r="CG496" s="1"/>
  <c r="CG497" s="1"/>
  <c r="CG498" s="1"/>
  <c r="CG499" s="1"/>
  <c r="CG500" s="1"/>
  <c r="CG501" s="1"/>
  <c r="CG502" s="1"/>
  <c r="CG503" s="1"/>
  <c r="CG504" s="1"/>
  <c r="CG505" s="1"/>
  <c r="CG506" s="1"/>
  <c r="CG507" s="1"/>
  <c r="CG508" s="1"/>
  <c r="CG509" s="1"/>
  <c r="CG510" s="1"/>
  <c r="CG511" s="1"/>
  <c r="CG512" s="1"/>
  <c r="CG513" s="1"/>
  <c r="CG514" s="1"/>
  <c r="DQ176"/>
  <c r="DQ177" s="1"/>
  <c r="DQ178" s="1"/>
  <c r="DQ179" s="1"/>
  <c r="DQ180" s="1"/>
  <c r="DQ181" s="1"/>
  <c r="DQ182" s="1"/>
  <c r="DQ183" s="1"/>
  <c r="DQ184" s="1"/>
  <c r="DQ185" s="1"/>
  <c r="DQ186" s="1"/>
  <c r="DQ187" s="1"/>
  <c r="DQ188" s="1"/>
  <c r="DQ189" s="1"/>
  <c r="DQ190" s="1"/>
  <c r="DQ191" s="1"/>
  <c r="DQ192" s="1"/>
  <c r="DQ193" s="1"/>
  <c r="DQ194" s="1"/>
  <c r="DQ195" s="1"/>
  <c r="DQ196" s="1"/>
  <c r="DQ197" s="1"/>
  <c r="DQ198" s="1"/>
  <c r="DQ199" s="1"/>
  <c r="DQ200" s="1"/>
  <c r="DQ201" s="1"/>
  <c r="DQ202" s="1"/>
  <c r="DQ203" s="1"/>
  <c r="DQ204" s="1"/>
  <c r="DQ205" s="1"/>
  <c r="DQ206" s="1"/>
  <c r="DQ207" s="1"/>
  <c r="DQ208" s="1"/>
  <c r="DQ209" s="1"/>
  <c r="DQ210" s="1"/>
  <c r="DQ211" s="1"/>
  <c r="DQ212" s="1"/>
  <c r="DQ213" s="1"/>
  <c r="DQ214" s="1"/>
  <c r="DQ215" s="1"/>
  <c r="DQ216" s="1"/>
  <c r="DQ217" s="1"/>
  <c r="DQ218" s="1"/>
  <c r="DQ219" s="1"/>
  <c r="DQ220" s="1"/>
  <c r="DQ221" s="1"/>
  <c r="DQ222" s="1"/>
  <c r="DQ223" s="1"/>
  <c r="DQ224" s="1"/>
  <c r="DQ225" s="1"/>
  <c r="DQ226" s="1"/>
  <c r="DQ227" s="1"/>
  <c r="DQ228" s="1"/>
  <c r="DQ229" s="1"/>
  <c r="DQ230" s="1"/>
  <c r="DQ231" s="1"/>
  <c r="DQ232" s="1"/>
  <c r="DQ233" s="1"/>
  <c r="DQ234" s="1"/>
  <c r="DQ235" s="1"/>
  <c r="DQ236" s="1"/>
  <c r="DQ237" s="1"/>
  <c r="DQ238" s="1"/>
  <c r="DQ239" s="1"/>
  <c r="DQ240" s="1"/>
  <c r="DQ241" s="1"/>
  <c r="DQ242" s="1"/>
  <c r="DQ243" s="1"/>
  <c r="DQ244" s="1"/>
  <c r="DQ245" s="1"/>
  <c r="DQ246" s="1"/>
  <c r="DQ247" s="1"/>
  <c r="DQ248" s="1"/>
  <c r="DQ249" s="1"/>
  <c r="DQ250" s="1"/>
  <c r="DQ251" s="1"/>
  <c r="DQ252" s="1"/>
  <c r="DQ253" s="1"/>
  <c r="DQ254" s="1"/>
  <c r="DQ255" s="1"/>
  <c r="DQ256" s="1"/>
  <c r="DQ257" s="1"/>
  <c r="DQ258" s="1"/>
  <c r="DQ259" s="1"/>
  <c r="DQ260" s="1"/>
  <c r="DQ261" s="1"/>
  <c r="DQ262" s="1"/>
  <c r="DQ263" s="1"/>
  <c r="DQ264" s="1"/>
  <c r="DQ265" s="1"/>
  <c r="DQ266" s="1"/>
  <c r="DQ267" s="1"/>
  <c r="DQ268" s="1"/>
  <c r="DQ269" s="1"/>
  <c r="DQ270" s="1"/>
  <c r="DQ271" s="1"/>
  <c r="DQ272" s="1"/>
  <c r="DQ273" s="1"/>
  <c r="DQ274" s="1"/>
  <c r="DQ275" s="1"/>
  <c r="DQ276" s="1"/>
  <c r="DQ277" s="1"/>
  <c r="DQ278" s="1"/>
  <c r="DQ279" s="1"/>
  <c r="DQ280" s="1"/>
  <c r="DQ281" s="1"/>
  <c r="DQ282" s="1"/>
  <c r="DQ283" s="1"/>
  <c r="DQ284" s="1"/>
  <c r="DQ285" s="1"/>
  <c r="DQ286" s="1"/>
  <c r="DQ287" s="1"/>
  <c r="DQ288" s="1"/>
  <c r="DQ289" s="1"/>
  <c r="DQ290" s="1"/>
  <c r="DQ291" s="1"/>
  <c r="DQ292" s="1"/>
  <c r="DQ293" s="1"/>
  <c r="DQ294" s="1"/>
  <c r="DQ295" s="1"/>
  <c r="DQ296" s="1"/>
  <c r="DQ297" s="1"/>
  <c r="DQ298" s="1"/>
  <c r="DQ299" s="1"/>
  <c r="DQ300" s="1"/>
  <c r="DQ301" s="1"/>
  <c r="DQ302" s="1"/>
  <c r="DQ303" s="1"/>
  <c r="DQ304" s="1"/>
  <c r="DQ305" s="1"/>
  <c r="DQ306" s="1"/>
  <c r="DQ307" s="1"/>
  <c r="DQ308" s="1"/>
  <c r="DQ309" s="1"/>
  <c r="DQ310" s="1"/>
  <c r="DQ311" s="1"/>
  <c r="DQ312" s="1"/>
  <c r="DQ313" s="1"/>
  <c r="DQ314" s="1"/>
  <c r="DQ315" s="1"/>
  <c r="DQ316" s="1"/>
  <c r="DQ317" s="1"/>
  <c r="DQ318" s="1"/>
  <c r="DQ319" s="1"/>
  <c r="DQ320" s="1"/>
  <c r="DQ321" s="1"/>
  <c r="DQ322" s="1"/>
  <c r="DQ323" s="1"/>
  <c r="DQ324" s="1"/>
  <c r="DQ325" s="1"/>
  <c r="DQ326" s="1"/>
  <c r="DQ327" s="1"/>
  <c r="DQ328" s="1"/>
  <c r="DQ329" s="1"/>
  <c r="DQ330" s="1"/>
  <c r="DQ331" s="1"/>
  <c r="DQ332" s="1"/>
  <c r="DQ333" s="1"/>
  <c r="DQ334" s="1"/>
  <c r="DQ335" s="1"/>
  <c r="DQ336" s="1"/>
  <c r="DQ337" s="1"/>
  <c r="DQ338" s="1"/>
  <c r="DQ339" s="1"/>
  <c r="DQ340" s="1"/>
  <c r="DQ341" s="1"/>
  <c r="DQ342" s="1"/>
  <c r="DQ343" s="1"/>
  <c r="DQ344" s="1"/>
  <c r="DQ345" s="1"/>
  <c r="DQ346" s="1"/>
  <c r="DQ347" s="1"/>
  <c r="DQ348" s="1"/>
  <c r="DQ349" s="1"/>
  <c r="DQ350" s="1"/>
  <c r="DQ351" s="1"/>
  <c r="DQ352" s="1"/>
  <c r="DQ353" s="1"/>
  <c r="DQ354" s="1"/>
  <c r="DQ355" s="1"/>
  <c r="DQ356" s="1"/>
  <c r="DQ357" s="1"/>
  <c r="DQ358" s="1"/>
  <c r="DQ359" s="1"/>
  <c r="DQ360" s="1"/>
  <c r="DQ361" s="1"/>
  <c r="DQ362" s="1"/>
  <c r="DQ363" s="1"/>
  <c r="DQ364" s="1"/>
  <c r="DQ365" s="1"/>
  <c r="DQ366" s="1"/>
  <c r="DQ367" s="1"/>
  <c r="DQ368" s="1"/>
  <c r="DQ369" s="1"/>
  <c r="DQ370" s="1"/>
  <c r="DQ371" s="1"/>
  <c r="DQ372" s="1"/>
  <c r="DQ373" s="1"/>
  <c r="DQ374" s="1"/>
  <c r="DQ375" s="1"/>
  <c r="DQ376" s="1"/>
  <c r="DQ377" s="1"/>
  <c r="DQ378" s="1"/>
  <c r="DQ379" s="1"/>
  <c r="DQ380" s="1"/>
  <c r="DQ381" s="1"/>
  <c r="DQ382" s="1"/>
  <c r="DQ383" s="1"/>
  <c r="DQ384" s="1"/>
  <c r="DQ385" s="1"/>
  <c r="DQ386" s="1"/>
  <c r="DQ387" s="1"/>
  <c r="DQ388" s="1"/>
  <c r="DQ389" s="1"/>
  <c r="DQ390" s="1"/>
  <c r="DQ391" s="1"/>
  <c r="DQ392" s="1"/>
  <c r="DQ393" s="1"/>
  <c r="DQ394" s="1"/>
  <c r="DQ395" s="1"/>
  <c r="DQ396" s="1"/>
  <c r="DQ397" s="1"/>
  <c r="DQ398" s="1"/>
  <c r="DQ399" s="1"/>
  <c r="DQ400" s="1"/>
  <c r="DQ401" s="1"/>
  <c r="DQ402" s="1"/>
  <c r="DQ403" s="1"/>
  <c r="DQ404" s="1"/>
  <c r="DQ405" s="1"/>
  <c r="DQ406" s="1"/>
  <c r="DQ407" s="1"/>
  <c r="DQ408" s="1"/>
  <c r="DQ409" s="1"/>
  <c r="DQ410" s="1"/>
  <c r="DQ411" s="1"/>
  <c r="DQ412" s="1"/>
  <c r="DQ413" s="1"/>
  <c r="DQ414" s="1"/>
  <c r="DQ415" s="1"/>
  <c r="DQ416" s="1"/>
  <c r="DQ417" s="1"/>
  <c r="DQ418" s="1"/>
  <c r="DQ419" s="1"/>
  <c r="DQ420" s="1"/>
  <c r="DQ421" s="1"/>
  <c r="DQ422" s="1"/>
  <c r="DQ423" s="1"/>
  <c r="DQ424" s="1"/>
  <c r="DQ425" s="1"/>
  <c r="DQ426" s="1"/>
  <c r="DQ427" s="1"/>
  <c r="DQ428" s="1"/>
  <c r="DQ429" s="1"/>
  <c r="DQ430" s="1"/>
  <c r="DQ431" s="1"/>
  <c r="DQ432" s="1"/>
  <c r="DQ433" s="1"/>
  <c r="DQ434" s="1"/>
  <c r="DQ435" s="1"/>
  <c r="DQ436" s="1"/>
  <c r="DQ437" s="1"/>
  <c r="DQ438" s="1"/>
  <c r="DQ439" s="1"/>
  <c r="DQ440" s="1"/>
  <c r="DQ441" s="1"/>
  <c r="DQ442" s="1"/>
  <c r="DQ443" s="1"/>
  <c r="DQ444" s="1"/>
  <c r="DQ445" s="1"/>
  <c r="DQ446" s="1"/>
  <c r="DQ447" s="1"/>
  <c r="DQ448" s="1"/>
  <c r="DQ449" s="1"/>
  <c r="DQ450" s="1"/>
  <c r="DQ451" s="1"/>
  <c r="DQ452" s="1"/>
  <c r="DQ453" s="1"/>
  <c r="DQ454" s="1"/>
  <c r="DQ455" s="1"/>
  <c r="DQ456" s="1"/>
  <c r="DQ457" s="1"/>
  <c r="DQ458" s="1"/>
  <c r="DQ459" s="1"/>
  <c r="DQ460" s="1"/>
  <c r="DQ461" s="1"/>
  <c r="DQ462" s="1"/>
  <c r="DQ463" s="1"/>
  <c r="DQ464" s="1"/>
  <c r="DQ465" s="1"/>
  <c r="DQ466" s="1"/>
  <c r="DQ467" s="1"/>
  <c r="DQ468" s="1"/>
  <c r="DQ469" s="1"/>
  <c r="DQ470" s="1"/>
  <c r="DQ471" s="1"/>
  <c r="DQ472" s="1"/>
  <c r="DQ473" s="1"/>
  <c r="DQ474" s="1"/>
  <c r="DQ475" s="1"/>
  <c r="DQ476" s="1"/>
  <c r="DQ477" s="1"/>
  <c r="DQ478" s="1"/>
  <c r="DQ479" s="1"/>
  <c r="DQ480" s="1"/>
  <c r="DQ481" s="1"/>
  <c r="DQ482" s="1"/>
  <c r="DQ483" s="1"/>
  <c r="DQ484" s="1"/>
  <c r="DQ485" s="1"/>
  <c r="DQ486" s="1"/>
  <c r="DQ487" s="1"/>
  <c r="DQ488" s="1"/>
  <c r="DQ489" s="1"/>
  <c r="DQ490" s="1"/>
  <c r="DQ491" s="1"/>
  <c r="DQ492" s="1"/>
  <c r="DQ493" s="1"/>
  <c r="DQ494" s="1"/>
  <c r="DQ495" s="1"/>
  <c r="DQ496" s="1"/>
  <c r="DQ497" s="1"/>
  <c r="DQ498" s="1"/>
  <c r="DQ499" s="1"/>
  <c r="DQ500" s="1"/>
  <c r="DQ501" s="1"/>
  <c r="DQ502" s="1"/>
  <c r="DQ503" s="1"/>
  <c r="DQ504" s="1"/>
  <c r="DQ505" s="1"/>
  <c r="DQ506" s="1"/>
  <c r="DQ507" s="1"/>
  <c r="DQ508" s="1"/>
  <c r="DQ509" s="1"/>
  <c r="DQ510" s="1"/>
  <c r="DQ511" s="1"/>
  <c r="DQ512" s="1"/>
  <c r="DQ513" s="1"/>
  <c r="DQ514" s="1"/>
  <c r="DS32"/>
  <c r="DU32" s="1"/>
  <c r="DI31"/>
  <c r="AM21" i="10"/>
  <c r="AU21" s="1"/>
  <c r="AW19"/>
  <c r="AN18"/>
  <c r="AV18" s="1"/>
  <c r="AL19"/>
  <c r="AO22"/>
  <c r="BY32" i="12" l="1"/>
  <c r="CK32"/>
  <c r="DI32"/>
  <c r="AM19" i="10"/>
  <c r="AU19" s="1"/>
  <c r="AW22"/>
  <c r="AN21"/>
  <c r="AV21" s="1"/>
  <c r="AO27"/>
  <c r="AL22"/>
  <c r="AM22"/>
  <c r="AU22" s="1"/>
  <c r="AW27"/>
  <c r="AN19"/>
  <c r="AV19" s="1"/>
  <c r="AL27"/>
  <c r="AO23"/>
  <c r="AT20"/>
  <c r="BA20" s="1"/>
  <c r="BH21"/>
  <c r="BK21" s="1"/>
  <c r="AT26"/>
  <c r="BA26" s="1"/>
  <c r="BH27"/>
  <c r="BK27" s="1"/>
  <c r="AN22"/>
  <c r="AV22" s="1"/>
  <c r="AT19"/>
  <c r="BA19" s="1"/>
  <c r="BH20"/>
  <c r="BK20" s="1"/>
  <c r="AT22"/>
  <c r="BA22" s="1"/>
  <c r="BH23"/>
  <c r="BK23" s="1"/>
  <c r="AT21"/>
  <c r="BA21" s="1"/>
  <c r="BH22"/>
  <c r="BK22" s="1"/>
  <c r="AT29"/>
  <c r="BA29" s="1"/>
  <c r="BH30"/>
  <c r="BK30" s="1"/>
  <c r="AT18"/>
  <c r="AT24"/>
  <c r="BA24" s="1"/>
  <c r="BH25"/>
  <c r="BK25" s="1"/>
  <c r="AT27"/>
  <c r="BA27" s="1"/>
  <c r="BH28"/>
  <c r="BK28" s="1"/>
  <c r="AW23"/>
  <c r="AT25"/>
  <c r="BA25" s="1"/>
  <c r="BH26"/>
  <c r="BK26" s="1"/>
  <c r="D12"/>
  <c r="AM27"/>
  <c r="AU27" s="1"/>
  <c r="AT28"/>
  <c r="BA28" s="1"/>
  <c r="BH29"/>
  <c r="BK29" s="1"/>
  <c r="AL23"/>
  <c r="AN27"/>
  <c r="AV27" s="1"/>
  <c r="AI14"/>
  <c r="AT23"/>
  <c r="AM23"/>
  <c r="AU23" s="1"/>
  <c r="AI18"/>
  <c r="AI29"/>
  <c r="AN23"/>
  <c r="AV23" s="1"/>
  <c r="D13"/>
  <c r="AQ29"/>
  <c r="AQ18"/>
  <c r="AI21"/>
  <c r="AI25"/>
  <c r="AI26"/>
  <c r="AI23"/>
  <c r="AI20"/>
  <c r="AI24"/>
  <c r="AI27"/>
  <c r="AI28"/>
  <c r="AI22"/>
  <c r="AI19"/>
  <c r="AQ25"/>
  <c r="AQ19"/>
  <c r="AQ23"/>
  <c r="AQ20"/>
  <c r="AQ24"/>
  <c r="AJ14"/>
  <c r="AQ27"/>
  <c r="AQ21"/>
  <c r="AQ28"/>
  <c r="AQ22"/>
  <c r="AQ26"/>
  <c r="AJ18"/>
  <c r="AJ23"/>
  <c r="D16"/>
  <c r="AK23"/>
  <c r="AS23" s="1"/>
  <c r="BA23"/>
  <c r="BH24"/>
  <c r="BK24" s="1"/>
  <c r="AR23"/>
  <c r="AK18"/>
  <c r="AS18" s="1"/>
  <c r="AR18"/>
  <c r="AJ20"/>
  <c r="AJ25"/>
  <c r="AJ22"/>
  <c r="AJ26"/>
  <c r="AJ21"/>
  <c r="AJ29"/>
  <c r="AJ24"/>
  <c r="AJ28"/>
  <c r="AJ27"/>
  <c r="AJ19"/>
  <c r="AR27"/>
  <c r="AR22"/>
  <c r="AR24"/>
  <c r="AR20"/>
  <c r="AR19"/>
  <c r="AK24"/>
  <c r="AS24" s="1"/>
  <c r="AK26"/>
  <c r="AS26" s="1"/>
  <c r="AK20"/>
  <c r="AS20" s="1"/>
  <c r="AK28"/>
  <c r="AS28" s="1"/>
  <c r="AR21"/>
  <c r="AK25"/>
  <c r="AS25" s="1"/>
  <c r="AR28"/>
  <c r="AK21"/>
  <c r="AS21" s="1"/>
  <c r="AR25"/>
  <c r="AK29"/>
  <c r="AS29" s="1"/>
  <c r="AK22"/>
  <c r="AS22" s="1"/>
  <c r="AK27"/>
  <c r="AS27" s="1"/>
  <c r="AR29"/>
  <c r="AP14"/>
  <c r="AK19"/>
  <c r="AS19" s="1"/>
  <c r="AR26"/>
  <c r="AP19"/>
  <c r="AP26"/>
  <c r="AX26"/>
  <c r="AX19"/>
  <c r="BA18"/>
  <c r="AP22"/>
  <c r="AP18"/>
  <c r="AX18"/>
  <c r="J14"/>
  <c r="J11"/>
  <c r="D11"/>
  <c r="AX22"/>
  <c r="AP27"/>
  <c r="AP29"/>
  <c r="AP28"/>
  <c r="AP24"/>
  <c r="AP25"/>
  <c r="AP20"/>
  <c r="Q18" a="1"/>
  <c r="AP23"/>
  <c r="AP21"/>
  <c r="BP18" a="1"/>
  <c r="BP151"/>
  <c r="BP63"/>
  <c r="BP77"/>
  <c r="BP444"/>
  <c r="BP403"/>
  <c r="BP71"/>
  <c r="BP425"/>
  <c r="BP479"/>
  <c r="BP414"/>
  <c r="BP175"/>
  <c r="BP70"/>
  <c r="BP406"/>
  <c r="BP383"/>
  <c r="BP338"/>
  <c r="BP196"/>
  <c r="BP458"/>
  <c r="BP424"/>
  <c r="BP56"/>
  <c r="BP115"/>
  <c r="BP428"/>
  <c r="BP184"/>
  <c r="BP391"/>
  <c r="BP24"/>
  <c r="BP267"/>
  <c r="BP122"/>
  <c r="BP494"/>
  <c r="BP367"/>
  <c r="BP229"/>
  <c r="BP295"/>
  <c r="BP366"/>
  <c r="BP191"/>
  <c r="BP512"/>
  <c r="BP490"/>
  <c r="BP305"/>
  <c r="BP354"/>
  <c r="BP273"/>
  <c r="BP168"/>
  <c r="BP412"/>
  <c r="BP327"/>
  <c r="BP480"/>
  <c r="BP489"/>
  <c r="BP247"/>
  <c r="BP88"/>
  <c r="BP76"/>
  <c r="BP349"/>
  <c r="BP155"/>
  <c r="BP189"/>
  <c r="BP18"/>
  <c r="BP176"/>
  <c r="BP451"/>
  <c r="BP368"/>
  <c r="BP252"/>
  <c r="BP404"/>
  <c r="BP23"/>
  <c r="BP198"/>
  <c r="BP41"/>
  <c r="BP487"/>
  <c r="BP101"/>
  <c r="BP66"/>
  <c r="BP92"/>
  <c r="BP209"/>
  <c r="BP459"/>
  <c r="BP154"/>
  <c r="BP30"/>
  <c r="BP119"/>
  <c r="BP205"/>
  <c r="BP330"/>
  <c r="BP415"/>
  <c r="BP356"/>
  <c r="BP293"/>
  <c r="BP233"/>
  <c r="BP265"/>
  <c r="BP86"/>
  <c r="BP387"/>
  <c r="BP509"/>
  <c r="BP165"/>
  <c r="BP464"/>
  <c r="BP452"/>
  <c r="BP345"/>
  <c r="BP315"/>
  <c r="BP264"/>
  <c r="BP187"/>
  <c r="BP358"/>
  <c r="Q405"/>
  <c r="Q217"/>
  <c r="Q426"/>
  <c r="Q111"/>
  <c r="Q160"/>
  <c r="Q496"/>
  <c r="Q203"/>
  <c r="Q109"/>
  <c r="Q90"/>
  <c r="Q94"/>
  <c r="Q128"/>
  <c r="Q177"/>
  <c r="Q354"/>
  <c r="Q507"/>
  <c r="Q24"/>
  <c r="Q303"/>
  <c r="Q245"/>
  <c r="Q430"/>
  <c r="Q437"/>
  <c r="Q254"/>
  <c r="Q476"/>
  <c r="Q504"/>
  <c r="Q419"/>
  <c r="Q161"/>
  <c r="Q492"/>
  <c r="Q420"/>
  <c r="Q323"/>
  <c r="Q484"/>
  <c r="Q210"/>
  <c r="Q267"/>
  <c r="Q35"/>
  <c r="Q170"/>
  <c r="Q181"/>
  <c r="Q95"/>
  <c r="Q489"/>
  <c r="Q326"/>
  <c r="Q56"/>
  <c r="Q366"/>
  <c r="Q397"/>
  <c r="Q338"/>
  <c r="Q114"/>
  <c r="Q242"/>
  <c r="Q189"/>
  <c r="Q151"/>
  <c r="Q197"/>
  <c r="Q300"/>
  <c r="Q315"/>
  <c r="Q394"/>
  <c r="Q41"/>
  <c r="Q440"/>
  <c r="Q391"/>
  <c r="Q184"/>
  <c r="Q100"/>
  <c r="Q393"/>
  <c r="Q106"/>
  <c r="Q243"/>
  <c r="Q202"/>
  <c r="Q477"/>
  <c r="Q226"/>
  <c r="Q352"/>
  <c r="Q43"/>
  <c r="Q252"/>
  <c r="Q319"/>
  <c r="Q353"/>
  <c r="Q83"/>
  <c r="Q384"/>
  <c r="Q503"/>
  <c r="Q410"/>
  <c r="Q148"/>
  <c r="Q330"/>
  <c r="Q122"/>
  <c r="AX27"/>
  <c r="Q232"/>
  <c r="Q351"/>
  <c r="Q432"/>
  <c r="Q174"/>
  <c r="Q207"/>
  <c r="Q206"/>
  <c r="AX28"/>
  <c r="Q155"/>
  <c r="Q259"/>
  <c r="Q340"/>
  <c r="Q152"/>
  <c r="Q497"/>
  <c r="BP352"/>
  <c r="BP52"/>
  <c r="BP288"/>
  <c r="BP159"/>
  <c r="BP149"/>
  <c r="BP516"/>
  <c r="BP307"/>
  <c r="BP287"/>
  <c r="BP245"/>
  <c r="BP160"/>
  <c r="BP254"/>
  <c r="BP59"/>
  <c r="BP491"/>
  <c r="BP282"/>
  <c r="BP106"/>
  <c r="BP405"/>
  <c r="BP211"/>
  <c r="BP99"/>
  <c r="BP396"/>
  <c r="BP321"/>
  <c r="BP465"/>
  <c r="BP337"/>
  <c r="BP313"/>
  <c r="BP50"/>
  <c r="BP166"/>
  <c r="BP145"/>
  <c r="BP107"/>
  <c r="BP439"/>
  <c r="BP188"/>
  <c r="BP157"/>
  <c r="BP248"/>
  <c r="BP400"/>
  <c r="BP456"/>
  <c r="BP225"/>
  <c r="BP394"/>
  <c r="BP432"/>
  <c r="BP141"/>
  <c r="BP193"/>
  <c r="BP89"/>
  <c r="BP407"/>
  <c r="BP423"/>
  <c r="BP38"/>
  <c r="BP137"/>
  <c r="BP180"/>
  <c r="BP294"/>
  <c r="BP117"/>
  <c r="BP395"/>
  <c r="BP386"/>
  <c r="BP232"/>
  <c r="BP204"/>
  <c r="BP468"/>
  <c r="BP19"/>
  <c r="BP382"/>
  <c r="BP123"/>
  <c r="BP228"/>
  <c r="BP242"/>
  <c r="BP231"/>
  <c r="BP283"/>
  <c r="BP508"/>
  <c r="BP289"/>
  <c r="BP419"/>
  <c r="BP210"/>
  <c r="BP370"/>
  <c r="BP311"/>
  <c r="BP472"/>
  <c r="BP365"/>
  <c r="BP429"/>
  <c r="BP507"/>
  <c r="BP27"/>
  <c r="BP139"/>
  <c r="BP138"/>
  <c r="BP306"/>
  <c r="BP373"/>
  <c r="BP318"/>
  <c r="BP453"/>
  <c r="BP302"/>
  <c r="BP381"/>
  <c r="BP361"/>
  <c r="BP172"/>
  <c r="BP95"/>
  <c r="BP275"/>
  <c r="BP147"/>
  <c r="BP329"/>
  <c r="Q80"/>
  <c r="Q198"/>
  <c r="Q302"/>
  <c r="Q185"/>
  <c r="Q355"/>
  <c r="Q193"/>
  <c r="Q404"/>
  <c r="Q445"/>
  <c r="Q124"/>
  <c r="Q348"/>
  <c r="Q79"/>
  <c r="Q350"/>
  <c r="Q91"/>
  <c r="Q146"/>
  <c r="Q105"/>
  <c r="Q73"/>
  <c r="Q482"/>
  <c r="Q270"/>
  <c r="Q383"/>
  <c r="Q60"/>
  <c r="Q481"/>
  <c r="Q329"/>
  <c r="Q314"/>
  <c r="Q102"/>
  <c r="Q30"/>
  <c r="Q158"/>
  <c r="Q143"/>
  <c r="Q172"/>
  <c r="Q396"/>
  <c r="Q448"/>
  <c r="Q305"/>
  <c r="Q31"/>
  <c r="Q45"/>
  <c r="Q191"/>
  <c r="Q209"/>
  <c r="Q373"/>
  <c r="Q431"/>
  <c r="Q248"/>
  <c r="Q475"/>
  <c r="Q295"/>
  <c r="Q407"/>
  <c r="Q311"/>
  <c r="Q54"/>
  <c r="Q444"/>
  <c r="Q274"/>
  <c r="Q318"/>
  <c r="Q173"/>
  <c r="Q276"/>
  <c r="Q215"/>
  <c r="Q19"/>
  <c r="Q471"/>
  <c r="Q67"/>
  <c r="Q454"/>
  <c r="Q179"/>
  <c r="Q357"/>
  <c r="Q147"/>
  <c r="Q473"/>
  <c r="Q22"/>
  <c r="Q304"/>
  <c r="Q233"/>
  <c r="Q280"/>
  <c r="Q256"/>
  <c r="Q196"/>
  <c r="Q92"/>
  <c r="Q25"/>
  <c r="Q272"/>
  <c r="Q42"/>
  <c r="Q364"/>
  <c r="Q133"/>
  <c r="Q294"/>
  <c r="Q266"/>
  <c r="Q140"/>
  <c r="Q87"/>
  <c r="Q460"/>
  <c r="Q378"/>
  <c r="Q112"/>
  <c r="Q107"/>
  <c r="Q296"/>
  <c r="Q307"/>
  <c r="Q113"/>
  <c r="Q346"/>
  <c r="Q188"/>
  <c r="Q512"/>
  <c r="Q434"/>
  <c r="Q260"/>
  <c r="Q211"/>
  <c r="Q414"/>
  <c r="Q510"/>
  <c r="Q69"/>
  <c r="Q108"/>
  <c r="Q369"/>
  <c r="Q39"/>
  <c r="Q511"/>
  <c r="Q144"/>
  <c r="Q162"/>
  <c r="J12"/>
  <c r="BP340"/>
  <c r="BP169"/>
  <c r="BP25"/>
  <c r="BP339"/>
  <c r="BP310"/>
  <c r="BP62"/>
  <c r="BP213"/>
  <c r="BP303"/>
  <c r="BP441"/>
  <c r="BP462"/>
  <c r="BP36"/>
  <c r="BP502"/>
  <c r="BP47"/>
  <c r="BP190"/>
  <c r="BP504"/>
  <c r="BP136"/>
  <c r="BP185"/>
  <c r="BP301"/>
  <c r="BP455"/>
  <c r="BP100"/>
  <c r="BP467"/>
  <c r="BP446"/>
  <c r="BP219"/>
  <c r="BP83"/>
  <c r="BP60"/>
  <c r="BP484"/>
  <c r="BP21"/>
  <c r="BP393"/>
  <c r="BP379"/>
  <c r="BP409"/>
  <c r="BP501"/>
  <c r="BP457"/>
  <c r="BP503"/>
  <c r="BP347"/>
  <c r="BP309"/>
  <c r="BP466"/>
  <c r="BP146"/>
  <c r="BP385"/>
  <c r="BP156"/>
  <c r="BP469"/>
  <c r="BP93"/>
  <c r="BP215"/>
  <c r="BP416"/>
  <c r="BP353"/>
  <c r="BP55"/>
  <c r="BP421"/>
  <c r="BP29"/>
  <c r="BP476"/>
  <c r="BP69"/>
  <c r="BP447"/>
  <c r="BP442"/>
  <c r="BP392"/>
  <c r="BP271"/>
  <c r="BP449"/>
  <c r="BP234"/>
  <c r="BP274"/>
  <c r="BP73"/>
  <c r="BP250"/>
  <c r="BP80"/>
  <c r="BP57"/>
  <c r="BP230"/>
  <c r="BP163"/>
  <c r="BP514"/>
  <c r="BP216"/>
  <c r="BP202"/>
  <c r="BP133"/>
  <c r="BP343"/>
  <c r="BP237"/>
  <c r="BP435"/>
  <c r="BP430"/>
  <c r="BP384"/>
  <c r="BP40"/>
  <c r="BP114"/>
  <c r="BP240"/>
  <c r="BP493"/>
  <c r="BP221"/>
  <c r="BP268"/>
  <c r="BP485"/>
  <c r="BP182"/>
  <c r="BP96"/>
  <c r="BP183"/>
  <c r="BP58"/>
  <c r="BP335"/>
  <c r="AX23"/>
  <c r="Q21"/>
  <c r="Q395"/>
  <c r="Q331"/>
  <c r="Q417"/>
  <c r="Q361"/>
  <c r="Q297"/>
  <c r="Q358"/>
  <c r="Q182"/>
  <c r="Q363"/>
  <c r="Q123"/>
  <c r="Q81"/>
  <c r="Q422"/>
  <c r="Q337"/>
  <c r="Q428"/>
  <c r="Q249"/>
  <c r="Q466"/>
  <c r="Q265"/>
  <c r="Q382"/>
  <c r="Q74"/>
  <c r="Q75"/>
  <c r="Q261"/>
  <c r="Q200"/>
  <c r="Q156"/>
  <c r="Q281"/>
  <c r="Q65"/>
  <c r="Q116"/>
  <c r="Q446"/>
  <c r="Q134"/>
  <c r="Q221"/>
  <c r="Q219"/>
  <c r="Q450"/>
  <c r="Q82"/>
  <c r="Q131"/>
  <c r="Q142"/>
  <c r="Q435"/>
  <c r="Q472"/>
  <c r="Q127"/>
  <c r="Q23"/>
  <c r="Q59"/>
  <c r="Q283"/>
  <c r="Q212"/>
  <c r="Q208"/>
  <c r="Q456"/>
  <c r="Q176"/>
  <c r="Q514"/>
  <c r="Q380"/>
  <c r="Q328"/>
  <c r="Q145"/>
  <c r="Q322"/>
  <c r="Q225"/>
  <c r="Q408"/>
  <c r="Q459"/>
  <c r="Q455"/>
  <c r="Q467"/>
  <c r="Q365"/>
  <c r="Q399"/>
  <c r="Q488"/>
  <c r="Q138"/>
  <c r="Q104"/>
  <c r="Q190"/>
  <c r="Q66"/>
  <c r="Q130"/>
  <c r="Q502"/>
  <c r="Q468"/>
  <c r="Q409"/>
  <c r="BP483"/>
  <c r="BP281"/>
  <c r="BP97"/>
  <c r="BP178"/>
  <c r="BP399"/>
  <c r="BP113"/>
  <c r="BP32"/>
  <c r="BP39"/>
  <c r="BP326"/>
  <c r="BP506"/>
  <c r="BP280"/>
  <c r="BP127"/>
  <c r="BP45"/>
  <c r="BP296"/>
  <c r="BP317"/>
  <c r="BP378"/>
  <c r="BP197"/>
  <c r="BP500"/>
  <c r="BP473"/>
  <c r="BP126"/>
  <c r="BP143"/>
  <c r="BP413"/>
  <c r="BP256"/>
  <c r="BP434"/>
  <c r="BP72"/>
  <c r="BP111"/>
  <c r="BP292"/>
  <c r="BP312"/>
  <c r="BP238"/>
  <c r="BP102"/>
  <c r="BP331"/>
  <c r="BP208"/>
  <c r="BP43"/>
  <c r="BP261"/>
  <c r="BP333"/>
  <c r="BP20"/>
  <c r="BP376"/>
  <c r="BP482"/>
  <c r="BP87"/>
  <c r="BP517"/>
  <c r="BP249"/>
  <c r="BP443"/>
  <c r="BP371"/>
  <c r="BP298"/>
  <c r="BP346"/>
  <c r="BP130"/>
  <c r="BP217"/>
  <c r="BP322"/>
  <c r="BP103"/>
  <c r="BP515"/>
  <c r="BP227"/>
  <c r="BP372"/>
  <c r="BP314"/>
  <c r="BP44"/>
  <c r="BP334"/>
  <c r="BP374"/>
  <c r="BP200"/>
  <c r="BP239"/>
  <c r="BP135"/>
  <c r="BP125"/>
  <c r="BP22"/>
  <c r="BP51"/>
  <c r="BP474"/>
  <c r="BP222"/>
  <c r="BP336"/>
  <c r="BP174"/>
  <c r="BP402"/>
  <c r="BP375"/>
  <c r="BP324"/>
  <c r="BP427"/>
  <c r="BP325"/>
  <c r="BP26"/>
  <c r="BP246"/>
  <c r="BP461"/>
  <c r="BP33"/>
  <c r="BP223"/>
  <c r="BP108"/>
  <c r="BP35"/>
  <c r="BP131"/>
  <c r="BP34"/>
  <c r="BP152"/>
  <c r="BP64"/>
  <c r="BP218"/>
  <c r="AX21"/>
  <c r="Q345"/>
  <c r="Q423"/>
  <c r="Q452"/>
  <c r="Q498"/>
  <c r="Q235"/>
  <c r="Q289"/>
  <c r="Q46"/>
  <c r="Q478"/>
  <c r="Q120"/>
  <c r="Q343"/>
  <c r="Q72"/>
  <c r="Q150"/>
  <c r="Q169"/>
  <c r="Q462"/>
  <c r="Q513"/>
  <c r="Q362"/>
  <c r="Q324"/>
  <c r="Q483"/>
  <c r="Q264"/>
  <c r="Q470"/>
  <c r="Q86"/>
  <c r="Q487"/>
  <c r="Q18"/>
  <c r="Q367"/>
  <c r="Q403"/>
  <c r="Q136"/>
  <c r="Q402"/>
  <c r="Q457"/>
  <c r="Q424"/>
  <c r="Q187"/>
  <c r="Q57"/>
  <c r="Q433"/>
  <c r="Q506"/>
  <c r="Q392"/>
  <c r="Q93"/>
  <c r="Q490"/>
  <c r="Q257"/>
  <c r="Q64"/>
  <c r="Q149"/>
  <c r="Q103"/>
  <c r="Q464"/>
  <c r="Q223"/>
  <c r="Q375"/>
  <c r="Q412"/>
  <c r="Q227"/>
  <c r="Q443"/>
  <c r="Q126"/>
  <c r="Q250"/>
  <c r="Q505"/>
  <c r="Q458"/>
  <c r="Q141"/>
  <c r="Q166"/>
  <c r="Q275"/>
  <c r="Q70"/>
  <c r="Q398"/>
  <c r="Q499"/>
  <c r="Q129"/>
  <c r="AX24"/>
  <c r="BP436"/>
  <c r="BP492"/>
  <c r="BP170"/>
  <c r="BP348"/>
  <c r="BP418"/>
  <c r="BP65"/>
  <c r="BP350"/>
  <c r="BP124"/>
  <c r="BP297"/>
  <c r="BP91"/>
  <c r="BP199"/>
  <c r="BP85"/>
  <c r="BP380"/>
  <c r="BP341"/>
  <c r="BP224"/>
  <c r="BP285"/>
  <c r="BP478"/>
  <c r="BP118"/>
  <c r="BP258"/>
  <c r="BP212"/>
  <c r="BP463"/>
  <c r="BP109"/>
  <c r="BP445"/>
  <c r="BP116"/>
  <c r="BP53"/>
  <c r="BP46"/>
  <c r="BP150"/>
  <c r="BP291"/>
  <c r="BP511"/>
  <c r="BP54"/>
  <c r="BP28"/>
  <c r="BP401"/>
  <c r="BP470"/>
  <c r="BP201"/>
  <c r="BP161"/>
  <c r="BP278"/>
  <c r="BP253"/>
  <c r="BP192"/>
  <c r="BP48"/>
  <c r="BP158"/>
  <c r="BP362"/>
  <c r="BP410"/>
  <c r="BP162"/>
  <c r="BP355"/>
  <c r="BP144"/>
  <c r="BP300"/>
  <c r="BP121"/>
  <c r="BP284"/>
  <c r="BP177"/>
  <c r="BP357"/>
  <c r="BP98"/>
  <c r="BP388"/>
  <c r="BP75"/>
  <c r="BP431"/>
  <c r="BP214"/>
  <c r="BP499"/>
  <c r="BP320"/>
  <c r="BP81"/>
  <c r="BP262"/>
  <c r="BP279"/>
  <c r="BP167"/>
  <c r="BP364"/>
  <c r="BP323"/>
  <c r="BP272"/>
  <c r="BP390"/>
  <c r="BP450"/>
  <c r="BP244"/>
  <c r="BP438"/>
  <c r="BP308"/>
  <c r="BP332"/>
  <c r="BP226"/>
  <c r="BP495"/>
  <c r="BP164"/>
  <c r="BP505"/>
  <c r="BP235"/>
  <c r="BP328"/>
  <c r="BP82"/>
  <c r="BP269"/>
  <c r="BP477"/>
  <c r="BP486"/>
  <c r="BP304"/>
  <c r="BP251"/>
  <c r="BP129"/>
  <c r="BP260"/>
  <c r="Q20"/>
  <c r="Q85"/>
  <c r="Q49"/>
  <c r="Q99"/>
  <c r="Q453"/>
  <c r="Q339"/>
  <c r="Q121"/>
  <c r="Q325"/>
  <c r="Q137"/>
  <c r="Q418"/>
  <c r="Q47"/>
  <c r="Q336"/>
  <c r="Q32"/>
  <c r="Q371"/>
  <c r="Q164"/>
  <c r="Q411"/>
  <c r="Q97"/>
  <c r="Q27"/>
  <c r="Q159"/>
  <c r="Q50"/>
  <c r="Q168"/>
  <c r="Q236"/>
  <c r="Q381"/>
  <c r="Q279"/>
  <c r="Q163"/>
  <c r="Q228"/>
  <c r="Q313"/>
  <c r="Q310"/>
  <c r="Q135"/>
  <c r="Q301"/>
  <c r="Q175"/>
  <c r="Q480"/>
  <c r="Q285"/>
  <c r="Q359"/>
  <c r="Q515"/>
  <c r="Q494"/>
  <c r="Q416"/>
  <c r="Q334"/>
  <c r="Q491"/>
  <c r="Q262"/>
  <c r="Q240"/>
  <c r="Q269"/>
  <c r="Q40"/>
  <c r="Q258"/>
  <c r="Q51"/>
  <c r="Q386"/>
  <c r="Q461"/>
  <c r="Q356"/>
  <c r="Q306"/>
  <c r="Q389"/>
  <c r="Q501"/>
  <c r="Q199"/>
  <c r="Q77"/>
  <c r="Q385"/>
  <c r="Q101"/>
  <c r="Q509"/>
  <c r="Q167"/>
  <c r="Q263"/>
  <c r="Q421"/>
  <c r="Q186"/>
  <c r="Q178"/>
  <c r="Q68"/>
  <c r="Q288"/>
  <c r="Q52"/>
  <c r="Q406"/>
  <c r="Q239"/>
  <c r="Q165"/>
  <c r="Q442"/>
  <c r="Q299"/>
  <c r="Q234"/>
  <c r="Q98"/>
  <c r="Q224"/>
  <c r="Q110"/>
  <c r="Q247"/>
  <c r="Q413"/>
  <c r="Q255"/>
  <c r="Q154"/>
  <c r="Q125"/>
  <c r="Q508"/>
  <c r="Q427"/>
  <c r="Q308"/>
  <c r="Q278"/>
  <c r="Q253"/>
  <c r="AX25"/>
  <c r="BP351"/>
  <c r="BP140"/>
  <c r="BP369"/>
  <c r="BP171"/>
  <c r="BP276"/>
  <c r="BP510"/>
  <c r="BP299"/>
  <c r="BP422"/>
  <c r="BP471"/>
  <c r="BP411"/>
  <c r="BP277"/>
  <c r="BP460"/>
  <c r="BP42"/>
  <c r="BP207"/>
  <c r="BP360"/>
  <c r="BP105"/>
  <c r="BP236"/>
  <c r="BP270"/>
  <c r="BP408"/>
  <c r="BP290"/>
  <c r="BP195"/>
  <c r="BP31"/>
  <c r="BP440"/>
  <c r="BP112"/>
  <c r="BP496"/>
  <c r="BP498"/>
  <c r="BP120"/>
  <c r="BP132"/>
  <c r="BP286"/>
  <c r="BP454"/>
  <c r="BP110"/>
  <c r="BP153"/>
  <c r="BP417"/>
  <c r="BP186"/>
  <c r="BP420"/>
  <c r="BP206"/>
  <c r="BP74"/>
  <c r="BP181"/>
  <c r="BP426"/>
  <c r="BP61"/>
  <c r="BP344"/>
  <c r="BP389"/>
  <c r="BP241"/>
  <c r="BP68"/>
  <c r="BP342"/>
  <c r="BP263"/>
  <c r="BP67"/>
  <c r="BP78"/>
  <c r="BP220"/>
  <c r="BP84"/>
  <c r="BP179"/>
  <c r="BP363"/>
  <c r="BP259"/>
  <c r="BP37"/>
  <c r="BP148"/>
  <c r="BP488"/>
  <c r="BP194"/>
  <c r="BP316"/>
  <c r="BP104"/>
  <c r="BP203"/>
  <c r="BP266"/>
  <c r="BP90"/>
  <c r="BP433"/>
  <c r="BP481"/>
  <c r="BP397"/>
  <c r="BP513"/>
  <c r="BP398"/>
  <c r="BP173"/>
  <c r="BP142"/>
  <c r="BP94"/>
  <c r="BP497"/>
  <c r="BP134"/>
  <c r="BP448"/>
  <c r="BP243"/>
  <c r="BP49"/>
  <c r="BP128"/>
  <c r="BP257"/>
  <c r="BP359"/>
  <c r="BP79"/>
  <c r="BP437"/>
  <c r="BP255"/>
  <c r="BP319"/>
  <c r="BP377"/>
  <c r="BP475"/>
  <c r="Q349"/>
  <c r="Q231"/>
  <c r="Q118"/>
  <c r="Q291"/>
  <c r="Q390"/>
  <c r="Q370"/>
  <c r="Q205"/>
  <c r="Q237"/>
  <c r="Q213"/>
  <c r="Q439"/>
  <c r="Q244"/>
  <c r="Q465"/>
  <c r="Q220"/>
  <c r="Q38"/>
  <c r="Q495"/>
  <c r="Q29"/>
  <c r="Q246"/>
  <c r="Q61"/>
  <c r="Q286"/>
  <c r="Q332"/>
  <c r="Q222"/>
  <c r="Q374"/>
  <c r="Q360"/>
  <c r="Q309"/>
  <c r="Q388"/>
  <c r="Q171"/>
  <c r="Q241"/>
  <c r="Q438"/>
  <c r="Q96"/>
  <c r="Q88"/>
  <c r="Q153"/>
  <c r="Q368"/>
  <c r="Q76"/>
  <c r="Q183"/>
  <c r="Q194"/>
  <c r="Q449"/>
  <c r="Q268"/>
  <c r="Q335"/>
  <c r="Q493"/>
  <c r="Q447"/>
  <c r="Q115"/>
  <c r="Q293"/>
  <c r="Q132"/>
  <c r="Q201"/>
  <c r="Q415"/>
  <c r="Q218"/>
  <c r="Q429"/>
  <c r="Q271"/>
  <c r="Q400"/>
  <c r="Q229"/>
  <c r="Q216"/>
  <c r="Q372"/>
  <c r="Q139"/>
  <c r="Q517"/>
  <c r="Q192"/>
  <c r="Q180"/>
  <c r="Q463"/>
  <c r="Q436"/>
  <c r="Q78"/>
  <c r="Q474"/>
  <c r="Q26"/>
  <c r="Q282"/>
  <c r="Q284"/>
  <c r="Q387"/>
  <c r="Q479"/>
  <c r="Q53"/>
  <c r="Q376"/>
  <c r="Q516"/>
  <c r="Q55"/>
  <c r="Q333"/>
  <c r="Q63"/>
  <c r="Q469"/>
  <c r="Q36"/>
  <c r="Q316"/>
  <c r="Q37"/>
  <c r="Q451"/>
  <c r="Q84"/>
  <c r="Q290"/>
  <c r="Q342"/>
  <c r="Q89"/>
  <c r="Q62"/>
  <c r="Q379"/>
  <c r="Q230"/>
  <c r="AX20"/>
  <c r="CK14"/>
  <c r="Q344"/>
  <c r="Q119"/>
  <c r="Q71"/>
  <c r="Q48"/>
  <c r="Q425"/>
  <c r="Q500"/>
  <c r="Q238"/>
  <c r="Q347"/>
  <c r="Q33"/>
  <c r="Q34"/>
  <c r="Q341"/>
  <c r="Q320"/>
  <c r="Q401"/>
  <c r="Q327"/>
  <c r="Q321"/>
  <c r="Q44"/>
  <c r="Q28"/>
  <c r="AX29"/>
  <c r="Q377"/>
  <c r="Q441"/>
  <c r="Q204"/>
  <c r="Q157"/>
  <c r="Q117"/>
  <c r="Q485"/>
  <c r="Q58"/>
  <c r="Q312"/>
  <c r="Q317"/>
  <c r="Q486"/>
  <c r="Q292"/>
  <c r="Q214"/>
  <c r="Q298"/>
  <c r="Q273"/>
  <c r="Q195"/>
  <c r="Q287"/>
  <c r="Q277"/>
  <c r="Q251"/>
  <c r="CK18" a="1"/>
  <c r="CK156"/>
  <c r="CK361"/>
  <c r="CK246"/>
  <c r="CK40"/>
  <c r="CK275"/>
  <c r="CK70"/>
  <c r="CK296"/>
  <c r="CK509"/>
  <c r="CK343"/>
  <c r="CK390"/>
  <c r="CK241"/>
  <c r="CK129"/>
  <c r="CK242"/>
  <c r="CK347"/>
  <c r="CK181"/>
  <c r="CK219"/>
  <c r="CK51"/>
  <c r="CK74"/>
  <c r="CK173"/>
  <c r="CK53"/>
  <c r="CK238"/>
  <c r="CK428"/>
  <c r="CK28"/>
  <c r="CS28" s="1"/>
  <c r="CZ28" s="1"/>
  <c r="CK326"/>
  <c r="CK302"/>
  <c r="CK508"/>
  <c r="CK369"/>
  <c r="CK337"/>
  <c r="CK297"/>
  <c r="CK306"/>
  <c r="CK292"/>
  <c r="CK135"/>
  <c r="CK503"/>
  <c r="CK271"/>
  <c r="CK26"/>
  <c r="CS26" s="1"/>
  <c r="CZ26" s="1"/>
  <c r="CK313"/>
  <c r="CK153"/>
  <c r="CK232"/>
  <c r="CK35"/>
  <c r="CK143"/>
  <c r="CK251"/>
  <c r="CK36"/>
  <c r="CK105"/>
  <c r="CK318"/>
  <c r="CK435"/>
  <c r="CK412"/>
  <c r="CK376"/>
  <c r="CK111"/>
  <c r="CK438"/>
  <c r="CK116"/>
  <c r="CK407"/>
  <c r="CK233"/>
  <c r="CK49"/>
  <c r="CK374"/>
  <c r="CK106"/>
  <c r="CK291"/>
  <c r="CK493"/>
  <c r="CK413"/>
  <c r="CK155"/>
  <c r="CK199"/>
  <c r="CK103"/>
  <c r="CK409"/>
  <c r="CK113"/>
  <c r="CK73"/>
  <c r="CK122"/>
  <c r="CK482"/>
  <c r="CK431"/>
  <c r="CK467"/>
  <c r="CK92"/>
  <c r="CK236"/>
  <c r="CK429"/>
  <c r="CK68"/>
  <c r="CK460"/>
  <c r="CK197"/>
  <c r="CK270"/>
  <c r="CK110"/>
  <c r="CK202"/>
  <c r="CK22"/>
  <c r="CS22" s="1"/>
  <c r="CZ22" s="1"/>
  <c r="CK459"/>
  <c r="CK425"/>
  <c r="CK24"/>
  <c r="CS24" s="1"/>
  <c r="CZ24" s="1"/>
  <c r="CK62"/>
  <c r="CK323"/>
  <c r="J15"/>
  <c r="CK421"/>
  <c r="CK54"/>
  <c r="CK226"/>
  <c r="CK89"/>
  <c r="CK507"/>
  <c r="CK217"/>
  <c r="CK377"/>
  <c r="CK496"/>
  <c r="CK85"/>
  <c r="CK172"/>
  <c r="CK452"/>
  <c r="CK486"/>
  <c r="CK150"/>
  <c r="CK75"/>
  <c r="CK31"/>
  <c r="CS31"/>
  <c r="CK340"/>
  <c r="CK476"/>
  <c r="CK311"/>
  <c r="CK492"/>
  <c r="CK307"/>
  <c r="CK450"/>
  <c r="CK355"/>
  <c r="CK72"/>
  <c r="CK185"/>
  <c r="CK395"/>
  <c r="CK484"/>
  <c r="CK97"/>
  <c r="CK203"/>
  <c r="CK27"/>
  <c r="CS27" s="1"/>
  <c r="CZ27" s="1"/>
  <c r="CK137"/>
  <c r="CK220"/>
  <c r="CK399"/>
  <c r="CK188"/>
  <c r="CK365"/>
  <c r="CK131"/>
  <c r="CK82"/>
  <c r="CK178"/>
  <c r="CK454"/>
  <c r="CK255"/>
  <c r="CK516"/>
  <c r="CK308"/>
  <c r="CK61"/>
  <c r="CK231"/>
  <c r="CK362"/>
  <c r="CK464"/>
  <c r="CK333"/>
  <c r="CK310"/>
  <c r="CK38"/>
  <c r="CK142"/>
  <c r="CK439"/>
  <c r="CK309"/>
  <c r="CK182"/>
  <c r="CK404"/>
  <c r="CK170"/>
  <c r="CK325"/>
  <c r="CK64"/>
  <c r="CK50"/>
  <c r="CK469"/>
  <c r="CK141"/>
  <c r="CK147"/>
  <c r="CK440"/>
  <c r="CK163"/>
  <c r="CK77"/>
  <c r="CK491"/>
  <c r="CK289"/>
  <c r="CK148"/>
  <c r="CK258"/>
  <c r="CK465"/>
  <c r="CK299"/>
  <c r="CK174"/>
  <c r="CK118"/>
  <c r="CK497"/>
  <c r="CK211"/>
  <c r="CK330"/>
  <c r="CK437"/>
  <c r="CK261"/>
  <c r="CK427"/>
  <c r="CK352"/>
  <c r="CK500"/>
  <c r="CK422"/>
  <c r="CK71"/>
  <c r="CK201"/>
  <c r="CK375"/>
  <c r="CH14"/>
  <c r="CK235"/>
  <c r="CK458"/>
  <c r="CK384"/>
  <c r="CK400"/>
  <c r="CK221"/>
  <c r="CK95"/>
  <c r="CK298"/>
  <c r="CK285"/>
  <c r="CK504"/>
  <c r="CK79"/>
  <c r="CK166"/>
  <c r="CK60"/>
  <c r="CK398"/>
  <c r="CK312"/>
  <c r="CK499"/>
  <c r="CK474"/>
  <c r="CK378"/>
  <c r="CK358"/>
  <c r="CK468"/>
  <c r="CK402"/>
  <c r="CK104"/>
  <c r="CK126"/>
  <c r="CK417"/>
  <c r="CK253"/>
  <c r="CK136"/>
  <c r="CK350"/>
  <c r="CK260"/>
  <c r="CK184"/>
  <c r="CK290"/>
  <c r="CK293"/>
  <c r="CK98"/>
  <c r="CK287"/>
  <c r="CK334"/>
  <c r="CK283"/>
  <c r="CK109"/>
  <c r="CK396"/>
  <c r="CK485"/>
  <c r="CK510"/>
  <c r="CK59"/>
  <c r="CK342"/>
  <c r="CK354"/>
  <c r="CK204"/>
  <c r="CK114"/>
  <c r="CK321"/>
  <c r="CK86"/>
  <c r="CK368"/>
  <c r="CK81"/>
  <c r="CK107"/>
  <c r="CK456"/>
  <c r="CK353"/>
  <c r="CK300"/>
  <c r="CK240"/>
  <c r="CK46"/>
  <c r="CK403"/>
  <c r="CK420"/>
  <c r="CK513"/>
  <c r="CK372"/>
  <c r="CK42"/>
  <c r="CK434"/>
  <c r="CK386"/>
  <c r="CK134"/>
  <c r="CK206"/>
  <c r="CK455"/>
  <c r="CK159"/>
  <c r="CK218"/>
  <c r="CK183"/>
  <c r="CK259"/>
  <c r="CK91"/>
  <c r="CK140"/>
  <c r="CK345"/>
  <c r="CK478"/>
  <c r="CK227"/>
  <c r="CK382"/>
  <c r="CK446"/>
  <c r="CK351"/>
  <c r="CK101"/>
  <c r="CK329"/>
  <c r="CK267"/>
  <c r="CK160"/>
  <c r="CK93"/>
  <c r="CK43"/>
  <c r="CK216"/>
  <c r="CK165"/>
  <c r="CK225"/>
  <c r="CK193"/>
  <c r="CK490"/>
  <c r="CK230"/>
  <c r="CK234"/>
  <c r="CK344"/>
  <c r="CK505"/>
  <c r="CK294"/>
  <c r="CK133"/>
  <c r="CK332"/>
  <c r="CK278"/>
  <c r="CK37"/>
  <c r="CK281"/>
  <c r="CK269"/>
  <c r="CK442"/>
  <c r="CK286"/>
  <c r="CK214"/>
  <c r="CK117"/>
  <c r="CK66"/>
  <c r="CK30"/>
  <c r="CS30" s="1"/>
  <c r="CZ30"/>
  <c r="CK32"/>
  <c r="CK388"/>
  <c r="CK514"/>
  <c r="CK445"/>
  <c r="CK475"/>
  <c r="CK304"/>
  <c r="CK370"/>
  <c r="CK494"/>
  <c r="CK215"/>
  <c r="CK387"/>
  <c r="CK461"/>
  <c r="CK483"/>
  <c r="CK127"/>
  <c r="CK488"/>
  <c r="CK408"/>
  <c r="CK379"/>
  <c r="CK385"/>
  <c r="CK263"/>
  <c r="CK363"/>
  <c r="CK272"/>
  <c r="CK397"/>
  <c r="CK243"/>
  <c r="CK401"/>
  <c r="CK212"/>
  <c r="CK169"/>
  <c r="CK29"/>
  <c r="CS29" s="1"/>
  <c r="CZ29" s="1"/>
  <c r="CK481"/>
  <c r="CK463"/>
  <c r="CK124"/>
  <c r="CK177"/>
  <c r="CK273"/>
  <c r="CK139"/>
  <c r="CK237"/>
  <c r="CK99"/>
  <c r="CK248"/>
  <c r="CK511"/>
  <c r="CK410"/>
  <c r="CK19"/>
  <c r="CS19" s="1"/>
  <c r="CZ19" s="1"/>
  <c r="CK276"/>
  <c r="CK411"/>
  <c r="CK55"/>
  <c r="CK502"/>
  <c r="CK506"/>
  <c r="CK80"/>
  <c r="CK262"/>
  <c r="CK406"/>
  <c r="CK471"/>
  <c r="CK175"/>
  <c r="CK78"/>
  <c r="CK432"/>
  <c r="CK266"/>
  <c r="CK277"/>
  <c r="CK367"/>
  <c r="CK83"/>
  <c r="CK228"/>
  <c r="CK144"/>
  <c r="CK443"/>
  <c r="CK145"/>
  <c r="CK380"/>
  <c r="CK41"/>
  <c r="CK457"/>
  <c r="CK123"/>
  <c r="CK108"/>
  <c r="CK335"/>
  <c r="CK196"/>
  <c r="CK47"/>
  <c r="CK179"/>
  <c r="CK265"/>
  <c r="CK346"/>
  <c r="CK359"/>
  <c r="CK151"/>
  <c r="CK466"/>
  <c r="CK213"/>
  <c r="CK152"/>
  <c r="CK249"/>
  <c r="CK392"/>
  <c r="CK405"/>
  <c r="CK430"/>
  <c r="CK171"/>
  <c r="CK279"/>
  <c r="CK415"/>
  <c r="CK338"/>
  <c r="CK315"/>
  <c r="CK394"/>
  <c r="CK489"/>
  <c r="CK76"/>
  <c r="CK381"/>
  <c r="CK200"/>
  <c r="CK424"/>
  <c r="CK257"/>
  <c r="CK198"/>
  <c r="CK416"/>
  <c r="CK121"/>
  <c r="CK282"/>
  <c r="CK436"/>
  <c r="CK336"/>
  <c r="CK244"/>
  <c r="CK229"/>
  <c r="CK274"/>
  <c r="CK190"/>
  <c r="CK256"/>
  <c r="CK324"/>
  <c r="CK224"/>
  <c r="CK39"/>
  <c r="CK447"/>
  <c r="CK239"/>
  <c r="CK383"/>
  <c r="CK69"/>
  <c r="CK205"/>
  <c r="CK132"/>
  <c r="CK247"/>
  <c r="CK426"/>
  <c r="CK44"/>
  <c r="CK194"/>
  <c r="CK331"/>
  <c r="CK180"/>
  <c r="CK366"/>
  <c r="CK94"/>
  <c r="CK23"/>
  <c r="CS23" s="1"/>
  <c r="CZ23" s="1"/>
  <c r="CK495"/>
  <c r="CK348"/>
  <c r="CK512"/>
  <c r="CK288"/>
  <c r="CK195"/>
  <c r="CK168"/>
  <c r="CK477"/>
  <c r="CK448"/>
  <c r="CK119"/>
  <c r="CK364"/>
  <c r="CK360"/>
  <c r="CK316"/>
  <c r="CK371"/>
  <c r="CK112"/>
  <c r="CK470"/>
  <c r="CK100"/>
  <c r="CK389"/>
  <c r="CK341"/>
  <c r="CK25"/>
  <c r="CS25" s="1"/>
  <c r="CZ25" s="1"/>
  <c r="CK149"/>
  <c r="CK441"/>
  <c r="CK130"/>
  <c r="CK125"/>
  <c r="CK305"/>
  <c r="CK356"/>
  <c r="CK391"/>
  <c r="CK90"/>
  <c r="CK209"/>
  <c r="CK472"/>
  <c r="CK96"/>
  <c r="CK189"/>
  <c r="CK419"/>
  <c r="CK102"/>
  <c r="CK254"/>
  <c r="CK473"/>
  <c r="CK164"/>
  <c r="CK187"/>
  <c r="CK154"/>
  <c r="CK451"/>
  <c r="CK339"/>
  <c r="CK20"/>
  <c r="CS20" s="1"/>
  <c r="CZ20" s="1"/>
  <c r="CK252"/>
  <c r="CK498"/>
  <c r="CK65"/>
  <c r="CK57"/>
  <c r="CK449"/>
  <c r="CK328"/>
  <c r="CK250"/>
  <c r="CK52"/>
  <c r="CK21"/>
  <c r="CS21" s="1"/>
  <c r="CZ21" s="1"/>
  <c r="CK433"/>
  <c r="CK501"/>
  <c r="CK34"/>
  <c r="CK284"/>
  <c r="CK414"/>
  <c r="CK162"/>
  <c r="CK487"/>
  <c r="CK453"/>
  <c r="CK167"/>
  <c r="CK88"/>
  <c r="CK146"/>
  <c r="CK479"/>
  <c r="CK45"/>
  <c r="CK56"/>
  <c r="CK58"/>
  <c r="CK210"/>
  <c r="CK192"/>
  <c r="CK222"/>
  <c r="CK138"/>
  <c r="CK87"/>
  <c r="CK67"/>
  <c r="CK268"/>
  <c r="CK393"/>
  <c r="CK327"/>
  <c r="CK223"/>
  <c r="CK280"/>
  <c r="CK349"/>
  <c r="CK245"/>
  <c r="CK462"/>
  <c r="CK191"/>
  <c r="CK373"/>
  <c r="CK444"/>
  <c r="CK301"/>
  <c r="CK207"/>
  <c r="CK295"/>
  <c r="CK48"/>
  <c r="CK423"/>
  <c r="CK208"/>
  <c r="CK319"/>
  <c r="CK186"/>
  <c r="CK161"/>
  <c r="CK322"/>
  <c r="CK115"/>
  <c r="CK120"/>
  <c r="CK314"/>
  <c r="CK158"/>
  <c r="CK63"/>
  <c r="CK128"/>
  <c r="CK480"/>
  <c r="CK84"/>
  <c r="CK264"/>
  <c r="CK303"/>
  <c r="CK320"/>
  <c r="CK157"/>
  <c r="CK18"/>
  <c r="CS18" s="1"/>
  <c r="CK357"/>
  <c r="CK176"/>
  <c r="CK418"/>
  <c r="CK317"/>
  <c r="CK515"/>
  <c r="CK33"/>
  <c r="CH18" a="1"/>
  <c r="CH51"/>
  <c r="CH352"/>
  <c r="CH516"/>
  <c r="CH278"/>
  <c r="CH193"/>
  <c r="CH208"/>
  <c r="CH341"/>
  <c r="CH303"/>
  <c r="CH251"/>
  <c r="CH202"/>
  <c r="CH72"/>
  <c r="CH292"/>
  <c r="CH243"/>
  <c r="CH212"/>
  <c r="CH357"/>
  <c r="CH404"/>
  <c r="CH154"/>
  <c r="CH311"/>
  <c r="CH226"/>
  <c r="CH236"/>
  <c r="CH333"/>
  <c r="CH190"/>
  <c r="CH296"/>
  <c r="CH286"/>
  <c r="CH75"/>
  <c r="CH82"/>
  <c r="CH335"/>
  <c r="CH136"/>
  <c r="CH483"/>
  <c r="CH354"/>
  <c r="CH466"/>
  <c r="CH101"/>
  <c r="CH393"/>
  <c r="CH372"/>
  <c r="CH141"/>
  <c r="CH386"/>
  <c r="CH414"/>
  <c r="CH87"/>
  <c r="CH214"/>
  <c r="CH388"/>
  <c r="CH377"/>
  <c r="CH280"/>
  <c r="CH64"/>
  <c r="CH412"/>
  <c r="CH21"/>
  <c r="CP21" s="1"/>
  <c r="CH18"/>
  <c r="CP18" s="1"/>
  <c r="CH155"/>
  <c r="CH59"/>
  <c r="CH326"/>
  <c r="CH495"/>
  <c r="CH234"/>
  <c r="CH262"/>
  <c r="CH95"/>
  <c r="CH203"/>
  <c r="CH66"/>
  <c r="CH320"/>
  <c r="CH156"/>
  <c r="CH298"/>
  <c r="CH100"/>
  <c r="CH390"/>
  <c r="CH70"/>
  <c r="CH339"/>
  <c r="CH215"/>
  <c r="CH19"/>
  <c r="CP19" s="1"/>
  <c r="CH425"/>
  <c r="CH217"/>
  <c r="CH256"/>
  <c r="CH92"/>
  <c r="CH321"/>
  <c r="CH392"/>
  <c r="CH138"/>
  <c r="CH116"/>
  <c r="CH93"/>
  <c r="CH384"/>
  <c r="CH65"/>
  <c r="CH422"/>
  <c r="CH228"/>
  <c r="CH313"/>
  <c r="CH158"/>
  <c r="CH227"/>
  <c r="CH433"/>
  <c r="CH456"/>
  <c r="CH419"/>
  <c r="CH370"/>
  <c r="CH469"/>
  <c r="CH396"/>
  <c r="CH117"/>
  <c r="CH108"/>
  <c r="CH27"/>
  <c r="CP27" s="1"/>
  <c r="CH457"/>
  <c r="CH450"/>
  <c r="CH61"/>
  <c r="CH408"/>
  <c r="CH465"/>
  <c r="CH379"/>
  <c r="CH276"/>
  <c r="CH167"/>
  <c r="CH327"/>
  <c r="CH481"/>
  <c r="CH218"/>
  <c r="CH81"/>
  <c r="CH201"/>
  <c r="CH440"/>
  <c r="CH398"/>
  <c r="CH122"/>
  <c r="CH299"/>
  <c r="CH493"/>
  <c r="CH328"/>
  <c r="CH494"/>
  <c r="CN14"/>
  <c r="CH420"/>
  <c r="CH418"/>
  <c r="CH380"/>
  <c r="CH143"/>
  <c r="CH223"/>
  <c r="CH185"/>
  <c r="CH211"/>
  <c r="CH462"/>
  <c r="CH119"/>
  <c r="CH300"/>
  <c r="CH369"/>
  <c r="CH314"/>
  <c r="CH301"/>
  <c r="CH248"/>
  <c r="CH274"/>
  <c r="CH368"/>
  <c r="CH230"/>
  <c r="CH197"/>
  <c r="CH458"/>
  <c r="CH34"/>
  <c r="CH472"/>
  <c r="CH455"/>
  <c r="CH23"/>
  <c r="CP23" s="1"/>
  <c r="CH146"/>
  <c r="CH505"/>
  <c r="CH221"/>
  <c r="CH163"/>
  <c r="CH107"/>
  <c r="CH196"/>
  <c r="CH349"/>
  <c r="CH91"/>
  <c r="CH118"/>
  <c r="CH31"/>
  <c r="CP31"/>
  <c r="CH240"/>
  <c r="CH378"/>
  <c r="CH42"/>
  <c r="CH350"/>
  <c r="CH142"/>
  <c r="CH184"/>
  <c r="CH24"/>
  <c r="CP24" s="1"/>
  <c r="CH461"/>
  <c r="CH342"/>
  <c r="CH322"/>
  <c r="CH131"/>
  <c r="CH338"/>
  <c r="CH186"/>
  <c r="CH397"/>
  <c r="CH413"/>
  <c r="CH363"/>
  <c r="CH54"/>
  <c r="CH270"/>
  <c r="CH325"/>
  <c r="CH133"/>
  <c r="CH114"/>
  <c r="CH199"/>
  <c r="CH88"/>
  <c r="CH275"/>
  <c r="CH360"/>
  <c r="CH383"/>
  <c r="CH336"/>
  <c r="CH426"/>
  <c r="CH371"/>
  <c r="CH309"/>
  <c r="CH189"/>
  <c r="J13"/>
  <c r="CH99"/>
  <c r="CH400"/>
  <c r="CH126"/>
  <c r="CH83"/>
  <c r="CH332"/>
  <c r="CH268"/>
  <c r="CH76"/>
  <c r="CH348"/>
  <c r="CH295"/>
  <c r="CH90"/>
  <c r="CH501"/>
  <c r="CH441"/>
  <c r="CH496"/>
  <c r="CH399"/>
  <c r="CH343"/>
  <c r="CH283"/>
  <c r="CH128"/>
  <c r="CH178"/>
  <c r="CH62"/>
  <c r="CH259"/>
  <c r="CH375"/>
  <c r="CH353"/>
  <c r="CH514"/>
  <c r="CH225"/>
  <c r="CH421"/>
  <c r="CH173"/>
  <c r="CH213"/>
  <c r="CH104"/>
  <c r="CH77"/>
  <c r="CH171"/>
  <c r="CH428"/>
  <c r="CH206"/>
  <c r="CH249"/>
  <c r="CH125"/>
  <c r="CH26"/>
  <c r="CP26" s="1"/>
  <c r="CH318"/>
  <c r="CH381"/>
  <c r="CH382"/>
  <c r="CH291"/>
  <c r="CH160"/>
  <c r="CH431"/>
  <c r="CH435"/>
  <c r="CH246"/>
  <c r="CH220"/>
  <c r="CH222"/>
  <c r="CH416"/>
  <c r="CH250"/>
  <c r="CH447"/>
  <c r="CH258"/>
  <c r="CH140"/>
  <c r="CH409"/>
  <c r="CH233"/>
  <c r="CH385"/>
  <c r="CH417"/>
  <c r="CH475"/>
  <c r="CH105"/>
  <c r="CH503"/>
  <c r="CH110"/>
  <c r="CH98"/>
  <c r="CH165"/>
  <c r="CH449"/>
  <c r="CH389"/>
  <c r="CH281"/>
  <c r="CH316"/>
  <c r="CH169"/>
  <c r="CH315"/>
  <c r="CH188"/>
  <c r="CH479"/>
  <c r="CH488"/>
  <c r="CH502"/>
  <c r="CH467"/>
  <c r="CH463"/>
  <c r="CH387"/>
  <c r="CH182"/>
  <c r="CH57"/>
  <c r="CH430"/>
  <c r="CH113"/>
  <c r="CH486"/>
  <c r="CH247"/>
  <c r="CH177"/>
  <c r="CH166"/>
  <c r="CH364"/>
  <c r="CH127"/>
  <c r="CH209"/>
  <c r="CH204"/>
  <c r="CH39"/>
  <c r="CH451"/>
  <c r="CH329"/>
  <c r="CH464"/>
  <c r="CH288"/>
  <c r="CH373"/>
  <c r="CH509"/>
  <c r="CH331"/>
  <c r="CH302"/>
  <c r="CH271"/>
  <c r="CH86"/>
  <c r="CH179"/>
  <c r="CH355"/>
  <c r="CH365"/>
  <c r="CH277"/>
  <c r="CH78"/>
  <c r="CH310"/>
  <c r="CH232"/>
  <c r="CH175"/>
  <c r="CH245"/>
  <c r="CH478"/>
  <c r="CH484"/>
  <c r="CH237"/>
  <c r="CH53"/>
  <c r="CH159"/>
  <c r="CH267"/>
  <c r="CH67"/>
  <c r="CH63"/>
  <c r="CH330"/>
  <c r="CH444"/>
  <c r="CH74"/>
  <c r="CH308"/>
  <c r="CH265"/>
  <c r="CH84"/>
  <c r="CH152"/>
  <c r="CH121"/>
  <c r="CH443"/>
  <c r="CH89"/>
  <c r="CH176"/>
  <c r="CH115"/>
  <c r="CH439"/>
  <c r="CH395"/>
  <c r="CH504"/>
  <c r="CH147"/>
  <c r="CH294"/>
  <c r="CH269"/>
  <c r="CH73"/>
  <c r="CH198"/>
  <c r="CH192"/>
  <c r="CH102"/>
  <c r="CH337"/>
  <c r="CH172"/>
  <c r="CH157"/>
  <c r="CH205"/>
  <c r="CH200"/>
  <c r="CH71"/>
  <c r="CH153"/>
  <c r="CH306"/>
  <c r="CH139"/>
  <c r="CH434"/>
  <c r="CH391"/>
  <c r="CH40"/>
  <c r="CH252"/>
  <c r="CH401"/>
  <c r="CH429"/>
  <c r="CH489"/>
  <c r="CH304"/>
  <c r="CH32"/>
  <c r="CH287"/>
  <c r="CH194"/>
  <c r="CH324"/>
  <c r="CH35"/>
  <c r="CH191"/>
  <c r="CH356"/>
  <c r="CH438"/>
  <c r="CH307"/>
  <c r="CH25"/>
  <c r="CP25" s="1"/>
  <c r="CH448"/>
  <c r="CH168"/>
  <c r="CH49"/>
  <c r="CH43"/>
  <c r="CH162"/>
  <c r="CH446"/>
  <c r="CH506"/>
  <c r="CH103"/>
  <c r="CH44"/>
  <c r="CH394"/>
  <c r="CH415"/>
  <c r="CH20"/>
  <c r="CP20" s="1"/>
  <c r="CH367"/>
  <c r="CH497"/>
  <c r="CH297"/>
  <c r="CH261"/>
  <c r="CH144"/>
  <c r="CH106"/>
  <c r="CH260"/>
  <c r="CH366"/>
  <c r="CH344"/>
  <c r="CH480"/>
  <c r="CH180"/>
  <c r="CH242"/>
  <c r="CH474"/>
  <c r="CH97"/>
  <c r="CH492"/>
  <c r="CH255"/>
  <c r="CH452"/>
  <c r="CH510"/>
  <c r="CH241"/>
  <c r="CH515"/>
  <c r="CH58"/>
  <c r="CH134"/>
  <c r="CH345"/>
  <c r="CH476"/>
  <c r="CH45"/>
  <c r="CH151"/>
  <c r="CH170"/>
  <c r="CH436"/>
  <c r="CH254"/>
  <c r="CH137"/>
  <c r="CH346"/>
  <c r="CH359"/>
  <c r="CH79"/>
  <c r="CH174"/>
  <c r="CH487"/>
  <c r="CH37"/>
  <c r="CH224"/>
  <c r="CH362"/>
  <c r="CH347"/>
  <c r="CH282"/>
  <c r="CH499"/>
  <c r="CH453"/>
  <c r="CH423"/>
  <c r="CH229"/>
  <c r="CH28"/>
  <c r="CP28" s="1"/>
  <c r="CH498"/>
  <c r="CH135"/>
  <c r="CH132"/>
  <c r="CH244"/>
  <c r="CH454"/>
  <c r="CH407"/>
  <c r="CH36"/>
  <c r="CH264"/>
  <c r="CH150"/>
  <c r="CH403"/>
  <c r="CH410"/>
  <c r="CH164"/>
  <c r="CH477"/>
  <c r="CH111"/>
  <c r="CH235"/>
  <c r="CH273"/>
  <c r="CH312"/>
  <c r="CH491"/>
  <c r="CH266"/>
  <c r="CH424"/>
  <c r="CH340"/>
  <c r="CH305"/>
  <c r="CH120"/>
  <c r="CH148"/>
  <c r="CH257"/>
  <c r="CH46"/>
  <c r="CH334"/>
  <c r="CH459"/>
  <c r="CH508"/>
  <c r="CH279"/>
  <c r="CH460"/>
  <c r="CH512"/>
  <c r="CH149"/>
  <c r="CH427"/>
  <c r="CH145"/>
  <c r="CH207"/>
  <c r="CH402"/>
  <c r="CH80"/>
  <c r="CH161"/>
  <c r="CH485"/>
  <c r="CH48"/>
  <c r="CH216"/>
  <c r="CH263"/>
  <c r="CH30"/>
  <c r="CP30" s="1"/>
  <c r="CH69"/>
  <c r="CH109"/>
  <c r="CH471"/>
  <c r="CH513"/>
  <c r="CH55"/>
  <c r="CH253"/>
  <c r="CH181"/>
  <c r="CH56"/>
  <c r="CH29"/>
  <c r="CP29" s="1"/>
  <c r="CH507"/>
  <c r="CH351"/>
  <c r="CH473"/>
  <c r="CH187"/>
  <c r="CH183"/>
  <c r="CH124"/>
  <c r="CH323"/>
  <c r="CH231"/>
  <c r="CH85"/>
  <c r="CH290"/>
  <c r="CH490"/>
  <c r="CH272"/>
  <c r="CH22"/>
  <c r="CP22" s="1"/>
  <c r="CH219"/>
  <c r="CH442"/>
  <c r="CH68"/>
  <c r="CH52"/>
  <c r="CH432"/>
  <c r="CH129"/>
  <c r="CH33"/>
  <c r="CH470"/>
  <c r="CH41"/>
  <c r="CH317"/>
  <c r="CH239"/>
  <c r="CH60"/>
  <c r="CH50"/>
  <c r="CH468"/>
  <c r="CH38"/>
  <c r="CH293"/>
  <c r="CH406"/>
  <c r="CH437"/>
  <c r="CH500"/>
  <c r="CH123"/>
  <c r="CH376"/>
  <c r="CH361"/>
  <c r="CH358"/>
  <c r="CH374"/>
  <c r="CH238"/>
  <c r="CH482"/>
  <c r="CH511"/>
  <c r="CH319"/>
  <c r="CH445"/>
  <c r="CH405"/>
  <c r="CH285"/>
  <c r="CH411"/>
  <c r="CH210"/>
  <c r="CH289"/>
  <c r="CH47"/>
  <c r="CH94"/>
  <c r="CH195"/>
  <c r="CH112"/>
  <c r="CH130"/>
  <c r="CH284"/>
  <c r="CH96"/>
  <c r="CN18" a="1"/>
  <c r="CN242"/>
  <c r="CL242"/>
  <c r="CM242" s="1"/>
  <c r="CN295"/>
  <c r="CL295" s="1"/>
  <c r="CM295" s="1"/>
  <c r="CN308"/>
  <c r="CL308" s="1"/>
  <c r="CM308" s="1"/>
  <c r="CN414"/>
  <c r="CL414" s="1"/>
  <c r="CM414" s="1"/>
  <c r="CN515"/>
  <c r="CL515" s="1"/>
  <c r="CM515" s="1"/>
  <c r="CN252"/>
  <c r="CL252" s="1"/>
  <c r="CM252" s="1"/>
  <c r="CN77"/>
  <c r="CL77" s="1"/>
  <c r="CM77" s="1"/>
  <c r="CN404"/>
  <c r="CL404" s="1"/>
  <c r="CM404" s="1"/>
  <c r="CN26"/>
  <c r="CN450"/>
  <c r="CL450" s="1"/>
  <c r="CM450" s="1"/>
  <c r="CN156"/>
  <c r="CL156" s="1"/>
  <c r="CM156" s="1"/>
  <c r="CN343"/>
  <c r="CL343" s="1"/>
  <c r="CM343" s="1"/>
  <c r="CN61"/>
  <c r="CL61" s="1"/>
  <c r="CM61" s="1"/>
  <c r="CN78"/>
  <c r="CL78" s="1"/>
  <c r="CM78" s="1"/>
  <c r="CN186"/>
  <c r="CL186" s="1"/>
  <c r="CM186" s="1"/>
  <c r="CN435"/>
  <c r="CL435" s="1"/>
  <c r="CM435" s="1"/>
  <c r="CN187"/>
  <c r="CL187" s="1"/>
  <c r="CM187" s="1"/>
  <c r="CN512"/>
  <c r="CL512" s="1"/>
  <c r="CM512" s="1"/>
  <c r="CN437"/>
  <c r="CL437" s="1"/>
  <c r="CM437" s="1"/>
  <c r="CN340"/>
  <c r="CL340" s="1"/>
  <c r="CM340" s="1"/>
  <c r="CN374"/>
  <c r="CL374" s="1"/>
  <c r="CM374" s="1"/>
  <c r="CN386"/>
  <c r="CL386" s="1"/>
  <c r="CM386" s="1"/>
  <c r="CN319"/>
  <c r="CL319" s="1"/>
  <c r="CM319" s="1"/>
  <c r="CN125"/>
  <c r="CL125" s="1"/>
  <c r="CM125" s="1"/>
  <c r="CN49"/>
  <c r="CL49" s="1"/>
  <c r="CM49" s="1"/>
  <c r="CN60"/>
  <c r="CL60" s="1"/>
  <c r="CM60" s="1"/>
  <c r="CN333"/>
  <c r="CL333" s="1"/>
  <c r="CM333" s="1"/>
  <c r="CN494"/>
  <c r="CL494" s="1"/>
  <c r="CM494" s="1"/>
  <c r="CN86"/>
  <c r="CL86" s="1"/>
  <c r="CM86" s="1"/>
  <c r="CN253"/>
  <c r="CL253" s="1"/>
  <c r="CM253" s="1"/>
  <c r="CN200"/>
  <c r="CL200" s="1"/>
  <c r="CM200" s="1"/>
  <c r="CN312"/>
  <c r="CL312" s="1"/>
  <c r="CM312" s="1"/>
  <c r="CN268"/>
  <c r="CL268" s="1"/>
  <c r="CM268" s="1"/>
  <c r="CN69"/>
  <c r="CL69" s="1"/>
  <c r="CM69" s="1"/>
  <c r="CN247"/>
  <c r="CL247" s="1"/>
  <c r="CM247" s="1"/>
  <c r="CN111"/>
  <c r="CL111" s="1"/>
  <c r="CM111" s="1"/>
  <c r="CN488"/>
  <c r="CL488" s="1"/>
  <c r="CM488" s="1"/>
  <c r="CN40"/>
  <c r="CL40" s="1"/>
  <c r="CM40" s="1"/>
  <c r="CN122"/>
  <c r="CL122" s="1"/>
  <c r="CM122" s="1"/>
  <c r="CN251"/>
  <c r="CL251" s="1"/>
  <c r="CM251" s="1"/>
  <c r="CN189"/>
  <c r="CL189" s="1"/>
  <c r="CM189" s="1"/>
  <c r="CN385"/>
  <c r="CL385" s="1"/>
  <c r="CM385" s="1"/>
  <c r="CN497"/>
  <c r="CL497" s="1"/>
  <c r="CM497" s="1"/>
  <c r="CN462"/>
  <c r="CL462" s="1"/>
  <c r="CM462" s="1"/>
  <c r="CN468"/>
  <c r="CL468" s="1"/>
  <c r="CM468" s="1"/>
  <c r="CN424"/>
  <c r="CL424" s="1"/>
  <c r="CM424" s="1"/>
  <c r="CN375"/>
  <c r="CL375" s="1"/>
  <c r="CM375" s="1"/>
  <c r="CN134"/>
  <c r="CL134" s="1"/>
  <c r="CM134" s="1"/>
  <c r="CN360"/>
  <c r="CL360" s="1"/>
  <c r="CM360" s="1"/>
  <c r="CN366"/>
  <c r="CL366" s="1"/>
  <c r="CM366" s="1"/>
  <c r="CN243"/>
  <c r="CL243" s="1"/>
  <c r="CM243" s="1"/>
  <c r="CN146"/>
  <c r="CL146" s="1"/>
  <c r="CM146" s="1"/>
  <c r="CN132"/>
  <c r="CL132" s="1"/>
  <c r="CM132" s="1"/>
  <c r="CN482"/>
  <c r="CL482" s="1"/>
  <c r="CM482" s="1"/>
  <c r="CN449"/>
  <c r="CL449" s="1"/>
  <c r="CM449" s="1"/>
  <c r="CN264"/>
  <c r="CL264" s="1"/>
  <c r="CM264" s="1"/>
  <c r="CN381"/>
  <c r="CL381" s="1"/>
  <c r="CM381" s="1"/>
  <c r="CN451"/>
  <c r="CL451" s="1"/>
  <c r="CM451" s="1"/>
  <c r="CN443"/>
  <c r="CL443" s="1"/>
  <c r="CM443" s="1"/>
  <c r="CN474"/>
  <c r="CL474" s="1"/>
  <c r="CM474" s="1"/>
  <c r="CN180"/>
  <c r="CL180" s="1"/>
  <c r="CM180" s="1"/>
  <c r="CN63"/>
  <c r="CL63" s="1"/>
  <c r="CM63" s="1"/>
  <c r="CN117"/>
  <c r="CL117" s="1"/>
  <c r="CM117" s="1"/>
  <c r="CN393"/>
  <c r="CL393" s="1"/>
  <c r="CM393" s="1"/>
  <c r="CN421"/>
  <c r="CL421" s="1"/>
  <c r="CM421" s="1"/>
  <c r="CN293"/>
  <c r="CL293" s="1"/>
  <c r="CM293" s="1"/>
  <c r="CN210"/>
  <c r="CL210" s="1"/>
  <c r="CM210" s="1"/>
  <c r="CN298"/>
  <c r="CL298" s="1"/>
  <c r="CM298" s="1"/>
  <c r="CN391"/>
  <c r="CL391" s="1"/>
  <c r="CM391" s="1"/>
  <c r="CN71"/>
  <c r="CL71" s="1"/>
  <c r="CM71" s="1"/>
  <c r="CN198"/>
  <c r="CL198" s="1"/>
  <c r="CM198" s="1"/>
  <c r="CN113"/>
  <c r="CL113" s="1"/>
  <c r="CM113" s="1"/>
  <c r="CN471"/>
  <c r="CL471" s="1"/>
  <c r="CM471" s="1"/>
  <c r="CN328"/>
  <c r="CL328" s="1"/>
  <c r="CM328" s="1"/>
  <c r="CN248"/>
  <c r="CL248" s="1"/>
  <c r="CM248" s="1"/>
  <c r="CN341"/>
  <c r="CL341" s="1"/>
  <c r="CM341" s="1"/>
  <c r="CN501"/>
  <c r="CL501" s="1"/>
  <c r="CM501" s="1"/>
  <c r="CN503"/>
  <c r="CL503" s="1"/>
  <c r="CM503" s="1"/>
  <c r="CN181"/>
  <c r="CL181" s="1"/>
  <c r="CM181" s="1"/>
  <c r="CN164"/>
  <c r="CL164" s="1"/>
  <c r="CM164" s="1"/>
  <c r="CN321"/>
  <c r="CL321" s="1"/>
  <c r="CM321" s="1"/>
  <c r="CN461"/>
  <c r="CL461" s="1"/>
  <c r="CM461" s="1"/>
  <c r="CN492"/>
  <c r="CL492" s="1"/>
  <c r="CM492" s="1"/>
  <c r="CN490"/>
  <c r="CL490" s="1"/>
  <c r="CM490" s="1"/>
  <c r="CN120"/>
  <c r="CL120" s="1"/>
  <c r="CM120" s="1"/>
  <c r="CN419"/>
  <c r="CL419" s="1"/>
  <c r="CM419" s="1"/>
  <c r="CN178"/>
  <c r="CL178" s="1"/>
  <c r="CM178" s="1"/>
  <c r="CN33"/>
  <c r="CL33" s="1"/>
  <c r="CM33" s="1"/>
  <c r="CN94"/>
  <c r="CL94" s="1"/>
  <c r="CM94" s="1"/>
  <c r="CN193"/>
  <c r="CL193" s="1"/>
  <c r="CM193" s="1"/>
  <c r="CN476"/>
  <c r="CL476" s="1"/>
  <c r="CM476" s="1"/>
  <c r="CN481"/>
  <c r="CL481" s="1"/>
  <c r="CM481" s="1"/>
  <c r="CN422"/>
  <c r="CL422" s="1"/>
  <c r="CM422" s="1"/>
  <c r="CN68"/>
  <c r="CL68" s="1"/>
  <c r="CM68" s="1"/>
  <c r="CN323"/>
  <c r="CL323" s="1"/>
  <c r="CM323" s="1"/>
  <c r="CN65"/>
  <c r="CL65" s="1"/>
  <c r="CM65" s="1"/>
  <c r="CN90"/>
  <c r="CL90" s="1"/>
  <c r="CM90" s="1"/>
  <c r="CN258"/>
  <c r="CL258" s="1"/>
  <c r="CM258" s="1"/>
  <c r="CN137"/>
  <c r="CL137" s="1"/>
  <c r="CM137" s="1"/>
  <c r="CN168"/>
  <c r="CL168" s="1"/>
  <c r="CM168" s="1"/>
  <c r="CN286"/>
  <c r="CL286" s="1"/>
  <c r="CM286" s="1"/>
  <c r="CN127"/>
  <c r="CL127" s="1"/>
  <c r="CM127" s="1"/>
  <c r="CN288"/>
  <c r="CL288" s="1"/>
  <c r="CM288" s="1"/>
  <c r="CN305"/>
  <c r="CL305" s="1"/>
  <c r="CM305" s="1"/>
  <c r="CN22"/>
  <c r="CN260"/>
  <c r="CL260" s="1"/>
  <c r="CM260" s="1"/>
  <c r="CN423"/>
  <c r="CL423" s="1"/>
  <c r="CM423" s="1"/>
  <c r="CN139"/>
  <c r="CL139" s="1"/>
  <c r="CM139" s="1"/>
  <c r="CN415"/>
  <c r="CL415" s="1"/>
  <c r="CM415" s="1"/>
  <c r="CN367"/>
  <c r="CL367" s="1"/>
  <c r="CM367" s="1"/>
  <c r="CN52"/>
  <c r="CL52" s="1"/>
  <c r="CM52" s="1"/>
  <c r="CN106"/>
  <c r="CL106" s="1"/>
  <c r="CM106" s="1"/>
  <c r="CN75"/>
  <c r="CL75" s="1"/>
  <c r="CM75" s="1"/>
  <c r="CN176"/>
  <c r="CL176" s="1"/>
  <c r="CM176" s="1"/>
  <c r="CN397"/>
  <c r="CL397" s="1"/>
  <c r="CM397" s="1"/>
  <c r="CN166"/>
  <c r="CL166" s="1"/>
  <c r="CM166" s="1"/>
  <c r="CN100"/>
  <c r="CL100" s="1"/>
  <c r="CM100" s="1"/>
  <c r="CN429"/>
  <c r="CL429" s="1"/>
  <c r="CM429" s="1"/>
  <c r="CN58"/>
  <c r="CL58" s="1"/>
  <c r="CM58" s="1"/>
  <c r="CN469"/>
  <c r="CL469" s="1"/>
  <c r="CM469" s="1"/>
  <c r="CN498"/>
  <c r="CL498" s="1"/>
  <c r="CM498" s="1"/>
  <c r="CN434"/>
  <c r="CL434" s="1"/>
  <c r="CM434" s="1"/>
  <c r="CN135"/>
  <c r="CL135" s="1"/>
  <c r="CM135" s="1"/>
  <c r="CN353"/>
  <c r="CL353" s="1"/>
  <c r="CM353" s="1"/>
  <c r="CN510"/>
  <c r="CL510" s="1"/>
  <c r="CM510" s="1"/>
  <c r="CN402"/>
  <c r="CL402" s="1"/>
  <c r="CM402" s="1"/>
  <c r="CN131"/>
  <c r="CL131" s="1"/>
  <c r="CM131" s="1"/>
  <c r="CN440"/>
  <c r="CL440" s="1"/>
  <c r="CM440" s="1"/>
  <c r="CN45"/>
  <c r="CL45" s="1"/>
  <c r="CM45" s="1"/>
  <c r="CN372"/>
  <c r="CL372" s="1"/>
  <c r="CM372" s="1"/>
  <c r="CN479"/>
  <c r="CL479" s="1"/>
  <c r="CM479" s="1"/>
  <c r="CN370"/>
  <c r="CL370" s="1"/>
  <c r="CM370" s="1"/>
  <c r="CN263"/>
  <c r="CL263" s="1"/>
  <c r="CM263" s="1"/>
  <c r="CN444"/>
  <c r="CL444" s="1"/>
  <c r="CM444" s="1"/>
  <c r="CN320"/>
  <c r="CL320" s="1"/>
  <c r="CM320" s="1"/>
  <c r="CN250"/>
  <c r="CL250" s="1"/>
  <c r="CM250" s="1"/>
  <c r="CN399"/>
  <c r="CL399" s="1"/>
  <c r="CM399" s="1"/>
  <c r="CN256"/>
  <c r="CL256" s="1"/>
  <c r="CM256" s="1"/>
  <c r="CN124"/>
  <c r="CL124" s="1"/>
  <c r="CM124" s="1"/>
  <c r="CN405"/>
  <c r="CL405" s="1"/>
  <c r="CM405" s="1"/>
  <c r="CN454"/>
  <c r="CL454" s="1"/>
  <c r="CM454" s="1"/>
  <c r="CN88"/>
  <c r="CL88" s="1"/>
  <c r="CM88" s="1"/>
  <c r="CN36"/>
  <c r="CL36" s="1"/>
  <c r="CM36" s="1"/>
  <c r="CN294"/>
  <c r="CL294" s="1"/>
  <c r="CM294" s="1"/>
  <c r="CN130"/>
  <c r="CL130" s="1"/>
  <c r="CM130" s="1"/>
  <c r="CN185"/>
  <c r="CL185" s="1"/>
  <c r="CM185" s="1"/>
  <c r="CN502"/>
  <c r="CL502" s="1"/>
  <c r="CM502" s="1"/>
  <c r="CN436"/>
  <c r="CL436" s="1"/>
  <c r="CM436" s="1"/>
  <c r="CN163"/>
  <c r="CL163" s="1"/>
  <c r="CM163" s="1"/>
  <c r="CN493"/>
  <c r="CL493" s="1"/>
  <c r="CM493" s="1"/>
  <c r="CN44"/>
  <c r="CL44" s="1"/>
  <c r="CM44" s="1"/>
  <c r="CN378"/>
  <c r="CL378" s="1"/>
  <c r="CM378" s="1"/>
  <c r="CN406"/>
  <c r="CL406" s="1"/>
  <c r="CM406" s="1"/>
  <c r="CN401"/>
  <c r="CL401" s="1"/>
  <c r="CM401" s="1"/>
  <c r="CN410"/>
  <c r="CL410" s="1"/>
  <c r="CM410" s="1"/>
  <c r="CN311"/>
  <c r="CL311" s="1"/>
  <c r="CM311" s="1"/>
  <c r="CN154"/>
  <c r="CL154" s="1"/>
  <c r="CM154" s="1"/>
  <c r="CN269"/>
  <c r="CL269" s="1"/>
  <c r="CM269" s="1"/>
  <c r="CN280"/>
  <c r="CL280" s="1"/>
  <c r="CM280" s="1"/>
  <c r="CN287"/>
  <c r="CL287" s="1"/>
  <c r="CM287" s="1"/>
  <c r="CN153"/>
  <c r="CL153" s="1"/>
  <c r="CM153" s="1"/>
  <c r="CN103"/>
  <c r="CL103" s="1"/>
  <c r="CM103" s="1"/>
  <c r="CN150"/>
  <c r="CL150" s="1"/>
  <c r="CM150" s="1"/>
  <c r="CN475"/>
  <c r="CL475" s="1"/>
  <c r="CM475" s="1"/>
  <c r="CN438"/>
  <c r="CL438" s="1"/>
  <c r="CM438" s="1"/>
  <c r="CN507"/>
  <c r="CL507" s="1"/>
  <c r="CM507" s="1"/>
  <c r="CN174"/>
  <c r="CL174" s="1"/>
  <c r="CM174" s="1"/>
  <c r="CN188"/>
  <c r="CL188" s="1"/>
  <c r="CM188" s="1"/>
  <c r="CN46"/>
  <c r="CL46" s="1"/>
  <c r="CM46" s="1"/>
  <c r="CN172"/>
  <c r="CL172" s="1"/>
  <c r="CM172" s="1"/>
  <c r="CN73"/>
  <c r="CL73" s="1"/>
  <c r="CM73" s="1"/>
  <c r="CN324"/>
  <c r="CL324" s="1"/>
  <c r="CM324" s="1"/>
  <c r="CN74"/>
  <c r="CL74" s="1"/>
  <c r="CM74" s="1"/>
  <c r="CN136"/>
  <c r="CL136" s="1"/>
  <c r="CM136" s="1"/>
  <c r="CN511"/>
  <c r="CL511" s="1"/>
  <c r="CM511" s="1"/>
  <c r="CN212"/>
  <c r="CL212" s="1"/>
  <c r="CM212" s="1"/>
  <c r="CN384"/>
  <c r="CL384" s="1"/>
  <c r="CM384" s="1"/>
  <c r="CN466"/>
  <c r="CL466" s="1"/>
  <c r="CM466" s="1"/>
  <c r="CN473"/>
  <c r="CL473" s="1"/>
  <c r="CM473" s="1"/>
  <c r="CN142"/>
  <c r="CL142" s="1"/>
  <c r="CM142" s="1"/>
  <c r="CN432"/>
  <c r="CL432" s="1"/>
  <c r="CM432" s="1"/>
  <c r="CN209"/>
  <c r="CL209" s="1"/>
  <c r="CM209" s="1"/>
  <c r="CN102"/>
  <c r="CL102" s="1"/>
  <c r="CM102" s="1"/>
  <c r="CN76"/>
  <c r="CL76" s="1"/>
  <c r="CM76" s="1"/>
  <c r="CN457"/>
  <c r="CL457" s="1"/>
  <c r="CM457" s="1"/>
  <c r="CN514"/>
  <c r="CL514" s="1"/>
  <c r="CM514" s="1"/>
  <c r="CN207"/>
  <c r="CL207" s="1"/>
  <c r="CM207" s="1"/>
  <c r="CN246"/>
  <c r="CL246" s="1"/>
  <c r="CM246" s="1"/>
  <c r="CN43"/>
  <c r="CL43" s="1"/>
  <c r="CM43" s="1"/>
  <c r="CN439"/>
  <c r="CL439" s="1"/>
  <c r="CM439" s="1"/>
  <c r="CN57"/>
  <c r="CL57" s="1"/>
  <c r="CM57" s="1"/>
  <c r="CN357"/>
  <c r="CL357" s="1"/>
  <c r="CM357" s="1"/>
  <c r="CN285"/>
  <c r="CL285" s="1"/>
  <c r="CM285" s="1"/>
  <c r="CN274"/>
  <c r="CL274" s="1"/>
  <c r="CM274" s="1"/>
  <c r="CN39"/>
  <c r="CL39" s="1"/>
  <c r="CM39" s="1"/>
  <c r="CN177"/>
  <c r="CL177" s="1"/>
  <c r="CM177" s="1"/>
  <c r="CN171"/>
  <c r="CL171" s="1"/>
  <c r="CM171" s="1"/>
  <c r="CN104"/>
  <c r="CL104" s="1"/>
  <c r="CM104" s="1"/>
  <c r="CN218"/>
  <c r="CL218" s="1"/>
  <c r="CM218" s="1"/>
  <c r="CN216"/>
  <c r="CL216" s="1"/>
  <c r="CM216" s="1"/>
  <c r="CN336"/>
  <c r="CL336" s="1"/>
  <c r="CM336" s="1"/>
  <c r="CN182"/>
  <c r="CL182" s="1"/>
  <c r="CM182" s="1"/>
  <c r="CN108"/>
  <c r="CL108" s="1"/>
  <c r="CM108" s="1"/>
  <c r="CN322"/>
  <c r="CL322" s="1"/>
  <c r="CM322" s="1"/>
  <c r="CN505"/>
  <c r="CL505" s="1"/>
  <c r="CM505" s="1"/>
  <c r="CN199"/>
  <c r="CL199" s="1"/>
  <c r="CM199" s="1"/>
  <c r="CN141"/>
  <c r="CL141" s="1"/>
  <c r="CM141" s="1"/>
  <c r="CN167"/>
  <c r="CL167" s="1"/>
  <c r="CM167" s="1"/>
  <c r="CN196"/>
  <c r="CL196" s="1"/>
  <c r="CM196" s="1"/>
  <c r="CN348"/>
  <c r="CL348" s="1"/>
  <c r="CM348" s="1"/>
  <c r="CN191"/>
  <c r="CL191" s="1"/>
  <c r="CM191" s="1"/>
  <c r="CN79"/>
  <c r="CL79" s="1"/>
  <c r="CM79" s="1"/>
  <c r="CN442"/>
  <c r="CL442" s="1"/>
  <c r="CM442" s="1"/>
  <c r="CN383"/>
  <c r="CL383" s="1"/>
  <c r="CM383" s="1"/>
  <c r="CN158"/>
  <c r="CL158" s="1"/>
  <c r="CM158" s="1"/>
  <c r="CN204"/>
  <c r="CL204" s="1"/>
  <c r="CM204" s="1"/>
  <c r="CN347"/>
  <c r="CL347" s="1"/>
  <c r="CM347" s="1"/>
  <c r="CN270"/>
  <c r="CL270" s="1"/>
  <c r="CM270" s="1"/>
  <c r="CN296"/>
  <c r="CL296" s="1"/>
  <c r="CM296" s="1"/>
  <c r="CN335"/>
  <c r="CL335" s="1"/>
  <c r="CM335" s="1"/>
  <c r="CN62"/>
  <c r="CL62" s="1"/>
  <c r="CM62" s="1"/>
  <c r="CN456"/>
  <c r="CL456" s="1"/>
  <c r="CM456" s="1"/>
  <c r="CN380"/>
  <c r="CL380" s="1"/>
  <c r="CM380" s="1"/>
  <c r="CN327"/>
  <c r="CL327" s="1"/>
  <c r="CM327" s="1"/>
  <c r="CN504"/>
  <c r="CL504" s="1"/>
  <c r="CM504" s="1"/>
  <c r="CN478"/>
  <c r="CL478" s="1"/>
  <c r="CM478" s="1"/>
  <c r="CN290"/>
  <c r="CL290" s="1"/>
  <c r="CM290" s="1"/>
  <c r="CN349"/>
  <c r="CL349" s="1"/>
  <c r="CM349" s="1"/>
  <c r="CN179"/>
  <c r="CL179" s="1"/>
  <c r="CM179" s="1"/>
  <c r="CN161"/>
  <c r="CL161" s="1"/>
  <c r="CM161" s="1"/>
  <c r="CN346"/>
  <c r="CL346" s="1"/>
  <c r="CM346" s="1"/>
  <c r="CN203"/>
  <c r="CL203" s="1"/>
  <c r="CM203" s="1"/>
  <c r="CN169"/>
  <c r="CL169" s="1"/>
  <c r="CM169" s="1"/>
  <c r="CN92"/>
  <c r="CL92" s="1"/>
  <c r="CM92" s="1"/>
  <c r="CN276"/>
  <c r="CL276" s="1"/>
  <c r="CM276" s="1"/>
  <c r="CN30"/>
  <c r="CN249"/>
  <c r="CL249" s="1"/>
  <c r="CM249" s="1"/>
  <c r="CN34"/>
  <c r="CL34" s="1"/>
  <c r="CM34" s="1"/>
  <c r="CN51"/>
  <c r="CL51" s="1"/>
  <c r="CM51" s="1"/>
  <c r="CN377"/>
  <c r="CL377" s="1"/>
  <c r="CM377" s="1"/>
  <c r="CN373"/>
  <c r="CL373" s="1"/>
  <c r="CM373" s="1"/>
  <c r="CN271"/>
  <c r="CL271" s="1"/>
  <c r="CM271" s="1"/>
  <c r="CN95"/>
  <c r="CL95" s="1"/>
  <c r="CM95" s="1"/>
  <c r="CN215"/>
  <c r="CL215" s="1"/>
  <c r="CM215" s="1"/>
  <c r="CN89"/>
  <c r="CL89" s="1"/>
  <c r="CM89" s="1"/>
  <c r="CN228"/>
  <c r="CL228" s="1"/>
  <c r="CM228" s="1"/>
  <c r="CN306"/>
  <c r="CL306" s="1"/>
  <c r="CM306" s="1"/>
  <c r="CN371"/>
  <c r="CL371" s="1"/>
  <c r="CM371" s="1"/>
  <c r="CN362"/>
  <c r="CL362" s="1"/>
  <c r="CM362" s="1"/>
  <c r="CN495"/>
  <c r="CL495" s="1"/>
  <c r="CM495" s="1"/>
  <c r="CN350"/>
  <c r="CL350" s="1"/>
  <c r="CM350" s="1"/>
  <c r="CN467"/>
  <c r="CL467" s="1"/>
  <c r="CM467" s="1"/>
  <c r="CN107"/>
  <c r="CL107" s="1"/>
  <c r="CM107" s="1"/>
  <c r="CN219"/>
  <c r="CL219" s="1"/>
  <c r="CM219" s="1"/>
  <c r="CN376"/>
  <c r="CL376" s="1"/>
  <c r="CM376" s="1"/>
  <c r="CN300"/>
  <c r="CL300" s="1"/>
  <c r="CM300" s="1"/>
  <c r="CN513"/>
  <c r="CL513" s="1"/>
  <c r="CM513" s="1"/>
  <c r="CN413"/>
  <c r="CL413" s="1"/>
  <c r="CM413" s="1"/>
  <c r="CN48"/>
  <c r="CL48" s="1"/>
  <c r="CM48" s="1"/>
  <c r="CN496"/>
  <c r="CL496" s="1"/>
  <c r="CM496" s="1"/>
  <c r="CN165"/>
  <c r="CL165" s="1"/>
  <c r="CM165" s="1"/>
  <c r="CN195"/>
  <c r="CL195" s="1"/>
  <c r="CM195" s="1"/>
  <c r="CN42"/>
  <c r="CL42" s="1"/>
  <c r="CM42" s="1"/>
  <c r="CN292"/>
  <c r="CL292" s="1"/>
  <c r="CM292" s="1"/>
  <c r="CN484"/>
  <c r="CL484" s="1"/>
  <c r="CM484" s="1"/>
  <c r="CN47"/>
  <c r="CL47" s="1"/>
  <c r="CM47" s="1"/>
  <c r="CN192"/>
  <c r="CL192" s="1"/>
  <c r="CM192" s="1"/>
  <c r="CN208"/>
  <c r="CL208" s="1"/>
  <c r="CM208" s="1"/>
  <c r="CN101"/>
  <c r="CL101" s="1"/>
  <c r="CM101" s="1"/>
  <c r="CN452"/>
  <c r="CL452" s="1"/>
  <c r="CM452" s="1"/>
  <c r="CN205"/>
  <c r="CL205" s="1"/>
  <c r="CM205" s="1"/>
  <c r="CN379"/>
  <c r="CL379" s="1"/>
  <c r="CM379" s="1"/>
  <c r="CN220"/>
  <c r="CL220" s="1"/>
  <c r="CM220" s="1"/>
  <c r="CN485"/>
  <c r="CL485" s="1"/>
  <c r="CM485" s="1"/>
  <c r="CN140"/>
  <c r="CL140" s="1"/>
  <c r="CM140" s="1"/>
  <c r="CN59"/>
  <c r="CL59" s="1"/>
  <c r="CM59" s="1"/>
  <c r="CN338"/>
  <c r="CL338" s="1"/>
  <c r="CM338" s="1"/>
  <c r="CN87"/>
  <c r="CL87" s="1"/>
  <c r="CM87" s="1"/>
  <c r="CN358"/>
  <c r="CL358" s="1"/>
  <c r="CM358" s="1"/>
  <c r="CN416"/>
  <c r="CL416" s="1"/>
  <c r="CM416" s="1"/>
  <c r="CN115"/>
  <c r="CL115" s="1"/>
  <c r="CM115" s="1"/>
  <c r="CN151"/>
  <c r="CL151" s="1"/>
  <c r="CM151" s="1"/>
  <c r="CN458"/>
  <c r="CL458" s="1"/>
  <c r="CM458" s="1"/>
  <c r="CN418"/>
  <c r="CL418" s="1"/>
  <c r="CM418" s="1"/>
  <c r="CN85"/>
  <c r="CL85" s="1"/>
  <c r="CM85" s="1"/>
  <c r="CN145"/>
  <c r="CL145" s="1"/>
  <c r="CM145" s="1"/>
  <c r="CN278"/>
  <c r="CL278" s="1"/>
  <c r="CM278" s="1"/>
  <c r="CN138"/>
  <c r="CL138" s="1"/>
  <c r="CM138" s="1"/>
  <c r="CN302"/>
  <c r="CL302" s="1"/>
  <c r="CM302" s="1"/>
  <c r="CN318"/>
  <c r="CL318" s="1"/>
  <c r="CM318" s="1"/>
  <c r="CN465"/>
  <c r="CL465" s="1"/>
  <c r="CM465" s="1"/>
  <c r="CN234"/>
  <c r="CL234" s="1"/>
  <c r="CM234" s="1"/>
  <c r="CN408"/>
  <c r="CL408" s="1"/>
  <c r="CM408" s="1"/>
  <c r="CN20"/>
  <c r="CN83"/>
  <c r="CL83" s="1"/>
  <c r="CM83" s="1"/>
  <c r="CN114"/>
  <c r="CL114" s="1"/>
  <c r="CM114" s="1"/>
  <c r="CN201"/>
  <c r="CL201" s="1"/>
  <c r="CM201" s="1"/>
  <c r="CN334"/>
  <c r="CL334" s="1"/>
  <c r="CM334" s="1"/>
  <c r="CN19"/>
  <c r="CN175"/>
  <c r="CL175" s="1"/>
  <c r="CM175" s="1"/>
  <c r="CN342"/>
  <c r="CL342" s="1"/>
  <c r="CM342" s="1"/>
  <c r="CN159"/>
  <c r="CL159" s="1"/>
  <c r="CM159" s="1"/>
  <c r="CN499"/>
  <c r="CL499" s="1"/>
  <c r="CM499" s="1"/>
  <c r="CN463"/>
  <c r="CL463" s="1"/>
  <c r="CM463" s="1"/>
  <c r="CN152"/>
  <c r="CL152" s="1"/>
  <c r="CM152" s="1"/>
  <c r="CN392"/>
  <c r="CL392" s="1"/>
  <c r="CM392" s="1"/>
  <c r="CN317"/>
  <c r="CL317" s="1"/>
  <c r="CM317" s="1"/>
  <c r="CN446"/>
  <c r="CL446" s="1"/>
  <c r="CM446" s="1"/>
  <c r="CN303"/>
  <c r="CL303" s="1"/>
  <c r="CM303" s="1"/>
  <c r="CN284"/>
  <c r="CL284" s="1"/>
  <c r="CM284" s="1"/>
  <c r="CN32"/>
  <c r="CL32" s="1"/>
  <c r="CM32" s="1"/>
  <c r="CN37"/>
  <c r="CL37" s="1"/>
  <c r="CM37" s="1"/>
  <c r="CN18"/>
  <c r="CN194"/>
  <c r="CL194" s="1"/>
  <c r="CM194" s="1"/>
  <c r="CN387"/>
  <c r="CL387" s="1"/>
  <c r="CM387" s="1"/>
  <c r="CN119"/>
  <c r="CL119" s="1"/>
  <c r="CM119" s="1"/>
  <c r="CN325"/>
  <c r="CL325" s="1"/>
  <c r="CM325" s="1"/>
  <c r="CN365"/>
  <c r="CL365" s="1"/>
  <c r="CM365" s="1"/>
  <c r="CN54"/>
  <c r="CL54" s="1"/>
  <c r="CM54" s="1"/>
  <c r="CN453"/>
  <c r="CL453" s="1"/>
  <c r="CM453" s="1"/>
  <c r="CN238"/>
  <c r="CL238" s="1"/>
  <c r="CM238" s="1"/>
  <c r="CN148"/>
  <c r="CL148" s="1"/>
  <c r="CM148" s="1"/>
  <c r="CN359"/>
  <c r="CL359" s="1"/>
  <c r="CM359" s="1"/>
  <c r="CN214"/>
  <c r="CL214" s="1"/>
  <c r="CM214" s="1"/>
  <c r="CN147"/>
  <c r="CL147" s="1"/>
  <c r="CM147" s="1"/>
  <c r="CN314"/>
  <c r="CL314" s="1"/>
  <c r="CM314" s="1"/>
  <c r="CN307"/>
  <c r="CL307" s="1"/>
  <c r="CM307" s="1"/>
  <c r="CN105"/>
  <c r="CL105" s="1"/>
  <c r="CM105" s="1"/>
  <c r="CN231"/>
  <c r="CL231" s="1"/>
  <c r="CM231" s="1"/>
  <c r="CN316"/>
  <c r="CL316" s="1"/>
  <c r="CM316" s="1"/>
  <c r="CN483"/>
  <c r="CL483" s="1"/>
  <c r="CM483" s="1"/>
  <c r="CN309"/>
  <c r="CL309" s="1"/>
  <c r="CM309" s="1"/>
  <c r="CN460"/>
  <c r="CL460" s="1"/>
  <c r="CM460" s="1"/>
  <c r="CN356"/>
  <c r="CL356" s="1"/>
  <c r="CM356" s="1"/>
  <c r="CN257"/>
  <c r="CL257" s="1"/>
  <c r="CM257" s="1"/>
  <c r="CN489"/>
  <c r="CL489" s="1"/>
  <c r="CM489" s="1"/>
  <c r="CN235"/>
  <c r="CL235" s="1"/>
  <c r="CM235" s="1"/>
  <c r="CN110"/>
  <c r="CL110" s="1"/>
  <c r="CM110" s="1"/>
  <c r="CN133"/>
  <c r="CL133" s="1"/>
  <c r="CM133" s="1"/>
  <c r="CN28"/>
  <c r="CN93"/>
  <c r="CL93" s="1"/>
  <c r="CM93" s="1"/>
  <c r="CN265"/>
  <c r="CL265" s="1"/>
  <c r="CM265" s="1"/>
  <c r="CN118"/>
  <c r="CL118" s="1"/>
  <c r="CM118" s="1"/>
  <c r="CN84"/>
  <c r="CL84" s="1"/>
  <c r="CM84" s="1"/>
  <c r="CN157"/>
  <c r="CL157" s="1"/>
  <c r="CM157" s="1"/>
  <c r="CN35"/>
  <c r="CL35" s="1"/>
  <c r="CM35" s="1"/>
  <c r="CN445"/>
  <c r="CL445" s="1"/>
  <c r="CM445" s="1"/>
  <c r="CN354"/>
  <c r="CL354" s="1"/>
  <c r="CM354" s="1"/>
  <c r="CN398"/>
  <c r="CL398" s="1"/>
  <c r="CM398" s="1"/>
  <c r="CN80"/>
  <c r="CL80" s="1"/>
  <c r="CM80" s="1"/>
  <c r="CN491"/>
  <c r="CL491" s="1"/>
  <c r="CM491" s="1"/>
  <c r="CN221"/>
  <c r="CL221" s="1"/>
  <c r="CM221" s="1"/>
  <c r="CN291"/>
  <c r="CL291" s="1"/>
  <c r="CM291" s="1"/>
  <c r="CN56"/>
  <c r="CL56" s="1"/>
  <c r="CM56" s="1"/>
  <c r="CN160"/>
  <c r="CL160" s="1"/>
  <c r="CM160" s="1"/>
  <c r="CN448"/>
  <c r="CL448" s="1"/>
  <c r="CM448" s="1"/>
  <c r="CN407"/>
  <c r="CL407" s="1"/>
  <c r="CM407" s="1"/>
  <c r="CN509"/>
  <c r="CL509" s="1"/>
  <c r="CM509" s="1"/>
  <c r="CN162"/>
  <c r="CL162" s="1"/>
  <c r="CM162" s="1"/>
  <c r="CN420"/>
  <c r="CL420" s="1"/>
  <c r="CM420" s="1"/>
  <c r="CN345"/>
  <c r="CL345" s="1"/>
  <c r="CM345" s="1"/>
  <c r="CN351"/>
  <c r="CL351" s="1"/>
  <c r="CM351" s="1"/>
  <c r="CN403"/>
  <c r="CL403" s="1"/>
  <c r="CM403" s="1"/>
  <c r="CN222"/>
  <c r="CL222" s="1"/>
  <c r="CM222" s="1"/>
  <c r="CN339"/>
  <c r="CL339" s="1"/>
  <c r="CM339" s="1"/>
  <c r="CN480"/>
  <c r="CL480" s="1"/>
  <c r="CM480" s="1"/>
  <c r="CN331"/>
  <c r="CL331" s="1"/>
  <c r="CM331" s="1"/>
  <c r="CN55"/>
  <c r="CL55" s="1"/>
  <c r="CM55" s="1"/>
  <c r="CN388"/>
  <c r="CL388" s="1"/>
  <c r="CM388" s="1"/>
  <c r="CN431"/>
  <c r="CL431" s="1"/>
  <c r="CM431" s="1"/>
  <c r="CN72"/>
  <c r="CL72" s="1"/>
  <c r="CM72" s="1"/>
  <c r="CN31"/>
  <c r="CN41"/>
  <c r="CL41" s="1"/>
  <c r="CM41" s="1"/>
  <c r="CN470"/>
  <c r="CL470" s="1"/>
  <c r="CM470" s="1"/>
  <c r="CN116"/>
  <c r="CL116" s="1"/>
  <c r="CM116" s="1"/>
  <c r="CN183"/>
  <c r="CL183" s="1"/>
  <c r="CM183" s="1"/>
  <c r="CN368"/>
  <c r="CL368" s="1"/>
  <c r="CM368" s="1"/>
  <c r="CN304"/>
  <c r="CL304" s="1"/>
  <c r="CM304" s="1"/>
  <c r="CN261"/>
  <c r="CL261" s="1"/>
  <c r="CM261" s="1"/>
  <c r="CN241"/>
  <c r="CL241" s="1"/>
  <c r="CM241" s="1"/>
  <c r="CN91"/>
  <c r="CL91" s="1"/>
  <c r="CM91" s="1"/>
  <c r="CN173"/>
  <c r="CL173" s="1"/>
  <c r="CM173" s="1"/>
  <c r="CN244"/>
  <c r="CL244" s="1"/>
  <c r="CM244" s="1"/>
  <c r="CI14"/>
  <c r="CN477"/>
  <c r="CL477" s="1"/>
  <c r="CM477" s="1"/>
  <c r="CN239"/>
  <c r="CL239" s="1"/>
  <c r="CM239" s="1"/>
  <c r="CN352"/>
  <c r="CL352" s="1"/>
  <c r="CM352" s="1"/>
  <c r="CN272"/>
  <c r="CL272" s="1"/>
  <c r="CM272" s="1"/>
  <c r="CN184"/>
  <c r="CL184" s="1"/>
  <c r="CM184" s="1"/>
  <c r="CN255"/>
  <c r="CL255" s="1"/>
  <c r="CM255" s="1"/>
  <c r="CN389"/>
  <c r="CL389" s="1"/>
  <c r="CM389" s="1"/>
  <c r="CN508"/>
  <c r="CL508" s="1"/>
  <c r="CM508" s="1"/>
  <c r="CN337"/>
  <c r="CL337" s="1"/>
  <c r="CM337" s="1"/>
  <c r="CN64"/>
  <c r="CL64" s="1"/>
  <c r="CM64" s="1"/>
  <c r="CN332"/>
  <c r="CL332" s="1"/>
  <c r="CM332" s="1"/>
  <c r="CN38"/>
  <c r="CL38" s="1"/>
  <c r="CM38" s="1"/>
  <c r="CN25"/>
  <c r="CN412"/>
  <c r="CL412" s="1"/>
  <c r="CM412" s="1"/>
  <c r="CN396"/>
  <c r="CL396" s="1"/>
  <c r="CM396" s="1"/>
  <c r="CN98"/>
  <c r="CL98" s="1"/>
  <c r="CM98" s="1"/>
  <c r="CN66"/>
  <c r="CL66" s="1"/>
  <c r="CM66" s="1"/>
  <c r="CN277"/>
  <c r="CL277" s="1"/>
  <c r="CM277" s="1"/>
  <c r="CN29"/>
  <c r="CN395"/>
  <c r="CL395" s="1"/>
  <c r="CM395" s="1"/>
  <c r="CN417"/>
  <c r="CL417" s="1"/>
  <c r="CM417" s="1"/>
  <c r="CN53"/>
  <c r="CL53" s="1"/>
  <c r="CM53" s="1"/>
  <c r="CN213"/>
  <c r="CL213" s="1"/>
  <c r="CM213" s="1"/>
  <c r="CN363"/>
  <c r="CL363" s="1"/>
  <c r="CM363" s="1"/>
  <c r="CN390"/>
  <c r="CL390" s="1"/>
  <c r="CM390" s="1"/>
  <c r="CN361"/>
  <c r="CL361" s="1"/>
  <c r="CM361" s="1"/>
  <c r="CN112"/>
  <c r="CL112" s="1"/>
  <c r="CM112" s="1"/>
  <c r="CN344"/>
  <c r="CL344" s="1"/>
  <c r="CM344" s="1"/>
  <c r="CN245"/>
  <c r="CL245" s="1"/>
  <c r="CM245" s="1"/>
  <c r="CN426"/>
  <c r="CL426" s="1"/>
  <c r="CM426" s="1"/>
  <c r="CN27"/>
  <c r="CN400"/>
  <c r="CL400" s="1"/>
  <c r="CM400" s="1"/>
  <c r="CN299"/>
  <c r="CL299" s="1"/>
  <c r="CM299" s="1"/>
  <c r="CN123"/>
  <c r="CL123" s="1"/>
  <c r="CM123" s="1"/>
  <c r="CN364"/>
  <c r="CL364" s="1"/>
  <c r="CM364" s="1"/>
  <c r="CN230"/>
  <c r="CL230" s="1"/>
  <c r="CM230" s="1"/>
  <c r="CN267"/>
  <c r="CL267" s="1"/>
  <c r="CM267" s="1"/>
  <c r="CN82"/>
  <c r="CL82" s="1"/>
  <c r="CM82" s="1"/>
  <c r="CN96"/>
  <c r="CL96" s="1"/>
  <c r="CM96" s="1"/>
  <c r="CN236"/>
  <c r="CL236" s="1"/>
  <c r="CM236" s="1"/>
  <c r="CN67"/>
  <c r="CL67" s="1"/>
  <c r="CM67" s="1"/>
  <c r="CN240"/>
  <c r="CL240" s="1"/>
  <c r="CM240" s="1"/>
  <c r="CN170"/>
  <c r="CL170" s="1"/>
  <c r="CM170" s="1"/>
  <c r="CN486"/>
  <c r="CL486" s="1"/>
  <c r="CM486" s="1"/>
  <c r="CN506"/>
  <c r="CL506" s="1"/>
  <c r="CM506" s="1"/>
  <c r="CN24"/>
  <c r="CN487"/>
  <c r="CL487" s="1"/>
  <c r="CM487" s="1"/>
  <c r="CN394"/>
  <c r="CL394" s="1"/>
  <c r="CM394" s="1"/>
  <c r="CN155"/>
  <c r="CL155" s="1"/>
  <c r="CM155" s="1"/>
  <c r="CN425"/>
  <c r="CL425" s="1"/>
  <c r="CM425" s="1"/>
  <c r="CN282"/>
  <c r="CL282" s="1"/>
  <c r="CM282" s="1"/>
  <c r="CN149"/>
  <c r="CL149" s="1"/>
  <c r="CM149" s="1"/>
  <c r="CN279"/>
  <c r="CL279" s="1"/>
  <c r="CM279" s="1"/>
  <c r="CN500"/>
  <c r="CL500" s="1"/>
  <c r="CM500" s="1"/>
  <c r="CN206"/>
  <c r="CL206" s="1"/>
  <c r="CM206" s="1"/>
  <c r="CN190"/>
  <c r="CL190" s="1"/>
  <c r="CM190" s="1"/>
  <c r="CN143"/>
  <c r="CL143" s="1"/>
  <c r="CM143" s="1"/>
  <c r="CN70"/>
  <c r="CL70" s="1"/>
  <c r="CM70" s="1"/>
  <c r="CN109"/>
  <c r="CL109" s="1"/>
  <c r="CM109" s="1"/>
  <c r="CN275"/>
  <c r="CL275" s="1"/>
  <c r="CM275" s="1"/>
  <c r="CN224"/>
  <c r="CL224" s="1"/>
  <c r="CM224" s="1"/>
  <c r="CN427"/>
  <c r="CL427" s="1"/>
  <c r="CM427" s="1"/>
  <c r="CN455"/>
  <c r="CL455" s="1"/>
  <c r="CM455" s="1"/>
  <c r="CN441"/>
  <c r="CL441" s="1"/>
  <c r="CM441" s="1"/>
  <c r="CN233"/>
  <c r="CL233" s="1"/>
  <c r="CM233" s="1"/>
  <c r="CN433"/>
  <c r="CL433" s="1"/>
  <c r="CM433" s="1"/>
  <c r="CN211"/>
  <c r="CL211" s="1"/>
  <c r="CM211" s="1"/>
  <c r="CN50"/>
  <c r="CL50" s="1"/>
  <c r="CM50" s="1"/>
  <c r="CN301"/>
  <c r="CL301" s="1"/>
  <c r="CM301" s="1"/>
  <c r="CN197"/>
  <c r="CL197" s="1"/>
  <c r="CM197" s="1"/>
  <c r="CN283"/>
  <c r="CL283" s="1"/>
  <c r="CM283" s="1"/>
  <c r="CN297"/>
  <c r="CL297" s="1"/>
  <c r="CM297" s="1"/>
  <c r="CN129"/>
  <c r="CL129" s="1"/>
  <c r="CM129" s="1"/>
  <c r="CN128"/>
  <c r="CL128" s="1"/>
  <c r="CM128" s="1"/>
  <c r="CN225"/>
  <c r="CL225" s="1"/>
  <c r="CM225" s="1"/>
  <c r="CN232"/>
  <c r="CL232" s="1"/>
  <c r="CM232" s="1"/>
  <c r="CN310"/>
  <c r="CL310" s="1"/>
  <c r="CM310" s="1"/>
  <c r="CN330"/>
  <c r="CL330" s="1"/>
  <c r="CM330" s="1"/>
  <c r="CN369"/>
  <c r="CL369" s="1"/>
  <c r="CM369" s="1"/>
  <c r="CN121"/>
  <c r="CL121" s="1"/>
  <c r="CM121" s="1"/>
  <c r="CN409"/>
  <c r="CL409" s="1"/>
  <c r="CM409" s="1"/>
  <c r="CN428"/>
  <c r="CL428" s="1"/>
  <c r="CM428" s="1"/>
  <c r="CN81"/>
  <c r="CL81" s="1"/>
  <c r="CM81" s="1"/>
  <c r="CN315"/>
  <c r="CL315" s="1"/>
  <c r="CM315" s="1"/>
  <c r="CN472"/>
  <c r="CL472" s="1"/>
  <c r="CM472" s="1"/>
  <c r="CN430"/>
  <c r="CL430" s="1"/>
  <c r="CM430" s="1"/>
  <c r="CN289"/>
  <c r="CL289" s="1"/>
  <c r="CM289" s="1"/>
  <c r="CN281"/>
  <c r="CL281" s="1"/>
  <c r="CM281" s="1"/>
  <c r="CN447"/>
  <c r="CL447" s="1"/>
  <c r="CM447" s="1"/>
  <c r="CN262"/>
  <c r="CL262" s="1"/>
  <c r="CM262" s="1"/>
  <c r="CN355"/>
  <c r="CL355" s="1"/>
  <c r="CM355" s="1"/>
  <c r="CN202"/>
  <c r="CL202" s="1"/>
  <c r="CM202" s="1"/>
  <c r="CN229"/>
  <c r="CL229" s="1"/>
  <c r="CM229" s="1"/>
  <c r="CN516"/>
  <c r="CL516" s="1"/>
  <c r="CM516" s="1"/>
  <c r="CN237"/>
  <c r="CL237" s="1"/>
  <c r="CM237" s="1"/>
  <c r="CN273"/>
  <c r="CL273" s="1"/>
  <c r="CM273" s="1"/>
  <c r="CN126"/>
  <c r="CL126" s="1"/>
  <c r="CM126" s="1"/>
  <c r="CN411"/>
  <c r="CL411" s="1"/>
  <c r="CM411" s="1"/>
  <c r="CN326"/>
  <c r="CL326" s="1"/>
  <c r="CM326" s="1"/>
  <c r="CN144"/>
  <c r="CL144" s="1"/>
  <c r="CM144" s="1"/>
  <c r="CN97"/>
  <c r="CL97" s="1"/>
  <c r="CM97" s="1"/>
  <c r="CN226"/>
  <c r="CL226" s="1"/>
  <c r="CM226" s="1"/>
  <c r="CN464"/>
  <c r="CL464" s="1"/>
  <c r="CM464" s="1"/>
  <c r="CN266"/>
  <c r="CL266" s="1"/>
  <c r="CM266" s="1"/>
  <c r="CN382"/>
  <c r="CL382" s="1"/>
  <c r="CM382" s="1"/>
  <c r="CN254"/>
  <c r="CL254" s="1"/>
  <c r="CM254" s="1"/>
  <c r="CN223"/>
  <c r="CL223" s="1"/>
  <c r="CM223" s="1"/>
  <c r="CN313"/>
  <c r="CL313" s="1"/>
  <c r="CM313" s="1"/>
  <c r="CN23"/>
  <c r="CN227"/>
  <c r="CL227" s="1"/>
  <c r="CM227" s="1"/>
  <c r="CN259"/>
  <c r="CL259" s="1"/>
  <c r="CM259" s="1"/>
  <c r="CN21"/>
  <c r="CN329"/>
  <c r="CL329" s="1"/>
  <c r="CM329" s="1"/>
  <c r="CN459"/>
  <c r="CL459" s="1"/>
  <c r="CM459" s="1"/>
  <c r="CN99"/>
  <c r="CL99" s="1"/>
  <c r="CM99" s="1"/>
  <c r="CN217"/>
  <c r="CL217" s="1"/>
  <c r="CM217" s="1"/>
  <c r="CJ18" a="1"/>
  <c r="CI18" a="1"/>
  <c r="CJ185"/>
  <c r="CJ313"/>
  <c r="CJ337"/>
  <c r="CJ346"/>
  <c r="CJ354"/>
  <c r="CJ123"/>
  <c r="CJ60"/>
  <c r="CJ57"/>
  <c r="CJ371"/>
  <c r="CJ94"/>
  <c r="CJ390"/>
  <c r="CJ334"/>
  <c r="CJ194"/>
  <c r="CJ441"/>
  <c r="CJ326"/>
  <c r="CJ38"/>
  <c r="CJ168"/>
  <c r="CJ431"/>
  <c r="CJ167"/>
  <c r="CJ327"/>
  <c r="CJ496"/>
  <c r="CJ419"/>
  <c r="CJ243"/>
  <c r="CJ199"/>
  <c r="CJ23"/>
  <c r="CR23" s="1"/>
  <c r="CJ137"/>
  <c r="CJ31"/>
  <c r="CR31"/>
  <c r="CJ324"/>
  <c r="CJ258"/>
  <c r="CJ297"/>
  <c r="CJ273"/>
  <c r="CJ85"/>
  <c r="CJ397"/>
  <c r="CJ74"/>
  <c r="CJ331"/>
  <c r="CJ344"/>
  <c r="CJ347"/>
  <c r="CJ393"/>
  <c r="CJ108"/>
  <c r="CJ494"/>
  <c r="CJ450"/>
  <c r="CJ253"/>
  <c r="CJ350"/>
  <c r="CJ460"/>
  <c r="CJ400"/>
  <c r="CJ143"/>
  <c r="CJ203"/>
  <c r="CJ208"/>
  <c r="CJ99"/>
  <c r="CJ139"/>
  <c r="CJ364"/>
  <c r="CJ69"/>
  <c r="CJ492"/>
  <c r="CJ285"/>
  <c r="CJ375"/>
  <c r="CJ470"/>
  <c r="CJ86"/>
  <c r="CJ306"/>
  <c r="CJ195"/>
  <c r="CJ260"/>
  <c r="CJ270"/>
  <c r="CJ349"/>
  <c r="CJ239"/>
  <c r="CJ320"/>
  <c r="CJ434"/>
  <c r="CJ426"/>
  <c r="CJ478"/>
  <c r="CJ283"/>
  <c r="CJ443"/>
  <c r="CJ447"/>
  <c r="CJ155"/>
  <c r="CJ141"/>
  <c r="CJ448"/>
  <c r="CJ268"/>
  <c r="CJ26"/>
  <c r="CR26" s="1"/>
  <c r="CJ263"/>
  <c r="CJ80"/>
  <c r="CJ395"/>
  <c r="CJ266"/>
  <c r="CJ51"/>
  <c r="CJ282"/>
  <c r="CJ315"/>
  <c r="CJ48"/>
  <c r="CV27"/>
  <c r="CV30"/>
  <c r="CL21"/>
  <c r="CM21" s="1"/>
  <c r="CU21" s="1"/>
  <c r="CV23"/>
  <c r="CI27"/>
  <c r="CQ27" s="1"/>
  <c r="CI98"/>
  <c r="CI378"/>
  <c r="CI194"/>
  <c r="CI494"/>
  <c r="CI90"/>
  <c r="CI509"/>
  <c r="CI383"/>
  <c r="CI327"/>
  <c r="CI222"/>
  <c r="CI288"/>
  <c r="CI256"/>
  <c r="CI206"/>
  <c r="CI300"/>
  <c r="CI240"/>
  <c r="CI328"/>
  <c r="CI186"/>
  <c r="CI175"/>
  <c r="CI420"/>
  <c r="CI268"/>
  <c r="CI443"/>
  <c r="CI423"/>
  <c r="CI463"/>
  <c r="CI409"/>
  <c r="CI353"/>
  <c r="CI349"/>
  <c r="CI371"/>
  <c r="CI180"/>
  <c r="CI108"/>
  <c r="CI491"/>
  <c r="CI482"/>
  <c r="CI427"/>
  <c r="CI289"/>
  <c r="CI207"/>
  <c r="CI336"/>
  <c r="CI44"/>
  <c r="CI74"/>
  <c r="CI376"/>
  <c r="CI185"/>
  <c r="CI422"/>
  <c r="CI58"/>
  <c r="CI176"/>
  <c r="CI133"/>
  <c r="CI269"/>
  <c r="CI467"/>
  <c r="CI54"/>
  <c r="CI365"/>
  <c r="CI71"/>
  <c r="CI292"/>
  <c r="CI215"/>
  <c r="CI290"/>
  <c r="CI319"/>
  <c r="CI449"/>
  <c r="CI361"/>
  <c r="CI515"/>
  <c r="CI151"/>
  <c r="CI149"/>
  <c r="CI488"/>
  <c r="CI470"/>
  <c r="CI395"/>
  <c r="CI19"/>
  <c r="CQ19" s="1"/>
  <c r="CI326"/>
  <c r="CI229"/>
  <c r="CI445"/>
  <c r="CI374"/>
  <c r="CI321"/>
  <c r="CI408"/>
  <c r="CI507"/>
  <c r="CI196"/>
  <c r="CI431"/>
  <c r="CI513"/>
  <c r="CI204"/>
  <c r="CI141"/>
  <c r="CI42"/>
  <c r="CI439"/>
  <c r="CI366"/>
  <c r="CI471"/>
  <c r="CI363"/>
  <c r="CI492"/>
  <c r="CI304"/>
  <c r="CI224"/>
  <c r="CJ309"/>
  <c r="CJ132"/>
  <c r="CJ425"/>
  <c r="CJ265"/>
  <c r="CJ300"/>
  <c r="CJ482"/>
  <c r="CJ147"/>
  <c r="CJ379"/>
  <c r="CJ215"/>
  <c r="CJ222"/>
  <c r="CJ29"/>
  <c r="CR29" s="1"/>
  <c r="CJ330"/>
  <c r="CJ84"/>
  <c r="CJ361"/>
  <c r="CJ146"/>
  <c r="CJ252"/>
  <c r="CJ244"/>
  <c r="CJ367"/>
  <c r="CJ20"/>
  <c r="CR20" s="1"/>
  <c r="CJ264"/>
  <c r="CJ421"/>
  <c r="CJ190"/>
  <c r="CJ444"/>
  <c r="CJ299"/>
  <c r="CJ150"/>
  <c r="CJ42"/>
  <c r="CJ422"/>
  <c r="CJ162"/>
  <c r="CJ133"/>
  <c r="CJ89"/>
  <c r="CJ449"/>
  <c r="CJ82"/>
  <c r="CJ184"/>
  <c r="CJ106"/>
  <c r="CJ183"/>
  <c r="CJ401"/>
  <c r="CJ389"/>
  <c r="CJ122"/>
  <c r="CJ415"/>
  <c r="CJ234"/>
  <c r="CJ438"/>
  <c r="CJ503"/>
  <c r="CJ261"/>
  <c r="CJ45"/>
  <c r="CJ156"/>
  <c r="CJ498"/>
  <c r="CJ514"/>
  <c r="CJ365"/>
  <c r="CJ107"/>
  <c r="CJ235"/>
  <c r="CJ467"/>
  <c r="CJ336"/>
  <c r="CJ175"/>
  <c r="CJ472"/>
  <c r="CJ53"/>
  <c r="CJ278"/>
  <c r="CJ366"/>
  <c r="CJ451"/>
  <c r="CJ319"/>
  <c r="CJ238"/>
  <c r="CJ312"/>
  <c r="CJ161"/>
  <c r="CJ68"/>
  <c r="CJ339"/>
  <c r="CJ305"/>
  <c r="CJ131"/>
  <c r="CJ227"/>
  <c r="CJ257"/>
  <c r="CJ187"/>
  <c r="CJ501"/>
  <c r="CJ276"/>
  <c r="CJ92"/>
  <c r="CJ474"/>
  <c r="CJ96"/>
  <c r="CJ138"/>
  <c r="CJ497"/>
  <c r="CJ468"/>
  <c r="CJ218"/>
  <c r="CJ275"/>
  <c r="CJ81"/>
  <c r="CJ19"/>
  <c r="CR19" s="1"/>
  <c r="CJ488"/>
  <c r="CJ124"/>
  <c r="CV24"/>
  <c r="CV25"/>
  <c r="CV18"/>
  <c r="CV20"/>
  <c r="CV26"/>
  <c r="CI95"/>
  <c r="CI208"/>
  <c r="CI473"/>
  <c r="CI413"/>
  <c r="CI233"/>
  <c r="CI60"/>
  <c r="CI324"/>
  <c r="CI339"/>
  <c r="CI505"/>
  <c r="CI158"/>
  <c r="CI478"/>
  <c r="CI398"/>
  <c r="CI260"/>
  <c r="CI96"/>
  <c r="CI299"/>
  <c r="CI148"/>
  <c r="CI296"/>
  <c r="CI63"/>
  <c r="CI121"/>
  <c r="CI257"/>
  <c r="CI444"/>
  <c r="CI297"/>
  <c r="CI302"/>
  <c r="CI211"/>
  <c r="CI39"/>
  <c r="CI358"/>
  <c r="CI375"/>
  <c r="CI314"/>
  <c r="CI77"/>
  <c r="CI309"/>
  <c r="CI38"/>
  <c r="CI442"/>
  <c r="CI66"/>
  <c r="CI434"/>
  <c r="CI411"/>
  <c r="CI111"/>
  <c r="CI190"/>
  <c r="CI387"/>
  <c r="CI330"/>
  <c r="CI135"/>
  <c r="CI514"/>
  <c r="CI254"/>
  <c r="CI189"/>
  <c r="CI83"/>
  <c r="CI218"/>
  <c r="CI101"/>
  <c r="CI30"/>
  <c r="CQ30" s="1"/>
  <c r="CI265"/>
  <c r="CI312"/>
  <c r="CI168"/>
  <c r="CI169"/>
  <c r="CI315"/>
  <c r="CI106"/>
  <c r="CI417"/>
  <c r="CI502"/>
  <c r="CI486"/>
  <c r="CI129"/>
  <c r="CI323"/>
  <c r="CI47"/>
  <c r="CI426"/>
  <c r="CI43"/>
  <c r="CI414"/>
  <c r="CI415"/>
  <c r="CI435"/>
  <c r="CI390"/>
  <c r="CI228"/>
  <c r="CJ307"/>
  <c r="CJ231"/>
  <c r="CJ249"/>
  <c r="CJ351"/>
  <c r="CJ267"/>
  <c r="CJ221"/>
  <c r="CJ314"/>
  <c r="CJ284"/>
  <c r="CJ130"/>
  <c r="CJ338"/>
  <c r="CJ97"/>
  <c r="CJ64"/>
  <c r="CJ493"/>
  <c r="CJ456"/>
  <c r="CJ113"/>
  <c r="CJ489"/>
  <c r="CJ428"/>
  <c r="CJ170"/>
  <c r="CJ487"/>
  <c r="CJ230"/>
  <c r="CJ225"/>
  <c r="CJ219"/>
  <c r="CJ28"/>
  <c r="CR28" s="1"/>
  <c r="CJ359"/>
  <c r="CJ383"/>
  <c r="CJ135"/>
  <c r="CJ228"/>
  <c r="CJ476"/>
  <c r="CJ317"/>
  <c r="CJ254"/>
  <c r="CJ25"/>
  <c r="CR25" s="1"/>
  <c r="CJ341"/>
  <c r="CJ429"/>
  <c r="CJ295"/>
  <c r="CJ505"/>
  <c r="CJ174"/>
  <c r="CJ406"/>
  <c r="CJ245"/>
  <c r="CJ272"/>
  <c r="CJ104"/>
  <c r="CJ163"/>
  <c r="CJ408"/>
  <c r="CJ289"/>
  <c r="CJ229"/>
  <c r="CJ436"/>
  <c r="CJ232"/>
  <c r="CJ281"/>
  <c r="CJ402"/>
  <c r="CJ506"/>
  <c r="CJ49"/>
  <c r="CJ118"/>
  <c r="CJ198"/>
  <c r="CJ288"/>
  <c r="CJ204"/>
  <c r="CJ427"/>
  <c r="CJ211"/>
  <c r="CJ446"/>
  <c r="CJ61"/>
  <c r="CJ279"/>
  <c r="CJ117"/>
  <c r="CJ40"/>
  <c r="CJ432"/>
  <c r="CJ454"/>
  <c r="CJ209"/>
  <c r="CJ197"/>
  <c r="CJ24"/>
  <c r="CR24" s="1"/>
  <c r="CJ303"/>
  <c r="CJ405"/>
  <c r="CJ32"/>
  <c r="CJ233"/>
  <c r="CJ36"/>
  <c r="CJ37"/>
  <c r="CJ41"/>
  <c r="CJ433"/>
  <c r="CJ58"/>
  <c r="CJ483"/>
  <c r="CJ172"/>
  <c r="CJ176"/>
  <c r="CJ148"/>
  <c r="CJ158"/>
  <c r="CJ384"/>
  <c r="CJ333"/>
  <c r="CJ388"/>
  <c r="CL24"/>
  <c r="CM24" s="1"/>
  <c r="CU24" s="1"/>
  <c r="CL25"/>
  <c r="CM25" s="1"/>
  <c r="CU25" s="1"/>
  <c r="CL18"/>
  <c r="CT18" s="1"/>
  <c r="CL20"/>
  <c r="CT20" s="1"/>
  <c r="CL26"/>
  <c r="CT26" s="1"/>
  <c r="CI64"/>
  <c r="CI348"/>
  <c r="CI342"/>
  <c r="CI511"/>
  <c r="CI472"/>
  <c r="CI82"/>
  <c r="CI226"/>
  <c r="CI451"/>
  <c r="CI197"/>
  <c r="CI167"/>
  <c r="CI161"/>
  <c r="CI460"/>
  <c r="CI216"/>
  <c r="CI157"/>
  <c r="CI203"/>
  <c r="CI119"/>
  <c r="CI91"/>
  <c r="CI187"/>
  <c r="CI165"/>
  <c r="CI73"/>
  <c r="CI48"/>
  <c r="CI316"/>
  <c r="CI496"/>
  <c r="CI251"/>
  <c r="CI275"/>
  <c r="CI405"/>
  <c r="CI510"/>
  <c r="CI385"/>
  <c r="CI446"/>
  <c r="CI217"/>
  <c r="CI274"/>
  <c r="CI424"/>
  <c r="CI40"/>
  <c r="CI59"/>
  <c r="CI285"/>
  <c r="CI341"/>
  <c r="CI244"/>
  <c r="CI205"/>
  <c r="CI421"/>
  <c r="CI368"/>
  <c r="CI227"/>
  <c r="CI34"/>
  <c r="CI266"/>
  <c r="CI432"/>
  <c r="CI200"/>
  <c r="CI79"/>
  <c r="CI116"/>
  <c r="CI219"/>
  <c r="CI345"/>
  <c r="CI146"/>
  <c r="CI504"/>
  <c r="CI154"/>
  <c r="CI252"/>
  <c r="CI56"/>
  <c r="CI280"/>
  <c r="CI313"/>
  <c r="CI123"/>
  <c r="CI122"/>
  <c r="CI485"/>
  <c r="CI354"/>
  <c r="CI391"/>
  <c r="CI55"/>
  <c r="CI377"/>
  <c r="CI271"/>
  <c r="CI36"/>
  <c r="CI399"/>
  <c r="CI132"/>
  <c r="CI351"/>
  <c r="CI403"/>
  <c r="CI232"/>
  <c r="CI500"/>
  <c r="CI69"/>
  <c r="CI255"/>
  <c r="CI213"/>
  <c r="CI287"/>
  <c r="CI171"/>
  <c r="CI317"/>
  <c r="CI201"/>
  <c r="CI143"/>
  <c r="CI393"/>
  <c r="CI407"/>
  <c r="CI310"/>
  <c r="CI173"/>
  <c r="CI87"/>
  <c r="CI85"/>
  <c r="CI118"/>
  <c r="CI150"/>
  <c r="CI144"/>
  <c r="CI464"/>
  <c r="CI53"/>
  <c r="CI340"/>
  <c r="CI182"/>
  <c r="CI333"/>
  <c r="CI335"/>
  <c r="CI495"/>
  <c r="CI156"/>
  <c r="CJ280"/>
  <c r="CJ463"/>
  <c r="CJ409"/>
  <c r="CJ386"/>
  <c r="CJ47"/>
  <c r="CJ196"/>
  <c r="CJ160"/>
  <c r="CJ457"/>
  <c r="CJ62"/>
  <c r="CJ396"/>
  <c r="CJ512"/>
  <c r="CJ101"/>
  <c r="CJ442"/>
  <c r="CJ116"/>
  <c r="CJ294"/>
  <c r="CJ363"/>
  <c r="CJ213"/>
  <c r="CJ205"/>
  <c r="CJ152"/>
  <c r="CJ484"/>
  <c r="CJ103"/>
  <c r="CJ90"/>
  <c r="CJ418"/>
  <c r="CJ142"/>
  <c r="CJ459"/>
  <c r="CJ115"/>
  <c r="CJ214"/>
  <c r="CJ368"/>
  <c r="CJ286"/>
  <c r="CJ335"/>
  <c r="CJ502"/>
  <c r="CJ83"/>
  <c r="CJ435"/>
  <c r="CJ407"/>
  <c r="CJ385"/>
  <c r="CJ207"/>
  <c r="CJ114"/>
  <c r="CJ75"/>
  <c r="CJ127"/>
  <c r="CJ369"/>
  <c r="CJ259"/>
  <c r="CJ332"/>
  <c r="CJ27"/>
  <c r="CR27" s="1"/>
  <c r="CJ323"/>
  <c r="CJ145"/>
  <c r="CJ181"/>
  <c r="CJ173"/>
  <c r="CJ304"/>
  <c r="CJ21"/>
  <c r="CR21" s="1"/>
  <c r="CJ111"/>
  <c r="CJ329"/>
  <c r="CJ250"/>
  <c r="CJ67"/>
  <c r="CJ507"/>
  <c r="CJ420"/>
  <c r="CJ387"/>
  <c r="CJ34"/>
  <c r="CJ65"/>
  <c r="CJ153"/>
  <c r="CJ87"/>
  <c r="CJ290"/>
  <c r="CJ44"/>
  <c r="CJ398"/>
  <c r="CJ128"/>
  <c r="CJ98"/>
  <c r="CJ30"/>
  <c r="CR30" s="1"/>
  <c r="CJ292"/>
  <c r="CJ310"/>
  <c r="CJ318"/>
  <c r="CJ469"/>
  <c r="CJ352"/>
  <c r="CJ509"/>
  <c r="CJ105"/>
  <c r="CJ380"/>
  <c r="CJ458"/>
  <c r="CJ110"/>
  <c r="CJ217"/>
  <c r="CJ373"/>
  <c r="CJ186"/>
  <c r="CJ360"/>
  <c r="CJ202"/>
  <c r="CJ464"/>
  <c r="CJ171"/>
  <c r="CJ412"/>
  <c r="CL29"/>
  <c r="CL28"/>
  <c r="CT28" s="1"/>
  <c r="CV19"/>
  <c r="CV22"/>
  <c r="CI360"/>
  <c r="CI347"/>
  <c r="CI307"/>
  <c r="CI306"/>
  <c r="CI126"/>
  <c r="CI438"/>
  <c r="CI137"/>
  <c r="CI267"/>
  <c r="CI68"/>
  <c r="CI480"/>
  <c r="CI331"/>
  <c r="CI369"/>
  <c r="CI162"/>
  <c r="CI447"/>
  <c r="CI124"/>
  <c r="CI474"/>
  <c r="CI253"/>
  <c r="CI103"/>
  <c r="CI481"/>
  <c r="CI412"/>
  <c r="CI145"/>
  <c r="CI344"/>
  <c r="CI127"/>
  <c r="CI202"/>
  <c r="CI476"/>
  <c r="CI457"/>
  <c r="CI497"/>
  <c r="CI225"/>
  <c r="CI188"/>
  <c r="CI125"/>
  <c r="CI454"/>
  <c r="CI242"/>
  <c r="CI75"/>
  <c r="CI396"/>
  <c r="CI112"/>
  <c r="CI501"/>
  <c r="CI142"/>
  <c r="CI94"/>
  <c r="CI389"/>
  <c r="CI406"/>
  <c r="CI235"/>
  <c r="CI322"/>
  <c r="CI516"/>
  <c r="CI440"/>
  <c r="CI334"/>
  <c r="CI506"/>
  <c r="CI84"/>
  <c r="CI284"/>
  <c r="CI164"/>
  <c r="CI258"/>
  <c r="CI512"/>
  <c r="CI246"/>
  <c r="CI410"/>
  <c r="CI261"/>
  <c r="CI458"/>
  <c r="CI21"/>
  <c r="CQ21" s="1"/>
  <c r="CI155"/>
  <c r="CI450"/>
  <c r="CI278"/>
  <c r="CI32"/>
  <c r="CI311"/>
  <c r="CI429"/>
  <c r="CI61"/>
  <c r="CI237"/>
  <c r="CI355"/>
  <c r="CI114"/>
  <c r="CI183"/>
  <c r="CI120"/>
  <c r="CI93"/>
  <c r="CI153"/>
  <c r="CI172"/>
  <c r="CI303"/>
  <c r="CI97"/>
  <c r="CI372"/>
  <c r="CJ308"/>
  <c r="CJ72"/>
  <c r="CJ46"/>
  <c r="CJ357"/>
  <c r="CJ424"/>
  <c r="CJ269"/>
  <c r="CJ240"/>
  <c r="CJ248"/>
  <c r="CJ125"/>
  <c r="CJ157"/>
  <c r="CJ481"/>
  <c r="CJ345"/>
  <c r="CJ271"/>
  <c r="CJ439"/>
  <c r="CJ391"/>
  <c r="CJ193"/>
  <c r="CJ417"/>
  <c r="CJ119"/>
  <c r="CJ192"/>
  <c r="CJ112"/>
  <c r="CJ256"/>
  <c r="CJ191"/>
  <c r="CJ169"/>
  <c r="CJ50"/>
  <c r="CJ302"/>
  <c r="CJ220"/>
  <c r="CJ293"/>
  <c r="CJ246"/>
  <c r="CJ452"/>
  <c r="CJ377"/>
  <c r="CJ121"/>
  <c r="CJ508"/>
  <c r="CJ52"/>
  <c r="CJ136"/>
  <c r="CJ471"/>
  <c r="CJ374"/>
  <c r="CJ499"/>
  <c r="CJ177"/>
  <c r="CJ242"/>
  <c r="CJ35"/>
  <c r="CJ206"/>
  <c r="CJ76"/>
  <c r="CJ378"/>
  <c r="CJ201"/>
  <c r="CJ154"/>
  <c r="CJ102"/>
  <c r="CJ223"/>
  <c r="CJ88"/>
  <c r="CJ241"/>
  <c r="CJ165"/>
  <c r="CJ109"/>
  <c r="CJ43"/>
  <c r="CJ166"/>
  <c r="CJ18"/>
  <c r="CR18" s="1"/>
  <c r="CJ473"/>
  <c r="CJ322"/>
  <c r="CJ340"/>
  <c r="CJ355"/>
  <c r="CJ353"/>
  <c r="CJ461"/>
  <c r="CJ66"/>
  <c r="CJ311"/>
  <c r="CJ224"/>
  <c r="CJ500"/>
  <c r="CJ91"/>
  <c r="CJ362"/>
  <c r="CJ410"/>
  <c r="CJ376"/>
  <c r="CJ466"/>
  <c r="CJ189"/>
  <c r="CJ358"/>
  <c r="CJ370"/>
  <c r="CJ430"/>
  <c r="CJ342"/>
  <c r="CJ180"/>
  <c r="CJ477"/>
  <c r="CJ356"/>
  <c r="CJ144"/>
  <c r="CJ321"/>
  <c r="CJ343"/>
  <c r="CJ93"/>
  <c r="CJ39"/>
  <c r="CJ126"/>
  <c r="CV29"/>
  <c r="CV28"/>
  <c r="CL19"/>
  <c r="CT19" s="1"/>
  <c r="CL22"/>
  <c r="CT22" s="1"/>
  <c r="CI337"/>
  <c r="CI262"/>
  <c r="CI384"/>
  <c r="CI380"/>
  <c r="CI29"/>
  <c r="CQ29" s="1"/>
  <c r="CI110"/>
  <c r="CI294"/>
  <c r="CI499"/>
  <c r="CI72"/>
  <c r="CI147"/>
  <c r="CI92"/>
  <c r="CI89"/>
  <c r="CI41"/>
  <c r="CI461"/>
  <c r="CI65"/>
  <c r="CI70"/>
  <c r="CI373"/>
  <c r="CI325"/>
  <c r="CI178"/>
  <c r="CI100"/>
  <c r="CI159"/>
  <c r="CI223"/>
  <c r="CI198"/>
  <c r="CI477"/>
  <c r="CI498"/>
  <c r="CI468"/>
  <c r="CI508"/>
  <c r="CI400"/>
  <c r="CI272"/>
  <c r="CI166"/>
  <c r="CI131"/>
  <c r="CI270"/>
  <c r="CI76"/>
  <c r="CI231"/>
  <c r="CI247"/>
  <c r="CI356"/>
  <c r="CI281"/>
  <c r="CI195"/>
  <c r="CI343"/>
  <c r="CI177"/>
  <c r="CI386"/>
  <c r="CI51"/>
  <c r="CI264"/>
  <c r="CI452"/>
  <c r="CI57"/>
  <c r="CI332"/>
  <c r="CI493"/>
  <c r="CI199"/>
  <c r="CI320"/>
  <c r="CI163"/>
  <c r="CI466"/>
  <c r="CI293"/>
  <c r="CI52"/>
  <c r="CI25"/>
  <c r="CQ25" s="1"/>
  <c r="CI277"/>
  <c r="CI462"/>
  <c r="CI441"/>
  <c r="CI248"/>
  <c r="CI503"/>
  <c r="CI382"/>
  <c r="CI23"/>
  <c r="CQ23" s="1"/>
  <c r="CI130"/>
  <c r="CI295"/>
  <c r="CI346"/>
  <c r="CI212"/>
  <c r="CI418"/>
  <c r="CI249"/>
  <c r="CI286"/>
  <c r="CI490"/>
  <c r="CI425"/>
  <c r="CL31"/>
  <c r="CJ403"/>
  <c r="CJ251"/>
  <c r="CJ100"/>
  <c r="CJ178"/>
  <c r="CJ59"/>
  <c r="CJ77"/>
  <c r="CJ179"/>
  <c r="CJ54"/>
  <c r="CJ134"/>
  <c r="CJ404"/>
  <c r="CJ486"/>
  <c r="CJ480"/>
  <c r="CJ274"/>
  <c r="CJ515"/>
  <c r="CJ325"/>
  <c r="CJ495"/>
  <c r="CJ33"/>
  <c r="CJ188"/>
  <c r="CJ255"/>
  <c r="CJ73"/>
  <c r="CJ151"/>
  <c r="CJ455"/>
  <c r="CJ216"/>
  <c r="CJ399"/>
  <c r="CJ394"/>
  <c r="CJ63"/>
  <c r="CJ140"/>
  <c r="CJ149"/>
  <c r="CJ513"/>
  <c r="CJ504"/>
  <c r="CJ440"/>
  <c r="CJ479"/>
  <c r="CJ237"/>
  <c r="CJ277"/>
  <c r="CJ95"/>
  <c r="CJ392"/>
  <c r="CJ71"/>
  <c r="CJ236"/>
  <c r="CJ453"/>
  <c r="CJ70"/>
  <c r="CJ445"/>
  <c r="CJ416"/>
  <c r="CJ372"/>
  <c r="CJ226"/>
  <c r="CJ78"/>
  <c r="CJ212"/>
  <c r="CJ22"/>
  <c r="CR22" s="1"/>
  <c r="CJ413"/>
  <c r="CJ120"/>
  <c r="CJ475"/>
  <c r="CJ485"/>
  <c r="CJ291"/>
  <c r="CJ316"/>
  <c r="CJ79"/>
  <c r="CJ159"/>
  <c r="CJ510"/>
  <c r="CJ423"/>
  <c r="CJ411"/>
  <c r="CJ182"/>
  <c r="CJ200"/>
  <c r="CJ210"/>
  <c r="CJ414"/>
  <c r="CJ298"/>
  <c r="CJ491"/>
  <c r="CJ55"/>
  <c r="CJ129"/>
  <c r="CJ381"/>
  <c r="CJ262"/>
  <c r="CJ382"/>
  <c r="CJ462"/>
  <c r="CJ247"/>
  <c r="CJ511"/>
  <c r="CJ465"/>
  <c r="CJ301"/>
  <c r="CJ516"/>
  <c r="CJ437"/>
  <c r="CJ164"/>
  <c r="CJ490"/>
  <c r="CJ328"/>
  <c r="CJ348"/>
  <c r="CJ296"/>
  <c r="CJ56"/>
  <c r="CJ287"/>
  <c r="CL27"/>
  <c r="CM27" s="1"/>
  <c r="CU27" s="1"/>
  <c r="CL30"/>
  <c r="CT30" s="1"/>
  <c r="CV21"/>
  <c r="CL23"/>
  <c r="CT23" s="1"/>
  <c r="CI210"/>
  <c r="CI26"/>
  <c r="CQ26" s="1"/>
  <c r="CI192"/>
  <c r="CI308"/>
  <c r="CI221"/>
  <c r="CI107"/>
  <c r="CI298"/>
  <c r="CI230"/>
  <c r="CI24"/>
  <c r="CQ24" s="1"/>
  <c r="CI416"/>
  <c r="CI238"/>
  <c r="CI136"/>
  <c r="CI259"/>
  <c r="CI359"/>
  <c r="CI160"/>
  <c r="CI46"/>
  <c r="CI243"/>
  <c r="CI397"/>
  <c r="CI401"/>
  <c r="CI184"/>
  <c r="CI301"/>
  <c r="CI241"/>
  <c r="CI453"/>
  <c r="CI388"/>
  <c r="CI392"/>
  <c r="CI291"/>
  <c r="CI88"/>
  <c r="CI80"/>
  <c r="CI138"/>
  <c r="CI245"/>
  <c r="CI465"/>
  <c r="CI105"/>
  <c r="CI22"/>
  <c r="CQ22" s="1"/>
  <c r="CI448"/>
  <c r="CI236"/>
  <c r="CI469"/>
  <c r="CI338"/>
  <c r="CI250"/>
  <c r="CI102"/>
  <c r="CI181"/>
  <c r="CI437"/>
  <c r="CI104"/>
  <c r="CI109"/>
  <c r="CI234"/>
  <c r="CI352"/>
  <c r="CI419"/>
  <c r="CI430"/>
  <c r="CI318"/>
  <c r="CI381"/>
  <c r="CI489"/>
  <c r="CI305"/>
  <c r="CI45"/>
  <c r="CI428"/>
  <c r="CI455"/>
  <c r="CI152"/>
  <c r="CI436"/>
  <c r="CI193"/>
  <c r="CI81"/>
  <c r="CI139"/>
  <c r="CI140"/>
  <c r="CI263"/>
  <c r="CI283"/>
  <c r="CI329"/>
  <c r="CI456"/>
  <c r="CI357"/>
  <c r="CI20"/>
  <c r="CQ20" s="1"/>
  <c r="CI170"/>
  <c r="CI31"/>
  <c r="CQ31"/>
  <c r="CI179"/>
  <c r="CI28"/>
  <c r="CQ28" s="1"/>
  <c r="CI67"/>
  <c r="CI99"/>
  <c r="CI50"/>
  <c r="CI404"/>
  <c r="CI459"/>
  <c r="CI273"/>
  <c r="CI115"/>
  <c r="CI479"/>
  <c r="CI379"/>
  <c r="CI350"/>
  <c r="CI191"/>
  <c r="CI113"/>
  <c r="CI134"/>
  <c r="J16"/>
  <c r="CO14" s="1"/>
  <c r="CI220"/>
  <c r="CI394"/>
  <c r="CI282"/>
  <c r="CI78"/>
  <c r="CI18"/>
  <c r="CQ18" s="1"/>
  <c r="CI433"/>
  <c r="CI174"/>
  <c r="CI475"/>
  <c r="CI35"/>
  <c r="CI402"/>
  <c r="CI364"/>
  <c r="CI239"/>
  <c r="CI62"/>
  <c r="CI37"/>
  <c r="CI276"/>
  <c r="CI483"/>
  <c r="CI279"/>
  <c r="CI362"/>
  <c r="CI367"/>
  <c r="CI209"/>
  <c r="CI128"/>
  <c r="CI484"/>
  <c r="CI49"/>
  <c r="CI117"/>
  <c r="CI86"/>
  <c r="CI214"/>
  <c r="CI487"/>
  <c r="CI370"/>
  <c r="CI33"/>
  <c r="CT29"/>
  <c r="DJ15"/>
  <c r="BK6" s="1"/>
  <c r="CT24"/>
  <c r="BK15"/>
  <c r="BK5" s="1"/>
  <c r="CM28"/>
  <c r="CU28" s="1"/>
  <c r="CM20"/>
  <c r="CU20" s="1"/>
  <c r="CM26"/>
  <c r="CU26" s="1"/>
  <c r="DF5"/>
  <c r="CM31"/>
  <c r="CU31"/>
  <c r="CM29"/>
  <c r="CU29" s="1"/>
  <c r="CT27"/>
  <c r="DF6"/>
  <c r="CO18" a="1"/>
  <c r="CM23" l="1"/>
  <c r="CU23" s="1"/>
  <c r="CT25"/>
  <c r="CT21"/>
  <c r="CM18"/>
  <c r="CU18" s="1"/>
  <c r="CM30"/>
  <c r="CU30" s="1"/>
  <c r="CM22"/>
  <c r="CU22" s="1"/>
  <c r="CM19"/>
  <c r="CU19" s="1"/>
  <c r="CO473"/>
  <c r="CO266"/>
  <c r="CO203"/>
  <c r="CO452"/>
  <c r="CO435"/>
  <c r="CO461"/>
  <c r="CO443"/>
  <c r="CO157"/>
  <c r="CO178"/>
  <c r="CO75"/>
  <c r="CO82"/>
  <c r="CO31"/>
  <c r="CW31"/>
  <c r="CO190"/>
  <c r="CO250"/>
  <c r="CO92"/>
  <c r="CO59"/>
  <c r="CO327"/>
  <c r="CO145"/>
  <c r="CO21"/>
  <c r="CW21" s="1"/>
  <c r="CO425"/>
  <c r="CO407"/>
  <c r="CO392"/>
  <c r="CO239"/>
  <c r="CO182"/>
  <c r="CO57"/>
  <c r="CO303"/>
  <c r="CO507"/>
  <c r="CO403"/>
  <c r="CO358"/>
  <c r="CO77"/>
  <c r="CO411"/>
  <c r="CO291"/>
  <c r="CO189"/>
  <c r="CO96"/>
  <c r="CO74"/>
  <c r="CO364"/>
  <c r="CO241"/>
  <c r="CO255"/>
  <c r="CO103"/>
  <c r="CO432"/>
  <c r="CO34"/>
  <c r="CO206"/>
  <c r="CO56"/>
  <c r="CO29"/>
  <c r="CW29" s="1"/>
  <c r="CO185"/>
  <c r="CO104"/>
  <c r="CO309"/>
  <c r="CO310"/>
  <c r="CO226"/>
  <c r="CO466"/>
  <c r="CO464"/>
  <c r="CO295"/>
  <c r="CO418"/>
  <c r="CO154"/>
  <c r="CO318"/>
  <c r="CO336"/>
  <c r="CO491"/>
  <c r="CO396"/>
  <c r="CO395"/>
  <c r="CO281"/>
  <c r="CO63"/>
  <c r="CO44"/>
  <c r="CO249"/>
  <c r="CO340"/>
  <c r="CO30"/>
  <c r="CW30" s="1"/>
  <c r="CO197"/>
  <c r="CO163"/>
  <c r="CO300"/>
  <c r="CO95"/>
  <c r="CO478"/>
  <c r="CO371"/>
  <c r="CO482"/>
  <c r="CO274"/>
  <c r="CO224"/>
  <c r="CO199"/>
  <c r="CO116"/>
  <c r="CO368"/>
  <c r="CO456"/>
  <c r="CO69"/>
  <c r="CO285"/>
  <c r="CO208"/>
  <c r="CO377"/>
  <c r="CO356"/>
  <c r="CO117"/>
  <c r="CO337"/>
  <c r="CO209"/>
  <c r="CO429"/>
  <c r="CO123"/>
  <c r="CO127"/>
  <c r="CO243"/>
  <c r="CO247"/>
  <c r="CO380"/>
  <c r="CO267"/>
  <c r="CO290"/>
  <c r="CO280"/>
  <c r="CO109"/>
  <c r="CO215"/>
  <c r="CO424"/>
  <c r="CO386"/>
  <c r="CO379"/>
  <c r="CO180"/>
  <c r="CO137"/>
  <c r="CO376"/>
  <c r="CO174"/>
  <c r="CO469"/>
  <c r="CO270"/>
  <c r="CO409"/>
  <c r="CO171"/>
  <c r="CO99"/>
  <c r="CO253"/>
  <c r="CO238"/>
  <c r="CO315"/>
  <c r="CO367"/>
  <c r="CO212"/>
  <c r="CO397"/>
  <c r="CO257"/>
  <c r="CO512"/>
  <c r="CO453"/>
  <c r="CO489"/>
  <c r="CO45"/>
  <c r="CO458"/>
  <c r="CO126"/>
  <c r="CO414"/>
  <c r="CO387"/>
  <c r="CO494"/>
  <c r="CO402"/>
  <c r="CO375"/>
  <c r="CO447"/>
  <c r="CO269"/>
  <c r="CO329"/>
  <c r="CO497"/>
  <c r="CO254"/>
  <c r="CO421"/>
  <c r="CO366"/>
  <c r="CO90"/>
  <c r="CO359"/>
  <c r="CO78"/>
  <c r="CO355"/>
  <c r="CO390"/>
  <c r="CO61"/>
  <c r="CO348"/>
  <c r="CO251"/>
  <c r="CO98"/>
  <c r="CO164"/>
  <c r="CO140"/>
  <c r="CO493"/>
  <c r="CO462"/>
  <c r="CO339"/>
  <c r="CO198"/>
  <c r="CO79"/>
  <c r="CZ18"/>
  <c r="CO67"/>
  <c r="CO444"/>
  <c r="CO46"/>
  <c r="CO287"/>
  <c r="CO273"/>
  <c r="CO162"/>
  <c r="CO221"/>
  <c r="CO138"/>
  <c r="CO292"/>
  <c r="CO417"/>
  <c r="CO195"/>
  <c r="CO213"/>
  <c r="CO36"/>
  <c r="CO231"/>
  <c r="CO110"/>
  <c r="CO107"/>
  <c r="CO370"/>
  <c r="CO54"/>
  <c r="CO455"/>
  <c r="CO149"/>
  <c r="CO240"/>
  <c r="CO234"/>
  <c r="CO47"/>
  <c r="CO490"/>
  <c r="CO320"/>
  <c r="CO301"/>
  <c r="CO205"/>
  <c r="CO222"/>
  <c r="CO465"/>
  <c r="CO112"/>
  <c r="CO256"/>
  <c r="CO211"/>
  <c r="CO88"/>
  <c r="CO113"/>
  <c r="CO498"/>
  <c r="CO454"/>
  <c r="CO259"/>
  <c r="CO207"/>
  <c r="CO153"/>
  <c r="CO229"/>
  <c r="CO147"/>
  <c r="CO404"/>
  <c r="CO220"/>
  <c r="CO333"/>
  <c r="CO214"/>
  <c r="CO70"/>
  <c r="CO128"/>
  <c r="CO172"/>
  <c r="CO118"/>
  <c r="CO276"/>
  <c r="CO415"/>
  <c r="CO188"/>
  <c r="CO388"/>
  <c r="CO108"/>
  <c r="CO460"/>
  <c r="CO326"/>
  <c r="CO385"/>
  <c r="CO227"/>
  <c r="CO354"/>
  <c r="CO449"/>
  <c r="CO352"/>
  <c r="CO343"/>
  <c r="CO284"/>
  <c r="CO485"/>
  <c r="CO55"/>
  <c r="CO202"/>
  <c r="CO467"/>
  <c r="CO169"/>
  <c r="CO499"/>
  <c r="CO32"/>
  <c r="CO345"/>
  <c r="CO24"/>
  <c r="CW24" s="1"/>
  <c r="CO286"/>
  <c r="CO412"/>
  <c r="CO481"/>
  <c r="CO19"/>
  <c r="CW19" s="1"/>
  <c r="CO442"/>
  <c r="CO81"/>
  <c r="CO374"/>
  <c r="CO351"/>
  <c r="CO365"/>
  <c r="CO277"/>
  <c r="CO83"/>
  <c r="CO500"/>
  <c r="CO186"/>
  <c r="CO338"/>
  <c r="CO502"/>
  <c r="CO40"/>
  <c r="CO307"/>
  <c r="CO62"/>
  <c r="CO373"/>
  <c r="CO272"/>
  <c r="CO398"/>
  <c r="CO378"/>
  <c r="CO308"/>
  <c r="CO181"/>
  <c r="CO405"/>
  <c r="CO468"/>
  <c r="CO347"/>
  <c r="CO184"/>
  <c r="CO237"/>
  <c r="CO349"/>
  <c r="CO264"/>
  <c r="CO476"/>
  <c r="CO420"/>
  <c r="CO492"/>
  <c r="CO325"/>
  <c r="CO433"/>
  <c r="CO495"/>
  <c r="CO173"/>
  <c r="CO451"/>
  <c r="CO487"/>
  <c r="CO472"/>
  <c r="CO175"/>
  <c r="CO94"/>
  <c r="CO204"/>
  <c r="CO143"/>
  <c r="CO71"/>
  <c r="CO97"/>
  <c r="CO101"/>
  <c r="CO384"/>
  <c r="CO305"/>
  <c r="CO344"/>
  <c r="CO265"/>
  <c r="CO68"/>
  <c r="CO328"/>
  <c r="CO363"/>
  <c r="CO430"/>
  <c r="CO225"/>
  <c r="CO423"/>
  <c r="CO369"/>
  <c r="CO35"/>
  <c r="CO475"/>
  <c r="CO437"/>
  <c r="CO187"/>
  <c r="CO258"/>
  <c r="CO319"/>
  <c r="CO151"/>
  <c r="CO37"/>
  <c r="CO501"/>
  <c r="CO245"/>
  <c r="CO383"/>
  <c r="CO389"/>
  <c r="CO38"/>
  <c r="CO441"/>
  <c r="CO179"/>
  <c r="CO297"/>
  <c r="CO248"/>
  <c r="CO48"/>
  <c r="CO100"/>
  <c r="CO427"/>
  <c r="CO136"/>
  <c r="CO312"/>
  <c r="CO275"/>
  <c r="CO436"/>
  <c r="CO335"/>
  <c r="CO428"/>
  <c r="CO514"/>
  <c r="CO210"/>
  <c r="CO353"/>
  <c r="CO194"/>
  <c r="CO193"/>
  <c r="CO85"/>
  <c r="CO236"/>
  <c r="CO394"/>
  <c r="CO422"/>
  <c r="CO131"/>
  <c r="CO322"/>
  <c r="CO155"/>
  <c r="CO346"/>
  <c r="CO362"/>
  <c r="CO313"/>
  <c r="CO434"/>
  <c r="CO341"/>
  <c r="CO217"/>
  <c r="CO142"/>
  <c r="CO20"/>
  <c r="CW20" s="1"/>
  <c r="CO261"/>
  <c r="CO317"/>
  <c r="CO459"/>
  <c r="CO144"/>
  <c r="CO278"/>
  <c r="CO106"/>
  <c r="CO52"/>
  <c r="CO457"/>
  <c r="CO22"/>
  <c r="CW22" s="1"/>
  <c r="CO426"/>
  <c r="CO41"/>
  <c r="CO183"/>
  <c r="CO139"/>
  <c r="CO242"/>
  <c r="CO408"/>
  <c r="CO413"/>
  <c r="CO334"/>
  <c r="CO431"/>
  <c r="CO86"/>
  <c r="CO130"/>
  <c r="CO91"/>
  <c r="CO516"/>
  <c r="CO150"/>
  <c r="CO474"/>
  <c r="CO438"/>
  <c r="CO200"/>
  <c r="CO60"/>
  <c r="CO26"/>
  <c r="CW26" s="1"/>
  <c r="CO283"/>
  <c r="CO314"/>
  <c r="CO509"/>
  <c r="CO282"/>
  <c r="CO216"/>
  <c r="CO80"/>
  <c r="CO152"/>
  <c r="CO121"/>
  <c r="CO66"/>
  <c r="CO105"/>
  <c r="CO330"/>
  <c r="CO360"/>
  <c r="CO263"/>
  <c r="CO323"/>
  <c r="CO244"/>
  <c r="CO166"/>
  <c r="CO393"/>
  <c r="CO170"/>
  <c r="CO42"/>
  <c r="CO298"/>
  <c r="CO23"/>
  <c r="CW23" s="1"/>
  <c r="CO89"/>
  <c r="BL5"/>
  <c r="CO450"/>
  <c r="CO111"/>
  <c r="CO382"/>
  <c r="CO18"/>
  <c r="CW18" s="1"/>
  <c r="CO252"/>
  <c r="CO357"/>
  <c r="CO93"/>
  <c r="CO483"/>
  <c r="CO122"/>
  <c r="CO133"/>
  <c r="CO306"/>
  <c r="CO311"/>
  <c r="CO141"/>
  <c r="CO299"/>
  <c r="CO503"/>
  <c r="CO65"/>
  <c r="CO43"/>
  <c r="CO260"/>
  <c r="CO324"/>
  <c r="CO342"/>
  <c r="CO177"/>
  <c r="CO470"/>
  <c r="CO288"/>
  <c r="CO124"/>
  <c r="CO51"/>
  <c r="CO72"/>
  <c r="CO294"/>
  <c r="CO25"/>
  <c r="CW25" s="1"/>
  <c r="CO439"/>
  <c r="CO58"/>
  <c r="CO246"/>
  <c r="CO102"/>
  <c r="CO511"/>
  <c r="CO496"/>
  <c r="CO191"/>
  <c r="CO321"/>
  <c r="CO445"/>
  <c r="CO134"/>
  <c r="CO293"/>
  <c r="CO176"/>
  <c r="CO76"/>
  <c r="CO235"/>
  <c r="CO160"/>
  <c r="CO400"/>
  <c r="CO504"/>
  <c r="CO73"/>
  <c r="CO304"/>
  <c r="CO505"/>
  <c r="CO513"/>
  <c r="CO268"/>
  <c r="CO399"/>
  <c r="CO223"/>
  <c r="CO486"/>
  <c r="CO419"/>
  <c r="CO201"/>
  <c r="CO471"/>
  <c r="CO416"/>
  <c r="CO401"/>
  <c r="CO87"/>
  <c r="CO33"/>
  <c r="CO381"/>
  <c r="CO39"/>
  <c r="CO161"/>
  <c r="CO440"/>
  <c r="CO158"/>
  <c r="CO279"/>
  <c r="CO446"/>
  <c r="CO508"/>
  <c r="CO125"/>
  <c r="CO480"/>
  <c r="CO132"/>
  <c r="CO27"/>
  <c r="CW27" s="1"/>
  <c r="CO316"/>
  <c r="CO168"/>
  <c r="CO484"/>
  <c r="CO406"/>
  <c r="CO64"/>
  <c r="CO165"/>
  <c r="CO230"/>
  <c r="CO228"/>
  <c r="CO233"/>
  <c r="CO120"/>
  <c r="CO331"/>
  <c r="CO218"/>
  <c r="CO350"/>
  <c r="CO115"/>
  <c r="CO271"/>
  <c r="CO372"/>
  <c r="CO296"/>
  <c r="CO114"/>
  <c r="CO53"/>
  <c r="CO146"/>
  <c r="CO448"/>
  <c r="CO84"/>
  <c r="CO28"/>
  <c r="CW28" s="1"/>
  <c r="CO219"/>
  <c r="CO463"/>
  <c r="CO192"/>
  <c r="CO332"/>
  <c r="CO232"/>
  <c r="CO289"/>
  <c r="CO361"/>
  <c r="CO159"/>
  <c r="CO262"/>
  <c r="CO510"/>
  <c r="CO488"/>
  <c r="CO119"/>
  <c r="CO135"/>
  <c r="CO515"/>
  <c r="CO506"/>
  <c r="CO129"/>
  <c r="CO156"/>
  <c r="CO167"/>
  <c r="CO196"/>
  <c r="CO410"/>
  <c r="CO148"/>
  <c r="CO302"/>
  <c r="BL6"/>
  <c r="CO50"/>
  <c r="CO49"/>
  <c r="CO391"/>
  <c r="BK7"/>
  <c r="CO479"/>
  <c r="CO477"/>
  <c r="J5" i="7" a="1"/>
  <c r="J5"/>
  <c r="S13" a="1"/>
  <c r="AA13" a="1"/>
  <c r="AA423"/>
  <c r="AA169"/>
  <c r="AA372"/>
  <c r="AA113"/>
  <c r="AA511"/>
  <c r="AA294"/>
  <c r="AA305"/>
  <c r="AA287"/>
  <c r="AA243"/>
  <c r="AA186"/>
  <c r="AA316"/>
  <c r="AA280"/>
  <c r="AA121"/>
  <c r="AA41"/>
  <c r="AA223"/>
  <c r="AA421"/>
  <c r="AA39"/>
  <c r="AA269"/>
  <c r="AA324"/>
  <c r="AA438"/>
  <c r="AA182"/>
  <c r="AA371"/>
  <c r="AA369"/>
  <c r="AA407"/>
  <c r="AA500"/>
  <c r="AA166"/>
  <c r="AA99"/>
  <c r="AA170"/>
  <c r="AA505"/>
  <c r="AA175"/>
  <c r="AA262"/>
  <c r="AA90"/>
  <c r="AA298"/>
  <c r="AA16"/>
  <c r="AA463"/>
  <c r="AA94"/>
  <c r="AA378"/>
  <c r="AA337"/>
  <c r="AA227"/>
  <c r="AA15"/>
  <c r="AA354"/>
  <c r="AA289"/>
  <c r="AA218"/>
  <c r="AA236"/>
  <c r="AA233"/>
  <c r="AA138"/>
  <c r="AA330"/>
  <c r="AA310"/>
  <c r="AA22"/>
  <c r="AA404"/>
  <c r="AA151"/>
  <c r="AA230"/>
  <c r="AA321"/>
  <c r="AA58"/>
  <c r="AA73"/>
  <c r="AA495"/>
  <c r="AA46"/>
  <c r="AA81"/>
  <c r="AA357"/>
  <c r="AA173"/>
  <c r="AA444"/>
  <c r="AA210"/>
  <c r="AA91"/>
  <c r="AA60"/>
  <c r="AA348"/>
  <c r="AA486"/>
  <c r="AA104"/>
  <c r="AA135"/>
  <c r="AA428"/>
  <c r="AA29"/>
  <c r="AA440"/>
  <c r="AA304"/>
  <c r="AA420"/>
  <c r="AA72"/>
  <c r="AA277"/>
  <c r="AA159"/>
  <c r="AA234"/>
  <c r="AA256"/>
  <c r="AA122"/>
  <c r="AA116"/>
  <c r="AA38"/>
  <c r="AA142"/>
  <c r="AA367"/>
  <c r="S88"/>
  <c r="S314"/>
  <c r="S290"/>
  <c r="S380"/>
  <c r="S355"/>
  <c r="S363"/>
  <c r="S75"/>
  <c r="S62"/>
  <c r="S328"/>
  <c r="S196"/>
  <c r="S425"/>
  <c r="S297"/>
  <c r="S418"/>
  <c r="S138"/>
  <c r="S498"/>
  <c r="S264"/>
  <c r="S173"/>
  <c r="S58"/>
  <c r="S343"/>
  <c r="S413"/>
  <c r="S377"/>
  <c r="S144"/>
  <c r="S132"/>
  <c r="S250"/>
  <c r="S479"/>
  <c r="S249"/>
  <c r="S44"/>
  <c r="S246"/>
  <c r="S178"/>
  <c r="S124"/>
  <c r="S436"/>
  <c r="S269"/>
  <c r="S34"/>
  <c r="S181"/>
  <c r="S510"/>
  <c r="S331"/>
  <c r="S437"/>
  <c r="S340"/>
  <c r="S164"/>
  <c r="S74"/>
  <c r="S495"/>
  <c r="S72"/>
  <c r="S488"/>
  <c r="S391"/>
  <c r="S458"/>
  <c r="S135"/>
  <c r="S94"/>
  <c r="S82"/>
  <c r="S466"/>
  <c r="S381"/>
  <c r="S213"/>
  <c r="S212"/>
  <c r="S441"/>
  <c r="S416"/>
  <c r="S512"/>
  <c r="S334"/>
  <c r="S313"/>
  <c r="S322"/>
  <c r="S167"/>
  <c r="S405"/>
  <c r="S364"/>
  <c r="S111"/>
  <c r="S122"/>
  <c r="S243"/>
  <c r="S52"/>
  <c r="S489"/>
  <c r="S417"/>
  <c r="S202"/>
  <c r="S352"/>
  <c r="S128"/>
  <c r="S90"/>
  <c r="S378"/>
  <c r="S256"/>
  <c r="S329"/>
  <c r="S499"/>
  <c r="S50"/>
  <c r="S55"/>
  <c r="S483"/>
  <c r="S283"/>
  <c r="S324"/>
  <c r="S193"/>
  <c r="S263"/>
  <c r="S153"/>
  <c r="AA336"/>
  <c r="AA28"/>
  <c r="AA44"/>
  <c r="AA473"/>
  <c r="AA111"/>
  <c r="AA318"/>
  <c r="AA334"/>
  <c r="AA196"/>
  <c r="AA50"/>
  <c r="AA342"/>
  <c r="AA266"/>
  <c r="AA97"/>
  <c r="AA471"/>
  <c r="AA341"/>
  <c r="AA394"/>
  <c r="AA131"/>
  <c r="AA399"/>
  <c r="AA231"/>
  <c r="AA281"/>
  <c r="AA329"/>
  <c r="AA498"/>
  <c r="AA382"/>
  <c r="AA13"/>
  <c r="AA397"/>
  <c r="AA83"/>
  <c r="AA53"/>
  <c r="AA167"/>
  <c r="AA153"/>
  <c r="AA158"/>
  <c r="AA95"/>
  <c r="AA449"/>
  <c r="AA300"/>
  <c r="AA308"/>
  <c r="AA89"/>
  <c r="AA278"/>
  <c r="AA507"/>
  <c r="AA325"/>
  <c r="AA345"/>
  <c r="AA291"/>
  <c r="AA92"/>
  <c r="AA317"/>
  <c r="AA119"/>
  <c r="AA212"/>
  <c r="AA270"/>
  <c r="AA389"/>
  <c r="AA268"/>
  <c r="AA63"/>
  <c r="AA156"/>
  <c r="AA237"/>
  <c r="AA383"/>
  <c r="AA425"/>
  <c r="AA20"/>
  <c r="AA295"/>
  <c r="AA260"/>
  <c r="AA157"/>
  <c r="AA168"/>
  <c r="AA417"/>
  <c r="AA414"/>
  <c r="AA55"/>
  <c r="AA103"/>
  <c r="AA392"/>
  <c r="AA379"/>
  <c r="AA155"/>
  <c r="AA332"/>
  <c r="AA490"/>
  <c r="AA115"/>
  <c r="AA474"/>
  <c r="AA419"/>
  <c r="AA464"/>
  <c r="AA267"/>
  <c r="AA23"/>
  <c r="AA365"/>
  <c r="AA501"/>
  <c r="AA484"/>
  <c r="AA349"/>
  <c r="AA339"/>
  <c r="AA456"/>
  <c r="AA272"/>
  <c r="AA331"/>
  <c r="AA24"/>
  <c r="AA136"/>
  <c r="AA258"/>
  <c r="AA190"/>
  <c r="S187"/>
  <c r="S410"/>
  <c r="S77"/>
  <c r="S459"/>
  <c r="S252"/>
  <c r="S292"/>
  <c r="S361"/>
  <c r="S86"/>
  <c r="S101"/>
  <c r="S457"/>
  <c r="S110"/>
  <c r="S454"/>
  <c r="S291"/>
  <c r="S112"/>
  <c r="S301"/>
  <c r="S214"/>
  <c r="S344"/>
  <c r="S47"/>
  <c r="S147"/>
  <c r="S146"/>
  <c r="S443"/>
  <c r="S320"/>
  <c r="S456"/>
  <c r="S461"/>
  <c r="S158"/>
  <c r="S211"/>
  <c r="S23"/>
  <c r="S482"/>
  <c r="S346"/>
  <c r="S398"/>
  <c r="S203"/>
  <c r="S500"/>
  <c r="S160"/>
  <c r="S493"/>
  <c r="S186"/>
  <c r="S182"/>
  <c r="S174"/>
  <c r="S333"/>
  <c r="S176"/>
  <c r="S393"/>
  <c r="S65"/>
  <c r="S262"/>
  <c r="S255"/>
  <c r="S107"/>
  <c r="S390"/>
  <c r="S197"/>
  <c r="S473"/>
  <c r="S266"/>
  <c r="S338"/>
  <c r="S403"/>
  <c r="S244"/>
  <c r="S201"/>
  <c r="S504"/>
  <c r="S325"/>
  <c r="S105"/>
  <c r="S142"/>
  <c r="S33"/>
  <c r="S394"/>
  <c r="S116"/>
  <c r="S156"/>
  <c r="S113"/>
  <c r="S209"/>
  <c r="S415"/>
  <c r="S265"/>
  <c r="S272"/>
  <c r="S155"/>
  <c r="S102"/>
  <c r="S76"/>
  <c r="S225"/>
  <c r="S480"/>
  <c r="S139"/>
  <c r="S224"/>
  <c r="S199"/>
  <c r="S184"/>
  <c r="S362"/>
  <c r="S407"/>
  <c r="S51"/>
  <c r="S449"/>
  <c r="S81"/>
  <c r="S73"/>
  <c r="S408"/>
  <c r="S491"/>
  <c r="S109"/>
  <c r="AA292"/>
  <c r="AA461"/>
  <c r="AA62"/>
  <c r="AA21"/>
  <c r="AA276"/>
  <c r="AA346"/>
  <c r="AA352"/>
  <c r="AA508"/>
  <c r="AA496"/>
  <c r="AA59"/>
  <c r="AA45"/>
  <c r="AA442"/>
  <c r="AA250"/>
  <c r="AA132"/>
  <c r="AA333"/>
  <c r="AA215"/>
  <c r="AA475"/>
  <c r="AA416"/>
  <c r="AA102"/>
  <c r="AA244"/>
  <c r="AA61"/>
  <c r="AA26"/>
  <c r="AA489"/>
  <c r="AA208"/>
  <c r="AA70"/>
  <c r="AA139"/>
  <c r="AA431"/>
  <c r="AA497"/>
  <c r="AA225"/>
  <c r="AA80"/>
  <c r="AA406"/>
  <c r="AA387"/>
  <c r="AA118"/>
  <c r="AA245"/>
  <c r="AA25"/>
  <c r="AA373"/>
  <c r="AA259"/>
  <c r="AA447"/>
  <c r="AA293"/>
  <c r="AA205"/>
  <c r="AA229"/>
  <c r="AA110"/>
  <c r="AA502"/>
  <c r="AA34"/>
  <c r="AA129"/>
  <c r="AA302"/>
  <c r="AA388"/>
  <c r="AA436"/>
  <c r="AA140"/>
  <c r="AA150"/>
  <c r="AA220"/>
  <c r="AA108"/>
  <c r="AA441"/>
  <c r="AA257"/>
  <c r="AA228"/>
  <c r="AA242"/>
  <c r="AA485"/>
  <c r="AA85"/>
  <c r="AA412"/>
  <c r="AA52"/>
  <c r="AA400"/>
  <c r="AA478"/>
  <c r="AA340"/>
  <c r="AA437"/>
  <c r="AA448"/>
  <c r="AA512"/>
  <c r="AA283"/>
  <c r="AA214"/>
  <c r="AA288"/>
  <c r="AA180"/>
  <c r="AA405"/>
  <c r="AA88"/>
  <c r="AA54"/>
  <c r="AA286"/>
  <c r="AA323"/>
  <c r="AA251"/>
  <c r="AA107"/>
  <c r="AA149"/>
  <c r="AA126"/>
  <c r="AA43"/>
  <c r="AA137"/>
  <c r="AA42"/>
  <c r="AA249"/>
  <c r="S229"/>
  <c r="S508"/>
  <c r="S166"/>
  <c r="S192"/>
  <c r="S28"/>
  <c r="S382"/>
  <c r="S161"/>
  <c r="S460"/>
  <c r="S188"/>
  <c r="S53"/>
  <c r="S444"/>
  <c r="S440"/>
  <c r="S89"/>
  <c r="S154"/>
  <c r="S68"/>
  <c r="S60"/>
  <c r="S70"/>
  <c r="S350"/>
  <c r="S93"/>
  <c r="S20"/>
  <c r="S78"/>
  <c r="S136"/>
  <c r="S165"/>
  <c r="S386"/>
  <c r="S337"/>
  <c r="S115"/>
  <c r="S237"/>
  <c r="S108"/>
  <c r="S220"/>
  <c r="S200"/>
  <c r="S228"/>
  <c r="S91"/>
  <c r="S285"/>
  <c r="S315"/>
  <c r="S87"/>
  <c r="S141"/>
  <c r="S79"/>
  <c r="S294"/>
  <c r="S395"/>
  <c r="S392"/>
  <c r="S43"/>
  <c r="S235"/>
  <c r="S471"/>
  <c r="S233"/>
  <c r="S274"/>
  <c r="S268"/>
  <c r="S414"/>
  <c r="S468"/>
  <c r="S57"/>
  <c r="S59"/>
  <c r="S227"/>
  <c r="S131"/>
  <c r="S180"/>
  <c r="S26"/>
  <c r="S455"/>
  <c r="S383"/>
  <c r="S474"/>
  <c r="S170"/>
  <c r="S185"/>
  <c r="S204"/>
  <c r="S157"/>
  <c r="S148"/>
  <c r="S239"/>
  <c r="S119"/>
  <c r="S429"/>
  <c r="S230"/>
  <c r="S175"/>
  <c r="S308"/>
  <c r="S312"/>
  <c r="S288"/>
  <c r="S464"/>
  <c r="S248"/>
  <c r="S503"/>
  <c r="S222"/>
  <c r="S367"/>
  <c r="S223"/>
  <c r="S469"/>
  <c r="S463"/>
  <c r="S39"/>
  <c r="S83"/>
  <c r="S99"/>
  <c r="S435"/>
  <c r="S298"/>
  <c r="S145"/>
  <c r="AA465"/>
  <c r="AA133"/>
  <c r="AA254"/>
  <c r="AA211"/>
  <c r="AA30"/>
  <c r="AA48"/>
  <c r="AA434"/>
  <c r="AA393"/>
  <c r="AA252"/>
  <c r="AA239"/>
  <c r="AA198"/>
  <c r="AA224"/>
  <c r="AA185"/>
  <c r="AA14"/>
  <c r="AA344"/>
  <c r="AA148"/>
  <c r="AA313"/>
  <c r="AA356"/>
  <c r="AA127"/>
  <c r="AA472"/>
  <c r="AA422"/>
  <c r="AA33"/>
  <c r="AA241"/>
  <c r="AA193"/>
  <c r="AA509"/>
  <c r="AA510"/>
  <c r="AA362"/>
  <c r="AA368"/>
  <c r="AA375"/>
  <c r="AA203"/>
  <c r="AA398"/>
  <c r="AA56"/>
  <c r="AA432"/>
  <c r="AA49"/>
  <c r="AA320"/>
  <c r="AA455"/>
  <c r="AA409"/>
  <c r="AA174"/>
  <c r="AA327"/>
  <c r="AA77"/>
  <c r="AA117"/>
  <c r="AA264"/>
  <c r="AA263"/>
  <c r="AA395"/>
  <c r="AA100"/>
  <c r="AA154"/>
  <c r="AA452"/>
  <c r="AA125"/>
  <c r="AA487"/>
  <c r="AA152"/>
  <c r="AA364"/>
  <c r="AA124"/>
  <c r="AA200"/>
  <c r="AA476"/>
  <c r="AA481"/>
  <c r="AA164"/>
  <c r="AA426"/>
  <c r="AA68"/>
  <c r="AA360"/>
  <c r="AA31"/>
  <c r="AA178"/>
  <c r="AA165"/>
  <c r="AA273"/>
  <c r="AA418"/>
  <c r="AA222"/>
  <c r="AA221"/>
  <c r="AA328"/>
  <c r="AA67"/>
  <c r="AA466"/>
  <c r="AA467"/>
  <c r="AA176"/>
  <c r="AA201"/>
  <c r="AA347"/>
  <c r="AA84"/>
  <c r="AA171"/>
  <c r="AA457"/>
  <c r="AA494"/>
  <c r="AA306"/>
  <c r="AA322"/>
  <c r="AA285"/>
  <c r="AA134"/>
  <c r="AA458"/>
  <c r="AA403"/>
  <c r="S98"/>
  <c r="S80"/>
  <c r="S295"/>
  <c r="S307"/>
  <c r="S496"/>
  <c r="S149"/>
  <c r="S411"/>
  <c r="S478"/>
  <c r="S309"/>
  <c r="S438"/>
  <c r="S434"/>
  <c r="S232"/>
  <c r="S253"/>
  <c r="S332"/>
  <c r="S130"/>
  <c r="S46"/>
  <c r="S260"/>
  <c r="S24"/>
  <c r="S494"/>
  <c r="S372"/>
  <c r="S424"/>
  <c r="S376"/>
  <c r="S375"/>
  <c r="S511"/>
  <c r="S129"/>
  <c r="S114"/>
  <c r="S430"/>
  <c r="S388"/>
  <c r="S310"/>
  <c r="S326"/>
  <c r="S218"/>
  <c r="S238"/>
  <c r="S306"/>
  <c r="S267"/>
  <c r="S226"/>
  <c r="S137"/>
  <c r="S299"/>
  <c r="S245"/>
  <c r="S296"/>
  <c r="S400"/>
  <c r="S159"/>
  <c r="S353"/>
  <c r="S470"/>
  <c r="S423"/>
  <c r="S365"/>
  <c r="S356"/>
  <c r="S347"/>
  <c r="S509"/>
  <c r="S38"/>
  <c r="S422"/>
  <c r="S342"/>
  <c r="S387"/>
  <c r="S171"/>
  <c r="S106"/>
  <c r="S208"/>
  <c r="S354"/>
  <c r="S61"/>
  <c r="S191"/>
  <c r="S358"/>
  <c r="S125"/>
  <c r="S42"/>
  <c r="S505"/>
  <c r="S385"/>
  <c r="S103"/>
  <c r="S215"/>
  <c r="S389"/>
  <c r="S190"/>
  <c r="S251"/>
  <c r="S240"/>
  <c r="S369"/>
  <c r="S305"/>
  <c r="S465"/>
  <c r="S477"/>
  <c r="S303"/>
  <c r="S357"/>
  <c r="S206"/>
  <c r="S490"/>
  <c r="S420"/>
  <c r="S67"/>
  <c r="S35"/>
  <c r="S140"/>
  <c r="S445"/>
  <c r="S241"/>
  <c r="S179"/>
  <c r="AA141"/>
  <c r="AA146"/>
  <c r="AA204"/>
  <c r="AA217"/>
  <c r="AA36"/>
  <c r="AA309"/>
  <c r="AA506"/>
  <c r="AA106"/>
  <c r="AA87"/>
  <c r="AA462"/>
  <c r="AA460"/>
  <c r="AA297"/>
  <c r="AA232"/>
  <c r="AA319"/>
  <c r="AA253"/>
  <c r="AA161"/>
  <c r="AA183"/>
  <c r="AA311"/>
  <c r="AA240"/>
  <c r="AA93"/>
  <c r="AA163"/>
  <c r="AA279"/>
  <c r="AA370"/>
  <c r="AA351"/>
  <c r="AA338"/>
  <c r="AA130"/>
  <c r="AA162"/>
  <c r="AA194"/>
  <c r="AA35"/>
  <c r="AA359"/>
  <c r="AA40"/>
  <c r="AA120"/>
  <c r="AA307"/>
  <c r="AA69"/>
  <c r="AA454"/>
  <c r="AA51"/>
  <c r="AA408"/>
  <c r="AA202"/>
  <c r="AA101"/>
  <c r="AA213"/>
  <c r="AA435"/>
  <c r="AA343"/>
  <c r="AA191"/>
  <c r="AA363"/>
  <c r="AA105"/>
  <c r="AA189"/>
  <c r="AA238"/>
  <c r="AA123"/>
  <c r="AA18"/>
  <c r="AA326"/>
  <c r="AA380"/>
  <c r="AA491"/>
  <c r="AA248"/>
  <c r="AA235"/>
  <c r="AA433"/>
  <c r="AA503"/>
  <c r="AA303"/>
  <c r="AA445"/>
  <c r="AA374"/>
  <c r="AA459"/>
  <c r="AA32"/>
  <c r="AA504"/>
  <c r="AA483"/>
  <c r="AA353"/>
  <c r="AA492"/>
  <c r="AA261"/>
  <c r="AA296"/>
  <c r="AA147"/>
  <c r="AA114"/>
  <c r="AA282"/>
  <c r="AA78"/>
  <c r="AA247"/>
  <c r="AA207"/>
  <c r="AA385"/>
  <c r="AA381"/>
  <c r="AA429"/>
  <c r="AA424"/>
  <c r="AA366"/>
  <c r="AA480"/>
  <c r="AA450"/>
  <c r="AA439"/>
  <c r="AA192"/>
  <c r="AA402"/>
  <c r="AA312"/>
  <c r="S484"/>
  <c r="S13"/>
  <c r="S451"/>
  <c r="S66"/>
  <c r="S406"/>
  <c r="S293"/>
  <c r="S96"/>
  <c r="S317"/>
  <c r="S127"/>
  <c r="S335"/>
  <c r="S336"/>
  <c r="S452"/>
  <c r="S462"/>
  <c r="S370"/>
  <c r="S323"/>
  <c r="S345"/>
  <c r="S271"/>
  <c r="S104"/>
  <c r="S95"/>
  <c r="S217"/>
  <c r="S40"/>
  <c r="S327"/>
  <c r="S275"/>
  <c r="S450"/>
  <c r="S501"/>
  <c r="S279"/>
  <c r="S189"/>
  <c r="S374"/>
  <c r="S150"/>
  <c r="S41"/>
  <c r="S37"/>
  <c r="S22"/>
  <c r="S216"/>
  <c r="S412"/>
  <c r="S92"/>
  <c r="S25"/>
  <c r="S487"/>
  <c r="S32"/>
  <c r="S467"/>
  <c r="S143"/>
  <c r="S118"/>
  <c r="S351"/>
  <c r="S432"/>
  <c r="S379"/>
  <c r="S120"/>
  <c r="S321"/>
  <c r="S497"/>
  <c r="S330"/>
  <c r="S280"/>
  <c r="S366"/>
  <c r="S442"/>
  <c r="S476"/>
  <c r="S289"/>
  <c r="S486"/>
  <c r="S152"/>
  <c r="S281"/>
  <c r="S54"/>
  <c r="S64"/>
  <c r="S426"/>
  <c r="S45"/>
  <c r="S18"/>
  <c r="S15"/>
  <c r="S311"/>
  <c r="S134"/>
  <c r="S162"/>
  <c r="S48"/>
  <c r="S31"/>
  <c r="S349"/>
  <c r="S399"/>
  <c r="S472"/>
  <c r="S401"/>
  <c r="S419"/>
  <c r="S177"/>
  <c r="S339"/>
  <c r="S404"/>
  <c r="S123"/>
  <c r="S439"/>
  <c r="S126"/>
  <c r="S368"/>
  <c r="S433"/>
  <c r="S384"/>
  <c r="S507"/>
  <c r="S453"/>
  <c r="AA195"/>
  <c r="AA188"/>
  <c r="AA451"/>
  <c r="AA209"/>
  <c r="AA335"/>
  <c r="AA401"/>
  <c r="AA468"/>
  <c r="AA57"/>
  <c r="AA358"/>
  <c r="AA199"/>
  <c r="AA290"/>
  <c r="AA197"/>
  <c r="AA493"/>
  <c r="AA181"/>
  <c r="AA86"/>
  <c r="AA499"/>
  <c r="AA79"/>
  <c r="AA410"/>
  <c r="AA350"/>
  <c r="AA47"/>
  <c r="AA299"/>
  <c r="AA255"/>
  <c r="AA128"/>
  <c r="AA443"/>
  <c r="AA477"/>
  <c r="AA187"/>
  <c r="AA65"/>
  <c r="AA415"/>
  <c r="AA19"/>
  <c r="AA482"/>
  <c r="AA71"/>
  <c r="AA143"/>
  <c r="AA376"/>
  <c r="AA413"/>
  <c r="AA27"/>
  <c r="AA246"/>
  <c r="AA172"/>
  <c r="AA179"/>
  <c r="AA75"/>
  <c r="AA396"/>
  <c r="AA488"/>
  <c r="AA470"/>
  <c r="AA98"/>
  <c r="AA275"/>
  <c r="AA274"/>
  <c r="AA411"/>
  <c r="AA184"/>
  <c r="AA446"/>
  <c r="AA206"/>
  <c r="AA469"/>
  <c r="AA361"/>
  <c r="AA377"/>
  <c r="AA112"/>
  <c r="AA177"/>
  <c r="AA390"/>
  <c r="AA82"/>
  <c r="AA160"/>
  <c r="AA284"/>
  <c r="AA66"/>
  <c r="AA109"/>
  <c r="AA76"/>
  <c r="AA96"/>
  <c r="AA315"/>
  <c r="AA74"/>
  <c r="AA265"/>
  <c r="AA314"/>
  <c r="AA219"/>
  <c r="AA64"/>
  <c r="AA355"/>
  <c r="AA226"/>
  <c r="AA37"/>
  <c r="AA301"/>
  <c r="AA479"/>
  <c r="AA271"/>
  <c r="AA391"/>
  <c r="AA144"/>
  <c r="AA386"/>
  <c r="AA427"/>
  <c r="AA384"/>
  <c r="AA216"/>
  <c r="AA453"/>
  <c r="AA145"/>
  <c r="AA17"/>
  <c r="AA430"/>
  <c r="S100"/>
  <c r="S168"/>
  <c r="S16"/>
  <c r="S506"/>
  <c r="S448"/>
  <c r="S258"/>
  <c r="S254"/>
  <c r="S231"/>
  <c r="S195"/>
  <c r="S373"/>
  <c r="S97"/>
  <c r="S207"/>
  <c r="S277"/>
  <c r="S84"/>
  <c r="S304"/>
  <c r="S485"/>
  <c r="S502"/>
  <c r="S261"/>
  <c r="S247"/>
  <c r="S300"/>
  <c r="S421"/>
  <c r="S431"/>
  <c r="S71"/>
  <c r="S257"/>
  <c r="S446"/>
  <c r="S427"/>
  <c r="S428"/>
  <c r="S371"/>
  <c r="S172"/>
  <c r="S210"/>
  <c r="S316"/>
  <c r="S117"/>
  <c r="S234"/>
  <c r="S219"/>
  <c r="S276"/>
  <c r="S341"/>
  <c r="S360"/>
  <c r="S205"/>
  <c r="S259"/>
  <c r="S396"/>
  <c r="S402"/>
  <c r="S36"/>
  <c r="S85"/>
  <c r="S236"/>
  <c r="S30"/>
  <c r="S49"/>
  <c r="S14"/>
  <c r="S270"/>
  <c r="S56"/>
  <c r="S169"/>
  <c r="S286"/>
  <c r="S183"/>
  <c r="S273"/>
  <c r="S21"/>
  <c r="S163"/>
  <c r="S69"/>
  <c r="S121"/>
  <c r="S29"/>
  <c r="S409"/>
  <c r="S397"/>
  <c r="S17"/>
  <c r="S302"/>
  <c r="S492"/>
  <c r="S481"/>
  <c r="S319"/>
  <c r="S282"/>
  <c r="S447"/>
  <c r="S348"/>
  <c r="S287"/>
  <c r="S63"/>
  <c r="S359"/>
  <c r="S194"/>
  <c r="S318"/>
  <c r="S221"/>
  <c r="S475"/>
  <c r="S198"/>
  <c r="S278"/>
  <c r="S133"/>
  <c r="S242"/>
  <c r="S19"/>
  <c r="S284"/>
  <c r="S27"/>
  <c r="S151"/>
  <c r="J8"/>
  <c r="J14"/>
  <c r="U7"/>
  <c r="U6" s="1"/>
  <c r="AV6"/>
  <c r="AV13" a="1"/>
  <c r="AV282"/>
  <c r="AV431"/>
  <c r="AV405"/>
  <c r="AV410"/>
  <c r="AV429"/>
  <c r="AV343"/>
  <c r="AV350"/>
  <c r="AV401"/>
  <c r="AV328"/>
  <c r="AV385"/>
  <c r="AV94"/>
  <c r="AV21"/>
  <c r="BD21" s="1"/>
  <c r="BK21" s="1"/>
  <c r="BL22" s="1"/>
  <c r="BN22" s="1"/>
  <c r="AV375"/>
  <c r="AV155"/>
  <c r="AV145"/>
  <c r="AV336"/>
  <c r="AV137"/>
  <c r="AV22"/>
  <c r="BD22" s="1"/>
  <c r="BK22" s="1"/>
  <c r="BL23" s="1"/>
  <c r="BN23" s="1"/>
  <c r="AV73"/>
  <c r="AV65"/>
  <c r="AV498"/>
  <c r="AV452"/>
  <c r="AV99"/>
  <c r="AV193"/>
  <c r="AV384"/>
  <c r="AV392"/>
  <c r="AV101"/>
  <c r="AV267"/>
  <c r="AV471"/>
  <c r="AV29"/>
  <c r="AV275"/>
  <c r="AV265"/>
  <c r="AV62"/>
  <c r="AV478"/>
  <c r="AV191"/>
  <c r="AV292"/>
  <c r="AV285"/>
  <c r="AV357"/>
  <c r="AV40"/>
  <c r="AV138"/>
  <c r="AV91"/>
  <c r="AV148"/>
  <c r="AV307"/>
  <c r="AV451"/>
  <c r="AV404"/>
  <c r="AV484"/>
  <c r="AV435"/>
  <c r="AV60"/>
  <c r="AV417"/>
  <c r="AV316"/>
  <c r="AV130"/>
  <c r="AV112"/>
  <c r="AV306"/>
  <c r="AV261"/>
  <c r="AV228"/>
  <c r="AV92"/>
  <c r="AV186"/>
  <c r="AV31"/>
  <c r="AV20"/>
  <c r="BD20"/>
  <c r="BK20" s="1"/>
  <c r="BL21" s="1"/>
  <c r="BN21" s="1"/>
  <c r="AV423"/>
  <c r="AV100"/>
  <c r="AV457"/>
  <c r="AV421"/>
  <c r="AV120"/>
  <c r="AV444"/>
  <c r="AV182"/>
  <c r="AV446"/>
  <c r="AV441"/>
  <c r="AV88"/>
  <c r="AV476"/>
  <c r="AV158"/>
  <c r="AV430"/>
  <c r="AV195"/>
  <c r="AV323"/>
  <c r="AV68"/>
  <c r="AV393"/>
  <c r="AV123"/>
  <c r="AV82"/>
  <c r="AV273"/>
  <c r="AV219"/>
  <c r="AV75"/>
  <c r="AV272"/>
  <c r="AV252"/>
  <c r="AV166"/>
  <c r="AV70"/>
  <c r="AV121"/>
  <c r="AV459"/>
  <c r="AV178"/>
  <c r="AV293"/>
  <c r="AV203"/>
  <c r="AV500"/>
  <c r="AV67"/>
  <c r="AV170"/>
  <c r="AV237"/>
  <c r="AV325"/>
  <c r="AV246"/>
  <c r="AV371"/>
  <c r="AV349"/>
  <c r="AV280"/>
  <c r="AV133"/>
  <c r="AV334"/>
  <c r="AV229"/>
  <c r="AV330"/>
  <c r="AV26"/>
  <c r="AV368"/>
  <c r="AV278"/>
  <c r="AV281"/>
  <c r="AV304"/>
  <c r="AV52"/>
  <c r="AV80"/>
  <c r="AV216"/>
  <c r="AV510"/>
  <c r="AV367"/>
  <c r="AV258"/>
  <c r="AV217"/>
  <c r="AV415"/>
  <c r="AV297"/>
  <c r="AV432"/>
  <c r="AV438"/>
  <c r="AV453"/>
  <c r="AV425"/>
  <c r="AV340"/>
  <c r="AV262"/>
  <c r="AV352"/>
  <c r="AV358"/>
  <c r="AV106"/>
  <c r="AV407"/>
  <c r="AV56"/>
  <c r="AV214"/>
  <c r="AV455"/>
  <c r="AV327"/>
  <c r="AV260"/>
  <c r="AV84"/>
  <c r="AV14"/>
  <c r="BD14" s="1"/>
  <c r="BK14" s="1"/>
  <c r="BL15" s="1"/>
  <c r="BN15" s="1"/>
  <c r="AV450"/>
  <c r="AV35"/>
  <c r="AV244"/>
  <c r="AV227"/>
  <c r="AV465"/>
  <c r="AV341"/>
  <c r="AV311"/>
  <c r="AV269"/>
  <c r="AV188"/>
  <c r="AV445"/>
  <c r="AV42"/>
  <c r="AV308"/>
  <c r="AV74"/>
  <c r="AV488"/>
  <c r="AV58"/>
  <c r="AV413"/>
  <c r="AV13"/>
  <c r="BD13" s="1"/>
  <c r="BK13" s="1"/>
  <c r="BL14" s="1"/>
  <c r="AV402"/>
  <c r="AV305"/>
  <c r="AV76"/>
  <c r="AV117"/>
  <c r="AV287"/>
  <c r="AV174"/>
  <c r="AV90"/>
  <c r="AV104"/>
  <c r="AV85"/>
  <c r="AV479"/>
  <c r="AV250"/>
  <c r="AV198"/>
  <c r="AV81"/>
  <c r="AV322"/>
  <c r="AV140"/>
  <c r="AV398"/>
  <c r="AV142"/>
  <c r="AV303"/>
  <c r="AV355"/>
  <c r="AV179"/>
  <c r="AV17"/>
  <c r="BD17" s="1"/>
  <c r="BK17" s="1"/>
  <c r="BL18" s="1"/>
  <c r="BN18" s="1"/>
  <c r="AV360"/>
  <c r="AV436"/>
  <c r="AV326"/>
  <c r="AV254"/>
  <c r="AV78"/>
  <c r="AV129"/>
  <c r="AV18"/>
  <c r="BD18" s="1"/>
  <c r="BK18" s="1"/>
  <c r="BL19" s="1"/>
  <c r="BN19" s="1"/>
  <c r="AV171"/>
  <c r="AV485"/>
  <c r="AV400"/>
  <c r="AV449"/>
  <c r="AV197"/>
  <c r="AV127"/>
  <c r="AV442"/>
  <c r="AV128"/>
  <c r="AV312"/>
  <c r="AV354"/>
  <c r="AV46"/>
  <c r="AV83"/>
  <c r="AV467"/>
  <c r="AV245"/>
  <c r="AV202"/>
  <c r="AV194"/>
  <c r="AV221"/>
  <c r="AV210"/>
  <c r="AV502"/>
  <c r="AV38"/>
  <c r="AV463"/>
  <c r="AV177"/>
  <c r="AV71"/>
  <c r="AV119"/>
  <c r="AV167"/>
  <c r="AV490"/>
  <c r="AV342"/>
  <c r="AV44"/>
  <c r="AV164"/>
  <c r="AV319"/>
  <c r="AV372"/>
  <c r="AV256"/>
  <c r="AV348"/>
  <c r="AV103"/>
  <c r="AV318"/>
  <c r="AV95"/>
  <c r="AV172"/>
  <c r="AV466"/>
  <c r="AV79"/>
  <c r="AV288"/>
  <c r="AV399"/>
  <c r="AV492"/>
  <c r="AV439"/>
  <c r="AV215"/>
  <c r="AV497"/>
  <c r="AV150"/>
  <c r="AV345"/>
  <c r="AV386"/>
  <c r="AV496"/>
  <c r="AV247"/>
  <c r="AV184"/>
  <c r="AV53"/>
  <c r="AV469"/>
  <c r="AV369"/>
  <c r="AV180"/>
  <c r="AV509"/>
  <c r="AV236"/>
  <c r="AV337"/>
  <c r="AV132"/>
  <c r="AV268"/>
  <c r="AV390"/>
  <c r="AV377"/>
  <c r="AV482"/>
  <c r="AV477"/>
  <c r="AV161"/>
  <c r="AV61"/>
  <c r="AV472"/>
  <c r="AV464"/>
  <c r="AV276"/>
  <c r="AV54"/>
  <c r="AV241"/>
  <c r="AV364"/>
  <c r="AV47"/>
  <c r="AV363"/>
  <c r="AV296"/>
  <c r="AV503"/>
  <c r="AV320"/>
  <c r="AV474"/>
  <c r="AV223"/>
  <c r="AV238"/>
  <c r="AV504"/>
  <c r="AV165"/>
  <c r="AV157"/>
  <c r="AV51"/>
  <c r="AV57"/>
  <c r="AV135"/>
  <c r="AV270"/>
  <c r="AV27"/>
  <c r="AV149"/>
  <c r="AV19"/>
  <c r="BD19" s="1"/>
  <c r="BK19" s="1"/>
  <c r="BL20" s="1"/>
  <c r="BN20" s="1"/>
  <c r="AV335"/>
  <c r="AV200"/>
  <c r="AV107"/>
  <c r="AV169"/>
  <c r="AV126"/>
  <c r="AV487"/>
  <c r="AV134"/>
  <c r="AV324"/>
  <c r="AV391"/>
  <c r="AV111"/>
  <c r="AV189"/>
  <c r="AV315"/>
  <c r="AV302"/>
  <c r="AV199"/>
  <c r="AV468"/>
  <c r="AV433"/>
  <c r="AV299"/>
  <c r="AV242"/>
  <c r="AV493"/>
  <c r="AV505"/>
  <c r="AV249"/>
  <c r="AV389"/>
  <c r="AV118"/>
  <c r="AV218"/>
  <c r="AV114"/>
  <c r="AV239"/>
  <c r="AV163"/>
  <c r="AV428"/>
  <c r="AV351"/>
  <c r="AV396"/>
  <c r="AV113"/>
  <c r="AV253"/>
  <c r="AV181"/>
  <c r="AV264"/>
  <c r="AV383"/>
  <c r="AV424"/>
  <c r="AV36"/>
  <c r="AV284"/>
  <c r="AV32"/>
  <c r="AV77"/>
  <c r="AV96"/>
  <c r="AV317"/>
  <c r="AV196"/>
  <c r="AV271"/>
  <c r="AV224"/>
  <c r="AV69"/>
  <c r="AV222"/>
  <c r="AV395"/>
  <c r="AV382"/>
  <c r="AV39"/>
  <c r="AV153"/>
  <c r="AV414"/>
  <c r="AV259"/>
  <c r="AV437"/>
  <c r="AV387"/>
  <c r="AV397"/>
  <c r="AV331"/>
  <c r="AV298"/>
  <c r="AV102"/>
  <c r="AV72"/>
  <c r="AV105"/>
  <c r="AV365"/>
  <c r="AV212"/>
  <c r="AV434"/>
  <c r="AV447"/>
  <c r="AV329"/>
  <c r="AV187"/>
  <c r="AV213"/>
  <c r="AV378"/>
  <c r="AV356"/>
  <c r="AV93"/>
  <c r="AV494"/>
  <c r="AV220"/>
  <c r="AV147"/>
  <c r="AV185"/>
  <c r="AV151"/>
  <c r="AV125"/>
  <c r="AV416"/>
  <c r="AV231"/>
  <c r="AV376"/>
  <c r="AV362"/>
  <c r="AV359"/>
  <c r="AV419"/>
  <c r="AV411"/>
  <c r="AV234"/>
  <c r="AV87"/>
  <c r="AV190"/>
  <c r="AV139"/>
  <c r="AV289"/>
  <c r="AV173"/>
  <c r="AV115"/>
  <c r="AV290"/>
  <c r="AV394"/>
  <c r="AV309"/>
  <c r="AV507"/>
  <c r="AV143"/>
  <c r="AV381"/>
  <c r="AV110"/>
  <c r="AV295"/>
  <c r="AV109"/>
  <c r="AV427"/>
  <c r="AV266"/>
  <c r="AV207"/>
  <c r="AV473"/>
  <c r="AV176"/>
  <c r="AV235"/>
  <c r="AV209"/>
  <c r="AV506"/>
  <c r="AV251"/>
  <c r="AV230"/>
  <c r="AV461"/>
  <c r="AV418"/>
  <c r="AV146"/>
  <c r="AV23"/>
  <c r="BD23" s="1"/>
  <c r="BK23" s="1"/>
  <c r="BL24" s="1"/>
  <c r="BN24" s="1"/>
  <c r="AV66"/>
  <c r="AV301"/>
  <c r="AV156"/>
  <c r="AV347"/>
  <c r="AV16"/>
  <c r="BD16" s="1"/>
  <c r="BK16" s="1"/>
  <c r="BL17" s="1"/>
  <c r="BN17" s="1"/>
  <c r="AV277"/>
  <c r="AV183"/>
  <c r="AV154"/>
  <c r="AV34"/>
  <c r="AV64"/>
  <c r="AV225"/>
  <c r="AV131"/>
  <c r="AV232"/>
  <c r="AV24"/>
  <c r="BD24" s="1"/>
  <c r="BK24" s="1"/>
  <c r="BL25" s="1"/>
  <c r="BN25" s="1"/>
  <c r="AV454"/>
  <c r="AV462"/>
  <c r="AV366"/>
  <c r="AV346"/>
  <c r="AV443"/>
  <c r="AV263"/>
  <c r="AV373"/>
  <c r="AV448"/>
  <c r="AV512"/>
  <c r="AV144"/>
  <c r="AV279"/>
  <c r="AV408"/>
  <c r="AV206"/>
  <c r="AV274"/>
  <c r="AV481"/>
  <c r="AV338"/>
  <c r="AV310"/>
  <c r="AV63"/>
  <c r="AV511"/>
  <c r="AV257"/>
  <c r="AV294"/>
  <c r="AV89"/>
  <c r="AV291"/>
  <c r="AV403"/>
  <c r="AV243"/>
  <c r="AV45"/>
  <c r="AV37"/>
  <c r="AV175"/>
  <c r="AV440"/>
  <c r="AV204"/>
  <c r="AV28"/>
  <c r="AV162"/>
  <c r="AV406"/>
  <c r="AV332"/>
  <c r="AV379"/>
  <c r="AV409"/>
  <c r="AV108"/>
  <c r="AV124"/>
  <c r="AV208"/>
  <c r="AV48"/>
  <c r="AV233"/>
  <c r="AV43"/>
  <c r="AV501"/>
  <c r="AV426"/>
  <c r="AV458"/>
  <c r="AV122"/>
  <c r="AV422"/>
  <c r="AV33"/>
  <c r="AV456"/>
  <c r="AV160"/>
  <c r="AV15"/>
  <c r="BD15" s="1"/>
  <c r="BK15" s="1"/>
  <c r="BL16" s="1"/>
  <c r="BN16" s="1"/>
  <c r="AV30"/>
  <c r="AV353"/>
  <c r="AV97"/>
  <c r="AV491"/>
  <c r="AV508"/>
  <c r="AV50"/>
  <c r="AV483"/>
  <c r="AV240"/>
  <c r="AV489"/>
  <c r="AV116"/>
  <c r="AV201"/>
  <c r="AV152"/>
  <c r="AV313"/>
  <c r="AV283"/>
  <c r="AV41"/>
  <c r="AV226"/>
  <c r="AV370"/>
  <c r="AV388"/>
  <c r="AV25"/>
  <c r="BD25" s="1"/>
  <c r="AV211"/>
  <c r="AV159"/>
  <c r="AV248"/>
  <c r="AV59"/>
  <c r="AV192"/>
  <c r="AV460"/>
  <c r="AV49"/>
  <c r="AV499"/>
  <c r="AV339"/>
  <c r="AV495"/>
  <c r="AV136"/>
  <c r="AV333"/>
  <c r="AV480"/>
  <c r="AV321"/>
  <c r="AV380"/>
  <c r="AV361"/>
  <c r="AV314"/>
  <c r="AV486"/>
  <c r="AV412"/>
  <c r="AV141"/>
  <c r="AV286"/>
  <c r="AV300"/>
  <c r="AV205"/>
  <c r="AV344"/>
  <c r="AV420"/>
  <c r="AV168"/>
  <c r="AV55"/>
  <c r="AV470"/>
  <c r="AV86"/>
  <c r="AV255"/>
  <c r="AV475"/>
  <c r="AV98"/>
  <c r="AV374"/>
  <c r="J9"/>
  <c r="BN14" l="1"/>
  <c r="BM6" s="1"/>
  <c r="J30"/>
  <c r="AY6"/>
  <c r="J10"/>
  <c r="AY13" a="1"/>
  <c r="J6"/>
  <c r="K30" l="1"/>
  <c r="U5"/>
  <c r="AY385"/>
  <c r="AY305"/>
  <c r="AY119"/>
  <c r="AY474"/>
  <c r="AY345"/>
  <c r="AY188"/>
  <c r="AY439"/>
  <c r="AY394"/>
  <c r="AY355"/>
  <c r="AY383"/>
  <c r="AY352"/>
  <c r="AY73"/>
  <c r="AY250"/>
  <c r="AY177"/>
  <c r="AY310"/>
  <c r="AY333"/>
  <c r="AY401"/>
  <c r="AY369"/>
  <c r="AY249"/>
  <c r="AY210"/>
  <c r="AY190"/>
  <c r="AY99"/>
  <c r="AY242"/>
  <c r="AY211"/>
  <c r="AY127"/>
  <c r="AY116"/>
  <c r="AY347"/>
  <c r="AY92"/>
  <c r="AY478"/>
  <c r="AY408"/>
  <c r="AY51"/>
  <c r="AY339"/>
  <c r="AY287"/>
  <c r="AY71"/>
  <c r="AY357"/>
  <c r="AY285"/>
  <c r="AY393"/>
  <c r="AY282"/>
  <c r="AY423"/>
  <c r="AY172"/>
  <c r="AY134"/>
  <c r="AY488"/>
  <c r="AY301"/>
  <c r="AY273"/>
  <c r="AY467"/>
  <c r="AY33"/>
  <c r="AY197"/>
  <c r="AY125"/>
  <c r="AY363"/>
  <c r="AY128"/>
  <c r="AY510"/>
  <c r="AY438"/>
  <c r="AY36"/>
  <c r="AY230"/>
  <c r="AY213"/>
  <c r="AY82"/>
  <c r="AY430"/>
  <c r="AY431"/>
  <c r="AY461"/>
  <c r="AY437"/>
  <c r="AY227"/>
  <c r="AY198"/>
  <c r="AY216"/>
  <c r="AY228"/>
  <c r="AY165"/>
  <c r="AY65"/>
  <c r="AY56"/>
  <c r="AY321"/>
  <c r="AY464"/>
  <c r="AY52"/>
  <c r="AY244"/>
  <c r="AY35"/>
  <c r="AY42"/>
  <c r="AY253"/>
  <c r="AY26"/>
  <c r="AY204"/>
  <c r="AY258"/>
  <c r="AY428"/>
  <c r="AY161"/>
  <c r="AY272"/>
  <c r="AY296"/>
  <c r="AY502"/>
  <c r="AY288"/>
  <c r="AZ6"/>
  <c r="AY453"/>
  <c r="AY494"/>
  <c r="AY158"/>
  <c r="AY485"/>
  <c r="AY149"/>
  <c r="AY292"/>
  <c r="AY76"/>
  <c r="AY324"/>
  <c r="AY500"/>
  <c r="AY111"/>
  <c r="AY456"/>
  <c r="AY260"/>
  <c r="AY334"/>
  <c r="AY200"/>
  <c r="AY343"/>
  <c r="AY153"/>
  <c r="AY279"/>
  <c r="AY384"/>
  <c r="AY70"/>
  <c r="AY37"/>
  <c r="AY276"/>
  <c r="AY458"/>
  <c r="AY405"/>
  <c r="AY410"/>
  <c r="AY45"/>
  <c r="AY293"/>
  <c r="AY476"/>
  <c r="AY137"/>
  <c r="AY201"/>
  <c r="AY126"/>
  <c r="AY459"/>
  <c r="AY440"/>
  <c r="AY183"/>
  <c r="AY117"/>
  <c r="AY115"/>
  <c r="AY495"/>
  <c r="AY164"/>
  <c r="AY69"/>
  <c r="AY79"/>
  <c r="AY90"/>
  <c r="AY139"/>
  <c r="AY274"/>
  <c r="AY342"/>
  <c r="AY415"/>
  <c r="AY387"/>
  <c r="AY492"/>
  <c r="AY85"/>
  <c r="AY105"/>
  <c r="AY163"/>
  <c r="AY504"/>
  <c r="AY481"/>
  <c r="AY166"/>
  <c r="AY176"/>
  <c r="AY267"/>
  <c r="AY330"/>
  <c r="AY419"/>
  <c r="AY39"/>
  <c r="AY397"/>
  <c r="AY192"/>
  <c r="AY22"/>
  <c r="AY407"/>
  <c r="AY13"/>
  <c r="AY445"/>
  <c r="AY471"/>
  <c r="AY43"/>
  <c r="AY179"/>
  <c r="AY256"/>
  <c r="AY186"/>
  <c r="AY392"/>
  <c r="AY449"/>
  <c r="AY129"/>
  <c r="AY506"/>
  <c r="AY219"/>
  <c r="AY152"/>
  <c r="AY266"/>
  <c r="AY182"/>
  <c r="AY208"/>
  <c r="AY222"/>
  <c r="AY457"/>
  <c r="AY496"/>
  <c r="AY268"/>
  <c r="AY327"/>
  <c r="AY349"/>
  <c r="AY265"/>
  <c r="AY259"/>
  <c r="AY422"/>
  <c r="AY291"/>
  <c r="AY225"/>
  <c r="AY245"/>
  <c r="AY380"/>
  <c r="AY460"/>
  <c r="AY50"/>
  <c r="AY319"/>
  <c r="AY27"/>
  <c r="AY447"/>
  <c r="AY475"/>
  <c r="AY257"/>
  <c r="AY436"/>
  <c r="AY224"/>
  <c r="AY241"/>
  <c r="AY337"/>
  <c r="AY255"/>
  <c r="AY118"/>
  <c r="AY44"/>
  <c r="AY477"/>
  <c r="AY367"/>
  <c r="AY299"/>
  <c r="AY91"/>
  <c r="AY328"/>
  <c r="AY318"/>
  <c r="AY103"/>
  <c r="AY323"/>
  <c r="AY424"/>
  <c r="AY389"/>
  <c r="AY281"/>
  <c r="AY335"/>
  <c r="AY66"/>
  <c r="AY171"/>
  <c r="AY311"/>
  <c r="AY181"/>
  <c r="AY240"/>
  <c r="AY130"/>
  <c r="AY313"/>
  <c r="AY344"/>
  <c r="AY68"/>
  <c r="AY215"/>
  <c r="AY350"/>
  <c r="AY374"/>
  <c r="AY101"/>
  <c r="AY469"/>
  <c r="AY356"/>
  <c r="AY286"/>
  <c r="AY189"/>
  <c r="AY443"/>
  <c r="AY366"/>
  <c r="AY417"/>
  <c r="AY170"/>
  <c r="AY442"/>
  <c r="AY175"/>
  <c r="AY483"/>
  <c r="AY54"/>
  <c r="AY441"/>
  <c r="AY202"/>
  <c r="AY386"/>
  <c r="AY316"/>
  <c r="AY434"/>
  <c r="AY338"/>
  <c r="AY466"/>
  <c r="AY140"/>
  <c r="AY353"/>
  <c r="AY331"/>
  <c r="AY78"/>
  <c r="AY472"/>
  <c r="AY433"/>
  <c r="AY302"/>
  <c r="AY23"/>
  <c r="AY169"/>
  <c r="AY93"/>
  <c r="AY509"/>
  <c r="AY283"/>
  <c r="AY235"/>
  <c r="AY336"/>
  <c r="AY114"/>
  <c r="AY19"/>
  <c r="AY462"/>
  <c r="AY29"/>
  <c r="AY446"/>
  <c r="AY402"/>
  <c r="AS6"/>
  <c r="AY47"/>
  <c r="AY269"/>
  <c r="AY377"/>
  <c r="AY184"/>
  <c r="AY398"/>
  <c r="AY254"/>
  <c r="AY340"/>
  <c r="AY297"/>
  <c r="AY142"/>
  <c r="AY88"/>
  <c r="AY360"/>
  <c r="AY371"/>
  <c r="AY308"/>
  <c r="AY81"/>
  <c r="AY61"/>
  <c r="AY154"/>
  <c r="AY412"/>
  <c r="AY60"/>
  <c r="AY416"/>
  <c r="AY284"/>
  <c r="AY312"/>
  <c r="AY131"/>
  <c r="AY364"/>
  <c r="AY358"/>
  <c r="AY498"/>
  <c r="AY21"/>
  <c r="AY425"/>
  <c r="AY234"/>
  <c r="AY232"/>
  <c r="AY84"/>
  <c r="AY332"/>
  <c r="AY31"/>
  <c r="AY511"/>
  <c r="AY275"/>
  <c r="AY317"/>
  <c r="AY480"/>
  <c r="AY174"/>
  <c r="AY406"/>
  <c r="AY388"/>
  <c r="AY372"/>
  <c r="AY304"/>
  <c r="AY138"/>
  <c r="AY151"/>
  <c r="AY122"/>
  <c r="AY98"/>
  <c r="AY454"/>
  <c r="AY261"/>
  <c r="AY102"/>
  <c r="AY112"/>
  <c r="AY450"/>
  <c r="AY404"/>
  <c r="AY58"/>
  <c r="AY361"/>
  <c r="AY86"/>
  <c r="AY468"/>
  <c r="AY167"/>
  <c r="AY53"/>
  <c r="AY143"/>
  <c r="AY473"/>
  <c r="AY484"/>
  <c r="AY413"/>
  <c r="AY104"/>
  <c r="AY370"/>
  <c r="AY14"/>
  <c r="AY403"/>
  <c r="AY414"/>
  <c r="AY277"/>
  <c r="AY135"/>
  <c r="AY28"/>
  <c r="AY470"/>
  <c r="AY246"/>
  <c r="AY145"/>
  <c r="AY97"/>
  <c r="AY236"/>
  <c r="AY248"/>
  <c r="AY251"/>
  <c r="AY435"/>
  <c r="AY451"/>
  <c r="AY432"/>
  <c r="AY62"/>
  <c r="AY381"/>
  <c r="AY203"/>
  <c r="AY341"/>
  <c r="AY420"/>
  <c r="AY107"/>
  <c r="AY159"/>
  <c r="AY465"/>
  <c r="AY223"/>
  <c r="AY89"/>
  <c r="AY162"/>
  <c r="AY411"/>
  <c r="AY133"/>
  <c r="AY95"/>
  <c r="AY263"/>
  <c r="AY221"/>
  <c r="AY448"/>
  <c r="AY121"/>
  <c r="AY322"/>
  <c r="AY295"/>
  <c r="AY199"/>
  <c r="AY348"/>
  <c r="AY109"/>
  <c r="AY400"/>
  <c r="AY206"/>
  <c r="AY155"/>
  <c r="AY390"/>
  <c r="AY144"/>
  <c r="AY289"/>
  <c r="AY120"/>
  <c r="AY455"/>
  <c r="AY489"/>
  <c r="AY365"/>
  <c r="AY178"/>
  <c r="AY106"/>
  <c r="AY379"/>
  <c r="AY24"/>
  <c r="AY233"/>
  <c r="AY147"/>
  <c r="AY497"/>
  <c r="AY72"/>
  <c r="AY49"/>
  <c r="AY214"/>
  <c r="AY499"/>
  <c r="AY17"/>
  <c r="AY351"/>
  <c r="AY108"/>
  <c r="AY146"/>
  <c r="AY193"/>
  <c r="AY74"/>
  <c r="AY486"/>
  <c r="AY209"/>
  <c r="AY207"/>
  <c r="AY247"/>
  <c r="AY326"/>
  <c r="AY59"/>
  <c r="AY320"/>
  <c r="AY218"/>
  <c r="AY220"/>
  <c r="AY229"/>
  <c r="AY55"/>
  <c r="AY503"/>
  <c r="AY329"/>
  <c r="AY427"/>
  <c r="AY15"/>
  <c r="AY195"/>
  <c r="AY75"/>
  <c r="AY57"/>
  <c r="AY20"/>
  <c r="AY212"/>
  <c r="AY32"/>
  <c r="AY136"/>
  <c r="AY34"/>
  <c r="AY300"/>
  <c r="AY157"/>
  <c r="AY40"/>
  <c r="AY18"/>
  <c r="AY262"/>
  <c r="AY185"/>
  <c r="AY375"/>
  <c r="AY132"/>
  <c r="AY41"/>
  <c r="AY196"/>
  <c r="AY399"/>
  <c r="AY64"/>
  <c r="AY507"/>
  <c r="AY46"/>
  <c r="AY418"/>
  <c r="AY217"/>
  <c r="AY346"/>
  <c r="AY307"/>
  <c r="AY110"/>
  <c r="AY479"/>
  <c r="AY482"/>
  <c r="AY160"/>
  <c r="AY306"/>
  <c r="AY226"/>
  <c r="AY168"/>
  <c r="AY376"/>
  <c r="AY309"/>
  <c r="AY80"/>
  <c r="AY444"/>
  <c r="AY426"/>
  <c r="AY396"/>
  <c r="AY194"/>
  <c r="AY67"/>
  <c r="AY368"/>
  <c r="AY303"/>
  <c r="AY409"/>
  <c r="AY148"/>
  <c r="AY83"/>
  <c r="AY156"/>
  <c r="AY359"/>
  <c r="AY123"/>
  <c r="AY382"/>
  <c r="AY501"/>
  <c r="AY243"/>
  <c r="AY187"/>
  <c r="AY325"/>
  <c r="AY141"/>
  <c r="AY96"/>
  <c r="AY180"/>
  <c r="AY452"/>
  <c r="AY94"/>
  <c r="AY48"/>
  <c r="AY493"/>
  <c r="AY378"/>
  <c r="AY373"/>
  <c r="AY298"/>
  <c r="AY315"/>
  <c r="AY63"/>
  <c r="AY205"/>
  <c r="AY25"/>
  <c r="AY100"/>
  <c r="AY191"/>
  <c r="AY231"/>
  <c r="AY429"/>
  <c r="AY421"/>
  <c r="AY314"/>
  <c r="AY391"/>
  <c r="AY238"/>
  <c r="AY239"/>
  <c r="AY491"/>
  <c r="AY395"/>
  <c r="AY271"/>
  <c r="AY463"/>
  <c r="AY150"/>
  <c r="AY173"/>
  <c r="AY508"/>
  <c r="AY354"/>
  <c r="AY280"/>
  <c r="AY124"/>
  <c r="AY38"/>
  <c r="AY505"/>
  <c r="AY87"/>
  <c r="AY490"/>
  <c r="AY487"/>
  <c r="AY77"/>
  <c r="AY264"/>
  <c r="AY362"/>
  <c r="AY252"/>
  <c r="AY270"/>
  <c r="AY290"/>
  <c r="AY113"/>
  <c r="AY278"/>
  <c r="AY237"/>
  <c r="AY30"/>
  <c r="AY512"/>
  <c r="AY294"/>
  <c r="AY16"/>
  <c r="AZ13" a="1"/>
  <c r="AS13" a="1"/>
  <c r="J7"/>
  <c r="U17" l="1"/>
  <c r="U19"/>
  <c r="U25"/>
  <c r="U20"/>
  <c r="U18"/>
  <c r="U21"/>
  <c r="K43"/>
  <c r="X5" s="1" a="1"/>
  <c r="U15"/>
  <c r="U22"/>
  <c r="U16"/>
  <c r="U24"/>
  <c r="U23"/>
  <c r="U14"/>
  <c r="AT6"/>
  <c r="AS437"/>
  <c r="AS449"/>
  <c r="AS298"/>
  <c r="AS464"/>
  <c r="AS69"/>
  <c r="AS482"/>
  <c r="AS43"/>
  <c r="AS83"/>
  <c r="AS156"/>
  <c r="AS219"/>
  <c r="AS356"/>
  <c r="AS139"/>
  <c r="AS142"/>
  <c r="AS202"/>
  <c r="AS291"/>
  <c r="AS195"/>
  <c r="AS278"/>
  <c r="AS89"/>
  <c r="AS149"/>
  <c r="AS441"/>
  <c r="AS81"/>
  <c r="AS75"/>
  <c r="AS170"/>
  <c r="AS468"/>
  <c r="AS461"/>
  <c r="AS389"/>
  <c r="AS49"/>
  <c r="AS391"/>
  <c r="AS505"/>
  <c r="AS500"/>
  <c r="AS263"/>
  <c r="AS445"/>
  <c r="AS508"/>
  <c r="AS401"/>
  <c r="AS253"/>
  <c r="AS73"/>
  <c r="AS107"/>
  <c r="AS483"/>
  <c r="AS364"/>
  <c r="AS405"/>
  <c r="AS481"/>
  <c r="AS62"/>
  <c r="AS311"/>
  <c r="AS71"/>
  <c r="AS302"/>
  <c r="AS198"/>
  <c r="AS249"/>
  <c r="AS63"/>
  <c r="AS106"/>
  <c r="AS120"/>
  <c r="AS424"/>
  <c r="AS221"/>
  <c r="AS241"/>
  <c r="AS148"/>
  <c r="AS175"/>
  <c r="AS13"/>
  <c r="BA13" s="1"/>
  <c r="AS132"/>
  <c r="AS126"/>
  <c r="AS145"/>
  <c r="AS77"/>
  <c r="AS455"/>
  <c r="AS495"/>
  <c r="AS38"/>
  <c r="AS277"/>
  <c r="AS239"/>
  <c r="AS337"/>
  <c r="AS428"/>
  <c r="AS67"/>
  <c r="AS492"/>
  <c r="AS143"/>
  <c r="AS229"/>
  <c r="AS127"/>
  <c r="AS487"/>
  <c r="AS164"/>
  <c r="AS52"/>
  <c r="AS388"/>
  <c r="AS129"/>
  <c r="AS367"/>
  <c r="AS354"/>
  <c r="AS304"/>
  <c r="AS194"/>
  <c r="AS363"/>
  <c r="AS324"/>
  <c r="AZ23"/>
  <c r="BH23" s="1"/>
  <c r="AZ346"/>
  <c r="AZ380"/>
  <c r="AZ194"/>
  <c r="AZ116"/>
  <c r="AZ411"/>
  <c r="AZ269"/>
  <c r="AZ186"/>
  <c r="AZ291"/>
  <c r="AZ273"/>
  <c r="AZ83"/>
  <c r="AZ303"/>
  <c r="AZ72"/>
  <c r="AZ505"/>
  <c r="AZ35"/>
  <c r="AZ15"/>
  <c r="BH15" s="1"/>
  <c r="AZ369"/>
  <c r="AZ444"/>
  <c r="AZ462"/>
  <c r="AZ358"/>
  <c r="AZ309"/>
  <c r="AZ364"/>
  <c r="AZ243"/>
  <c r="AZ312"/>
  <c r="AZ355"/>
  <c r="AZ241"/>
  <c r="AZ416"/>
  <c r="AZ264"/>
  <c r="AZ357"/>
  <c r="AZ401"/>
  <c r="AZ322"/>
  <c r="AZ314"/>
  <c r="AZ450"/>
  <c r="AZ166"/>
  <c r="AZ33"/>
  <c r="AZ203"/>
  <c r="AZ487"/>
  <c r="AZ430"/>
  <c r="AZ191"/>
  <c r="AZ383"/>
  <c r="AZ122"/>
  <c r="AZ226"/>
  <c r="AZ286"/>
  <c r="AZ87"/>
  <c r="AZ160"/>
  <c r="AZ373"/>
  <c r="AZ384"/>
  <c r="AZ484"/>
  <c r="AZ240"/>
  <c r="AZ334"/>
  <c r="AZ168"/>
  <c r="AZ146"/>
  <c r="AZ184"/>
  <c r="AZ512"/>
  <c r="AZ443"/>
  <c r="AZ386"/>
  <c r="AZ319"/>
  <c r="AZ85"/>
  <c r="AZ99"/>
  <c r="AZ90"/>
  <c r="AZ138"/>
  <c r="AZ360"/>
  <c r="AZ106"/>
  <c r="AZ37"/>
  <c r="AZ118"/>
  <c r="AZ308"/>
  <c r="AZ27"/>
  <c r="AZ38"/>
  <c r="AZ210"/>
  <c r="AZ468"/>
  <c r="AZ189"/>
  <c r="AZ328"/>
  <c r="AZ434"/>
  <c r="AZ212"/>
  <c r="AZ511"/>
  <c r="AZ148"/>
  <c r="AZ506"/>
  <c r="AZ34"/>
  <c r="AZ471"/>
  <c r="AZ175"/>
  <c r="AZ107"/>
  <c r="AZ275"/>
  <c r="AZ45"/>
  <c r="AW14"/>
  <c r="AW23"/>
  <c r="AW16"/>
  <c r="AW20"/>
  <c r="AW24"/>
  <c r="AZ318"/>
  <c r="AS294"/>
  <c r="AS392"/>
  <c r="AS16"/>
  <c r="BA16" s="1"/>
  <c r="AS429"/>
  <c r="AS39"/>
  <c r="AS257"/>
  <c r="AS70"/>
  <c r="AS478"/>
  <c r="AS184"/>
  <c r="AS187"/>
  <c r="AS190"/>
  <c r="AS55"/>
  <c r="AS402"/>
  <c r="AS252"/>
  <c r="AS512"/>
  <c r="AS316"/>
  <c r="AS435"/>
  <c r="AS58"/>
  <c r="AS237"/>
  <c r="AS448"/>
  <c r="AS443"/>
  <c r="AS236"/>
  <c r="AS283"/>
  <c r="AS173"/>
  <c r="AS111"/>
  <c r="AS208"/>
  <c r="AS346"/>
  <c r="AS285"/>
  <c r="AS447"/>
  <c r="AS201"/>
  <c r="AS462"/>
  <c r="AS433"/>
  <c r="AS205"/>
  <c r="AS188"/>
  <c r="AS258"/>
  <c r="AS320"/>
  <c r="AS177"/>
  <c r="AS418"/>
  <c r="AS331"/>
  <c r="AS355"/>
  <c r="AS511"/>
  <c r="AS92"/>
  <c r="AS171"/>
  <c r="AS276"/>
  <c r="AS371"/>
  <c r="AS269"/>
  <c r="AS117"/>
  <c r="AS343"/>
  <c r="AS21"/>
  <c r="BA21" s="1"/>
  <c r="AS157"/>
  <c r="AS342"/>
  <c r="AS350"/>
  <c r="AS293"/>
  <c r="AS104"/>
  <c r="AS230"/>
  <c r="AS287"/>
  <c r="AS272"/>
  <c r="AS32"/>
  <c r="AS413"/>
  <c r="AS14"/>
  <c r="BA14" s="1"/>
  <c r="AS247"/>
  <c r="AS288"/>
  <c r="AS206"/>
  <c r="AS128"/>
  <c r="AS192"/>
  <c r="AS400"/>
  <c r="AS169"/>
  <c r="AS64"/>
  <c r="AS440"/>
  <c r="AS427"/>
  <c r="AS496"/>
  <c r="AS250"/>
  <c r="AS390"/>
  <c r="AS460"/>
  <c r="AS395"/>
  <c r="AS313"/>
  <c r="AS353"/>
  <c r="AS330"/>
  <c r="AS211"/>
  <c r="AS204"/>
  <c r="AS271"/>
  <c r="AS57"/>
  <c r="AS130"/>
  <c r="AS373"/>
  <c r="AZ163"/>
  <c r="AZ31"/>
  <c r="AZ399"/>
  <c r="AZ432"/>
  <c r="AZ393"/>
  <c r="AZ178"/>
  <c r="AZ463"/>
  <c r="AZ280"/>
  <c r="AZ259"/>
  <c r="AZ251"/>
  <c r="AZ229"/>
  <c r="AZ289"/>
  <c r="AZ246"/>
  <c r="AZ17"/>
  <c r="BH17" s="1"/>
  <c r="AZ348"/>
  <c r="AZ492"/>
  <c r="AZ21"/>
  <c r="BH21" s="1"/>
  <c r="AZ94"/>
  <c r="AZ325"/>
  <c r="AZ448"/>
  <c r="AZ494"/>
  <c r="AZ192"/>
  <c r="AZ81"/>
  <c r="AZ109"/>
  <c r="AZ485"/>
  <c r="AZ285"/>
  <c r="AZ235"/>
  <c r="AZ313"/>
  <c r="AZ409"/>
  <c r="AZ257"/>
  <c r="AZ62"/>
  <c r="AZ489"/>
  <c r="AZ352"/>
  <c r="AZ245"/>
  <c r="AZ366"/>
  <c r="AZ464"/>
  <c r="AZ61"/>
  <c r="AZ298"/>
  <c r="AZ475"/>
  <c r="AZ58"/>
  <c r="AZ387"/>
  <c r="AZ270"/>
  <c r="AZ162"/>
  <c r="AZ454"/>
  <c r="AZ187"/>
  <c r="AZ294"/>
  <c r="AZ425"/>
  <c r="AZ406"/>
  <c r="AZ231"/>
  <c r="AZ426"/>
  <c r="AZ142"/>
  <c r="AZ105"/>
  <c r="AZ470"/>
  <c r="AZ398"/>
  <c r="AZ428"/>
  <c r="AZ316"/>
  <c r="AZ333"/>
  <c r="AZ283"/>
  <c r="AZ457"/>
  <c r="AZ68"/>
  <c r="AZ503"/>
  <c r="AZ265"/>
  <c r="AZ132"/>
  <c r="AZ381"/>
  <c r="AZ326"/>
  <c r="AZ86"/>
  <c r="AZ196"/>
  <c r="AZ370"/>
  <c r="AZ207"/>
  <c r="AZ340"/>
  <c r="AZ424"/>
  <c r="AZ412"/>
  <c r="AZ278"/>
  <c r="AZ295"/>
  <c r="AZ375"/>
  <c r="AZ204"/>
  <c r="AZ335"/>
  <c r="AZ480"/>
  <c r="AZ101"/>
  <c r="AZ249"/>
  <c r="AZ394"/>
  <c r="AZ56"/>
  <c r="AZ292"/>
  <c r="BG14"/>
  <c r="BG23"/>
  <c r="BG16"/>
  <c r="BG20"/>
  <c r="BG24"/>
  <c r="AS138"/>
  <c r="AZ317"/>
  <c r="AZ73"/>
  <c r="AZ282"/>
  <c r="AZ75"/>
  <c r="AZ274"/>
  <c r="AZ199"/>
  <c r="AZ418"/>
  <c r="AZ460"/>
  <c r="AZ323"/>
  <c r="AZ139"/>
  <c r="AZ300"/>
  <c r="AZ288"/>
  <c r="AZ497"/>
  <c r="AZ225"/>
  <c r="AZ248"/>
  <c r="AZ290"/>
  <c r="AZ18"/>
  <c r="BH18" s="1"/>
  <c r="AZ253"/>
  <c r="AZ478"/>
  <c r="AZ20"/>
  <c r="BH20" s="1"/>
  <c r="AZ310"/>
  <c r="AZ385"/>
  <c r="AW22"/>
  <c r="AW18"/>
  <c r="AW17"/>
  <c r="AS255"/>
  <c r="AS303"/>
  <c r="AS40"/>
  <c r="AS18"/>
  <c r="BA18" s="1"/>
  <c r="AS259"/>
  <c r="AS68"/>
  <c r="AS398"/>
  <c r="AS281"/>
  <c r="AS439"/>
  <c r="AS82"/>
  <c r="AS325"/>
  <c r="AS348"/>
  <c r="AS23"/>
  <c r="BA23" s="1"/>
  <c r="AS494"/>
  <c r="AS318"/>
  <c r="AS136"/>
  <c r="AS361"/>
  <c r="AS212"/>
  <c r="AS17"/>
  <c r="BA17" s="1"/>
  <c r="AS36"/>
  <c r="AS322"/>
  <c r="AS473"/>
  <c r="AS88"/>
  <c r="AS86"/>
  <c r="AS220"/>
  <c r="AS267"/>
  <c r="AS44"/>
  <c r="AS161"/>
  <c r="AS244"/>
  <c r="AS358"/>
  <c r="AS91"/>
  <c r="AS399"/>
  <c r="AS404"/>
  <c r="AS103"/>
  <c r="AS387"/>
  <c r="AS48"/>
  <c r="AS472"/>
  <c r="AS359"/>
  <c r="AS19"/>
  <c r="BA19" s="1"/>
  <c r="AS319"/>
  <c r="AS234"/>
  <c r="AS183"/>
  <c r="AS297"/>
  <c r="AS469"/>
  <c r="AS488"/>
  <c r="AS197"/>
  <c r="AS340"/>
  <c r="AS446"/>
  <c r="AS499"/>
  <c r="AS335"/>
  <c r="AS146"/>
  <c r="AS225"/>
  <c r="AS110"/>
  <c r="AS479"/>
  <c r="AS490"/>
  <c r="AS180"/>
  <c r="AS369"/>
  <c r="AS344"/>
  <c r="AS84"/>
  <c r="AS22"/>
  <c r="BA22" s="1"/>
  <c r="AS279"/>
  <c r="AS484"/>
  <c r="AS451"/>
  <c r="AS301"/>
  <c r="AS450"/>
  <c r="AS417"/>
  <c r="AS217"/>
  <c r="AS141"/>
  <c r="AS93"/>
  <c r="AS24"/>
  <c r="BA24" s="1"/>
  <c r="AS498"/>
  <c r="AS207"/>
  <c r="AS200"/>
  <c r="AS37"/>
  <c r="AS226"/>
  <c r="AS242"/>
  <c r="AS452"/>
  <c r="AS193"/>
  <c r="AS90"/>
  <c r="AS231"/>
  <c r="AS365"/>
  <c r="AS50"/>
  <c r="AS503"/>
  <c r="AS378"/>
  <c r="AS309"/>
  <c r="AS30"/>
  <c r="AS477"/>
  <c r="AS31"/>
  <c r="AS224"/>
  <c r="AS189"/>
  <c r="AS315"/>
  <c r="AS412"/>
  <c r="AS380"/>
  <c r="AS162"/>
  <c r="AS326"/>
  <c r="AS410"/>
  <c r="AS341"/>
  <c r="AS25"/>
  <c r="BA25" s="1"/>
  <c r="AS489"/>
  <c r="AS125"/>
  <c r="AS218"/>
  <c r="AS345"/>
  <c r="AS28"/>
  <c r="AS284"/>
  <c r="AS113"/>
  <c r="AS54"/>
  <c r="AS154"/>
  <c r="AS112"/>
  <c r="AS474"/>
  <c r="AS131"/>
  <c r="AS45"/>
  <c r="AS425"/>
  <c r="AS351"/>
  <c r="AS123"/>
  <c r="AS167"/>
  <c r="AS118"/>
  <c r="AS260"/>
  <c r="AS328"/>
  <c r="AS41"/>
  <c r="AS282"/>
  <c r="AS442"/>
  <c r="AS96"/>
  <c r="AS51"/>
  <c r="AS306"/>
  <c r="AS140"/>
  <c r="AS85"/>
  <c r="AS384"/>
  <c r="AS370"/>
  <c r="AS406"/>
  <c r="AS393"/>
  <c r="AS185"/>
  <c r="AS95"/>
  <c r="AS411"/>
  <c r="AS509"/>
  <c r="AS423"/>
  <c r="AS72"/>
  <c r="AS274"/>
  <c r="AS454"/>
  <c r="AS166"/>
  <c r="AS502"/>
  <c r="AS476"/>
  <c r="AZ263"/>
  <c r="AZ211"/>
  <c r="AZ158"/>
  <c r="AZ350"/>
  <c r="AZ437"/>
  <c r="AZ82"/>
  <c r="AZ80"/>
  <c r="AZ96"/>
  <c r="AZ185"/>
  <c r="AZ149"/>
  <c r="AZ469"/>
  <c r="AZ281"/>
  <c r="AZ345"/>
  <c r="AZ372"/>
  <c r="AZ277"/>
  <c r="AZ324"/>
  <c r="AZ244"/>
  <c r="AZ321"/>
  <c r="AZ214"/>
  <c r="AZ51"/>
  <c r="AZ218"/>
  <c r="AZ134"/>
  <c r="AZ293"/>
  <c r="AZ297"/>
  <c r="AZ327"/>
  <c r="AZ502"/>
  <c r="AZ305"/>
  <c r="AZ239"/>
  <c r="AZ200"/>
  <c r="AZ43"/>
  <c r="AZ404"/>
  <c r="AZ97"/>
  <c r="AZ423"/>
  <c r="AZ456"/>
  <c r="AZ356"/>
  <c r="AZ473"/>
  <c r="AZ40"/>
  <c r="AZ488"/>
  <c r="AZ296"/>
  <c r="AZ250"/>
  <c r="AZ188"/>
  <c r="AZ151"/>
  <c r="AZ153"/>
  <c r="AZ89"/>
  <c r="AZ510"/>
  <c r="AZ121"/>
  <c r="AZ238"/>
  <c r="AZ100"/>
  <c r="AZ208"/>
  <c r="AZ365"/>
  <c r="AZ396"/>
  <c r="AZ145"/>
  <c r="AZ234"/>
  <c r="AZ330"/>
  <c r="AZ455"/>
  <c r="AZ47"/>
  <c r="AZ472"/>
  <c r="AZ219"/>
  <c r="AZ507"/>
  <c r="AZ217"/>
  <c r="AZ14"/>
  <c r="BH14" s="1"/>
  <c r="AW19"/>
  <c r="AS94"/>
  <c r="AS159"/>
  <c r="AS414"/>
  <c r="AS501"/>
  <c r="AS227"/>
  <c r="AS332"/>
  <c r="AS305"/>
  <c r="AS178"/>
  <c r="AS268"/>
  <c r="AS507"/>
  <c r="AS191"/>
  <c r="AS299"/>
  <c r="AS160"/>
  <c r="AS168"/>
  <c r="AS135"/>
  <c r="AS408"/>
  <c r="AS321"/>
  <c r="AS264"/>
  <c r="AS327"/>
  <c r="AS352"/>
  <c r="AS66"/>
  <c r="AS397"/>
  <c r="AS46"/>
  <c r="AS215"/>
  <c r="AS266"/>
  <c r="AS270"/>
  <c r="AS295"/>
  <c r="AS20"/>
  <c r="BA20" s="1"/>
  <c r="AS290"/>
  <c r="AS280"/>
  <c r="AS403"/>
  <c r="AS119"/>
  <c r="AZ55"/>
  <c r="AZ224"/>
  <c r="AZ164"/>
  <c r="AZ261"/>
  <c r="AZ183"/>
  <c r="AZ198"/>
  <c r="AZ102"/>
  <c r="AZ154"/>
  <c r="AZ156"/>
  <c r="AZ111"/>
  <c r="AZ400"/>
  <c r="AZ209"/>
  <c r="AZ272"/>
  <c r="AZ435"/>
  <c r="AZ13"/>
  <c r="BH13" s="1"/>
  <c r="AZ222"/>
  <c r="AZ391"/>
  <c r="AZ242"/>
  <c r="AZ407"/>
  <c r="AZ461"/>
  <c r="AZ52"/>
  <c r="AZ181"/>
  <c r="AZ363"/>
  <c r="AZ57"/>
  <c r="AZ442"/>
  <c r="AZ195"/>
  <c r="AZ50"/>
  <c r="AZ66"/>
  <c r="AZ170"/>
  <c r="AZ125"/>
  <c r="AZ339"/>
  <c r="AZ117"/>
  <c r="AZ233"/>
  <c r="AZ172"/>
  <c r="AZ465"/>
  <c r="AZ496"/>
  <c r="AZ479"/>
  <c r="AZ127"/>
  <c r="AZ161"/>
  <c r="AZ104"/>
  <c r="AZ136"/>
  <c r="AZ268"/>
  <c r="BG13"/>
  <c r="BG15"/>
  <c r="AS137"/>
  <c r="AS240"/>
  <c r="AS179"/>
  <c r="AS47"/>
  <c r="AS60"/>
  <c r="AS430"/>
  <c r="AS310"/>
  <c r="AS420"/>
  <c r="AS497"/>
  <c r="AS436"/>
  <c r="AS409"/>
  <c r="AS152"/>
  <c r="AS97"/>
  <c r="AS377"/>
  <c r="AS286"/>
  <c r="AS80"/>
  <c r="AS133"/>
  <c r="AS458"/>
  <c r="AS308"/>
  <c r="AS407"/>
  <c r="AS431"/>
  <c r="AS42"/>
  <c r="AS438"/>
  <c r="AS510"/>
  <c r="AS151"/>
  <c r="AS124"/>
  <c r="AS35"/>
  <c r="AS434"/>
  <c r="AS246"/>
  <c r="AS61"/>
  <c r="AS349"/>
  <c r="AZ110"/>
  <c r="AZ451"/>
  <c r="AZ459"/>
  <c r="AZ417"/>
  <c r="AZ179"/>
  <c r="AZ213"/>
  <c r="AZ419"/>
  <c r="AZ180"/>
  <c r="AZ59"/>
  <c r="AZ477"/>
  <c r="AZ30"/>
  <c r="AZ174"/>
  <c r="AZ262"/>
  <c r="AZ232"/>
  <c r="AZ84"/>
  <c r="AZ152"/>
  <c r="AZ115"/>
  <c r="AZ32"/>
  <c r="AZ19"/>
  <c r="BH19" s="1"/>
  <c r="AZ501"/>
  <c r="AZ279"/>
  <c r="AZ395"/>
  <c r="AZ171"/>
  <c r="AZ91"/>
  <c r="AZ410"/>
  <c r="AZ177"/>
  <c r="AZ173"/>
  <c r="AZ44"/>
  <c r="AZ343"/>
  <c r="AZ26"/>
  <c r="AZ143"/>
  <c r="AZ307"/>
  <c r="AZ108"/>
  <c r="AZ320"/>
  <c r="AZ388"/>
  <c r="AZ271"/>
  <c r="AZ405"/>
  <c r="AZ427"/>
  <c r="AZ220"/>
  <c r="AZ236"/>
  <c r="AZ467"/>
  <c r="AZ302"/>
  <c r="BG19"/>
  <c r="AS426"/>
  <c r="AS74"/>
  <c r="AS471"/>
  <c r="AS456"/>
  <c r="AS165"/>
  <c r="AS150"/>
  <c r="AS27"/>
  <c r="AS108"/>
  <c r="AS15"/>
  <c r="BA15" s="1"/>
  <c r="AS65"/>
  <c r="AS273"/>
  <c r="AS176"/>
  <c r="AS29"/>
  <c r="AS163"/>
  <c r="AS109"/>
  <c r="AS459"/>
  <c r="AS317"/>
  <c r="AS78"/>
  <c r="AS362"/>
  <c r="AS213"/>
  <c r="AS386"/>
  <c r="AS265"/>
  <c r="AS334"/>
  <c r="AS254"/>
  <c r="AS480"/>
  <c r="AS181"/>
  <c r="AS372"/>
  <c r="AS233"/>
  <c r="AS466"/>
  <c r="AS155"/>
  <c r="AS261"/>
  <c r="AS158"/>
  <c r="AZ60"/>
  <c r="AZ227"/>
  <c r="AZ255"/>
  <c r="AZ77"/>
  <c r="AZ159"/>
  <c r="AZ228"/>
  <c r="AZ374"/>
  <c r="AZ49"/>
  <c r="AZ48"/>
  <c r="AZ422"/>
  <c r="AZ65"/>
  <c r="AZ46"/>
  <c r="AZ429"/>
  <c r="AZ215"/>
  <c r="AZ230"/>
  <c r="AZ421"/>
  <c r="AZ493"/>
  <c r="AZ482"/>
  <c r="AZ439"/>
  <c r="AZ500"/>
  <c r="AZ267"/>
  <c r="AZ129"/>
  <c r="AZ63"/>
  <c r="AZ441"/>
  <c r="AZ140"/>
  <c r="AZ414"/>
  <c r="AZ119"/>
  <c r="AZ349"/>
  <c r="AZ197"/>
  <c r="AZ221"/>
  <c r="AZ53"/>
  <c r="AZ120"/>
  <c r="AZ205"/>
  <c r="AZ495"/>
  <c r="AZ359"/>
  <c r="AZ354"/>
  <c r="AZ157"/>
  <c r="AZ342"/>
  <c r="AZ93"/>
  <c r="AZ206"/>
  <c r="AZ137"/>
  <c r="AW21"/>
  <c r="AW25"/>
  <c r="AS444"/>
  <c r="AS493"/>
  <c r="AS339"/>
  <c r="AS174"/>
  <c r="AS329"/>
  <c r="AS235"/>
  <c r="AS296"/>
  <c r="AS381"/>
  <c r="AS114"/>
  <c r="AS209"/>
  <c r="AS323"/>
  <c r="AS186"/>
  <c r="AS432"/>
  <c r="AS34"/>
  <c r="AS336"/>
  <c r="AS300"/>
  <c r="AS56"/>
  <c r="AS419"/>
  <c r="AS475"/>
  <c r="AS243"/>
  <c r="AS379"/>
  <c r="AS153"/>
  <c r="AS292"/>
  <c r="AS196"/>
  <c r="AS182"/>
  <c r="AS147"/>
  <c r="AS467"/>
  <c r="AS485"/>
  <c r="AS396"/>
  <c r="AS33"/>
  <c r="AS376"/>
  <c r="AZ126"/>
  <c r="AZ486"/>
  <c r="AZ338"/>
  <c r="AZ42"/>
  <c r="AZ182"/>
  <c r="AZ88"/>
  <c r="AZ445"/>
  <c r="AZ252"/>
  <c r="AZ408"/>
  <c r="AZ79"/>
  <c r="AZ78"/>
  <c r="AZ402"/>
  <c r="AZ378"/>
  <c r="AZ254"/>
  <c r="AZ415"/>
  <c r="AZ483"/>
  <c r="AZ490"/>
  <c r="AZ130"/>
  <c r="AZ368"/>
  <c r="AZ113"/>
  <c r="AZ453"/>
  <c r="AZ223"/>
  <c r="AZ438"/>
  <c r="AZ150"/>
  <c r="AZ447"/>
  <c r="AZ452"/>
  <c r="AZ69"/>
  <c r="AZ112"/>
  <c r="AZ389"/>
  <c r="AZ216"/>
  <c r="AZ379"/>
  <c r="AZ332"/>
  <c r="AZ376"/>
  <c r="AZ167"/>
  <c r="AZ103"/>
  <c r="AZ258"/>
  <c r="AZ131"/>
  <c r="AZ284"/>
  <c r="BG21"/>
  <c r="AS312"/>
  <c r="AS457"/>
  <c r="AS383"/>
  <c r="AS453"/>
  <c r="AS504"/>
  <c r="AS385"/>
  <c r="AS506"/>
  <c r="AS366"/>
  <c r="AS491"/>
  <c r="AS99"/>
  <c r="AS382"/>
  <c r="AS121"/>
  <c r="AS314"/>
  <c r="AS216"/>
  <c r="AS338"/>
  <c r="AS223"/>
  <c r="AS87"/>
  <c r="AS486"/>
  <c r="AS59"/>
  <c r="AS465"/>
  <c r="AS172"/>
  <c r="AS134"/>
  <c r="AS275"/>
  <c r="AS199"/>
  <c r="AS214"/>
  <c r="AS102"/>
  <c r="AS375"/>
  <c r="AS105"/>
  <c r="AS421"/>
  <c r="AS238"/>
  <c r="AS79"/>
  <c r="AZ329"/>
  <c r="AZ260"/>
  <c r="AZ133"/>
  <c r="AZ135"/>
  <c r="AZ74"/>
  <c r="AZ24"/>
  <c r="BH24" s="1"/>
  <c r="AZ76"/>
  <c r="AZ311"/>
  <c r="AZ301"/>
  <c r="AZ165"/>
  <c r="AZ466"/>
  <c r="AZ169"/>
  <c r="AZ247"/>
  <c r="AZ114"/>
  <c r="AZ351"/>
  <c r="AZ433"/>
  <c r="AZ413"/>
  <c r="AZ304"/>
  <c r="AZ64"/>
  <c r="AZ306"/>
  <c r="AZ449"/>
  <c r="AZ202"/>
  <c r="AZ377"/>
  <c r="AZ440"/>
  <c r="AZ266"/>
  <c r="AZ128"/>
  <c r="AZ256"/>
  <c r="AZ22"/>
  <c r="BH22" s="1"/>
  <c r="AZ92"/>
  <c r="AZ367"/>
  <c r="AZ336"/>
  <c r="AZ29"/>
  <c r="AZ237"/>
  <c r="AZ347"/>
  <c r="AZ141"/>
  <c r="AZ499"/>
  <c r="BG22"/>
  <c r="AS463"/>
  <c r="AS210"/>
  <c r="AS360"/>
  <c r="AS98"/>
  <c r="AS289"/>
  <c r="AS115"/>
  <c r="AS307"/>
  <c r="AS470"/>
  <c r="AS203"/>
  <c r="AS415"/>
  <c r="AS101"/>
  <c r="AS347"/>
  <c r="AS262"/>
  <c r="AS368"/>
  <c r="AS357"/>
  <c r="AS256"/>
  <c r="AS245"/>
  <c r="AS53"/>
  <c r="AS251"/>
  <c r="AS374"/>
  <c r="AS222"/>
  <c r="AS333"/>
  <c r="AS76"/>
  <c r="AS416"/>
  <c r="AS232"/>
  <c r="AS26"/>
  <c r="AS122"/>
  <c r="AS228"/>
  <c r="AS422"/>
  <c r="AS116"/>
  <c r="AZ371"/>
  <c r="AZ382"/>
  <c r="AZ353"/>
  <c r="AZ193"/>
  <c r="AZ458"/>
  <c r="AZ362"/>
  <c r="AZ67"/>
  <c r="AZ474"/>
  <c r="AZ390"/>
  <c r="AZ98"/>
  <c r="AZ299"/>
  <c r="AZ70"/>
  <c r="AZ201"/>
  <c r="AZ123"/>
  <c r="AZ509"/>
  <c r="AZ420"/>
  <c r="AZ337"/>
  <c r="AZ315"/>
  <c r="AZ491"/>
  <c r="AZ95"/>
  <c r="AZ431"/>
  <c r="AZ190"/>
  <c r="AZ41"/>
  <c r="AZ36"/>
  <c r="AZ144"/>
  <c r="AZ276"/>
  <c r="AW13"/>
  <c r="BG18"/>
  <c r="AS248"/>
  <c r="AZ392"/>
  <c r="AZ498"/>
  <c r="AZ403"/>
  <c r="BG25"/>
  <c r="AS144"/>
  <c r="AZ397"/>
  <c r="AZ341"/>
  <c r="AZ124"/>
  <c r="AZ361"/>
  <c r="AZ39"/>
  <c r="AZ28"/>
  <c r="BG17"/>
  <c r="AS100"/>
  <c r="AS394"/>
  <c r="AZ176"/>
  <c r="AZ344"/>
  <c r="AZ476"/>
  <c r="AZ446"/>
  <c r="AZ155"/>
  <c r="AZ481"/>
  <c r="AZ25"/>
  <c r="BH25" s="1"/>
  <c r="AZ71"/>
  <c r="AZ147"/>
  <c r="AZ331"/>
  <c r="AZ16"/>
  <c r="BH16" s="1"/>
  <c r="AZ436"/>
  <c r="AZ508"/>
  <c r="AZ287"/>
  <c r="AZ504"/>
  <c r="AZ54"/>
  <c r="AW15"/>
  <c r="AT13" a="1"/>
  <c r="Y5" l="1"/>
  <c r="X6"/>
  <c r="X5"/>
  <c r="Y7"/>
  <c r="X7"/>
  <c r="Y6"/>
  <c r="BM5"/>
  <c r="BM7" s="1"/>
  <c r="BN7" s="1"/>
  <c r="AT170"/>
  <c r="AT384"/>
  <c r="AT471"/>
  <c r="AT20"/>
  <c r="BB20" s="1"/>
  <c r="AT27"/>
  <c r="AT346"/>
  <c r="AT291"/>
  <c r="AT112"/>
  <c r="AT221"/>
  <c r="AT153"/>
  <c r="AT194"/>
  <c r="AT111"/>
  <c r="AT171"/>
  <c r="AT306"/>
  <c r="AT364"/>
  <c r="AT249"/>
  <c r="AT444"/>
  <c r="AT507"/>
  <c r="AT97"/>
  <c r="AT511"/>
  <c r="AT479"/>
  <c r="AT412"/>
  <c r="AT416"/>
  <c r="AT30"/>
  <c r="AT166"/>
  <c r="AT344"/>
  <c r="AT485"/>
  <c r="AT425"/>
  <c r="AT315"/>
  <c r="AT294"/>
  <c r="AT121"/>
  <c r="AT436"/>
  <c r="AX14"/>
  <c r="BF14" s="1"/>
  <c r="AT66"/>
  <c r="AT446"/>
  <c r="AT450"/>
  <c r="AT297"/>
  <c r="AT135"/>
  <c r="AT185"/>
  <c r="AT252"/>
  <c r="AT363"/>
  <c r="AT295"/>
  <c r="AT420"/>
  <c r="AT386"/>
  <c r="AT270"/>
  <c r="AT343"/>
  <c r="AT192"/>
  <c r="AT244"/>
  <c r="AT353"/>
  <c r="AT350"/>
  <c r="AT395"/>
  <c r="AT423"/>
  <c r="AT168"/>
  <c r="AT37"/>
  <c r="AT233"/>
  <c r="AT43"/>
  <c r="AT141"/>
  <c r="AT41"/>
  <c r="AT164"/>
  <c r="AT169"/>
  <c r="AT175"/>
  <c r="AT163"/>
  <c r="AT42"/>
  <c r="AT312"/>
  <c r="AT508"/>
  <c r="AT149"/>
  <c r="AT101"/>
  <c r="AT70"/>
  <c r="AT337"/>
  <c r="AT357"/>
  <c r="AT442"/>
  <c r="AT468"/>
  <c r="AT324"/>
  <c r="AT325"/>
  <c r="AT53"/>
  <c r="AT435"/>
  <c r="AT421"/>
  <c r="AT266"/>
  <c r="AT65"/>
  <c r="AT469"/>
  <c r="AT441"/>
  <c r="AT372"/>
  <c r="AT130"/>
  <c r="AT104"/>
  <c r="AT189"/>
  <c r="AT200"/>
  <c r="AT452"/>
  <c r="AT46"/>
  <c r="AT21"/>
  <c r="AU21" s="1"/>
  <c r="BC21" s="1"/>
  <c r="AT260"/>
  <c r="AT287"/>
  <c r="AT391"/>
  <c r="AT281"/>
  <c r="AT415"/>
  <c r="AT480"/>
  <c r="AT151"/>
  <c r="AT148"/>
  <c r="AT128"/>
  <c r="AT225"/>
  <c r="AT276"/>
  <c r="AT377"/>
  <c r="AT154"/>
  <c r="AT411"/>
  <c r="AT286"/>
  <c r="AT182"/>
  <c r="AT25"/>
  <c r="AU25" s="1"/>
  <c r="BC25" s="1"/>
  <c r="AT230"/>
  <c r="AT413"/>
  <c r="AT33"/>
  <c r="AT216"/>
  <c r="AT177"/>
  <c r="AT432"/>
  <c r="AT255"/>
  <c r="AT77"/>
  <c r="AT152"/>
  <c r="AT396"/>
  <c r="BE23"/>
  <c r="AX20"/>
  <c r="BF20" s="1"/>
  <c r="BE25"/>
  <c r="BE17"/>
  <c r="BE19"/>
  <c r="AT187"/>
  <c r="AT356"/>
  <c r="AT83"/>
  <c r="AT93"/>
  <c r="AT414"/>
  <c r="AT453"/>
  <c r="AT34"/>
  <c r="AT140"/>
  <c r="AT478"/>
  <c r="AT427"/>
  <c r="AT347"/>
  <c r="AT137"/>
  <c r="AT319"/>
  <c r="AT61"/>
  <c r="AT298"/>
  <c r="AT373"/>
  <c r="AT237"/>
  <c r="AT67"/>
  <c r="AT418"/>
  <c r="AT366"/>
  <c r="AT512"/>
  <c r="AT437"/>
  <c r="AT321"/>
  <c r="AT150"/>
  <c r="AT277"/>
  <c r="AT157"/>
  <c r="AT367"/>
  <c r="AT52"/>
  <c r="AT86"/>
  <c r="AT124"/>
  <c r="AT213"/>
  <c r="AT174"/>
  <c r="AT49"/>
  <c r="AT409"/>
  <c r="AT45"/>
  <c r="AT501"/>
  <c r="AT55"/>
  <c r="AT96"/>
  <c r="AT98"/>
  <c r="AT484"/>
  <c r="AT375"/>
  <c r="AT422"/>
  <c r="AT191"/>
  <c r="AT32"/>
  <c r="AT489"/>
  <c r="AT497"/>
  <c r="AT85"/>
  <c r="AT504"/>
  <c r="AT348"/>
  <c r="AT397"/>
  <c r="AT161"/>
  <c r="AT323"/>
  <c r="AT80"/>
  <c r="AT180"/>
  <c r="AT394"/>
  <c r="AT433"/>
  <c r="AT24"/>
  <c r="AU24" s="1"/>
  <c r="BC24" s="1"/>
  <c r="AT447"/>
  <c r="AT219"/>
  <c r="AT399"/>
  <c r="AT129"/>
  <c r="AT173"/>
  <c r="AT296"/>
  <c r="AT302"/>
  <c r="AT506"/>
  <c r="AT68"/>
  <c r="AT134"/>
  <c r="AT328"/>
  <c r="AT47"/>
  <c r="AT116"/>
  <c r="AT143"/>
  <c r="AT326"/>
  <c r="AT117"/>
  <c r="AT14"/>
  <c r="BB14" s="1"/>
  <c r="AT279"/>
  <c r="AT292"/>
  <c r="AT380"/>
  <c r="AT133"/>
  <c r="AT205"/>
  <c r="AT477"/>
  <c r="AT100"/>
  <c r="AT76"/>
  <c r="AT456"/>
  <c r="AX23"/>
  <c r="BF23" s="1"/>
  <c r="BE20"/>
  <c r="AX25"/>
  <c r="BF25" s="1"/>
  <c r="AX17"/>
  <c r="BF17" s="1"/>
  <c r="AX19"/>
  <c r="BF19" s="1"/>
  <c r="AT365"/>
  <c r="AT303"/>
  <c r="AT162"/>
  <c r="AT106"/>
  <c r="AT263"/>
  <c r="AT383"/>
  <c r="AT443"/>
  <c r="AT430"/>
  <c r="AT179"/>
  <c r="AT103"/>
  <c r="AT109"/>
  <c r="AT160"/>
  <c r="AT105"/>
  <c r="AT203"/>
  <c r="AT274"/>
  <c r="AT431"/>
  <c r="AT57"/>
  <c r="AT222"/>
  <c r="AT499"/>
  <c r="AT63"/>
  <c r="AT308"/>
  <c r="AT408"/>
  <c r="AT369"/>
  <c r="AT220"/>
  <c r="AT317"/>
  <c r="AT48"/>
  <c r="AT253"/>
  <c r="AT392"/>
  <c r="AT341"/>
  <c r="AT190"/>
  <c r="AT335"/>
  <c r="AT466"/>
  <c r="AT144"/>
  <c r="AT214"/>
  <c r="AT26"/>
  <c r="AT387"/>
  <c r="AT462"/>
  <c r="AT99"/>
  <c r="AT486"/>
  <c r="AT481"/>
  <c r="AT334"/>
  <c r="AT196"/>
  <c r="AT136"/>
  <c r="AT165"/>
  <c r="AT209"/>
  <c r="AT439"/>
  <c r="AT254"/>
  <c r="AT84"/>
  <c r="AT474"/>
  <c r="AT448"/>
  <c r="AT428"/>
  <c r="AT119"/>
  <c r="AT198"/>
  <c r="AT257"/>
  <c r="AT352"/>
  <c r="AT338"/>
  <c r="AT285"/>
  <c r="AT339"/>
  <c r="AT155"/>
  <c r="AT87"/>
  <c r="AT186"/>
  <c r="AT102"/>
  <c r="AT31"/>
  <c r="AT229"/>
  <c r="AT275"/>
  <c r="AT118"/>
  <c r="AT313"/>
  <c r="AT19"/>
  <c r="AU19" s="1"/>
  <c r="BC19" s="1"/>
  <c r="AT402"/>
  <c r="AT304"/>
  <c r="AT376"/>
  <c r="AT13"/>
  <c r="AU13" s="1"/>
  <c r="BC13" s="1"/>
  <c r="AT50"/>
  <c r="AT59"/>
  <c r="AT460"/>
  <c r="AT368"/>
  <c r="AT215"/>
  <c r="AT218"/>
  <c r="AT265"/>
  <c r="AT29"/>
  <c r="AT470"/>
  <c r="AT449"/>
  <c r="AT358"/>
  <c r="AT429"/>
  <c r="BE16"/>
  <c r="AX15"/>
  <c r="BF15" s="1"/>
  <c r="AX22"/>
  <c r="BF22" s="1"/>
  <c r="AT64"/>
  <c r="AT94"/>
  <c r="AT503"/>
  <c r="AT261"/>
  <c r="AT300"/>
  <c r="AT269"/>
  <c r="AT264"/>
  <c r="AT110"/>
  <c r="AT28"/>
  <c r="AT320"/>
  <c r="AT231"/>
  <c r="AT146"/>
  <c r="AT398"/>
  <c r="AT262"/>
  <c r="AT495"/>
  <c r="AT271"/>
  <c r="AT56"/>
  <c r="AT204"/>
  <c r="AT273"/>
  <c r="AT424"/>
  <c r="AT184"/>
  <c r="AT318"/>
  <c r="AT75"/>
  <c r="AT178"/>
  <c r="AT301"/>
  <c r="AT342"/>
  <c r="AT199"/>
  <c r="AT505"/>
  <c r="AT467"/>
  <c r="AT36"/>
  <c r="AT89"/>
  <c r="AT211"/>
  <c r="AT224"/>
  <c r="AT69"/>
  <c r="AT388"/>
  <c r="AT483"/>
  <c r="AT322"/>
  <c r="AT250"/>
  <c r="AT158"/>
  <c r="AT359"/>
  <c r="AT288"/>
  <c r="AT361"/>
  <c r="AT226"/>
  <c r="AT241"/>
  <c r="AT378"/>
  <c r="AT142"/>
  <c r="AT333"/>
  <c r="AT419"/>
  <c r="AT113"/>
  <c r="AT309"/>
  <c r="AT259"/>
  <c r="AT457"/>
  <c r="AT207"/>
  <c r="AT58"/>
  <c r="AT138"/>
  <c r="AT476"/>
  <c r="AT405"/>
  <c r="AT482"/>
  <c r="AT307"/>
  <c r="AT238"/>
  <c r="AT282"/>
  <c r="AT314"/>
  <c r="AT510"/>
  <c r="AT345"/>
  <c r="AT440"/>
  <c r="AT355"/>
  <c r="AT38"/>
  <c r="AT268"/>
  <c r="AT236"/>
  <c r="AT472"/>
  <c r="AT310"/>
  <c r="AT39"/>
  <c r="AT502"/>
  <c r="AT131"/>
  <c r="AT246"/>
  <c r="AT329"/>
  <c r="AT176"/>
  <c r="AT73"/>
  <c r="BE15"/>
  <c r="AX13"/>
  <c r="BF13" s="1"/>
  <c r="BE22"/>
  <c r="BE13"/>
  <c r="AT248"/>
  <c r="AT228"/>
  <c r="AT202"/>
  <c r="AT232"/>
  <c r="AT195"/>
  <c r="AT159"/>
  <c r="AX16"/>
  <c r="BF16" s="1"/>
  <c r="AT496"/>
  <c r="AT509"/>
  <c r="AT494"/>
  <c r="AT125"/>
  <c r="AT389"/>
  <c r="AT404"/>
  <c r="AT17"/>
  <c r="BB17" s="1"/>
  <c r="AT349"/>
  <c r="AT370"/>
  <c r="AT258"/>
  <c r="AT490"/>
  <c r="AT330"/>
  <c r="AT115"/>
  <c r="AT465"/>
  <c r="AT280"/>
  <c r="AT327"/>
  <c r="AT183"/>
  <c r="AT91"/>
  <c r="AT299"/>
  <c r="AT181"/>
  <c r="AT362"/>
  <c r="AT316"/>
  <c r="AT492"/>
  <c r="AT206"/>
  <c r="AT438"/>
  <c r="AT475"/>
  <c r="AT44"/>
  <c r="AT500"/>
  <c r="AT267"/>
  <c r="AT278"/>
  <c r="AT371"/>
  <c r="AT293"/>
  <c r="AT217"/>
  <c r="AT426"/>
  <c r="AT40"/>
  <c r="AT60"/>
  <c r="AT400"/>
  <c r="AT239"/>
  <c r="AT242"/>
  <c r="AT491"/>
  <c r="AT410"/>
  <c r="AT108"/>
  <c r="AT417"/>
  <c r="AT247"/>
  <c r="AT201"/>
  <c r="AT305"/>
  <c r="AT390"/>
  <c r="AT455"/>
  <c r="AT223"/>
  <c r="AT451"/>
  <c r="AT473"/>
  <c r="AT71"/>
  <c r="AT251"/>
  <c r="AT401"/>
  <c r="AT122"/>
  <c r="AT360"/>
  <c r="AT114"/>
  <c r="AT354"/>
  <c r="AT18"/>
  <c r="BB18" s="1"/>
  <c r="AT245"/>
  <c r="AT51"/>
  <c r="AT256"/>
  <c r="AT82"/>
  <c r="AT15"/>
  <c r="AU15" s="1"/>
  <c r="BC15" s="1"/>
  <c r="AT311"/>
  <c r="AT72"/>
  <c r="AT95"/>
  <c r="AT210"/>
  <c r="AT240"/>
  <c r="AT156"/>
  <c r="AT235"/>
  <c r="AT488"/>
  <c r="AT79"/>
  <c r="AT132"/>
  <c r="AT393"/>
  <c r="AT283"/>
  <c r="AT74"/>
  <c r="AT498"/>
  <c r="AT107"/>
  <c r="AT23"/>
  <c r="AU23" s="1"/>
  <c r="BC23" s="1"/>
  <c r="AT407"/>
  <c r="AT62"/>
  <c r="AT454"/>
  <c r="BE24"/>
  <c r="BE14"/>
  <c r="AX21"/>
  <c r="BF21" s="1"/>
  <c r="BE18"/>
  <c r="AT123"/>
  <c r="AT193"/>
  <c r="AT459"/>
  <c r="AT167"/>
  <c r="AT493"/>
  <c r="AT120"/>
  <c r="AT172"/>
  <c r="AT290"/>
  <c r="AT92"/>
  <c r="AT336"/>
  <c r="AT464"/>
  <c r="AT145"/>
  <c r="AT22"/>
  <c r="AU22" s="1"/>
  <c r="BC22" s="1"/>
  <c r="AT382"/>
  <c r="AT463"/>
  <c r="AT16"/>
  <c r="AU16" s="1"/>
  <c r="BC16" s="1"/>
  <c r="AT458"/>
  <c r="AT332"/>
  <c r="AT139"/>
  <c r="AT351"/>
  <c r="AT88"/>
  <c r="AT374"/>
  <c r="AT445"/>
  <c r="AT147"/>
  <c r="AT403"/>
  <c r="AT381"/>
  <c r="AT434"/>
  <c r="AT234"/>
  <c r="AT212"/>
  <c r="AT487"/>
  <c r="AT81"/>
  <c r="AT289"/>
  <c r="AT188"/>
  <c r="AT461"/>
  <c r="AT90"/>
  <c r="AT340"/>
  <c r="AT284"/>
  <c r="AT227"/>
  <c r="AT197"/>
  <c r="AT243"/>
  <c r="AT379"/>
  <c r="AT331"/>
  <c r="AT78"/>
  <c r="AT208"/>
  <c r="AT127"/>
  <c r="BE21"/>
  <c r="AX18"/>
  <c r="BF18" s="1"/>
  <c r="AT35"/>
  <c r="AT126"/>
  <c r="AT54"/>
  <c r="AT406"/>
  <c r="AT385"/>
  <c r="AT272"/>
  <c r="AX24"/>
  <c r="BF24" s="1"/>
  <c r="AU20"/>
  <c r="BC20" s="1"/>
  <c r="AU14"/>
  <c r="BC14" s="1"/>
  <c r="BB25"/>
  <c r="BB15"/>
  <c r="BB24"/>
  <c r="BB23" l="1"/>
  <c r="BB19"/>
  <c r="AU18"/>
  <c r="BC18" s="1"/>
  <c r="BB13"/>
  <c r="BB22"/>
  <c r="BB16"/>
  <c r="AU17"/>
  <c r="BC17" s="1"/>
  <c r="BB21"/>
  <c r="O7" i="12" a="1"/>
  <c r="O12"/>
  <c r="O8"/>
  <c r="O9"/>
  <c r="O7"/>
  <c r="O10"/>
  <c r="O11"/>
  <c r="AB30"/>
  <c r="AB22"/>
  <c r="AB32"/>
  <c r="AP12"/>
  <c r="AO22"/>
  <c r="AJ12"/>
  <c r="AM22"/>
  <c r="AT12"/>
  <c r="AP22"/>
  <c r="AR12"/>
  <c r="AK20"/>
  <c r="AO20"/>
  <c r="AS20"/>
  <c r="AN20"/>
  <c r="AN12"/>
  <c r="AS12"/>
  <c r="AI12"/>
  <c r="AS22"/>
  <c r="AM12"/>
  <c r="AW20"/>
  <c r="AI20"/>
  <c r="AJ20"/>
  <c r="AQ12"/>
  <c r="AW22"/>
  <c r="AI22"/>
  <c r="AW12"/>
  <c r="AT20"/>
  <c r="AL22"/>
  <c r="AV22"/>
  <c r="AP20"/>
  <c r="AK12"/>
  <c r="AO12"/>
  <c r="AK22"/>
  <c r="AL20"/>
  <c r="AR20"/>
  <c r="AN22"/>
  <c r="AR22"/>
  <c r="AL12"/>
  <c r="AJ22"/>
  <c r="AQ20"/>
  <c r="AV12"/>
  <c r="AM20"/>
  <c r="AV20"/>
  <c r="AQ22"/>
  <c r="AT22"/>
  <c r="AB18" l="1"/>
  <c r="AB20"/>
  <c r="AB24"/>
  <c r="AB29"/>
  <c r="AB23"/>
  <c r="AB33"/>
  <c r="AB19"/>
  <c r="AB27"/>
  <c r="AB21"/>
  <c r="AB25"/>
  <c r="AB28"/>
  <c r="AB26"/>
  <c r="AB31"/>
  <c r="AT8"/>
  <c r="AL8"/>
  <c r="AW8"/>
  <c r="AQ8"/>
  <c r="AS8"/>
  <c r="AK8"/>
  <c r="AO8"/>
  <c r="AP8"/>
  <c r="AM8"/>
  <c r="AN8"/>
  <c r="AR8"/>
  <c r="AV8"/>
  <c r="AJ8"/>
  <c r="AI8"/>
  <c r="AO19"/>
  <c r="AS19"/>
  <c r="AI19"/>
  <c r="AM19"/>
  <c r="AT19"/>
  <c r="AJ19"/>
  <c r="AK19"/>
  <c r="AL19"/>
  <c r="AV19"/>
  <c r="AR19"/>
  <c r="AN19"/>
  <c r="AP19"/>
  <c r="AQ19"/>
  <c r="AW19"/>
  <c r="AV14"/>
  <c r="AL14"/>
  <c r="AR14"/>
  <c r="AP14"/>
  <c r="AI14"/>
  <c r="AN14"/>
  <c r="AO14"/>
  <c r="AK14"/>
  <c r="AS14"/>
  <c r="AQ14"/>
  <c r="AJ14"/>
  <c r="AT14"/>
  <c r="AM14"/>
  <c r="AW14"/>
  <c r="AR10"/>
  <c r="AM10"/>
  <c r="AJ10"/>
  <c r="AW10"/>
  <c r="AK10"/>
  <c r="AL10"/>
  <c r="AS10"/>
  <c r="AV10"/>
  <c r="AO10"/>
  <c r="AN10"/>
  <c r="AI10"/>
  <c r="AT10"/>
  <c r="AP10"/>
  <c r="AQ10"/>
  <c r="AM15"/>
  <c r="AS15"/>
  <c r="AR15"/>
  <c r="AV15"/>
  <c r="AK15"/>
  <c r="AJ15"/>
  <c r="AW15"/>
  <c r="AP15"/>
  <c r="AQ15"/>
  <c r="AI15"/>
  <c r="AL15"/>
  <c r="AO15"/>
  <c r="AN15"/>
  <c r="AT15"/>
  <c r="AS11"/>
  <c r="AR11"/>
  <c r="AN11"/>
  <c r="AW11"/>
  <c r="AM11"/>
  <c r="AO11"/>
  <c r="AK11"/>
  <c r="AQ11"/>
  <c r="AP11"/>
  <c r="AL11"/>
  <c r="AV11"/>
  <c r="AT11"/>
  <c r="AI11"/>
  <c r="AJ11"/>
  <c r="AQ16"/>
  <c r="AP16"/>
  <c r="AR16"/>
  <c r="AW16"/>
  <c r="AK16"/>
  <c r="AL16"/>
  <c r="AO16"/>
  <c r="AI16"/>
  <c r="AN16"/>
  <c r="AV16"/>
  <c r="AJ16"/>
  <c r="AT16"/>
  <c r="AM16"/>
  <c r="AS16"/>
  <c r="AL17"/>
  <c r="AI17"/>
  <c r="AQ17"/>
  <c r="AW18"/>
  <c r="AP18"/>
  <c r="AJ13"/>
  <c r="AT13"/>
  <c r="AJ9"/>
  <c r="AI9"/>
  <c r="AT9"/>
  <c r="AT21"/>
  <c r="AI21"/>
  <c r="AP17"/>
  <c r="AM17"/>
  <c r="AN17"/>
  <c r="AJ18"/>
  <c r="AL18"/>
  <c r="AK13"/>
  <c r="AQ13"/>
  <c r="AR9"/>
  <c r="AQ9"/>
  <c r="AM9"/>
  <c r="AO21"/>
  <c r="AK21"/>
  <c r="AT17"/>
  <c r="AO17"/>
  <c r="AV18"/>
  <c r="AM18"/>
  <c r="AO13"/>
  <c r="AR13"/>
  <c r="AP13"/>
  <c r="AO9"/>
  <c r="AP9"/>
  <c r="AL21"/>
  <c r="AN21"/>
  <c r="AK17"/>
  <c r="AW17"/>
  <c r="AQ18"/>
  <c r="AI18"/>
  <c r="AI13"/>
  <c r="AL13"/>
  <c r="AV9"/>
  <c r="AS9"/>
  <c r="AP21"/>
  <c r="AJ17"/>
  <c r="AR17"/>
  <c r="AS18"/>
  <c r="AT18"/>
  <c r="AR18"/>
  <c r="AS13"/>
  <c r="AW13"/>
  <c r="AW9"/>
  <c r="AN9"/>
  <c r="AV21"/>
  <c r="AJ21"/>
  <c r="AM21"/>
  <c r="AK18"/>
  <c r="AK9"/>
  <c r="AR21"/>
  <c r="AW21"/>
  <c r="AM13"/>
  <c r="AS21"/>
  <c r="AS17"/>
  <c r="AV17"/>
  <c r="AN18"/>
  <c r="AO18"/>
  <c r="AN13"/>
  <c r="AV13"/>
  <c r="AL9"/>
  <c r="AQ21"/>
</calcChain>
</file>

<file path=xl/comments1.xml><?xml version="1.0" encoding="utf-8"?>
<comments xmlns="http://schemas.openxmlformats.org/spreadsheetml/2006/main">
  <authors>
    <author>Stephen Leong</author>
  </authors>
  <commentList>
    <comment ref="BK59" authorId="0">
      <text>
        <r>
          <rPr>
            <b/>
            <sz val="8"/>
            <color indexed="81"/>
            <rFont val="Tahoma"/>
            <family val="2"/>
          </rPr>
          <t>AUD FXcurve only goes out to 1Y</t>
        </r>
      </text>
    </comment>
  </commentList>
</comments>
</file>

<file path=xl/comments2.xml><?xml version="1.0" encoding="utf-8"?>
<comments xmlns="http://schemas.openxmlformats.org/spreadsheetml/2006/main">
  <authors>
    <author>Stephen Leong</author>
  </authors>
  <commentList>
    <comment ref="AR11" authorId="0">
      <text>
        <r>
          <rPr>
            <b/>
            <sz val="8"/>
            <color indexed="81"/>
            <rFont val="Tahoma"/>
            <family val="2"/>
          </rPr>
          <t>For all currencies except AUD, projection dates are modified following (do not cross calendar month)
For AUD, BBSW conforms to Modified Succeeding (which respects modified following and additionally does not cross the 15th of the month)</t>
        </r>
      </text>
    </comment>
    <comment ref="BJ12" authorId="0">
      <text>
        <r>
          <rPr>
            <b/>
            <sz val="8"/>
            <color indexed="81"/>
            <rFont val="Tahoma"/>
            <family val="2"/>
          </rPr>
          <t>This lets you to control floating fixing rate sets:
Enter a number (Eg: 3) to force the fixing to be your desired fixing
-- OR --
Enter (say) "1M" to force the fixing to use the 1month fixing</t>
        </r>
      </text>
    </comment>
  </commentList>
</comments>
</file>

<file path=xl/comments3.xml><?xml version="1.0" encoding="utf-8"?>
<comments xmlns="http://schemas.openxmlformats.org/spreadsheetml/2006/main">
  <authors>
    <author>Stephen Leong</author>
  </authors>
  <commentList>
    <comment ref="AH16" authorId="0">
      <text>
        <r>
          <rPr>
            <b/>
            <sz val="8"/>
            <color indexed="81"/>
            <rFont val="Tahoma"/>
            <family val="2"/>
          </rPr>
          <t>For all currencies except AUD, projection dates are modified following (do not cross calendar month)
For AUD, BBSW conforms to Modified Succeeding (which respects modified following and additionally does not cross the 15th of the month)</t>
        </r>
      </text>
    </comment>
    <comment ref="CG16" authorId="0">
      <text>
        <r>
          <rPr>
            <b/>
            <sz val="8"/>
            <color indexed="81"/>
            <rFont val="Tahoma"/>
            <family val="2"/>
          </rPr>
          <t>For all currencies except AUD, projection dates are modified following (do not cross calendar month)
For AUD, BBSW conforms to Modified Succeeding (which respects modified following and additionally does not cross the 15th of the month)</t>
        </r>
      </text>
    </comment>
  </commentList>
</comments>
</file>

<file path=xl/sharedStrings.xml><?xml version="1.0" encoding="utf-8"?>
<sst xmlns="http://schemas.openxmlformats.org/spreadsheetml/2006/main" count="3275" uniqueCount="939">
  <si>
    <t>1M</t>
  </si>
  <si>
    <t>2M</t>
  </si>
  <si>
    <t>3M</t>
  </si>
  <si>
    <t>4M</t>
  </si>
  <si>
    <t>5M</t>
  </si>
  <si>
    <t>6M</t>
  </si>
  <si>
    <t>ON</t>
  </si>
  <si>
    <t>3Y</t>
  </si>
  <si>
    <t>4Y</t>
  </si>
  <si>
    <t>5Y</t>
  </si>
  <si>
    <t>6Y</t>
  </si>
  <si>
    <t>7Y</t>
  </si>
  <si>
    <t>8Y</t>
  </si>
  <si>
    <t>9Y</t>
  </si>
  <si>
    <t>10Y</t>
  </si>
  <si>
    <t>12Y</t>
  </si>
  <si>
    <t>15Y</t>
  </si>
  <si>
    <t>20Y</t>
  </si>
  <si>
    <t>25Y</t>
  </si>
  <si>
    <t>30Y</t>
  </si>
  <si>
    <t>MID</t>
  </si>
  <si>
    <t>BILL FUTURES</t>
  </si>
  <si>
    <t>CASH AND BILLS</t>
  </si>
  <si>
    <t>SWAPS</t>
  </si>
  <si>
    <t>RATE</t>
  </si>
  <si>
    <t>1Y</t>
  </si>
  <si>
    <t>2Y</t>
  </si>
  <si>
    <t>40Y</t>
  </si>
  <si>
    <t>EFP</t>
  </si>
  <si>
    <t>TN</t>
  </si>
  <si>
    <t>9M</t>
  </si>
  <si>
    <t>TODAY</t>
  </si>
  <si>
    <t>FRAS</t>
  </si>
  <si>
    <t>3v6</t>
  </si>
  <si>
    <t>1v3</t>
  </si>
  <si>
    <t>OIS</t>
  </si>
  <si>
    <t>Cash v 3M</t>
  </si>
  <si>
    <t>SHORT SWAPS</t>
  </si>
  <si>
    <t>REC</t>
  </si>
  <si>
    <t>PAY</t>
  </si>
  <si>
    <t xml:space="preserve">  ICAP</t>
  </si>
  <si>
    <t xml:space="preserve">    TULLET</t>
  </si>
  <si>
    <t xml:space="preserve">  BGC</t>
  </si>
  <si>
    <t>BID</t>
  </si>
  <si>
    <t>ASK</t>
  </si>
  <si>
    <t>EXPIRE DATE</t>
  </si>
  <si>
    <t>PRIMACT 1</t>
  </si>
  <si>
    <t>AUDQM3AB1Y=ICAA</t>
  </si>
  <si>
    <t>AUDQM3AB2Y=ICAA</t>
  </si>
  <si>
    <t>AUDQM3AB3Y=ICAA</t>
  </si>
  <si>
    <t>AUDSM6AB4Y=ICAA</t>
  </si>
  <si>
    <t>AUDSM6AB5Y=ICAA</t>
  </si>
  <si>
    <t>AUDSM6AB6Y=ICAA</t>
  </si>
  <si>
    <t>AUDSM6AB7Y=ICAA</t>
  </si>
  <si>
    <t>AUDSM6AB8Y=ICAA</t>
  </si>
  <si>
    <t>AUDSM6AB9Y=ICAA</t>
  </si>
  <si>
    <t>AUDSM6AB10Y=ICAA</t>
  </si>
  <si>
    <t>AUDSM6AB12Y=ICAA</t>
  </si>
  <si>
    <t>AUDSM6AB15Y=ICAA</t>
  </si>
  <si>
    <t>AUDSM6AB20Y=ICAA</t>
  </si>
  <si>
    <t>AUDSM6AB25Y=ICAA</t>
  </si>
  <si>
    <t>AUDSM6AB30Y=ICAA</t>
  </si>
  <si>
    <t>AUDSM6AB40Y=ICAA</t>
  </si>
  <si>
    <t>AUDQM3AB1Y=TTKL</t>
  </si>
  <si>
    <t>ROW80_13</t>
  </si>
  <si>
    <t>ROW80_14</t>
  </si>
  <si>
    <t>ROW80_15</t>
  </si>
  <si>
    <t>ROW80_16</t>
  </si>
  <si>
    <t>ROW80_17</t>
  </si>
  <si>
    <t>ROW80_18</t>
  </si>
  <si>
    <t>ROW80_19</t>
  </si>
  <si>
    <t>ROW80_20</t>
  </si>
  <si>
    <t>ROW80_21</t>
  </si>
  <si>
    <t>ROW80_22</t>
  </si>
  <si>
    <t>ROW80_23</t>
  </si>
  <si>
    <t>ROW80_24</t>
  </si>
  <si>
    <t>ROW80_25</t>
  </si>
  <si>
    <t>AUTTA5</t>
  </si>
  <si>
    <t xml:space="preserve"> </t>
  </si>
  <si>
    <t>FUTURES</t>
  </si>
  <si>
    <t>CASH</t>
  </si>
  <si>
    <t>GEN_VAL1</t>
  </si>
  <si>
    <t>GEN_VAL2</t>
  </si>
  <si>
    <t>BGCAUD</t>
  </si>
  <si>
    <t>ROW80_5</t>
  </si>
  <si>
    <t>ROW80_6</t>
  </si>
  <si>
    <t>ROW80_7</t>
  </si>
  <si>
    <t>ROW80_8</t>
  </si>
  <si>
    <t>ROW80_9</t>
  </si>
  <si>
    <t>ROW80_10</t>
  </si>
  <si>
    <t>ROW80_11</t>
  </si>
  <si>
    <t>ROW80_12</t>
  </si>
  <si>
    <t>AUDQM1AB2M=ICAA</t>
  </si>
  <si>
    <t>AUDQM1AB3M=ICAA</t>
  </si>
  <si>
    <t>AUDQM1AB4M=ICAA</t>
  </si>
  <si>
    <t>AUDQM1AB5M=ICAA</t>
  </si>
  <si>
    <t>AUDQM1AB6M=ICAA</t>
  </si>
  <si>
    <t>AUD=</t>
  </si>
  <si>
    <t>BBSW</t>
  </si>
  <si>
    <t>LAST</t>
  </si>
  <si>
    <t>Working</t>
  </si>
  <si>
    <t>Tenor</t>
  </si>
  <si>
    <t>LIBOR</t>
  </si>
  <si>
    <t>1Y q</t>
  </si>
  <si>
    <t>2Y q</t>
  </si>
  <si>
    <t>3Y q</t>
  </si>
  <si>
    <t>1B</t>
  </si>
  <si>
    <t>IB FUTURES</t>
  </si>
  <si>
    <t>c1</t>
  </si>
  <si>
    <t>AUDQM1AB9M=ICAA</t>
  </si>
  <si>
    <t>7M</t>
  </si>
  <si>
    <t>8M</t>
  </si>
  <si>
    <t>REUTERS UPDATE</t>
  </si>
  <si>
    <t>START</t>
  </si>
  <si>
    <t>EARLY</t>
  </si>
  <si>
    <t>LATE</t>
  </si>
  <si>
    <t>0M</t>
  </si>
  <si>
    <t>GV4_TEXT</t>
  </si>
  <si>
    <t xml:space="preserve">JUL   </t>
  </si>
  <si>
    <t xml:space="preserve">AUG   </t>
  </si>
  <si>
    <t xml:space="preserve">SEP   </t>
  </si>
  <si>
    <t>GEN_VAL3</t>
  </si>
  <si>
    <t>CONVEXITY ADJUST</t>
  </si>
  <si>
    <t>USD Rates Input</t>
  </si>
  <si>
    <t>CASH DEPOSITS</t>
  </si>
  <si>
    <t xml:space="preserve">  ED</t>
  </si>
  <si>
    <t>Currency</t>
  </si>
  <si>
    <t>1b</t>
  </si>
  <si>
    <t>AUD</t>
  </si>
  <si>
    <t>FIXED LEG</t>
  </si>
  <si>
    <t>Frequency</t>
  </si>
  <si>
    <t>FIXED</t>
  </si>
  <si>
    <t>Discount</t>
  </si>
  <si>
    <t>Fixed Rate</t>
  </si>
  <si>
    <t>Act/365</t>
  </si>
  <si>
    <t>FRM</t>
  </si>
  <si>
    <t>M</t>
  </si>
  <si>
    <t>Face MM</t>
  </si>
  <si>
    <t>FLOATING</t>
  </si>
  <si>
    <t>DF</t>
  </si>
  <si>
    <t>Days</t>
  </si>
  <si>
    <t>Stubs</t>
  </si>
  <si>
    <t>S/S</t>
  </si>
  <si>
    <t>NumItems</t>
  </si>
  <si>
    <t>Fixed DV01  (per 1MM face)</t>
  </si>
  <si>
    <t>Interest Rate Swap Pricing</t>
  </si>
  <si>
    <t>WORKING</t>
  </si>
  <si>
    <t>Day Count</t>
  </si>
  <si>
    <t>Roll Anniv.</t>
  </si>
  <si>
    <t>Desired NPV</t>
  </si>
  <si>
    <t>Solve for fixed rate</t>
  </si>
  <si>
    <t>Days in Year</t>
  </si>
  <si>
    <t>Fees PV</t>
  </si>
  <si>
    <t>Years to Maturity</t>
  </si>
  <si>
    <t>1MM</t>
  </si>
  <si>
    <t>Fixed PV01  (Face amount)</t>
  </si>
  <si>
    <t>DAYS</t>
  </si>
  <si>
    <t>YRS</t>
  </si>
  <si>
    <t>FEES</t>
  </si>
  <si>
    <t>MARGIN</t>
  </si>
  <si>
    <t>TOTAL CFL</t>
  </si>
  <si>
    <t>OUTPUTS</t>
  </si>
  <si>
    <t>SERVICE MODE</t>
  </si>
  <si>
    <t>Version History</t>
  </si>
  <si>
    <t>Master Control / Configuration</t>
  </si>
  <si>
    <t>ED FUTURES</t>
  </si>
  <si>
    <t>cm1</t>
  </si>
  <si>
    <t>USDONFSR=</t>
  </si>
  <si>
    <t>USD1MFSR=</t>
  </si>
  <si>
    <t>USD2MFSR=</t>
  </si>
  <si>
    <t>USD3MFSR=</t>
  </si>
  <si>
    <t>USD4MFSR=</t>
  </si>
  <si>
    <t>USD5MFSR=</t>
  </si>
  <si>
    <t>USD6MFSR=</t>
  </si>
  <si>
    <t>BOND YIELDS</t>
  </si>
  <si>
    <t>US2YT=RR</t>
  </si>
  <si>
    <t>US3YT=RR</t>
  </si>
  <si>
    <t>US5YT=RR</t>
  </si>
  <si>
    <t>US7YT=RR</t>
  </si>
  <si>
    <t>US10YT=RR</t>
  </si>
  <si>
    <t>US30YT=RR</t>
  </si>
  <si>
    <t>RT YIELD 1</t>
  </si>
  <si>
    <t>SEC YLD 1</t>
  </si>
  <si>
    <t>FEDFUNDS v 3M</t>
  </si>
  <si>
    <t>1X4</t>
  </si>
  <si>
    <t>2X5</t>
  </si>
  <si>
    <t>3X6</t>
  </si>
  <si>
    <t>4X7</t>
  </si>
  <si>
    <t>5X8</t>
  </si>
  <si>
    <t>6X9</t>
  </si>
  <si>
    <t>2X1</t>
  </si>
  <si>
    <t>3X1</t>
  </si>
  <si>
    <t>4X1</t>
  </si>
  <si>
    <t>5X1</t>
  </si>
  <si>
    <t>6X1</t>
  </si>
  <si>
    <t>7X1</t>
  </si>
  <si>
    <t>8X1</t>
  </si>
  <si>
    <t>9X1</t>
  </si>
  <si>
    <t>50Y</t>
  </si>
  <si>
    <t>11Y</t>
  </si>
  <si>
    <t>35Y</t>
  </si>
  <si>
    <t>Discounting</t>
  </si>
  <si>
    <t>AUD Interest Rates</t>
  </si>
  <si>
    <t>AUD Volatility</t>
  </si>
  <si>
    <t xml:space="preserve">  FF</t>
  </si>
  <si>
    <t>VOL</t>
  </si>
  <si>
    <t>CAP FLOOR</t>
  </si>
  <si>
    <t>ATM</t>
  </si>
  <si>
    <t>PRIMACT_1</t>
  </si>
  <si>
    <t>OVR</t>
  </si>
  <si>
    <t>SWAPTION POINTS PER DAY / TICKS PER DAY</t>
  </si>
  <si>
    <t>AUD Inflation</t>
  </si>
  <si>
    <t>USD Volatilities</t>
  </si>
  <si>
    <t>TOTAL</t>
  </si>
  <si>
    <t>HELP POP-UPS</t>
  </si>
  <si>
    <t>ZCIS</t>
  </si>
  <si>
    <t>CPI (0) VALUE</t>
  </si>
  <si>
    <t>CPI (0) DATE</t>
  </si>
  <si>
    <t>HST</t>
  </si>
  <si>
    <t>CRV</t>
  </si>
  <si>
    <t>QTR</t>
  </si>
  <si>
    <t>QoQ</t>
  </si>
  <si>
    <t>YoY</t>
  </si>
  <si>
    <t>p-Factor</t>
  </si>
  <si>
    <t>Historical</t>
  </si>
  <si>
    <t>13Y</t>
  </si>
  <si>
    <t>14Y</t>
  </si>
  <si>
    <t>Output Curves</t>
  </si>
  <si>
    <t>Leg 1</t>
  </si>
  <si>
    <t>Leg 2</t>
  </si>
  <si>
    <t>NumRows</t>
  </si>
  <si>
    <t xml:space="preserve">  start</t>
  </si>
  <si>
    <t xml:space="preserve">  end</t>
  </si>
  <si>
    <t>DATES</t>
  </si>
  <si>
    <t>FACE</t>
  </si>
  <si>
    <t>Generic Structured Swap Pricer</t>
  </si>
  <si>
    <t>GBP=</t>
  </si>
  <si>
    <t>EUR=</t>
  </si>
  <si>
    <t>NZD=</t>
  </si>
  <si>
    <t>GBP</t>
  </si>
  <si>
    <t>NZD</t>
  </si>
  <si>
    <t>EUR</t>
  </si>
  <si>
    <t>USD</t>
  </si>
  <si>
    <t>FACE'</t>
  </si>
  <si>
    <t>Curve Family</t>
  </si>
  <si>
    <t>DISC</t>
  </si>
  <si>
    <t>DCC</t>
  </si>
  <si>
    <t xml:space="preserve">  anniv</t>
  </si>
  <si>
    <t>AUD Inflation Reuters / Working</t>
  </si>
  <si>
    <t>Reuters Update</t>
  </si>
  <si>
    <t>RtMode</t>
  </si>
  <si>
    <t>FIELDS</t>
  </si>
  <si>
    <t>RIC Codes</t>
  </si>
  <si>
    <t>LN(DF)</t>
  </si>
  <si>
    <t>Historical CPI</t>
  </si>
  <si>
    <t>FX</t>
  </si>
  <si>
    <t>Reuters</t>
  </si>
  <si>
    <t>1h</t>
  </si>
  <si>
    <t>Spot</t>
  </si>
  <si>
    <t>AUD FX</t>
  </si>
  <si>
    <t>GBP FX</t>
  </si>
  <si>
    <t>EUR FX</t>
  </si>
  <si>
    <t>NZD FX</t>
  </si>
  <si>
    <t>AUD XCS</t>
  </si>
  <si>
    <t>GBP XCS</t>
  </si>
  <si>
    <t>EUR XCS</t>
  </si>
  <si>
    <t>NZD XCS</t>
  </si>
  <si>
    <t>FX Curves</t>
  </si>
  <si>
    <t>1m</t>
  </si>
  <si>
    <t>Year end turn</t>
  </si>
  <si>
    <t>Rateset end of Qtr</t>
  </si>
  <si>
    <t>Rateset end of Mth</t>
  </si>
  <si>
    <t>Rateset Mid Month</t>
  </si>
  <si>
    <t>RTMODE</t>
  </si>
  <si>
    <t>Reuters Updates</t>
  </si>
  <si>
    <t>Raw Reuters</t>
  </si>
  <si>
    <t>USD Inflation not implemented.</t>
  </si>
  <si>
    <t>UNADJ</t>
  </si>
  <si>
    <t>ADJSTD</t>
  </si>
  <si>
    <t>USD.ZB.ON</t>
  </si>
  <si>
    <t>USD.ZB.1M</t>
  </si>
  <si>
    <t>USD.ZB.3M</t>
  </si>
  <si>
    <t>USD.ZB.6M</t>
  </si>
  <si>
    <t>USD.ZB.1Y</t>
  </si>
  <si>
    <t>USD.ZB.DISC</t>
  </si>
  <si>
    <t>3v12</t>
  </si>
  <si>
    <t>Ov3</t>
  </si>
  <si>
    <t>Zero Bank Family</t>
  </si>
  <si>
    <t>SYNTHETIC SPREADS SUMMARY</t>
  </si>
  <si>
    <t>Family of Curves</t>
  </si>
  <si>
    <t>AUD Basis Spreads</t>
  </si>
  <si>
    <t>bp</t>
  </si>
  <si>
    <t>CCY</t>
  </si>
  <si>
    <t>FX Curve</t>
  </si>
  <si>
    <t>SPOT</t>
  </si>
  <si>
    <t>ZERO BANK (ZB)</t>
  </si>
  <si>
    <t>ZERO BANK XCS (ZBX)</t>
  </si>
  <si>
    <t>RtMode:</t>
  </si>
  <si>
    <t>USD Inflation</t>
  </si>
  <si>
    <t>MDUR</t>
  </si>
  <si>
    <t>TBA</t>
  </si>
  <si>
    <t>SOLVER</t>
  </si>
  <si>
    <t>Target Leg1</t>
  </si>
  <si>
    <t>Target Leg2</t>
  </si>
  <si>
    <t>Target Total</t>
  </si>
  <si>
    <t>FLOATING LEG</t>
  </si>
  <si>
    <t>PV of Fixed Leg</t>
  </si>
  <si>
    <t>PV of Float Leg</t>
  </si>
  <si>
    <t xml:space="preserve">     PRINCIPAL</t>
  </si>
  <si>
    <t>Checks</t>
  </si>
  <si>
    <t>WARNINGS IF ANY</t>
  </si>
  <si>
    <t>RANK</t>
  </si>
  <si>
    <t>Fixed DCC :</t>
  </si>
  <si>
    <t>Float DCC :</t>
  </si>
  <si>
    <t>EOM :</t>
  </si>
  <si>
    <t>ADJ   :</t>
  </si>
  <si>
    <t>STUB :</t>
  </si>
  <si>
    <t>FREQ :</t>
  </si>
  <si>
    <t>FixedYrs</t>
  </si>
  <si>
    <t>FloatYrs</t>
  </si>
  <si>
    <t>Direction</t>
  </si>
  <si>
    <t>|</t>
  </si>
  <si>
    <t>Zero Bank</t>
  </si>
  <si>
    <t>Q</t>
  </si>
  <si>
    <t>A</t>
  </si>
  <si>
    <t>S</t>
  </si>
  <si>
    <t>JPY</t>
  </si>
  <si>
    <t>FIXED FREQ</t>
  </si>
  <si>
    <t>FLOAT FREQ</t>
  </si>
  <si>
    <t>D</t>
  </si>
  <si>
    <t>FLOAT</t>
  </si>
  <si>
    <t>Daycount</t>
  </si>
  <si>
    <t>Quarterly</t>
  </si>
  <si>
    <t>Semi</t>
  </si>
  <si>
    <t>Monthly</t>
  </si>
  <si>
    <t>Annual</t>
  </si>
  <si>
    <t>Daily</t>
  </si>
  <si>
    <t>30/360</t>
  </si>
  <si>
    <t>SWAP TENORS</t>
  </si>
  <si>
    <t>FORWARD START PERIODS</t>
  </si>
  <si>
    <t>Floating</t>
  </si>
  <si>
    <t>DV01</t>
  </si>
  <si>
    <t xml:space="preserve">OCT   </t>
  </si>
  <si>
    <t>FREQ</t>
  </si>
  <si>
    <t>CUM</t>
  </si>
  <si>
    <t>Holidays:</t>
  </si>
  <si>
    <t>Type</t>
  </si>
  <si>
    <t>x</t>
  </si>
  <si>
    <t>CF</t>
  </si>
  <si>
    <t>HOLIDAYS</t>
  </si>
  <si>
    <t>Use?</t>
  </si>
  <si>
    <t>This section calculates spot and forward IRS rates</t>
  </si>
  <si>
    <t>This calculator converts DV01 basis point values from BASE currency to (up to 5 other) currencies.  The conversion factors</t>
  </si>
  <si>
    <t>multiplied by the OTHER currency basis points equals 1bp of the BASE currency</t>
  </si>
  <si>
    <t>PV01 (Float)</t>
  </si>
  <si>
    <t>DiscCrv</t>
  </si>
  <si>
    <t>Convert 1bp BASE CCY</t>
  </si>
  <si>
    <t>To CF bp of this CCY</t>
  </si>
  <si>
    <t>SYNTHESISED SCB SPREADS</t>
  </si>
  <si>
    <t>30m</t>
  </si>
  <si>
    <t>18M</t>
  </si>
  <si>
    <t>CUSTOM</t>
  </si>
  <si>
    <t>Perform FRM?</t>
  </si>
  <si>
    <t>FRM Details</t>
  </si>
  <si>
    <t>Standard Roll in days</t>
  </si>
  <si>
    <t>&lt;----------</t>
  </si>
  <si>
    <t>Fixed Leg</t>
  </si>
  <si>
    <t>Floating Leg</t>
  </si>
  <si>
    <t>Respect Fwd Period EOM?</t>
  </si>
  <si>
    <t>Busday Adj / EOM</t>
  </si>
  <si>
    <t>General Inputs</t>
  </si>
  <si>
    <t>Margin</t>
  </si>
  <si>
    <t>Dates</t>
  </si>
  <si>
    <t>12M</t>
  </si>
  <si>
    <t>Outline Level</t>
  </si>
  <si>
    <t>Historical Data</t>
  </si>
  <si>
    <t>AUD CPI</t>
  </si>
  <si>
    <t>Holiday Override</t>
  </si>
  <si>
    <t>PER</t>
  </si>
  <si>
    <t>SYD</t>
  </si>
  <si>
    <t>Holiday Codes</t>
  </si>
  <si>
    <t>Adelaide</t>
  </si>
  <si>
    <t>ADL</t>
  </si>
  <si>
    <t>Bangkok</t>
  </si>
  <si>
    <t>BAK</t>
  </si>
  <si>
    <t>Beijing</t>
  </si>
  <si>
    <t>BEI</t>
  </si>
  <si>
    <t>Brisbane</t>
  </si>
  <si>
    <t>BRI</t>
  </si>
  <si>
    <t>Bucharest</t>
  </si>
  <si>
    <t>BRT</t>
  </si>
  <si>
    <t>Budapest</t>
  </si>
  <si>
    <t>BDP</t>
  </si>
  <si>
    <t>Buenos Aires</t>
  </si>
  <si>
    <t>BUA</t>
  </si>
  <si>
    <t>Cairo</t>
  </si>
  <si>
    <t>CAI</t>
  </si>
  <si>
    <t>Caracas</t>
  </si>
  <si>
    <t>CAR</t>
  </si>
  <si>
    <t>Copenhagen</t>
  </si>
  <si>
    <t>COP</t>
  </si>
  <si>
    <t>Frankfurt</t>
  </si>
  <si>
    <t>FRA</t>
  </si>
  <si>
    <t>Hong Kong</t>
  </si>
  <si>
    <t>HK</t>
  </si>
  <si>
    <t>Jakarta</t>
  </si>
  <si>
    <t>JAK</t>
  </si>
  <si>
    <t>Johannesburg</t>
  </si>
  <si>
    <t>JOH</t>
  </si>
  <si>
    <t>Kiev</t>
  </si>
  <si>
    <t>KEV</t>
  </si>
  <si>
    <t>Kuala Lumpur</t>
  </si>
  <si>
    <t>KLU</t>
  </si>
  <si>
    <t>Lima</t>
  </si>
  <si>
    <t>LMA</t>
  </si>
  <si>
    <t>London</t>
  </si>
  <si>
    <t>LON</t>
  </si>
  <si>
    <t>Manila</t>
  </si>
  <si>
    <t>MAN</t>
  </si>
  <si>
    <t>Melbourne</t>
  </si>
  <si>
    <t>MEL</t>
  </si>
  <si>
    <t>Milan</t>
  </si>
  <si>
    <t>MIL</t>
  </si>
  <si>
    <t>Moscow</t>
  </si>
  <si>
    <t>MOS</t>
  </si>
  <si>
    <t>Mumbai</t>
  </si>
  <si>
    <t>BOM</t>
  </si>
  <si>
    <t>New York</t>
  </si>
  <si>
    <t>NYC</t>
  </si>
  <si>
    <t>Oslo</t>
  </si>
  <si>
    <t>OSL</t>
  </si>
  <si>
    <t>Perth</t>
  </si>
  <si>
    <t>Prague</t>
  </si>
  <si>
    <t>PRA</t>
  </si>
  <si>
    <t>Santiago</t>
  </si>
  <si>
    <t>SAN</t>
  </si>
  <si>
    <t>Seoul</t>
  </si>
  <si>
    <t>SEO</t>
  </si>
  <si>
    <t>Singapore</t>
  </si>
  <si>
    <t>SIN</t>
  </si>
  <si>
    <t>Stockholm</t>
  </si>
  <si>
    <t>STO</t>
  </si>
  <si>
    <t>Sydney</t>
  </si>
  <si>
    <t>Taipei</t>
  </si>
  <si>
    <t>TAI</t>
  </si>
  <si>
    <t>Target</t>
  </si>
  <si>
    <t>Tokyo</t>
  </si>
  <si>
    <t>TOK</t>
  </si>
  <si>
    <t>Toronto</t>
  </si>
  <si>
    <t>TOR</t>
  </si>
  <si>
    <t>Warsaw</t>
  </si>
  <si>
    <t>WAR</t>
  </si>
  <si>
    <t>Wellington</t>
  </si>
  <si>
    <t>WEL</t>
  </si>
  <si>
    <t>Zurich</t>
  </si>
  <si>
    <t>ZUR</t>
  </si>
  <si>
    <t>TGT</t>
  </si>
  <si>
    <t>NOK</t>
  </si>
  <si>
    <t>SEK</t>
  </si>
  <si>
    <t>DKK</t>
  </si>
  <si>
    <t>CITY</t>
  </si>
  <si>
    <t>TWD</t>
  </si>
  <si>
    <t>CHF</t>
  </si>
  <si>
    <t>CAD</t>
  </si>
  <si>
    <t>SGD</t>
  </si>
  <si>
    <t>THB</t>
  </si>
  <si>
    <t>CNY</t>
  </si>
  <si>
    <t>HKD</t>
  </si>
  <si>
    <t>IDR</t>
  </si>
  <si>
    <t>ZAR</t>
  </si>
  <si>
    <t>Furthermore, adding holidays can be performed with the "+" operator.   Eg:  "AUD+GBP"</t>
  </si>
  <si>
    <t>Two stage holidays are also allowed, eg:  "AUD+GBP/NYC"   or   "SYD+LON/NYC"</t>
  </si>
  <si>
    <t>Where a holiday code is required, any of the 3char city or currency codes below may be used</t>
  </si>
  <si>
    <t>TIMESTAMP</t>
  </si>
  <si>
    <t>CLOSE</t>
  </si>
  <si>
    <t>DATE</t>
  </si>
  <si>
    <t>VALUE</t>
  </si>
  <si>
    <t>Renamed Pricer to Swap Pricer</t>
  </si>
  <si>
    <t>LOCAL</t>
  </si>
  <si>
    <t>Reuters PPP Global Control</t>
  </si>
  <si>
    <t>Got PPP_ALL feature working on CON tab</t>
  </si>
  <si>
    <t>Custom</t>
  </si>
  <si>
    <t>Cashflows</t>
  </si>
  <si>
    <t>1c</t>
  </si>
  <si>
    <t>STR: Replaced 2nd generator columns with Custom cashflows column</t>
  </si>
  <si>
    <t>Principal1</t>
  </si>
  <si>
    <t>Principal2</t>
  </si>
  <si>
    <t>1d</t>
  </si>
  <si>
    <t>Changes for upgraded XLL with rates x 100 and bp x 10000</t>
  </si>
  <si>
    <t>EUR Rates Input</t>
  </si>
  <si>
    <t>EUR Volatilities</t>
  </si>
  <si>
    <t>EUR Inflation</t>
  </si>
  <si>
    <t>EUR Inflation not implemented.</t>
  </si>
  <si>
    <t>EURONFSR=</t>
  </si>
  <si>
    <t>EUR.ZB.DISC</t>
  </si>
  <si>
    <t>EUR.ZB.ON</t>
  </si>
  <si>
    <t>EUR.ZB.1M</t>
  </si>
  <si>
    <t>EUR.ZB.3M</t>
  </si>
  <si>
    <t>EUR.ZB.6M</t>
  </si>
  <si>
    <t>EUR.ZB.1Y</t>
  </si>
  <si>
    <t>FEI FUTURES</t>
  </si>
  <si>
    <t>#N/A Access Denied: User req to IDN for Exch - ENI</t>
  </si>
  <si>
    <t>SWAPS Ann Bond vs 6m EURIBOR</t>
  </si>
  <si>
    <t>EURIBOR</t>
  </si>
  <si>
    <t>EONIA VS 3M EURIBOR</t>
  </si>
  <si>
    <t>10M</t>
  </si>
  <si>
    <t>11M</t>
  </si>
  <si>
    <t>Zero Bank XCS Family</t>
  </si>
  <si>
    <t>EUR.ZBX.DISC</t>
  </si>
  <si>
    <t>EUR.ZBX.ON</t>
  </si>
  <si>
    <t>EUR.ZBX.1M</t>
  </si>
  <si>
    <t>EUR.ZBX.3M</t>
  </si>
  <si>
    <t>EUR.ZBX.6M</t>
  </si>
  <si>
    <t>EUR.ZBX.1Y</t>
  </si>
  <si>
    <t>FEI Futures</t>
  </si>
  <si>
    <t>LIVE</t>
  </si>
  <si>
    <t>DELAYED</t>
  </si>
  <si>
    <t>Decision:</t>
  </si>
  <si>
    <t>Step 1:  Decide whether to use LIVE or DELAYED futures feeds</t>
  </si>
  <si>
    <t>Step 2:  Get futures quotes</t>
  </si>
  <si>
    <t>FEI</t>
  </si>
  <si>
    <t>FF</t>
  </si>
  <si>
    <t>HST_CLOSE</t>
  </si>
  <si>
    <t>ReutersRAW</t>
  </si>
  <si>
    <t>ReutersPARSED</t>
  </si>
  <si>
    <t>Live RIC</t>
  </si>
  <si>
    <t>Delayed RIC</t>
  </si>
  <si>
    <t>ED</t>
  </si>
  <si>
    <t>Step 2:  Get Futures Quotes</t>
  </si>
  <si>
    <t>Futures contracts require special parsing</t>
  </si>
  <si>
    <t>Bond Reference Yields</t>
  </si>
  <si>
    <t>CONVEXITY ADJ.</t>
  </si>
  <si>
    <t>CURVE OUTPUTS</t>
  </si>
  <si>
    <t>RTMODE_VOLS</t>
  </si>
  <si>
    <t>SWAPS  Semi-Bond vs 3M LIBOR</t>
  </si>
  <si>
    <t>GBP Rates Input</t>
  </si>
  <si>
    <t>GBP Volatilities</t>
  </si>
  <si>
    <t>GBP Inflation</t>
  </si>
  <si>
    <t>GBP Inflation not implemented.</t>
  </si>
  <si>
    <t>GBPONFSR=</t>
  </si>
  <si>
    <t>GBPIBOR</t>
  </si>
  <si>
    <t>GBP.ZB.DISC</t>
  </si>
  <si>
    <t>GBP.ZB.ON</t>
  </si>
  <si>
    <t>GBP.ZB.1M</t>
  </si>
  <si>
    <t>GBP.ZB.3M</t>
  </si>
  <si>
    <t>GBP.ZB.6M</t>
  </si>
  <si>
    <t>GBP.ZB.1Y</t>
  </si>
  <si>
    <t>GBP.ZBX.DISC</t>
  </si>
  <si>
    <t>GBP.ZBX.ON</t>
  </si>
  <si>
    <t>GBP.ZBX.1M</t>
  </si>
  <si>
    <t>GBP.ZBX.3M</t>
  </si>
  <si>
    <t>GBP.ZBX.6M</t>
  </si>
  <si>
    <t>GBP.ZBX.1Y</t>
  </si>
  <si>
    <t>CONTRACT</t>
  </si>
  <si>
    <t xml:space="preserve">   Decision:</t>
  </si>
  <si>
    <t>SWAPS SemiBond vs 6m GBPIBOR</t>
  </si>
  <si>
    <t>SONIA VS 3M GBP LIBOR</t>
  </si>
  <si>
    <t>FUTURES step 1:  Decide whether to use LIVE or DELAYED futures feeds</t>
  </si>
  <si>
    <t>FUTURES step 2:  Get futures quotes</t>
  </si>
  <si>
    <t>Reuters Parsed (Non Zero)</t>
  </si>
  <si>
    <t>RTMODE_RATES</t>
  </si>
  <si>
    <t>FUTURES Step 1:  Determine whether to use LIVE or DELAYED feeds</t>
  </si>
  <si>
    <t>Bond Futures</t>
  </si>
  <si>
    <t>Bill Futures</t>
  </si>
  <si>
    <t>IB Futures</t>
  </si>
  <si>
    <t>FUTURES Step 2:  Get Futures Quotes</t>
  </si>
  <si>
    <t>Reuters RAW</t>
  </si>
  <si>
    <t>ICAP Swaps</t>
  </si>
  <si>
    <t>Tullet Swaps</t>
  </si>
  <si>
    <t>BGC Swaps</t>
  </si>
  <si>
    <t>AU0MLBB=ICAA</t>
  </si>
  <si>
    <t>AU1MLBB=ICAA</t>
  </si>
  <si>
    <t>AU2MLBB=ICAA</t>
  </si>
  <si>
    <t>AU3MLBB=ICAA</t>
  </si>
  <si>
    <t>AU4MLBB=ICAA</t>
  </si>
  <si>
    <t>AU5MLBB=ICAA</t>
  </si>
  <si>
    <t>Early and Late Bills  (ICAP)</t>
  </si>
  <si>
    <t>Early Bills</t>
  </si>
  <si>
    <t>Late Bills</t>
  </si>
  <si>
    <t>NZD Rates Input</t>
  </si>
  <si>
    <t>NZD Volatilities</t>
  </si>
  <si>
    <t>NZD Inflation</t>
  </si>
  <si>
    <t>NZD Inflation not implemented.</t>
  </si>
  <si>
    <t>NZD.ZB.DISC</t>
  </si>
  <si>
    <t>NZD.ZB.ON</t>
  </si>
  <si>
    <t>NZD.ZB.1M</t>
  </si>
  <si>
    <t>NZD.ZB.3M</t>
  </si>
  <si>
    <t>NZD.ZB.6M</t>
  </si>
  <si>
    <t>NZD.ZB.1Y</t>
  </si>
  <si>
    <t>NZD.ZBX.DISC</t>
  </si>
  <si>
    <t>NZD.ZBX.ON</t>
  </si>
  <si>
    <t>NZD.ZBX.1M</t>
  </si>
  <si>
    <t>NZD.ZBX.3M</t>
  </si>
  <si>
    <t>NZD.ZBX.6M</t>
  </si>
  <si>
    <t>NZD.ZBX.1Y</t>
  </si>
  <si>
    <t>NBB Futures</t>
  </si>
  <si>
    <t>NBB</t>
  </si>
  <si>
    <t>NBB FUTURES</t>
  </si>
  <si>
    <t>FSS FUTURES</t>
  </si>
  <si>
    <t>FSS</t>
  </si>
  <si>
    <t>SWAPS Semi vs 3m BKBM</t>
  </si>
  <si>
    <t>NZCASH=RBNZ</t>
  </si>
  <si>
    <t>ICAPAUKIWIBASIS</t>
  </si>
  <si>
    <t xml:space="preserve">                1Y         6         -2      1Y      8          0               </t>
  </si>
  <si>
    <t xml:space="preserve">                2Y         6         -2      2Y      8          0               </t>
  </si>
  <si>
    <t xml:space="preserve">                3Y         6         -2      3Y      8          0               </t>
  </si>
  <si>
    <t xml:space="preserve">                4Y         6         -2      4Y      8          0               </t>
  </si>
  <si>
    <t xml:space="preserve">                5Y         6         -2      5Y      8          0               </t>
  </si>
  <si>
    <t xml:space="preserve">                7Y         6         -2      7Y      8          0               </t>
  </si>
  <si>
    <t xml:space="preserve">               10Y         6         -2      10Y     8          0               </t>
  </si>
  <si>
    <t>UNADJ.</t>
  </si>
  <si>
    <t>CASH and BILLS</t>
  </si>
  <si>
    <t>BKBM</t>
  </si>
  <si>
    <t>GOVT BONDS</t>
  </si>
  <si>
    <t>1111</t>
  </si>
  <si>
    <t>0413</t>
  </si>
  <si>
    <t>0415</t>
  </si>
  <si>
    <t>1217</t>
  </si>
  <si>
    <t>0216</t>
  </si>
  <si>
    <t>Government Bonds</t>
  </si>
  <si>
    <t>Note:  There is no official domestic basis.  All projection curves are 3M</t>
  </si>
  <si>
    <t>3v6   NOT USED</t>
  </si>
  <si>
    <t>1v3   NOT USED</t>
  </si>
  <si>
    <t>Principal exchange?</t>
  </si>
  <si>
    <t>XCS start = "2b" ?</t>
  </si>
  <si>
    <t>Leg1 float daycount?</t>
  </si>
  <si>
    <t>Leg2 float daycount?</t>
  </si>
  <si>
    <t>1e</t>
  </si>
  <si>
    <t>STR:  Floating projection to cater irregular rolls by looking up appropriate projection curve</t>
  </si>
  <si>
    <t>Advanced Settings</t>
  </si>
  <si>
    <t>Trigger Table</t>
  </si>
  <si>
    <t>Theo</t>
  </si>
  <si>
    <t>Floating Rate Mismatch</t>
  </si>
  <si>
    <t>PROJECTION CURVES</t>
  </si>
  <si>
    <t>FORWARDS</t>
  </si>
  <si>
    <t>The number of days a roll must stray from standard roll to trigger the need to interpolate between projection curves</t>
  </si>
  <si>
    <t>Market</t>
  </si>
  <si>
    <t>1st Contract</t>
  </si>
  <si>
    <t>Yet</t>
  </si>
  <si>
    <t>Imple-</t>
  </si>
  <si>
    <t>mented</t>
  </si>
  <si>
    <t>Not</t>
  </si>
  <si>
    <t>1W</t>
  </si>
  <si>
    <t>2W</t>
  </si>
  <si>
    <t>3W</t>
  </si>
  <si>
    <t>Today</t>
  </si>
  <si>
    <t>Interp Trigger</t>
  </si>
  <si>
    <t>FLOAT CFL</t>
  </si>
  <si>
    <t>FIXING</t>
  </si>
  <si>
    <t xml:space="preserve">     FIXING RATES</t>
  </si>
  <si>
    <t>Principals</t>
  </si>
  <si>
    <t>Basis Points</t>
  </si>
  <si>
    <t xml:space="preserve">       PROJECTED FIXINGS FROM CURVES</t>
  </si>
  <si>
    <t>Spot FX</t>
  </si>
  <si>
    <t>Base</t>
  </si>
  <si>
    <t>Other</t>
  </si>
  <si>
    <t>Implied</t>
  </si>
  <si>
    <t>FORWARD FX POINTS</t>
  </si>
  <si>
    <t>Diff.</t>
  </si>
  <si>
    <t>Forward FX</t>
  </si>
  <si>
    <t>Conversion Factors</t>
  </si>
  <si>
    <t>Forward Swaps</t>
  </si>
  <si>
    <t>FX Pts</t>
  </si>
  <si>
    <t>from IR</t>
  </si>
  <si>
    <t>ZBX Curve</t>
  </si>
  <si>
    <t>This section compares market forward FX points to points implied by interest rate curves</t>
  </si>
  <si>
    <t>1f</t>
  </si>
  <si>
    <t>TBL: Added Forward FX section</t>
  </si>
  <si>
    <t>Start / End</t>
  </si>
  <si>
    <t xml:space="preserve">  Used by auto-formatting for floating freq.</t>
  </si>
  <si>
    <t>FED FUND FUTURES</t>
  </si>
  <si>
    <t>Allows global override. Enter "LOCAL" to pass control back to each sheet tab</t>
  </si>
  <si>
    <t>Programmers only</t>
  </si>
  <si>
    <t>Custom inputs</t>
  </si>
  <si>
    <t>MYR</t>
  </si>
  <si>
    <t>2b</t>
  </si>
  <si>
    <t>0d</t>
  </si>
  <si>
    <t>2B</t>
  </si>
  <si>
    <t>???</t>
  </si>
  <si>
    <t>Projection Curve</t>
  </si>
  <si>
    <t>SW</t>
  </si>
  <si>
    <t>CFL DATE</t>
  </si>
  <si>
    <t>1g</t>
  </si>
  <si>
    <t>IRS: Cater for 2b LIBOR lead period</t>
  </si>
  <si>
    <t>HS: Added EUR, GBP, USD, NZD</t>
  </si>
  <si>
    <t>AUD Cash and BBSW fixings</t>
  </si>
  <si>
    <t>USD LIBOR fixings</t>
  </si>
  <si>
    <t>EURIBOR fixings</t>
  </si>
  <si>
    <t>GBP LIBOR fixings</t>
  </si>
  <si>
    <t>NZD Cash and BKBM fixings</t>
  </si>
  <si>
    <t>This data is sourced from Reuters.   Integrity and reliability are dependent on Reuters.  This data is used for pricing back-dated swaps.</t>
  </si>
  <si>
    <t>30s</t>
  </si>
  <si>
    <t>aAUCPI</t>
  </si>
  <si>
    <t>CPI</t>
  </si>
  <si>
    <t>AU1MBA=</t>
  </si>
  <si>
    <t>AU2MBA=</t>
  </si>
  <si>
    <t>AU3MBA=</t>
  </si>
  <si>
    <t>AU4MBA=</t>
  </si>
  <si>
    <t>AU5MBA=</t>
  </si>
  <si>
    <t>AU6MBA=</t>
  </si>
  <si>
    <t>AU1YMIDREF=AFMA</t>
  </si>
  <si>
    <t>USD1YFSR=</t>
  </si>
  <si>
    <t>GBP1MFSR=</t>
  </si>
  <si>
    <t>GBP2MFSR=</t>
  </si>
  <si>
    <t>GBP3MFSR=</t>
  </si>
  <si>
    <t>GBP4MFSR=</t>
  </si>
  <si>
    <t>GBP5MFSR=</t>
  </si>
  <si>
    <t>GBP6MFSR=</t>
  </si>
  <si>
    <t>GBP1YFSR=</t>
  </si>
  <si>
    <t>EUR1MFSR=</t>
  </si>
  <si>
    <t>EUR2MFSR=</t>
  </si>
  <si>
    <t>EUR3MFSR=</t>
  </si>
  <si>
    <t>EUR4MFSR=</t>
  </si>
  <si>
    <t>EUR5MFSR=</t>
  </si>
  <si>
    <t>EUR6MFSR=</t>
  </si>
  <si>
    <t>EUR1YFSR=</t>
  </si>
  <si>
    <t>NZ1MBBFIX=</t>
  </si>
  <si>
    <t>NZ2MBBFIX=</t>
  </si>
  <si>
    <t>NZ3MBBFIX=</t>
  </si>
  <si>
    <t>NZ4MBBFIX=</t>
  </si>
  <si>
    <t>NZ5MBBFIX=</t>
  </si>
  <si>
    <t>NZ6MBBFIX=</t>
  </si>
  <si>
    <t/>
  </si>
  <si>
    <t>20-30yr fwd</t>
  </si>
  <si>
    <t>40Y and 50Y ZCIS extrapolated from 20Y and 30Y</t>
  </si>
  <si>
    <t>on the basis of flat forward rates</t>
  </si>
  <si>
    <t>AUCASHT=RBAA</t>
  </si>
  <si>
    <t>1i</t>
  </si>
  <si>
    <t>AU: Cash RIC changed to AUCASHT=RBAA to be more reliable. The old RIC AUCASH= often returns 0</t>
  </si>
  <si>
    <t>ICAP Australia</t>
  </si>
  <si>
    <t>BGC</t>
  </si>
  <si>
    <t>Tullett</t>
  </si>
  <si>
    <t>ICAP</t>
  </si>
  <si>
    <t>AVERAGE</t>
  </si>
  <si>
    <t>RICS</t>
  </si>
  <si>
    <t>FX:  Provided ICAP, Tullett and BGC averaging for AUD XCS (requested by Barra)</t>
  </si>
  <si>
    <t>STR: Show FX cross rate</t>
  </si>
  <si>
    <t>STR: Allow for Fixed daycount periods of 1/1, 1/2, 1/4 and 1/12 to help with generating bond coupons</t>
  </si>
  <si>
    <t>1j</t>
  </si>
  <si>
    <t>STR: Fixed bug in floating cashflows generation</t>
  </si>
  <si>
    <t>1k</t>
  </si>
  <si>
    <t>STR: Customise dates button now asks if you want to make same as the other schedule  (Andy Rayner request)</t>
  </si>
  <si>
    <t>STR: Added safety feature to solver  (will no longer overwrite formula cell if user accidentally chooses a formula cell)  (Brendan Johnston request)</t>
  </si>
  <si>
    <t>IRS?</t>
  </si>
  <si>
    <t>XCS?</t>
  </si>
  <si>
    <t>1a</t>
  </si>
  <si>
    <t>VERSION</t>
  </si>
  <si>
    <t>RELEASED</t>
  </si>
  <si>
    <t>1L</t>
  </si>
  <si>
    <t>STR: Added Clone feature  (Andy Rayner)</t>
  </si>
  <si>
    <t>STR: Added FX OVR feature (Simon Barraket)</t>
  </si>
  <si>
    <t>STR: Added local range names IRS? And XCS?</t>
  </si>
  <si>
    <t>This book is version :</t>
  </si>
  <si>
    <t>Currency Basis Forward Swaps</t>
  </si>
  <si>
    <t>Holidays</t>
  </si>
  <si>
    <t>AUD.ZB.DISC</t>
  </si>
  <si>
    <t>AUD.ZB.ON</t>
  </si>
  <si>
    <t>AUD.ZB.1M</t>
  </si>
  <si>
    <t>AUD.ZB.3M</t>
  </si>
  <si>
    <t>AUD.ZB.6M</t>
  </si>
  <si>
    <t>AUD.ZB.1Y</t>
  </si>
  <si>
    <t>AUD.ZBX.DISC</t>
  </si>
  <si>
    <t>AUD.ZBX.ON</t>
  </si>
  <si>
    <t>AUD.ZBX.1M</t>
  </si>
  <si>
    <t>AUD.ZBX.3M</t>
  </si>
  <si>
    <t>AUD.ZBX.6M</t>
  </si>
  <si>
    <t>AUD.ZBX.1Y</t>
  </si>
  <si>
    <t>Curves</t>
  </si>
  <si>
    <t>Floating DCC</t>
  </si>
  <si>
    <t>6y</t>
  </si>
  <si>
    <t>Q/Q</t>
  </si>
  <si>
    <t>Custom holidays</t>
  </si>
  <si>
    <t>STR: Solver accuracy reduced to 0.000001 to stop going into overflow loop (too accurate!)</t>
  </si>
  <si>
    <t>TBL: Added forward Cross Currency Basis spreads</t>
  </si>
  <si>
    <t>TENOR</t>
  </si>
  <si>
    <t>USD LIBOR (FLAT)</t>
  </si>
  <si>
    <t>FWD PERIOD &gt;&gt;</t>
  </si>
  <si>
    <t>Versus</t>
  </si>
  <si>
    <t>1n</t>
  </si>
  <si>
    <t>SOLVER: Better behaviour. Added extra exit condition where X2-X1 gets tiny (&lt;1e-13) therefore time to exit</t>
  </si>
  <si>
    <t>Calculation</t>
  </si>
  <si>
    <t>AUTO</t>
  </si>
  <si>
    <t>Refer to holiday codes on HOL sheet.   If no override is provided, the default is shown below the yellow box</t>
  </si>
  <si>
    <t>1o</t>
  </si>
  <si>
    <t>STR:  Added Calculation option to allow the sheet to continue calculation in the background (when not activated)</t>
  </si>
  <si>
    <t>Calculation always ON</t>
  </si>
  <si>
    <t>FACE FX</t>
  </si>
  <si>
    <t>FX for PV</t>
  </si>
  <si>
    <t>FX for Face</t>
  </si>
  <si>
    <t>LEG 1</t>
  </si>
  <si>
    <t>LEG 2</t>
  </si>
  <si>
    <t>BOTH</t>
  </si>
  <si>
    <t>This sheet only calculates when it is activated (ie: when visible).  This is generally recommended</t>
  </si>
  <si>
    <t>This sheet will always calculate, even when not activated or hidden. This slows down overall</t>
  </si>
  <si>
    <t>calculation speed so only choose it if you really need it</t>
  </si>
  <si>
    <t>Solver Calc Scope</t>
  </si>
  <si>
    <t>SHEET</t>
  </si>
  <si>
    <t>BOOK</t>
  </si>
  <si>
    <t>Solver only calculates this sheet between iterations.  This is the usual setting</t>
  </si>
  <si>
    <t>Solver does a full workbook recalculation between iterations.  Much slower, but useful if you have made</t>
  </si>
  <si>
    <t>this sheet depend on the output of another sheet</t>
  </si>
  <si>
    <t>Solver Calc Scope is BOOK</t>
  </si>
  <si>
    <t>STR: Added SolverCalcScope concept</t>
  </si>
  <si>
    <t xml:space="preserve">NOV   </t>
  </si>
  <si>
    <t>1p</t>
  </si>
  <si>
    <t>EU: Fixed bug. EUR.ZB.DISC range was defined locally instead of globally</t>
  </si>
  <si>
    <t>Curve Name</t>
  </si>
  <si>
    <t>FX: AUD XCS added maturities 6Y, 8Y, 9Y, 12Y, 25Y</t>
  </si>
  <si>
    <t>AU: Changed AUD.ZBX.DISC curve to now price off Fwd-FX (all points) to 9M and then AUD XCS 1Y onwards  (including new 6Y, 8Y, 9Y, 12Y, 25Y)</t>
  </si>
  <si>
    <t>VB: ThisWorkbook.Saved=TRUE on close</t>
  </si>
  <si>
    <t>1q</t>
  </si>
  <si>
    <t>STR: Bugfix in CLONE button. The clones did not have any protection and formulae could be overwritten  (reported by Andy Rayner)</t>
  </si>
  <si>
    <t>ED ETO</t>
  </si>
  <si>
    <t>EXPIRY</t>
  </si>
  <si>
    <t>NORM</t>
  </si>
  <si>
    <t>IMP_VOLT</t>
  </si>
  <si>
    <t>PRC</t>
  </si>
  <si>
    <t>YLD</t>
  </si>
  <si>
    <t>STRIKE</t>
  </si>
  <si>
    <t>YIELD</t>
  </si>
  <si>
    <t>PRICE VOL</t>
  </si>
  <si>
    <t>IMPLIED</t>
  </si>
  <si>
    <t>CAP AND FLOOR VOLS</t>
  </si>
  <si>
    <t>YBA ETO CONTRACT VOLS</t>
  </si>
  <si>
    <t>CNTRCT</t>
  </si>
  <si>
    <t>NORM is Normal Yield Volatility</t>
  </si>
  <si>
    <t>FEI ETO CONTRACT VOLS</t>
  </si>
  <si>
    <t>CNT</t>
  </si>
  <si>
    <t>YR</t>
  </si>
  <si>
    <t>#N/A *The record could not be found</t>
  </si>
  <si>
    <t>PRC is Black Price Volatility</t>
  </si>
  <si>
    <t>YLD is Black Yield Volatility</t>
  </si>
  <si>
    <t>AU, US, EU, GB: Futures convexity now sourced from ETO implied volatilities (not from Caps/Floors)</t>
  </si>
  <si>
    <t>AU, US, EU, GB: Futures ETO implied vols added to Vols section</t>
  </si>
  <si>
    <t>FSS ETO CONTRACT VOLS</t>
  </si>
  <si>
    <t>stuck on retrieving</t>
  </si>
  <si>
    <t>STR: Introduced concept of FaceFX (FX rate for Face value conversion from leg1 to leg2) as distinct concept from FX for PV (PV of Leg1 + PV of Leg2</t>
  </si>
  <si>
    <t>converted by FXPV)</t>
  </si>
  <si>
    <t>US/EU/GB: Bugfix in convexity adjustment. Calling qFuturesConvexityAdjustment with contract = "SFE" instead of "Eurodollar"  (Simon Barraket)</t>
  </si>
  <si>
    <t>VB: On Workbook.Open now has 2 sec delay for Reuters feeds to allow Reuters time to "catch up".  Formerly some Tullets feeds (text page AUTTA5)</t>
  </si>
  <si>
    <t>SUMMARY</t>
  </si>
  <si>
    <t>1r</t>
  </si>
  <si>
    <t>OutlineLevel</t>
  </si>
  <si>
    <t>BonnetMgt</t>
  </si>
  <si>
    <t>Bonnet Management: Only locks down programmer designed sheets, not user-added sheets (Andy Rayner)</t>
  </si>
  <si>
    <t>STARTUP:  Automatically tries to install Reuters PPP add-in if not already installed (Darren Hooton in Perth)</t>
  </si>
  <si>
    <t xml:space="preserve">      PROJECTION END DATES</t>
  </si>
  <si>
    <t>PROJECTED RATES FROM CURVES</t>
  </si>
  <si>
    <t xml:space="preserve">  HISTORICAL FIXINGS (IF ANY)</t>
  </si>
  <si>
    <t xml:space="preserve">       PROJECTION END DATES</t>
  </si>
  <si>
    <t xml:space="preserve">      HISTORICAL FIXINGS (IF ANY)</t>
  </si>
  <si>
    <t xml:space="preserve">      PROJECTED FIXINGS FROM CURVES</t>
  </si>
  <si>
    <t xml:space="preserve">      FIXING RATES</t>
  </si>
  <si>
    <t>Dark shade (if any) are historical</t>
  </si>
  <si>
    <t>STR:  Historical fixings now available</t>
  </si>
  <si>
    <t>1s</t>
  </si>
  <si>
    <t>STR: Auto checks and fixes dates in Custom mode to ensure they are ascending. This guards against the situation when pasting dates from another</t>
  </si>
  <si>
    <t>Excel session where dates are formatted as YY instead of YYYY and Microsoft interprets (say) 13-Sep-49 as 13-Sep-1949 instead of 13-Sep-2049</t>
  </si>
  <si>
    <t>Version 1s</t>
  </si>
  <si>
    <t>Version 1r</t>
  </si>
  <si>
    <t>Version 1q</t>
  </si>
  <si>
    <t>Version 1p</t>
  </si>
  <si>
    <t>Version 1o</t>
  </si>
  <si>
    <t>Version 1n</t>
  </si>
  <si>
    <t>Version 1m</t>
  </si>
  <si>
    <t>Version 1L</t>
  </si>
  <si>
    <t>Version 1k</t>
  </si>
  <si>
    <t>Version 1i</t>
  </si>
  <si>
    <t>FULL NOTE</t>
  </si>
  <si>
    <t>IsBillFuturesExpiry?</t>
  </si>
  <si>
    <t>IsBondFuturesExpiry?</t>
  </si>
  <si>
    <t>Bill Futures #1</t>
  </si>
  <si>
    <t>IB Futures #1</t>
  </si>
  <si>
    <t>Bond Futures #1</t>
  </si>
  <si>
    <t>Auto</t>
  </si>
  <si>
    <t>1t</t>
  </si>
  <si>
    <t>Version 1t</t>
  </si>
  <si>
    <t>AU: Improved handling of futures rollover during expiry (Bill futures and bond futures)</t>
  </si>
  <si>
    <t>VBA: Fixed bug in uBonnetClose and uBonnetOpen (using .Worksheets instead of .Sheets.  Was crashing if any charts in the workbook)</t>
  </si>
  <si>
    <t>AU: AUD.ZBX.DISC revert back to Calypso Algo4 method and dropping 6Y, 8Y, 9Y maturities for now (Simon Barraket)</t>
  </si>
  <si>
    <t>OUTRIGHT FX FORWARDS</t>
  </si>
  <si>
    <t>Cashflows &lt; today are ignored</t>
  </si>
  <si>
    <t>Act/360</t>
  </si>
  <si>
    <t>1u</t>
  </si>
  <si>
    <t>Version 1u</t>
  </si>
  <si>
    <t>STR: PV01 now supports both PV01 (Fixed) and PV01 (Float)</t>
  </si>
  <si>
    <t>STR: PV01 now shown in currency of the leg, no longer converted to base currency</t>
  </si>
  <si>
    <t>STR: Cashflows prior to Today are not included in the PV</t>
  </si>
  <si>
    <t>#N/A Access Denied: User req to IDN for Exch - SFE</t>
  </si>
  <si>
    <t>#N/A Access Denied: User req to IDN for Exch - CBT</t>
  </si>
  <si>
    <t>#N/A Access Denied: User req to IDN for Exch - CME</t>
  </si>
  <si>
    <t>Courtesy Info</t>
  </si>
  <si>
    <t>If currency = AUD</t>
  </si>
  <si>
    <t>YTT (1) or YTC (2) ?</t>
  </si>
  <si>
    <t>3y</t>
  </si>
  <si>
    <t>1v</t>
  </si>
  <si>
    <t>Version 1v</t>
  </si>
  <si>
    <t>IRS: For AUD, shows Spread to bond futures and bond futures quote  (Sebastian Freeman)</t>
  </si>
  <si>
    <t>OFF</t>
  </si>
  <si>
    <t>IRS and STR: Reset lead for NZD corrected to be same day fixing  (Brock Johnson)</t>
  </si>
  <si>
    <t>STR: Auto-Formatting bugfix. When choosing customised dates, all 500 dates shown in yellow shading once again</t>
  </si>
  <si>
    <t xml:space="preserve">15YR  73.50   69.50   SEMI  5.993   5.953                                       </t>
  </si>
  <si>
    <t xml:space="preserve">6YR   37.75   33.75   SEMI  5.635   5.595   7YR  22.75 17.75    57.7   53.7     </t>
  </si>
  <si>
    <t xml:space="preserve">3YR   35.75   31.75   QTLY  5.173   5.133   3YR  14.00 9.000 CURVE 36.249       </t>
  </si>
  <si>
    <t xml:space="preserve">9YR   56.50   52.50   SEMI  5.823   5.783   15YR 19.50 14.50  25 YR BILLS/LIBOR </t>
  </si>
  <si>
    <t xml:space="preserve">DEC   </t>
  </si>
  <si>
    <t>40Y  5.3888/5.3438   12.88/   8.88 vs 10Y                      AUD Bills / Libor</t>
  </si>
  <si>
    <t xml:space="preserve">12YR  67.25   63.25   SEMI  5.930   5.890   30YR -2.25 -7.25                    </t>
  </si>
  <si>
    <t xml:space="preserve">8YR   52.00   48.00   SEMI  5.778   5.738   12YR 23.75 18.75    5.835  5.795    </t>
  </si>
  <si>
    <t xml:space="preserve">2YR   23.50   19.50   QTLY  5.050   5.010   2YR  10.25 5.250 10YR  YTCc1        </t>
  </si>
  <si>
    <t xml:space="preserve">7YR   46.25   42.25   SEMI  5.720   5.680   10YR 25.00 20.00  25 YR OUTRIGHT    </t>
  </si>
  <si>
    <t>20YR  69.25   65.25   SEMI  5.950   5.910   FOR AUD BASIS RATES SEE &lt;TPAUDBASIS&gt;</t>
  </si>
  <si>
    <t xml:space="preserve">30YR  43.50   39.50   SEMI  5.693   5.653                                       </t>
  </si>
  <si>
    <t xml:space="preserve">10YR  60.50   56.50   SEMI  5.863   5.823   20YR 12.50 7.500    5.250  0.250    </t>
  </si>
  <si>
    <t xml:space="preserve">4YR   60.25   56.25   SEMI  5.418   5.378   4YR  16.75 11.75                    </t>
  </si>
  <si>
    <t>BusDay Rule:</t>
  </si>
  <si>
    <t xml:space="preserve">BusDay Rule: </t>
  </si>
  <si>
    <t>4Y   5.4275/5.3775   60.75/  56.75 vs 3Y                     4Y    15.75   11.75</t>
  </si>
  <si>
    <t>6Y   5.6400/5.5950   37.75/  33.75 vs 10Y                    6Y    19.75   15.75</t>
  </si>
  <si>
    <t>7Y   5.7250/5.6800   46.50/  42.50 vs 10Y                    7Y    21.50   17.50</t>
  </si>
  <si>
    <t>5Y   5.5425/5.4925   72.25/  68.25 vs 3Y                     5Y    18.00   14.00</t>
  </si>
  <si>
    <t>8Y   5.7825/5.7375   52.00/  48.00 vs 10Y                    8Y    22.25   18.25</t>
  </si>
  <si>
    <t>3Y   5.1800/5.1300   36.00/  32.00 vs 3Y                     3Y    13.00    9.00</t>
  </si>
  <si>
    <t>2Y   5.0575/5.0075   23.75/  19.75 vs 3Y                     2Y     9.75    5.75</t>
  </si>
  <si>
    <t>9Y   5.8275/5.7825   56.50/  52.50 vs 10Y                    9Y    22.75   18.75</t>
  </si>
  <si>
    <t>25Y  5.8388/5.7938   57.88/  53.88 vs 10Y                    25Y    4.00    0.00</t>
  </si>
  <si>
    <t>20Y  5.9513/5.9063   69.13/  65.13 vs 10Y                    20Y   11.00    7.00</t>
  </si>
  <si>
    <t>30Y  5.7138/5.6688   45.38/  41.38 vs 10Y                    30Y   -3.00   -7.00</t>
  </si>
  <si>
    <t>10Y  5.8638/5.8188   60.38/  56.38 vs 10Y                    10Y   23.50   19.50</t>
  </si>
  <si>
    <t>15Y  5.9938/5.9488   73.38/  69.38 vs 10Y                    15Y   18.00   14.00</t>
  </si>
  <si>
    <t xml:space="preserve">5YR   72.25   68.25   SEMI  5.538   5.498   5YR  19.25 14.25  25 YR EFP         </t>
  </si>
  <si>
    <t>12Y  5.9338/5.8888   67.38/  63.38 vs 10Y                    12Y   22.25   18.25</t>
  </si>
  <si>
    <t>1Y   4.9430/4.9230                                           1Y     5.50    1.50</t>
  </si>
  <si>
    <t>1w</t>
  </si>
  <si>
    <t>Version 1w</t>
  </si>
  <si>
    <t>IRS and STR: Floating projection dates now respect Modified Succeeding for AUD.   Other currencies are modified following.</t>
  </si>
  <si>
    <t xml:space="preserve">1YR   10.03   6.03    QTLY  4.945   4.905   1YR  5.750 0.750 3YR   YTTc1        </t>
  </si>
  <si>
    <t>50Y#   4.410  -34.00--30.00 -32.00     4.070-4.110  4.090     4.056-4.096  4.076</t>
  </si>
  <si>
    <t>3Y   5.1800/5.1300   36.00/  32.00 vs 3Y                     3Y    13.25    9.25</t>
  </si>
</sst>
</file>

<file path=xl/styles.xml><?xml version="1.0" encoding="utf-8"?>
<styleSheet xmlns="http://schemas.openxmlformats.org/spreadsheetml/2006/main">
  <numFmts count="11">
    <numFmt numFmtId="164" formatCode="[$-409]mmm\-yy;@"/>
    <numFmt numFmtId="165" formatCode="#,##0.000"/>
    <numFmt numFmtId="166" formatCode="#,##0.0"/>
    <numFmt numFmtId="167" formatCode="#,##0.0000"/>
    <numFmt numFmtId="168" formatCode="\+0.00;\-0.00;\+0.00"/>
    <numFmt numFmtId="169" formatCode="#,##0;[Red]\-#,##0;0"/>
    <numFmt numFmtId="170" formatCode="0.0000"/>
    <numFmt numFmtId="171" formatCode="General;\-General;0"/>
    <numFmt numFmtId="172" formatCode="#,##0.00000"/>
    <numFmt numFmtId="173" formatCode="#,##0.00;\-#,##0.00;0.00"/>
    <numFmt numFmtId="174" formatCode="dd/mm"/>
  </numFmts>
  <fonts count="50">
    <font>
      <sz val="10"/>
      <color theme="1"/>
      <name val="Calibri"/>
      <family val="2"/>
      <scheme val="minor"/>
    </font>
    <font>
      <sz val="11"/>
      <color rgb="FF006100"/>
      <name val="Calibri"/>
      <family val="2"/>
      <scheme val="minor"/>
    </font>
    <font>
      <sz val="10"/>
      <color rgb="FF0000FF"/>
      <name val="Calibri"/>
      <family val="2"/>
      <scheme val="minor"/>
    </font>
    <font>
      <sz val="10"/>
      <color rgb="FF333399"/>
      <name val="Calibri"/>
      <family val="2"/>
      <scheme val="minor"/>
    </font>
    <font>
      <sz val="10"/>
      <color theme="1" tint="0.499984740745262"/>
      <name val="Calibri"/>
      <family val="2"/>
      <scheme val="minor"/>
    </font>
    <font>
      <sz val="8"/>
      <color theme="1"/>
      <name val="Calibri"/>
      <family val="2"/>
      <scheme val="minor"/>
    </font>
    <font>
      <sz val="8"/>
      <color theme="1" tint="0.499984740745262"/>
      <name val="Calibri"/>
      <family val="2"/>
      <scheme val="minor"/>
    </font>
    <font>
      <sz val="10"/>
      <name val="Calibri"/>
      <family val="2"/>
      <scheme val="minor"/>
    </font>
    <font>
      <sz val="8"/>
      <name val="Calibri"/>
      <family val="2"/>
      <scheme val="minor"/>
    </font>
    <font>
      <sz val="8"/>
      <color rgb="FF333399"/>
      <name val="Calibri"/>
      <family val="2"/>
      <scheme val="minor"/>
    </font>
    <font>
      <sz val="10"/>
      <color theme="1" tint="0.249977111117893"/>
      <name val="Calibri"/>
      <family val="2"/>
      <scheme val="minor"/>
    </font>
    <font>
      <sz val="8"/>
      <color theme="1" tint="0.249977111117893"/>
      <name val="Calibri"/>
      <family val="2"/>
      <scheme val="minor"/>
    </font>
    <font>
      <sz val="9"/>
      <color theme="1"/>
      <name val="Calibri"/>
      <family val="2"/>
      <scheme val="minor"/>
    </font>
    <font>
      <sz val="10"/>
      <color theme="1" tint="0.499984740745262"/>
      <name val="Calibri"/>
      <family val="2"/>
    </font>
    <font>
      <sz val="10"/>
      <color theme="0" tint="-0.249977111117893"/>
      <name val="Calibri"/>
      <family val="2"/>
      <scheme val="minor"/>
    </font>
    <font>
      <sz val="15"/>
      <color theme="1" tint="0.24994659260841701"/>
      <name val="Calibri"/>
      <family val="2"/>
    </font>
    <font>
      <sz val="10"/>
      <name val="Calibri"/>
      <family val="2"/>
    </font>
    <font>
      <sz val="8"/>
      <color theme="1" tint="0.499984740745262"/>
      <name val="Calibri"/>
      <family val="2"/>
    </font>
    <font>
      <sz val="8"/>
      <name val="Calibri"/>
      <family val="2"/>
    </font>
    <font>
      <sz val="10"/>
      <color rgb="FF0000FF"/>
      <name val="Calibri"/>
      <family val="2"/>
    </font>
    <font>
      <sz val="9"/>
      <color rgb="FF333399"/>
      <name val="Calibri"/>
      <family val="2"/>
      <scheme val="minor"/>
    </font>
    <font>
      <b/>
      <sz val="10"/>
      <color theme="1"/>
      <name val="Calibri"/>
      <family val="2"/>
      <scheme val="minor"/>
    </font>
    <font>
      <sz val="10"/>
      <color rgb="FF000000"/>
      <name val="Calibri"/>
      <family val="2"/>
      <scheme val="minor"/>
    </font>
    <font>
      <b/>
      <sz val="10"/>
      <color rgb="FFFF0000"/>
      <name val="Calibri"/>
      <family val="2"/>
      <scheme val="minor"/>
    </font>
    <font>
      <b/>
      <sz val="10"/>
      <name val="Calibri"/>
      <family val="2"/>
      <scheme val="minor"/>
    </font>
    <font>
      <sz val="15"/>
      <color theme="1"/>
      <name val="Calibri"/>
      <family val="2"/>
      <scheme val="minor"/>
    </font>
    <font>
      <sz val="15"/>
      <name val="Calibri"/>
      <family val="2"/>
      <scheme val="minor"/>
    </font>
    <font>
      <b/>
      <sz val="8"/>
      <color theme="1" tint="0.24994659260841701"/>
      <name val="Calibri"/>
      <family val="2"/>
    </font>
    <font>
      <sz val="10"/>
      <color rgb="FFFF0000"/>
      <name val="Calibri"/>
      <family val="2"/>
      <scheme val="minor"/>
    </font>
    <font>
      <b/>
      <sz val="10"/>
      <name val="Calibri"/>
      <family val="2"/>
    </font>
    <font>
      <b/>
      <sz val="10"/>
      <color theme="0"/>
      <name val="Calibri"/>
      <family val="2"/>
      <scheme val="minor"/>
    </font>
    <font>
      <sz val="14"/>
      <color theme="0"/>
      <name val="Calibri"/>
      <family val="2"/>
      <scheme val="minor"/>
    </font>
    <font>
      <sz val="16"/>
      <color theme="0"/>
      <name val="Calibri"/>
      <family val="2"/>
      <scheme val="minor"/>
    </font>
    <font>
      <sz val="15"/>
      <name val="Calibri"/>
      <family val="2"/>
    </font>
    <font>
      <sz val="8"/>
      <color theme="1" tint="0.24994659260841701"/>
      <name val="Calibri"/>
      <family val="2"/>
    </font>
    <font>
      <b/>
      <sz val="8"/>
      <color theme="0"/>
      <name val="Calibri"/>
      <family val="2"/>
      <scheme val="minor"/>
    </font>
    <font>
      <sz val="8"/>
      <color theme="1" tint="0.249977111117893"/>
      <name val="Calibri"/>
      <family val="2"/>
    </font>
    <font>
      <b/>
      <sz val="8"/>
      <color theme="1"/>
      <name val="Calibri"/>
      <family val="2"/>
      <scheme val="minor"/>
    </font>
    <font>
      <b/>
      <sz val="10"/>
      <color rgb="FFFF0000"/>
      <name val="Calibri"/>
      <family val="2"/>
    </font>
    <font>
      <sz val="14"/>
      <color rgb="FFC00000"/>
      <name val="Calibri"/>
      <family val="2"/>
    </font>
    <font>
      <sz val="8"/>
      <color rgb="FF0000FF"/>
      <name val="Calibri"/>
      <family val="2"/>
    </font>
    <font>
      <sz val="8"/>
      <color rgb="FF000000"/>
      <name val="Calibri"/>
      <family val="2"/>
      <scheme val="minor"/>
    </font>
    <font>
      <sz val="10"/>
      <color theme="0" tint="-0.14999847407452621"/>
      <name val="Calibri"/>
      <family val="2"/>
    </font>
    <font>
      <sz val="8"/>
      <color theme="0" tint="-0.14999847407452621"/>
      <name val="Calibri"/>
      <family val="2"/>
    </font>
    <font>
      <b/>
      <sz val="8"/>
      <color indexed="81"/>
      <name val="Tahoma"/>
      <family val="2"/>
    </font>
    <font>
      <sz val="8"/>
      <name val="Tahoma"/>
      <family val="2"/>
    </font>
    <font>
      <sz val="15"/>
      <color theme="1" tint="0.499984740745262"/>
      <name val="Calibri"/>
      <family val="2"/>
    </font>
    <font>
      <u/>
      <sz val="10"/>
      <color theme="10"/>
      <name val="Calibri"/>
      <family val="2"/>
    </font>
    <font>
      <sz val="10"/>
      <color theme="1" tint="0.24994659260841701"/>
      <name val="Calibri"/>
      <family val="2"/>
    </font>
    <font>
      <sz val="15"/>
      <color rgb="FFFF0000"/>
      <name val="Calibri"/>
      <family val="2"/>
    </font>
  </fonts>
  <fills count="20">
    <fill>
      <patternFill patternType="none"/>
    </fill>
    <fill>
      <patternFill patternType="gray125"/>
    </fill>
    <fill>
      <patternFill patternType="solid">
        <fgColor rgb="FFC6EFCE"/>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5" tint="0.79998168889431442"/>
        <bgColor indexed="64"/>
      </patternFill>
    </fill>
    <fill>
      <patternFill patternType="solid">
        <fgColor rgb="FFEAEDC1"/>
        <bgColor indexed="64"/>
      </patternFill>
    </fill>
    <fill>
      <patternFill patternType="solid">
        <fgColor theme="3" tint="-0.249977111117893"/>
        <bgColor indexed="64"/>
      </patternFill>
    </fill>
    <fill>
      <patternFill patternType="solid">
        <fgColor theme="1" tint="0.249977111117893"/>
        <bgColor indexed="64"/>
      </patternFill>
    </fill>
    <fill>
      <patternFill patternType="solid">
        <fgColor theme="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s>
  <borders count="45">
    <border>
      <left/>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bottom style="thin">
        <color theme="1" tint="0.499984740745262"/>
      </bottom>
      <diagonal/>
    </border>
    <border>
      <left/>
      <right style="thin">
        <color theme="1" tint="0.499984740745262"/>
      </right>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0" tint="-0.24994659260841701"/>
      </bottom>
      <diagonal/>
    </border>
    <border>
      <left style="thin">
        <color theme="0" tint="-0.24994659260841701"/>
      </left>
      <right/>
      <top style="thin">
        <color theme="1" tint="0.499984740745262"/>
      </top>
      <bottom/>
      <diagonal/>
    </border>
    <border>
      <left style="thin">
        <color theme="0" tint="-0.24994659260841701"/>
      </left>
      <right/>
      <top/>
      <bottom/>
      <diagonal/>
    </border>
    <border>
      <left style="thin">
        <color theme="0" tint="-0.24994659260841701"/>
      </left>
      <right/>
      <top/>
      <bottom style="thin">
        <color theme="0" tint="-0.24994659260841701"/>
      </bottom>
      <diagonal/>
    </border>
    <border>
      <left/>
      <right style="thin">
        <color theme="0" tint="-0.24994659260841701"/>
      </right>
      <top style="thin">
        <color theme="1" tint="0.499984740745262"/>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right/>
      <top/>
      <bottom style="medium">
        <color theme="4" tint="0.39997558519241921"/>
      </bottom>
      <diagonal/>
    </border>
    <border>
      <left/>
      <right/>
      <top style="thin">
        <color theme="0" tint="-0.24994659260841701"/>
      </top>
      <bottom/>
      <diagonal/>
    </border>
    <border>
      <left style="thick">
        <color theme="0" tint="-0.24994659260841701"/>
      </left>
      <right/>
      <top/>
      <bottom/>
      <diagonal/>
    </border>
    <border>
      <left style="thin">
        <color theme="6" tint="-0.24994659260841701"/>
      </left>
      <right/>
      <top style="thin">
        <color theme="6" tint="-0.24994659260841701"/>
      </top>
      <bottom/>
      <diagonal/>
    </border>
    <border>
      <left/>
      <right/>
      <top style="thin">
        <color theme="6" tint="-0.24994659260841701"/>
      </top>
      <bottom/>
      <diagonal/>
    </border>
    <border>
      <left/>
      <right style="thin">
        <color theme="6" tint="-0.24994659260841701"/>
      </right>
      <top style="thin">
        <color theme="6" tint="-0.24994659260841701"/>
      </top>
      <bottom/>
      <diagonal/>
    </border>
    <border>
      <left style="thin">
        <color theme="6" tint="-0.24994659260841701"/>
      </left>
      <right/>
      <top/>
      <bottom style="thin">
        <color theme="6" tint="-0.24994659260841701"/>
      </bottom>
      <diagonal/>
    </border>
    <border>
      <left/>
      <right/>
      <top/>
      <bottom style="thin">
        <color theme="6" tint="-0.24994659260841701"/>
      </bottom>
      <diagonal/>
    </border>
    <border>
      <left/>
      <right style="thin">
        <color theme="6" tint="-0.24994659260841701"/>
      </right>
      <top/>
      <bottom style="thin">
        <color theme="6" tint="-0.24994659260841701"/>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right/>
      <top/>
      <bottom style="thick">
        <color theme="0" tint="-0.24994659260841701"/>
      </bottom>
      <diagonal/>
    </border>
    <border>
      <left/>
      <right style="thick">
        <color theme="0" tint="-0.24994659260841701"/>
      </right>
      <top style="thick">
        <color theme="0" tint="-0.24994659260841701"/>
      </top>
      <bottom/>
      <diagonal/>
    </border>
    <border>
      <left style="thick">
        <color theme="0" tint="-0.24994659260841701"/>
      </left>
      <right/>
      <top style="thick">
        <color theme="0" tint="-0.24994659260841701"/>
      </top>
      <bottom/>
      <diagonal/>
    </border>
    <border>
      <left/>
      <right/>
      <top/>
      <bottom style="thin">
        <color indexed="64"/>
      </bottom>
      <diagonal/>
    </border>
    <border>
      <left style="thin">
        <color theme="3" tint="-0.499984740745262"/>
      </left>
      <right/>
      <top style="thin">
        <color theme="3" tint="-0.499984740745262"/>
      </top>
      <bottom style="thin">
        <color theme="3" tint="-0.499984740745262"/>
      </bottom>
      <diagonal/>
    </border>
    <border>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right style="thick">
        <color theme="0" tint="-0.2499465926084170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9">
    <xf numFmtId="0" fontId="0" fillId="0" borderId="0" applyNumberFormat="0" applyBorder="0" applyAlignment="0"/>
    <xf numFmtId="0" fontId="1" fillId="2" borderId="0" applyNumberFormat="0" applyFont="0" applyBorder="0" applyAlignment="0" applyProtection="0"/>
    <xf numFmtId="0" fontId="19" fillId="12" borderId="0" applyNumberFormat="0" applyBorder="0" applyAlignment="0">
      <protection locked="0"/>
    </xf>
    <xf numFmtId="4" fontId="3" fillId="0" borderId="0" applyNumberFormat="0" applyFill="0" applyBorder="0" applyAlignment="0">
      <alignment horizontal="center"/>
    </xf>
    <xf numFmtId="0" fontId="15" fillId="0" borderId="3" applyNumberFormat="0" applyFill="0" applyAlignment="0" applyProtection="0"/>
    <xf numFmtId="0" fontId="13" fillId="0" borderId="0" applyNumberFormat="0" applyFill="0" applyBorder="0" applyAlignment="0" applyProtection="0"/>
    <xf numFmtId="4" fontId="3" fillId="0" borderId="0" applyNumberFormat="0" applyFill="0" applyBorder="0" applyAlignment="0">
      <alignment horizontal="center"/>
      <protection locked="0"/>
    </xf>
    <xf numFmtId="0" fontId="27" fillId="0" borderId="16" applyNumberFormat="0" applyFill="0" applyBorder="0" applyAlignment="0" applyProtection="0"/>
    <xf numFmtId="0" fontId="47" fillId="0" borderId="0" applyNumberFormat="0" applyFill="0" applyBorder="0" applyAlignment="0" applyProtection="0">
      <alignment vertical="top"/>
      <protection locked="0"/>
    </xf>
  </cellStyleXfs>
  <cellXfs count="959">
    <xf numFmtId="0" fontId="0" fillId="0" borderId="0" xfId="0"/>
    <xf numFmtId="0" fontId="0" fillId="0" borderId="0" xfId="0" applyFont="1" applyBorder="1" applyAlignment="1">
      <alignment horizontal="center"/>
    </xf>
    <xf numFmtId="0" fontId="0" fillId="0" borderId="0" xfId="0" applyFont="1" applyBorder="1" applyAlignment="1">
      <alignment horizontal="left"/>
    </xf>
    <xf numFmtId="4" fontId="0" fillId="0" borderId="0" xfId="0" applyNumberFormat="1" applyFont="1" applyBorder="1" applyAlignment="1">
      <alignment horizontal="center"/>
    </xf>
    <xf numFmtId="0" fontId="0" fillId="0" borderId="0" xfId="0" quotePrefix="1" applyFont="1" applyBorder="1" applyAlignment="1">
      <alignment horizontal="center"/>
    </xf>
    <xf numFmtId="0" fontId="0" fillId="0" borderId="0" xfId="0" applyFont="1" applyBorder="1"/>
    <xf numFmtId="0" fontId="7" fillId="0" borderId="0" xfId="0" applyFont="1" applyBorder="1"/>
    <xf numFmtId="0" fontId="4" fillId="0" borderId="0" xfId="0" applyFont="1" applyBorder="1"/>
    <xf numFmtId="0" fontId="5" fillId="0" borderId="0" xfId="0" applyFont="1" applyBorder="1"/>
    <xf numFmtId="165" fontId="0" fillId="0" borderId="0" xfId="0" applyNumberFormat="1" applyFont="1" applyBorder="1" applyAlignment="1">
      <alignment horizontal="center"/>
    </xf>
    <xf numFmtId="0" fontId="2" fillId="12" borderId="0" xfId="2" applyFont="1" applyBorder="1" applyAlignment="1">
      <alignment horizontal="center"/>
      <protection locked="0"/>
    </xf>
    <xf numFmtId="0" fontId="11" fillId="0" borderId="0" xfId="0" applyFont="1" applyBorder="1" applyAlignment="1">
      <alignment horizontal="right"/>
    </xf>
    <xf numFmtId="0" fontId="11" fillId="0" borderId="0" xfId="0" applyFont="1" applyBorder="1" applyAlignment="1"/>
    <xf numFmtId="0" fontId="0" fillId="0" borderId="0" xfId="0" applyFont="1" applyBorder="1" applyAlignment="1"/>
    <xf numFmtId="0" fontId="5" fillId="0" borderId="0" xfId="0" applyFont="1" applyBorder="1" applyAlignment="1"/>
    <xf numFmtId="0" fontId="0" fillId="0" borderId="0" xfId="0" applyFont="1" applyBorder="1" applyAlignment="1">
      <alignment horizontal="right"/>
    </xf>
    <xf numFmtId="0" fontId="10" fillId="0" borderId="0" xfId="0" applyFont="1" applyBorder="1" applyAlignment="1"/>
    <xf numFmtId="4" fontId="0" fillId="0" borderId="0" xfId="0" applyNumberFormat="1" applyFont="1" applyBorder="1" applyAlignment="1">
      <alignment horizontal="right"/>
    </xf>
    <xf numFmtId="0" fontId="4" fillId="0" borderId="0" xfId="0" applyFont="1" applyBorder="1" applyAlignment="1">
      <alignment horizontal="center"/>
    </xf>
    <xf numFmtId="0" fontId="11" fillId="0" borderId="0" xfId="0" applyFont="1" applyBorder="1" applyAlignment="1">
      <alignment horizontal="left"/>
    </xf>
    <xf numFmtId="0" fontId="6" fillId="0" borderId="0" xfId="0" applyFont="1" applyBorder="1" applyAlignment="1">
      <alignment horizontal="left"/>
    </xf>
    <xf numFmtId="0" fontId="11" fillId="0" borderId="0" xfId="0" applyFont="1" applyBorder="1"/>
    <xf numFmtId="164" fontId="11" fillId="0" borderId="0" xfId="0" applyNumberFormat="1" applyFont="1" applyBorder="1" applyAlignment="1">
      <alignment horizontal="left"/>
    </xf>
    <xf numFmtId="0" fontId="11" fillId="0" borderId="0" xfId="0" quotePrefix="1" applyFont="1" applyBorder="1" applyAlignment="1">
      <alignment horizontal="left"/>
    </xf>
    <xf numFmtId="0" fontId="6" fillId="0" borderId="0" xfId="0" applyFont="1" applyBorder="1"/>
    <xf numFmtId="0" fontId="10" fillId="0" borderId="0" xfId="0" applyFont="1" applyBorder="1" applyAlignment="1">
      <alignment horizontal="left"/>
    </xf>
    <xf numFmtId="0" fontId="10" fillId="0" borderId="0" xfId="0" applyFont="1" applyBorder="1" applyAlignment="1">
      <alignment horizontal="center"/>
    </xf>
    <xf numFmtId="4" fontId="10" fillId="0" borderId="0" xfId="0" applyNumberFormat="1" applyFont="1" applyBorder="1" applyAlignment="1">
      <alignment horizontal="center"/>
    </xf>
    <xf numFmtId="0" fontId="7" fillId="0" borderId="0" xfId="0" applyFont="1" applyBorder="1" applyAlignment="1">
      <alignment horizontal="right"/>
    </xf>
    <xf numFmtId="0" fontId="4" fillId="0" borderId="0" xfId="0" applyFont="1" applyBorder="1" applyAlignment="1">
      <alignment horizontal="right"/>
    </xf>
    <xf numFmtId="165" fontId="0" fillId="0" borderId="0" xfId="0" applyNumberFormat="1" applyFont="1" applyBorder="1" applyAlignment="1">
      <alignment horizontal="right"/>
    </xf>
    <xf numFmtId="0" fontId="0" fillId="0" borderId="0" xfId="0" applyFont="1" applyFill="1" applyBorder="1"/>
    <xf numFmtId="4" fontId="19" fillId="12" borderId="0" xfId="2" applyNumberFormat="1" applyBorder="1" applyAlignment="1">
      <alignment horizontal="center"/>
      <protection locked="0"/>
    </xf>
    <xf numFmtId="4" fontId="13" fillId="0" borderId="0" xfId="5" applyNumberFormat="1" applyBorder="1" applyAlignment="1">
      <alignment horizontal="left"/>
    </xf>
    <xf numFmtId="0" fontId="13" fillId="0" borderId="0" xfId="5" applyBorder="1"/>
    <xf numFmtId="0" fontId="13" fillId="0" borderId="0" xfId="5" applyBorder="1" applyAlignment="1">
      <alignment horizontal="center"/>
    </xf>
    <xf numFmtId="165" fontId="13" fillId="0" borderId="0" xfId="5" applyNumberFormat="1" applyBorder="1" applyAlignment="1">
      <alignment horizontal="center"/>
    </xf>
    <xf numFmtId="0" fontId="13" fillId="0" borderId="0" xfId="5" applyBorder="1" applyAlignment="1">
      <alignment horizontal="right"/>
    </xf>
    <xf numFmtId="4" fontId="13" fillId="0" borderId="0" xfId="5" applyNumberFormat="1" applyBorder="1" applyAlignment="1">
      <alignment horizontal="right"/>
    </xf>
    <xf numFmtId="4" fontId="13" fillId="0" borderId="0" xfId="5" applyNumberFormat="1" applyBorder="1" applyAlignment="1">
      <alignment horizontal="center"/>
    </xf>
    <xf numFmtId="0" fontId="13" fillId="0" borderId="0" xfId="5" applyBorder="1" applyAlignment="1"/>
    <xf numFmtId="0" fontId="13" fillId="0" borderId="0" xfId="5" applyBorder="1" applyAlignment="1">
      <alignment horizontal="left"/>
    </xf>
    <xf numFmtId="4" fontId="3" fillId="0" borderId="0" xfId="0" applyNumberFormat="1" applyFont="1" applyBorder="1" applyAlignment="1">
      <alignment horizontal="center"/>
    </xf>
    <xf numFmtId="4" fontId="5" fillId="0" borderId="0" xfId="0" applyNumberFormat="1" applyFont="1" applyFill="1" applyBorder="1" applyAlignment="1">
      <alignment horizontal="center"/>
    </xf>
    <xf numFmtId="0" fontId="14" fillId="0" borderId="0" xfId="0" applyFont="1" applyBorder="1" applyAlignment="1">
      <alignment horizontal="center"/>
    </xf>
    <xf numFmtId="165" fontId="14" fillId="0" borderId="0" xfId="0" applyNumberFormat="1" applyFont="1" applyBorder="1" applyAlignment="1">
      <alignment horizontal="center"/>
    </xf>
    <xf numFmtId="0" fontId="15" fillId="0" borderId="3" xfId="4"/>
    <xf numFmtId="0" fontId="15" fillId="0" borderId="3" xfId="4" applyAlignment="1">
      <alignment horizontal="center"/>
    </xf>
    <xf numFmtId="165" fontId="15" fillId="0" borderId="3" xfId="4" applyNumberFormat="1" applyAlignment="1">
      <alignment horizontal="center"/>
    </xf>
    <xf numFmtId="0" fontId="15" fillId="0" borderId="3" xfId="4" applyAlignment="1">
      <alignment horizontal="left"/>
    </xf>
    <xf numFmtId="4" fontId="15" fillId="0" borderId="3" xfId="4" applyNumberFormat="1" applyAlignment="1">
      <alignment horizontal="center"/>
    </xf>
    <xf numFmtId="4" fontId="15" fillId="0" borderId="3" xfId="4" applyNumberFormat="1" applyAlignment="1">
      <alignment horizontal="right"/>
    </xf>
    <xf numFmtId="0" fontId="0" fillId="0" borderId="0" xfId="0" applyFont="1" applyBorder="1" applyAlignment="1"/>
    <xf numFmtId="0" fontId="4" fillId="0" borderId="0" xfId="0" applyFont="1" applyBorder="1" applyAlignment="1"/>
    <xf numFmtId="0" fontId="16" fillId="0" borderId="0" xfId="5" applyFont="1" applyBorder="1"/>
    <xf numFmtId="0" fontId="7" fillId="0" borderId="0" xfId="0" applyFont="1" applyBorder="1" applyAlignment="1">
      <alignment horizontal="left"/>
    </xf>
    <xf numFmtId="0" fontId="16" fillId="0" borderId="0" xfId="5" applyFont="1" applyBorder="1" applyAlignment="1">
      <alignment horizontal="left"/>
    </xf>
    <xf numFmtId="0" fontId="13" fillId="0" borderId="0" xfId="5" applyFill="1" applyBorder="1" applyAlignment="1">
      <alignment horizontal="center"/>
    </xf>
    <xf numFmtId="4" fontId="3" fillId="0" borderId="0" xfId="3" applyNumberFormat="1" applyBorder="1" applyAlignment="1" applyProtection="1">
      <alignment horizontal="center"/>
    </xf>
    <xf numFmtId="0" fontId="13" fillId="4" borderId="0" xfId="5" applyFill="1" applyBorder="1"/>
    <xf numFmtId="0" fontId="13" fillId="0" borderId="0" xfId="5" applyFill="1" applyBorder="1" applyAlignment="1">
      <alignment horizontal="right"/>
    </xf>
    <xf numFmtId="164" fontId="11" fillId="0" borderId="0" xfId="0" applyNumberFormat="1" applyFont="1" applyBorder="1"/>
    <xf numFmtId="4" fontId="3" fillId="0" borderId="0" xfId="3" applyNumberFormat="1" applyFill="1" applyBorder="1" applyAlignment="1" applyProtection="1">
      <alignment horizontal="center"/>
    </xf>
    <xf numFmtId="164" fontId="13" fillId="0" borderId="0" xfId="5" applyNumberFormat="1" applyBorder="1" applyAlignment="1">
      <alignment horizontal="left"/>
    </xf>
    <xf numFmtId="165" fontId="20" fillId="0" borderId="0" xfId="3" applyNumberFormat="1" applyFont="1" applyFill="1" applyBorder="1" applyAlignment="1" applyProtection="1">
      <alignment horizontal="center"/>
    </xf>
    <xf numFmtId="4" fontId="13" fillId="4" borderId="0" xfId="5" applyNumberFormat="1" applyFill="1" applyBorder="1" applyAlignment="1">
      <alignment horizontal="left"/>
    </xf>
    <xf numFmtId="0" fontId="13" fillId="4" borderId="0" xfId="5" applyFill="1" applyBorder="1" applyAlignment="1">
      <alignment horizontal="center"/>
    </xf>
    <xf numFmtId="0" fontId="0" fillId="4" borderId="0" xfId="0" applyFont="1" applyFill="1" applyBorder="1" applyAlignment="1">
      <alignment horizontal="center"/>
    </xf>
    <xf numFmtId="0" fontId="0" fillId="4" borderId="0" xfId="0" applyFont="1" applyFill="1" applyBorder="1" applyAlignment="1">
      <alignment horizontal="right"/>
    </xf>
    <xf numFmtId="4" fontId="0" fillId="4" borderId="0" xfId="0" applyNumberFormat="1" applyFont="1" applyFill="1" applyBorder="1" applyAlignment="1">
      <alignment horizontal="right"/>
    </xf>
    <xf numFmtId="0" fontId="0" fillId="4" borderId="0" xfId="0" applyFont="1" applyFill="1" applyBorder="1" applyAlignment="1"/>
    <xf numFmtId="0" fontId="10" fillId="4" borderId="0" xfId="0" applyFont="1" applyFill="1" applyBorder="1" applyAlignment="1">
      <alignment horizontal="left"/>
    </xf>
    <xf numFmtId="165" fontId="12" fillId="0" borderId="0" xfId="0" applyNumberFormat="1" applyFont="1" applyBorder="1" applyAlignment="1">
      <alignment horizontal="center"/>
    </xf>
    <xf numFmtId="165" fontId="3" fillId="0" borderId="0" xfId="3" applyNumberFormat="1" applyFont="1" applyBorder="1" applyAlignment="1" applyProtection="1">
      <alignment horizontal="center"/>
    </xf>
    <xf numFmtId="0" fontId="13" fillId="0" borderId="11" xfId="5" applyBorder="1"/>
    <xf numFmtId="165" fontId="0" fillId="0" borderId="11" xfId="0" applyNumberFormat="1" applyFont="1" applyBorder="1" applyAlignment="1">
      <alignment horizontal="center"/>
    </xf>
    <xf numFmtId="0" fontId="4" fillId="0" borderId="11" xfId="0" applyFont="1" applyBorder="1" applyAlignment="1">
      <alignment horizontal="center"/>
    </xf>
    <xf numFmtId="0" fontId="0" fillId="0" borderId="11" xfId="0" applyFont="1" applyBorder="1" applyAlignment="1">
      <alignment horizontal="center"/>
    </xf>
    <xf numFmtId="0" fontId="13" fillId="0" borderId="11" xfId="5" applyBorder="1" applyAlignment="1">
      <alignment horizontal="left"/>
    </xf>
    <xf numFmtId="0" fontId="0" fillId="0" borderId="11" xfId="0" applyFont="1" applyBorder="1"/>
    <xf numFmtId="0" fontId="0" fillId="0" borderId="11" xfId="0" quotePrefix="1" applyFont="1" applyBorder="1" applyAlignment="1">
      <alignment horizontal="center"/>
    </xf>
    <xf numFmtId="0" fontId="11" fillId="0" borderId="11" xfId="0" applyFont="1" applyBorder="1" applyAlignment="1">
      <alignment horizontal="right"/>
    </xf>
    <xf numFmtId="0" fontId="5" fillId="0" borderId="11" xfId="0" applyFont="1" applyBorder="1"/>
    <xf numFmtId="0" fontId="6" fillId="0" borderId="11" xfId="0" applyFont="1" applyBorder="1"/>
    <xf numFmtId="4" fontId="0" fillId="0" borderId="11" xfId="0" applyNumberFormat="1" applyFont="1" applyBorder="1" applyAlignment="1">
      <alignment horizontal="center"/>
    </xf>
    <xf numFmtId="0" fontId="7" fillId="0" borderId="11" xfId="0" applyFont="1" applyBorder="1"/>
    <xf numFmtId="0" fontId="4" fillId="0" borderId="11" xfId="0" applyFont="1" applyBorder="1"/>
    <xf numFmtId="165" fontId="0" fillId="4" borderId="10" xfId="0" applyNumberFormat="1" applyFont="1" applyFill="1" applyBorder="1" applyAlignment="1">
      <alignment horizontal="center"/>
    </xf>
    <xf numFmtId="4" fontId="0" fillId="4" borderId="7" xfId="0" applyNumberFormat="1" applyFont="1" applyFill="1" applyBorder="1" applyAlignment="1">
      <alignment horizontal="center"/>
    </xf>
    <xf numFmtId="4" fontId="0" fillId="4" borderId="7" xfId="0" applyNumberFormat="1" applyFont="1" applyFill="1" applyBorder="1" applyAlignment="1">
      <alignment horizontal="right"/>
    </xf>
    <xf numFmtId="0" fontId="0" fillId="4" borderId="7" xfId="0" applyFont="1" applyFill="1" applyBorder="1" applyAlignment="1">
      <alignment horizontal="center"/>
    </xf>
    <xf numFmtId="0" fontId="13" fillId="4" borderId="11" xfId="5" applyFill="1" applyBorder="1"/>
    <xf numFmtId="4" fontId="13" fillId="4" borderId="0" xfId="5" applyNumberFormat="1" applyFill="1" applyBorder="1" applyAlignment="1"/>
    <xf numFmtId="165" fontId="0" fillId="4" borderId="11" xfId="0" applyNumberFormat="1" applyFont="1" applyFill="1" applyBorder="1" applyAlignment="1">
      <alignment horizontal="center"/>
    </xf>
    <xf numFmtId="0" fontId="5" fillId="4" borderId="0" xfId="0" applyFont="1" applyFill="1" applyBorder="1"/>
    <xf numFmtId="0" fontId="13" fillId="4" borderId="0" xfId="5" applyFill="1" applyBorder="1" applyAlignment="1">
      <alignment horizontal="left"/>
    </xf>
    <xf numFmtId="165" fontId="0" fillId="4" borderId="12" xfId="0" applyNumberFormat="1" applyFont="1" applyFill="1" applyBorder="1" applyAlignment="1">
      <alignment horizontal="center"/>
    </xf>
    <xf numFmtId="0" fontId="10" fillId="4" borderId="9" xfId="0" applyFont="1" applyFill="1" applyBorder="1" applyAlignment="1">
      <alignment horizontal="left"/>
    </xf>
    <xf numFmtId="0" fontId="0" fillId="4" borderId="9" xfId="0" applyFont="1" applyFill="1" applyBorder="1" applyAlignment="1">
      <alignment horizontal="right"/>
    </xf>
    <xf numFmtId="0" fontId="0" fillId="4" borderId="9" xfId="0" applyFont="1" applyFill="1" applyBorder="1" applyAlignment="1">
      <alignment horizontal="center"/>
    </xf>
    <xf numFmtId="0" fontId="10" fillId="4" borderId="9" xfId="0" applyFont="1" applyFill="1" applyBorder="1" applyAlignment="1">
      <alignment horizontal="center"/>
    </xf>
    <xf numFmtId="0" fontId="0" fillId="4" borderId="9" xfId="0" applyFont="1" applyFill="1" applyBorder="1" applyAlignment="1"/>
    <xf numFmtId="4" fontId="0" fillId="4" borderId="9" xfId="0" applyNumberFormat="1" applyFont="1" applyFill="1" applyBorder="1" applyAlignment="1">
      <alignment horizontal="center"/>
    </xf>
    <xf numFmtId="4" fontId="0" fillId="4" borderId="9" xfId="0" applyNumberFormat="1" applyFont="1" applyFill="1" applyBorder="1" applyAlignment="1">
      <alignment horizontal="right"/>
    </xf>
    <xf numFmtId="0" fontId="5" fillId="4" borderId="9" xfId="0" applyFont="1" applyFill="1" applyBorder="1"/>
    <xf numFmtId="4" fontId="3" fillId="0" borderId="0" xfId="3" applyNumberFormat="1" applyFont="1" applyBorder="1" applyAlignment="1" applyProtection="1">
      <alignment horizontal="right"/>
    </xf>
    <xf numFmtId="0" fontId="13" fillId="0" borderId="0" xfId="5" quotePrefix="1" applyBorder="1" applyAlignment="1">
      <alignment horizontal="center"/>
    </xf>
    <xf numFmtId="0" fontId="13" fillId="0" borderId="11" xfId="5" quotePrefix="1" applyBorder="1" applyAlignment="1">
      <alignment horizontal="center"/>
    </xf>
    <xf numFmtId="0" fontId="10" fillId="4" borderId="7" xfId="0" applyFont="1" applyFill="1" applyBorder="1" applyAlignment="1">
      <alignment horizontal="left"/>
    </xf>
    <xf numFmtId="0" fontId="0" fillId="4" borderId="7" xfId="0" applyFont="1" applyFill="1" applyBorder="1" applyAlignment="1">
      <alignment horizontal="right"/>
    </xf>
    <xf numFmtId="0" fontId="10" fillId="4" borderId="7" xfId="0" applyFont="1" applyFill="1" applyBorder="1" applyAlignment="1">
      <alignment horizontal="center"/>
    </xf>
    <xf numFmtId="0" fontId="0" fillId="4" borderId="7" xfId="0" applyFont="1" applyFill="1" applyBorder="1" applyAlignment="1"/>
    <xf numFmtId="4" fontId="5" fillId="3" borderId="0" xfId="0" applyNumberFormat="1" applyFont="1" applyFill="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13" fillId="0" borderId="0" xfId="5" applyFill="1" applyBorder="1"/>
    <xf numFmtId="0" fontId="0" fillId="0" borderId="0" xfId="0" applyFont="1" applyFill="1" applyBorder="1" applyAlignment="1">
      <alignment horizontal="center"/>
    </xf>
    <xf numFmtId="0" fontId="4" fillId="0" borderId="0" xfId="0" applyFont="1" applyFill="1" applyBorder="1" applyAlignment="1">
      <alignment horizontal="center"/>
    </xf>
    <xf numFmtId="0" fontId="11" fillId="0" borderId="0" xfId="0" applyFont="1" applyFill="1" applyBorder="1" applyAlignment="1">
      <alignment horizontal="left"/>
    </xf>
    <xf numFmtId="0" fontId="19" fillId="12" borderId="0" xfId="2" applyAlignment="1">
      <alignment horizontal="left"/>
      <protection locked="0"/>
    </xf>
    <xf numFmtId="0" fontId="0" fillId="0" borderId="0" xfId="0" applyAlignment="1">
      <alignment horizontal="left"/>
    </xf>
    <xf numFmtId="15" fontId="0" fillId="0" borderId="0" xfId="0" applyNumberFormat="1" applyAlignment="1">
      <alignment horizontal="left"/>
    </xf>
    <xf numFmtId="15" fontId="19" fillId="12" borderId="0" xfId="2" applyNumberFormat="1" applyAlignment="1">
      <alignment horizontal="left"/>
      <protection locked="0"/>
    </xf>
    <xf numFmtId="3" fontId="0" fillId="0" borderId="0" xfId="0" applyNumberFormat="1"/>
    <xf numFmtId="3" fontId="0" fillId="0" borderId="0" xfId="0" applyNumberFormat="1" applyAlignment="1">
      <alignment horizontal="right"/>
    </xf>
    <xf numFmtId="167" fontId="0" fillId="0" borderId="0" xfId="0" applyNumberFormat="1" applyAlignment="1">
      <alignment horizontal="center"/>
    </xf>
    <xf numFmtId="16" fontId="19" fillId="12" borderId="0" xfId="2" applyNumberFormat="1" applyAlignment="1">
      <alignment horizontal="left"/>
      <protection locked="0"/>
    </xf>
    <xf numFmtId="0" fontId="0" fillId="0" borderId="0" xfId="0" applyAlignment="1">
      <alignment horizontal="center"/>
    </xf>
    <xf numFmtId="165" fontId="0" fillId="0" borderId="0" xfId="0" applyNumberFormat="1" applyAlignment="1">
      <alignment horizontal="center"/>
    </xf>
    <xf numFmtId="0" fontId="4" fillId="0" borderId="0" xfId="0" applyFont="1"/>
    <xf numFmtId="0" fontId="4" fillId="0" borderId="0" xfId="0" applyFont="1" applyAlignment="1">
      <alignment horizontal="left"/>
    </xf>
    <xf numFmtId="167" fontId="15" fillId="0" borderId="3" xfId="4" applyNumberFormat="1" applyAlignment="1">
      <alignment horizontal="center"/>
    </xf>
    <xf numFmtId="3" fontId="15" fillId="0" borderId="3" xfId="4" applyNumberFormat="1"/>
    <xf numFmtId="15" fontId="15" fillId="0" borderId="3" xfId="4" applyNumberFormat="1" applyAlignment="1">
      <alignment horizontal="left"/>
    </xf>
    <xf numFmtId="3" fontId="15" fillId="0" borderId="3" xfId="4" applyNumberFormat="1" applyAlignment="1">
      <alignment horizontal="right"/>
    </xf>
    <xf numFmtId="0" fontId="19" fillId="12" borderId="0" xfId="2" applyAlignment="1">
      <alignment horizontal="center"/>
      <protection locked="0"/>
    </xf>
    <xf numFmtId="0" fontId="0" fillId="0" borderId="11" xfId="0" applyBorder="1"/>
    <xf numFmtId="0" fontId="21" fillId="0" borderId="0" xfId="0" applyFont="1"/>
    <xf numFmtId="0" fontId="19" fillId="12" borderId="0" xfId="2" applyAlignment="1">
      <protection locked="0"/>
    </xf>
    <xf numFmtId="0" fontId="0" fillId="0" borderId="0" xfId="0" applyBorder="1" applyAlignment="1">
      <alignment horizontal="left"/>
    </xf>
    <xf numFmtId="167" fontId="0" fillId="0" borderId="0" xfId="0" applyNumberFormat="1" applyBorder="1" applyAlignment="1">
      <alignment horizontal="center"/>
    </xf>
    <xf numFmtId="3" fontId="0" fillId="0" borderId="0" xfId="0" applyNumberFormat="1" applyBorder="1"/>
    <xf numFmtId="15" fontId="0" fillId="0" borderId="0" xfId="0" applyNumberFormat="1" applyBorder="1" applyAlignment="1">
      <alignment horizontal="left"/>
    </xf>
    <xf numFmtId="3" fontId="0" fillId="0" borderId="0" xfId="0" applyNumberFormat="1" applyBorder="1" applyAlignment="1">
      <alignment horizontal="right"/>
    </xf>
    <xf numFmtId="0" fontId="13" fillId="0" borderId="0" xfId="5" applyNumberFormat="1" applyAlignment="1" applyProtection="1">
      <alignment horizontal="left"/>
    </xf>
    <xf numFmtId="3" fontId="13" fillId="0" borderId="0" xfId="5" applyNumberFormat="1" applyAlignment="1" applyProtection="1">
      <alignment horizontal="center"/>
    </xf>
    <xf numFmtId="3" fontId="13" fillId="0" borderId="0" xfId="5" applyNumberFormat="1" applyAlignment="1" applyProtection="1">
      <alignment horizontal="right"/>
    </xf>
    <xf numFmtId="0" fontId="0" fillId="3" borderId="0" xfId="0" applyFill="1" applyAlignment="1">
      <alignment horizontal="left"/>
    </xf>
    <xf numFmtId="0" fontId="0" fillId="5" borderId="0" xfId="0" applyFill="1"/>
    <xf numFmtId="0" fontId="0" fillId="4" borderId="0" xfId="0" applyFill="1"/>
    <xf numFmtId="0" fontId="0" fillId="4" borderId="0" xfId="0" applyFill="1" applyAlignment="1">
      <alignment horizontal="left"/>
    </xf>
    <xf numFmtId="0" fontId="0" fillId="4" borderId="0" xfId="0" applyFill="1" applyAlignment="1">
      <alignment horizontal="center"/>
    </xf>
    <xf numFmtId="0" fontId="0" fillId="4" borderId="11" xfId="0" applyFill="1" applyBorder="1"/>
    <xf numFmtId="3" fontId="0" fillId="0" borderId="0" xfId="0" applyNumberFormat="1" applyFill="1" applyBorder="1" applyAlignment="1">
      <alignment horizontal="right"/>
    </xf>
    <xf numFmtId="0" fontId="0" fillId="4" borderId="10" xfId="0" applyFill="1" applyBorder="1"/>
    <xf numFmtId="0" fontId="0" fillId="4" borderId="12" xfId="0" applyFill="1" applyBorder="1"/>
    <xf numFmtId="0" fontId="0" fillId="4" borderId="9" xfId="0" applyFill="1" applyBorder="1"/>
    <xf numFmtId="0" fontId="14" fillId="0" borderId="0" xfId="0" applyFont="1" applyBorder="1" applyAlignment="1" applyProtection="1">
      <alignment horizontal="center"/>
      <protection locked="0"/>
    </xf>
    <xf numFmtId="3" fontId="19" fillId="12" borderId="0" xfId="2" applyNumberFormat="1" applyAlignment="1">
      <alignment horizontal="center"/>
      <protection locked="0"/>
    </xf>
    <xf numFmtId="0" fontId="7" fillId="6" borderId="0" xfId="0" applyFont="1" applyFill="1" applyBorder="1"/>
    <xf numFmtId="0" fontId="19" fillId="12" borderId="0" xfId="2" applyBorder="1" applyAlignment="1">
      <alignment horizontal="center"/>
      <protection locked="0"/>
    </xf>
    <xf numFmtId="0" fontId="11" fillId="0" borderId="0" xfId="0" applyFont="1" applyFill="1" applyBorder="1"/>
    <xf numFmtId="4" fontId="0" fillId="0" borderId="0" xfId="0" applyNumberFormat="1" applyFont="1" applyBorder="1"/>
    <xf numFmtId="0" fontId="13" fillId="6" borderId="0" xfId="5" applyFill="1" applyBorder="1"/>
    <xf numFmtId="0" fontId="0" fillId="6" borderId="0" xfId="0" applyFont="1" applyFill="1" applyBorder="1"/>
    <xf numFmtId="0" fontId="4" fillId="6" borderId="0" xfId="0" applyFont="1" applyFill="1" applyBorder="1"/>
    <xf numFmtId="0" fontId="4" fillId="0" borderId="0" xfId="0" applyFont="1" applyFill="1" applyBorder="1"/>
    <xf numFmtId="0" fontId="7" fillId="0" borderId="0" xfId="0" applyFont="1" applyFill="1" applyBorder="1"/>
    <xf numFmtId="164" fontId="16" fillId="0" borderId="0" xfId="5" applyNumberFormat="1" applyFont="1" applyFill="1" applyBorder="1"/>
    <xf numFmtId="4" fontId="7" fillId="0" borderId="0" xfId="0" applyNumberFormat="1" applyFont="1" applyFill="1" applyBorder="1"/>
    <xf numFmtId="166" fontId="0" fillId="0" borderId="0" xfId="0" applyNumberFormat="1" applyFont="1" applyFill="1" applyBorder="1"/>
    <xf numFmtId="166" fontId="7" fillId="0" borderId="0" xfId="0" applyNumberFormat="1" applyFont="1" applyFill="1" applyBorder="1"/>
    <xf numFmtId="0" fontId="16" fillId="0" borderId="0" xfId="5" applyFont="1" applyFill="1" applyBorder="1"/>
    <xf numFmtId="164" fontId="19" fillId="12" borderId="0" xfId="2" applyNumberFormat="1" applyBorder="1" applyAlignment="1">
      <alignment horizontal="center"/>
      <protection locked="0"/>
    </xf>
    <xf numFmtId="0" fontId="7" fillId="0" borderId="0" xfId="0" applyFont="1" applyFill="1" applyBorder="1" applyAlignment="1">
      <alignment horizontal="center"/>
    </xf>
    <xf numFmtId="166" fontId="7" fillId="0" borderId="0" xfId="0" applyNumberFormat="1" applyFont="1" applyFill="1" applyBorder="1" applyAlignment="1">
      <alignment horizontal="center"/>
    </xf>
    <xf numFmtId="166" fontId="13" fillId="0" borderId="0" xfId="5" applyNumberFormat="1" applyFill="1" applyBorder="1" applyAlignment="1">
      <alignment horizontal="center"/>
    </xf>
    <xf numFmtId="4" fontId="0" fillId="0" borderId="0" xfId="0" applyNumberFormat="1" applyFont="1" applyFill="1" applyBorder="1" applyAlignment="1">
      <alignment horizontal="center"/>
    </xf>
    <xf numFmtId="4" fontId="13" fillId="0" borderId="0" xfId="5" applyNumberFormat="1" applyFill="1" applyBorder="1" applyAlignment="1">
      <alignment horizontal="center"/>
    </xf>
    <xf numFmtId="166" fontId="0" fillId="0" borderId="0" xfId="0" applyNumberFormat="1" applyFont="1" applyFill="1" applyBorder="1" applyAlignment="1">
      <alignment horizontal="center"/>
    </xf>
    <xf numFmtId="0" fontId="0" fillId="6" borderId="0" xfId="0" applyFont="1" applyFill="1" applyBorder="1" applyAlignment="1">
      <alignment horizontal="right"/>
    </xf>
    <xf numFmtId="0" fontId="13" fillId="6" borderId="0" xfId="5" applyFill="1" applyBorder="1" applyAlignment="1">
      <alignment horizontal="right"/>
    </xf>
    <xf numFmtId="165" fontId="0" fillId="6" borderId="0" xfId="0" applyNumberFormat="1" applyFont="1" applyFill="1" applyBorder="1" applyAlignment="1">
      <alignment horizontal="right"/>
    </xf>
    <xf numFmtId="168" fontId="0" fillId="0" borderId="0" xfId="0" applyNumberFormat="1" applyFont="1" applyFill="1" applyBorder="1" applyAlignment="1">
      <alignment horizontal="center"/>
    </xf>
    <xf numFmtId="168" fontId="13" fillId="0" borderId="0" xfId="5" applyNumberFormat="1" applyFill="1" applyBorder="1" applyAlignment="1">
      <alignment horizontal="center"/>
    </xf>
    <xf numFmtId="4" fontId="0" fillId="0" borderId="0" xfId="0" applyNumberFormat="1" applyFont="1" applyBorder="1" applyAlignment="1">
      <alignment horizontal="left"/>
    </xf>
    <xf numFmtId="4" fontId="13" fillId="0" borderId="0" xfId="5" applyNumberFormat="1" applyFill="1" applyBorder="1" applyAlignment="1">
      <alignment horizontal="right"/>
    </xf>
    <xf numFmtId="0" fontId="13" fillId="0" borderId="0" xfId="5"/>
    <xf numFmtId="4" fontId="0" fillId="0" borderId="0" xfId="0" applyNumberFormat="1" applyAlignment="1">
      <alignment horizontal="center"/>
    </xf>
    <xf numFmtId="167" fontId="13" fillId="0" borderId="9" xfId="5" applyNumberFormat="1" applyBorder="1" applyAlignment="1">
      <alignment horizontal="center"/>
    </xf>
    <xf numFmtId="0" fontId="13" fillId="0" borderId="9" xfId="5" applyBorder="1" applyAlignment="1">
      <alignment horizontal="center"/>
    </xf>
    <xf numFmtId="0" fontId="15" fillId="4" borderId="3" xfId="4" applyFill="1"/>
    <xf numFmtId="0" fontId="19" fillId="12" borderId="0" xfId="2" applyNumberFormat="1" applyAlignment="1">
      <alignment horizontal="center"/>
      <protection locked="0"/>
    </xf>
    <xf numFmtId="0" fontId="0" fillId="5" borderId="0" xfId="0" applyFont="1" applyFill="1" applyBorder="1"/>
    <xf numFmtId="0" fontId="15" fillId="3" borderId="3" xfId="4" applyFill="1"/>
    <xf numFmtId="0" fontId="8" fillId="3" borderId="0" xfId="0" applyFont="1" applyFill="1" applyBorder="1"/>
    <xf numFmtId="0" fontId="18" fillId="3" borderId="0" xfId="5" applyFont="1" applyFill="1" applyBorder="1"/>
    <xf numFmtId="0" fontId="17" fillId="3" borderId="0" xfId="5" applyFont="1" applyFill="1" applyBorder="1"/>
    <xf numFmtId="0" fontId="8" fillId="3" borderId="0" xfId="0" applyFont="1" applyFill="1" applyBorder="1" applyAlignment="1">
      <alignment horizontal="left"/>
    </xf>
    <xf numFmtId="0" fontId="15" fillId="3" borderId="3" xfId="4" applyFill="1" applyAlignment="1">
      <alignment horizontal="left"/>
    </xf>
    <xf numFmtId="0" fontId="8" fillId="5" borderId="0" xfId="0" applyFont="1" applyFill="1" applyBorder="1" applyAlignment="1">
      <alignment horizontal="left"/>
    </xf>
    <xf numFmtId="0" fontId="3" fillId="5" borderId="0" xfId="6" applyNumberFormat="1" applyFill="1" applyBorder="1" applyAlignment="1">
      <protection locked="0"/>
    </xf>
    <xf numFmtId="0" fontId="18" fillId="3" borderId="0" xfId="5" applyFont="1" applyFill="1" applyBorder="1" applyAlignment="1">
      <alignment horizontal="left"/>
    </xf>
    <xf numFmtId="0" fontId="3" fillId="5" borderId="0" xfId="6" applyNumberFormat="1" applyFill="1" applyBorder="1" applyAlignment="1">
      <alignment horizontal="left"/>
      <protection locked="0"/>
    </xf>
    <xf numFmtId="0" fontId="9" fillId="5" borderId="0" xfId="6" applyNumberFormat="1" applyFont="1" applyFill="1" applyBorder="1" applyAlignment="1">
      <alignment horizontal="left"/>
      <protection locked="0"/>
    </xf>
    <xf numFmtId="164" fontId="0" fillId="0" borderId="0" xfId="0" applyNumberFormat="1" applyAlignment="1">
      <alignment horizontal="left"/>
    </xf>
    <xf numFmtId="0" fontId="0" fillId="6" borderId="0" xfId="0" applyFill="1"/>
    <xf numFmtId="0" fontId="0" fillId="3" borderId="0" xfId="0" applyFill="1"/>
    <xf numFmtId="0" fontId="8" fillId="3" borderId="0" xfId="0" applyFont="1" applyFill="1" applyBorder="1" applyAlignment="1"/>
    <xf numFmtId="0" fontId="17" fillId="3" borderId="0" xfId="5" applyFont="1" applyFill="1" applyBorder="1" applyAlignment="1">
      <alignment horizontal="left"/>
    </xf>
    <xf numFmtId="0" fontId="17" fillId="3" borderId="0" xfId="5" applyFont="1" applyFill="1" applyBorder="1" applyAlignment="1"/>
    <xf numFmtId="0" fontId="17" fillId="3" borderId="0" xfId="5" applyFont="1" applyFill="1" applyBorder="1" applyAlignment="1">
      <alignment horizontal="center"/>
    </xf>
    <xf numFmtId="164" fontId="17" fillId="3" borderId="0" xfId="5" applyNumberFormat="1" applyFont="1" applyFill="1" applyBorder="1" applyAlignment="1">
      <alignment horizontal="left"/>
    </xf>
    <xf numFmtId="164" fontId="11" fillId="3" borderId="0" xfId="0" applyNumberFormat="1" applyFont="1" applyFill="1" applyBorder="1" applyAlignment="1">
      <alignment horizontal="left"/>
    </xf>
    <xf numFmtId="0" fontId="8" fillId="5" borderId="0" xfId="0" applyFont="1" applyFill="1" applyBorder="1" applyAlignment="1"/>
    <xf numFmtId="164" fontId="13" fillId="0" borderId="0" xfId="5" applyNumberFormat="1" applyAlignment="1">
      <alignment horizontal="left"/>
    </xf>
    <xf numFmtId="167" fontId="7" fillId="0" borderId="0" xfId="0" applyNumberFormat="1" applyFont="1" applyFill="1" applyBorder="1" applyAlignment="1">
      <alignment horizontal="center"/>
    </xf>
    <xf numFmtId="167" fontId="13" fillId="0" borderId="0" xfId="5" applyNumberFormat="1" applyFill="1" applyBorder="1" applyAlignment="1">
      <alignment horizontal="center"/>
    </xf>
    <xf numFmtId="0" fontId="16" fillId="0" borderId="0" xfId="5" applyFont="1" applyFill="1" applyBorder="1" applyAlignment="1">
      <alignment horizontal="center"/>
    </xf>
    <xf numFmtId="0" fontId="7" fillId="0" borderId="0" xfId="0" applyFont="1" applyFill="1" applyBorder="1" applyAlignment="1">
      <alignment horizontal="right"/>
    </xf>
    <xf numFmtId="0" fontId="16" fillId="0" borderId="0" xfId="5" applyFont="1" applyFill="1" applyBorder="1" applyAlignment="1">
      <alignment horizontal="right"/>
    </xf>
    <xf numFmtId="0" fontId="25" fillId="6" borderId="0" xfId="0" applyFont="1" applyFill="1"/>
    <xf numFmtId="0" fontId="15" fillId="3" borderId="3" xfId="4" applyFont="1" applyFill="1"/>
    <xf numFmtId="0" fontId="26" fillId="0" borderId="0" xfId="0" applyFont="1" applyFill="1"/>
    <xf numFmtId="0" fontId="15" fillId="0" borderId="3" xfId="4" applyFont="1" applyFill="1"/>
    <xf numFmtId="0" fontId="15" fillId="0" borderId="3" xfId="4" applyFont="1" applyFill="1" applyAlignment="1">
      <alignment horizontal="center"/>
    </xf>
    <xf numFmtId="0" fontId="25" fillId="3" borderId="0" xfId="0" applyFont="1" applyFill="1"/>
    <xf numFmtId="0" fontId="25" fillId="0" borderId="0" xfId="0" applyFont="1"/>
    <xf numFmtId="0" fontId="15" fillId="0" borderId="3" xfId="4" applyFont="1"/>
    <xf numFmtId="0" fontId="15" fillId="6" borderId="3" xfId="4" applyFont="1" applyFill="1"/>
    <xf numFmtId="0" fontId="19" fillId="12" borderId="0" xfId="2" applyNumberFormat="1" applyBorder="1" applyAlignment="1">
      <alignment horizontal="center"/>
      <protection locked="0"/>
    </xf>
    <xf numFmtId="0" fontId="7" fillId="0" borderId="0" xfId="0" applyNumberFormat="1" applyFont="1" applyFill="1" applyBorder="1" applyAlignment="1">
      <alignment horizontal="center"/>
    </xf>
    <xf numFmtId="0" fontId="13" fillId="0" borderId="0" xfId="5" applyFill="1" applyBorder="1" applyAlignment="1">
      <alignment horizontal="left"/>
    </xf>
    <xf numFmtId="0" fontId="15" fillId="0" borderId="3" xfId="4" applyFont="1" applyFill="1" applyAlignment="1">
      <alignment horizontal="right"/>
    </xf>
    <xf numFmtId="0" fontId="7" fillId="0" borderId="0" xfId="0" applyNumberFormat="1" applyFont="1" applyFill="1" applyBorder="1" applyAlignment="1">
      <alignment horizontal="right"/>
    </xf>
    <xf numFmtId="0" fontId="8" fillId="0" borderId="0" xfId="0" applyFont="1" applyFill="1" applyBorder="1"/>
    <xf numFmtId="0" fontId="13" fillId="3" borderId="0" xfId="5" applyFill="1" applyBorder="1"/>
    <xf numFmtId="4" fontId="7" fillId="0" borderId="0" xfId="0" applyNumberFormat="1" applyFont="1" applyFill="1" applyBorder="1" applyAlignment="1">
      <alignment horizontal="right"/>
    </xf>
    <xf numFmtId="0" fontId="18" fillId="3" borderId="0" xfId="5" quotePrefix="1" applyFont="1" applyFill="1" applyBorder="1"/>
    <xf numFmtId="0" fontId="7" fillId="0" borderId="0" xfId="0" applyFont="1" applyFill="1" applyBorder="1" applyAlignment="1">
      <alignment horizontal="left"/>
    </xf>
    <xf numFmtId="0" fontId="15" fillId="0" borderId="3" xfId="4" applyFont="1" applyFill="1" applyAlignment="1">
      <alignment horizontal="left"/>
    </xf>
    <xf numFmtId="0" fontId="16" fillId="0" borderId="0" xfId="5" applyFont="1" applyFill="1" applyBorder="1" applyAlignment="1">
      <alignment horizontal="left"/>
    </xf>
    <xf numFmtId="0" fontId="8" fillId="0" borderId="0" xfId="0" applyFont="1" applyFill="1" applyBorder="1" applyAlignment="1">
      <alignment horizontal="left"/>
    </xf>
    <xf numFmtId="0" fontId="24" fillId="0" borderId="0" xfId="0" applyFont="1" applyFill="1" applyBorder="1" applyAlignment="1">
      <alignment horizontal="left"/>
    </xf>
    <xf numFmtId="0" fontId="13" fillId="0" borderId="0" xfId="5" applyFont="1" applyFill="1" applyBorder="1"/>
    <xf numFmtId="165" fontId="15" fillId="0" borderId="3" xfId="4" applyNumberFormat="1" applyAlignment="1">
      <alignment horizontal="right"/>
    </xf>
    <xf numFmtId="164" fontId="15" fillId="3" borderId="3" xfId="4" applyNumberFormat="1" applyFill="1" applyAlignment="1">
      <alignment horizontal="left"/>
    </xf>
    <xf numFmtId="4" fontId="0" fillId="0" borderId="0" xfId="0" applyNumberFormat="1"/>
    <xf numFmtId="165" fontId="0" fillId="0" borderId="0" xfId="0" applyNumberFormat="1" applyAlignment="1">
      <alignment horizontal="right"/>
    </xf>
    <xf numFmtId="4" fontId="15" fillId="0" borderId="3" xfId="4" applyNumberFormat="1"/>
    <xf numFmtId="0" fontId="0" fillId="0" borderId="10" xfId="0" applyBorder="1"/>
    <xf numFmtId="0" fontId="27" fillId="0" borderId="0" xfId="7" applyBorder="1"/>
    <xf numFmtId="165" fontId="13" fillId="0" borderId="0" xfId="5" applyNumberFormat="1" applyAlignment="1">
      <alignment horizontal="right"/>
    </xf>
    <xf numFmtId="4" fontId="19" fillId="12" borderId="0" xfId="2" applyNumberFormat="1">
      <protection locked="0"/>
    </xf>
    <xf numFmtId="4" fontId="3" fillId="0" borderId="0" xfId="6" applyNumberFormat="1" applyAlignment="1">
      <alignment horizontal="center"/>
      <protection locked="0"/>
    </xf>
    <xf numFmtId="4" fontId="3" fillId="0" borderId="0" xfId="3" applyNumberFormat="1" applyAlignment="1">
      <alignment horizontal="center"/>
    </xf>
    <xf numFmtId="4" fontId="0" fillId="0" borderId="0" xfId="0" applyNumberFormat="1" applyAlignment="1">
      <alignment horizontal="right"/>
    </xf>
    <xf numFmtId="165" fontId="3" fillId="0" borderId="0" xfId="6" applyNumberFormat="1" applyAlignment="1">
      <alignment horizontal="center"/>
      <protection locked="0"/>
    </xf>
    <xf numFmtId="165" fontId="23" fillId="0" borderId="0" xfId="0" applyNumberFormat="1" applyFont="1" applyAlignment="1">
      <alignment horizontal="center"/>
    </xf>
    <xf numFmtId="4" fontId="19" fillId="12" borderId="0" xfId="2" applyNumberFormat="1" applyAlignment="1">
      <alignment horizontal="center"/>
      <protection locked="0"/>
    </xf>
    <xf numFmtId="4" fontId="23" fillId="0" borderId="0" xfId="0" applyNumberFormat="1" applyFont="1" applyAlignment="1">
      <alignment horizontal="right"/>
    </xf>
    <xf numFmtId="0" fontId="0" fillId="3" borderId="0" xfId="0" applyFill="1" applyBorder="1"/>
    <xf numFmtId="0" fontId="0" fillId="5" borderId="0" xfId="0" applyFill="1" applyBorder="1"/>
    <xf numFmtId="165" fontId="15" fillId="3" borderId="3" xfId="4" applyNumberFormat="1" applyFill="1" applyAlignment="1">
      <alignment horizontal="left"/>
    </xf>
    <xf numFmtId="0" fontId="3" fillId="5" borderId="0" xfId="6" applyNumberFormat="1" applyFill="1" applyAlignment="1">
      <alignment horizontal="left"/>
      <protection locked="0"/>
    </xf>
    <xf numFmtId="165" fontId="3" fillId="0" borderId="0" xfId="3" applyNumberFormat="1" applyAlignment="1">
      <alignment horizontal="center"/>
    </xf>
    <xf numFmtId="165" fontId="3" fillId="0" borderId="0" xfId="3" applyNumberFormat="1" applyFont="1" applyAlignment="1">
      <alignment horizontal="center"/>
    </xf>
    <xf numFmtId="0" fontId="0" fillId="4" borderId="0" xfId="0" applyFill="1" applyBorder="1"/>
    <xf numFmtId="4" fontId="0" fillId="4" borderId="0" xfId="0" applyNumberFormat="1" applyFill="1" applyAlignment="1">
      <alignment horizontal="center"/>
    </xf>
    <xf numFmtId="4" fontId="0" fillId="4" borderId="0" xfId="0" applyNumberFormat="1" applyFill="1"/>
    <xf numFmtId="4" fontId="0" fillId="4" borderId="0" xfId="0" applyNumberFormat="1" applyFill="1" applyAlignment="1">
      <alignment horizontal="right"/>
    </xf>
    <xf numFmtId="0" fontId="13" fillId="4" borderId="0" xfId="5" applyFill="1"/>
    <xf numFmtId="4" fontId="13" fillId="4" borderId="0" xfId="5" applyNumberFormat="1" applyFill="1" applyAlignment="1">
      <alignment horizontal="center"/>
    </xf>
    <xf numFmtId="0" fontId="0" fillId="3" borderId="9" xfId="0" applyFill="1" applyBorder="1"/>
    <xf numFmtId="4" fontId="0" fillId="4" borderId="9" xfId="0" applyNumberFormat="1" applyFill="1" applyBorder="1" applyAlignment="1">
      <alignment horizontal="center"/>
    </xf>
    <xf numFmtId="4" fontId="0" fillId="4" borderId="9" xfId="0" applyNumberFormat="1" applyFill="1" applyBorder="1"/>
    <xf numFmtId="4" fontId="0" fillId="4" borderId="9" xfId="0" applyNumberFormat="1" applyFill="1" applyBorder="1" applyAlignment="1">
      <alignment horizontal="right"/>
    </xf>
    <xf numFmtId="0" fontId="0" fillId="4" borderId="15" xfId="0" applyFill="1" applyBorder="1"/>
    <xf numFmtId="4" fontId="3" fillId="0" borderId="0" xfId="3" applyNumberFormat="1" applyAlignment="1" applyProtection="1">
      <alignment horizontal="center"/>
    </xf>
    <xf numFmtId="0" fontId="3" fillId="5" borderId="0" xfId="6" applyNumberFormat="1" applyFill="1" applyAlignment="1">
      <protection locked="0"/>
    </xf>
    <xf numFmtId="165" fontId="3" fillId="0" borderId="0" xfId="3" applyNumberFormat="1" applyAlignment="1">
      <alignment horizontal="right"/>
    </xf>
    <xf numFmtId="0" fontId="13" fillId="0" borderId="0" xfId="5" applyAlignment="1">
      <alignment horizontal="right"/>
    </xf>
    <xf numFmtId="4" fontId="13" fillId="0" borderId="0" xfId="5" applyNumberFormat="1" applyAlignment="1">
      <alignment horizontal="right"/>
    </xf>
    <xf numFmtId="4" fontId="0" fillId="0" borderId="0" xfId="0" applyNumberFormat="1" applyAlignment="1">
      <alignment horizontal="left"/>
    </xf>
    <xf numFmtId="4" fontId="21" fillId="0" borderId="0" xfId="0" applyNumberFormat="1" applyFont="1" applyAlignment="1">
      <alignment horizontal="center"/>
    </xf>
    <xf numFmtId="0" fontId="0" fillId="0" borderId="0" xfId="0" applyNumberFormat="1" applyAlignment="1">
      <alignment horizontal="left"/>
    </xf>
    <xf numFmtId="0" fontId="21" fillId="0" borderId="0" xfId="0" applyNumberFormat="1" applyFont="1" applyAlignment="1">
      <alignment horizontal="left"/>
    </xf>
    <xf numFmtId="0" fontId="7" fillId="0" borderId="0" xfId="0" applyFont="1" applyFill="1" applyBorder="1" applyAlignment="1"/>
    <xf numFmtId="0" fontId="15" fillId="0" borderId="3" xfId="4" applyFill="1" applyAlignment="1"/>
    <xf numFmtId="0" fontId="15" fillId="0" borderId="3" xfId="4" applyFill="1"/>
    <xf numFmtId="4" fontId="13" fillId="0" borderId="0" xfId="5" applyNumberFormat="1" applyFill="1" applyBorder="1" applyAlignment="1"/>
    <xf numFmtId="0" fontId="13" fillId="0" borderId="0" xfId="5" applyFill="1" applyBorder="1" applyAlignment="1"/>
    <xf numFmtId="167" fontId="7" fillId="0" borderId="0" xfId="0" applyNumberFormat="1" applyFont="1" applyFill="1" applyBorder="1" applyAlignment="1">
      <alignment horizontal="left"/>
    </xf>
    <xf numFmtId="0" fontId="7" fillId="0" borderId="9" xfId="0" applyFont="1" applyFill="1" applyBorder="1" applyAlignment="1">
      <alignment horizontal="center"/>
    </xf>
    <xf numFmtId="0" fontId="7" fillId="0" borderId="9" xfId="0" applyFont="1" applyFill="1" applyBorder="1" applyAlignment="1">
      <alignment horizontal="left"/>
    </xf>
    <xf numFmtId="0" fontId="7" fillId="0" borderId="9" xfId="0" applyFont="1" applyFill="1" applyBorder="1"/>
    <xf numFmtId="0" fontId="7" fillId="0" borderId="9" xfId="0" applyFont="1" applyFill="1" applyBorder="1" applyAlignment="1">
      <alignment horizontal="right"/>
    </xf>
    <xf numFmtId="0" fontId="16" fillId="0" borderId="9" xfId="5" applyFont="1" applyFill="1" applyBorder="1"/>
    <xf numFmtId="167" fontId="16" fillId="0" borderId="9" xfId="5" applyNumberFormat="1" applyFont="1" applyFill="1" applyBorder="1" applyAlignment="1">
      <alignment horizontal="left"/>
    </xf>
    <xf numFmtId="0" fontId="16" fillId="0" borderId="9" xfId="5" applyFont="1" applyFill="1" applyBorder="1" applyAlignment="1">
      <alignment horizontal="left"/>
    </xf>
    <xf numFmtId="0" fontId="16" fillId="0" borderId="9" xfId="5" applyFont="1" applyFill="1" applyBorder="1" applyAlignment="1">
      <alignment horizontal="center"/>
    </xf>
    <xf numFmtId="0" fontId="29" fillId="0" borderId="0" xfId="5" applyFont="1" applyFill="1" applyBorder="1"/>
    <xf numFmtId="0" fontId="0" fillId="4" borderId="13" xfId="0" applyFill="1" applyBorder="1"/>
    <xf numFmtId="0" fontId="0" fillId="4" borderId="14" xfId="0" applyFill="1" applyBorder="1"/>
    <xf numFmtId="0" fontId="8" fillId="5" borderId="0" xfId="0" applyFont="1" applyFill="1" applyBorder="1"/>
    <xf numFmtId="0" fontId="7" fillId="3" borderId="0" xfId="0" applyFont="1" applyFill="1" applyBorder="1" applyAlignment="1">
      <alignment horizontal="center"/>
    </xf>
    <xf numFmtId="0" fontId="15" fillId="3" borderId="3" xfId="4" applyFont="1" applyFill="1" applyAlignment="1">
      <alignment horizontal="center"/>
    </xf>
    <xf numFmtId="0" fontId="16" fillId="3" borderId="0" xfId="5" applyFont="1" applyFill="1" applyBorder="1" applyAlignment="1">
      <alignment horizontal="center"/>
    </xf>
    <xf numFmtId="0" fontId="13" fillId="3" borderId="0" xfId="5" applyFill="1" applyBorder="1" applyAlignment="1"/>
    <xf numFmtId="0" fontId="7" fillId="5" borderId="0" xfId="0" applyFont="1" applyFill="1" applyBorder="1" applyAlignment="1"/>
    <xf numFmtId="170" fontId="3" fillId="0" borderId="0" xfId="6" applyNumberFormat="1" applyFill="1" applyBorder="1" applyAlignment="1">
      <alignment horizontal="center"/>
      <protection locked="0"/>
    </xf>
    <xf numFmtId="0" fontId="3" fillId="0" borderId="0" xfId="6" applyNumberFormat="1" applyFill="1" applyBorder="1" applyAlignment="1">
      <alignment horizontal="center"/>
      <protection locked="0"/>
    </xf>
    <xf numFmtId="4" fontId="3" fillId="0" borderId="0" xfId="6" applyNumberFormat="1" applyFill="1" applyBorder="1" applyAlignment="1">
      <alignment horizontal="center"/>
      <protection locked="0"/>
    </xf>
    <xf numFmtId="0" fontId="19" fillId="12" borderId="0" xfId="2">
      <protection locked="0"/>
    </xf>
    <xf numFmtId="0" fontId="15" fillId="4" borderId="3" xfId="4" applyFill="1" applyAlignment="1">
      <alignment horizontal="left"/>
    </xf>
    <xf numFmtId="0" fontId="0" fillId="6" borderId="0" xfId="0" applyFill="1" applyAlignment="1">
      <alignment horizontal="left"/>
    </xf>
    <xf numFmtId="0" fontId="0" fillId="0" borderId="0" xfId="0" applyAlignment="1"/>
    <xf numFmtId="0" fontId="15" fillId="0" borderId="3" xfId="4" applyAlignment="1"/>
    <xf numFmtId="15" fontId="13" fillId="0" borderId="0" xfId="5" applyNumberFormat="1" applyAlignment="1">
      <alignment horizontal="left"/>
    </xf>
    <xf numFmtId="0" fontId="19" fillId="12" borderId="9" xfId="2" applyBorder="1">
      <protection locked="0"/>
    </xf>
    <xf numFmtId="0" fontId="15" fillId="4" borderId="3" xfId="4" applyFill="1" applyAlignment="1">
      <alignment horizontal="center"/>
    </xf>
    <xf numFmtId="4" fontId="15" fillId="4" borderId="3" xfId="4" applyNumberFormat="1" applyFill="1" applyAlignment="1">
      <alignment horizontal="center"/>
    </xf>
    <xf numFmtId="0" fontId="13" fillId="0" borderId="9" xfId="5" applyBorder="1"/>
    <xf numFmtId="4" fontId="13" fillId="4" borderId="9" xfId="5" applyNumberFormat="1" applyFill="1" applyBorder="1" applyAlignment="1">
      <alignment horizontal="center"/>
    </xf>
    <xf numFmtId="38" fontId="0" fillId="0" borderId="0" xfId="0" applyNumberFormat="1" applyAlignment="1">
      <alignment horizontal="right"/>
    </xf>
    <xf numFmtId="38" fontId="15" fillId="0" borderId="3" xfId="4" applyNumberFormat="1" applyAlignment="1">
      <alignment horizontal="right"/>
    </xf>
    <xf numFmtId="38" fontId="13" fillId="0" borderId="9" xfId="5" applyNumberFormat="1" applyBorder="1" applyAlignment="1">
      <alignment horizontal="right"/>
    </xf>
    <xf numFmtId="38" fontId="0" fillId="0" borderId="0" xfId="0" applyNumberFormat="1"/>
    <xf numFmtId="38" fontId="15" fillId="0" borderId="3" xfId="4" applyNumberFormat="1"/>
    <xf numFmtId="38" fontId="13" fillId="0" borderId="0" xfId="5" applyNumberFormat="1" applyAlignment="1">
      <alignment horizontal="right"/>
    </xf>
    <xf numFmtId="38" fontId="19" fillId="12" borderId="0" xfId="2" applyNumberFormat="1" applyAlignment="1">
      <alignment horizontal="center"/>
      <protection locked="0"/>
    </xf>
    <xf numFmtId="38" fontId="13" fillId="0" borderId="9" xfId="5" applyNumberFormat="1" applyBorder="1"/>
    <xf numFmtId="38" fontId="0" fillId="3" borderId="0" xfId="0" applyNumberFormat="1" applyFill="1" applyAlignment="1">
      <alignment horizontal="right"/>
    </xf>
    <xf numFmtId="38" fontId="0" fillId="4" borderId="0" xfId="0" applyNumberFormat="1" applyFill="1" applyAlignment="1">
      <alignment horizontal="right"/>
    </xf>
    <xf numFmtId="38" fontId="0" fillId="0" borderId="0" xfId="0" applyNumberFormat="1" applyFill="1" applyAlignment="1">
      <alignment horizontal="right"/>
    </xf>
    <xf numFmtId="38" fontId="13" fillId="0" borderId="9" xfId="5" applyNumberFormat="1" applyBorder="1" applyAlignment="1">
      <alignment horizontal="left"/>
    </xf>
    <xf numFmtId="169" fontId="0" fillId="0" borderId="0" xfId="0" applyNumberFormat="1" applyAlignment="1">
      <alignment horizontal="right"/>
    </xf>
    <xf numFmtId="0" fontId="13" fillId="0" borderId="0" xfId="5" applyAlignment="1"/>
    <xf numFmtId="0" fontId="0" fillId="0" borderId="18" xfId="0" applyBorder="1"/>
    <xf numFmtId="167" fontId="0" fillId="0" borderId="0" xfId="0" applyNumberFormat="1"/>
    <xf numFmtId="167" fontId="15" fillId="0" borderId="3" xfId="4" applyNumberFormat="1"/>
    <xf numFmtId="167" fontId="13" fillId="0" borderId="0" xfId="5" applyNumberFormat="1"/>
    <xf numFmtId="167" fontId="13" fillId="0" borderId="0" xfId="5" applyNumberFormat="1" applyAlignment="1">
      <alignment horizontal="left"/>
    </xf>
    <xf numFmtId="38" fontId="13" fillId="0" borderId="0" xfId="5" applyNumberFormat="1" applyFill="1" applyAlignment="1">
      <alignment horizontal="right"/>
    </xf>
    <xf numFmtId="0" fontId="0" fillId="0" borderId="0" xfId="0" applyFill="1"/>
    <xf numFmtId="15" fontId="0" fillId="0" borderId="0" xfId="0" applyNumberFormat="1" applyFill="1" applyAlignment="1">
      <alignment horizontal="left"/>
    </xf>
    <xf numFmtId="167" fontId="0" fillId="0" borderId="0" xfId="0" applyNumberFormat="1" applyFill="1"/>
    <xf numFmtId="169" fontId="0" fillId="0" borderId="0" xfId="0" applyNumberFormat="1" applyFill="1" applyAlignment="1">
      <alignment horizontal="right"/>
    </xf>
    <xf numFmtId="15" fontId="6" fillId="0" borderId="0" xfId="0" applyNumberFormat="1" applyFont="1" applyFill="1" applyAlignment="1">
      <alignment horizontal="left"/>
    </xf>
    <xf numFmtId="38" fontId="0" fillId="0" borderId="9" xfId="0" applyNumberFormat="1" applyFill="1" applyBorder="1" applyAlignment="1">
      <alignment horizontal="right"/>
    </xf>
    <xf numFmtId="169" fontId="0" fillId="0" borderId="9" xfId="0" applyNumberFormat="1" applyFill="1" applyBorder="1" applyAlignment="1">
      <alignment horizontal="right"/>
    </xf>
    <xf numFmtId="15" fontId="6" fillId="0" borderId="9" xfId="0" applyNumberFormat="1" applyFont="1" applyFill="1" applyBorder="1" applyAlignment="1">
      <alignment horizontal="left"/>
    </xf>
    <xf numFmtId="0" fontId="0" fillId="0" borderId="0" xfId="0" applyFill="1" applyAlignment="1">
      <alignment horizontal="center"/>
    </xf>
    <xf numFmtId="38" fontId="0" fillId="0" borderId="0" xfId="0" applyNumberFormat="1" applyAlignment="1">
      <alignment horizontal="center"/>
    </xf>
    <xf numFmtId="38" fontId="15" fillId="0" borderId="3" xfId="4" applyNumberFormat="1" applyAlignment="1">
      <alignment horizontal="center"/>
    </xf>
    <xf numFmtId="38" fontId="0" fillId="0" borderId="0" xfId="0" applyNumberFormat="1" applyFill="1" applyAlignment="1">
      <alignment horizontal="center"/>
    </xf>
    <xf numFmtId="38" fontId="13" fillId="0" borderId="9" xfId="5" applyNumberFormat="1" applyBorder="1" applyAlignment="1">
      <alignment horizontal="center"/>
    </xf>
    <xf numFmtId="38" fontId="0" fillId="3" borderId="0" xfId="0" applyNumberFormat="1" applyFill="1" applyAlignment="1">
      <alignment horizontal="center"/>
    </xf>
    <xf numFmtId="15" fontId="19" fillId="5" borderId="20" xfId="2" applyNumberFormat="1" applyFill="1" applyBorder="1" applyAlignment="1">
      <alignment horizontal="left"/>
      <protection locked="0"/>
    </xf>
    <xf numFmtId="38" fontId="0" fillId="5" borderId="20" xfId="0" applyNumberFormat="1" applyFill="1" applyBorder="1" applyAlignment="1">
      <alignment horizontal="right"/>
    </xf>
    <xf numFmtId="0" fontId="0" fillId="5" borderId="20" xfId="0" applyFill="1" applyBorder="1"/>
    <xf numFmtId="4" fontId="0" fillId="5" borderId="20" xfId="0" applyNumberFormat="1" applyFill="1" applyBorder="1" applyAlignment="1">
      <alignment horizontal="center"/>
    </xf>
    <xf numFmtId="0" fontId="0" fillId="5" borderId="20" xfId="0" applyFill="1" applyBorder="1" applyAlignment="1">
      <alignment horizontal="center"/>
    </xf>
    <xf numFmtId="38" fontId="0" fillId="5" borderId="20" xfId="0" applyNumberFormat="1" applyFill="1" applyBorder="1" applyAlignment="1">
      <alignment horizontal="center"/>
    </xf>
    <xf numFmtId="0" fontId="19" fillId="5" borderId="23" xfId="2" applyFill="1" applyBorder="1" applyAlignment="1">
      <protection locked="0"/>
    </xf>
    <xf numFmtId="38" fontId="0" fillId="5" borderId="23" xfId="0" applyNumberFormat="1" applyFill="1" applyBorder="1" applyAlignment="1">
      <alignment horizontal="right"/>
    </xf>
    <xf numFmtId="0" fontId="0" fillId="5" borderId="23" xfId="0" applyFill="1" applyBorder="1"/>
    <xf numFmtId="4" fontId="0" fillId="5" borderId="23" xfId="0" applyNumberFormat="1" applyFill="1" applyBorder="1" applyAlignment="1">
      <alignment horizontal="center"/>
    </xf>
    <xf numFmtId="0" fontId="0" fillId="5" borderId="23" xfId="0" applyFill="1" applyBorder="1" applyAlignment="1">
      <alignment horizontal="center"/>
    </xf>
    <xf numFmtId="38" fontId="0" fillId="5" borderId="23" xfId="0" applyNumberFormat="1" applyFill="1" applyBorder="1" applyAlignment="1">
      <alignment horizontal="center"/>
    </xf>
    <xf numFmtId="15" fontId="16" fillId="11" borderId="26" xfId="2" applyNumberFormat="1" applyFont="1" applyFill="1" applyBorder="1" applyAlignment="1" applyProtection="1">
      <alignment horizontal="left"/>
    </xf>
    <xf numFmtId="38" fontId="0" fillId="11" borderId="26" xfId="0" applyNumberFormat="1" applyFill="1" applyBorder="1" applyAlignment="1">
      <alignment horizontal="right"/>
    </xf>
    <xf numFmtId="15" fontId="19" fillId="11" borderId="26" xfId="2" applyNumberFormat="1" applyFill="1" applyBorder="1" applyAlignment="1">
      <alignment horizontal="left"/>
      <protection locked="0"/>
    </xf>
    <xf numFmtId="0" fontId="0" fillId="11" borderId="26" xfId="0" applyFill="1" applyBorder="1"/>
    <xf numFmtId="4" fontId="0" fillId="11" borderId="26" xfId="0" applyNumberFormat="1" applyFill="1" applyBorder="1" applyAlignment="1">
      <alignment horizontal="center"/>
    </xf>
    <xf numFmtId="0" fontId="0" fillId="11" borderId="26" xfId="0" applyFill="1" applyBorder="1" applyAlignment="1">
      <alignment horizontal="center"/>
    </xf>
    <xf numFmtId="0" fontId="19" fillId="11" borderId="29" xfId="2" applyFill="1" applyBorder="1">
      <protection locked="0"/>
    </xf>
    <xf numFmtId="38" fontId="0" fillId="11" borderId="29" xfId="0" applyNumberFormat="1" applyFill="1" applyBorder="1" applyAlignment="1">
      <alignment horizontal="right"/>
    </xf>
    <xf numFmtId="0" fontId="0" fillId="11" borderId="29" xfId="0" applyFill="1" applyBorder="1"/>
    <xf numFmtId="4" fontId="0" fillId="11" borderId="29" xfId="0" applyNumberFormat="1" applyFill="1" applyBorder="1" applyAlignment="1">
      <alignment horizontal="center"/>
    </xf>
    <xf numFmtId="15" fontId="0" fillId="4" borderId="0" xfId="0" applyNumberFormat="1" applyFill="1" applyAlignment="1">
      <alignment horizontal="left"/>
    </xf>
    <xf numFmtId="38" fontId="0" fillId="11" borderId="26" xfId="0" applyNumberFormat="1" applyFill="1" applyBorder="1" applyAlignment="1">
      <alignment horizontal="center"/>
    </xf>
    <xf numFmtId="38" fontId="0" fillId="11" borderId="29" xfId="0" applyNumberFormat="1" applyFill="1" applyBorder="1" applyAlignment="1">
      <alignment horizontal="center"/>
    </xf>
    <xf numFmtId="0" fontId="13" fillId="0" borderId="0" xfId="5" applyAlignment="1">
      <alignment horizontal="center"/>
    </xf>
    <xf numFmtId="14" fontId="30" fillId="14" borderId="0" xfId="0" applyNumberFormat="1" applyFont="1" applyFill="1" applyBorder="1" applyAlignment="1">
      <alignment vertical="center"/>
    </xf>
    <xf numFmtId="14" fontId="30" fillId="14" borderId="0" xfId="0" applyNumberFormat="1" applyFont="1" applyFill="1" applyBorder="1" applyAlignment="1">
      <alignment horizontal="right" vertical="center"/>
    </xf>
    <xf numFmtId="167" fontId="0" fillId="4" borderId="0" xfId="0" applyNumberFormat="1" applyFill="1" applyAlignment="1">
      <alignment horizontal="center"/>
    </xf>
    <xf numFmtId="3" fontId="0" fillId="4" borderId="0" xfId="0" applyNumberFormat="1" applyFill="1" applyAlignment="1">
      <alignment horizontal="center"/>
    </xf>
    <xf numFmtId="165" fontId="0" fillId="4" borderId="0" xfId="0" applyNumberFormat="1" applyFill="1" applyAlignment="1">
      <alignment horizontal="right"/>
    </xf>
    <xf numFmtId="3" fontId="0" fillId="4" borderId="0" xfId="0" applyNumberFormat="1" applyFill="1" applyAlignment="1">
      <alignment horizontal="right"/>
    </xf>
    <xf numFmtId="3" fontId="0" fillId="4" borderId="0" xfId="0" applyNumberFormat="1" applyFill="1"/>
    <xf numFmtId="0" fontId="21" fillId="4" borderId="0" xfId="0" applyFont="1" applyFill="1" applyAlignment="1">
      <alignment horizontal="left"/>
    </xf>
    <xf numFmtId="3" fontId="14" fillId="4" borderId="0" xfId="0" applyNumberFormat="1" applyFont="1" applyFill="1" applyAlignment="1">
      <alignment horizontal="right"/>
    </xf>
    <xf numFmtId="165" fontId="14" fillId="4" borderId="0" xfId="0" quotePrefix="1" applyNumberFormat="1" applyFont="1" applyFill="1" applyAlignment="1">
      <alignment horizontal="right"/>
    </xf>
    <xf numFmtId="3" fontId="0" fillId="4" borderId="0" xfId="0" quotePrefix="1" applyNumberFormat="1" applyFill="1" applyAlignment="1">
      <alignment horizontal="right"/>
    </xf>
    <xf numFmtId="0" fontId="0" fillId="4" borderId="0" xfId="0" applyFill="1" applyBorder="1" applyAlignment="1">
      <alignment horizontal="center"/>
    </xf>
    <xf numFmtId="0" fontId="0" fillId="4" borderId="9" xfId="0" applyFill="1" applyBorder="1" applyAlignment="1">
      <alignment horizontal="left"/>
    </xf>
    <xf numFmtId="3" fontId="0" fillId="4" borderId="9" xfId="0" applyNumberFormat="1" applyFill="1" applyBorder="1" applyAlignment="1">
      <alignment horizontal="right"/>
    </xf>
    <xf numFmtId="3" fontId="0" fillId="4" borderId="9" xfId="0" applyNumberFormat="1" applyFill="1" applyBorder="1"/>
    <xf numFmtId="15" fontId="0" fillId="4" borderId="9" xfId="0" applyNumberFormat="1" applyFill="1" applyBorder="1" applyAlignment="1">
      <alignment horizontal="left"/>
    </xf>
    <xf numFmtId="3" fontId="0" fillId="4" borderId="13" xfId="0" applyNumberFormat="1" applyFill="1" applyBorder="1" applyAlignment="1">
      <alignment horizontal="right"/>
    </xf>
    <xf numFmtId="3" fontId="0" fillId="4" borderId="14" xfId="0" applyNumberFormat="1" applyFill="1" applyBorder="1" applyAlignment="1">
      <alignment horizontal="right"/>
    </xf>
    <xf numFmtId="167" fontId="0" fillId="4" borderId="14" xfId="0" applyNumberFormat="1" applyFill="1" applyBorder="1" applyAlignment="1">
      <alignment horizontal="right"/>
    </xf>
    <xf numFmtId="3" fontId="0" fillId="4" borderId="9" xfId="0" applyNumberFormat="1" applyFill="1" applyBorder="1" applyAlignment="1"/>
    <xf numFmtId="3" fontId="6" fillId="4" borderId="14" xfId="0" applyNumberFormat="1" applyFont="1" applyFill="1" applyBorder="1" applyAlignment="1">
      <alignment horizontal="left"/>
    </xf>
    <xf numFmtId="3" fontId="0" fillId="4" borderId="15" xfId="0" applyNumberFormat="1" applyFill="1" applyBorder="1" applyAlignment="1">
      <alignment horizontal="right"/>
    </xf>
    <xf numFmtId="15" fontId="0" fillId="4" borderId="0" xfId="0" applyNumberFormat="1" applyFill="1" applyAlignment="1">
      <alignment horizontal="center"/>
    </xf>
    <xf numFmtId="0" fontId="0" fillId="0" borderId="0" xfId="0" applyBorder="1"/>
    <xf numFmtId="15" fontId="0" fillId="0" borderId="31" xfId="0" applyNumberFormat="1" applyBorder="1" applyAlignment="1">
      <alignment horizontal="left"/>
    </xf>
    <xf numFmtId="0" fontId="0" fillId="0" borderId="31" xfId="0" applyBorder="1" applyAlignment="1"/>
    <xf numFmtId="167" fontId="0" fillId="0" borderId="31" xfId="0" applyNumberFormat="1" applyBorder="1" applyAlignment="1">
      <alignment horizontal="center"/>
    </xf>
    <xf numFmtId="0" fontId="0" fillId="0" borderId="31" xfId="0" applyFill="1" applyBorder="1" applyAlignment="1">
      <alignment horizontal="center"/>
    </xf>
    <xf numFmtId="4" fontId="0" fillId="4" borderId="31" xfId="0" applyNumberFormat="1" applyFill="1" applyBorder="1" applyAlignment="1">
      <alignment horizontal="center"/>
    </xf>
    <xf numFmtId="0" fontId="0" fillId="0" borderId="31" xfId="0" applyFill="1" applyBorder="1"/>
    <xf numFmtId="38" fontId="0" fillId="0" borderId="31" xfId="0" applyNumberFormat="1" applyFill="1" applyBorder="1" applyAlignment="1">
      <alignment horizontal="right"/>
    </xf>
    <xf numFmtId="38" fontId="0" fillId="0" borderId="31" xfId="0" applyNumberFormat="1" applyFill="1" applyBorder="1" applyAlignment="1">
      <alignment horizontal="center"/>
    </xf>
    <xf numFmtId="15" fontId="0" fillId="0" borderId="31" xfId="0" applyNumberFormat="1" applyFill="1" applyBorder="1" applyAlignment="1">
      <alignment horizontal="left"/>
    </xf>
    <xf numFmtId="167" fontId="0" fillId="0" borderId="31" xfId="0" applyNumberFormat="1" applyFill="1" applyBorder="1"/>
    <xf numFmtId="0" fontId="0" fillId="0" borderId="31" xfId="0" applyBorder="1"/>
    <xf numFmtId="38" fontId="0" fillId="0" borderId="31" xfId="0" applyNumberFormat="1" applyBorder="1" applyAlignment="1">
      <alignment horizontal="right"/>
    </xf>
    <xf numFmtId="38" fontId="0" fillId="0" borderId="31" xfId="0" applyNumberFormat="1" applyBorder="1" applyAlignment="1">
      <alignment horizontal="center"/>
    </xf>
    <xf numFmtId="38" fontId="0" fillId="0" borderId="31" xfId="0" applyNumberFormat="1" applyBorder="1"/>
    <xf numFmtId="0" fontId="0" fillId="0" borderId="32" xfId="0" applyFill="1" applyBorder="1"/>
    <xf numFmtId="0" fontId="0" fillId="0" borderId="33" xfId="0" applyFill="1" applyBorder="1"/>
    <xf numFmtId="0" fontId="0" fillId="0" borderId="0" xfId="0" applyBorder="1" applyAlignment="1"/>
    <xf numFmtId="0" fontId="0" fillId="0" borderId="0" xfId="0" applyFill="1" applyBorder="1" applyAlignment="1">
      <alignment horizontal="center"/>
    </xf>
    <xf numFmtId="4" fontId="0" fillId="4" borderId="0" xfId="0" applyNumberFormat="1" applyFill="1" applyBorder="1" applyAlignment="1">
      <alignment horizontal="center"/>
    </xf>
    <xf numFmtId="0" fontId="0" fillId="0" borderId="0" xfId="0" applyFill="1" applyBorder="1"/>
    <xf numFmtId="38" fontId="0" fillId="0" borderId="0" xfId="0" applyNumberFormat="1" applyFill="1" applyBorder="1" applyAlignment="1">
      <alignment horizontal="right"/>
    </xf>
    <xf numFmtId="38" fontId="0" fillId="0" borderId="0" xfId="0" applyNumberFormat="1" applyFill="1" applyBorder="1" applyAlignment="1">
      <alignment horizontal="center"/>
    </xf>
    <xf numFmtId="15" fontId="0" fillId="0" borderId="0" xfId="0" applyNumberFormat="1" applyFill="1" applyBorder="1" applyAlignment="1">
      <alignment horizontal="left"/>
    </xf>
    <xf numFmtId="167" fontId="0" fillId="0" borderId="0" xfId="0" applyNumberFormat="1" applyFill="1" applyBorder="1"/>
    <xf numFmtId="38" fontId="0" fillId="0" borderId="0" xfId="0" applyNumberFormat="1" applyBorder="1" applyAlignment="1">
      <alignment horizontal="right"/>
    </xf>
    <xf numFmtId="38" fontId="0" fillId="0" borderId="0" xfId="0" applyNumberFormat="1" applyBorder="1" applyAlignment="1">
      <alignment horizontal="center"/>
    </xf>
    <xf numFmtId="38" fontId="0" fillId="0" borderId="0" xfId="0" applyNumberFormat="1" applyBorder="1"/>
    <xf numFmtId="0" fontId="0" fillId="4" borderId="0" xfId="0" applyFill="1" applyBorder="1" applyAlignment="1">
      <alignment horizontal="left"/>
    </xf>
    <xf numFmtId="0" fontId="15" fillId="0" borderId="3" xfId="4" applyAlignment="1">
      <alignment horizontal="left"/>
    </xf>
    <xf numFmtId="15" fontId="0" fillId="4" borderId="0" xfId="0" applyNumberFormat="1" applyFill="1" applyAlignment="1">
      <alignment horizontal="left"/>
    </xf>
    <xf numFmtId="169" fontId="0" fillId="4" borderId="0" xfId="0" applyNumberFormat="1" applyFill="1" applyAlignment="1"/>
    <xf numFmtId="169" fontId="0" fillId="4" borderId="9" xfId="0" applyNumberFormat="1" applyFont="1" applyFill="1" applyBorder="1" applyAlignment="1"/>
    <xf numFmtId="169" fontId="0" fillId="4" borderId="0" xfId="0" applyNumberFormat="1" applyFill="1" applyBorder="1" applyAlignment="1"/>
    <xf numFmtId="15" fontId="0" fillId="4" borderId="0" xfId="0" applyNumberFormat="1" applyFill="1" applyAlignment="1">
      <alignment horizontal="left"/>
    </xf>
    <xf numFmtId="0" fontId="0" fillId="0" borderId="0" xfId="0" applyAlignment="1">
      <alignment horizontal="right"/>
    </xf>
    <xf numFmtId="0" fontId="0" fillId="4" borderId="34" xfId="0" applyFill="1" applyBorder="1" applyAlignment="1">
      <alignment horizontal="center"/>
    </xf>
    <xf numFmtId="0" fontId="15" fillId="0" borderId="3" xfId="4" applyAlignment="1">
      <alignment horizontal="right"/>
    </xf>
    <xf numFmtId="0" fontId="0" fillId="6" borderId="0" xfId="0" applyFill="1" applyAlignment="1">
      <alignment horizontal="center"/>
    </xf>
    <xf numFmtId="0" fontId="6" fillId="0" borderId="0" xfId="0" applyFont="1" applyAlignment="1">
      <alignment horizontal="center"/>
    </xf>
    <xf numFmtId="0" fontId="6" fillId="0" borderId="0" xfId="0" applyFont="1" applyAlignment="1">
      <alignment horizontal="left"/>
    </xf>
    <xf numFmtId="165" fontId="0" fillId="3" borderId="0" xfId="0" applyNumberFormat="1" applyFill="1" applyAlignment="1">
      <alignment horizontal="center"/>
    </xf>
    <xf numFmtId="0" fontId="7" fillId="4" borderId="0" xfId="0" applyFont="1" applyFill="1"/>
    <xf numFmtId="0" fontId="33" fillId="4" borderId="3" xfId="4" applyFont="1" applyFill="1"/>
    <xf numFmtId="0" fontId="7" fillId="4" borderId="0" xfId="0" applyFont="1" applyFill="1" applyAlignment="1">
      <alignment horizontal="left"/>
    </xf>
    <xf numFmtId="0" fontId="13" fillId="0" borderId="0" xfId="5" applyAlignment="1">
      <alignment horizontal="left"/>
    </xf>
    <xf numFmtId="167" fontId="15" fillId="4" borderId="3" xfId="4" applyNumberFormat="1" applyFill="1" applyAlignment="1">
      <alignment horizontal="center"/>
    </xf>
    <xf numFmtId="167" fontId="0" fillId="4" borderId="34" xfId="0" applyNumberFormat="1" applyFill="1" applyBorder="1" applyAlignment="1">
      <alignment horizontal="center"/>
    </xf>
    <xf numFmtId="4" fontId="0" fillId="4" borderId="34" xfId="0" applyNumberFormat="1" applyFill="1" applyBorder="1" applyAlignment="1">
      <alignment horizontal="center"/>
    </xf>
    <xf numFmtId="0" fontId="4" fillId="0" borderId="0" xfId="0" applyFont="1" applyAlignment="1">
      <alignment horizontal="center"/>
    </xf>
    <xf numFmtId="15" fontId="15" fillId="4" borderId="3" xfId="4" applyNumberFormat="1" applyFill="1" applyAlignment="1">
      <alignment horizontal="center"/>
    </xf>
    <xf numFmtId="15" fontId="0" fillId="4" borderId="34" xfId="0" applyNumberFormat="1" applyFill="1" applyBorder="1" applyAlignment="1">
      <alignment horizontal="center"/>
    </xf>
    <xf numFmtId="0" fontId="0" fillId="4" borderId="34" xfId="0" applyFill="1" applyBorder="1" applyAlignment="1">
      <alignment horizontal="left"/>
    </xf>
    <xf numFmtId="166" fontId="0" fillId="0" borderId="0" xfId="0" applyNumberFormat="1" applyAlignment="1">
      <alignment horizontal="right"/>
    </xf>
    <xf numFmtId="166" fontId="15" fillId="0" borderId="3" xfId="4" applyNumberFormat="1" applyAlignment="1">
      <alignment horizontal="right"/>
    </xf>
    <xf numFmtId="166" fontId="4" fillId="0" borderId="0" xfId="0" applyNumberFormat="1" applyFont="1" applyAlignment="1">
      <alignment horizontal="right"/>
    </xf>
    <xf numFmtId="166" fontId="0" fillId="0" borderId="0" xfId="0" quotePrefix="1" applyNumberFormat="1" applyAlignment="1">
      <alignment horizontal="right"/>
    </xf>
    <xf numFmtId="0" fontId="0" fillId="3" borderId="0" xfId="0" applyFill="1" applyAlignment="1">
      <alignment horizontal="center"/>
    </xf>
    <xf numFmtId="166" fontId="0" fillId="3" borderId="0" xfId="0" quotePrefix="1" applyNumberFormat="1" applyFill="1" applyAlignment="1">
      <alignment horizontal="right"/>
    </xf>
    <xf numFmtId="0" fontId="0" fillId="0" borderId="0" xfId="0" quotePrefix="1" applyAlignment="1">
      <alignment horizontal="center"/>
    </xf>
    <xf numFmtId="166" fontId="0" fillId="0" borderId="0" xfId="0" applyNumberFormat="1" applyFill="1" applyAlignment="1">
      <alignment horizontal="left"/>
    </xf>
    <xf numFmtId="166" fontId="4" fillId="0" borderId="18" xfId="0" applyNumberFormat="1" applyFont="1" applyBorder="1" applyAlignment="1">
      <alignment horizontal="right"/>
    </xf>
    <xf numFmtId="166" fontId="0" fillId="0" borderId="18" xfId="0" applyNumberFormat="1" applyBorder="1" applyAlignment="1">
      <alignment horizontal="right"/>
    </xf>
    <xf numFmtId="166" fontId="0" fillId="0" borderId="18" xfId="0" quotePrefix="1" applyNumberFormat="1" applyBorder="1" applyAlignment="1">
      <alignment horizontal="right"/>
    </xf>
    <xf numFmtId="167" fontId="4" fillId="0" borderId="0" xfId="0" applyNumberFormat="1" applyFont="1" applyAlignment="1">
      <alignment horizontal="center"/>
    </xf>
    <xf numFmtId="166" fontId="4" fillId="0" borderId="0" xfId="0" applyNumberFormat="1" applyFont="1" applyAlignment="1">
      <alignment horizontal="center"/>
    </xf>
    <xf numFmtId="166" fontId="0" fillId="0" borderId="0" xfId="0" applyNumberFormat="1" applyAlignment="1">
      <alignment horizontal="center"/>
    </xf>
    <xf numFmtId="166" fontId="15" fillId="0" borderId="3" xfId="4" applyNumberFormat="1" applyAlignment="1">
      <alignment horizontal="center"/>
    </xf>
    <xf numFmtId="0" fontId="0" fillId="0" borderId="11" xfId="0" applyBorder="1" applyAlignment="1">
      <alignment horizontal="center"/>
    </xf>
    <xf numFmtId="0" fontId="13" fillId="4" borderId="0" xfId="5" applyFill="1" applyAlignment="1">
      <alignment horizontal="left"/>
    </xf>
    <xf numFmtId="167" fontId="13" fillId="4" borderId="0" xfId="5" applyNumberFormat="1" applyFill="1" applyAlignment="1">
      <alignment horizontal="center"/>
    </xf>
    <xf numFmtId="0" fontId="13" fillId="4" borderId="0" xfId="5" applyFill="1" applyAlignment="1">
      <alignment horizontal="center"/>
    </xf>
    <xf numFmtId="166" fontId="13" fillId="0" borderId="0" xfId="5" applyNumberFormat="1" applyAlignment="1">
      <alignment horizontal="center"/>
    </xf>
    <xf numFmtId="166" fontId="13" fillId="0" borderId="0" xfId="5" applyNumberFormat="1" applyAlignment="1">
      <alignment horizontal="right"/>
    </xf>
    <xf numFmtId="15" fontId="13" fillId="4" borderId="0" xfId="5" applyNumberFormat="1" applyFill="1" applyAlignment="1">
      <alignment horizontal="center"/>
    </xf>
    <xf numFmtId="166" fontId="13" fillId="0" borderId="18" xfId="5" applyNumberFormat="1" applyBorder="1" applyAlignment="1">
      <alignment horizontal="right"/>
    </xf>
    <xf numFmtId="166" fontId="13" fillId="0" borderId="0" xfId="5" applyNumberFormat="1" applyAlignment="1">
      <alignment horizontal="left"/>
    </xf>
    <xf numFmtId="4" fontId="0" fillId="4" borderId="0" xfId="0" applyNumberFormat="1" applyFill="1" applyAlignment="1">
      <alignment horizontal="left"/>
    </xf>
    <xf numFmtId="0" fontId="15" fillId="0" borderId="3" xfId="4" applyFont="1" applyAlignment="1">
      <alignment horizontal="left"/>
    </xf>
    <xf numFmtId="0" fontId="0" fillId="0" borderId="0" xfId="0" applyFont="1" applyAlignment="1">
      <alignment horizontal="left"/>
    </xf>
    <xf numFmtId="49" fontId="2" fillId="5" borderId="21" xfId="0" applyNumberFormat="1" applyFont="1" applyFill="1" applyBorder="1" applyAlignment="1" applyProtection="1">
      <alignment horizontal="left"/>
      <protection locked="0"/>
    </xf>
    <xf numFmtId="4" fontId="16" fillId="4" borderId="0" xfId="5" applyNumberFormat="1" applyFont="1" applyFill="1" applyAlignment="1">
      <alignment horizontal="center"/>
    </xf>
    <xf numFmtId="4" fontId="16" fillId="4" borderId="0" xfId="5" applyNumberFormat="1" applyFont="1" applyFill="1" applyAlignment="1">
      <alignment horizontal="left"/>
    </xf>
    <xf numFmtId="0" fontId="19" fillId="11" borderId="29" xfId="2" applyFill="1" applyBorder="1" applyAlignment="1">
      <alignment horizontal="left"/>
      <protection locked="0"/>
    </xf>
    <xf numFmtId="167" fontId="0" fillId="3" borderId="0" xfId="0" applyNumberFormat="1" applyFill="1" applyAlignment="1">
      <alignment horizontal="center"/>
    </xf>
    <xf numFmtId="4" fontId="0" fillId="3" borderId="0" xfId="0" applyNumberFormat="1" applyFill="1" applyAlignment="1">
      <alignment horizontal="center"/>
    </xf>
    <xf numFmtId="166" fontId="0" fillId="3" borderId="0" xfId="0" applyNumberFormat="1" applyFill="1" applyAlignment="1">
      <alignment horizontal="center"/>
    </xf>
    <xf numFmtId="166" fontId="0" fillId="3" borderId="18" xfId="0" quotePrefix="1" applyNumberFormat="1" applyFill="1" applyBorder="1" applyAlignment="1">
      <alignment horizontal="right"/>
    </xf>
    <xf numFmtId="0" fontId="0" fillId="3" borderId="0" xfId="0" quotePrefix="1" applyFill="1" applyAlignment="1">
      <alignment horizontal="center"/>
    </xf>
    <xf numFmtId="0" fontId="0" fillId="3" borderId="11" xfId="0" applyFill="1" applyBorder="1" applyAlignment="1">
      <alignment horizontal="center"/>
    </xf>
    <xf numFmtId="0" fontId="0" fillId="3" borderId="11" xfId="0" applyFill="1" applyBorder="1"/>
    <xf numFmtId="49" fontId="19" fillId="12" borderId="0" xfId="2" applyNumberFormat="1" applyAlignment="1">
      <alignment horizontal="left"/>
      <protection locked="0"/>
    </xf>
    <xf numFmtId="0" fontId="15" fillId="0" borderId="3" xfId="4" applyFill="1" applyAlignment="1">
      <alignment horizontal="right"/>
    </xf>
    <xf numFmtId="49" fontId="2" fillId="11" borderId="30" xfId="0" applyNumberFormat="1" applyFont="1" applyFill="1" applyBorder="1" applyAlignment="1" applyProtection="1">
      <alignment horizontal="left"/>
      <protection locked="0"/>
    </xf>
    <xf numFmtId="49" fontId="2" fillId="5" borderId="24" xfId="0" applyNumberFormat="1" applyFont="1" applyFill="1" applyBorder="1" applyAlignment="1" applyProtection="1">
      <alignment horizontal="left"/>
      <protection locked="0"/>
    </xf>
    <xf numFmtId="49" fontId="2" fillId="11" borderId="27" xfId="0" applyNumberFormat="1" applyFont="1" applyFill="1" applyBorder="1" applyAlignment="1" applyProtection="1">
      <alignment horizontal="left"/>
      <protection locked="0"/>
    </xf>
    <xf numFmtId="15" fontId="19" fillId="12" borderId="0" xfId="2" applyNumberFormat="1" applyAlignment="1">
      <alignment horizontal="center"/>
      <protection locked="0"/>
    </xf>
    <xf numFmtId="14" fontId="30" fillId="13" borderId="35" xfId="0" applyNumberFormat="1" applyFont="1" applyFill="1" applyBorder="1" applyAlignment="1">
      <alignment vertical="center"/>
    </xf>
    <xf numFmtId="14" fontId="30" fillId="13" borderId="36" xfId="0" applyNumberFormat="1" applyFont="1" applyFill="1" applyBorder="1" applyAlignment="1">
      <alignment vertical="center"/>
    </xf>
    <xf numFmtId="14" fontId="30" fillId="13" borderId="37" xfId="0" applyNumberFormat="1" applyFont="1" applyFill="1" applyBorder="1" applyAlignment="1">
      <alignment vertical="center"/>
    </xf>
    <xf numFmtId="3" fontId="13" fillId="0" borderId="0" xfId="5" applyNumberFormat="1" applyAlignment="1">
      <alignment horizontal="right"/>
    </xf>
    <xf numFmtId="167" fontId="0" fillId="4" borderId="0" xfId="0" applyNumberFormat="1" applyFill="1" applyAlignment="1">
      <alignment horizontal="left"/>
    </xf>
    <xf numFmtId="3" fontId="0" fillId="4" borderId="0" xfId="0" applyNumberFormat="1" applyFill="1" applyAlignment="1">
      <alignment horizontal="left"/>
    </xf>
    <xf numFmtId="0" fontId="21" fillId="4" borderId="0" xfId="0" applyFont="1" applyFill="1"/>
    <xf numFmtId="0" fontId="0" fillId="4" borderId="0" xfId="0" applyFill="1" applyAlignment="1">
      <alignment horizontal="right"/>
    </xf>
    <xf numFmtId="0" fontId="0" fillId="4" borderId="0" xfId="0" quotePrefix="1" applyFill="1" applyAlignment="1">
      <alignment horizontal="center"/>
    </xf>
    <xf numFmtId="0" fontId="0" fillId="6" borderId="0" xfId="0" applyFill="1" applyAlignment="1">
      <alignment horizontal="right"/>
    </xf>
    <xf numFmtId="4" fontId="0" fillId="6" borderId="0" xfId="0" applyNumberFormat="1" applyFill="1" applyAlignment="1">
      <alignment horizontal="right"/>
    </xf>
    <xf numFmtId="4" fontId="0" fillId="6" borderId="0" xfId="0" applyNumberFormat="1" applyFill="1" applyAlignment="1">
      <alignment horizontal="left"/>
    </xf>
    <xf numFmtId="15" fontId="3" fillId="5" borderId="0" xfId="3" applyNumberFormat="1" applyFill="1" applyBorder="1" applyAlignment="1">
      <alignment horizontal="center"/>
    </xf>
    <xf numFmtId="4" fontId="3" fillId="5" borderId="0" xfId="3" applyNumberFormat="1" applyFill="1" applyBorder="1" applyAlignment="1">
      <alignment horizontal="center"/>
    </xf>
    <xf numFmtId="0" fontId="0" fillId="0" borderId="9" xfId="0" applyBorder="1"/>
    <xf numFmtId="167" fontId="5" fillId="0" borderId="0" xfId="0" applyNumberFormat="1" applyFont="1" applyFill="1" applyAlignment="1">
      <alignment horizontal="center"/>
    </xf>
    <xf numFmtId="167" fontId="34" fillId="0" borderId="3" xfId="4" applyNumberFormat="1" applyFont="1" applyFill="1" applyAlignment="1">
      <alignment horizontal="center"/>
    </xf>
    <xf numFmtId="167" fontId="5" fillId="0" borderId="0" xfId="0" applyNumberFormat="1" applyFont="1" applyFill="1" applyBorder="1" applyAlignment="1">
      <alignment horizontal="center"/>
    </xf>
    <xf numFmtId="167" fontId="5" fillId="4" borderId="0" xfId="0" applyNumberFormat="1" applyFont="1" applyFill="1" applyAlignment="1">
      <alignment horizontal="center"/>
    </xf>
    <xf numFmtId="167" fontId="5" fillId="4" borderId="0" xfId="0" applyNumberFormat="1" applyFont="1" applyFill="1" applyAlignment="1">
      <alignment horizontal="left"/>
    </xf>
    <xf numFmtId="167" fontId="5" fillId="4" borderId="0" xfId="0" applyNumberFormat="1" applyFont="1" applyFill="1" applyBorder="1" applyAlignment="1">
      <alignment horizontal="center"/>
    </xf>
    <xf numFmtId="167" fontId="5" fillId="4" borderId="9" xfId="0" applyNumberFormat="1" applyFont="1" applyFill="1" applyBorder="1" applyAlignment="1">
      <alignment horizontal="center"/>
    </xf>
    <xf numFmtId="15" fontId="0" fillId="4" borderId="0" xfId="0" applyNumberFormat="1" applyFill="1" applyAlignment="1">
      <alignment horizontal="left"/>
    </xf>
    <xf numFmtId="38" fontId="19" fillId="3" borderId="0" xfId="2" applyNumberFormat="1" applyFill="1" applyAlignment="1">
      <alignment horizontal="center"/>
      <protection locked="0"/>
    </xf>
    <xf numFmtId="38" fontId="0" fillId="0" borderId="38" xfId="0" applyNumberFormat="1" applyBorder="1" applyAlignment="1">
      <alignment horizontal="right"/>
    </xf>
    <xf numFmtId="0" fontId="0" fillId="0" borderId="38" xfId="0" applyBorder="1"/>
    <xf numFmtId="0" fontId="19" fillId="12" borderId="0" xfId="2" applyBorder="1" applyAlignment="1">
      <alignment horizontal="left"/>
      <protection locked="0"/>
    </xf>
    <xf numFmtId="15" fontId="0" fillId="0" borderId="0" xfId="0" applyNumberFormat="1" applyFont="1" applyBorder="1"/>
    <xf numFmtId="172" fontId="0" fillId="0" borderId="0" xfId="0" applyNumberFormat="1" applyFont="1" applyBorder="1" applyAlignment="1">
      <alignment horizontal="center"/>
    </xf>
    <xf numFmtId="172" fontId="25" fillId="0" borderId="0" xfId="0" applyNumberFormat="1" applyFont="1" applyAlignment="1">
      <alignment horizontal="center"/>
    </xf>
    <xf numFmtId="172" fontId="13" fillId="0" borderId="0" xfId="5" applyNumberFormat="1" applyBorder="1" applyAlignment="1">
      <alignment horizontal="center"/>
    </xf>
    <xf numFmtId="172" fontId="4" fillId="0" borderId="0" xfId="0" applyNumberFormat="1" applyFont="1" applyBorder="1" applyAlignment="1">
      <alignment horizontal="center"/>
    </xf>
    <xf numFmtId="15" fontId="15" fillId="4" borderId="3" xfId="4" applyNumberFormat="1" applyFill="1" applyAlignment="1">
      <alignment horizontal="left"/>
    </xf>
    <xf numFmtId="15" fontId="13" fillId="4" borderId="0" xfId="5" applyNumberFormat="1" applyFill="1" applyAlignment="1">
      <alignment horizontal="left"/>
    </xf>
    <xf numFmtId="15" fontId="0" fillId="4" borderId="34" xfId="0" applyNumberFormat="1" applyFill="1" applyBorder="1" applyAlignment="1">
      <alignment horizontal="left"/>
    </xf>
    <xf numFmtId="15" fontId="0" fillId="3" borderId="0" xfId="0" applyNumberFormat="1" applyFill="1" applyAlignment="1">
      <alignment horizontal="left"/>
    </xf>
    <xf numFmtId="4" fontId="21" fillId="0" borderId="0" xfId="0" applyNumberFormat="1" applyFont="1" applyAlignment="1">
      <alignment horizontal="left"/>
    </xf>
    <xf numFmtId="4" fontId="5" fillId="3" borderId="0" xfId="0" applyNumberFormat="1" applyFont="1" applyFill="1" applyBorder="1" applyAlignment="1">
      <alignment horizontal="center"/>
    </xf>
    <xf numFmtId="0" fontId="15" fillId="0" borderId="3" xfId="4" applyAlignment="1">
      <alignment horizontal="left"/>
    </xf>
    <xf numFmtId="0" fontId="0" fillId="3" borderId="0" xfId="0" applyFill="1" applyBorder="1" applyAlignment="1">
      <alignment horizontal="right"/>
    </xf>
    <xf numFmtId="0" fontId="5" fillId="3" borderId="0" xfId="0" applyFont="1" applyFill="1" applyBorder="1" applyAlignment="1">
      <alignment horizontal="right"/>
    </xf>
    <xf numFmtId="0" fontId="0" fillId="3" borderId="0" xfId="0" applyFill="1" applyAlignment="1">
      <alignment horizontal="right"/>
    </xf>
    <xf numFmtId="0" fontId="5" fillId="3" borderId="0" xfId="0" applyFont="1" applyFill="1" applyAlignment="1">
      <alignment horizontal="right"/>
    </xf>
    <xf numFmtId="0" fontId="5" fillId="3" borderId="0" xfId="0" applyFont="1" applyFill="1"/>
    <xf numFmtId="0" fontId="34" fillId="3" borderId="3" xfId="4" applyFont="1" applyFill="1"/>
    <xf numFmtId="0" fontId="5" fillId="3" borderId="0" xfId="0" applyFont="1" applyFill="1" applyBorder="1"/>
    <xf numFmtId="0" fontId="10" fillId="3" borderId="0" xfId="0" applyFont="1" applyFill="1" applyBorder="1" applyAlignment="1">
      <alignment horizontal="left"/>
    </xf>
    <xf numFmtId="4" fontId="13" fillId="3" borderId="0" xfId="5" applyNumberFormat="1" applyFill="1" applyBorder="1" applyAlignment="1">
      <alignment horizontal="left"/>
    </xf>
    <xf numFmtId="0" fontId="11" fillId="3" borderId="0" xfId="0" applyFont="1" applyFill="1" applyBorder="1" applyAlignment="1">
      <alignment horizontal="left"/>
    </xf>
    <xf numFmtId="0" fontId="11" fillId="5" borderId="0" xfId="0" applyFont="1" applyFill="1" applyBorder="1" applyAlignment="1">
      <alignment horizontal="left"/>
    </xf>
    <xf numFmtId="0" fontId="17" fillId="3" borderId="0" xfId="5" applyFont="1" applyFill="1" applyBorder="1" applyAlignment="1">
      <alignment horizontal="right"/>
    </xf>
    <xf numFmtId="0" fontId="11" fillId="3" borderId="0" xfId="0" quotePrefix="1" applyFont="1" applyFill="1" applyBorder="1" applyAlignment="1">
      <alignment horizontal="left"/>
    </xf>
    <xf numFmtId="0" fontId="11" fillId="3" borderId="0" xfId="0" applyFont="1" applyFill="1" applyBorder="1" applyAlignment="1">
      <alignment horizontal="center"/>
    </xf>
    <xf numFmtId="0" fontId="11" fillId="3" borderId="7" xfId="0" applyFont="1" applyFill="1" applyBorder="1" applyAlignment="1">
      <alignment horizontal="center"/>
    </xf>
    <xf numFmtId="4" fontId="17" fillId="3" borderId="0" xfId="5" applyNumberFormat="1" applyFont="1" applyFill="1" applyBorder="1" applyAlignment="1"/>
    <xf numFmtId="0" fontId="11" fillId="3" borderId="9" xfId="0" applyFont="1" applyFill="1" applyBorder="1" applyAlignment="1">
      <alignment horizontal="center"/>
    </xf>
    <xf numFmtId="0" fontId="11" fillId="3" borderId="0" xfId="0" applyFont="1" applyFill="1" applyBorder="1" applyAlignment="1"/>
    <xf numFmtId="4" fontId="17" fillId="3" borderId="0" xfId="5" applyNumberFormat="1" applyFont="1" applyFill="1" applyBorder="1" applyAlignment="1">
      <alignment horizontal="left"/>
    </xf>
    <xf numFmtId="0" fontId="11" fillId="3" borderId="7" xfId="0" applyFont="1" applyFill="1" applyBorder="1" applyAlignment="1">
      <alignment horizontal="left"/>
    </xf>
    <xf numFmtId="0" fontId="11" fillId="3" borderId="9" xfId="0" applyFont="1" applyFill="1" applyBorder="1" applyAlignment="1">
      <alignment horizontal="left"/>
    </xf>
    <xf numFmtId="0" fontId="11" fillId="5" borderId="0" xfId="0" quotePrefix="1" applyFont="1" applyFill="1" applyBorder="1" applyAlignment="1">
      <alignment horizontal="left"/>
    </xf>
    <xf numFmtId="0" fontId="11" fillId="3" borderId="0" xfId="0" applyFont="1" applyFill="1" applyBorder="1"/>
    <xf numFmtId="0" fontId="4" fillId="3" borderId="0" xfId="0" applyFont="1" applyFill="1" applyBorder="1"/>
    <xf numFmtId="164" fontId="11" fillId="3" borderId="0" xfId="0" applyNumberFormat="1" applyFont="1" applyFill="1" applyBorder="1"/>
    <xf numFmtId="4" fontId="10" fillId="3" borderId="0" xfId="0" applyNumberFormat="1" applyFont="1" applyFill="1" applyBorder="1" applyAlignment="1">
      <alignment horizontal="center"/>
    </xf>
    <xf numFmtId="0" fontId="11" fillId="5" borderId="0" xfId="0" applyFont="1" applyFill="1" applyBorder="1"/>
    <xf numFmtId="164" fontId="5" fillId="3" borderId="0" xfId="0" applyNumberFormat="1" applyFont="1" applyFill="1" applyAlignment="1">
      <alignment horizontal="left"/>
    </xf>
    <xf numFmtId="164" fontId="5" fillId="3" borderId="0" xfId="0" applyNumberFormat="1" applyFont="1" applyFill="1"/>
    <xf numFmtId="0" fontId="37" fillId="3" borderId="0" xfId="0" applyFont="1" applyFill="1"/>
    <xf numFmtId="0" fontId="5" fillId="5" borderId="0" xfId="0" applyFont="1" applyFill="1"/>
    <xf numFmtId="164" fontId="9" fillId="5" borderId="0" xfId="6" applyNumberFormat="1" applyFont="1" applyFill="1" applyAlignment="1">
      <alignment horizontal="left"/>
      <protection locked="0"/>
    </xf>
    <xf numFmtId="164" fontId="5" fillId="5" borderId="0" xfId="0" applyNumberFormat="1" applyFont="1" applyFill="1"/>
    <xf numFmtId="0" fontId="9" fillId="5" borderId="0" xfId="6" applyNumberFormat="1" applyFont="1" applyFill="1" applyAlignment="1">
      <protection locked="0"/>
    </xf>
    <xf numFmtId="164" fontId="9" fillId="5" borderId="0" xfId="6" applyNumberFormat="1" applyFont="1" applyFill="1" applyAlignment="1">
      <protection locked="0"/>
    </xf>
    <xf numFmtId="164" fontId="5" fillId="5" borderId="0" xfId="0" applyNumberFormat="1" applyFont="1" applyFill="1" applyAlignment="1">
      <alignment horizontal="left"/>
    </xf>
    <xf numFmtId="0" fontId="5" fillId="3" borderId="0" xfId="0" quotePrefix="1" applyFont="1" applyFill="1"/>
    <xf numFmtId="0" fontId="9" fillId="5" borderId="0" xfId="6" applyNumberFormat="1" applyFont="1" applyFill="1" applyAlignment="1">
      <alignment horizontal="left"/>
      <protection locked="0"/>
    </xf>
    <xf numFmtId="165" fontId="9" fillId="5" borderId="0" xfId="6" applyNumberFormat="1" applyFont="1" applyFill="1" applyAlignment="1">
      <alignment horizontal="left"/>
      <protection locked="0"/>
    </xf>
    <xf numFmtId="0" fontId="5" fillId="3" borderId="0" xfId="0" applyFont="1" applyFill="1" applyAlignment="1">
      <alignment horizontal="left"/>
    </xf>
    <xf numFmtId="4" fontId="5" fillId="3" borderId="0" xfId="0" applyNumberFormat="1" applyFont="1" applyFill="1" applyAlignment="1">
      <alignment horizontal="left"/>
    </xf>
    <xf numFmtId="0" fontId="5" fillId="6" borderId="0" xfId="0" applyFont="1" applyFill="1" applyAlignment="1">
      <alignment horizontal="left"/>
    </xf>
    <xf numFmtId="4" fontId="5" fillId="6" borderId="0" xfId="0" applyNumberFormat="1" applyFont="1" applyFill="1" applyAlignment="1">
      <alignment horizontal="left"/>
    </xf>
    <xf numFmtId="0" fontId="38" fillId="0" borderId="0" xfId="5" applyFont="1" applyBorder="1" applyAlignment="1">
      <alignment horizontal="center"/>
    </xf>
    <xf numFmtId="0" fontId="15" fillId="0" borderId="3" xfId="4" applyFont="1" applyAlignment="1">
      <alignment horizontal="center"/>
    </xf>
    <xf numFmtId="0" fontId="15" fillId="0" borderId="3" xfId="4" applyFont="1" applyAlignment="1">
      <alignment horizontal="right"/>
    </xf>
    <xf numFmtId="4" fontId="15" fillId="0" borderId="3" xfId="4" applyNumberFormat="1" applyFont="1" applyAlignment="1">
      <alignment horizontal="right"/>
    </xf>
    <xf numFmtId="0" fontId="5" fillId="0" borderId="0" xfId="0" applyFont="1" applyBorder="1" applyAlignment="1">
      <alignment horizontal="center"/>
    </xf>
    <xf numFmtId="165" fontId="13" fillId="0" borderId="0" xfId="5" applyNumberFormat="1" applyBorder="1" applyAlignment="1">
      <alignment horizontal="right"/>
    </xf>
    <xf numFmtId="165" fontId="14" fillId="0" borderId="0" xfId="0" applyNumberFormat="1" applyFont="1" applyBorder="1" applyAlignment="1" applyProtection="1">
      <alignment horizontal="left"/>
      <protection locked="0"/>
    </xf>
    <xf numFmtId="165" fontId="5" fillId="3" borderId="0" xfId="0" applyNumberFormat="1" applyFont="1" applyFill="1" applyAlignment="1">
      <alignment horizontal="left"/>
    </xf>
    <xf numFmtId="15" fontId="5" fillId="3" borderId="0" xfId="0" applyNumberFormat="1" applyFont="1" applyFill="1" applyAlignment="1">
      <alignment horizontal="left"/>
    </xf>
    <xf numFmtId="0" fontId="5" fillId="5" borderId="0" xfId="0" applyFont="1" applyFill="1" applyBorder="1"/>
    <xf numFmtId="172" fontId="9" fillId="0" borderId="0" xfId="6" applyNumberFormat="1" applyFont="1" applyAlignment="1">
      <alignment horizontal="center"/>
      <protection locked="0"/>
    </xf>
    <xf numFmtId="0" fontId="5" fillId="3" borderId="9" xfId="0" applyFont="1" applyFill="1" applyBorder="1"/>
    <xf numFmtId="0" fontId="9" fillId="3" borderId="0" xfId="6" applyNumberFormat="1" applyFont="1" applyFill="1" applyAlignment="1">
      <protection locked="0"/>
    </xf>
    <xf numFmtId="173" fontId="3" fillId="0" borderId="0" xfId="6" applyNumberFormat="1" applyAlignment="1">
      <alignment horizontal="center"/>
      <protection locked="0"/>
    </xf>
    <xf numFmtId="0" fontId="27" fillId="0" borderId="0" xfId="7" applyBorder="1" applyAlignment="1">
      <alignment horizontal="right"/>
    </xf>
    <xf numFmtId="0" fontId="5" fillId="3" borderId="0" xfId="0" applyFont="1" applyFill="1" applyAlignment="1">
      <alignment horizontal="center"/>
    </xf>
    <xf numFmtId="0" fontId="34" fillId="3" borderId="3" xfId="4" applyFont="1" applyFill="1" applyAlignment="1">
      <alignment horizontal="center"/>
    </xf>
    <xf numFmtId="0" fontId="17" fillId="3" borderId="0" xfId="5" applyFont="1" applyFill="1"/>
    <xf numFmtId="4" fontId="13" fillId="0" borderId="0" xfId="5" applyNumberFormat="1" applyAlignment="1">
      <alignment horizontal="center"/>
    </xf>
    <xf numFmtId="49" fontId="19" fillId="12" borderId="0" xfId="2" applyNumberFormat="1" applyBorder="1" applyAlignment="1">
      <alignment horizontal="center"/>
      <protection locked="0"/>
    </xf>
    <xf numFmtId="165" fontId="3" fillId="0" borderId="0" xfId="6" applyNumberFormat="1" applyAlignment="1">
      <alignment horizontal="right"/>
      <protection locked="0"/>
    </xf>
    <xf numFmtId="0" fontId="0" fillId="4" borderId="7" xfId="0" applyFill="1" applyBorder="1"/>
    <xf numFmtId="4" fontId="3" fillId="6" borderId="0" xfId="6" applyNumberFormat="1" applyFill="1" applyAlignment="1">
      <alignment horizontal="center"/>
      <protection locked="0"/>
    </xf>
    <xf numFmtId="0" fontId="39" fillId="0" borderId="3" xfId="4" applyFont="1" applyAlignment="1">
      <alignment vertical="center"/>
    </xf>
    <xf numFmtId="15" fontId="13" fillId="0" borderId="9" xfId="5" applyNumberFormat="1" applyBorder="1" applyAlignment="1">
      <alignment horizontal="center"/>
    </xf>
    <xf numFmtId="165" fontId="0" fillId="0" borderId="0" xfId="0" applyNumberFormat="1" applyBorder="1" applyAlignment="1">
      <alignment horizontal="center"/>
    </xf>
    <xf numFmtId="165" fontId="0" fillId="0" borderId="31" xfId="0" applyNumberFormat="1" applyBorder="1" applyAlignment="1">
      <alignment horizontal="center"/>
    </xf>
    <xf numFmtId="165" fontId="19" fillId="5" borderId="20" xfId="2" applyNumberFormat="1" applyFill="1" applyBorder="1" applyAlignment="1">
      <alignment horizontal="left"/>
      <protection locked="0"/>
    </xf>
    <xf numFmtId="165" fontId="19" fillId="5" borderId="23" xfId="2" applyNumberFormat="1" applyFill="1" applyBorder="1" applyAlignment="1">
      <protection locked="0"/>
    </xf>
    <xf numFmtId="165" fontId="13" fillId="0" borderId="0" xfId="5" applyNumberFormat="1" applyAlignment="1">
      <alignment horizontal="left"/>
    </xf>
    <xf numFmtId="165" fontId="40" fillId="12" borderId="0" xfId="2" applyNumberFormat="1" applyFont="1" applyAlignment="1">
      <alignment horizontal="center"/>
      <protection locked="0"/>
    </xf>
    <xf numFmtId="165" fontId="40" fillId="12" borderId="0" xfId="2" quotePrefix="1" applyNumberFormat="1" applyFont="1" applyAlignment="1">
      <alignment horizontal="center"/>
      <protection locked="0"/>
    </xf>
    <xf numFmtId="167" fontId="13" fillId="0" borderId="0" xfId="5" applyNumberFormat="1" applyAlignment="1">
      <alignment horizontal="center"/>
    </xf>
    <xf numFmtId="165" fontId="5" fillId="0" borderId="0" xfId="0" applyNumberFormat="1" applyFont="1" applyAlignment="1">
      <alignment horizontal="center"/>
    </xf>
    <xf numFmtId="165" fontId="34" fillId="0" borderId="3" xfId="4" applyNumberFormat="1" applyFont="1" applyAlignment="1">
      <alignment horizontal="center"/>
    </xf>
    <xf numFmtId="165" fontId="5" fillId="0" borderId="0" xfId="0" applyNumberFormat="1" applyFont="1" applyBorder="1" applyAlignment="1">
      <alignment horizontal="center"/>
    </xf>
    <xf numFmtId="165" fontId="5" fillId="0" borderId="31" xfId="0" applyNumberFormat="1" applyFont="1" applyBorder="1" applyAlignment="1">
      <alignment horizontal="center"/>
    </xf>
    <xf numFmtId="165" fontId="40" fillId="5" borderId="20" xfId="2" applyNumberFormat="1" applyFont="1" applyFill="1" applyBorder="1" applyAlignment="1">
      <alignment horizontal="left"/>
      <protection locked="0"/>
    </xf>
    <xf numFmtId="165" fontId="40" fillId="5" borderId="23" xfId="2" applyNumberFormat="1" applyFont="1" applyFill="1" applyBorder="1" applyAlignment="1">
      <protection locked="0"/>
    </xf>
    <xf numFmtId="165" fontId="17" fillId="0" borderId="0" xfId="5" applyNumberFormat="1" applyFont="1" applyAlignment="1">
      <alignment horizontal="left"/>
    </xf>
    <xf numFmtId="174" fontId="5" fillId="0" borderId="0" xfId="0" applyNumberFormat="1" applyFont="1" applyAlignment="1">
      <alignment horizontal="center"/>
    </xf>
    <xf numFmtId="174" fontId="34" fillId="0" borderId="3" xfId="4" applyNumberFormat="1" applyFont="1" applyAlignment="1">
      <alignment horizontal="center"/>
    </xf>
    <xf numFmtId="174" fontId="5" fillId="0" borderId="0" xfId="0" applyNumberFormat="1" applyFont="1" applyBorder="1" applyAlignment="1">
      <alignment horizontal="center"/>
    </xf>
    <xf numFmtId="174" fontId="5" fillId="0" borderId="31" xfId="0" applyNumberFormat="1" applyFont="1" applyBorder="1" applyAlignment="1">
      <alignment horizontal="center"/>
    </xf>
    <xf numFmtId="174" fontId="40" fillId="5" borderId="20" xfId="2" applyNumberFormat="1" applyFont="1" applyFill="1" applyBorder="1" applyAlignment="1">
      <alignment horizontal="left"/>
      <protection locked="0"/>
    </xf>
    <xf numFmtId="174" fontId="40" fillId="5" borderId="23" xfId="2" applyNumberFormat="1" applyFont="1" applyFill="1" applyBorder="1" applyAlignment="1">
      <protection locked="0"/>
    </xf>
    <xf numFmtId="174" fontId="17" fillId="0" borderId="0" xfId="5" applyNumberFormat="1" applyFont="1" applyAlignment="1">
      <alignment horizontal="left"/>
    </xf>
    <xf numFmtId="165" fontId="18" fillId="0" borderId="0" xfId="5" applyNumberFormat="1" applyFont="1" applyFill="1" applyAlignment="1">
      <alignment horizontal="center"/>
    </xf>
    <xf numFmtId="165" fontId="5" fillId="0" borderId="0" xfId="0" applyNumberFormat="1" applyFont="1" applyFill="1" applyAlignment="1">
      <alignment horizontal="center"/>
    </xf>
    <xf numFmtId="172" fontId="0" fillId="0" borderId="0" xfId="0" applyNumberFormat="1" applyAlignment="1">
      <alignment horizontal="center"/>
    </xf>
    <xf numFmtId="165" fontId="13" fillId="0" borderId="0" xfId="5" applyNumberFormat="1" applyFill="1" applyAlignment="1">
      <alignment horizontal="left"/>
    </xf>
    <xf numFmtId="165" fontId="28" fillId="4" borderId="0" xfId="0" applyNumberFormat="1" applyFont="1" applyFill="1" applyAlignment="1">
      <alignment horizontal="left"/>
    </xf>
    <xf numFmtId="165" fontId="28" fillId="0" borderId="0" xfId="0" applyNumberFormat="1" applyFont="1" applyFill="1" applyBorder="1" applyAlignment="1">
      <alignment horizontal="left"/>
    </xf>
    <xf numFmtId="165" fontId="28" fillId="0" borderId="31" xfId="0" applyNumberFormat="1" applyFont="1" applyFill="1" applyBorder="1" applyAlignment="1">
      <alignment horizontal="left"/>
    </xf>
    <xf numFmtId="165" fontId="28" fillId="0" borderId="0" xfId="0" applyNumberFormat="1" applyFont="1" applyFill="1" applyAlignment="1">
      <alignment horizontal="left"/>
    </xf>
    <xf numFmtId="165" fontId="0" fillId="5" borderId="20" xfId="0" applyNumberFormat="1" applyFill="1" applyBorder="1" applyAlignment="1">
      <alignment horizontal="right"/>
    </xf>
    <xf numFmtId="165" fontId="0" fillId="5" borderId="23" xfId="0" applyNumberFormat="1" applyFill="1" applyBorder="1" applyAlignment="1">
      <alignment horizontal="right"/>
    </xf>
    <xf numFmtId="0" fontId="3" fillId="6" borderId="0" xfId="6" applyNumberFormat="1" applyFill="1" applyAlignment="1">
      <alignment horizontal="left"/>
      <protection locked="0"/>
    </xf>
    <xf numFmtId="165" fontId="42" fillId="0" borderId="0" xfId="5" applyNumberFormat="1" applyFont="1" applyAlignment="1"/>
    <xf numFmtId="165" fontId="18" fillId="9" borderId="0" xfId="5" applyNumberFormat="1" applyFont="1" applyFill="1" applyAlignment="1">
      <alignment horizontal="left"/>
    </xf>
    <xf numFmtId="165" fontId="18" fillId="9" borderId="0" xfId="5" applyNumberFormat="1" applyFont="1" applyFill="1" applyAlignment="1">
      <alignment horizontal="center"/>
    </xf>
    <xf numFmtId="165" fontId="18" fillId="9" borderId="9" xfId="5" applyNumberFormat="1" applyFont="1" applyFill="1" applyBorder="1" applyAlignment="1">
      <alignment horizontal="center"/>
    </xf>
    <xf numFmtId="165" fontId="5" fillId="9" borderId="0" xfId="0" applyNumberFormat="1" applyFont="1" applyFill="1" applyAlignment="1">
      <alignment horizontal="center"/>
    </xf>
    <xf numFmtId="167" fontId="5" fillId="0" borderId="0" xfId="0" applyNumberFormat="1" applyFont="1"/>
    <xf numFmtId="167" fontId="34" fillId="0" borderId="3" xfId="4" applyNumberFormat="1" applyFont="1"/>
    <xf numFmtId="167" fontId="5" fillId="0" borderId="0" xfId="0" applyNumberFormat="1" applyFont="1" applyFill="1"/>
    <xf numFmtId="167" fontId="5" fillId="0" borderId="0" xfId="0" applyNumberFormat="1" applyFont="1" applyFill="1" applyBorder="1"/>
    <xf numFmtId="167" fontId="5" fillId="0" borderId="31" xfId="0" applyNumberFormat="1" applyFont="1" applyFill="1" applyBorder="1"/>
    <xf numFmtId="38" fontId="5" fillId="11" borderId="26" xfId="0" applyNumberFormat="1" applyFont="1" applyFill="1" applyBorder="1" applyAlignment="1">
      <alignment horizontal="right"/>
    </xf>
    <xf numFmtId="38" fontId="5" fillId="11" borderId="29" xfId="0" applyNumberFormat="1" applyFont="1" applyFill="1" applyBorder="1" applyAlignment="1">
      <alignment horizontal="right"/>
    </xf>
    <xf numFmtId="165" fontId="43" fillId="0" borderId="0" xfId="5" applyNumberFormat="1" applyFont="1" applyAlignment="1"/>
    <xf numFmtId="167" fontId="17" fillId="0" borderId="0" xfId="5" applyNumberFormat="1" applyFont="1"/>
    <xf numFmtId="167" fontId="17" fillId="0" borderId="9" xfId="5" applyNumberFormat="1" applyFont="1" applyBorder="1" applyAlignment="1">
      <alignment horizontal="center"/>
    </xf>
    <xf numFmtId="0" fontId="19" fillId="5" borderId="23" xfId="2" applyFill="1" applyBorder="1" applyAlignment="1">
      <alignment horizontal="left"/>
      <protection locked="0"/>
    </xf>
    <xf numFmtId="1" fontId="19" fillId="5" borderId="20" xfId="2" applyNumberFormat="1" applyFill="1" applyBorder="1" applyAlignment="1">
      <alignment horizontal="left"/>
      <protection locked="0"/>
    </xf>
    <xf numFmtId="4" fontId="2" fillId="12" borderId="0" xfId="2" applyNumberFormat="1" applyFont="1" applyBorder="1" applyAlignment="1">
      <alignment horizontal="center"/>
      <protection locked="0"/>
    </xf>
    <xf numFmtId="3" fontId="15" fillId="4" borderId="3" xfId="4" applyNumberFormat="1" applyFill="1" applyAlignment="1">
      <alignment horizontal="center"/>
    </xf>
    <xf numFmtId="3" fontId="0" fillId="4" borderId="0" xfId="0" applyNumberFormat="1" applyFill="1" applyBorder="1" applyAlignment="1">
      <alignment horizontal="center"/>
    </xf>
    <xf numFmtId="3" fontId="0" fillId="4" borderId="31" xfId="0" applyNumberFormat="1" applyFill="1" applyBorder="1" applyAlignment="1">
      <alignment horizontal="center"/>
    </xf>
    <xf numFmtId="3" fontId="13" fillId="4" borderId="9" xfId="5" applyNumberFormat="1" applyFill="1" applyBorder="1" applyAlignment="1">
      <alignment horizontal="center"/>
    </xf>
    <xf numFmtId="3" fontId="0" fillId="4" borderId="0" xfId="0" applyNumberFormat="1" applyFill="1" applyAlignment="1"/>
    <xf numFmtId="3" fontId="15" fillId="4" borderId="3" xfId="4" applyNumberFormat="1" applyFill="1" applyAlignment="1"/>
    <xf numFmtId="3" fontId="0" fillId="4" borderId="0" xfId="0" applyNumberFormat="1" applyFill="1" applyBorder="1" applyAlignment="1"/>
    <xf numFmtId="3" fontId="0" fillId="4" borderId="31" xfId="0" applyNumberFormat="1" applyFill="1" applyBorder="1" applyAlignment="1"/>
    <xf numFmtId="3" fontId="0" fillId="5" borderId="20" xfId="0" applyNumberFormat="1" applyFill="1" applyBorder="1" applyAlignment="1"/>
    <xf numFmtId="3" fontId="0" fillId="5" borderId="23" xfId="0" applyNumberFormat="1" applyFill="1" applyBorder="1" applyAlignment="1"/>
    <xf numFmtId="3" fontId="0" fillId="11" borderId="26" xfId="0" applyNumberFormat="1" applyFill="1" applyBorder="1"/>
    <xf numFmtId="3" fontId="0" fillId="11" borderId="29" xfId="0" applyNumberFormat="1" applyFill="1" applyBorder="1"/>
    <xf numFmtId="0" fontId="40" fillId="12" borderId="0" xfId="2" applyFont="1" applyAlignment="1">
      <alignment horizontal="center"/>
      <protection locked="0"/>
    </xf>
    <xf numFmtId="169" fontId="0" fillId="0" borderId="0" xfId="0" applyNumberFormat="1" applyFont="1" applyAlignment="1">
      <alignment horizontal="right"/>
    </xf>
    <xf numFmtId="167" fontId="19" fillId="12" borderId="0" xfId="2" applyNumberFormat="1" applyAlignment="1">
      <alignment horizontal="center"/>
      <protection locked="0"/>
    </xf>
    <xf numFmtId="167" fontId="17" fillId="0" borderId="9" xfId="5" applyNumberFormat="1" applyFont="1" applyBorder="1" applyAlignment="1"/>
    <xf numFmtId="14" fontId="35" fillId="13" borderId="36" xfId="0" applyNumberFormat="1" applyFont="1" applyFill="1" applyBorder="1" applyAlignment="1">
      <alignment vertical="center"/>
    </xf>
    <xf numFmtId="167" fontId="5" fillId="0" borderId="0" xfId="0" applyNumberFormat="1" applyFont="1" applyAlignment="1">
      <alignment horizontal="center"/>
    </xf>
    <xf numFmtId="167" fontId="34" fillId="0" borderId="3" xfId="4" applyNumberFormat="1" applyFont="1" applyAlignment="1">
      <alignment horizontal="center"/>
    </xf>
    <xf numFmtId="0" fontId="5" fillId="4" borderId="0" xfId="0" applyFont="1" applyFill="1" applyAlignment="1">
      <alignment horizontal="center"/>
    </xf>
    <xf numFmtId="14" fontId="35" fillId="13" borderId="36" xfId="0" applyNumberFormat="1" applyFont="1" applyFill="1" applyBorder="1" applyAlignment="1">
      <alignment horizontal="center" vertical="center"/>
    </xf>
    <xf numFmtId="167" fontId="17" fillId="0" borderId="0" xfId="5" applyNumberFormat="1" applyFont="1" applyAlignment="1" applyProtection="1">
      <alignment horizontal="center"/>
    </xf>
    <xf numFmtId="174" fontId="5" fillId="0" borderId="0" xfId="0" applyNumberFormat="1" applyFont="1" applyFill="1" applyAlignment="1">
      <alignment horizontal="center"/>
    </xf>
    <xf numFmtId="174" fontId="34" fillId="0" borderId="3" xfId="4" applyNumberFormat="1" applyFont="1" applyFill="1" applyAlignment="1">
      <alignment horizontal="center"/>
    </xf>
    <xf numFmtId="174" fontId="5" fillId="4" borderId="0" xfId="0" applyNumberFormat="1" applyFont="1" applyFill="1" applyAlignment="1">
      <alignment horizontal="center"/>
    </xf>
    <xf numFmtId="174" fontId="5" fillId="4" borderId="0" xfId="0" applyNumberFormat="1" applyFont="1" applyFill="1" applyAlignment="1">
      <alignment horizontal="left"/>
    </xf>
    <xf numFmtId="174" fontId="5" fillId="4" borderId="0" xfId="0" applyNumberFormat="1" applyFont="1" applyFill="1"/>
    <xf numFmtId="174" fontId="5" fillId="4" borderId="0" xfId="0" applyNumberFormat="1" applyFont="1" applyFill="1" applyBorder="1" applyAlignment="1">
      <alignment horizontal="left"/>
    </xf>
    <xf numFmtId="174" fontId="5" fillId="4" borderId="9" xfId="0" applyNumberFormat="1" applyFont="1" applyFill="1" applyBorder="1" applyAlignment="1">
      <alignment horizontal="left"/>
    </xf>
    <xf numFmtId="174" fontId="5" fillId="4" borderId="9" xfId="0" applyNumberFormat="1" applyFont="1" applyFill="1" applyBorder="1" applyAlignment="1">
      <alignment horizontal="center"/>
    </xf>
    <xf numFmtId="174" fontId="5" fillId="0" borderId="0" xfId="0" applyNumberFormat="1" applyFont="1" applyFill="1" applyAlignment="1">
      <alignment horizontal="left"/>
    </xf>
    <xf numFmtId="14" fontId="30" fillId="13" borderId="36" xfId="0" applyNumberFormat="1" applyFont="1" applyFill="1" applyBorder="1" applyAlignment="1">
      <alignment horizontal="center" vertical="center"/>
    </xf>
    <xf numFmtId="167" fontId="40" fillId="12" borderId="0" xfId="2" applyNumberFormat="1" applyFont="1" applyAlignment="1">
      <alignment horizontal="center"/>
      <protection locked="0"/>
    </xf>
    <xf numFmtId="167" fontId="40" fillId="12" borderId="0" xfId="2" quotePrefix="1" applyNumberFormat="1" applyFont="1" applyAlignment="1">
      <alignment horizontal="center"/>
      <protection locked="0"/>
    </xf>
    <xf numFmtId="167" fontId="8" fillId="0" borderId="0" xfId="0" applyNumberFormat="1" applyFont="1" applyFill="1" applyAlignment="1">
      <alignment horizontal="center"/>
    </xf>
    <xf numFmtId="167" fontId="18" fillId="0" borderId="3" xfId="4" applyNumberFormat="1" applyFont="1" applyFill="1" applyAlignment="1">
      <alignment horizontal="center"/>
    </xf>
    <xf numFmtId="167" fontId="8" fillId="0" borderId="0" xfId="0" applyNumberFormat="1" applyFont="1" applyFill="1" applyBorder="1" applyAlignment="1">
      <alignment horizontal="center"/>
    </xf>
    <xf numFmtId="165" fontId="0" fillId="4" borderId="0" xfId="0" applyNumberFormat="1" applyFill="1" applyBorder="1" applyAlignment="1">
      <alignment horizontal="center"/>
    </xf>
    <xf numFmtId="165" fontId="0" fillId="4" borderId="9" xfId="0" applyNumberFormat="1" applyFill="1" applyBorder="1" applyAlignment="1">
      <alignment horizontal="center"/>
    </xf>
    <xf numFmtId="165" fontId="13" fillId="0" borderId="0" xfId="5" applyNumberFormat="1" applyAlignment="1" applyProtection="1">
      <alignment horizontal="center"/>
    </xf>
    <xf numFmtId="165" fontId="0" fillId="4" borderId="0" xfId="0" applyNumberFormat="1" applyFill="1" applyAlignment="1">
      <alignment horizontal="center"/>
    </xf>
    <xf numFmtId="14" fontId="30" fillId="14" borderId="0" xfId="0" applyNumberFormat="1" applyFont="1" applyFill="1" applyBorder="1" applyAlignment="1">
      <alignment horizontal="center" vertical="center"/>
    </xf>
    <xf numFmtId="3" fontId="5" fillId="0" borderId="0" xfId="0" applyNumberFormat="1" applyFont="1" applyAlignment="1">
      <alignment horizontal="center"/>
    </xf>
    <xf numFmtId="3" fontId="34" fillId="0" borderId="3" xfId="4" applyNumberFormat="1" applyFont="1" applyAlignment="1">
      <alignment horizontal="center"/>
    </xf>
    <xf numFmtId="3" fontId="5" fillId="4" borderId="0" xfId="0" applyNumberFormat="1" applyFont="1" applyFill="1" applyAlignment="1">
      <alignment horizontal="center"/>
    </xf>
    <xf numFmtId="3" fontId="5" fillId="4" borderId="9" xfId="0" applyNumberFormat="1" applyFont="1" applyFill="1" applyBorder="1" applyAlignment="1">
      <alignment horizontal="center"/>
    </xf>
    <xf numFmtId="3" fontId="5" fillId="0" borderId="0" xfId="0" applyNumberFormat="1" applyFont="1" applyBorder="1" applyAlignment="1">
      <alignment horizontal="center"/>
    </xf>
    <xf numFmtId="14" fontId="35" fillId="14" borderId="0" xfId="0" applyNumberFormat="1" applyFont="1" applyFill="1" applyBorder="1" applyAlignment="1">
      <alignment vertical="center"/>
    </xf>
    <xf numFmtId="3" fontId="17" fillId="0" borderId="0" xfId="5" applyNumberFormat="1" applyFont="1" applyAlignment="1" applyProtection="1">
      <alignment horizontal="center"/>
    </xf>
    <xf numFmtId="3" fontId="5" fillId="0" borderId="0" xfId="0" applyNumberFormat="1" applyFont="1" applyFill="1" applyAlignment="1">
      <alignment horizontal="center"/>
    </xf>
    <xf numFmtId="165" fontId="0" fillId="0" borderId="0" xfId="0" applyNumberFormat="1" applyFill="1" applyAlignment="1">
      <alignment horizontal="center"/>
    </xf>
    <xf numFmtId="167" fontId="5" fillId="0" borderId="0" xfId="0" quotePrefix="1" applyNumberFormat="1" applyFont="1" applyFill="1" applyAlignment="1">
      <alignment horizontal="center"/>
    </xf>
    <xf numFmtId="15" fontId="0" fillId="15" borderId="0" xfId="0" applyNumberFormat="1" applyFill="1" applyAlignment="1">
      <alignment horizontal="left"/>
    </xf>
    <xf numFmtId="3" fontId="5" fillId="15" borderId="0" xfId="0" applyNumberFormat="1" applyFont="1" applyFill="1" applyAlignment="1">
      <alignment horizontal="center"/>
    </xf>
    <xf numFmtId="0" fontId="0" fillId="15" borderId="0" xfId="0" applyFill="1" applyAlignment="1">
      <alignment horizontal="left"/>
    </xf>
    <xf numFmtId="167" fontId="5" fillId="0" borderId="0" xfId="0" applyNumberFormat="1" applyFont="1" applyBorder="1" applyAlignment="1">
      <alignment horizontal="center"/>
    </xf>
    <xf numFmtId="3" fontId="5" fillId="4" borderId="0" xfId="0" applyNumberFormat="1" applyFont="1" applyFill="1" applyAlignment="1">
      <alignment horizontal="right"/>
    </xf>
    <xf numFmtId="167" fontId="5" fillId="4" borderId="0" xfId="0" applyNumberFormat="1" applyFont="1" applyFill="1" applyBorder="1" applyAlignment="1">
      <alignment horizontal="right"/>
    </xf>
    <xf numFmtId="3" fontId="19" fillId="12" borderId="0" xfId="2" applyNumberFormat="1" applyAlignment="1">
      <alignment horizontal="right"/>
      <protection locked="0"/>
    </xf>
    <xf numFmtId="0" fontId="0" fillId="0" borderId="0" xfId="0" quotePrefix="1"/>
    <xf numFmtId="167" fontId="0" fillId="4" borderId="0" xfId="0" applyNumberFormat="1" applyFill="1"/>
    <xf numFmtId="167" fontId="15" fillId="4" borderId="3" xfId="4" applyNumberFormat="1" applyFill="1"/>
    <xf numFmtId="172" fontId="15" fillId="0" borderId="3" xfId="4" applyNumberFormat="1" applyAlignment="1">
      <alignment horizontal="center"/>
    </xf>
    <xf numFmtId="0" fontId="0" fillId="4" borderId="0" xfId="0" applyFill="1" applyAlignment="1"/>
    <xf numFmtId="0" fontId="15" fillId="4" borderId="3" xfId="4" applyFill="1" applyAlignment="1"/>
    <xf numFmtId="167" fontId="0" fillId="4" borderId="0" xfId="0" applyNumberFormat="1" applyFill="1" applyAlignment="1"/>
    <xf numFmtId="3" fontId="7" fillId="0" borderId="0" xfId="0" applyNumberFormat="1" applyFont="1" applyFill="1" applyBorder="1" applyAlignment="1">
      <alignment horizontal="right"/>
    </xf>
    <xf numFmtId="167" fontId="0" fillId="0" borderId="0" xfId="0" quotePrefix="1" applyNumberFormat="1"/>
    <xf numFmtId="167" fontId="0" fillId="3" borderId="0" xfId="0" applyNumberFormat="1" applyFill="1"/>
    <xf numFmtId="172" fontId="0" fillId="3" borderId="0" xfId="0" applyNumberFormat="1" applyFill="1" applyAlignment="1">
      <alignment horizontal="center"/>
    </xf>
    <xf numFmtId="15" fontId="0" fillId="0" borderId="0" xfId="0" applyNumberFormat="1" applyAlignment="1">
      <alignment horizontal="right"/>
    </xf>
    <xf numFmtId="15" fontId="15" fillId="0" borderId="3" xfId="4" applyNumberFormat="1" applyAlignment="1">
      <alignment horizontal="right"/>
    </xf>
    <xf numFmtId="15" fontId="0" fillId="3" borderId="0" xfId="0" applyNumberFormat="1" applyFill="1" applyAlignment="1">
      <alignment horizontal="right"/>
    </xf>
    <xf numFmtId="0" fontId="0" fillId="3" borderId="0" xfId="0" applyFill="1" applyAlignment="1"/>
    <xf numFmtId="166" fontId="0" fillId="3" borderId="0" xfId="0" applyNumberFormat="1" applyFill="1" applyAlignment="1">
      <alignment horizontal="right"/>
    </xf>
    <xf numFmtId="0" fontId="34" fillId="3" borderId="3" xfId="4" applyFont="1" applyFill="1" applyAlignment="1"/>
    <xf numFmtId="0" fontId="18" fillId="3" borderId="0" xfId="5" applyFont="1" applyFill="1" applyBorder="1" applyAlignment="1"/>
    <xf numFmtId="0" fontId="8" fillId="3" borderId="9" xfId="0" applyFont="1" applyFill="1" applyBorder="1" applyAlignment="1"/>
    <xf numFmtId="0" fontId="8" fillId="3" borderId="0" xfId="0" applyFont="1" applyFill="1"/>
    <xf numFmtId="0" fontId="8" fillId="3" borderId="0" xfId="0" applyFont="1" applyFill="1" applyAlignment="1">
      <alignment horizontal="left"/>
    </xf>
    <xf numFmtId="15" fontId="21" fillId="0" borderId="0" xfId="0" applyNumberFormat="1" applyFont="1" applyAlignment="1">
      <alignment horizontal="left"/>
    </xf>
    <xf numFmtId="0" fontId="4" fillId="0" borderId="0" xfId="0" applyFont="1" applyFill="1" applyAlignment="1">
      <alignment horizontal="left"/>
    </xf>
    <xf numFmtId="0" fontId="0" fillId="16" borderId="0" xfId="0" applyFill="1"/>
    <xf numFmtId="0" fontId="0" fillId="16" borderId="0" xfId="0" applyFill="1" applyAlignment="1">
      <alignment horizontal="center"/>
    </xf>
    <xf numFmtId="167" fontId="0" fillId="4" borderId="0" xfId="0" applyNumberFormat="1" applyFill="1" applyAlignment="1">
      <alignment horizontal="center"/>
    </xf>
    <xf numFmtId="0" fontId="4" fillId="0" borderId="0" xfId="0" applyFont="1" applyAlignment="1">
      <alignment horizontal="right"/>
    </xf>
    <xf numFmtId="171" fontId="19" fillId="12" borderId="0" xfId="2" applyNumberFormat="1" applyAlignment="1">
      <alignment horizontal="center"/>
      <protection locked="0"/>
    </xf>
    <xf numFmtId="167" fontId="0" fillId="4" borderId="9" xfId="0" applyNumberFormat="1" applyFill="1" applyBorder="1" applyAlignment="1">
      <alignment horizontal="center"/>
    </xf>
    <xf numFmtId="167" fontId="0" fillId="0" borderId="0" xfId="0" applyNumberFormat="1" applyFill="1" applyBorder="1" applyAlignment="1">
      <alignment horizontal="center"/>
    </xf>
    <xf numFmtId="167" fontId="13" fillId="0" borderId="0" xfId="5" applyNumberFormat="1" applyAlignment="1" applyProtection="1">
      <alignment horizontal="center"/>
    </xf>
    <xf numFmtId="167" fontId="0" fillId="0" borderId="0" xfId="0" quotePrefix="1" applyNumberFormat="1" applyFill="1" applyAlignment="1">
      <alignment horizontal="center"/>
    </xf>
    <xf numFmtId="0" fontId="0" fillId="0" borderId="0" xfId="0" applyBorder="1" applyAlignment="1">
      <alignment horizontal="center"/>
    </xf>
    <xf numFmtId="0" fontId="0" fillId="0" borderId="31" xfId="0" applyBorder="1" applyAlignment="1">
      <alignment horizontal="center"/>
    </xf>
    <xf numFmtId="0" fontId="5" fillId="0" borderId="0" xfId="0" applyFont="1" applyAlignment="1">
      <alignment horizontal="center"/>
    </xf>
    <xf numFmtId="1" fontId="19" fillId="11" borderId="26" xfId="2" applyNumberFormat="1" applyFill="1" applyBorder="1" applyAlignment="1">
      <alignment horizontal="left"/>
      <protection locked="0"/>
    </xf>
    <xf numFmtId="4" fontId="8" fillId="3" borderId="0" xfId="0" applyNumberFormat="1" applyFont="1" applyFill="1" applyBorder="1" applyAlignment="1">
      <alignment horizontal="left"/>
    </xf>
    <xf numFmtId="4" fontId="8" fillId="3" borderId="39" xfId="0" applyNumberFormat="1" applyFont="1" applyFill="1" applyBorder="1" applyAlignment="1">
      <alignment horizontal="left"/>
    </xf>
    <xf numFmtId="4" fontId="8" fillId="3" borderId="40" xfId="0" applyNumberFormat="1" applyFont="1" applyFill="1" applyBorder="1" applyAlignment="1">
      <alignment horizontal="left"/>
    </xf>
    <xf numFmtId="4" fontId="8" fillId="3" borderId="42" xfId="0" applyNumberFormat="1" applyFont="1" applyFill="1" applyBorder="1" applyAlignment="1">
      <alignment horizontal="left"/>
    </xf>
    <xf numFmtId="4" fontId="8" fillId="3" borderId="41" xfId="0" applyNumberFormat="1" applyFont="1" applyFill="1" applyBorder="1" applyAlignment="1">
      <alignment horizontal="left"/>
    </xf>
    <xf numFmtId="4" fontId="8" fillId="3" borderId="43" xfId="0" applyNumberFormat="1" applyFont="1" applyFill="1" applyBorder="1" applyAlignment="1">
      <alignment horizontal="left"/>
    </xf>
    <xf numFmtId="4" fontId="8" fillId="3" borderId="44" xfId="0" applyNumberFormat="1" applyFont="1" applyFill="1" applyBorder="1" applyAlignment="1">
      <alignment horizontal="left"/>
    </xf>
    <xf numFmtId="4" fontId="34" fillId="3" borderId="3" xfId="4" applyNumberFormat="1" applyFont="1" applyFill="1" applyAlignment="1">
      <alignment horizontal="left"/>
    </xf>
    <xf numFmtId="4" fontId="9" fillId="5" borderId="41" xfId="6" applyNumberFormat="1" applyFont="1" applyFill="1" applyBorder="1" applyAlignment="1">
      <alignment horizontal="left"/>
      <protection locked="0"/>
    </xf>
    <xf numFmtId="4" fontId="9" fillId="5" borderId="0" xfId="6" applyNumberFormat="1" applyFont="1" applyFill="1" applyBorder="1" applyAlignment="1">
      <alignment horizontal="left"/>
      <protection locked="0"/>
    </xf>
    <xf numFmtId="0" fontId="0" fillId="0" borderId="0" xfId="0" applyNumberFormat="1" applyFill="1" applyBorder="1" applyAlignment="1">
      <alignment horizontal="right"/>
    </xf>
    <xf numFmtId="38" fontId="0" fillId="0" borderId="0" xfId="0" applyNumberFormat="1" applyFill="1" applyAlignment="1">
      <alignment horizontal="left"/>
    </xf>
    <xf numFmtId="38" fontId="0" fillId="0" borderId="9" xfId="0" applyNumberFormat="1" applyFill="1" applyBorder="1" applyAlignment="1">
      <alignment horizontal="left"/>
    </xf>
    <xf numFmtId="38" fontId="0" fillId="0" borderId="0" xfId="0" applyNumberFormat="1" applyFill="1" applyBorder="1" applyAlignment="1">
      <alignment horizontal="left"/>
    </xf>
    <xf numFmtId="0" fontId="15" fillId="0" borderId="3" xfId="4" applyAlignment="1">
      <alignment horizontal="left"/>
    </xf>
    <xf numFmtId="0" fontId="0" fillId="3" borderId="0" xfId="0" applyFill="1" applyBorder="1" applyAlignment="1">
      <alignment horizontal="left"/>
    </xf>
    <xf numFmtId="15" fontId="0" fillId="3" borderId="0" xfId="0" applyNumberFormat="1" applyFill="1" applyBorder="1" applyAlignment="1">
      <alignment horizontal="left"/>
    </xf>
    <xf numFmtId="0" fontId="19" fillId="12" borderId="0" xfId="2" applyAlignment="1">
      <alignment horizontal="center"/>
      <protection locked="0"/>
    </xf>
    <xf numFmtId="166" fontId="0" fillId="0" borderId="0" xfId="0" applyNumberFormat="1" applyFont="1" applyAlignment="1">
      <alignment horizontal="center"/>
    </xf>
    <xf numFmtId="17" fontId="6" fillId="0" borderId="0" xfId="0" applyNumberFormat="1" applyFont="1" applyAlignment="1">
      <alignment horizontal="center"/>
    </xf>
    <xf numFmtId="0" fontId="46" fillId="0" borderId="3" xfId="4" applyFont="1"/>
    <xf numFmtId="0" fontId="5" fillId="5" borderId="0" xfId="0" applyFont="1" applyFill="1" applyAlignment="1">
      <alignment horizontal="center"/>
    </xf>
    <xf numFmtId="0" fontId="11" fillId="8" borderId="0" xfId="0" applyFont="1" applyFill="1" applyBorder="1"/>
    <xf numFmtId="0" fontId="5" fillId="0" borderId="0" xfId="0" applyFont="1"/>
    <xf numFmtId="4" fontId="13" fillId="0" borderId="0" xfId="5" applyNumberFormat="1" applyAlignment="1">
      <alignment horizontal="center"/>
    </xf>
    <xf numFmtId="0" fontId="7" fillId="5" borderId="0" xfId="0" applyFont="1" applyFill="1" applyBorder="1"/>
    <xf numFmtId="0" fontId="7" fillId="3" borderId="0" xfId="0" applyFont="1" applyFill="1" applyBorder="1"/>
    <xf numFmtId="0" fontId="13" fillId="3" borderId="0" xfId="5" quotePrefix="1" applyFill="1" applyBorder="1"/>
    <xf numFmtId="0" fontId="17" fillId="5" borderId="0" xfId="5" applyFont="1" applyFill="1" applyBorder="1"/>
    <xf numFmtId="0" fontId="8" fillId="0" borderId="0" xfId="0" applyFont="1" applyBorder="1"/>
    <xf numFmtId="0" fontId="33" fillId="0" borderId="3" xfId="4" applyFont="1"/>
    <xf numFmtId="0" fontId="18" fillId="0" borderId="0" xfId="5" applyFont="1" applyBorder="1"/>
    <xf numFmtId="0" fontId="18" fillId="3" borderId="3" xfId="4" applyFont="1" applyFill="1"/>
    <xf numFmtId="0" fontId="33" fillId="3" borderId="3" xfId="4" applyFont="1" applyFill="1"/>
    <xf numFmtId="0" fontId="16" fillId="3" borderId="0" xfId="5" applyFont="1" applyFill="1" applyBorder="1"/>
    <xf numFmtId="4" fontId="7" fillId="3" borderId="0" xfId="0" applyNumberFormat="1" applyFont="1" applyFill="1" applyBorder="1" applyAlignment="1">
      <alignment horizontal="center"/>
    </xf>
    <xf numFmtId="0" fontId="33" fillId="3" borderId="3" xfId="4" applyFont="1" applyFill="1" applyAlignment="1">
      <alignment horizontal="center"/>
    </xf>
    <xf numFmtId="4" fontId="33" fillId="3" borderId="3" xfId="4" applyNumberFormat="1" applyFont="1" applyFill="1" applyAlignment="1">
      <alignment horizontal="center"/>
    </xf>
    <xf numFmtId="4" fontId="16" fillId="3" borderId="0" xfId="5" applyNumberFormat="1" applyFont="1" applyFill="1" applyBorder="1" applyAlignment="1">
      <alignment horizontal="center"/>
    </xf>
    <xf numFmtId="0" fontId="8" fillId="3" borderId="0" xfId="0" applyFont="1" applyFill="1" applyBorder="1" applyAlignment="1">
      <alignment horizontal="center"/>
    </xf>
    <xf numFmtId="4" fontId="8" fillId="3" borderId="0" xfId="0" applyNumberFormat="1" applyFont="1" applyFill="1" applyBorder="1" applyAlignment="1">
      <alignment horizontal="center"/>
    </xf>
    <xf numFmtId="165" fontId="7" fillId="3" borderId="0" xfId="0" applyNumberFormat="1" applyFont="1" applyFill="1" applyBorder="1" applyAlignment="1">
      <alignment horizontal="center"/>
    </xf>
    <xf numFmtId="165" fontId="8" fillId="0" borderId="0" xfId="0" applyNumberFormat="1" applyFont="1" applyBorder="1" applyAlignment="1">
      <alignment horizontal="center"/>
    </xf>
    <xf numFmtId="4" fontId="7" fillId="0" borderId="0" xfId="6" applyNumberFormat="1" applyFont="1" applyBorder="1" applyAlignment="1">
      <alignment horizontal="center"/>
      <protection locked="0"/>
    </xf>
    <xf numFmtId="0" fontId="13" fillId="3" borderId="0" xfId="5" applyFill="1" applyBorder="1" applyAlignment="1">
      <alignment horizontal="center"/>
    </xf>
    <xf numFmtId="4" fontId="13" fillId="3" borderId="0" xfId="5" applyNumberFormat="1" applyFill="1" applyBorder="1" applyAlignment="1">
      <alignment horizontal="center"/>
    </xf>
    <xf numFmtId="15" fontId="9" fillId="5" borderId="0" xfId="6" applyNumberFormat="1" applyFont="1" applyFill="1" applyAlignment="1">
      <protection locked="0"/>
    </xf>
    <xf numFmtId="15" fontId="7" fillId="3" borderId="0" xfId="0" applyNumberFormat="1" applyFont="1" applyFill="1" applyBorder="1" applyAlignment="1">
      <alignment horizontal="center"/>
    </xf>
    <xf numFmtId="15" fontId="33" fillId="3" borderId="3" xfId="4" applyNumberFormat="1" applyFont="1" applyFill="1" applyAlignment="1">
      <alignment horizontal="center"/>
    </xf>
    <xf numFmtId="15" fontId="16" fillId="3" borderId="0" xfId="5" applyNumberFormat="1" applyFont="1" applyFill="1" applyBorder="1" applyAlignment="1">
      <alignment horizontal="center"/>
    </xf>
    <xf numFmtId="15" fontId="13" fillId="3" borderId="0" xfId="5" applyNumberFormat="1" applyFill="1" applyBorder="1" applyAlignment="1">
      <alignment horizontal="center"/>
    </xf>
    <xf numFmtId="15" fontId="8" fillId="3" borderId="0" xfId="0" applyNumberFormat="1" applyFont="1" applyFill="1" applyBorder="1" applyAlignment="1">
      <alignment horizontal="center"/>
    </xf>
    <xf numFmtId="165" fontId="5" fillId="3" borderId="0" xfId="0" applyNumberFormat="1" applyFont="1" applyFill="1" applyAlignment="1"/>
    <xf numFmtId="0" fontId="17" fillId="3" borderId="0" xfId="5" applyFont="1" applyFill="1" applyAlignment="1">
      <alignment horizontal="center"/>
    </xf>
    <xf numFmtId="4" fontId="38" fillId="0" borderId="0" xfId="5" applyNumberFormat="1" applyFont="1" applyAlignment="1">
      <alignment horizontal="right"/>
    </xf>
    <xf numFmtId="4" fontId="13" fillId="0" borderId="0" xfId="5" applyNumberFormat="1" applyAlignment="1"/>
    <xf numFmtId="0" fontId="38" fillId="0" borderId="0" xfId="5" applyFont="1" applyBorder="1" applyAlignment="1">
      <alignment horizontal="right"/>
    </xf>
    <xf numFmtId="0" fontId="13" fillId="0" borderId="0" xfId="5" applyFont="1" applyBorder="1"/>
    <xf numFmtId="0" fontId="13" fillId="3" borderId="0" xfId="5" applyFont="1" applyFill="1" applyBorder="1"/>
    <xf numFmtId="0" fontId="13" fillId="3" borderId="0" xfId="5" applyFont="1" applyFill="1" applyBorder="1" applyAlignment="1">
      <alignment horizontal="center"/>
    </xf>
    <xf numFmtId="4" fontId="13" fillId="3" borderId="0" xfId="5" applyNumberFormat="1" applyFont="1" applyFill="1" applyBorder="1" applyAlignment="1">
      <alignment horizontal="center"/>
    </xf>
    <xf numFmtId="15" fontId="13" fillId="3" borderId="0" xfId="5" applyNumberFormat="1" applyFont="1" applyFill="1" applyBorder="1" applyAlignment="1">
      <alignment horizontal="center"/>
    </xf>
    <xf numFmtId="0" fontId="13" fillId="0" borderId="0" xfId="5" applyFont="1" applyBorder="1" applyAlignment="1">
      <alignment horizontal="center"/>
    </xf>
    <xf numFmtId="4" fontId="13" fillId="0" borderId="0" xfId="5" applyNumberFormat="1" applyFont="1" applyBorder="1" applyAlignment="1">
      <alignment horizontal="center"/>
    </xf>
    <xf numFmtId="0" fontId="13" fillId="0" borderId="0" xfId="5" applyFont="1" applyBorder="1" applyAlignment="1">
      <alignment horizontal="right"/>
    </xf>
    <xf numFmtId="15" fontId="47" fillId="0" borderId="0" xfId="8" applyNumberFormat="1" applyAlignment="1" applyProtection="1">
      <alignment horizontal="left"/>
    </xf>
    <xf numFmtId="15" fontId="47" fillId="3" borderId="0" xfId="8" applyNumberFormat="1" applyFill="1" applyAlignment="1" applyProtection="1">
      <alignment horizontal="left"/>
    </xf>
    <xf numFmtId="15" fontId="47" fillId="0" borderId="0" xfId="8" applyNumberFormat="1" applyBorder="1" applyAlignment="1" applyProtection="1">
      <alignment horizontal="left"/>
    </xf>
    <xf numFmtId="15" fontId="47" fillId="3" borderId="0" xfId="8" applyNumberFormat="1" applyFill="1" applyBorder="1" applyAlignment="1" applyProtection="1">
      <alignment horizontal="left"/>
    </xf>
    <xf numFmtId="0" fontId="3" fillId="5" borderId="0" xfId="3" applyNumberFormat="1" applyFill="1" applyBorder="1" applyAlignment="1">
      <alignment horizontal="left"/>
    </xf>
    <xf numFmtId="0" fontId="3" fillId="5" borderId="0" xfId="3" applyNumberFormat="1" applyFill="1" applyAlignment="1"/>
    <xf numFmtId="0" fontId="5" fillId="5" borderId="0" xfId="0" applyFont="1" applyFill="1" applyAlignment="1">
      <alignment horizontal="left"/>
    </xf>
    <xf numFmtId="0" fontId="3" fillId="5" borderId="0" xfId="3" applyNumberFormat="1" applyFill="1" applyAlignment="1">
      <alignment horizontal="left"/>
    </xf>
    <xf numFmtId="164" fontId="9" fillId="3" borderId="0" xfId="6" applyNumberFormat="1" applyFont="1" applyFill="1" applyAlignment="1">
      <alignment horizontal="left"/>
      <protection locked="0"/>
    </xf>
    <xf numFmtId="165" fontId="5" fillId="5" borderId="0" xfId="0" applyNumberFormat="1" applyFont="1" applyFill="1" applyAlignment="1">
      <alignment horizontal="left"/>
    </xf>
    <xf numFmtId="0" fontId="5" fillId="5" borderId="0" xfId="0" applyFont="1" applyFill="1" applyBorder="1" applyAlignment="1">
      <alignment horizontal="left"/>
    </xf>
    <xf numFmtId="165" fontId="9" fillId="5" borderId="0" xfId="6" applyNumberFormat="1" applyFont="1" applyFill="1" applyAlignment="1">
      <protection locked="0"/>
    </xf>
    <xf numFmtId="0" fontId="6" fillId="3" borderId="0" xfId="0" applyFont="1" applyFill="1" applyAlignment="1">
      <alignment horizontal="right"/>
    </xf>
    <xf numFmtId="0" fontId="0" fillId="5" borderId="0" xfId="0" applyFill="1" applyAlignment="1">
      <alignment horizontal="left"/>
    </xf>
    <xf numFmtId="0" fontId="3" fillId="6" borderId="0" xfId="3" applyNumberFormat="1" applyFill="1" applyAlignment="1">
      <alignment horizontal="left"/>
    </xf>
    <xf numFmtId="0" fontId="13" fillId="3" borderId="0" xfId="5" applyFill="1" applyAlignment="1">
      <alignment horizontal="left"/>
    </xf>
    <xf numFmtId="0" fontId="0" fillId="6" borderId="0" xfId="0" applyFont="1" applyFill="1"/>
    <xf numFmtId="0" fontId="0" fillId="0" borderId="0" xfId="0" applyFont="1"/>
    <xf numFmtId="15" fontId="0" fillId="0" borderId="0" xfId="0" applyNumberFormat="1" applyFont="1" applyAlignment="1">
      <alignment horizontal="left"/>
    </xf>
    <xf numFmtId="167" fontId="0" fillId="0" borderId="0" xfId="0" applyNumberFormat="1" applyFont="1" applyAlignment="1">
      <alignment horizontal="right"/>
    </xf>
    <xf numFmtId="167" fontId="0" fillId="0" borderId="0" xfId="0" applyNumberFormat="1" applyFont="1"/>
    <xf numFmtId="15" fontId="0" fillId="0" borderId="0" xfId="0" applyNumberFormat="1" applyFont="1"/>
    <xf numFmtId="0" fontId="48" fillId="0" borderId="3" xfId="4" applyFont="1"/>
    <xf numFmtId="166" fontId="48" fillId="0" borderId="3" xfId="4" applyNumberFormat="1" applyFont="1" applyAlignment="1">
      <alignment horizontal="center"/>
    </xf>
    <xf numFmtId="15" fontId="48" fillId="0" borderId="3" xfId="4" applyNumberFormat="1" applyFont="1" applyAlignment="1">
      <alignment horizontal="left"/>
    </xf>
    <xf numFmtId="167" fontId="48" fillId="0" borderId="3" xfId="4" applyNumberFormat="1" applyFont="1" applyAlignment="1">
      <alignment horizontal="right"/>
    </xf>
    <xf numFmtId="15" fontId="48" fillId="0" borderId="3" xfId="4" applyNumberFormat="1" applyFont="1" applyAlignment="1">
      <alignment horizontal="right"/>
    </xf>
    <xf numFmtId="15" fontId="0" fillId="3" borderId="0" xfId="0" quotePrefix="1" applyNumberFormat="1" applyFont="1" applyFill="1" applyAlignment="1">
      <alignment horizontal="left"/>
    </xf>
    <xf numFmtId="167" fontId="0" fillId="3" borderId="0" xfId="0" quotePrefix="1" applyNumberFormat="1" applyFont="1" applyFill="1" applyAlignment="1">
      <alignment horizontal="right"/>
    </xf>
    <xf numFmtId="167" fontId="0" fillId="3" borderId="0" xfId="0" applyNumberFormat="1" applyFont="1" applyFill="1" applyAlignment="1">
      <alignment horizontal="right"/>
    </xf>
    <xf numFmtId="167" fontId="0" fillId="5" borderId="0" xfId="0" applyNumberFormat="1" applyFont="1" applyFill="1" applyAlignment="1">
      <alignment horizontal="left"/>
    </xf>
    <xf numFmtId="167" fontId="0" fillId="5" borderId="0" xfId="0" applyNumberFormat="1" applyFont="1" applyFill="1" applyAlignment="1">
      <alignment horizontal="right"/>
    </xf>
    <xf numFmtId="167" fontId="0" fillId="3" borderId="0" xfId="0" applyNumberFormat="1" applyFont="1" applyFill="1"/>
    <xf numFmtId="167" fontId="0" fillId="5" borderId="0" xfId="0" applyNumberFormat="1" applyFont="1" applyFill="1"/>
    <xf numFmtId="15" fontId="0" fillId="3" borderId="0" xfId="0" applyNumberFormat="1" applyFont="1" applyFill="1" applyAlignment="1">
      <alignment horizontal="left"/>
    </xf>
    <xf numFmtId="0" fontId="4" fillId="6" borderId="0" xfId="0" applyFont="1" applyFill="1" applyAlignment="1">
      <alignment horizontal="right"/>
    </xf>
    <xf numFmtId="15" fontId="4" fillId="0" borderId="0" xfId="0" applyNumberFormat="1" applyFont="1" applyAlignment="1">
      <alignment horizontal="left"/>
    </xf>
    <xf numFmtId="15" fontId="4" fillId="0" borderId="0" xfId="0" applyNumberFormat="1" applyFont="1" applyAlignment="1">
      <alignment horizontal="right"/>
    </xf>
    <xf numFmtId="167" fontId="4" fillId="0" borderId="0" xfId="0" applyNumberFormat="1" applyFont="1" applyAlignment="1">
      <alignment horizontal="right"/>
    </xf>
    <xf numFmtId="15" fontId="3" fillId="3" borderId="0" xfId="6" applyNumberFormat="1" applyFont="1" applyFill="1" applyAlignment="1">
      <alignment horizontal="left"/>
      <protection locked="0"/>
    </xf>
    <xf numFmtId="166" fontId="3" fillId="3" borderId="0" xfId="6" applyNumberFormat="1" applyFont="1" applyFill="1" applyAlignment="1">
      <alignment horizontal="center"/>
      <protection locked="0"/>
    </xf>
    <xf numFmtId="15" fontId="0" fillId="5" borderId="0" xfId="0" applyNumberFormat="1" applyFont="1" applyFill="1" applyAlignment="1">
      <alignment horizontal="left"/>
    </xf>
    <xf numFmtId="167" fontId="3" fillId="5" borderId="0" xfId="6" applyNumberFormat="1" applyFont="1" applyFill="1" applyAlignment="1">
      <alignment horizontal="right"/>
      <protection locked="0"/>
    </xf>
    <xf numFmtId="167" fontId="3" fillId="3" borderId="0" xfId="6" applyNumberFormat="1" applyFont="1" applyFill="1" applyAlignment="1">
      <alignment horizontal="right"/>
      <protection locked="0"/>
    </xf>
    <xf numFmtId="0" fontId="9" fillId="5" borderId="0" xfId="3" applyNumberFormat="1" applyFont="1" applyFill="1" applyAlignment="1"/>
    <xf numFmtId="174" fontId="5" fillId="0" borderId="0" xfId="0" applyNumberFormat="1" applyFont="1"/>
    <xf numFmtId="174" fontId="34" fillId="0" borderId="3" xfId="4" applyNumberFormat="1" applyFont="1"/>
    <xf numFmtId="174" fontId="5" fillId="0" borderId="0" xfId="0" applyNumberFormat="1" applyFont="1" applyFill="1"/>
    <xf numFmtId="174" fontId="5" fillId="0" borderId="0" xfId="0" applyNumberFormat="1" applyFont="1" applyFill="1" applyBorder="1"/>
    <xf numFmtId="174" fontId="5" fillId="0" borderId="31" xfId="0" applyNumberFormat="1" applyFont="1" applyFill="1" applyBorder="1"/>
    <xf numFmtId="174" fontId="5" fillId="11" borderId="26" xfId="0" applyNumberFormat="1" applyFont="1" applyFill="1" applyBorder="1" applyAlignment="1">
      <alignment horizontal="right"/>
    </xf>
    <xf numFmtId="174" fontId="5" fillId="11" borderId="29" xfId="0" applyNumberFormat="1" applyFont="1" applyFill="1" applyBorder="1" applyAlignment="1">
      <alignment horizontal="right"/>
    </xf>
    <xf numFmtId="174" fontId="17" fillId="0" borderId="0" xfId="5" applyNumberFormat="1" applyFont="1"/>
    <xf numFmtId="167" fontId="5" fillId="11" borderId="26" xfId="0" applyNumberFormat="1" applyFont="1" applyFill="1" applyBorder="1" applyAlignment="1">
      <alignment horizontal="right"/>
    </xf>
    <xf numFmtId="167" fontId="5" fillId="11" borderId="29" xfId="0" applyNumberFormat="1" applyFont="1" applyFill="1" applyBorder="1" applyAlignment="1">
      <alignment horizontal="right"/>
    </xf>
    <xf numFmtId="167" fontId="18" fillId="6" borderId="0" xfId="5" applyNumberFormat="1" applyFont="1" applyFill="1" applyAlignment="1">
      <alignment horizontal="center"/>
    </xf>
    <xf numFmtId="167" fontId="18" fillId="6" borderId="9" xfId="5" applyNumberFormat="1" applyFont="1" applyFill="1" applyBorder="1" applyAlignment="1">
      <alignment horizontal="center"/>
    </xf>
    <xf numFmtId="167" fontId="5" fillId="6" borderId="0" xfId="0" applyNumberFormat="1" applyFont="1" applyFill="1" applyAlignment="1">
      <alignment horizontal="center"/>
    </xf>
    <xf numFmtId="174" fontId="18" fillId="17" borderId="0" xfId="5" applyNumberFormat="1" applyFont="1" applyFill="1" applyAlignment="1">
      <alignment horizontal="center"/>
    </xf>
    <xf numFmtId="174" fontId="18" fillId="17" borderId="9" xfId="5" applyNumberFormat="1" applyFont="1" applyFill="1" applyBorder="1" applyAlignment="1">
      <alignment horizontal="center"/>
    </xf>
    <xf numFmtId="174" fontId="5" fillId="17" borderId="0" xfId="0" applyNumberFormat="1" applyFont="1" applyFill="1" applyAlignment="1">
      <alignment horizontal="center"/>
    </xf>
    <xf numFmtId="165" fontId="18" fillId="18" borderId="0" xfId="5" applyNumberFormat="1" applyFont="1" applyFill="1" applyAlignment="1">
      <alignment horizontal="left"/>
    </xf>
    <xf numFmtId="165" fontId="18" fillId="18" borderId="0" xfId="5" applyNumberFormat="1" applyFont="1" applyFill="1" applyAlignment="1">
      <alignment horizontal="center"/>
    </xf>
    <xf numFmtId="165" fontId="18" fillId="18" borderId="9" xfId="5" applyNumberFormat="1" applyFont="1" applyFill="1" applyBorder="1" applyAlignment="1">
      <alignment horizontal="center"/>
    </xf>
    <xf numFmtId="165" fontId="5" fillId="18" borderId="0" xfId="0" applyNumberFormat="1" applyFont="1" applyFill="1" applyAlignment="1">
      <alignment horizontal="center"/>
    </xf>
    <xf numFmtId="167" fontId="18" fillId="6" borderId="0" xfId="5" applyNumberFormat="1" applyFont="1" applyFill="1" applyAlignment="1">
      <alignment horizontal="left"/>
    </xf>
    <xf numFmtId="174" fontId="18" fillId="19" borderId="0" xfId="5" applyNumberFormat="1" applyFont="1" applyFill="1" applyAlignment="1">
      <alignment horizontal="center"/>
    </xf>
    <xf numFmtId="174" fontId="18" fillId="19" borderId="9" xfId="5" applyNumberFormat="1" applyFont="1" applyFill="1" applyBorder="1" applyAlignment="1">
      <alignment horizontal="center"/>
    </xf>
    <xf numFmtId="174" fontId="5" fillId="19" borderId="0" xfId="0" applyNumberFormat="1" applyFont="1" applyFill="1" applyAlignment="1">
      <alignment horizontal="center"/>
    </xf>
    <xf numFmtId="174" fontId="18" fillId="17" borderId="0" xfId="5" applyNumberFormat="1" applyFont="1" applyFill="1" applyAlignment="1">
      <alignment horizontal="left"/>
    </xf>
    <xf numFmtId="174" fontId="36" fillId="17" borderId="0" xfId="5" applyNumberFormat="1" applyFont="1" applyFill="1" applyAlignment="1" applyProtection="1">
      <alignment horizontal="center"/>
    </xf>
    <xf numFmtId="174" fontId="36" fillId="6" borderId="0" xfId="5" applyNumberFormat="1" applyFont="1" applyFill="1" applyAlignment="1" applyProtection="1"/>
    <xf numFmtId="167" fontId="36" fillId="6" borderId="0" xfId="5" quotePrefix="1" applyNumberFormat="1" applyFont="1" applyFill="1" applyAlignment="1" applyProtection="1">
      <alignment horizontal="center"/>
    </xf>
    <xf numFmtId="167" fontId="36" fillId="6" borderId="0" xfId="5" applyNumberFormat="1" applyFont="1" applyFill="1" applyAlignment="1" applyProtection="1">
      <alignment horizontal="center"/>
    </xf>
    <xf numFmtId="174" fontId="36" fillId="17" borderId="0" xfId="5" applyNumberFormat="1" applyFont="1" applyFill="1" applyAlignment="1" applyProtection="1"/>
    <xf numFmtId="174" fontId="36" fillId="17" borderId="0" xfId="5" quotePrefix="1" applyNumberFormat="1" applyFont="1" applyFill="1" applyAlignment="1" applyProtection="1"/>
    <xf numFmtId="174" fontId="36" fillId="18" borderId="0" xfId="5" applyNumberFormat="1" applyFont="1" applyFill="1" applyAlignment="1" applyProtection="1"/>
    <xf numFmtId="167" fontId="36" fillId="18" borderId="0" xfId="5" quotePrefix="1" applyNumberFormat="1" applyFont="1" applyFill="1" applyAlignment="1" applyProtection="1"/>
    <xf numFmtId="167" fontId="36" fillId="18" borderId="0" xfId="5" applyNumberFormat="1" applyFont="1" applyFill="1" applyAlignment="1" applyProtection="1">
      <alignment horizontal="center"/>
    </xf>
    <xf numFmtId="167" fontId="5" fillId="18" borderId="0" xfId="0" applyNumberFormat="1" applyFont="1" applyFill="1" applyAlignment="1">
      <alignment horizontal="center"/>
    </xf>
    <xf numFmtId="167" fontId="18" fillId="9" borderId="0" xfId="5" applyNumberFormat="1" applyFont="1" applyFill="1" applyAlignment="1" applyProtection="1"/>
    <xf numFmtId="167" fontId="18" fillId="9" borderId="0" xfId="5" quotePrefix="1" applyNumberFormat="1" applyFont="1" applyFill="1" applyAlignment="1" applyProtection="1"/>
    <xf numFmtId="167" fontId="18" fillId="9" borderId="0" xfId="5" applyNumberFormat="1" applyFont="1" applyFill="1" applyAlignment="1" applyProtection="1">
      <alignment horizontal="center"/>
    </xf>
    <xf numFmtId="167" fontId="8" fillId="9" borderId="0" xfId="0" applyNumberFormat="1" applyFont="1" applyFill="1" applyAlignment="1">
      <alignment horizontal="center"/>
    </xf>
    <xf numFmtId="174" fontId="36" fillId="19" borderId="0" xfId="5" applyNumberFormat="1" applyFont="1" applyFill="1" applyAlignment="1" applyProtection="1">
      <alignment horizontal="center"/>
    </xf>
    <xf numFmtId="167" fontId="5" fillId="0" borderId="31" xfId="0" applyNumberFormat="1" applyFont="1" applyBorder="1" applyAlignment="1">
      <alignment horizontal="center"/>
    </xf>
    <xf numFmtId="167" fontId="40" fillId="5" borderId="20" xfId="2" applyNumberFormat="1" applyFont="1" applyFill="1" applyBorder="1" applyAlignment="1">
      <alignment horizontal="left"/>
      <protection locked="0"/>
    </xf>
    <xf numFmtId="167" fontId="40" fillId="5" borderId="23" xfId="2" applyNumberFormat="1" applyFont="1" applyFill="1" applyBorder="1" applyAlignment="1">
      <protection locked="0"/>
    </xf>
    <xf numFmtId="167" fontId="17" fillId="0" borderId="0" xfId="5" applyNumberFormat="1" applyFont="1" applyAlignment="1">
      <alignment horizontal="left"/>
    </xf>
    <xf numFmtId="165" fontId="18" fillId="10" borderId="0" xfId="5" applyNumberFormat="1" applyFont="1" applyFill="1" applyAlignment="1">
      <alignment horizontal="center"/>
    </xf>
    <xf numFmtId="165" fontId="18" fillId="10" borderId="0" xfId="5" applyNumberFormat="1" applyFont="1" applyFill="1" applyAlignment="1">
      <alignment horizontal="right"/>
    </xf>
    <xf numFmtId="167" fontId="18" fillId="10" borderId="0" xfId="5" applyNumberFormat="1" applyFont="1" applyFill="1" applyAlignment="1" applyProtection="1">
      <alignment horizontal="right"/>
    </xf>
    <xf numFmtId="167" fontId="18" fillId="10" borderId="0" xfId="5" quotePrefix="1" applyNumberFormat="1" applyFont="1" applyFill="1" applyAlignment="1" applyProtection="1"/>
    <xf numFmtId="0" fontId="34" fillId="3" borderId="3" xfId="4" applyFont="1" applyFill="1" applyAlignment="1">
      <alignment horizontal="left"/>
    </xf>
    <xf numFmtId="164" fontId="34" fillId="3" borderId="3" xfId="4" applyNumberFormat="1" applyFont="1" applyFill="1" applyAlignment="1">
      <alignment horizontal="left"/>
    </xf>
    <xf numFmtId="164" fontId="34" fillId="3" borderId="3" xfId="4" applyNumberFormat="1" applyFont="1" applyFill="1"/>
    <xf numFmtId="0" fontId="9" fillId="5" borderId="0" xfId="3" applyNumberFormat="1" applyFont="1" applyFill="1" applyAlignment="1">
      <alignment horizontal="left"/>
    </xf>
    <xf numFmtId="0" fontId="49" fillId="0" borderId="3" xfId="4" applyFont="1"/>
    <xf numFmtId="15" fontId="5" fillId="3" borderId="0" xfId="0" applyNumberFormat="1" applyFont="1" applyFill="1"/>
    <xf numFmtId="0" fontId="19" fillId="12" borderId="0" xfId="2" applyAlignment="1">
      <alignment horizontal="left"/>
      <protection locked="0"/>
    </xf>
    <xf numFmtId="166" fontId="5" fillId="4" borderId="0" xfId="0" applyNumberFormat="1" applyFont="1" applyFill="1" applyAlignment="1">
      <alignment horizontal="left"/>
    </xf>
    <xf numFmtId="165" fontId="5" fillId="4" borderId="0" xfId="0" applyNumberFormat="1" applyFont="1" applyFill="1" applyAlignment="1">
      <alignment horizontal="left"/>
    </xf>
    <xf numFmtId="0" fontId="5" fillId="4" borderId="0" xfId="0" applyFont="1" applyFill="1" applyBorder="1" applyAlignment="1">
      <alignment horizontal="center"/>
    </xf>
    <xf numFmtId="15" fontId="5" fillId="4" borderId="0" xfId="0" applyNumberFormat="1" applyFont="1" applyFill="1" applyAlignment="1">
      <alignment horizontal="left"/>
    </xf>
    <xf numFmtId="3" fontId="5" fillId="4" borderId="0" xfId="0" applyNumberFormat="1" applyFont="1" applyFill="1" applyAlignment="1">
      <alignment horizontal="left"/>
    </xf>
    <xf numFmtId="15" fontId="0" fillId="4" borderId="0" xfId="0" applyNumberFormat="1" applyFont="1" applyFill="1" applyAlignment="1">
      <alignment horizontal="left"/>
    </xf>
    <xf numFmtId="0" fontId="0" fillId="3" borderId="0" xfId="0" applyNumberFormat="1" applyFill="1" applyAlignment="1">
      <alignment horizontal="center"/>
    </xf>
    <xf numFmtId="0" fontId="19" fillId="12" borderId="0" xfId="2" applyAlignment="1">
      <alignment horizontal="left"/>
      <protection locked="0"/>
    </xf>
    <xf numFmtId="15" fontId="3" fillId="4" borderId="0" xfId="0" applyNumberFormat="1" applyFont="1" applyFill="1" applyBorder="1" applyAlignment="1">
      <alignment horizontal="left"/>
    </xf>
    <xf numFmtId="4" fontId="5" fillId="3" borderId="0" xfId="0" applyNumberFormat="1" applyFont="1" applyFill="1" applyBorder="1" applyAlignment="1">
      <alignment horizontal="center"/>
    </xf>
    <xf numFmtId="0" fontId="5" fillId="3" borderId="3" xfId="0" applyFont="1" applyFill="1" applyBorder="1" applyAlignment="1">
      <alignment horizontal="center"/>
    </xf>
    <xf numFmtId="0" fontId="5" fillId="3" borderId="5" xfId="0" applyFont="1" applyFill="1" applyBorder="1" applyAlignment="1">
      <alignment horizontal="center"/>
    </xf>
    <xf numFmtId="0" fontId="0" fillId="3" borderId="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 xfId="0" applyFont="1" applyFill="1" applyBorder="1" applyAlignment="1">
      <alignment horizontal="center" vertical="center"/>
    </xf>
    <xf numFmtId="0" fontId="0" fillId="3" borderId="6" xfId="0" applyFont="1" applyFill="1" applyBorder="1" applyAlignment="1">
      <alignment horizontal="center" vertical="center"/>
    </xf>
    <xf numFmtId="0" fontId="0" fillId="3" borderId="7" xfId="0" applyFont="1" applyFill="1" applyBorder="1" applyAlignment="1">
      <alignment horizontal="center" vertical="center"/>
    </xf>
    <xf numFmtId="0" fontId="0" fillId="3" borderId="0" xfId="0" applyFont="1" applyFill="1" applyBorder="1" applyAlignment="1">
      <alignment horizontal="center" vertical="center"/>
    </xf>
    <xf numFmtId="0" fontId="15" fillId="0" borderId="0" xfId="4" applyBorder="1" applyAlignment="1">
      <alignment horizontal="left"/>
    </xf>
    <xf numFmtId="0" fontId="15" fillId="0" borderId="3" xfId="4" applyAlignment="1">
      <alignment horizontal="left"/>
    </xf>
    <xf numFmtId="4" fontId="5" fillId="3" borderId="7" xfId="0" applyNumberFormat="1" applyFont="1" applyFill="1" applyBorder="1" applyAlignment="1">
      <alignment horizontal="center"/>
    </xf>
    <xf numFmtId="15" fontId="0" fillId="4" borderId="0" xfId="0" applyNumberFormat="1" applyFill="1" applyAlignment="1">
      <alignment horizontal="left"/>
    </xf>
    <xf numFmtId="0" fontId="6" fillId="0" borderId="0" xfId="0" applyFont="1" applyFill="1" applyAlignment="1">
      <alignment horizontal="right"/>
    </xf>
    <xf numFmtId="0" fontId="6" fillId="0" borderId="9" xfId="0" applyFont="1" applyFill="1" applyBorder="1" applyAlignment="1">
      <alignment horizontal="right"/>
    </xf>
    <xf numFmtId="0" fontId="6" fillId="0" borderId="17" xfId="0" applyFont="1" applyFill="1" applyBorder="1" applyAlignment="1">
      <alignment horizontal="right"/>
    </xf>
    <xf numFmtId="0" fontId="19" fillId="12" borderId="0" xfId="2" applyAlignment="1">
      <alignment horizontal="left"/>
      <protection locked="0"/>
    </xf>
    <xf numFmtId="15" fontId="31" fillId="8" borderId="19" xfId="0" applyNumberFormat="1" applyFont="1" applyFill="1" applyBorder="1" applyAlignment="1">
      <alignment horizontal="center" vertical="center"/>
    </xf>
    <xf numFmtId="15" fontId="31" fillId="8" borderId="22" xfId="0" applyNumberFormat="1" applyFont="1" applyFill="1" applyBorder="1" applyAlignment="1">
      <alignment horizontal="center" vertical="center"/>
    </xf>
    <xf numFmtId="15" fontId="32" fillId="7" borderId="25" xfId="0" applyNumberFormat="1" applyFont="1" applyFill="1" applyBorder="1" applyAlignment="1">
      <alignment horizontal="center" vertical="center"/>
    </xf>
    <xf numFmtId="15" fontId="32" fillId="7" borderId="28" xfId="0" applyNumberFormat="1" applyFont="1" applyFill="1" applyBorder="1" applyAlignment="1">
      <alignment horizontal="center" vertical="center"/>
    </xf>
    <xf numFmtId="167" fontId="13" fillId="0" borderId="9" xfId="5" applyNumberFormat="1" applyBorder="1" applyAlignment="1">
      <alignment horizontal="center"/>
    </xf>
    <xf numFmtId="167" fontId="0" fillId="4" borderId="0" xfId="0" applyNumberFormat="1" applyFill="1" applyAlignment="1">
      <alignment horizontal="center"/>
    </xf>
    <xf numFmtId="0" fontId="4" fillId="0" borderId="0" xfId="0" applyFont="1" applyAlignment="1">
      <alignment horizontal="center"/>
    </xf>
    <xf numFmtId="166" fontId="0" fillId="0" borderId="0" xfId="0" applyNumberFormat="1" applyAlignment="1">
      <alignment horizontal="center"/>
    </xf>
    <xf numFmtId="172" fontId="0" fillId="0" borderId="0" xfId="0" applyNumberFormat="1" applyAlignment="1">
      <alignment horizontal="center"/>
    </xf>
    <xf numFmtId="174" fontId="36" fillId="17" borderId="0" xfId="5" applyNumberFormat="1" applyFont="1" applyFill="1" applyAlignment="1" applyProtection="1">
      <alignment horizontal="right"/>
    </xf>
    <xf numFmtId="174" fontId="18" fillId="17" borderId="0" xfId="5" applyNumberFormat="1" applyFont="1" applyFill="1" applyAlignment="1">
      <alignment horizontal="right"/>
    </xf>
  </cellXfs>
  <cellStyles count="9">
    <cellStyle name="DarkBlue" xfId="3"/>
    <cellStyle name="Good" xfId="1" builtinId="26" customBuiltin="1"/>
    <cellStyle name="Heading 1" xfId="4" builtinId="16" customBuiltin="1"/>
    <cellStyle name="Heading 3" xfId="7" builtinId="18" customBuiltin="1"/>
    <cellStyle name="Heading 4" xfId="5" builtinId="19" customBuiltin="1"/>
    <cellStyle name="Hyperlink" xfId="8" builtinId="8"/>
    <cellStyle name="Input" xfId="2" builtinId="20" customBuiltin="1"/>
    <cellStyle name="Input2" xfId="6"/>
    <cellStyle name="Normal" xfId="0" builtinId="0" customBuiltin="1"/>
  </cellStyles>
  <dxfs count="56">
    <dxf>
      <fill>
        <patternFill>
          <bgColor theme="2" tint="-0.24994659260841701"/>
        </patternFill>
      </fill>
    </dxf>
    <dxf>
      <font>
        <b/>
        <i val="0"/>
        <color theme="0"/>
      </font>
      <fill>
        <patternFill>
          <bgColor theme="2" tint="-0.749961851863155"/>
        </patternFill>
      </fill>
    </dxf>
    <dxf>
      <fill>
        <patternFill>
          <bgColor theme="0" tint="-0.14996795556505021"/>
        </patternFill>
      </fill>
    </dxf>
    <dxf>
      <fill>
        <patternFill>
          <bgColor theme="0" tint="-0.14996795556505021"/>
        </patternFill>
      </fill>
    </dxf>
    <dxf>
      <fill>
        <patternFill patternType="none">
          <bgColor auto="1"/>
        </patternFill>
      </fill>
    </dxf>
    <dxf>
      <fill>
        <patternFill>
          <bgColor theme="0" tint="-0.14996795556505021"/>
        </patternFill>
      </fill>
    </dxf>
    <dxf>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4.9989318521683403E-2"/>
      </font>
      <fill>
        <patternFill>
          <bgColor theme="0" tint="-4.9989318521683403E-2"/>
        </patternFill>
      </fill>
    </dxf>
    <dxf>
      <fill>
        <patternFill>
          <bgColor rgb="FFFFFF00"/>
        </patternFill>
      </fill>
    </dxf>
    <dxf>
      <font>
        <color theme="0"/>
      </font>
      <fill>
        <patternFill>
          <bgColor theme="0"/>
        </patternFill>
      </fill>
    </dxf>
    <dxf>
      <font>
        <color theme="0"/>
      </font>
      <fill>
        <patternFill>
          <bgColor theme="0"/>
        </patternFill>
      </fill>
    </dxf>
    <dxf>
      <fill>
        <patternFill>
          <bgColor theme="0" tint="-0.14996795556505021"/>
        </patternFill>
      </fill>
    </dxf>
    <dxf>
      <font>
        <color theme="0"/>
      </font>
      <fill>
        <patternFill>
          <bgColor theme="2" tint="-0.749961851863155"/>
        </patternFill>
      </fill>
    </dxf>
    <dxf>
      <fill>
        <patternFill>
          <bgColor theme="0" tint="-0.14996795556505021"/>
        </patternFill>
      </fill>
    </dxf>
    <dxf>
      <fill>
        <patternFill>
          <bgColor theme="2" tint="-0.24994659260841701"/>
        </patternFill>
      </fill>
    </dxf>
    <dxf>
      <fill>
        <patternFill>
          <bgColor theme="2" tint="-0.24994659260841701"/>
        </patternFill>
      </fill>
    </dxf>
    <dxf>
      <fill>
        <patternFill>
          <bgColor rgb="FFFFFF00"/>
        </patternFill>
      </fill>
    </dxf>
    <dxf>
      <fill>
        <patternFill>
          <bgColor rgb="FFFFFF00"/>
        </patternFill>
      </fill>
    </dxf>
    <dxf>
      <font>
        <color theme="0"/>
      </font>
      <fill>
        <patternFill>
          <bgColor theme="0"/>
        </patternFill>
      </fill>
    </dxf>
    <dxf>
      <font>
        <b/>
        <i val="0"/>
        <color theme="0"/>
      </font>
      <fill>
        <patternFill>
          <bgColor theme="2" tint="-0.749961851863155"/>
        </patternFill>
      </fill>
    </dxf>
    <dxf>
      <fill>
        <patternFill>
          <bgColor rgb="FFFFFF00"/>
        </patternFill>
      </fill>
    </dxf>
    <dxf>
      <font>
        <color theme="0" tint="-0.24994659260841701"/>
      </font>
      <fill>
        <patternFill>
          <bgColor theme="0" tint="-0.24994659260841701"/>
        </patternFill>
      </fill>
    </dxf>
    <dxf>
      <fill>
        <patternFill>
          <bgColor rgb="FFFFFF00"/>
        </patternFill>
      </fill>
    </dxf>
    <dxf>
      <font>
        <color theme="0"/>
      </font>
    </dxf>
    <dxf>
      <font>
        <color theme="0" tint="-0.24994659260841701"/>
      </font>
      <fill>
        <patternFill>
          <bgColor theme="0" tint="-0.24994659260841701"/>
        </patternFill>
      </fill>
    </dxf>
    <dxf>
      <fill>
        <patternFill>
          <bgColor rgb="FFFFFF00"/>
        </patternFill>
      </fill>
    </dxf>
    <dxf>
      <font>
        <color theme="0"/>
      </font>
      <numFmt numFmtId="175" formatCode=";;;"/>
    </dxf>
    <dxf>
      <font>
        <color theme="0" tint="-0.24994659260841701"/>
      </font>
      <fill>
        <patternFill>
          <bgColor theme="0" tint="-0.24994659260841701"/>
        </patternFill>
      </fill>
    </dxf>
    <dxf>
      <fill>
        <patternFill>
          <bgColor rgb="FFFFFF00"/>
        </patternFill>
      </fill>
    </dxf>
    <dxf>
      <font>
        <color theme="0"/>
      </font>
    </dxf>
    <dxf>
      <font>
        <color theme="0" tint="-0.24994659260841701"/>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dxf>
    <dxf>
      <fill>
        <patternFill>
          <bgColor rgb="FFFFFF00"/>
        </patternFill>
      </fill>
    </dxf>
    <dxf>
      <fill>
        <patternFill>
          <bgColor theme="6" tint="0.59996337778862885"/>
        </patternFill>
      </fill>
    </dxf>
    <dxf>
      <font>
        <b/>
        <i val="0"/>
        <color theme="0"/>
      </font>
      <fill>
        <patternFill>
          <bgColor theme="6" tint="-0.499984740745262"/>
        </patternFill>
      </fill>
    </dxf>
    <dxf>
      <font>
        <b/>
        <i val="0"/>
        <color theme="0"/>
      </font>
      <fill>
        <patternFill>
          <bgColor rgb="FFFF0000"/>
        </patternFill>
      </fill>
    </dxf>
    <dxf>
      <font>
        <b/>
        <i val="0"/>
        <color theme="0"/>
      </font>
      <fill>
        <patternFill>
          <bgColor rgb="FFC00000"/>
        </patternFill>
      </fill>
    </dxf>
    <dxf>
      <fill>
        <patternFill>
          <bgColor rgb="FFFFFF00"/>
        </patternFill>
      </fill>
    </dxf>
    <dxf>
      <font>
        <b/>
        <i val="0"/>
        <color theme="0"/>
      </font>
      <fill>
        <patternFill>
          <bgColor rgb="FFFF0000"/>
        </patternFill>
      </fill>
    </dxf>
    <dxf>
      <font>
        <b/>
        <i val="0"/>
        <color theme="0"/>
      </font>
      <fill>
        <patternFill>
          <bgColor rgb="FFC00000"/>
        </patternFill>
      </fill>
    </dxf>
    <dxf>
      <font>
        <color theme="0" tint="-0.24994659260841701"/>
      </font>
      <fill>
        <patternFill>
          <bgColor theme="0" tint="-0.24994659260841701"/>
        </patternFill>
      </fill>
    </dxf>
    <dxf>
      <font>
        <b/>
        <i val="0"/>
        <color theme="0"/>
      </font>
      <fill>
        <patternFill>
          <bgColor rgb="FFFF0000"/>
        </patternFill>
      </fill>
    </dxf>
    <dxf>
      <font>
        <b/>
        <i val="0"/>
        <color theme="0"/>
      </font>
      <fill>
        <patternFill>
          <bgColor rgb="FFC00000"/>
        </patternFill>
      </fill>
    </dxf>
  </dxfs>
  <tableStyles count="0" defaultTableStyle="TableStyleMedium9" defaultPivotStyle="PivotStyleLight16"/>
  <colors>
    <mruColors>
      <color rgb="FF488FE4"/>
      <color rgb="FFF9E583"/>
      <color rgb="FFF99783"/>
      <color rgb="FF83B8F9"/>
      <color rgb="FFF9E78B"/>
      <color rgb="FFFF0000"/>
      <color rgb="FF0000FF"/>
      <color rgb="FFEAEDC1"/>
      <color rgb="FFE7EAC4"/>
      <color rgb="FFFF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a:pPr>
            <a:r>
              <a:rPr lang="en-AU"/>
              <a:t>Swap</a:t>
            </a:r>
            <a:r>
              <a:rPr lang="en-AU" baseline="0"/>
              <a:t> Rates</a:t>
            </a:r>
            <a:endParaRPr lang="en-AU"/>
          </a:p>
        </c:rich>
      </c:tx>
      <c:layout/>
    </c:title>
    <c:plotArea>
      <c:layout/>
      <c:scatterChart>
        <c:scatterStyle val="smoothMarker"/>
        <c:ser>
          <c:idx val="0"/>
          <c:order val="0"/>
          <c:tx>
            <c:strRef>
              <c:f>TBL!$AI$7</c:f>
              <c:strCache>
                <c:ptCount val="1"/>
                <c:pt idx="0">
                  <c:v>1b</c:v>
                </c:pt>
              </c:strCache>
            </c:strRef>
          </c:tx>
          <c:marker>
            <c:symbol val="circle"/>
            <c:size val="5"/>
          </c:marker>
          <c:xVal>
            <c:numRef>
              <c:f>TBL!$AE$25:$AE$39</c:f>
              <c:numCache>
                <c:formatCode>General</c:formatCode>
                <c:ptCount val="15"/>
                <c:pt idx="0">
                  <c:v>1</c:v>
                </c:pt>
                <c:pt idx="1">
                  <c:v>2</c:v>
                </c:pt>
                <c:pt idx="2">
                  <c:v>3</c:v>
                </c:pt>
                <c:pt idx="3">
                  <c:v>4</c:v>
                </c:pt>
                <c:pt idx="4">
                  <c:v>5</c:v>
                </c:pt>
                <c:pt idx="5">
                  <c:v>6</c:v>
                </c:pt>
                <c:pt idx="6">
                  <c:v>7</c:v>
                </c:pt>
                <c:pt idx="7">
                  <c:v>8</c:v>
                </c:pt>
                <c:pt idx="8">
                  <c:v>9</c:v>
                </c:pt>
                <c:pt idx="9">
                  <c:v>10</c:v>
                </c:pt>
                <c:pt idx="10">
                  <c:v>12</c:v>
                </c:pt>
                <c:pt idx="11">
                  <c:v>15</c:v>
                </c:pt>
                <c:pt idx="12">
                  <c:v>20</c:v>
                </c:pt>
                <c:pt idx="13">
                  <c:v>25</c:v>
                </c:pt>
                <c:pt idx="14">
                  <c:v>30</c:v>
                </c:pt>
              </c:numCache>
            </c:numRef>
          </c:xVal>
          <c:yVal>
            <c:numRef>
              <c:f>TBL!$AI$8:$AI$22</c:f>
              <c:numCache>
                <c:formatCode>#,##0.000</c:formatCode>
                <c:ptCount val="15"/>
                <c:pt idx="0">
                  <c:v>4.9150293343354807</c:v>
                </c:pt>
                <c:pt idx="1">
                  <c:v>5.0225350931000907</c:v>
                </c:pt>
                <c:pt idx="2">
                  <c:v>5.1533333333332942</c:v>
                </c:pt>
                <c:pt idx="3">
                  <c:v>5.3997302095293378</c:v>
                </c:pt>
                <c:pt idx="4">
                  <c:v>5.518059708330596</c:v>
                </c:pt>
                <c:pt idx="5">
                  <c:v>5.6146936432424299</c:v>
                </c:pt>
                <c:pt idx="6">
                  <c:v>5.7013251224637189</c:v>
                </c:pt>
                <c:pt idx="7">
                  <c:v>5.7579851708823249</c:v>
                </c:pt>
                <c:pt idx="8">
                  <c:v>5.8029769178864061</c:v>
                </c:pt>
                <c:pt idx="9">
                  <c:v>5.8425682079920298</c:v>
                </c:pt>
                <c:pt idx="10">
                  <c:v>5.9108563755746797</c:v>
                </c:pt>
                <c:pt idx="11">
                  <c:v>5.9724505991700392</c:v>
                </c:pt>
                <c:pt idx="12">
                  <c:v>5.9298569098287537</c:v>
                </c:pt>
                <c:pt idx="13">
                  <c:v>5.815883981554518</c:v>
                </c:pt>
                <c:pt idx="14">
                  <c:v>5.6789775908320284</c:v>
                </c:pt>
              </c:numCache>
            </c:numRef>
          </c:yVal>
        </c:ser>
        <c:axId val="300074880"/>
        <c:axId val="300076416"/>
      </c:scatterChart>
      <c:valAx>
        <c:axId val="300074880"/>
        <c:scaling>
          <c:orientation val="minMax"/>
          <c:max val="30"/>
        </c:scaling>
        <c:axPos val="b"/>
        <c:numFmt formatCode="General" sourceLinked="1"/>
        <c:tickLblPos val="nextTo"/>
        <c:txPr>
          <a:bodyPr/>
          <a:lstStyle/>
          <a:p>
            <a:pPr>
              <a:defRPr>
                <a:solidFill>
                  <a:schemeClr val="tx1">
                    <a:lumMod val="50000"/>
                    <a:lumOff val="50000"/>
                  </a:schemeClr>
                </a:solidFill>
              </a:defRPr>
            </a:pPr>
            <a:endParaRPr lang="en-US"/>
          </a:p>
        </c:txPr>
        <c:crossAx val="300076416"/>
        <c:crosses val="autoZero"/>
        <c:crossBetween val="midCat"/>
      </c:valAx>
      <c:valAx>
        <c:axId val="300076416"/>
        <c:scaling>
          <c:orientation val="minMax"/>
        </c:scaling>
        <c:axPos val="l"/>
        <c:majorGridlines/>
        <c:numFmt formatCode="#,##0.000" sourceLinked="1"/>
        <c:tickLblPos val="nextTo"/>
        <c:txPr>
          <a:bodyPr/>
          <a:lstStyle/>
          <a:p>
            <a:pPr>
              <a:defRPr>
                <a:solidFill>
                  <a:schemeClr val="tx1">
                    <a:lumMod val="50000"/>
                    <a:lumOff val="50000"/>
                  </a:schemeClr>
                </a:solidFill>
              </a:defRPr>
            </a:pPr>
            <a:endParaRPr lang="en-US"/>
          </a:p>
        </c:txPr>
        <c:crossAx val="300074880"/>
        <c:crosses val="autoZero"/>
        <c:crossBetween val="midCat"/>
      </c:valAx>
    </c:plotArea>
    <c:legend>
      <c:legendPos val="r"/>
      <c:layout/>
    </c:legend>
    <c:plotVisOnly val="1"/>
  </c:chart>
  <c:spPr>
    <a:ln>
      <a:noFill/>
    </a:ln>
  </c:spPr>
  <c:printSettings>
    <c:headerFooter/>
    <c:pageMargins b="0.75000000000000788" l="0.70000000000000062" r="0.70000000000000062" t="0.75000000000000788" header="0.30000000000000032" footer="0.30000000000000032"/>
    <c:pageSetup/>
  </c:printSettings>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24</xdr:col>
      <xdr:colOff>228600</xdr:colOff>
      <xdr:row>46</xdr:row>
      <xdr:rowOff>76200</xdr:rowOff>
    </xdr:from>
    <xdr:to>
      <xdr:col>24</xdr:col>
      <xdr:colOff>237331</xdr:colOff>
      <xdr:row>48</xdr:row>
      <xdr:rowOff>105569</xdr:rowOff>
    </xdr:to>
    <xdr:cxnSp macro="">
      <xdr:nvCxnSpPr>
        <xdr:cNvPr id="5" name="Straight Arrow Connector 4"/>
        <xdr:cNvCxnSpPr/>
      </xdr:nvCxnSpPr>
      <xdr:spPr>
        <a:xfrm rot="16200000" flipV="1">
          <a:off x="1361281" y="6887369"/>
          <a:ext cx="353219" cy="8731"/>
        </a:xfrm>
        <a:prstGeom prst="straightConnector1">
          <a:avLst/>
        </a:prstGeom>
        <a:ln>
          <a:tailEnd type="arrow"/>
        </a:ln>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31</xdr:col>
      <xdr:colOff>19051</xdr:colOff>
      <xdr:row>43</xdr:row>
      <xdr:rowOff>152400</xdr:rowOff>
    </xdr:from>
    <xdr:to>
      <xdr:col>31</xdr:col>
      <xdr:colOff>27782</xdr:colOff>
      <xdr:row>46</xdr:row>
      <xdr:rowOff>19844</xdr:rowOff>
    </xdr:to>
    <xdr:cxnSp macro="">
      <xdr:nvCxnSpPr>
        <xdr:cNvPr id="3" name="Straight Arrow Connector 2"/>
        <xdr:cNvCxnSpPr/>
      </xdr:nvCxnSpPr>
      <xdr:spPr>
        <a:xfrm rot="16200000" flipV="1">
          <a:off x="10095707" y="7287419"/>
          <a:ext cx="353219" cy="8731"/>
        </a:xfrm>
        <a:prstGeom prst="straightConnector1">
          <a:avLst/>
        </a:prstGeom>
        <a:ln>
          <a:tailEnd type="arrow"/>
        </a:ln>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180974</xdr:colOff>
      <xdr:row>11</xdr:row>
      <xdr:rowOff>38100</xdr:rowOff>
    </xdr:from>
    <xdr:to>
      <xdr:col>26</xdr:col>
      <xdr:colOff>104774</xdr:colOff>
      <xdr:row>39</xdr:row>
      <xdr:rowOff>114300</xdr:rowOff>
    </xdr:to>
    <xdr:sp macro="" textlink="">
      <xdr:nvSpPr>
        <xdr:cNvPr id="4" name="HelpFRM" hidden="1"/>
        <xdr:cNvSpPr txBox="1"/>
      </xdr:nvSpPr>
      <xdr:spPr>
        <a:xfrm>
          <a:off x="2466974" y="2143125"/>
          <a:ext cx="5400675" cy="461010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Forward Rate Mismatch (FRM)</a:t>
          </a:r>
        </a:p>
        <a:p>
          <a:r>
            <a:rPr lang="en-AU" sz="1100" baseline="0" smtClean="0">
              <a:solidFill>
                <a:schemeClr val="dk1"/>
              </a:solidFill>
              <a:latin typeface="+mn-lt"/>
              <a:ea typeface="+mn-ea"/>
              <a:cs typeface="+mn-cs"/>
            </a:rPr>
            <a:t>is the situation that arises during a rate-set on the floating leg of a swap where the published LIBOR/BBSW rate which is meant to be applied to a specific period, is actually applied to a slightly different period, as illustrated in the following example:</a:t>
          </a:r>
        </a:p>
        <a:p>
          <a:endParaRPr lang="en-AU" sz="1100" baseline="0" smtClean="0">
            <a:solidFill>
              <a:schemeClr val="dk1"/>
            </a:solidFill>
            <a:latin typeface="+mn-lt"/>
            <a:ea typeface="+mn-ea"/>
            <a:cs typeface="+mn-cs"/>
          </a:endParaRPr>
        </a:p>
        <a:p>
          <a:pPr algn="l"/>
          <a:r>
            <a:rPr lang="en-AU" sz="1100" baseline="0" smtClean="0">
              <a:solidFill>
                <a:schemeClr val="dk1"/>
              </a:solidFill>
              <a:latin typeface="+mn-lt"/>
              <a:ea typeface="+mn-ea"/>
              <a:cs typeface="+mn-cs"/>
            </a:rPr>
            <a:t>A swap's floating leg rolls on the 15</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of each quarter.  Due to a weekend, one of the roll dates is pushed forward to the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creating a slightly shorter roll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to 15</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When this roll comes up for rate set, the 3 month LIBOR print is applied, but the print itself is meant to be applied to the period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to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There is a mismatch between the </a:t>
          </a:r>
          <a:r>
            <a:rPr lang="en-AU" sz="1100" u="sng" baseline="0" smtClean="0">
              <a:solidFill>
                <a:schemeClr val="dk1"/>
              </a:solidFill>
              <a:latin typeface="+mn-lt"/>
              <a:ea typeface="+mn-ea"/>
              <a:cs typeface="+mn-cs"/>
            </a:rPr>
            <a:t>forward rate period and the forward roll period.</a:t>
          </a:r>
        </a:p>
        <a:p>
          <a:endParaRPr lang="en-AU" sz="1100" baseline="0" smtClean="0">
            <a:solidFill>
              <a:schemeClr val="dk1"/>
            </a:solidFill>
            <a:latin typeface="+mn-lt"/>
            <a:ea typeface="+mn-ea"/>
            <a:cs typeface="+mn-cs"/>
          </a:endParaRPr>
        </a:p>
        <a:p>
          <a:r>
            <a:rPr lang="en-AU" sz="1100" baseline="0" smtClean="0">
              <a:solidFill>
                <a:schemeClr val="dk1"/>
              </a:solidFill>
              <a:latin typeface="+mn-lt"/>
              <a:ea typeface="+mn-ea"/>
              <a:cs typeface="+mn-cs"/>
            </a:rPr>
            <a:t>There are three known </a:t>
          </a:r>
          <a:r>
            <a:rPr lang="en-AU" sz="1100" b="1" baseline="0" smtClean="0">
              <a:solidFill>
                <a:schemeClr val="dk1"/>
              </a:solidFill>
              <a:latin typeface="+mn-lt"/>
              <a:ea typeface="+mn-ea"/>
              <a:cs typeface="+mn-cs"/>
            </a:rPr>
            <a:t>Forward Rate Methods to deal with this situation:</a:t>
          </a:r>
        </a:p>
        <a:p>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"ON"</a:t>
          </a:r>
          <a:r>
            <a:rPr lang="en-AU" sz="1100" baseline="0" smtClean="0">
              <a:solidFill>
                <a:schemeClr val="dk1"/>
              </a:solidFill>
              <a:latin typeface="+mn-lt"/>
              <a:ea typeface="+mn-ea"/>
              <a:cs typeface="+mn-cs"/>
            </a:rPr>
            <a:t>    Project the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-to-17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forward rate and apply it to the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-to-15</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period.  This mimics reality and is the most accurate method, though much slower to calculate</a:t>
          </a:r>
        </a:p>
        <a:p>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"OFF"</a:t>
          </a:r>
          <a:r>
            <a:rPr lang="en-AU" sz="1100" b="0" baseline="0" smtClean="0">
              <a:solidFill>
                <a:schemeClr val="dk1"/>
              </a:solidFill>
              <a:latin typeface="+mn-lt"/>
              <a:ea typeface="+mn-ea"/>
              <a:cs typeface="+mn-cs"/>
            </a:rPr>
            <a:t>   </a:t>
          </a:r>
          <a:r>
            <a:rPr lang="en-AU" sz="1100" baseline="0" smtClean="0">
              <a:solidFill>
                <a:schemeClr val="dk1"/>
              </a:solidFill>
              <a:latin typeface="+mn-lt"/>
              <a:ea typeface="+mn-ea"/>
              <a:cs typeface="+mn-cs"/>
            </a:rPr>
            <a:t>Project the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-to-15</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forward rate and apply it to the 17</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-to-15</a:t>
          </a:r>
          <a:r>
            <a:rPr lang="en-AU" sz="1100" baseline="30000" smtClean="0">
              <a:solidFill>
                <a:schemeClr val="dk1"/>
              </a:solidFill>
              <a:latin typeface="+mn-lt"/>
              <a:ea typeface="+mn-ea"/>
              <a:cs typeface="+mn-cs"/>
            </a:rPr>
            <a:t>th</a:t>
          </a:r>
          <a:r>
            <a:rPr lang="en-AU" sz="1100" baseline="0" smtClean="0">
              <a:solidFill>
                <a:schemeClr val="dk1"/>
              </a:solidFill>
              <a:latin typeface="+mn-lt"/>
              <a:ea typeface="+mn-ea"/>
              <a:cs typeface="+mn-cs"/>
            </a:rPr>
            <a:t> period.  This leads to small inaccuracies (usually less than 0.3 basis points) but is significantly faster to calculate</a:t>
          </a:r>
        </a:p>
        <a:p>
          <a:pPr lvl="1"/>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"CALYPSO"</a:t>
          </a:r>
          <a:r>
            <a:rPr lang="en-AU" sz="1100" b="0" baseline="0" smtClean="0">
              <a:solidFill>
                <a:schemeClr val="dk1"/>
              </a:solidFill>
              <a:latin typeface="+mn-lt"/>
              <a:ea typeface="+mn-ea"/>
              <a:cs typeface="+mn-cs"/>
            </a:rPr>
            <a:t>   S</a:t>
          </a:r>
          <a:r>
            <a:rPr lang="en-AU" sz="1100" baseline="0" smtClean="0">
              <a:solidFill>
                <a:schemeClr val="dk1"/>
              </a:solidFill>
              <a:latin typeface="+mn-lt"/>
              <a:ea typeface="+mn-ea"/>
              <a:cs typeface="+mn-cs"/>
            </a:rPr>
            <a:t>ame as 1) above, except the forward rate period does not respect end-of-month rule, yet the accrual period does respect end-of-month rule.   This method is not generally regarded as market practice, but is provided as an option here for calypso reconciliation purposes</a:t>
          </a:r>
        </a:p>
        <a:p>
          <a:pPr lvl="1"/>
          <a:endParaRPr lang="en-AU" sz="1100" baseline="0" smtClean="0">
            <a:solidFill>
              <a:schemeClr val="dk1"/>
            </a:solidFill>
            <a:latin typeface="+mn-lt"/>
            <a:ea typeface="+mn-ea"/>
            <a:cs typeface="+mn-cs"/>
          </a:endParaRPr>
        </a:p>
        <a:p>
          <a:pPr lvl="1"/>
          <a:endParaRPr lang="en-AU" sz="1100" baseline="0" smtClean="0">
            <a:solidFill>
              <a:schemeClr val="dk1"/>
            </a:solidFill>
            <a:latin typeface="+mn-lt"/>
            <a:ea typeface="+mn-ea"/>
            <a:cs typeface="+mn-cs"/>
          </a:endParaRPr>
        </a:p>
      </xdr:txBody>
    </xdr:sp>
    <xdr:clientData/>
  </xdr:twoCellAnchor>
  <xdr:twoCellAnchor editAs="oneCell">
    <xdr:from>
      <xdr:col>5</xdr:col>
      <xdr:colOff>638174</xdr:colOff>
      <xdr:row>13</xdr:row>
      <xdr:rowOff>133350</xdr:rowOff>
    </xdr:from>
    <xdr:to>
      <xdr:col>61</xdr:col>
      <xdr:colOff>171450</xdr:colOff>
      <xdr:row>25</xdr:row>
      <xdr:rowOff>142875</xdr:rowOff>
    </xdr:to>
    <xdr:sp macro="" textlink="">
      <xdr:nvSpPr>
        <xdr:cNvPr id="5" name="HelpBusDayAdj" hidden="1"/>
        <xdr:cNvSpPr txBox="1"/>
      </xdr:nvSpPr>
      <xdr:spPr>
        <a:xfrm>
          <a:off x="2990849" y="2238375"/>
          <a:ext cx="5810251" cy="1952625"/>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Business Day Adjustment</a:t>
          </a:r>
        </a:p>
        <a:p>
          <a:r>
            <a:rPr lang="en-AU" sz="1100" baseline="0" smtClean="0">
              <a:solidFill>
                <a:schemeClr val="dk1"/>
              </a:solidFill>
              <a:latin typeface="+mn-lt"/>
              <a:ea typeface="+mn-ea"/>
              <a:cs typeface="+mn-cs"/>
            </a:rPr>
            <a:t>Determines how to adjust a bad business day to a good business day</a:t>
          </a:r>
          <a:endParaRPr lang="en-AU" sz="1100" b="1" baseline="0" smtClean="0">
            <a:solidFill>
              <a:schemeClr val="dk1"/>
            </a:solidFill>
            <a:latin typeface="+mn-lt"/>
            <a:ea typeface="+mn-ea"/>
            <a:cs typeface="+mn-cs"/>
          </a:endParaRPr>
        </a:p>
        <a:p>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   M	</a:t>
          </a:r>
          <a:r>
            <a:rPr lang="en-AU" sz="1100" baseline="0" smtClean="0">
              <a:solidFill>
                <a:schemeClr val="dk1"/>
              </a:solidFill>
              <a:latin typeface="+mn-lt"/>
              <a:ea typeface="+mn-ea"/>
              <a:cs typeface="+mn-cs"/>
            </a:rPr>
            <a:t>Modified Following  also known as "Forward In Month"</a:t>
          </a:r>
        </a:p>
        <a:p>
          <a:r>
            <a:rPr lang="en-AU" sz="1100" b="1" baseline="0" smtClean="0">
              <a:solidFill>
                <a:schemeClr val="dk1"/>
              </a:solidFill>
              <a:latin typeface="+mn-lt"/>
              <a:ea typeface="+mn-ea"/>
              <a:cs typeface="+mn-cs"/>
            </a:rPr>
            <a:t>   F	</a:t>
          </a:r>
          <a:r>
            <a:rPr lang="en-AU" sz="1100" b="0" baseline="0" smtClean="0">
              <a:solidFill>
                <a:schemeClr val="dk1"/>
              </a:solidFill>
              <a:latin typeface="+mn-lt"/>
              <a:ea typeface="+mn-ea"/>
              <a:cs typeface="+mn-cs"/>
            </a:rPr>
            <a:t>Following </a:t>
          </a:r>
        </a:p>
        <a:p>
          <a:r>
            <a:rPr lang="en-AU" sz="1100" b="1" baseline="0" smtClean="0">
              <a:solidFill>
                <a:schemeClr val="dk1"/>
              </a:solidFill>
              <a:latin typeface="+mn-lt"/>
              <a:ea typeface="+mn-ea"/>
              <a:cs typeface="+mn-cs"/>
            </a:rPr>
            <a:t>   P</a:t>
          </a:r>
          <a:r>
            <a:rPr lang="en-AU" sz="1100" b="0" baseline="0" smtClean="0">
              <a:solidFill>
                <a:schemeClr val="dk1"/>
              </a:solidFill>
              <a:latin typeface="+mn-lt"/>
              <a:ea typeface="+mn-ea"/>
              <a:cs typeface="+mn-cs"/>
            </a:rPr>
            <a:t>	Previous  / Preceding</a:t>
          </a:r>
        </a:p>
        <a:p>
          <a:r>
            <a:rPr lang="en-AU" sz="1100" b="1" baseline="0" smtClean="0">
              <a:solidFill>
                <a:schemeClr val="dk1"/>
              </a:solidFill>
              <a:latin typeface="+mn-lt"/>
              <a:ea typeface="+mn-ea"/>
              <a:cs typeface="+mn-cs"/>
            </a:rPr>
            <a:t>   N</a:t>
          </a:r>
          <a:r>
            <a:rPr lang="en-AU" sz="1100" b="0" baseline="0" smtClean="0">
              <a:solidFill>
                <a:schemeClr val="dk1"/>
              </a:solidFill>
              <a:latin typeface="+mn-lt"/>
              <a:ea typeface="+mn-ea"/>
              <a:cs typeface="+mn-cs"/>
            </a:rPr>
            <a:t>	None   ie: Do not adjust to a good business day</a:t>
          </a:r>
        </a:p>
        <a:p>
          <a:r>
            <a:rPr lang="en-AU" sz="1100" b="1" baseline="0" smtClean="0">
              <a:solidFill>
                <a:schemeClr val="dk1"/>
              </a:solidFill>
              <a:latin typeface="+mn-lt"/>
              <a:ea typeface="+mn-ea"/>
              <a:cs typeface="+mn-cs"/>
            </a:rPr>
            <a:t>   MS</a:t>
          </a:r>
          <a:r>
            <a:rPr lang="en-AU" sz="1100" b="0" baseline="0" smtClean="0">
              <a:solidFill>
                <a:schemeClr val="dk1"/>
              </a:solidFill>
              <a:latin typeface="+mn-lt"/>
              <a:ea typeface="+mn-ea"/>
              <a:cs typeface="+mn-cs"/>
            </a:rPr>
            <a:t>	Modified Succeeding   (Go forward but do not cross the 15th of the month)</a:t>
          </a:r>
        </a:p>
        <a:p>
          <a:r>
            <a:rPr lang="en-AU" sz="1100" b="0" baseline="0" smtClean="0">
              <a:solidFill>
                <a:schemeClr val="dk1"/>
              </a:solidFill>
              <a:latin typeface="+mn-lt"/>
              <a:ea typeface="+mn-ea"/>
              <a:cs typeface="+mn-cs"/>
            </a:rPr>
            <a:t>   </a:t>
          </a:r>
          <a:r>
            <a:rPr lang="en-AU" sz="1100" b="1" baseline="0" smtClean="0">
              <a:solidFill>
                <a:schemeClr val="dk1"/>
              </a:solidFill>
              <a:latin typeface="+mn-lt"/>
              <a:ea typeface="+mn-ea"/>
              <a:cs typeface="+mn-cs"/>
            </a:rPr>
            <a:t>MP</a:t>
          </a:r>
          <a:r>
            <a:rPr lang="en-AU" sz="1100" b="0" baseline="0" smtClean="0">
              <a:solidFill>
                <a:schemeClr val="dk1"/>
              </a:solidFill>
              <a:latin typeface="+mn-lt"/>
              <a:ea typeface="+mn-ea"/>
              <a:cs typeface="+mn-cs"/>
            </a:rPr>
            <a:t>	Modified Preceding  (Go backwards but do not cross the 1st of the month)</a:t>
          </a:r>
        </a:p>
      </xdr:txBody>
    </xdr:sp>
    <xdr:clientData/>
  </xdr:twoCellAnchor>
  <xdr:twoCellAnchor editAs="oneCell">
    <xdr:from>
      <xdr:col>14</xdr:col>
      <xdr:colOff>123824</xdr:colOff>
      <xdr:row>16</xdr:row>
      <xdr:rowOff>152401</xdr:rowOff>
    </xdr:from>
    <xdr:to>
      <xdr:col>61</xdr:col>
      <xdr:colOff>352425</xdr:colOff>
      <xdr:row>26</xdr:row>
      <xdr:rowOff>1</xdr:rowOff>
    </xdr:to>
    <xdr:sp macro="" textlink="">
      <xdr:nvSpPr>
        <xdr:cNvPr id="6" name="HelpEOM" hidden="1"/>
        <xdr:cNvSpPr txBox="1"/>
      </xdr:nvSpPr>
      <xdr:spPr>
        <a:xfrm>
          <a:off x="3371849" y="2743201"/>
          <a:ext cx="5610226" cy="146685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End Of Month (EOM) Rule</a:t>
          </a:r>
        </a:p>
        <a:p>
          <a:r>
            <a:rPr lang="en-AU" sz="1100" b="0" baseline="0" smtClean="0">
              <a:solidFill>
                <a:schemeClr val="dk1"/>
              </a:solidFill>
              <a:latin typeface="+mn-lt"/>
              <a:ea typeface="+mn-ea"/>
              <a:cs typeface="+mn-cs"/>
            </a:rPr>
            <a:t>By example:  If a quarterly swap matures on June 30th (which is end of month)</a:t>
          </a:r>
          <a:endParaRPr lang="en-AU" sz="1100" b="1" baseline="0" smtClean="0">
            <a:solidFill>
              <a:schemeClr val="dk1"/>
            </a:solidFill>
            <a:latin typeface="+mn-lt"/>
            <a:ea typeface="+mn-ea"/>
            <a:cs typeface="+mn-cs"/>
          </a:endParaRPr>
        </a:p>
        <a:p>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   TRUE	</a:t>
          </a:r>
          <a:r>
            <a:rPr lang="en-AU" sz="1100" baseline="0" smtClean="0">
              <a:solidFill>
                <a:schemeClr val="dk1"/>
              </a:solidFill>
              <a:latin typeface="+mn-lt"/>
              <a:ea typeface="+mn-ea"/>
              <a:cs typeface="+mn-cs"/>
            </a:rPr>
            <a:t>Roll dates will respect EOM, ie:  They will roll 31Mar, 30Jun, 30Sep, 31Dec</a:t>
          </a:r>
        </a:p>
        <a:p>
          <a:endParaRPr lang="en-AU" sz="1100" b="1"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   FALSE</a:t>
          </a:r>
          <a:r>
            <a:rPr lang="en-AU" sz="1100" b="0" baseline="0" smtClean="0">
              <a:solidFill>
                <a:schemeClr val="dk1"/>
              </a:solidFill>
              <a:latin typeface="+mn-lt"/>
              <a:ea typeface="+mn-ea"/>
              <a:cs typeface="+mn-cs"/>
            </a:rPr>
            <a:t>	Roll dates ignore EOM, ie:  They will roll 30Mar, 30Jun, 30Sep, 30Dec</a:t>
          </a:r>
        </a:p>
      </xdr:txBody>
    </xdr:sp>
    <xdr:clientData/>
  </xdr:twoCellAnchor>
  <xdr:twoCellAnchor editAs="oneCell">
    <xdr:from>
      <xdr:col>4</xdr:col>
      <xdr:colOff>161924</xdr:colOff>
      <xdr:row>8</xdr:row>
      <xdr:rowOff>38100</xdr:rowOff>
    </xdr:from>
    <xdr:to>
      <xdr:col>19</xdr:col>
      <xdr:colOff>9525</xdr:colOff>
      <xdr:row>14</xdr:row>
      <xdr:rowOff>85726</xdr:rowOff>
    </xdr:to>
    <xdr:sp macro="" textlink="">
      <xdr:nvSpPr>
        <xdr:cNvPr id="8" name="HelpFaceInput" hidden="1"/>
        <xdr:cNvSpPr txBox="1"/>
      </xdr:nvSpPr>
      <xdr:spPr>
        <a:xfrm>
          <a:off x="2200274" y="1333500"/>
          <a:ext cx="2781301" cy="1019176"/>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Face Amount in</a:t>
          </a:r>
          <a:r>
            <a:rPr lang="en-AU" sz="1400" b="1" baseline="0"/>
            <a:t> millions</a:t>
          </a:r>
        </a:p>
        <a:p>
          <a:r>
            <a:rPr lang="en-AU" sz="1100" b="0" baseline="0" smtClean="0">
              <a:solidFill>
                <a:schemeClr val="dk1"/>
              </a:solidFill>
              <a:latin typeface="+mn-lt"/>
              <a:ea typeface="+mn-ea"/>
              <a:cs typeface="+mn-cs"/>
            </a:rPr>
            <a:t>By example:   Enter  5 to mean receive 5million fixed (pay floating),  or enter -5 to mean pay 5million fixed (receive floating)</a:t>
          </a:r>
        </a:p>
        <a:p>
          <a:endParaRPr lang="en-AU" sz="1100" b="0" baseline="0" smtClean="0">
            <a:solidFill>
              <a:schemeClr val="dk1"/>
            </a:solidFill>
            <a:latin typeface="+mn-lt"/>
            <a:ea typeface="+mn-ea"/>
            <a:cs typeface="+mn-cs"/>
          </a:endParaRPr>
        </a:p>
      </xdr:txBody>
    </xdr:sp>
    <xdr:clientData/>
  </xdr:twoCellAnchor>
  <xdr:twoCellAnchor editAs="oneCell">
    <xdr:from>
      <xdr:col>5</xdr:col>
      <xdr:colOff>180974</xdr:colOff>
      <xdr:row>24</xdr:row>
      <xdr:rowOff>123825</xdr:rowOff>
    </xdr:from>
    <xdr:to>
      <xdr:col>26</xdr:col>
      <xdr:colOff>314325</xdr:colOff>
      <xdr:row>39</xdr:row>
      <xdr:rowOff>9525</xdr:rowOff>
    </xdr:to>
    <xdr:sp macro="" textlink="">
      <xdr:nvSpPr>
        <xdr:cNvPr id="10" name="HelpInterpTrigger" hidden="1"/>
        <xdr:cNvSpPr txBox="1"/>
      </xdr:nvSpPr>
      <xdr:spPr>
        <a:xfrm>
          <a:off x="2466974" y="4171950"/>
          <a:ext cx="5610226" cy="2314575"/>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Interpolation Trigger in days </a:t>
          </a:r>
          <a:r>
            <a:rPr lang="en-AU" sz="1400" b="1" baseline="0"/>
            <a:t>         </a:t>
          </a:r>
          <a:r>
            <a:rPr lang="en-AU" sz="1100" b="0" baseline="0" smtClean="0">
              <a:solidFill>
                <a:srgbClr val="FF0000"/>
              </a:solidFill>
              <a:latin typeface="+mn-lt"/>
              <a:ea typeface="+mn-ea"/>
              <a:cs typeface="+mn-cs"/>
            </a:rPr>
            <a:t>You should not need to change this parameter</a:t>
          </a:r>
        </a:p>
        <a:p>
          <a:endParaRPr lang="en-AU" sz="5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FLOATING LEG:  This determines at what point interpolation is applied between various projection curves.</a:t>
          </a:r>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Example:  For a short stub of (say) 30 days we clearly use the 1M projection curve.   What about a short stub of 45 days?  Clearly we would need to interpolate between a 1M and 3M curve.</a:t>
          </a:r>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With an interpolation trigger of 7 days , interpolation is applied if a roll period is more than 7 days from 30, 90 and 180 days.   Ie:  A roll of 36 days is still considered a 1M roll. But a roll of 38 days will be interpolated between 1M and 3M projection curves</a:t>
          </a:r>
        </a:p>
        <a:p>
          <a:endParaRPr lang="en-AU" sz="1100" b="0" baseline="0" smtClean="0">
            <a:solidFill>
              <a:schemeClr val="dk1"/>
            </a:solidFill>
            <a:latin typeface="+mn-lt"/>
            <a:ea typeface="+mn-ea"/>
            <a:cs typeface="+mn-cs"/>
          </a:endParaRPr>
        </a:p>
        <a:p>
          <a:endParaRPr lang="en-AU" sz="1100" b="0" baseline="0" smtClean="0">
            <a:solidFill>
              <a:schemeClr val="dk1"/>
            </a:solidFill>
            <a:latin typeface="+mn-lt"/>
            <a:ea typeface="+mn-ea"/>
            <a:cs typeface="+mn-cs"/>
          </a:endParaRPr>
        </a:p>
      </xdr:txBody>
    </xdr:sp>
    <xdr:clientData/>
  </xdr:twoCellAnchor>
  <xdr:twoCellAnchor editAs="oneCell">
    <xdr:from>
      <xdr:col>14</xdr:col>
      <xdr:colOff>123824</xdr:colOff>
      <xdr:row>19</xdr:row>
      <xdr:rowOff>95250</xdr:rowOff>
    </xdr:from>
    <xdr:to>
      <xdr:col>23</xdr:col>
      <xdr:colOff>133350</xdr:colOff>
      <xdr:row>28</xdr:row>
      <xdr:rowOff>76200</xdr:rowOff>
    </xdr:to>
    <xdr:sp macro="" textlink="">
      <xdr:nvSpPr>
        <xdr:cNvPr id="11" name="HelpStubs" hidden="1"/>
        <xdr:cNvSpPr txBox="1"/>
      </xdr:nvSpPr>
      <xdr:spPr>
        <a:xfrm>
          <a:off x="3305174" y="3495675"/>
          <a:ext cx="3562351" cy="1438275"/>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Stub</a:t>
          </a:r>
          <a:r>
            <a:rPr lang="en-AU" sz="1400" b="1" baseline="0"/>
            <a:t> Rules</a:t>
          </a:r>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   </a:t>
          </a:r>
          <a:r>
            <a:rPr lang="en-AU" sz="1100" b="1" baseline="0" smtClean="0">
              <a:solidFill>
                <a:schemeClr val="dk1"/>
              </a:solidFill>
              <a:latin typeface="+mn-lt"/>
              <a:ea typeface="+mn-ea"/>
              <a:cs typeface="+mn-cs"/>
            </a:rPr>
            <a:t>S/S</a:t>
          </a:r>
          <a:r>
            <a:rPr lang="en-AU" sz="1100" b="0" baseline="0" smtClean="0">
              <a:solidFill>
                <a:schemeClr val="dk1"/>
              </a:solidFill>
              <a:latin typeface="+mn-lt"/>
              <a:ea typeface="+mn-ea"/>
              <a:cs typeface="+mn-cs"/>
            </a:rPr>
            <a:t>	Short front and Short end stubs</a:t>
          </a:r>
        </a:p>
        <a:p>
          <a:r>
            <a:rPr lang="en-AU" sz="1100" b="0" baseline="0" smtClean="0">
              <a:solidFill>
                <a:schemeClr val="dk1"/>
              </a:solidFill>
              <a:latin typeface="+mn-lt"/>
              <a:ea typeface="+mn-ea"/>
              <a:cs typeface="+mn-cs"/>
            </a:rPr>
            <a:t>   </a:t>
          </a:r>
          <a:r>
            <a:rPr lang="en-AU" sz="1100" b="1" baseline="0" smtClean="0">
              <a:solidFill>
                <a:schemeClr val="dk1"/>
              </a:solidFill>
              <a:latin typeface="+mn-lt"/>
              <a:ea typeface="+mn-ea"/>
              <a:cs typeface="+mn-cs"/>
            </a:rPr>
            <a:t>L/S</a:t>
          </a:r>
          <a:r>
            <a:rPr lang="en-AU" sz="1100" b="0" baseline="0" smtClean="0">
              <a:solidFill>
                <a:schemeClr val="dk1"/>
              </a:solidFill>
              <a:latin typeface="+mn-lt"/>
              <a:ea typeface="+mn-ea"/>
              <a:cs typeface="+mn-cs"/>
            </a:rPr>
            <a:t>	Short front and Long end stubs</a:t>
          </a:r>
        </a:p>
        <a:p>
          <a:r>
            <a:rPr lang="en-AU" sz="1100" b="0" baseline="0" smtClean="0">
              <a:solidFill>
                <a:schemeClr val="dk1"/>
              </a:solidFill>
              <a:latin typeface="+mn-lt"/>
              <a:ea typeface="+mn-ea"/>
              <a:cs typeface="+mn-cs"/>
            </a:rPr>
            <a:t>   </a:t>
          </a:r>
          <a:r>
            <a:rPr lang="en-AU" sz="1100" b="1" baseline="0" smtClean="0">
              <a:solidFill>
                <a:schemeClr val="dk1"/>
              </a:solidFill>
              <a:latin typeface="+mn-lt"/>
              <a:ea typeface="+mn-ea"/>
              <a:cs typeface="+mn-cs"/>
            </a:rPr>
            <a:t>S/L	</a:t>
          </a:r>
          <a:r>
            <a:rPr lang="en-AU" sz="1100" b="0" baseline="0" smtClean="0">
              <a:solidFill>
                <a:schemeClr val="dk1"/>
              </a:solidFill>
              <a:latin typeface="+mn-lt"/>
              <a:ea typeface="+mn-ea"/>
              <a:cs typeface="+mn-cs"/>
            </a:rPr>
            <a:t>Short front and Long end stubs</a:t>
          </a:r>
        </a:p>
        <a:p>
          <a:r>
            <a:rPr lang="en-AU" sz="1100" b="0" baseline="0" smtClean="0">
              <a:solidFill>
                <a:schemeClr val="dk1"/>
              </a:solidFill>
              <a:latin typeface="+mn-lt"/>
              <a:ea typeface="+mn-ea"/>
              <a:cs typeface="+mn-cs"/>
            </a:rPr>
            <a:t>   </a:t>
          </a:r>
          <a:r>
            <a:rPr lang="en-AU" sz="1100" b="1" baseline="0" smtClean="0">
              <a:solidFill>
                <a:schemeClr val="dk1"/>
              </a:solidFill>
              <a:latin typeface="+mn-lt"/>
              <a:ea typeface="+mn-ea"/>
              <a:cs typeface="+mn-cs"/>
            </a:rPr>
            <a:t>L/L</a:t>
          </a:r>
          <a:r>
            <a:rPr lang="en-AU" sz="1100" b="0" baseline="0" smtClean="0">
              <a:solidFill>
                <a:schemeClr val="dk1"/>
              </a:solidFill>
              <a:latin typeface="+mn-lt"/>
              <a:ea typeface="+mn-ea"/>
              <a:cs typeface="+mn-cs"/>
            </a:rPr>
            <a:t>	Long front and Long end stubs</a:t>
          </a:r>
        </a:p>
      </xdr:txBody>
    </xdr:sp>
    <xdr:clientData/>
  </xdr:twoCellAnchor>
  <xdr:twoCellAnchor editAs="oneCell">
    <xdr:from>
      <xdr:col>6</xdr:col>
      <xdr:colOff>133349</xdr:colOff>
      <xdr:row>12</xdr:row>
      <xdr:rowOff>95249</xdr:rowOff>
    </xdr:from>
    <xdr:to>
      <xdr:col>23</xdr:col>
      <xdr:colOff>85725</xdr:colOff>
      <xdr:row>25</xdr:row>
      <xdr:rowOff>47625</xdr:rowOff>
    </xdr:to>
    <xdr:sp macro="" textlink="">
      <xdr:nvSpPr>
        <xdr:cNvPr id="12" name="HelpRollAnniv" hidden="1"/>
        <xdr:cNvSpPr txBox="1"/>
      </xdr:nvSpPr>
      <xdr:spPr>
        <a:xfrm>
          <a:off x="3067049" y="2362199"/>
          <a:ext cx="3752851" cy="2057401"/>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Roll Anniversary</a:t>
          </a:r>
          <a:endParaRPr lang="en-AU" sz="1400" b="1" baseline="0"/>
        </a:p>
        <a:p>
          <a:pPr marL="0" marR="0" indent="0" defTabSz="914400" eaLnBrk="1" fontAlgn="auto" latinLnBrk="0" hangingPunct="1">
            <a:lnSpc>
              <a:spcPct val="100000"/>
            </a:lnSpc>
            <a:spcBef>
              <a:spcPts val="0"/>
            </a:spcBef>
            <a:spcAft>
              <a:spcPts val="0"/>
            </a:spcAft>
            <a:buClrTx/>
            <a:buSzTx/>
            <a:buFontTx/>
            <a:buNone/>
            <a:tabLst/>
            <a:defRPr/>
          </a:pPr>
          <a:r>
            <a:rPr lang="en-AU" sz="1100" b="0" baseline="0" smtClean="0">
              <a:solidFill>
                <a:schemeClr val="dk1"/>
              </a:solidFill>
              <a:latin typeface="+mn-lt"/>
              <a:ea typeface="+mn-ea"/>
              <a:cs typeface="+mn-cs"/>
            </a:rPr>
            <a:t>Use this input if you want roll dates to be generated from a reference date other than maturity date.   This may cause stub periods at both front and back.  </a:t>
          </a:r>
          <a:r>
            <a:rPr lang="en-AU" sz="1100" b="0" baseline="0">
              <a:solidFill>
                <a:schemeClr val="dk1"/>
              </a:solidFill>
              <a:latin typeface="+mn-lt"/>
              <a:ea typeface="+mn-ea"/>
              <a:cs typeface="+mn-cs"/>
            </a:rPr>
            <a:t>Use the </a:t>
          </a:r>
          <a:r>
            <a:rPr lang="en-AU" sz="1100" b="1" baseline="0">
              <a:solidFill>
                <a:schemeClr val="dk1"/>
              </a:solidFill>
              <a:latin typeface="+mn-lt"/>
              <a:ea typeface="+mn-ea"/>
              <a:cs typeface="+mn-cs"/>
            </a:rPr>
            <a:t>Stubs</a:t>
          </a:r>
          <a:r>
            <a:rPr lang="en-AU" sz="1100" b="0" baseline="0">
              <a:solidFill>
                <a:schemeClr val="dk1"/>
              </a:solidFill>
              <a:latin typeface="+mn-lt"/>
              <a:ea typeface="+mn-ea"/>
              <a:cs typeface="+mn-cs"/>
            </a:rPr>
            <a:t> settings to control whether these should be short or long stubs</a:t>
          </a:r>
          <a:endParaRPr lang="en-AU"/>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Example:  Enter  "13-9" to force roll dates to roll on 13th September anniversaries.</a:t>
          </a:r>
        </a:p>
      </xdr:txBody>
    </xdr:sp>
    <xdr:clientData/>
  </xdr:twoCellAnchor>
  <xdr:twoCellAnchor editAs="oneCell">
    <xdr:from>
      <xdr:col>24</xdr:col>
      <xdr:colOff>352424</xdr:colOff>
      <xdr:row>7</xdr:row>
      <xdr:rowOff>114300</xdr:rowOff>
    </xdr:from>
    <xdr:to>
      <xdr:col>64</xdr:col>
      <xdr:colOff>409575</xdr:colOff>
      <xdr:row>13</xdr:row>
      <xdr:rowOff>38100</xdr:rowOff>
    </xdr:to>
    <xdr:sp macro="" textlink="">
      <xdr:nvSpPr>
        <xdr:cNvPr id="7" name="HelpDesiredNPV" hidden="1"/>
        <xdr:cNvSpPr txBox="1"/>
      </xdr:nvSpPr>
      <xdr:spPr>
        <a:xfrm>
          <a:off x="8696324" y="1247775"/>
          <a:ext cx="2781301" cy="89535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Desired NPV</a:t>
          </a:r>
        </a:p>
        <a:p>
          <a:r>
            <a:rPr lang="en-AU" sz="1100" b="0" baseline="0" smtClean="0">
              <a:solidFill>
                <a:schemeClr val="dk1"/>
              </a:solidFill>
              <a:latin typeface="+mn-lt"/>
              <a:ea typeface="+mn-ea"/>
              <a:cs typeface="+mn-cs"/>
            </a:rPr>
            <a:t>Enter a dollar amount (eg: "1000") or a basis point amount  (eg:  "3bp")</a:t>
          </a:r>
        </a:p>
      </xdr:txBody>
    </xdr:sp>
    <xdr:clientData/>
  </xdr:twoCellAnchor>
  <xdr:twoCellAnchor editAs="oneCell">
    <xdr:from>
      <xdr:col>6</xdr:col>
      <xdr:colOff>66675</xdr:colOff>
      <xdr:row>13</xdr:row>
      <xdr:rowOff>0</xdr:rowOff>
    </xdr:from>
    <xdr:to>
      <xdr:col>23</xdr:col>
      <xdr:colOff>619126</xdr:colOff>
      <xdr:row>23</xdr:row>
      <xdr:rowOff>133350</xdr:rowOff>
    </xdr:to>
    <xdr:sp macro="" textlink="">
      <xdr:nvSpPr>
        <xdr:cNvPr id="19" name="HelpStartInput" hidden="1"/>
        <xdr:cNvSpPr txBox="1"/>
      </xdr:nvSpPr>
      <xdr:spPr>
        <a:xfrm>
          <a:off x="3000375" y="2428875"/>
          <a:ext cx="4352926" cy="175260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Swap</a:t>
          </a:r>
          <a:r>
            <a:rPr lang="en-AU" sz="1400" b="1" baseline="0"/>
            <a:t> Start</a:t>
          </a:r>
          <a:endParaRPr lang="en-AU" sz="1400" b="1"/>
        </a:p>
        <a:p>
          <a:r>
            <a:rPr lang="en-AU" sz="1100" baseline="0" smtClean="0">
              <a:solidFill>
                <a:schemeClr val="dk1"/>
              </a:solidFill>
              <a:latin typeface="+mn-lt"/>
              <a:ea typeface="+mn-ea"/>
              <a:cs typeface="+mn-cs"/>
            </a:rPr>
            <a:t>Enter a specific start date (eg: 13-9-2013 for 13th Sept. 2013),  or enter a period from today to start, examples:</a:t>
          </a:r>
          <a:endParaRPr lang="en-AU" sz="1100" b="1" baseline="0" smtClean="0">
            <a:solidFill>
              <a:schemeClr val="dk1"/>
            </a:solidFill>
            <a:latin typeface="+mn-lt"/>
            <a:ea typeface="+mn-ea"/>
            <a:cs typeface="+mn-cs"/>
          </a:endParaRPr>
        </a:p>
        <a:p>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   1b	</a:t>
          </a:r>
          <a:r>
            <a:rPr lang="en-AU" sz="1100" b="0" baseline="0" smtClean="0">
              <a:solidFill>
                <a:schemeClr val="dk1"/>
              </a:solidFill>
              <a:latin typeface="+mn-lt"/>
              <a:ea typeface="+mn-ea"/>
              <a:cs typeface="+mn-cs"/>
            </a:rPr>
            <a:t>1 business day.   This is typical for AUD swaps</a:t>
          </a:r>
          <a:endParaRPr lang="en-AU" sz="1100" baseline="0" smtClean="0">
            <a:solidFill>
              <a:schemeClr val="dk1"/>
            </a:solidFill>
            <a:latin typeface="+mn-lt"/>
            <a:ea typeface="+mn-ea"/>
            <a:cs typeface="+mn-cs"/>
          </a:endParaRPr>
        </a:p>
        <a:p>
          <a:r>
            <a:rPr lang="en-AU" sz="1100" b="1" baseline="0" smtClean="0">
              <a:solidFill>
                <a:schemeClr val="dk1"/>
              </a:solidFill>
              <a:latin typeface="+mn-lt"/>
              <a:ea typeface="+mn-ea"/>
              <a:cs typeface="+mn-cs"/>
            </a:rPr>
            <a:t>   0d	</a:t>
          </a:r>
          <a:r>
            <a:rPr lang="en-AU" sz="1100" b="0" baseline="0" smtClean="0">
              <a:solidFill>
                <a:schemeClr val="dk1"/>
              </a:solidFill>
              <a:latin typeface="+mn-lt"/>
              <a:ea typeface="+mn-ea"/>
              <a:cs typeface="+mn-cs"/>
            </a:rPr>
            <a:t>0 calendar days.  This is typical for GBP swaps</a:t>
          </a:r>
        </a:p>
        <a:p>
          <a:r>
            <a:rPr lang="en-AU" sz="1100" b="1" baseline="0" smtClean="0">
              <a:solidFill>
                <a:schemeClr val="dk1"/>
              </a:solidFill>
              <a:latin typeface="+mn-lt"/>
              <a:ea typeface="+mn-ea"/>
              <a:cs typeface="+mn-cs"/>
            </a:rPr>
            <a:t>   1M</a:t>
          </a:r>
          <a:r>
            <a:rPr lang="en-AU" sz="1100" b="0" baseline="0" smtClean="0">
              <a:solidFill>
                <a:schemeClr val="dk1"/>
              </a:solidFill>
              <a:latin typeface="+mn-lt"/>
              <a:ea typeface="+mn-ea"/>
              <a:cs typeface="+mn-cs"/>
            </a:rPr>
            <a:t>	Forward start out of 1 month</a:t>
          </a:r>
        </a:p>
        <a:p>
          <a:r>
            <a:rPr lang="en-AU" sz="1100" b="1" baseline="0" smtClean="0">
              <a:solidFill>
                <a:schemeClr val="dk1"/>
              </a:solidFill>
              <a:latin typeface="+mn-lt"/>
              <a:ea typeface="+mn-ea"/>
              <a:cs typeface="+mn-cs"/>
            </a:rPr>
            <a:t>   2Y</a:t>
          </a:r>
          <a:r>
            <a:rPr lang="en-AU" sz="1100" b="0" baseline="0" smtClean="0">
              <a:solidFill>
                <a:schemeClr val="dk1"/>
              </a:solidFill>
              <a:latin typeface="+mn-lt"/>
              <a:ea typeface="+mn-ea"/>
              <a:cs typeface="+mn-cs"/>
            </a:rPr>
            <a:t>	Forward start out of 2 years</a:t>
          </a:r>
        </a:p>
      </xdr:txBody>
    </xdr:sp>
    <xdr:clientData/>
  </xdr:twoCellAnchor>
  <xdr:twoCellAnchor editAs="oneCell">
    <xdr:from>
      <xdr:col>6</xdr:col>
      <xdr:colOff>66675</xdr:colOff>
      <xdr:row>13</xdr:row>
      <xdr:rowOff>152400</xdr:rowOff>
    </xdr:from>
    <xdr:to>
      <xdr:col>23</xdr:col>
      <xdr:colOff>619126</xdr:colOff>
      <xdr:row>24</xdr:row>
      <xdr:rowOff>123825</xdr:rowOff>
    </xdr:to>
    <xdr:sp macro="" textlink="">
      <xdr:nvSpPr>
        <xdr:cNvPr id="20" name="HelpEndInput" hidden="1"/>
        <xdr:cNvSpPr txBox="1"/>
      </xdr:nvSpPr>
      <xdr:spPr>
        <a:xfrm>
          <a:off x="3000375" y="2581275"/>
          <a:ext cx="4352926" cy="175260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Swap</a:t>
          </a:r>
          <a:r>
            <a:rPr lang="en-AU" sz="1400" b="1" baseline="0"/>
            <a:t> End / Length</a:t>
          </a:r>
          <a:endParaRPr lang="en-AU" sz="1400" b="1"/>
        </a:p>
        <a:p>
          <a:r>
            <a:rPr lang="en-AU" sz="1100" baseline="0" smtClean="0">
              <a:solidFill>
                <a:schemeClr val="dk1"/>
              </a:solidFill>
              <a:latin typeface="+mn-lt"/>
              <a:ea typeface="+mn-ea"/>
              <a:cs typeface="+mn-cs"/>
            </a:rPr>
            <a:t>Enter a specific maturity date (do not adjust for weekends/holidays) OR the length of the swaps as period</a:t>
          </a:r>
        </a:p>
        <a:p>
          <a:endParaRPr lang="en-AU" sz="1100" baseline="0" smtClean="0">
            <a:solidFill>
              <a:schemeClr val="dk1"/>
            </a:solidFill>
            <a:latin typeface="+mn-lt"/>
            <a:ea typeface="+mn-ea"/>
            <a:cs typeface="+mn-cs"/>
          </a:endParaRPr>
        </a:p>
        <a:p>
          <a:r>
            <a:rPr lang="en-AU" sz="1100" baseline="0" smtClean="0">
              <a:solidFill>
                <a:schemeClr val="dk1"/>
              </a:solidFill>
              <a:latin typeface="+mn-lt"/>
              <a:ea typeface="+mn-ea"/>
              <a:cs typeface="+mn-cs"/>
            </a:rPr>
            <a:t>   </a:t>
          </a:r>
          <a:r>
            <a:rPr lang="en-AU" sz="1100" b="0" baseline="0" smtClean="0">
              <a:solidFill>
                <a:schemeClr val="dk1"/>
              </a:solidFill>
              <a:latin typeface="+mn-lt"/>
              <a:ea typeface="+mn-ea"/>
              <a:cs typeface="+mn-cs"/>
            </a:rPr>
            <a:t>EXAMPLES:</a:t>
          </a:r>
        </a:p>
        <a:p>
          <a:r>
            <a:rPr lang="en-AU" sz="1100" b="0" baseline="0" smtClean="0">
              <a:solidFill>
                <a:schemeClr val="dk1"/>
              </a:solidFill>
              <a:latin typeface="+mn-lt"/>
              <a:ea typeface="+mn-ea"/>
              <a:cs typeface="+mn-cs"/>
            </a:rPr>
            <a:t>   15-Aug-2020	Swap will nominally mature on 15th August 2020</a:t>
          </a:r>
        </a:p>
        <a:p>
          <a:r>
            <a:rPr lang="en-AU" sz="1100" b="0" baseline="0" smtClean="0">
              <a:solidFill>
                <a:schemeClr val="dk1"/>
              </a:solidFill>
              <a:latin typeface="+mn-lt"/>
              <a:ea typeface="+mn-ea"/>
              <a:cs typeface="+mn-cs"/>
            </a:rPr>
            <a:t>   12Y	Swap will mature 12 years after start date</a:t>
          </a:r>
        </a:p>
      </xdr:txBody>
    </xdr:sp>
    <xdr:clientData/>
  </xdr:twoCellAnchor>
  <xdr:twoCellAnchor editAs="oneCell">
    <xdr:from>
      <xdr:col>5</xdr:col>
      <xdr:colOff>133349</xdr:colOff>
      <xdr:row>4</xdr:row>
      <xdr:rowOff>28574</xdr:rowOff>
    </xdr:from>
    <xdr:to>
      <xdr:col>20</xdr:col>
      <xdr:colOff>533400</xdr:colOff>
      <xdr:row>18</xdr:row>
      <xdr:rowOff>133350</xdr:rowOff>
    </xdr:to>
    <xdr:sp macro="" textlink="">
      <xdr:nvSpPr>
        <xdr:cNvPr id="22" name="HelpDiscounting" hidden="1"/>
        <xdr:cNvSpPr txBox="1"/>
      </xdr:nvSpPr>
      <xdr:spPr>
        <a:xfrm>
          <a:off x="2486024" y="676274"/>
          <a:ext cx="3648076" cy="2371726"/>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Discounting</a:t>
          </a:r>
          <a:endParaRPr lang="en-AU" sz="1400" b="1" baseline="0"/>
        </a:p>
        <a:p>
          <a:r>
            <a:rPr lang="en-AU" sz="1100" b="0" baseline="0" smtClean="0">
              <a:solidFill>
                <a:srgbClr val="FF0000"/>
              </a:solidFill>
              <a:latin typeface="+mn-lt"/>
              <a:ea typeface="+mn-ea"/>
              <a:cs typeface="+mn-cs"/>
            </a:rPr>
            <a:t>The facility is not yet operational and exists here as a placeholder for the future.  All discounting is ZERO BANK which is the current approved revalatuion method</a:t>
          </a:r>
        </a:p>
        <a:p>
          <a:endParaRPr lang="en-AU" sz="1100" b="0" baseline="0" smtClean="0">
            <a:solidFill>
              <a:sysClr val="windowText" lastClr="000000"/>
            </a:solidFill>
            <a:latin typeface="+mn-lt"/>
            <a:ea typeface="+mn-ea"/>
            <a:cs typeface="+mn-cs"/>
          </a:endParaRPr>
        </a:p>
        <a:p>
          <a:r>
            <a:rPr lang="en-AU" sz="1100" b="0" baseline="0" smtClean="0">
              <a:solidFill>
                <a:sysClr val="windowText" lastClr="000000"/>
              </a:solidFill>
              <a:latin typeface="+mn-lt"/>
              <a:ea typeface="+mn-ea"/>
              <a:cs typeface="+mn-cs"/>
            </a:rPr>
            <a:t>Zero Bank	Conventional NAB revaluation method</a:t>
          </a:r>
        </a:p>
        <a:p>
          <a:r>
            <a:rPr lang="en-AU" sz="1100" b="0" baseline="0" smtClean="0">
              <a:solidFill>
                <a:sysClr val="windowText" lastClr="000000"/>
              </a:solidFill>
              <a:latin typeface="+mn-lt"/>
              <a:ea typeface="+mn-ea"/>
              <a:cs typeface="+mn-cs"/>
            </a:rPr>
            <a:t>Local OIS	Local currency collateralisation</a:t>
          </a:r>
        </a:p>
        <a:p>
          <a:r>
            <a:rPr lang="en-AU" sz="1100" b="0" baseline="0" smtClean="0">
              <a:solidFill>
                <a:sysClr val="windowText" lastClr="000000"/>
              </a:solidFill>
              <a:latin typeface="+mn-lt"/>
              <a:ea typeface="+mn-ea"/>
              <a:cs typeface="+mn-cs"/>
            </a:rPr>
            <a:t>Fed Funds	USD  collateralisation</a:t>
          </a:r>
        </a:p>
        <a:p>
          <a:r>
            <a:rPr lang="en-AU" sz="1100" b="0" baseline="0" smtClean="0">
              <a:solidFill>
                <a:sysClr val="windowText" lastClr="000000"/>
              </a:solidFill>
              <a:latin typeface="+mn-lt"/>
              <a:ea typeface="+mn-ea"/>
              <a:cs typeface="+mn-cs"/>
            </a:rPr>
            <a:t>EONIA	EUR collateralisation</a:t>
          </a:r>
        </a:p>
        <a:p>
          <a:r>
            <a:rPr lang="en-AU" sz="1100" b="0" baseline="0" smtClean="0">
              <a:solidFill>
                <a:sysClr val="windowText" lastClr="000000"/>
              </a:solidFill>
              <a:latin typeface="+mn-lt"/>
              <a:ea typeface="+mn-ea"/>
              <a:cs typeface="+mn-cs"/>
            </a:rPr>
            <a:t>SONIA	GBP collateralisation</a:t>
          </a:r>
        </a:p>
        <a:p>
          <a:pPr marL="0" marR="0" indent="0" defTabSz="914400" eaLnBrk="1" fontAlgn="auto" latinLnBrk="0" hangingPunct="1">
            <a:lnSpc>
              <a:spcPct val="100000"/>
            </a:lnSpc>
            <a:spcBef>
              <a:spcPts val="0"/>
            </a:spcBef>
            <a:spcAft>
              <a:spcPts val="0"/>
            </a:spcAft>
            <a:buClrTx/>
            <a:buSzTx/>
            <a:buFontTx/>
            <a:buNone/>
            <a:tabLst/>
            <a:defRPr/>
          </a:pPr>
          <a:r>
            <a:rPr lang="en-AU" sz="1100" b="0" baseline="0">
              <a:solidFill>
                <a:schemeClr val="dk1"/>
              </a:solidFill>
              <a:latin typeface="+mn-lt"/>
              <a:ea typeface="+mn-ea"/>
              <a:cs typeface="+mn-cs"/>
            </a:rPr>
            <a:t>NAB COF	NAB cost of funds (AUD)</a:t>
          </a:r>
          <a:endParaRPr lang="en-AU" sz="1100">
            <a:solidFill>
              <a:schemeClr val="dk1"/>
            </a:solidFill>
            <a:latin typeface="+mn-lt"/>
            <a:ea typeface="+mn-ea"/>
            <a:cs typeface="+mn-cs"/>
          </a:endParaRPr>
        </a:p>
        <a:p>
          <a:endParaRPr lang="en-AU" sz="1100" b="0" baseline="0" smtClean="0">
            <a:solidFill>
              <a:sysClr val="windowText" lastClr="000000"/>
            </a:solidFill>
            <a:latin typeface="+mn-lt"/>
            <a:ea typeface="+mn-ea"/>
            <a:cs typeface="+mn-cs"/>
          </a:endParaRPr>
        </a:p>
      </xdr:txBody>
    </xdr:sp>
    <xdr:clientData/>
  </xdr:twoCellAnchor>
  <xdr:twoCellAnchor editAs="oneCell">
    <xdr:from>
      <xdr:col>15</xdr:col>
      <xdr:colOff>0</xdr:colOff>
      <xdr:row>18</xdr:row>
      <xdr:rowOff>38100</xdr:rowOff>
    </xdr:from>
    <xdr:to>
      <xdr:col>23</xdr:col>
      <xdr:colOff>257176</xdr:colOff>
      <xdr:row>33</xdr:row>
      <xdr:rowOff>85725</xdr:rowOff>
    </xdr:to>
    <xdr:sp macro="" textlink="">
      <xdr:nvSpPr>
        <xdr:cNvPr id="16" name="HelpHolidayOverride" hidden="1"/>
        <xdr:cNvSpPr txBox="1"/>
      </xdr:nvSpPr>
      <xdr:spPr>
        <a:xfrm>
          <a:off x="3495675" y="2952750"/>
          <a:ext cx="3562351" cy="247650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a:t>Holiday</a:t>
          </a:r>
          <a:r>
            <a:rPr lang="en-AU" sz="1400" b="1" baseline="0"/>
            <a:t> Override</a:t>
          </a:r>
        </a:p>
        <a:p>
          <a:r>
            <a:rPr lang="en-AU" sz="1100" b="0" baseline="0" smtClean="0">
              <a:solidFill>
                <a:srgbClr val="FF0000"/>
              </a:solidFill>
              <a:latin typeface="+mn-lt"/>
              <a:ea typeface="+mn-ea"/>
              <a:cs typeface="+mn-cs"/>
            </a:rPr>
            <a:t>Leave this blank to automatically use default holidays for the currency.  Currencies are assigned to capital cities as shown on the HOL worksheet tab</a:t>
          </a:r>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You can use specific holiday codes for cities and/or currencies.  These codes are visible on the sheet tab HOL</a:t>
          </a:r>
        </a:p>
        <a:p>
          <a:endParaRPr lang="en-AU" sz="1100" b="0" baseline="0" smtClean="0">
            <a:solidFill>
              <a:schemeClr val="dk1"/>
            </a:solidFill>
            <a:latin typeface="+mn-lt"/>
            <a:ea typeface="+mn-ea"/>
            <a:cs typeface="+mn-cs"/>
          </a:endParaRPr>
        </a:p>
        <a:p>
          <a:r>
            <a:rPr lang="en-AU" sz="1100" b="0" baseline="0" smtClean="0">
              <a:solidFill>
                <a:schemeClr val="dk1"/>
              </a:solidFill>
              <a:latin typeface="+mn-lt"/>
              <a:ea typeface="+mn-ea"/>
              <a:cs typeface="+mn-cs"/>
            </a:rPr>
            <a:t>Some examples:</a:t>
          </a:r>
        </a:p>
        <a:p>
          <a:r>
            <a:rPr lang="en-AU" sz="1100" b="0" baseline="0" smtClean="0">
              <a:solidFill>
                <a:schemeClr val="dk1"/>
              </a:solidFill>
              <a:latin typeface="+mn-lt"/>
              <a:ea typeface="+mn-ea"/>
              <a:cs typeface="+mn-cs"/>
            </a:rPr>
            <a:t>SYD  or  AUD	Sydney holidays</a:t>
          </a:r>
        </a:p>
        <a:p>
          <a:r>
            <a:rPr lang="en-AU" sz="1100" b="0" baseline="0" smtClean="0">
              <a:solidFill>
                <a:schemeClr val="dk1"/>
              </a:solidFill>
              <a:latin typeface="+mn-lt"/>
              <a:ea typeface="+mn-ea"/>
              <a:cs typeface="+mn-cs"/>
            </a:rPr>
            <a:t>SYD+PER	Sydney and Perth holidays</a:t>
          </a:r>
        </a:p>
        <a:p>
          <a:r>
            <a:rPr lang="en-AU" sz="1100" b="0" baseline="0" smtClean="0">
              <a:solidFill>
                <a:schemeClr val="dk1"/>
              </a:solidFill>
              <a:latin typeface="+mn-lt"/>
              <a:ea typeface="+mn-ea"/>
              <a:cs typeface="+mn-cs"/>
            </a:rPr>
            <a:t>PER	Perth holidays only</a:t>
          </a:r>
        </a:p>
      </xdr:txBody>
    </xdr:sp>
    <xdr:clientData/>
  </xdr:twoCellAnchor>
  <xdr:twoCellAnchor editAs="oneCell">
    <xdr:from>
      <xdr:col>20</xdr:col>
      <xdr:colOff>209550</xdr:colOff>
      <xdr:row>3</xdr:row>
      <xdr:rowOff>38100</xdr:rowOff>
    </xdr:from>
    <xdr:to>
      <xdr:col>63</xdr:col>
      <xdr:colOff>638176</xdr:colOff>
      <xdr:row>15</xdr:row>
      <xdr:rowOff>114300</xdr:rowOff>
    </xdr:to>
    <xdr:sp macro="" textlink="">
      <xdr:nvSpPr>
        <xdr:cNvPr id="14" name="HelpDesiredFixedRate" hidden="1"/>
        <xdr:cNvSpPr txBox="1"/>
      </xdr:nvSpPr>
      <xdr:spPr>
        <a:xfrm>
          <a:off x="5810250" y="523875"/>
          <a:ext cx="4352926" cy="2019300"/>
        </a:xfrm>
        <a:prstGeom prst="rect">
          <a:avLst/>
        </a:prstGeom>
        <a:solidFill>
          <a:schemeClr val="bg1">
            <a:lumMod val="85000"/>
          </a:schemeClr>
        </a:solidFill>
        <a:ln w="0" cmpd="sng">
          <a:noFill/>
        </a:ln>
        <a:effectLst>
          <a:outerShdw blurRad="190500" dist="88900" dir="2700000" algn="tl" rotWithShape="0">
            <a:prstClr val="black">
              <a:alpha val="40000"/>
            </a:prstClr>
          </a:outerShdw>
        </a:effectLst>
        <a:scene3d>
          <a:camera prst="orthographicFront"/>
          <a:lightRig rig="threePt" dir="t">
            <a:rot lat="0" lon="0" rev="0"/>
          </a:lightRig>
        </a:scene3d>
        <a:sp3d>
          <a:bevelT w="127000" h="127000"/>
          <a:bevelB w="127000" h="127000"/>
          <a:contourClr>
            <a:schemeClr val="tx1">
              <a:lumMod val="50000"/>
              <a:lumOff val="50000"/>
            </a:schemeClr>
          </a:contourClr>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AU" sz="500" b="1"/>
        </a:p>
        <a:p>
          <a:r>
            <a:rPr lang="en-AU" sz="1400" b="1" baseline="0"/>
            <a:t>Fixed Rate Override</a:t>
          </a:r>
          <a:endParaRPr lang="en-AU" sz="1400" b="1"/>
        </a:p>
        <a:p>
          <a:r>
            <a:rPr lang="en-AU" sz="1100" baseline="0" smtClean="0">
              <a:solidFill>
                <a:srgbClr val="FF0000"/>
              </a:solidFill>
              <a:latin typeface="+mn-lt"/>
              <a:ea typeface="+mn-ea"/>
              <a:cs typeface="+mn-cs"/>
            </a:rPr>
            <a:t>Normally you would leave this cell blank, so the sheet will solve for a fixed rate</a:t>
          </a:r>
        </a:p>
        <a:p>
          <a:endParaRPr lang="en-AU" sz="1100" baseline="0" smtClean="0">
            <a:solidFill>
              <a:schemeClr val="dk1"/>
            </a:solidFill>
            <a:latin typeface="+mn-lt"/>
            <a:ea typeface="+mn-ea"/>
            <a:cs typeface="+mn-cs"/>
          </a:endParaRPr>
        </a:p>
        <a:p>
          <a:r>
            <a:rPr lang="en-AU" sz="1100" baseline="0" smtClean="0">
              <a:solidFill>
                <a:schemeClr val="dk1"/>
              </a:solidFill>
              <a:latin typeface="+mn-lt"/>
              <a:ea typeface="+mn-ea"/>
              <a:cs typeface="+mn-cs"/>
            </a:rPr>
            <a:t>Entering a number here overrides the swap's fixed rate and therefore the swap's PV will (typcally) be non-zero.</a:t>
          </a:r>
        </a:p>
        <a:p>
          <a:endParaRPr lang="en-AU" sz="1100" baseline="0" smtClean="0">
            <a:solidFill>
              <a:schemeClr val="dk1"/>
            </a:solidFill>
            <a:latin typeface="+mn-lt"/>
            <a:ea typeface="+mn-ea"/>
            <a:cs typeface="+mn-cs"/>
          </a:endParaRPr>
        </a:p>
        <a:p>
          <a:r>
            <a:rPr lang="en-AU" sz="1100" baseline="0" smtClean="0">
              <a:solidFill>
                <a:schemeClr val="dk1"/>
              </a:solidFill>
              <a:latin typeface="+mn-lt"/>
              <a:ea typeface="+mn-ea"/>
              <a:cs typeface="+mn-cs"/>
            </a:rPr>
            <a:t>You may want to use this feature for PV'ing existing swaps where the fixed rate has already been struck</a:t>
          </a:r>
        </a:p>
        <a:p>
          <a:endParaRPr lang="en-AU" sz="1100" baseline="0" smtClean="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59</xdr:col>
      <xdr:colOff>399653</xdr:colOff>
      <xdr:row>15</xdr:row>
      <xdr:rowOff>66675</xdr:rowOff>
    </xdr:from>
    <xdr:to>
      <xdr:col>59</xdr:col>
      <xdr:colOff>401241</xdr:colOff>
      <xdr:row>16</xdr:row>
      <xdr:rowOff>114300</xdr:rowOff>
    </xdr:to>
    <xdr:cxnSp macro="">
      <xdr:nvCxnSpPr>
        <xdr:cNvPr id="4" name="Straight Arrow Connector 3"/>
        <xdr:cNvCxnSpPr/>
      </xdr:nvCxnSpPr>
      <xdr:spPr>
        <a:xfrm rot="5400000">
          <a:off x="12706747" y="2599531"/>
          <a:ext cx="20955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400050</xdr:colOff>
      <xdr:row>15</xdr:row>
      <xdr:rowOff>66675</xdr:rowOff>
    </xdr:from>
    <xdr:to>
      <xdr:col>60</xdr:col>
      <xdr:colOff>401638</xdr:colOff>
      <xdr:row>16</xdr:row>
      <xdr:rowOff>114300</xdr:rowOff>
    </xdr:to>
    <xdr:cxnSp macro="">
      <xdr:nvCxnSpPr>
        <xdr:cNvPr id="5" name="Straight Arrow Connector 4"/>
        <xdr:cNvCxnSpPr/>
      </xdr:nvCxnSpPr>
      <xdr:spPr>
        <a:xfrm rot="5400000">
          <a:off x="13488194" y="2599531"/>
          <a:ext cx="20955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110</xdr:col>
      <xdr:colOff>428228</xdr:colOff>
      <xdr:row>15</xdr:row>
      <xdr:rowOff>66675</xdr:rowOff>
    </xdr:from>
    <xdr:to>
      <xdr:col>110</xdr:col>
      <xdr:colOff>429816</xdr:colOff>
      <xdr:row>16</xdr:row>
      <xdr:rowOff>114300</xdr:rowOff>
    </xdr:to>
    <xdr:cxnSp macro="">
      <xdr:nvCxnSpPr>
        <xdr:cNvPr id="12" name="Straight Arrow Connector 11"/>
        <xdr:cNvCxnSpPr/>
      </xdr:nvCxnSpPr>
      <xdr:spPr>
        <a:xfrm rot="5400000">
          <a:off x="9687322" y="2523331"/>
          <a:ext cx="20955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111</xdr:col>
      <xdr:colOff>447675</xdr:colOff>
      <xdr:row>15</xdr:row>
      <xdr:rowOff>66675</xdr:rowOff>
    </xdr:from>
    <xdr:to>
      <xdr:col>111</xdr:col>
      <xdr:colOff>449263</xdr:colOff>
      <xdr:row>16</xdr:row>
      <xdr:rowOff>114300</xdr:rowOff>
    </xdr:to>
    <xdr:cxnSp macro="">
      <xdr:nvCxnSpPr>
        <xdr:cNvPr id="13" name="Straight Arrow Connector 12"/>
        <xdr:cNvCxnSpPr/>
      </xdr:nvCxnSpPr>
      <xdr:spPr>
        <a:xfrm rot="5400000">
          <a:off x="10487819" y="2523331"/>
          <a:ext cx="20955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250609</xdr:colOff>
      <xdr:row>6</xdr:row>
      <xdr:rowOff>34879</xdr:rowOff>
    </xdr:from>
    <xdr:to>
      <xdr:col>65</xdr:col>
      <xdr:colOff>561250</xdr:colOff>
      <xdr:row>6</xdr:row>
      <xdr:rowOff>151040</xdr:rowOff>
    </xdr:to>
    <xdr:sp macro="[0]!STR_SolveTotal" textlink="">
      <xdr:nvSpPr>
        <xdr:cNvPr id="18" name="Rounded Rectangle 17"/>
        <xdr:cNvSpPr>
          <a:spLocks/>
        </xdr:cNvSpPr>
      </xdr:nvSpPr>
      <xdr:spPr>
        <a:xfrm>
          <a:off x="6403759" y="1006429"/>
          <a:ext cx="310641" cy="116161"/>
        </a:xfrm>
        <a:prstGeom prst="roundRect">
          <a:avLst/>
        </a:prstGeom>
        <a:ln w="3175">
          <a:solidFill>
            <a:schemeClr val="bg1">
              <a:lumMod val="75000"/>
            </a:schemeClr>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AU" sz="800"/>
            <a:t>Solve</a:t>
          </a:r>
        </a:p>
      </xdr:txBody>
    </xdr:sp>
    <xdr:clientData/>
  </xdr:twoCellAnchor>
  <xdr:twoCellAnchor>
    <xdr:from>
      <xdr:col>65</xdr:col>
      <xdr:colOff>247652</xdr:colOff>
      <xdr:row>5</xdr:row>
      <xdr:rowOff>17204</xdr:rowOff>
    </xdr:from>
    <xdr:to>
      <xdr:col>65</xdr:col>
      <xdr:colOff>558293</xdr:colOff>
      <xdr:row>5</xdr:row>
      <xdr:rowOff>133596</xdr:rowOff>
    </xdr:to>
    <xdr:sp macro="[0]!STR_SolveLeg2" textlink="">
      <xdr:nvSpPr>
        <xdr:cNvPr id="19" name="Rounded Rectangle 18"/>
        <xdr:cNvSpPr>
          <a:spLocks/>
        </xdr:cNvSpPr>
      </xdr:nvSpPr>
      <xdr:spPr>
        <a:xfrm>
          <a:off x="6400802" y="826829"/>
          <a:ext cx="310641" cy="116392"/>
        </a:xfrm>
        <a:prstGeom prst="roundRect">
          <a:avLst/>
        </a:prstGeom>
        <a:ln w="3175">
          <a:solidFill>
            <a:schemeClr val="bg1">
              <a:lumMod val="75000"/>
            </a:schemeClr>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AU" sz="800"/>
            <a:t>Solve</a:t>
          </a:r>
        </a:p>
      </xdr:txBody>
    </xdr:sp>
    <xdr:clientData/>
  </xdr:twoCellAnchor>
  <xdr:twoCellAnchor>
    <xdr:from>
      <xdr:col>65</xdr:col>
      <xdr:colOff>247652</xdr:colOff>
      <xdr:row>4</xdr:row>
      <xdr:rowOff>28104</xdr:rowOff>
    </xdr:from>
    <xdr:to>
      <xdr:col>65</xdr:col>
      <xdr:colOff>558293</xdr:colOff>
      <xdr:row>4</xdr:row>
      <xdr:rowOff>144496</xdr:rowOff>
    </xdr:to>
    <xdr:sp macro="[0]!STR_SolveLeg1" textlink="">
      <xdr:nvSpPr>
        <xdr:cNvPr id="20" name="Rounded Rectangle 19"/>
        <xdr:cNvSpPr>
          <a:spLocks/>
        </xdr:cNvSpPr>
      </xdr:nvSpPr>
      <xdr:spPr>
        <a:xfrm>
          <a:off x="6400802" y="675804"/>
          <a:ext cx="310641" cy="116392"/>
        </a:xfrm>
        <a:prstGeom prst="roundRect">
          <a:avLst/>
        </a:prstGeom>
        <a:ln w="3175">
          <a:solidFill>
            <a:schemeClr val="bg1">
              <a:lumMod val="75000"/>
            </a:schemeClr>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AU" sz="800"/>
            <a:t>Solve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29</xdr:col>
      <xdr:colOff>133349</xdr:colOff>
      <xdr:row>23</xdr:row>
      <xdr:rowOff>28575</xdr:rowOff>
    </xdr:from>
    <xdr:to>
      <xdr:col>44</xdr:col>
      <xdr:colOff>76199</xdr:colOff>
      <xdr:row>42</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64</xdr:col>
      <xdr:colOff>237331</xdr:colOff>
      <xdr:row>11</xdr:row>
      <xdr:rowOff>57944</xdr:rowOff>
    </xdr:from>
    <xdr:to>
      <xdr:col>64</xdr:col>
      <xdr:colOff>238919</xdr:colOff>
      <xdr:row>13</xdr:row>
      <xdr:rowOff>115094</xdr:rowOff>
    </xdr:to>
    <xdr:cxnSp macro="">
      <xdr:nvCxnSpPr>
        <xdr:cNvPr id="5" name="Straight Arrow Connector 4"/>
        <xdr:cNvCxnSpPr/>
      </xdr:nvCxnSpPr>
      <xdr:spPr>
        <a:xfrm rot="5400000">
          <a:off x="15268575"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237331</xdr:colOff>
      <xdr:row>11</xdr:row>
      <xdr:rowOff>57944</xdr:rowOff>
    </xdr:from>
    <xdr:to>
      <xdr:col>74</xdr:col>
      <xdr:colOff>238919</xdr:colOff>
      <xdr:row>13</xdr:row>
      <xdr:rowOff>115094</xdr:rowOff>
    </xdr:to>
    <xdr:cxnSp macro="">
      <xdr:nvCxnSpPr>
        <xdr:cNvPr id="8" name="Straight Arrow Connector 7"/>
        <xdr:cNvCxnSpPr/>
      </xdr:nvCxnSpPr>
      <xdr:spPr>
        <a:xfrm rot="5400000">
          <a:off x="15268575"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237331</xdr:colOff>
      <xdr:row>11</xdr:row>
      <xdr:rowOff>57944</xdr:rowOff>
    </xdr:from>
    <xdr:to>
      <xdr:col>86</xdr:col>
      <xdr:colOff>238919</xdr:colOff>
      <xdr:row>13</xdr:row>
      <xdr:rowOff>115094</xdr:rowOff>
    </xdr:to>
    <xdr:cxnSp macro="">
      <xdr:nvCxnSpPr>
        <xdr:cNvPr id="9" name="Straight Arrow Connector 8"/>
        <xdr:cNvCxnSpPr/>
      </xdr:nvCxnSpPr>
      <xdr:spPr>
        <a:xfrm rot="5400000">
          <a:off x="16278225"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237331</xdr:colOff>
      <xdr:row>11</xdr:row>
      <xdr:rowOff>57944</xdr:rowOff>
    </xdr:from>
    <xdr:to>
      <xdr:col>98</xdr:col>
      <xdr:colOff>238919</xdr:colOff>
      <xdr:row>13</xdr:row>
      <xdr:rowOff>115094</xdr:rowOff>
    </xdr:to>
    <xdr:cxnSp macro="">
      <xdr:nvCxnSpPr>
        <xdr:cNvPr id="10" name="Straight Arrow Connector 9"/>
        <xdr:cNvCxnSpPr/>
      </xdr:nvCxnSpPr>
      <xdr:spPr>
        <a:xfrm rot="5400000">
          <a:off x="18011775"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110</xdr:col>
      <xdr:colOff>237331</xdr:colOff>
      <xdr:row>11</xdr:row>
      <xdr:rowOff>57944</xdr:rowOff>
    </xdr:from>
    <xdr:to>
      <xdr:col>110</xdr:col>
      <xdr:colOff>238919</xdr:colOff>
      <xdr:row>13</xdr:row>
      <xdr:rowOff>115094</xdr:rowOff>
    </xdr:to>
    <xdr:cxnSp macro="">
      <xdr:nvCxnSpPr>
        <xdr:cNvPr id="11" name="Straight Arrow Connector 10"/>
        <xdr:cNvCxnSpPr/>
      </xdr:nvCxnSpPr>
      <xdr:spPr>
        <a:xfrm rot="5400000">
          <a:off x="19659600"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237331</xdr:colOff>
      <xdr:row>11</xdr:row>
      <xdr:rowOff>57944</xdr:rowOff>
    </xdr:from>
    <xdr:to>
      <xdr:col>122</xdr:col>
      <xdr:colOff>238919</xdr:colOff>
      <xdr:row>13</xdr:row>
      <xdr:rowOff>115094</xdr:rowOff>
    </xdr:to>
    <xdr:cxnSp macro="">
      <xdr:nvCxnSpPr>
        <xdr:cNvPr id="12" name="Straight Arrow Connector 11"/>
        <xdr:cNvCxnSpPr/>
      </xdr:nvCxnSpPr>
      <xdr:spPr>
        <a:xfrm rot="5400000">
          <a:off x="21307425" y="1543050"/>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237331</xdr:colOff>
      <xdr:row>11</xdr:row>
      <xdr:rowOff>57944</xdr:rowOff>
    </xdr:from>
    <xdr:to>
      <xdr:col>74</xdr:col>
      <xdr:colOff>238919</xdr:colOff>
      <xdr:row>13</xdr:row>
      <xdr:rowOff>115094</xdr:rowOff>
    </xdr:to>
    <xdr:cxnSp macro="">
      <xdr:nvCxnSpPr>
        <xdr:cNvPr id="14" name="Straight Arrow Connector 13"/>
        <xdr:cNvCxnSpPr/>
      </xdr:nvCxnSpPr>
      <xdr:spPr>
        <a:xfrm rot="5400000">
          <a:off x="270605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237331</xdr:colOff>
      <xdr:row>11</xdr:row>
      <xdr:rowOff>57944</xdr:rowOff>
    </xdr:from>
    <xdr:to>
      <xdr:col>98</xdr:col>
      <xdr:colOff>238919</xdr:colOff>
      <xdr:row>13</xdr:row>
      <xdr:rowOff>115094</xdr:rowOff>
    </xdr:to>
    <xdr:cxnSp macro="">
      <xdr:nvCxnSpPr>
        <xdr:cNvPr id="15" name="Straight Arrow Connector 14"/>
        <xdr:cNvCxnSpPr/>
      </xdr:nvCxnSpPr>
      <xdr:spPr>
        <a:xfrm rot="5400000">
          <a:off x="209645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110</xdr:col>
      <xdr:colOff>237331</xdr:colOff>
      <xdr:row>11</xdr:row>
      <xdr:rowOff>57944</xdr:rowOff>
    </xdr:from>
    <xdr:to>
      <xdr:col>110</xdr:col>
      <xdr:colOff>238919</xdr:colOff>
      <xdr:row>13</xdr:row>
      <xdr:rowOff>115094</xdr:rowOff>
    </xdr:to>
    <xdr:cxnSp macro="">
      <xdr:nvCxnSpPr>
        <xdr:cNvPr id="16" name="Straight Arrow Connector 15"/>
        <xdr:cNvCxnSpPr/>
      </xdr:nvCxnSpPr>
      <xdr:spPr>
        <a:xfrm rot="5400000">
          <a:off x="256508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110</xdr:col>
      <xdr:colOff>237331</xdr:colOff>
      <xdr:row>11</xdr:row>
      <xdr:rowOff>57944</xdr:rowOff>
    </xdr:from>
    <xdr:to>
      <xdr:col>110</xdr:col>
      <xdr:colOff>238919</xdr:colOff>
      <xdr:row>13</xdr:row>
      <xdr:rowOff>115094</xdr:rowOff>
    </xdr:to>
    <xdr:cxnSp macro="">
      <xdr:nvCxnSpPr>
        <xdr:cNvPr id="17" name="Straight Arrow Connector 16"/>
        <xdr:cNvCxnSpPr/>
      </xdr:nvCxnSpPr>
      <xdr:spPr>
        <a:xfrm rot="5400000">
          <a:off x="256508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237331</xdr:colOff>
      <xdr:row>11</xdr:row>
      <xdr:rowOff>57944</xdr:rowOff>
    </xdr:from>
    <xdr:to>
      <xdr:col>122</xdr:col>
      <xdr:colOff>238919</xdr:colOff>
      <xdr:row>13</xdr:row>
      <xdr:rowOff>115094</xdr:rowOff>
    </xdr:to>
    <xdr:cxnSp macro="">
      <xdr:nvCxnSpPr>
        <xdr:cNvPr id="18" name="Straight Arrow Connector 17"/>
        <xdr:cNvCxnSpPr/>
      </xdr:nvCxnSpPr>
      <xdr:spPr>
        <a:xfrm rot="5400000">
          <a:off x="256508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237331</xdr:colOff>
      <xdr:row>11</xdr:row>
      <xdr:rowOff>57944</xdr:rowOff>
    </xdr:from>
    <xdr:to>
      <xdr:col>122</xdr:col>
      <xdr:colOff>238919</xdr:colOff>
      <xdr:row>13</xdr:row>
      <xdr:rowOff>115094</xdr:rowOff>
    </xdr:to>
    <xdr:cxnSp macro="">
      <xdr:nvCxnSpPr>
        <xdr:cNvPr id="19" name="Straight Arrow Connector 18"/>
        <xdr:cNvCxnSpPr/>
      </xdr:nvCxnSpPr>
      <xdr:spPr>
        <a:xfrm rot="5400000">
          <a:off x="25650825" y="2028825"/>
          <a:ext cx="3810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hyperlink" Target="Release%20Notes/New%20Swap%20Pricer%20version%201q.msg" TargetMode="External"/><Relationship Id="rId13" Type="http://schemas.openxmlformats.org/officeDocument/2006/relationships/hyperlink" Target="Release%20Notes/New%20Swap%20Pricer%20version%201v.msg" TargetMode="External"/><Relationship Id="rId3" Type="http://schemas.openxmlformats.org/officeDocument/2006/relationships/hyperlink" Target="Release%20Notes/New%20Swap%20Pricer%20version%201n.msg" TargetMode="External"/><Relationship Id="rId7" Type="http://schemas.openxmlformats.org/officeDocument/2006/relationships/hyperlink" Target="Release%20Notes/New%20Swap%20Pricer%20version%201i.msg" TargetMode="External"/><Relationship Id="rId12" Type="http://schemas.openxmlformats.org/officeDocument/2006/relationships/hyperlink" Target="Release%20Notes\New%20Swap%20Pricer%20version%201u.msg" TargetMode="External"/><Relationship Id="rId2" Type="http://schemas.openxmlformats.org/officeDocument/2006/relationships/hyperlink" Target="Release%20Notes/New%20Swap%20Pricer%20version%201o.msg" TargetMode="External"/><Relationship Id="rId1" Type="http://schemas.openxmlformats.org/officeDocument/2006/relationships/hyperlink" Target="Release%20Notes/New%20Swap%20Pricer%20version%201p.msg" TargetMode="External"/><Relationship Id="rId6" Type="http://schemas.openxmlformats.org/officeDocument/2006/relationships/hyperlink" Target="Release%20Notes/New%20Swap%20Pricer%20version%201k.msg" TargetMode="External"/><Relationship Id="rId11" Type="http://schemas.openxmlformats.org/officeDocument/2006/relationships/hyperlink" Target="Release%20Notes/New%20Swap%20Pricer%20version%201t.msg" TargetMode="External"/><Relationship Id="rId5" Type="http://schemas.openxmlformats.org/officeDocument/2006/relationships/hyperlink" Target="Release%20Notes/New%20Swap%20Pricer%20version%201L.msg" TargetMode="External"/><Relationship Id="rId15" Type="http://schemas.openxmlformats.org/officeDocument/2006/relationships/vmlDrawing" Target="../drawings/vmlDrawing12.vml"/><Relationship Id="rId10" Type="http://schemas.openxmlformats.org/officeDocument/2006/relationships/hyperlink" Target="file:///\\Tsydf001\Openhand\Rates\Apps\Swap%20Pricer\Release%20Notes\New%20Swap%20Pricer%20version%201s.msg" TargetMode="External"/><Relationship Id="rId4" Type="http://schemas.openxmlformats.org/officeDocument/2006/relationships/hyperlink" Target="Release%20Notes/New%20Swap%20Pricer%20version%201m.msg" TargetMode="External"/><Relationship Id="rId9" Type="http://schemas.openxmlformats.org/officeDocument/2006/relationships/hyperlink" Target="Release%20Notes/New%20Swap%20Pricer%20version%201r.msg" TargetMode="External"/><Relationship Id="rId14" Type="http://schemas.openxmlformats.org/officeDocument/2006/relationships/hyperlink" Target="Release%20Notes/New%20Swap%20Pricer%20version%201w.msg" TargetMode="External"/></Relationships>
</file>

<file path=xl/worksheets/sheet1.xml><?xml version="1.0" encoding="utf-8"?>
<worksheet xmlns="http://schemas.openxmlformats.org/spreadsheetml/2006/main" xmlns:r="http://schemas.openxmlformats.org/officeDocument/2006/relationships">
  <sheetPr codeName="shtCON">
    <outlinePr showOutlineSymbols="0"/>
  </sheetPr>
  <dimension ref="A1:U12"/>
  <sheetViews>
    <sheetView showGridLines="0" showRowColHeaders="0" tabSelected="1" showOutlineSymbols="0" topLeftCell="E1" workbookViewId="0">
      <selection activeCell="E1" sqref="E1"/>
    </sheetView>
  </sheetViews>
  <sheetFormatPr defaultRowHeight="12.75" outlineLevelCol="2"/>
  <cols>
    <col min="1" max="1" width="1.7109375" style="207" hidden="1" customWidth="1" outlineLevel="2"/>
    <col min="2" max="2" width="11.28515625" style="207" hidden="1" customWidth="1" outlineLevel="2"/>
    <col min="3" max="3" width="9.140625" style="207" hidden="1" customWidth="1" outlineLevel="2"/>
    <col min="4" max="4" width="1.7109375" style="207" hidden="1" customWidth="1" outlineLevel="2"/>
    <col min="5" max="5" width="2.7109375" customWidth="1" collapsed="1"/>
    <col min="9" max="9" width="7.85546875" customWidth="1"/>
  </cols>
  <sheetData>
    <row r="1" spans="2:21" ht="0.95" customHeight="1"/>
    <row r="2" spans="2:21" ht="24.95" customHeight="1">
      <c r="F2" s="46" t="s">
        <v>164</v>
      </c>
      <c r="G2" s="46"/>
      <c r="H2" s="46"/>
      <c r="I2" s="46"/>
      <c r="J2" s="46"/>
      <c r="K2" s="46"/>
      <c r="L2" s="46"/>
      <c r="M2" s="46"/>
      <c r="N2" s="46"/>
      <c r="O2" s="46"/>
      <c r="P2" s="46"/>
      <c r="Q2" s="46"/>
      <c r="R2" s="46"/>
      <c r="S2" s="46"/>
      <c r="T2" s="46"/>
      <c r="U2" s="46"/>
    </row>
    <row r="6" spans="2:21">
      <c r="B6" s="207" t="s">
        <v>843</v>
      </c>
      <c r="C6" s="827" t="b">
        <v>1</v>
      </c>
      <c r="F6" t="s">
        <v>479</v>
      </c>
      <c r="I6" s="32" t="s">
        <v>478</v>
      </c>
      <c r="K6" t="s">
        <v>671</v>
      </c>
    </row>
    <row r="9" spans="2:21">
      <c r="F9" t="s">
        <v>162</v>
      </c>
      <c r="I9" s="774" t="s">
        <v>898</v>
      </c>
      <c r="K9" t="s">
        <v>672</v>
      </c>
    </row>
    <row r="12" spans="2:21">
      <c r="F12" t="s">
        <v>214</v>
      </c>
      <c r="I12" s="135" t="s">
        <v>6</v>
      </c>
    </row>
  </sheetData>
  <sheetProtection sheet="1" objects="1" scenarios="1" autoFilter="0" pivotTables="0"/>
  <dataConsolidate/>
  <conditionalFormatting sqref="I6">
    <cfRule type="cellIs" dxfId="55" priority="11" operator="equal">
      <formula>"SNAP"</formula>
    </cfRule>
    <cfRule type="cellIs" dxfId="54" priority="12" operator="equal">
      <formula>"STOP"</formula>
    </cfRule>
  </conditionalFormatting>
  <dataValidations count="2">
    <dataValidation type="list" allowBlank="1" showInputMessage="1" showErrorMessage="1" sqref="I9 I12">
      <formula1>"ON,OFF"</formula1>
    </dataValidation>
    <dataValidation type="list" allowBlank="1" showInputMessage="1" showErrorMessage="1" promptTitle="Reuters Update Frequency" prompt="Throttles the frequency of Reuters updates.  To SNAP more than once, switch to STOP and then back to SNAP again" sqref="I6">
      <formula1>"30s,1m,15m,30m,1h,STOP,SNAP,LOCAL"</formula1>
    </dataValidation>
  </dataValidations>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tFX">
    <outlinePr showOutlineSymbols="0"/>
  </sheetPr>
  <dimension ref="A1:AW78"/>
  <sheetViews>
    <sheetView showGridLines="0" showRowColHeaders="0" showZeros="0" showOutlineSymbols="0" zoomScaleNormal="100" workbookViewId="0">
      <pane xSplit="3" topLeftCell="D1" activePane="topRight" state="frozen"/>
      <selection pane="topRight" activeCell="D1" sqref="D1"/>
    </sheetView>
  </sheetViews>
  <sheetFormatPr defaultRowHeight="12.75" outlineLevelCol="2"/>
  <cols>
    <col min="1" max="1" width="1.7109375" style="164" customWidth="1"/>
    <col min="2" max="2" width="7.7109375" style="164" customWidth="1"/>
    <col min="3" max="3" width="1.7109375" style="164" customWidth="1"/>
    <col min="4" max="4" width="3.7109375" style="167" customWidth="1"/>
    <col min="5" max="6" width="1.7109375" style="195" hidden="1" customWidth="1" outlineLevel="2"/>
    <col min="7" max="7" width="14.42578125" style="198" hidden="1" customWidth="1" outlineLevel="2"/>
    <col min="8" max="8" width="1.7109375" style="195" hidden="1" customWidth="1" outlineLevel="2"/>
    <col min="9" max="9" width="4.7109375" style="167" customWidth="1" collapsed="1"/>
    <col min="10" max="10" width="15.7109375" style="208" hidden="1" customWidth="1" outlineLevel="1"/>
    <col min="11" max="12" width="8.42578125" style="208" hidden="1" customWidth="1" outlineLevel="1"/>
    <col min="13" max="24" width="6.5703125" style="757" hidden="1" customWidth="1" outlineLevel="2"/>
    <col min="25" max="25" width="6.7109375" style="174" customWidth="1" collapsed="1"/>
    <col min="26" max="27" width="6.7109375" style="174" customWidth="1"/>
    <col min="28" max="28" width="6.7109375" style="219" customWidth="1"/>
    <col min="29" max="29" width="6.7109375" style="174" customWidth="1"/>
    <col min="30" max="30" width="4.7109375" style="239" customWidth="1"/>
    <col min="31" max="31" width="15.7109375" style="208" hidden="1" customWidth="1" outlineLevel="1"/>
    <col min="32" max="32" width="6.7109375" style="167" customWidth="1" collapsed="1"/>
    <col min="33" max="34" width="6.7109375" style="167" customWidth="1"/>
    <col min="35" max="35" width="6.7109375" style="219" customWidth="1"/>
    <col min="36" max="36" width="6.7109375" style="167" customWidth="1"/>
    <col min="37" max="37" width="4.7109375" style="167" customWidth="1"/>
    <col min="38" max="38" width="15.7109375" style="208" hidden="1" customWidth="1" outlineLevel="1"/>
    <col min="39" max="39" width="6.7109375" style="167" customWidth="1" collapsed="1"/>
    <col min="40" max="41" width="6.7109375" style="167" customWidth="1"/>
    <col min="42" max="42" width="8.28515625" style="219" customWidth="1"/>
    <col min="43" max="43" width="6.7109375" style="167" customWidth="1"/>
    <col min="44" max="44" width="4.7109375" style="167" customWidth="1"/>
    <col min="45" max="45" width="15.7109375" style="305" hidden="1" customWidth="1" outlineLevel="2"/>
    <col min="46" max="46" width="6.7109375" style="167" customWidth="1" collapsed="1"/>
    <col min="47" max="48" width="6.7109375" style="167" customWidth="1"/>
    <col min="49" max="49" width="6.7109375" style="219" customWidth="1"/>
    <col min="50" max="16384" width="9.140625" style="5"/>
  </cols>
  <sheetData>
    <row r="1" spans="1:49" ht="0.95" customHeight="1"/>
    <row r="2" spans="1:49" s="227" customFormat="1" ht="24.95" customHeight="1">
      <c r="A2" s="221"/>
      <c r="B2" s="221"/>
      <c r="C2" s="221"/>
      <c r="D2" s="223"/>
      <c r="E2" s="740"/>
      <c r="F2" s="740"/>
      <c r="G2" s="741"/>
      <c r="H2" s="740"/>
      <c r="I2" s="224" t="s">
        <v>255</v>
      </c>
      <c r="J2" s="737"/>
      <c r="K2" s="737"/>
      <c r="L2" s="737"/>
      <c r="M2" s="764"/>
      <c r="N2" s="764"/>
      <c r="O2" s="764"/>
      <c r="P2" s="764"/>
      <c r="Q2" s="764"/>
      <c r="R2" s="764"/>
      <c r="S2" s="764"/>
      <c r="T2" s="764"/>
      <c r="U2" s="764"/>
      <c r="V2" s="764"/>
      <c r="W2" s="764"/>
      <c r="X2" s="764"/>
      <c r="Y2" s="225"/>
      <c r="Z2" s="225"/>
      <c r="AA2" s="225"/>
      <c r="AB2" s="233"/>
      <c r="AC2" s="225"/>
      <c r="AD2" s="240"/>
      <c r="AE2" s="737"/>
      <c r="AF2" s="224"/>
      <c r="AG2" s="224"/>
      <c r="AH2" s="224"/>
      <c r="AI2" s="233"/>
      <c r="AJ2" s="224"/>
      <c r="AK2" s="224"/>
      <c r="AL2" s="737"/>
      <c r="AM2" s="224"/>
      <c r="AN2" s="224"/>
      <c r="AO2" s="224"/>
      <c r="AP2" s="233"/>
      <c r="AQ2" s="224"/>
      <c r="AR2" s="224"/>
      <c r="AS2" s="306"/>
      <c r="AT2" s="224"/>
      <c r="AU2" s="224"/>
      <c r="AV2" s="224"/>
      <c r="AW2" s="233"/>
    </row>
    <row r="3" spans="1:49">
      <c r="G3" s="202" t="s">
        <v>297</v>
      </c>
    </row>
    <row r="4" spans="1:49" s="34" customFormat="1">
      <c r="A4" s="163"/>
      <c r="B4" s="163"/>
      <c r="C4" s="163"/>
      <c r="D4" s="172"/>
      <c r="E4" s="196"/>
      <c r="F4" s="196"/>
      <c r="G4" s="200" t="str">
        <f>PPP_string(PPP_Global,AA4)</f>
        <v>FRQ:1m</v>
      </c>
      <c r="H4" s="196"/>
      <c r="I4" s="172" t="s">
        <v>249</v>
      </c>
      <c r="J4" s="208"/>
      <c r="K4" s="208"/>
      <c r="L4" s="208"/>
      <c r="M4" s="757"/>
      <c r="N4" s="757"/>
      <c r="O4" s="757"/>
      <c r="P4" s="757"/>
      <c r="Q4" s="757"/>
      <c r="R4" s="757"/>
      <c r="S4" s="757"/>
      <c r="T4" s="757"/>
      <c r="U4" s="757"/>
      <c r="V4" s="757"/>
      <c r="W4" s="757"/>
      <c r="X4" s="757"/>
      <c r="Z4" s="218"/>
      <c r="AA4" s="32" t="s">
        <v>268</v>
      </c>
      <c r="AB4" s="220"/>
      <c r="AC4" s="218"/>
      <c r="AD4" s="241"/>
      <c r="AE4" s="738"/>
      <c r="AF4" s="172"/>
      <c r="AG4" s="172"/>
      <c r="AH4" s="172"/>
      <c r="AI4" s="220"/>
      <c r="AJ4" s="172"/>
      <c r="AK4" s="172"/>
      <c r="AL4" s="738"/>
      <c r="AM4" s="172"/>
      <c r="AN4" s="172"/>
      <c r="AO4" s="172"/>
      <c r="AP4" s="220"/>
      <c r="AQ4" s="172"/>
      <c r="AR4" s="172"/>
      <c r="AS4" s="307"/>
      <c r="AT4" s="172"/>
      <c r="AU4" s="172"/>
      <c r="AV4" s="172"/>
      <c r="AW4" s="220"/>
    </row>
    <row r="6" spans="1:49">
      <c r="I6" s="115" t="s">
        <v>259</v>
      </c>
      <c r="J6" s="198" t="str">
        <f ca="1">_xll.RtUpdate("IDN",J7:J28,G7:G8,Y7,,RTMODE_FX)</f>
        <v>Updated at 10:29:45</v>
      </c>
      <c r="K6" s="198"/>
      <c r="L6" s="198"/>
      <c r="Y6" s="57"/>
      <c r="Z6" s="57"/>
      <c r="AA6" s="57"/>
      <c r="AB6" s="60"/>
      <c r="AC6" s="57"/>
      <c r="AD6" s="232" t="s">
        <v>260</v>
      </c>
      <c r="AE6" s="208" t="str">
        <f ca="1">_xll.RtUpdate("IDN",AE7:AE28,G7:G8,AF7,,RTMODE_FX)</f>
        <v>Updated at 10:29:45</v>
      </c>
      <c r="AF6" s="115"/>
      <c r="AG6" s="115"/>
      <c r="AH6" s="115"/>
      <c r="AI6" s="60"/>
      <c r="AJ6" s="115"/>
      <c r="AK6" s="115" t="s">
        <v>261</v>
      </c>
      <c r="AL6" s="208" t="str">
        <f ca="1">_xll.RtUpdate("IDN",AL7:AL28,G7:G8,AM7,,RTMODE_FX)</f>
        <v>Updated at 10:29:45</v>
      </c>
      <c r="AM6" s="115"/>
      <c r="AN6" s="115"/>
      <c r="AO6" s="115"/>
      <c r="AR6" s="115" t="s">
        <v>262</v>
      </c>
      <c r="AS6" s="195" t="str">
        <f ca="1">_xll.RtUpdate("IDN",AS7:AS28,G7:G8,AT7,,RTMODE_FX)</f>
        <v>Updated at 10:29:45</v>
      </c>
      <c r="AT6" s="115"/>
      <c r="AU6" s="115"/>
      <c r="AV6" s="115"/>
    </row>
    <row r="7" spans="1:49">
      <c r="G7" s="200" t="s">
        <v>43</v>
      </c>
      <c r="I7" s="161" t="s">
        <v>258</v>
      </c>
      <c r="J7" s="214" t="s">
        <v>97</v>
      </c>
      <c r="Y7" s="310">
        <v>1.0723</v>
      </c>
      <c r="Z7" s="310">
        <v>1.0726</v>
      </c>
      <c r="AA7" s="160"/>
      <c r="AB7" s="219">
        <f>IF(ISNUMBER(AA7),AA7,AVERAGE(Y7:Z7))</f>
        <v>1.0724499999999999</v>
      </c>
      <c r="AD7" s="161" t="s">
        <v>258</v>
      </c>
      <c r="AE7" s="214" t="s">
        <v>236</v>
      </c>
      <c r="AF7" s="310">
        <v>1.6076999999999999</v>
      </c>
      <c r="AG7" s="310">
        <v>1.6081000000000001</v>
      </c>
      <c r="AH7" s="160"/>
      <c r="AI7" s="219">
        <f>IF(ISNUMBER(AH7),AH7,AVERAGE(AF7:AG7))</f>
        <v>1.6078999999999999</v>
      </c>
      <c r="AK7" s="161" t="s">
        <v>258</v>
      </c>
      <c r="AL7" s="214" t="s">
        <v>237</v>
      </c>
      <c r="AM7" s="310">
        <v>1.4522999999999999</v>
      </c>
      <c r="AN7" s="310">
        <v>1.4524999999999999</v>
      </c>
      <c r="AO7" s="160"/>
      <c r="AP7" s="219">
        <f>IF(ISNUMBER(AO7),AO7,AVERAGE(AM7:AN7))</f>
        <v>1.4523999999999999</v>
      </c>
      <c r="AQ7" s="174"/>
      <c r="AR7" s="161" t="s">
        <v>258</v>
      </c>
      <c r="AS7" s="304" t="s">
        <v>238</v>
      </c>
      <c r="AT7" s="310">
        <v>0.83020000000000005</v>
      </c>
      <c r="AU7" s="310">
        <v>0.83120000000000005</v>
      </c>
      <c r="AV7" s="160"/>
      <c r="AW7" s="219">
        <f>IF(ISNUMBER(AV7),AV7,AVERAGE(AT7:AU7))</f>
        <v>0.83069999999999999</v>
      </c>
    </row>
    <row r="8" spans="1:49">
      <c r="G8" s="200" t="s">
        <v>44</v>
      </c>
      <c r="I8" s="161" t="s">
        <v>6</v>
      </c>
      <c r="J8" s="214" t="str">
        <f>"AUD"&amp;I8&amp;"="</f>
        <v>AUDON=</v>
      </c>
      <c r="Y8" s="311">
        <v>-1.59</v>
      </c>
      <c r="Z8" s="311">
        <v>-1.0900000000000001</v>
      </c>
      <c r="AA8" s="230"/>
      <c r="AB8" s="234">
        <f t="shared" ref="AB8:AB20" si="0">IF(ISNUMBER(AA8),AA8,AVERAGE(Y8:Z8))</f>
        <v>-1.34</v>
      </c>
      <c r="AD8" s="161" t="s">
        <v>6</v>
      </c>
      <c r="AE8" s="214" t="str">
        <f>"GBP"&amp;AD8&amp;"="</f>
        <v>GBPON=</v>
      </c>
      <c r="AF8" s="311">
        <v>-0.23</v>
      </c>
      <c r="AG8" s="311">
        <v>-0.2</v>
      </c>
      <c r="AH8" s="230"/>
      <c r="AI8" s="234">
        <f t="shared" ref="AI8" si="1">IF(ISNUMBER(AH8),AH8,AVERAGE(AF8:AG8))</f>
        <v>-0.21500000000000002</v>
      </c>
      <c r="AK8" s="161" t="s">
        <v>6</v>
      </c>
      <c r="AL8" s="214" t="str">
        <f>"EUR"&amp;AK8&amp;"="</f>
        <v>EURON=</v>
      </c>
      <c r="AM8" s="311">
        <v>-0.3</v>
      </c>
      <c r="AN8" s="311">
        <v>-0.2</v>
      </c>
      <c r="AO8" s="230"/>
      <c r="AP8" s="234">
        <f t="shared" ref="AP8:AP12" si="2">IF(ISNUMBER(AO8),AO8,AVERAGE(AM8:AN8))</f>
        <v>-0.25</v>
      </c>
      <c r="AQ8" s="231"/>
      <c r="AR8" s="161" t="s">
        <v>6</v>
      </c>
      <c r="AS8" s="214" t="str">
        <f>"NZD"&amp;AR8&amp;"="</f>
        <v>NZDON=</v>
      </c>
      <c r="AT8" s="311">
        <v>-0.6</v>
      </c>
      <c r="AU8" s="311">
        <v>-0.52</v>
      </c>
      <c r="AV8" s="230"/>
      <c r="AW8" s="234">
        <f t="shared" ref="AW8:AW12" si="3">IF(ISNUMBER(AV8),AV8,AVERAGE(AT8:AU8))</f>
        <v>-0.56000000000000005</v>
      </c>
    </row>
    <row r="9" spans="1:49">
      <c r="I9" s="161" t="s">
        <v>29</v>
      </c>
      <c r="J9" s="214" t="str">
        <f t="shared" ref="J9:J10" si="4">"AUD"&amp;I9&amp;"="</f>
        <v>AUDTN=</v>
      </c>
      <c r="Y9" s="311">
        <v>-1.36</v>
      </c>
      <c r="Z9" s="311">
        <v>-1.34</v>
      </c>
      <c r="AA9" s="230"/>
      <c r="AB9" s="234">
        <f t="shared" ref="AB9:AB10" si="5">IF(ISNUMBER(AA9),AA9,AVERAGE(Y9:Z9))</f>
        <v>-1.35</v>
      </c>
      <c r="AD9" s="161" t="s">
        <v>29</v>
      </c>
      <c r="AE9" s="214" t="str">
        <f t="shared" ref="AE9:AE10" si="6">"GBP"&amp;AD9&amp;"="</f>
        <v>GBPTN=</v>
      </c>
      <c r="AF9" s="311">
        <v>-0.23</v>
      </c>
      <c r="AG9" s="311">
        <v>-0.21000000000000002</v>
      </c>
      <c r="AH9" s="230"/>
      <c r="AI9" s="234">
        <f t="shared" ref="AI9:AI12" si="7">IF(ISNUMBER(AH9),AH9,AVERAGE(AF9:AG9))</f>
        <v>-0.22000000000000003</v>
      </c>
      <c r="AK9" s="161" t="s">
        <v>29</v>
      </c>
      <c r="AL9" s="214" t="str">
        <f t="shared" ref="AL9:AL10" si="8">"EUR"&amp;AK9&amp;"="</f>
        <v>EURTN=</v>
      </c>
      <c r="AM9" s="311">
        <v>-0.32</v>
      </c>
      <c r="AN9" s="311">
        <v>-0.27</v>
      </c>
      <c r="AO9" s="230"/>
      <c r="AP9" s="234">
        <f t="shared" ref="AP9:AP10" si="9">IF(ISNUMBER(AO9),AO9,AVERAGE(AM9:AN9))</f>
        <v>-0.29500000000000004</v>
      </c>
      <c r="AQ9" s="231"/>
      <c r="AR9" s="161" t="s">
        <v>29</v>
      </c>
      <c r="AS9" s="214" t="str">
        <f t="shared" ref="AS9:AS10" si="10">"NZD"&amp;AR9&amp;"="</f>
        <v>NZDTN=</v>
      </c>
      <c r="AT9" s="311">
        <v>-0.57000000000000006</v>
      </c>
      <c r="AU9" s="311">
        <v>-0.55000000000000004</v>
      </c>
      <c r="AV9" s="230"/>
      <c r="AW9" s="234">
        <f t="shared" ref="AW9:AW10" si="11">IF(ISNUMBER(AV9),AV9,AVERAGE(AT9:AU9))</f>
        <v>-0.56000000000000005</v>
      </c>
    </row>
    <row r="10" spans="1:49">
      <c r="I10" s="161" t="s">
        <v>680</v>
      </c>
      <c r="J10" s="214" t="str">
        <f t="shared" si="4"/>
        <v>AUDSW=</v>
      </c>
      <c r="Y10" s="311">
        <v>-9.49</v>
      </c>
      <c r="Z10" s="311">
        <v>-9.3500000000000014</v>
      </c>
      <c r="AA10" s="230"/>
      <c r="AB10" s="234">
        <f t="shared" si="5"/>
        <v>-9.4200000000000017</v>
      </c>
      <c r="AD10" s="161" t="s">
        <v>680</v>
      </c>
      <c r="AE10" s="214" t="str">
        <f t="shared" si="6"/>
        <v>GBPSW=</v>
      </c>
      <c r="AF10" s="311">
        <v>-1.57</v>
      </c>
      <c r="AG10" s="311">
        <v>-1.33</v>
      </c>
      <c r="AH10" s="230"/>
      <c r="AI10" s="234">
        <f t="shared" si="7"/>
        <v>-1.4500000000000002</v>
      </c>
      <c r="AK10" s="161" t="s">
        <v>680</v>
      </c>
      <c r="AL10" s="214" t="str">
        <f t="shared" si="8"/>
        <v>EURSW=</v>
      </c>
      <c r="AM10" s="311">
        <v>-2.2600000000000002</v>
      </c>
      <c r="AN10" s="311">
        <v>-2.11</v>
      </c>
      <c r="AO10" s="230"/>
      <c r="AP10" s="234">
        <f t="shared" si="9"/>
        <v>-2.1850000000000001</v>
      </c>
      <c r="AQ10" s="231"/>
      <c r="AR10" s="161" t="s">
        <v>680</v>
      </c>
      <c r="AS10" s="214" t="str">
        <f t="shared" si="10"/>
        <v>NZDSW=</v>
      </c>
      <c r="AT10" s="311">
        <v>-3.94</v>
      </c>
      <c r="AU10" s="311">
        <v>-3.86</v>
      </c>
      <c r="AV10" s="230"/>
      <c r="AW10" s="234">
        <f t="shared" si="11"/>
        <v>-3.9</v>
      </c>
    </row>
    <row r="11" spans="1:49">
      <c r="I11" s="161" t="s">
        <v>643</v>
      </c>
      <c r="J11" s="214" t="str">
        <f t="shared" ref="J11:J28" si="12">"AUD"&amp;I11&amp;"="</f>
        <v>AUD2W=</v>
      </c>
      <c r="Y11" s="311">
        <v>-19.05</v>
      </c>
      <c r="Z11" s="311">
        <v>-18.95</v>
      </c>
      <c r="AA11" s="230"/>
      <c r="AB11" s="234">
        <f t="shared" ref="AB11:AB14" si="13">IF(ISNUMBER(AA11),AA11,AVERAGE(Y11:Z11))</f>
        <v>-19</v>
      </c>
      <c r="AD11" s="161" t="s">
        <v>643</v>
      </c>
      <c r="AE11" s="214" t="str">
        <f t="shared" ref="AE11:AE28" si="14">"GBP"&amp;AD11&amp;"="</f>
        <v>GBP2W=</v>
      </c>
      <c r="AF11" s="311">
        <v>-2.98</v>
      </c>
      <c r="AG11" s="311">
        <v>-2.62</v>
      </c>
      <c r="AH11" s="230"/>
      <c r="AI11" s="234">
        <f t="shared" si="7"/>
        <v>-2.8</v>
      </c>
      <c r="AK11" s="161" t="s">
        <v>643</v>
      </c>
      <c r="AL11" s="214" t="str">
        <f t="shared" ref="AL11:AL28" si="15">"EUR"&amp;AK11&amp;"="</f>
        <v>EUR2W=</v>
      </c>
      <c r="AM11" s="311">
        <v>-5.6</v>
      </c>
      <c r="AN11" s="311">
        <v>-5.3</v>
      </c>
      <c r="AO11" s="230"/>
      <c r="AP11" s="234">
        <f t="shared" si="2"/>
        <v>-5.4499999999999993</v>
      </c>
      <c r="AQ11" s="231"/>
      <c r="AR11" s="161" t="s">
        <v>643</v>
      </c>
      <c r="AS11" s="214" t="str">
        <f t="shared" ref="AS11:AS28" si="16">"NZD"&amp;AR11&amp;"="</f>
        <v>NZD2W=</v>
      </c>
      <c r="AT11" s="311">
        <v>-7.96</v>
      </c>
      <c r="AU11" s="311">
        <v>-7.75</v>
      </c>
      <c r="AV11" s="230"/>
      <c r="AW11" s="234">
        <f t="shared" si="3"/>
        <v>-7.8550000000000004</v>
      </c>
    </row>
    <row r="12" spans="1:49">
      <c r="I12" s="161" t="s">
        <v>644</v>
      </c>
      <c r="J12" s="214" t="str">
        <f t="shared" si="12"/>
        <v>AUD3W=</v>
      </c>
      <c r="Y12" s="311">
        <v>-28.53</v>
      </c>
      <c r="Z12" s="311">
        <v>-28.38</v>
      </c>
      <c r="AA12" s="230"/>
      <c r="AB12" s="234">
        <f t="shared" si="13"/>
        <v>-28.454999999999998</v>
      </c>
      <c r="AD12" s="161" t="s">
        <v>644</v>
      </c>
      <c r="AE12" s="214" t="str">
        <f t="shared" si="14"/>
        <v>GBP3W=</v>
      </c>
      <c r="AF12" s="311">
        <v>-4.1899999999999995</v>
      </c>
      <c r="AG12" s="311">
        <v>-4.08</v>
      </c>
      <c r="AH12" s="230"/>
      <c r="AI12" s="234">
        <f t="shared" si="7"/>
        <v>-4.1349999999999998</v>
      </c>
      <c r="AK12" s="161" t="s">
        <v>644</v>
      </c>
      <c r="AL12" s="214" t="str">
        <f t="shared" si="15"/>
        <v>EUR3W=</v>
      </c>
      <c r="AM12" s="311">
        <v>-8.5399999999999991</v>
      </c>
      <c r="AN12" s="311">
        <v>-8.3600000000000012</v>
      </c>
      <c r="AO12" s="230"/>
      <c r="AP12" s="234">
        <f t="shared" si="2"/>
        <v>-8.4499999999999993</v>
      </c>
      <c r="AQ12" s="231"/>
      <c r="AR12" s="161" t="s">
        <v>644</v>
      </c>
      <c r="AS12" s="214" t="str">
        <f t="shared" si="16"/>
        <v>NZD3W=</v>
      </c>
      <c r="AT12" s="311">
        <v>-11.81</v>
      </c>
      <c r="AU12" s="311">
        <v>-11.629999999999999</v>
      </c>
      <c r="AV12" s="230"/>
      <c r="AW12" s="234">
        <f t="shared" si="3"/>
        <v>-11.719999999999999</v>
      </c>
    </row>
    <row r="13" spans="1:49">
      <c r="I13" s="161" t="s">
        <v>0</v>
      </c>
      <c r="J13" s="214" t="str">
        <f t="shared" si="12"/>
        <v>AUD1M=</v>
      </c>
      <c r="Y13" s="311">
        <v>-43.46</v>
      </c>
      <c r="Z13" s="311">
        <v>-43.3</v>
      </c>
      <c r="AA13" s="230"/>
      <c r="AB13" s="234">
        <f t="shared" si="13"/>
        <v>-43.379999999999995</v>
      </c>
      <c r="AD13" s="118" t="s">
        <v>0</v>
      </c>
      <c r="AE13" s="214" t="str">
        <f t="shared" si="14"/>
        <v>GBP1M=</v>
      </c>
      <c r="AF13" s="311">
        <v>-6.44</v>
      </c>
      <c r="AG13" s="311">
        <v>-6.33</v>
      </c>
      <c r="AH13" s="230"/>
      <c r="AI13" s="234">
        <f t="shared" ref="AI13:AI28" si="17">IF(ISNUMBER(AH13),AH13,AVERAGE(AF13:AG13))</f>
        <v>-6.3849999999999998</v>
      </c>
      <c r="AK13" s="161" t="s">
        <v>0</v>
      </c>
      <c r="AL13" s="214" t="str">
        <f t="shared" si="15"/>
        <v>EUR1M=</v>
      </c>
      <c r="AM13" s="311">
        <v>-13.17</v>
      </c>
      <c r="AN13" s="311">
        <v>-12.97</v>
      </c>
      <c r="AO13" s="230"/>
      <c r="AP13" s="234">
        <f t="shared" ref="AP13:AP28" si="18">IF(ISNUMBER(AO13),AO13,AVERAGE(AM13:AN13))</f>
        <v>-13.07</v>
      </c>
      <c r="AQ13" s="231"/>
      <c r="AR13" s="161" t="s">
        <v>0</v>
      </c>
      <c r="AS13" s="214" t="str">
        <f t="shared" si="16"/>
        <v>NZD1M=</v>
      </c>
      <c r="AT13" s="311">
        <v>-18.14</v>
      </c>
      <c r="AU13" s="311">
        <v>-17.54</v>
      </c>
      <c r="AV13" s="230"/>
      <c r="AW13" s="234">
        <f t="shared" ref="AW13:AW28" si="19">IF(ISNUMBER(AV13),AV13,AVERAGE(AT13:AU13))</f>
        <v>-17.84</v>
      </c>
    </row>
    <row r="14" spans="1:49">
      <c r="I14" s="161" t="s">
        <v>1</v>
      </c>
      <c r="J14" s="214" t="str">
        <f t="shared" si="12"/>
        <v>AUD2M=</v>
      </c>
      <c r="Y14" s="311">
        <v>-85.3</v>
      </c>
      <c r="Z14" s="311">
        <v>-85</v>
      </c>
      <c r="AA14" s="230"/>
      <c r="AB14" s="234">
        <f t="shared" si="13"/>
        <v>-85.15</v>
      </c>
      <c r="AD14" s="118" t="s">
        <v>1</v>
      </c>
      <c r="AE14" s="214" t="str">
        <f t="shared" si="14"/>
        <v>GBP2M=</v>
      </c>
      <c r="AF14" s="311">
        <v>-12.46</v>
      </c>
      <c r="AG14" s="311">
        <v>-11.739999999999998</v>
      </c>
      <c r="AH14" s="230"/>
      <c r="AI14" s="234">
        <f t="shared" si="17"/>
        <v>-12.1</v>
      </c>
      <c r="AK14" s="161" t="s">
        <v>1</v>
      </c>
      <c r="AL14" s="214" t="str">
        <f t="shared" si="15"/>
        <v>EUR2M=</v>
      </c>
      <c r="AM14" s="311">
        <v>-25.62</v>
      </c>
      <c r="AN14" s="311">
        <v>-25.32</v>
      </c>
      <c r="AO14" s="230"/>
      <c r="AP14" s="234">
        <f t="shared" si="18"/>
        <v>-25.47</v>
      </c>
      <c r="AQ14" s="231"/>
      <c r="AR14" s="161" t="s">
        <v>1</v>
      </c>
      <c r="AS14" s="214" t="str">
        <f t="shared" si="16"/>
        <v>NZD2M=</v>
      </c>
      <c r="AT14" s="311">
        <v>-35.08</v>
      </c>
      <c r="AU14" s="311">
        <v>-34.18</v>
      </c>
      <c r="AV14" s="230"/>
      <c r="AW14" s="234">
        <f t="shared" si="19"/>
        <v>-34.629999999999995</v>
      </c>
    </row>
    <row r="15" spans="1:49">
      <c r="I15" s="161" t="s">
        <v>2</v>
      </c>
      <c r="J15" s="214" t="str">
        <f t="shared" si="12"/>
        <v>AUD3M=</v>
      </c>
      <c r="Y15" s="311">
        <v>-123.89</v>
      </c>
      <c r="Z15" s="311">
        <v>-123.39</v>
      </c>
      <c r="AA15" s="230"/>
      <c r="AB15" s="234">
        <f t="shared" si="0"/>
        <v>-123.64</v>
      </c>
      <c r="AD15" s="118" t="s">
        <v>2</v>
      </c>
      <c r="AE15" s="214" t="str">
        <f t="shared" si="14"/>
        <v>GBP3M=</v>
      </c>
      <c r="AF15" s="311">
        <v>-18.34</v>
      </c>
      <c r="AG15" s="311">
        <v>-17.86</v>
      </c>
      <c r="AH15" s="230"/>
      <c r="AI15" s="234">
        <f t="shared" si="17"/>
        <v>-18.100000000000001</v>
      </c>
      <c r="AK15" s="161" t="s">
        <v>2</v>
      </c>
      <c r="AL15" s="214" t="str">
        <f t="shared" si="15"/>
        <v>EUR3M=</v>
      </c>
      <c r="AM15" s="311">
        <v>-38.18</v>
      </c>
      <c r="AN15" s="311">
        <v>-37.61</v>
      </c>
      <c r="AO15" s="230"/>
      <c r="AP15" s="234">
        <f t="shared" si="18"/>
        <v>-37.894999999999996</v>
      </c>
      <c r="AQ15" s="231"/>
      <c r="AR15" s="161" t="s">
        <v>2</v>
      </c>
      <c r="AS15" s="214" t="str">
        <f t="shared" si="16"/>
        <v>NZD3M=</v>
      </c>
      <c r="AT15" s="311">
        <v>-52.1</v>
      </c>
      <c r="AU15" s="311">
        <v>-50.9</v>
      </c>
      <c r="AV15" s="230"/>
      <c r="AW15" s="234">
        <f t="shared" si="19"/>
        <v>-51.5</v>
      </c>
    </row>
    <row r="16" spans="1:49">
      <c r="I16" s="161" t="s">
        <v>3</v>
      </c>
      <c r="J16" s="214" t="str">
        <f t="shared" si="12"/>
        <v>AUD4M=</v>
      </c>
      <c r="Y16" s="311">
        <v>-164.79</v>
      </c>
      <c r="Z16" s="311">
        <v>-163.99</v>
      </c>
      <c r="AA16" s="230"/>
      <c r="AB16" s="234">
        <f t="shared" si="0"/>
        <v>-164.39</v>
      </c>
      <c r="AD16" s="118" t="s">
        <v>3</v>
      </c>
      <c r="AE16" s="214" t="str">
        <f t="shared" si="14"/>
        <v>GBP4M=</v>
      </c>
      <c r="AF16" s="311">
        <v>-24.9</v>
      </c>
      <c r="AG16" s="311">
        <v>-23.1</v>
      </c>
      <c r="AH16" s="230"/>
      <c r="AI16" s="234">
        <f t="shared" si="17"/>
        <v>-24</v>
      </c>
      <c r="AK16" s="161" t="s">
        <v>3</v>
      </c>
      <c r="AL16" s="214" t="str">
        <f t="shared" si="15"/>
        <v>EUR4M=</v>
      </c>
      <c r="AM16" s="311">
        <v>-52.53</v>
      </c>
      <c r="AN16" s="311">
        <v>-51.92</v>
      </c>
      <c r="AO16" s="230"/>
      <c r="AP16" s="234">
        <f t="shared" si="18"/>
        <v>-52.225000000000001</v>
      </c>
      <c r="AQ16" s="231"/>
      <c r="AR16" s="161" t="s">
        <v>3</v>
      </c>
      <c r="AS16" s="214" t="str">
        <f t="shared" si="16"/>
        <v>NZD4M=</v>
      </c>
      <c r="AT16" s="311">
        <v>-69.28</v>
      </c>
      <c r="AU16" s="311">
        <v>-68.400000000000006</v>
      </c>
      <c r="AV16" s="230"/>
      <c r="AW16" s="234">
        <f t="shared" si="19"/>
        <v>-68.84</v>
      </c>
    </row>
    <row r="17" spans="1:49">
      <c r="I17" s="161" t="s">
        <v>4</v>
      </c>
      <c r="J17" s="214" t="str">
        <f t="shared" si="12"/>
        <v>AUD5M=</v>
      </c>
      <c r="Y17" s="311">
        <v>-204.06</v>
      </c>
      <c r="Z17" s="311">
        <v>-203.26</v>
      </c>
      <c r="AA17" s="230"/>
      <c r="AB17" s="234">
        <f t="shared" si="0"/>
        <v>-203.66</v>
      </c>
      <c r="AD17" s="118" t="s">
        <v>4</v>
      </c>
      <c r="AE17" s="214" t="str">
        <f t="shared" si="14"/>
        <v>GBP5M=</v>
      </c>
      <c r="AF17" s="311">
        <v>-30.16</v>
      </c>
      <c r="AG17" s="311">
        <v>-29.32</v>
      </c>
      <c r="AH17" s="230"/>
      <c r="AI17" s="234">
        <f t="shared" si="17"/>
        <v>-29.740000000000002</v>
      </c>
      <c r="AK17" s="161" t="s">
        <v>4</v>
      </c>
      <c r="AL17" s="214" t="str">
        <f t="shared" si="15"/>
        <v>EUR5M=</v>
      </c>
      <c r="AM17" s="311">
        <v>-66.679999999999993</v>
      </c>
      <c r="AN17" s="311">
        <v>-65.92</v>
      </c>
      <c r="AO17" s="230"/>
      <c r="AP17" s="234">
        <f t="shared" si="18"/>
        <v>-66.3</v>
      </c>
      <c r="AQ17" s="231"/>
      <c r="AR17" s="161" t="s">
        <v>4</v>
      </c>
      <c r="AS17" s="214" t="str">
        <f t="shared" si="16"/>
        <v>NZD5M=</v>
      </c>
      <c r="AT17" s="311">
        <v>-81.81</v>
      </c>
      <c r="AU17" s="311">
        <v>-80.61</v>
      </c>
      <c r="AV17" s="230"/>
      <c r="AW17" s="234">
        <f t="shared" si="19"/>
        <v>-81.210000000000008</v>
      </c>
    </row>
    <row r="18" spans="1:49" s="7" customFormat="1">
      <c r="A18" s="165"/>
      <c r="B18" s="165"/>
      <c r="C18" s="165"/>
      <c r="D18" s="167"/>
      <c r="E18" s="195"/>
      <c r="F18" s="195"/>
      <c r="G18" s="198"/>
      <c r="H18" s="195"/>
      <c r="I18" s="161" t="s">
        <v>5</v>
      </c>
      <c r="J18" s="214" t="str">
        <f t="shared" si="12"/>
        <v>AUD6M=</v>
      </c>
      <c r="K18" s="208"/>
      <c r="L18" s="208"/>
      <c r="M18" s="757"/>
      <c r="N18" s="757"/>
      <c r="O18" s="757"/>
      <c r="P18" s="757"/>
      <c r="Q18" s="757"/>
      <c r="R18" s="757"/>
      <c r="S18" s="757"/>
      <c r="T18" s="757"/>
      <c r="U18" s="757"/>
      <c r="V18" s="757"/>
      <c r="W18" s="757"/>
      <c r="X18" s="757"/>
      <c r="Y18" s="311">
        <v>-246.53</v>
      </c>
      <c r="Z18" s="311">
        <v>-245.73</v>
      </c>
      <c r="AA18" s="230"/>
      <c r="AB18" s="234">
        <f t="shared" si="0"/>
        <v>-246.13</v>
      </c>
      <c r="AC18" s="174"/>
      <c r="AD18" s="118" t="s">
        <v>5</v>
      </c>
      <c r="AE18" s="214" t="str">
        <f t="shared" si="14"/>
        <v>GBP6M=</v>
      </c>
      <c r="AF18" s="311">
        <v>-36.760000000000005</v>
      </c>
      <c r="AG18" s="311">
        <v>-35.74</v>
      </c>
      <c r="AH18" s="230"/>
      <c r="AI18" s="234">
        <f t="shared" si="17"/>
        <v>-36.25</v>
      </c>
      <c r="AJ18" s="167"/>
      <c r="AK18" s="161" t="s">
        <v>5</v>
      </c>
      <c r="AL18" s="214" t="str">
        <f t="shared" si="15"/>
        <v>EUR6M=</v>
      </c>
      <c r="AM18" s="311">
        <v>-83.3</v>
      </c>
      <c r="AN18" s="311">
        <v>-80.7</v>
      </c>
      <c r="AO18" s="230"/>
      <c r="AP18" s="234">
        <f t="shared" si="18"/>
        <v>-82</v>
      </c>
      <c r="AQ18" s="231"/>
      <c r="AR18" s="161" t="s">
        <v>5</v>
      </c>
      <c r="AS18" s="214" t="str">
        <f t="shared" si="16"/>
        <v>NZD6M=</v>
      </c>
      <c r="AT18" s="311">
        <v>-104.79</v>
      </c>
      <c r="AU18" s="311">
        <v>-103.47</v>
      </c>
      <c r="AV18" s="230"/>
      <c r="AW18" s="234">
        <f t="shared" si="19"/>
        <v>-104.13</v>
      </c>
    </row>
    <row r="19" spans="1:49" s="6" customFormat="1">
      <c r="A19" s="159"/>
      <c r="B19" s="159"/>
      <c r="C19" s="159"/>
      <c r="D19" s="167"/>
      <c r="E19" s="195"/>
      <c r="F19" s="195"/>
      <c r="G19" s="198"/>
      <c r="H19" s="195"/>
      <c r="I19" s="161" t="s">
        <v>110</v>
      </c>
      <c r="J19" s="214" t="str">
        <f t="shared" si="12"/>
        <v>AUD7M=</v>
      </c>
      <c r="K19" s="208"/>
      <c r="L19" s="208"/>
      <c r="M19" s="757"/>
      <c r="N19" s="757"/>
      <c r="O19" s="757"/>
      <c r="P19" s="757"/>
      <c r="Q19" s="757"/>
      <c r="R19" s="757"/>
      <c r="S19" s="757"/>
      <c r="T19" s="757"/>
      <c r="U19" s="757"/>
      <c r="V19" s="757"/>
      <c r="W19" s="757"/>
      <c r="X19" s="757"/>
      <c r="Y19" s="311">
        <v>-284.45</v>
      </c>
      <c r="Z19" s="311">
        <v>-282.95</v>
      </c>
      <c r="AA19" s="230"/>
      <c r="AB19" s="234">
        <f t="shared" si="0"/>
        <v>-283.7</v>
      </c>
      <c r="AC19" s="174"/>
      <c r="AD19" s="118" t="s">
        <v>110</v>
      </c>
      <c r="AE19" s="214" t="str">
        <f t="shared" si="14"/>
        <v>GBP7M=</v>
      </c>
      <c r="AF19" s="311">
        <v>-42.58</v>
      </c>
      <c r="AG19" s="311">
        <v>-41.15</v>
      </c>
      <c r="AH19" s="230"/>
      <c r="AI19" s="234">
        <f t="shared" si="17"/>
        <v>-41.864999999999995</v>
      </c>
      <c r="AJ19" s="167"/>
      <c r="AK19" s="161" t="s">
        <v>110</v>
      </c>
      <c r="AL19" s="214" t="str">
        <f t="shared" si="15"/>
        <v>EUR7M=</v>
      </c>
      <c r="AM19" s="311">
        <v>-97.710000000000008</v>
      </c>
      <c r="AN19" s="311">
        <v>-95.7</v>
      </c>
      <c r="AO19" s="230"/>
      <c r="AP19" s="234">
        <f t="shared" si="18"/>
        <v>-96.705000000000013</v>
      </c>
      <c r="AQ19" s="231"/>
      <c r="AR19" s="161" t="s">
        <v>110</v>
      </c>
      <c r="AS19" s="214" t="str">
        <f t="shared" si="16"/>
        <v>NZD7M=</v>
      </c>
      <c r="AT19" s="311">
        <v>-122.38</v>
      </c>
      <c r="AU19" s="311">
        <v>-119.88</v>
      </c>
      <c r="AV19" s="230"/>
      <c r="AW19" s="234">
        <f t="shared" si="19"/>
        <v>-121.13</v>
      </c>
    </row>
    <row r="20" spans="1:49">
      <c r="I20" s="161" t="s">
        <v>111</v>
      </c>
      <c r="J20" s="214" t="str">
        <f t="shared" si="12"/>
        <v>AUD8M=</v>
      </c>
      <c r="Y20" s="311">
        <v>-321.45</v>
      </c>
      <c r="Z20" s="311">
        <v>-319.95</v>
      </c>
      <c r="AA20" s="230"/>
      <c r="AB20" s="234">
        <f t="shared" si="0"/>
        <v>-320.7</v>
      </c>
      <c r="AD20" s="118" t="s">
        <v>111</v>
      </c>
      <c r="AE20" s="214" t="str">
        <f t="shared" si="14"/>
        <v>GBP8M=</v>
      </c>
      <c r="AF20" s="311">
        <v>-48.61</v>
      </c>
      <c r="AG20" s="311">
        <v>-46.99</v>
      </c>
      <c r="AH20" s="230"/>
      <c r="AI20" s="234">
        <f t="shared" si="17"/>
        <v>-47.8</v>
      </c>
      <c r="AK20" s="161" t="s">
        <v>111</v>
      </c>
      <c r="AL20" s="214" t="str">
        <f t="shared" si="15"/>
        <v>EUR8M=</v>
      </c>
      <c r="AM20" s="311">
        <v>-112.29</v>
      </c>
      <c r="AN20" s="311">
        <v>-110.03</v>
      </c>
      <c r="AO20" s="230"/>
      <c r="AP20" s="234">
        <f t="shared" si="18"/>
        <v>-111.16</v>
      </c>
      <c r="AQ20" s="231"/>
      <c r="AR20" s="161" t="s">
        <v>111</v>
      </c>
      <c r="AS20" s="214" t="str">
        <f t="shared" si="16"/>
        <v>NZD8M=</v>
      </c>
      <c r="AT20" s="311">
        <v>-139.95000000000002</v>
      </c>
      <c r="AU20" s="311">
        <v>-137.45000000000002</v>
      </c>
      <c r="AV20" s="230"/>
      <c r="AW20" s="234">
        <f t="shared" si="19"/>
        <v>-138.70000000000002</v>
      </c>
    </row>
    <row r="21" spans="1:49">
      <c r="I21" s="161" t="s">
        <v>30</v>
      </c>
      <c r="J21" s="214" t="str">
        <f t="shared" si="12"/>
        <v>AUD9M=</v>
      </c>
      <c r="Y21" s="311">
        <v>-365.8</v>
      </c>
      <c r="Z21" s="311">
        <v>-363.8</v>
      </c>
      <c r="AA21" s="230"/>
      <c r="AB21" s="234">
        <f t="shared" ref="AB21:AB28" si="20">IF(ISNUMBER(AA21),AA21,AVERAGE(Y21:Z21))</f>
        <v>-364.8</v>
      </c>
      <c r="AD21" s="118" t="s">
        <v>30</v>
      </c>
      <c r="AE21" s="214" t="str">
        <f t="shared" si="14"/>
        <v>GBP9M=</v>
      </c>
      <c r="AF21" s="311">
        <v>-57.49</v>
      </c>
      <c r="AG21" s="311">
        <v>-55.54</v>
      </c>
      <c r="AH21" s="230"/>
      <c r="AI21" s="234">
        <f t="shared" si="17"/>
        <v>-56.515000000000001</v>
      </c>
      <c r="AK21" s="161" t="s">
        <v>30</v>
      </c>
      <c r="AL21" s="214" t="str">
        <f t="shared" si="15"/>
        <v>EUR9M=</v>
      </c>
      <c r="AM21" s="311">
        <v>-128.80000000000001</v>
      </c>
      <c r="AN21" s="311">
        <v>-127.3</v>
      </c>
      <c r="AO21" s="230"/>
      <c r="AP21" s="234">
        <f t="shared" si="18"/>
        <v>-128.05000000000001</v>
      </c>
      <c r="AQ21" s="231"/>
      <c r="AR21" s="161" t="s">
        <v>30</v>
      </c>
      <c r="AS21" s="214" t="str">
        <f t="shared" si="16"/>
        <v>NZD9M=</v>
      </c>
      <c r="AT21" s="311">
        <v>-162.30000000000001</v>
      </c>
      <c r="AU21" s="311">
        <v>-157.30000000000001</v>
      </c>
      <c r="AV21" s="230"/>
      <c r="AW21" s="234">
        <f t="shared" si="19"/>
        <v>-159.80000000000001</v>
      </c>
    </row>
    <row r="22" spans="1:49">
      <c r="I22" s="161" t="s">
        <v>25</v>
      </c>
      <c r="J22" s="214" t="str">
        <f t="shared" si="12"/>
        <v>AUD1Y=</v>
      </c>
      <c r="Y22" s="311">
        <v>-479.09</v>
      </c>
      <c r="Z22" s="311">
        <v>-476.59</v>
      </c>
      <c r="AA22" s="230"/>
      <c r="AB22" s="728">
        <f t="shared" si="20"/>
        <v>-477.84</v>
      </c>
      <c r="AD22" s="161" t="s">
        <v>25</v>
      </c>
      <c r="AE22" s="214" t="str">
        <f t="shared" si="14"/>
        <v>GBP1Y=</v>
      </c>
      <c r="AF22" s="311">
        <v>-79.8</v>
      </c>
      <c r="AG22" s="311">
        <v>-77.349999999999994</v>
      </c>
      <c r="AH22" s="230"/>
      <c r="AI22" s="728">
        <f t="shared" si="17"/>
        <v>-78.574999999999989</v>
      </c>
      <c r="AK22" s="161" t="s">
        <v>25</v>
      </c>
      <c r="AL22" s="214" t="str">
        <f t="shared" si="15"/>
        <v>EUR1Y=</v>
      </c>
      <c r="AM22" s="311">
        <v>-174.98000000000002</v>
      </c>
      <c r="AN22" s="311">
        <v>-172.78</v>
      </c>
      <c r="AO22" s="230"/>
      <c r="AP22" s="728">
        <f t="shared" si="18"/>
        <v>-173.88</v>
      </c>
      <c r="AQ22" s="231"/>
      <c r="AR22" s="161" t="s">
        <v>25</v>
      </c>
      <c r="AS22" s="214" t="str">
        <f t="shared" si="16"/>
        <v>NZD1Y=</v>
      </c>
      <c r="AT22" s="311">
        <v>-217.68</v>
      </c>
      <c r="AU22" s="311">
        <v>-213.33</v>
      </c>
      <c r="AV22" s="230"/>
      <c r="AW22" s="728">
        <f t="shared" si="19"/>
        <v>-215.505</v>
      </c>
    </row>
    <row r="23" spans="1:49">
      <c r="I23" s="161" t="s">
        <v>26</v>
      </c>
      <c r="J23" s="214" t="str">
        <f t="shared" si="12"/>
        <v>AUD2Y=</v>
      </c>
      <c r="Y23" s="311">
        <v>-898.17000000000007</v>
      </c>
      <c r="Z23" s="311">
        <v>-882.17000000000007</v>
      </c>
      <c r="AA23" s="230"/>
      <c r="AB23" s="728">
        <f t="shared" si="20"/>
        <v>-890.17000000000007</v>
      </c>
      <c r="AD23" s="161" t="s">
        <v>26</v>
      </c>
      <c r="AE23" s="214" t="str">
        <f t="shared" si="14"/>
        <v>GBP2Y=</v>
      </c>
      <c r="AF23" s="311">
        <v>-162.65</v>
      </c>
      <c r="AG23" s="311">
        <v>-148.18</v>
      </c>
      <c r="AH23" s="230"/>
      <c r="AI23" s="728">
        <f t="shared" si="17"/>
        <v>-155.41500000000002</v>
      </c>
      <c r="AK23" s="161" t="s">
        <v>26</v>
      </c>
      <c r="AL23" s="214" t="str">
        <f t="shared" si="15"/>
        <v>EUR2Y=</v>
      </c>
      <c r="AM23" s="311">
        <v>-319.89999999999998</v>
      </c>
      <c r="AN23" s="311">
        <v>-311.39999999999998</v>
      </c>
      <c r="AO23" s="230"/>
      <c r="AP23" s="728">
        <f t="shared" si="18"/>
        <v>-315.64999999999998</v>
      </c>
      <c r="AQ23" s="231"/>
      <c r="AR23" s="161" t="s">
        <v>26</v>
      </c>
      <c r="AS23" s="214" t="str">
        <f t="shared" si="16"/>
        <v>NZD2Y=</v>
      </c>
      <c r="AT23" s="311">
        <v>-461.6</v>
      </c>
      <c r="AU23" s="311">
        <v>-452.6</v>
      </c>
      <c r="AV23" s="230"/>
      <c r="AW23" s="728">
        <f t="shared" si="19"/>
        <v>-457.1</v>
      </c>
    </row>
    <row r="24" spans="1:49">
      <c r="I24" s="161" t="s">
        <v>7</v>
      </c>
      <c r="J24" s="214" t="str">
        <f t="shared" si="12"/>
        <v>AUD3Y=</v>
      </c>
      <c r="Y24" s="311">
        <v>-1246.8</v>
      </c>
      <c r="Z24" s="311">
        <v>-1226.8</v>
      </c>
      <c r="AA24" s="230"/>
      <c r="AB24" s="728">
        <f t="shared" si="20"/>
        <v>-1236.8</v>
      </c>
      <c r="AD24" s="161" t="s">
        <v>7</v>
      </c>
      <c r="AE24" s="214" t="str">
        <f t="shared" si="14"/>
        <v>GBP3Y=</v>
      </c>
      <c r="AF24" s="311">
        <v>-227.4</v>
      </c>
      <c r="AG24" s="311">
        <v>-211.4</v>
      </c>
      <c r="AH24" s="230"/>
      <c r="AI24" s="728">
        <f t="shared" si="17"/>
        <v>-219.4</v>
      </c>
      <c r="AK24" s="161" t="s">
        <v>7</v>
      </c>
      <c r="AL24" s="214" t="str">
        <f t="shared" si="15"/>
        <v>EUR3Y=</v>
      </c>
      <c r="AM24" s="311">
        <v>-387.3</v>
      </c>
      <c r="AN24" s="311">
        <v>-375.3</v>
      </c>
      <c r="AO24" s="230"/>
      <c r="AP24" s="728">
        <f t="shared" si="18"/>
        <v>-381.3</v>
      </c>
      <c r="AQ24" s="231"/>
      <c r="AR24" s="161" t="s">
        <v>7</v>
      </c>
      <c r="AS24" s="214" t="str">
        <f t="shared" si="16"/>
        <v>NZD3Y=</v>
      </c>
      <c r="AT24" s="311">
        <v>-695</v>
      </c>
      <c r="AU24" s="311">
        <v>-671</v>
      </c>
      <c r="AV24" s="230"/>
      <c r="AW24" s="728">
        <f t="shared" si="19"/>
        <v>-683</v>
      </c>
    </row>
    <row r="25" spans="1:49">
      <c r="I25" s="161" t="s">
        <v>8</v>
      </c>
      <c r="J25" s="214" t="str">
        <f t="shared" si="12"/>
        <v>AUD4Y=</v>
      </c>
      <c r="Y25" s="311">
        <v>-1514.4</v>
      </c>
      <c r="Z25" s="311">
        <v>-1489.4</v>
      </c>
      <c r="AA25" s="230"/>
      <c r="AB25" s="728">
        <f t="shared" si="20"/>
        <v>-1501.9</v>
      </c>
      <c r="AD25" s="161" t="s">
        <v>8</v>
      </c>
      <c r="AE25" s="214" t="str">
        <f t="shared" si="14"/>
        <v>GBP4Y=</v>
      </c>
      <c r="AF25" s="311">
        <v>-247.9</v>
      </c>
      <c r="AG25" s="311">
        <v>-222.9</v>
      </c>
      <c r="AH25" s="230"/>
      <c r="AI25" s="728">
        <f t="shared" si="17"/>
        <v>-235.4</v>
      </c>
      <c r="AK25" s="161" t="s">
        <v>8</v>
      </c>
      <c r="AL25" s="214" t="str">
        <f t="shared" si="15"/>
        <v>EUR4Y=</v>
      </c>
      <c r="AM25" s="311">
        <v>-386</v>
      </c>
      <c r="AN25" s="311">
        <v>-363</v>
      </c>
      <c r="AO25" s="230"/>
      <c r="AP25" s="728">
        <f t="shared" si="18"/>
        <v>-374.5</v>
      </c>
      <c r="AQ25" s="231"/>
      <c r="AR25" s="161" t="s">
        <v>8</v>
      </c>
      <c r="AS25" s="214" t="str">
        <f t="shared" si="16"/>
        <v>NZD4Y=</v>
      </c>
      <c r="AT25" s="311">
        <v>-929.5</v>
      </c>
      <c r="AU25" s="311">
        <v>-869.5</v>
      </c>
      <c r="AV25" s="230"/>
      <c r="AW25" s="728">
        <f t="shared" si="19"/>
        <v>-899.5</v>
      </c>
    </row>
    <row r="26" spans="1:49">
      <c r="I26" s="161" t="s">
        <v>9</v>
      </c>
      <c r="J26" s="214" t="str">
        <f t="shared" si="12"/>
        <v>AUD5Y=</v>
      </c>
      <c r="Y26" s="311">
        <v>-1732</v>
      </c>
      <c r="Z26" s="311">
        <v>-1702</v>
      </c>
      <c r="AA26" s="230"/>
      <c r="AB26" s="728">
        <f t="shared" si="20"/>
        <v>-1717</v>
      </c>
      <c r="AD26" s="161" t="s">
        <v>9</v>
      </c>
      <c r="AE26" s="214" t="str">
        <f t="shared" si="14"/>
        <v>GBP5Y=</v>
      </c>
      <c r="AF26" s="311">
        <v>-237</v>
      </c>
      <c r="AG26" s="311">
        <v>-140.5</v>
      </c>
      <c r="AH26" s="230"/>
      <c r="AI26" s="728">
        <f t="shared" si="17"/>
        <v>-188.75</v>
      </c>
      <c r="AK26" s="161" t="s">
        <v>9</v>
      </c>
      <c r="AL26" s="214" t="str">
        <f t="shared" si="15"/>
        <v>EUR5Y=</v>
      </c>
      <c r="AM26" s="311">
        <v>-310.2</v>
      </c>
      <c r="AN26" s="311">
        <v>-286.2</v>
      </c>
      <c r="AO26" s="230"/>
      <c r="AP26" s="728">
        <f t="shared" si="18"/>
        <v>-298.2</v>
      </c>
      <c r="AQ26" s="231"/>
      <c r="AR26" s="161" t="s">
        <v>9</v>
      </c>
      <c r="AS26" s="214" t="str">
        <f t="shared" si="16"/>
        <v>NZD5Y=</v>
      </c>
      <c r="AT26" s="311">
        <v>-1111.2</v>
      </c>
      <c r="AU26" s="311">
        <v>-1027.8</v>
      </c>
      <c r="AV26" s="230"/>
      <c r="AW26" s="728">
        <f t="shared" si="19"/>
        <v>-1069.5</v>
      </c>
    </row>
    <row r="27" spans="1:49">
      <c r="I27" s="161" t="s">
        <v>11</v>
      </c>
      <c r="J27" s="214" t="str">
        <f t="shared" si="12"/>
        <v>AUD7Y=</v>
      </c>
      <c r="Y27" s="311">
        <v>-2081.6</v>
      </c>
      <c r="Z27" s="311">
        <v>-2033.6</v>
      </c>
      <c r="AA27" s="230"/>
      <c r="AB27" s="728">
        <f t="shared" si="20"/>
        <v>-2057.6</v>
      </c>
      <c r="AD27" s="161" t="s">
        <v>11</v>
      </c>
      <c r="AE27" s="214" t="str">
        <f t="shared" si="14"/>
        <v>GBP7Y=</v>
      </c>
      <c r="AF27" s="311">
        <v>-139.6</v>
      </c>
      <c r="AG27" s="311">
        <v>-81.5</v>
      </c>
      <c r="AH27" s="230"/>
      <c r="AI27" s="728">
        <f t="shared" si="17"/>
        <v>-110.55</v>
      </c>
      <c r="AK27" s="161" t="s">
        <v>11</v>
      </c>
      <c r="AL27" s="214" t="str">
        <f t="shared" si="15"/>
        <v>EUR7Y=</v>
      </c>
      <c r="AM27" s="311">
        <v>-77.599999999999994</v>
      </c>
      <c r="AN27" s="311">
        <v>-27.2</v>
      </c>
      <c r="AO27" s="230"/>
      <c r="AP27" s="728">
        <f t="shared" si="18"/>
        <v>-52.4</v>
      </c>
      <c r="AQ27" s="231"/>
      <c r="AR27" s="161" t="s">
        <v>11</v>
      </c>
      <c r="AS27" s="214" t="str">
        <f t="shared" si="16"/>
        <v>NZD7Y=</v>
      </c>
      <c r="AT27" s="311">
        <v>-1433.6</v>
      </c>
      <c r="AU27" s="311">
        <v>-1303.5</v>
      </c>
      <c r="AV27" s="230"/>
      <c r="AW27" s="728">
        <f t="shared" si="19"/>
        <v>-1368.55</v>
      </c>
    </row>
    <row r="28" spans="1:49" s="7" customFormat="1">
      <c r="A28" s="165"/>
      <c r="B28" s="165"/>
      <c r="C28" s="165"/>
      <c r="D28" s="167"/>
      <c r="E28" s="195"/>
      <c r="F28" s="195"/>
      <c r="G28" s="198"/>
      <c r="H28" s="195"/>
      <c r="I28" s="161" t="s">
        <v>14</v>
      </c>
      <c r="J28" s="214" t="str">
        <f t="shared" si="12"/>
        <v>AUD10Y=</v>
      </c>
      <c r="K28" s="208"/>
      <c r="L28" s="208"/>
      <c r="M28" s="757"/>
      <c r="N28" s="757"/>
      <c r="O28" s="757"/>
      <c r="P28" s="757"/>
      <c r="Q28" s="757"/>
      <c r="R28" s="757"/>
      <c r="S28" s="757"/>
      <c r="T28" s="757"/>
      <c r="U28" s="757"/>
      <c r="V28" s="757"/>
      <c r="W28" s="757"/>
      <c r="X28" s="757"/>
      <c r="Y28" s="311">
        <v>-2458</v>
      </c>
      <c r="Z28" s="311">
        <v>-2378</v>
      </c>
      <c r="AA28" s="230"/>
      <c r="AB28" s="728">
        <f t="shared" si="20"/>
        <v>-2418</v>
      </c>
      <c r="AC28" s="174"/>
      <c r="AD28" s="161" t="s">
        <v>14</v>
      </c>
      <c r="AE28" s="214" t="str">
        <f t="shared" si="14"/>
        <v>GBP10Y=</v>
      </c>
      <c r="AF28" s="311">
        <v>-113</v>
      </c>
      <c r="AG28" s="311">
        <v>-13</v>
      </c>
      <c r="AH28" s="230"/>
      <c r="AI28" s="728">
        <f t="shared" si="17"/>
        <v>-63</v>
      </c>
      <c r="AJ28" s="167"/>
      <c r="AK28" s="161" t="s">
        <v>14</v>
      </c>
      <c r="AL28" s="214" t="str">
        <f t="shared" si="15"/>
        <v>EUR10Y=</v>
      </c>
      <c r="AM28" s="311">
        <v>292.60000000000002</v>
      </c>
      <c r="AN28" s="311">
        <v>382.6</v>
      </c>
      <c r="AO28" s="230"/>
      <c r="AP28" s="728">
        <f t="shared" si="18"/>
        <v>337.6</v>
      </c>
      <c r="AQ28" s="231"/>
      <c r="AR28" s="161" t="s">
        <v>14</v>
      </c>
      <c r="AS28" s="214" t="str">
        <f t="shared" si="16"/>
        <v>NZD10Y=</v>
      </c>
      <c r="AT28" s="311">
        <v>-1730</v>
      </c>
      <c r="AU28" s="311">
        <v>-1672</v>
      </c>
      <c r="AV28" s="230"/>
      <c r="AW28" s="728">
        <f t="shared" si="19"/>
        <v>-1701</v>
      </c>
    </row>
    <row r="30" spans="1:49">
      <c r="J30" s="208" t="s">
        <v>732</v>
      </c>
      <c r="K30" s="208" t="s">
        <v>731</v>
      </c>
      <c r="L30" s="198" t="s">
        <v>730</v>
      </c>
      <c r="M30" s="757" t="s">
        <v>729</v>
      </c>
      <c r="O30" s="757" t="s">
        <v>731</v>
      </c>
      <c r="P30" s="757" t="s">
        <v>83</v>
      </c>
      <c r="Q30" s="758" t="s">
        <v>732</v>
      </c>
      <c r="R30" s="759"/>
      <c r="S30" s="758" t="s">
        <v>731</v>
      </c>
      <c r="T30" s="759"/>
      <c r="U30" s="758" t="s">
        <v>730</v>
      </c>
      <c r="V30" s="759"/>
      <c r="W30" s="758" t="s">
        <v>733</v>
      </c>
      <c r="X30" s="759"/>
    </row>
    <row r="31" spans="1:49">
      <c r="D31" s="115"/>
      <c r="E31" s="197"/>
      <c r="F31" s="197"/>
      <c r="H31" s="197"/>
      <c r="I31" s="115" t="s">
        <v>263</v>
      </c>
      <c r="J31" s="208" t="s">
        <v>734</v>
      </c>
      <c r="K31" s="198" t="s">
        <v>77</v>
      </c>
      <c r="L31" s="198" t="s">
        <v>83</v>
      </c>
      <c r="M31" s="757" t="str">
        <f ca="1">_xll.RtUpdate("IDN",J32:J46,G32:G33,M32,,RTMODE_FX)</f>
        <v>Updated at 10:13:27</v>
      </c>
      <c r="O31" s="757" t="str">
        <f ca="1">_xll.RtUpdate("IDN",K31,K32:K46,O32,,RTMODE_FX&amp;" LAY:VER")</f>
        <v>Updated at 10:29:45</v>
      </c>
      <c r="P31" s="757" t="str">
        <f ca="1">_xll.RtUpdate("IDN",L31,L32:L46,P32,,RTMODE_FX&amp;" LAY:VER")</f>
        <v>Updated at 10:30:14</v>
      </c>
      <c r="Q31" s="765" t="b">
        <v>1</v>
      </c>
      <c r="R31" s="760"/>
      <c r="S31" s="765" t="b">
        <v>1</v>
      </c>
      <c r="T31" s="760"/>
      <c r="U31" s="765" t="b">
        <v>1</v>
      </c>
      <c r="V31" s="760"/>
      <c r="W31" s="761"/>
      <c r="X31" s="760"/>
      <c r="Y31" s="57"/>
      <c r="Z31" s="57"/>
      <c r="AA31" s="57"/>
      <c r="AB31" s="60"/>
      <c r="AC31" s="57"/>
      <c r="AD31" s="232" t="s">
        <v>264</v>
      </c>
      <c r="AE31" s="195" t="str">
        <f ca="1">_xll.RtUpdate("IDN",AE32:AE43,G32:G33,AF32,,RTMODE_FX)</f>
        <v>Updated at 10:13:27</v>
      </c>
      <c r="AF31" s="57"/>
      <c r="AG31" s="57"/>
      <c r="AH31" s="57"/>
      <c r="AI31" s="60"/>
      <c r="AJ31" s="115"/>
      <c r="AK31" s="115" t="s">
        <v>265</v>
      </c>
      <c r="AL31" s="195" t="str">
        <f ca="1">_xll.RtUpdate("IDN",AL32:AL44,G32:G33,AM32,,RTMODE_FX)</f>
        <v>Updated at 10:13:27</v>
      </c>
      <c r="AM31" s="57"/>
      <c r="AN31" s="57"/>
      <c r="AO31" s="57"/>
      <c r="AP31" s="60"/>
      <c r="AQ31" s="115"/>
      <c r="AR31" s="115" t="s">
        <v>266</v>
      </c>
      <c r="AS31" s="195" t="str">
        <f ca="1">_xll.RtUpdate("IDN",AS32:AS40,G32:G33,AT32,,RTMODE_FX)</f>
        <v>Updated at 10:13:27</v>
      </c>
      <c r="AT31" s="57"/>
      <c r="AU31" s="57"/>
      <c r="AV31" s="57"/>
      <c r="AW31" s="60"/>
    </row>
    <row r="32" spans="1:49">
      <c r="G32" s="200" t="s">
        <v>44</v>
      </c>
      <c r="I32" s="235" t="s">
        <v>25</v>
      </c>
      <c r="J32" s="214" t="str">
        <f t="shared" ref="J32:J46" si="21">"AU3AB3LND"&amp;I32&amp;"=ICAA"</f>
        <v>AU3AB3LND1Y=ICAA</v>
      </c>
      <c r="K32" s="214" t="s">
        <v>91</v>
      </c>
      <c r="L32" s="214" t="s">
        <v>84</v>
      </c>
      <c r="M32" s="766">
        <v>7</v>
      </c>
      <c r="N32" s="766">
        <v>-1</v>
      </c>
      <c r="O32" s="766" t="s">
        <v>936</v>
      </c>
      <c r="P32" s="766" t="s">
        <v>932</v>
      </c>
      <c r="Q32" s="761">
        <f t="shared" ref="Q32:Q43" si="22">IF($Q$31,M32,"")</f>
        <v>7</v>
      </c>
      <c r="R32" s="760">
        <f t="shared" ref="R32:R43" si="23">IF($Q$31,N32,"")</f>
        <v>-1</v>
      </c>
      <c r="S32" s="761">
        <f t="shared" ref="S32:S46" si="24">IF($S$31,MID(O32,49,7)+0,"")</f>
        <v>5.75</v>
      </c>
      <c r="T32" s="760">
        <f t="shared" ref="T32:T38" si="25">IF($S$31,MID(O32,55,7)+0,"")</f>
        <v>0.75</v>
      </c>
      <c r="U32" s="761">
        <f t="shared" ref="U32:U43" si="26">IF($U$31,MID(P32,66,7)+0,"")</f>
        <v>5.5</v>
      </c>
      <c r="V32" s="760">
        <f t="shared" ref="V32:V43" si="27">IF($U$31,MID(P32,74,7)+0,"")</f>
        <v>1.5</v>
      </c>
      <c r="W32" s="761">
        <f t="shared" ref="W32:W43" si="28">AVERAGE(Q32,S32,U32)</f>
        <v>6.083333333333333</v>
      </c>
      <c r="X32" s="760">
        <f t="shared" ref="X32:X43" si="29">AVERAGE(R32,T32,V32)</f>
        <v>0.41666666666666669</v>
      </c>
      <c r="Y32" s="312">
        <f t="shared" ref="Y32:Y43" si="30">IF(ISERROR(W32),0,W32)</f>
        <v>6.083333333333333</v>
      </c>
      <c r="Z32" s="312">
        <f t="shared" ref="Z32:Z43" si="31">IF(ISERROR(X32),0,X32)</f>
        <v>0.41666666666666669</v>
      </c>
      <c r="AA32" s="230"/>
      <c r="AB32" s="237">
        <f t="shared" ref="AB32:AB43" si="32">IF(ISNUMBER(AA32),AA32,AVERAGE(Y32:Z32))</f>
        <v>3.25</v>
      </c>
      <c r="AD32" s="242" t="s">
        <v>25</v>
      </c>
      <c r="AE32" s="214" t="str">
        <f t="shared" ref="AE32:AE43" si="33">"GBPCBS"&amp;AD32&amp;"=ICAP"</f>
        <v>GBPCBS1Y=ICAP</v>
      </c>
      <c r="AF32" s="312">
        <v>0.25</v>
      </c>
      <c r="AG32" s="312">
        <v>-9.75</v>
      </c>
      <c r="AH32" s="230"/>
      <c r="AI32" s="237">
        <f t="shared" ref="AI32:AI41" si="34">IF(ISNUMBER(AH32),AH32,AVERAGE(AF32:AG32))</f>
        <v>-4.75</v>
      </c>
      <c r="AK32" s="235" t="s">
        <v>25</v>
      </c>
      <c r="AL32" s="214" t="str">
        <f t="shared" ref="AL32:AL44" si="35">"EURCBS"&amp;AK32&amp;"=ICAP"</f>
        <v>EURCBS1Y=ICAP</v>
      </c>
      <c r="AM32" s="312">
        <v>-23.5</v>
      </c>
      <c r="AN32" s="312">
        <v>-28.5</v>
      </c>
      <c r="AO32" s="230"/>
      <c r="AP32" s="237">
        <f t="shared" ref="AP32:AP33" si="36">IF(ISNUMBER(AO32),AO32,AVERAGE(AM32:AN32))</f>
        <v>-26</v>
      </c>
      <c r="AR32" s="235" t="s">
        <v>25</v>
      </c>
      <c r="AS32" s="309" t="str">
        <f t="shared" ref="AS32:AS40" si="37">"NZDCBS"&amp;AR32&amp;"=ICAP"</f>
        <v>NZDCBS1Y=ICAP</v>
      </c>
      <c r="AT32" s="312">
        <v>18.75</v>
      </c>
      <c r="AU32" s="312">
        <v>8.75</v>
      </c>
      <c r="AV32" s="230"/>
      <c r="AW32" s="237">
        <f t="shared" ref="AW32:AW40" si="38">IF(ISNUMBER(AV32),AV32,AVERAGE(AT32:AU32))</f>
        <v>13.75</v>
      </c>
    </row>
    <row r="33" spans="7:49">
      <c r="G33" s="200" t="s">
        <v>43</v>
      </c>
      <c r="I33" s="235" t="s">
        <v>26</v>
      </c>
      <c r="J33" s="214" t="str">
        <f t="shared" si="21"/>
        <v>AU3AB3LND2Y=ICAA</v>
      </c>
      <c r="K33" s="214" t="s">
        <v>64</v>
      </c>
      <c r="L33" s="214" t="s">
        <v>85</v>
      </c>
      <c r="M33" s="766">
        <v>11.5</v>
      </c>
      <c r="N33" s="766">
        <v>3.5</v>
      </c>
      <c r="O33" s="766" t="s">
        <v>909</v>
      </c>
      <c r="P33" s="766" t="s">
        <v>923</v>
      </c>
      <c r="Q33" s="761">
        <f t="shared" si="22"/>
        <v>11.5</v>
      </c>
      <c r="R33" s="760">
        <f t="shared" si="23"/>
        <v>3.5</v>
      </c>
      <c r="S33" s="761">
        <f t="shared" si="24"/>
        <v>10.25</v>
      </c>
      <c r="T33" s="760">
        <f t="shared" si="25"/>
        <v>5.25</v>
      </c>
      <c r="U33" s="761">
        <f t="shared" si="26"/>
        <v>9.75</v>
      </c>
      <c r="V33" s="760">
        <f t="shared" si="27"/>
        <v>5.75</v>
      </c>
      <c r="W33" s="761">
        <f t="shared" si="28"/>
        <v>10.5</v>
      </c>
      <c r="X33" s="760">
        <f t="shared" si="29"/>
        <v>4.833333333333333</v>
      </c>
      <c r="Y33" s="312">
        <f t="shared" si="30"/>
        <v>10.5</v>
      </c>
      <c r="Z33" s="312">
        <f t="shared" si="31"/>
        <v>4.833333333333333</v>
      </c>
      <c r="AA33" s="230"/>
      <c r="AB33" s="237">
        <f t="shared" si="32"/>
        <v>7.6666666666666661</v>
      </c>
      <c r="AD33" s="242" t="s">
        <v>26</v>
      </c>
      <c r="AE33" s="214" t="str">
        <f t="shared" si="33"/>
        <v>GBPCBS2Y=ICAP</v>
      </c>
      <c r="AF33" s="312">
        <v>3.25</v>
      </c>
      <c r="AG33" s="312">
        <v>-1.75</v>
      </c>
      <c r="AH33" s="230"/>
      <c r="AI33" s="237">
        <f t="shared" si="34"/>
        <v>0.75</v>
      </c>
      <c r="AK33" s="235" t="s">
        <v>26</v>
      </c>
      <c r="AL33" s="214" t="str">
        <f t="shared" si="35"/>
        <v>EURCBS2Y=ICAP</v>
      </c>
      <c r="AM33" s="312">
        <v>-23</v>
      </c>
      <c r="AN33" s="312">
        <v>-28</v>
      </c>
      <c r="AO33" s="230"/>
      <c r="AP33" s="237">
        <f t="shared" si="36"/>
        <v>-25.5</v>
      </c>
      <c r="AR33" s="235" t="s">
        <v>26</v>
      </c>
      <c r="AS33" s="309" t="str">
        <f t="shared" si="37"/>
        <v>NZDCBS2Y=ICAP</v>
      </c>
      <c r="AT33" s="312">
        <v>23.25</v>
      </c>
      <c r="AU33" s="312">
        <v>13.25</v>
      </c>
      <c r="AV33" s="230"/>
      <c r="AW33" s="237">
        <f t="shared" si="38"/>
        <v>18.25</v>
      </c>
    </row>
    <row r="34" spans="7:49">
      <c r="I34" s="235" t="s">
        <v>7</v>
      </c>
      <c r="J34" s="214" t="str">
        <f t="shared" si="21"/>
        <v>AU3AB3LND3Y=ICAA</v>
      </c>
      <c r="K34" s="214" t="s">
        <v>65</v>
      </c>
      <c r="L34" s="214" t="s">
        <v>86</v>
      </c>
      <c r="M34" s="766">
        <v>15.25</v>
      </c>
      <c r="N34" s="766">
        <v>7.25</v>
      </c>
      <c r="O34" s="766" t="s">
        <v>903</v>
      </c>
      <c r="P34" s="766" t="s">
        <v>922</v>
      </c>
      <c r="Q34" s="761">
        <f t="shared" si="22"/>
        <v>15.25</v>
      </c>
      <c r="R34" s="760">
        <f t="shared" si="23"/>
        <v>7.25</v>
      </c>
      <c r="S34" s="761">
        <f t="shared" si="24"/>
        <v>14</v>
      </c>
      <c r="T34" s="760">
        <f t="shared" si="25"/>
        <v>9</v>
      </c>
      <c r="U34" s="761">
        <f t="shared" si="26"/>
        <v>13</v>
      </c>
      <c r="V34" s="760">
        <f t="shared" si="27"/>
        <v>9</v>
      </c>
      <c r="W34" s="761">
        <f t="shared" si="28"/>
        <v>14.083333333333334</v>
      </c>
      <c r="X34" s="760">
        <f t="shared" si="29"/>
        <v>8.4166666666666661</v>
      </c>
      <c r="Y34" s="312">
        <f t="shared" si="30"/>
        <v>14.083333333333334</v>
      </c>
      <c r="Z34" s="312">
        <f t="shared" si="31"/>
        <v>8.4166666666666661</v>
      </c>
      <c r="AA34" s="32"/>
      <c r="AB34" s="237">
        <f t="shared" si="32"/>
        <v>11.25</v>
      </c>
      <c r="AD34" s="242" t="s">
        <v>7</v>
      </c>
      <c r="AE34" s="214" t="str">
        <f t="shared" si="33"/>
        <v>GBPCBS3Y=ICAP</v>
      </c>
      <c r="AF34" s="312">
        <v>6.25</v>
      </c>
      <c r="AG34" s="312">
        <v>1.25</v>
      </c>
      <c r="AH34" s="230"/>
      <c r="AI34" s="237">
        <f t="shared" si="34"/>
        <v>3.75</v>
      </c>
      <c r="AK34" s="235" t="s">
        <v>7</v>
      </c>
      <c r="AL34" s="214" t="str">
        <f t="shared" si="35"/>
        <v>EURCBS3Y=ICAP</v>
      </c>
      <c r="AM34" s="312">
        <v>-20.75</v>
      </c>
      <c r="AN34" s="312">
        <v>-25.75</v>
      </c>
      <c r="AO34" s="230"/>
      <c r="AP34" s="237">
        <f t="shared" ref="AP34:AP44" si="39">IF(ISNUMBER(AO34),AO34,AVERAGE(AM34:AN34))</f>
        <v>-23.25</v>
      </c>
      <c r="AR34" s="235" t="s">
        <v>7</v>
      </c>
      <c r="AS34" s="309" t="str">
        <f t="shared" si="37"/>
        <v>NZDCBS3Y=ICAP</v>
      </c>
      <c r="AT34" s="312">
        <v>27.75</v>
      </c>
      <c r="AU34" s="312">
        <v>17.75</v>
      </c>
      <c r="AV34" s="230"/>
      <c r="AW34" s="237">
        <f t="shared" si="38"/>
        <v>22.75</v>
      </c>
    </row>
    <row r="35" spans="7:49">
      <c r="I35" s="235" t="s">
        <v>8</v>
      </c>
      <c r="J35" s="214" t="str">
        <f t="shared" si="21"/>
        <v>AU3AB3LND4Y=ICAA</v>
      </c>
      <c r="K35" s="214" t="s">
        <v>66</v>
      </c>
      <c r="L35" s="214" t="s">
        <v>87</v>
      </c>
      <c r="M35" s="766">
        <v>17.75</v>
      </c>
      <c r="N35" s="766">
        <v>9.75</v>
      </c>
      <c r="O35" s="766" t="s">
        <v>914</v>
      </c>
      <c r="P35" s="766" t="s">
        <v>917</v>
      </c>
      <c r="Q35" s="761">
        <f t="shared" si="22"/>
        <v>17.75</v>
      </c>
      <c r="R35" s="760">
        <f t="shared" si="23"/>
        <v>9.75</v>
      </c>
      <c r="S35" s="761">
        <f t="shared" si="24"/>
        <v>16.75</v>
      </c>
      <c r="T35" s="760">
        <f t="shared" si="25"/>
        <v>11.75</v>
      </c>
      <c r="U35" s="761">
        <f t="shared" si="26"/>
        <v>15.75</v>
      </c>
      <c r="V35" s="760">
        <f t="shared" si="27"/>
        <v>11.75</v>
      </c>
      <c r="W35" s="761">
        <f t="shared" si="28"/>
        <v>16.75</v>
      </c>
      <c r="X35" s="760">
        <f t="shared" si="29"/>
        <v>11.083333333333334</v>
      </c>
      <c r="Y35" s="312">
        <f t="shared" si="30"/>
        <v>16.75</v>
      </c>
      <c r="Z35" s="312">
        <f t="shared" si="31"/>
        <v>11.083333333333334</v>
      </c>
      <c r="AA35" s="32"/>
      <c r="AB35" s="237">
        <f t="shared" si="32"/>
        <v>13.916666666666668</v>
      </c>
      <c r="AD35" s="242" t="s">
        <v>8</v>
      </c>
      <c r="AE35" s="214" t="str">
        <f t="shared" si="33"/>
        <v>GBPCBS4Y=ICAP</v>
      </c>
      <c r="AF35" s="312">
        <v>7.25</v>
      </c>
      <c r="AG35" s="312">
        <v>2.25</v>
      </c>
      <c r="AH35" s="230"/>
      <c r="AI35" s="237">
        <f t="shared" si="34"/>
        <v>4.75</v>
      </c>
      <c r="AK35" s="235" t="s">
        <v>8</v>
      </c>
      <c r="AL35" s="214" t="str">
        <f t="shared" si="35"/>
        <v>EURCBS4Y=ICAP</v>
      </c>
      <c r="AM35" s="312">
        <v>-19</v>
      </c>
      <c r="AN35" s="312">
        <v>-24</v>
      </c>
      <c r="AO35" s="230"/>
      <c r="AP35" s="237">
        <f t="shared" si="39"/>
        <v>-21.5</v>
      </c>
      <c r="AR35" s="235" t="s">
        <v>8</v>
      </c>
      <c r="AS35" s="309" t="str">
        <f t="shared" si="37"/>
        <v>NZDCBS4Y=ICAP</v>
      </c>
      <c r="AT35" s="312">
        <v>32.75</v>
      </c>
      <c r="AU35" s="312">
        <v>22.75</v>
      </c>
      <c r="AV35" s="230"/>
      <c r="AW35" s="237">
        <f t="shared" si="38"/>
        <v>27.75</v>
      </c>
    </row>
    <row r="36" spans="7:49">
      <c r="I36" s="235" t="s">
        <v>9</v>
      </c>
      <c r="J36" s="214" t="str">
        <f t="shared" si="21"/>
        <v>AU3AB3LND5Y=ICAA</v>
      </c>
      <c r="K36" s="214" t="s">
        <v>67</v>
      </c>
      <c r="L36" s="214" t="s">
        <v>88</v>
      </c>
      <c r="M36" s="766">
        <v>20</v>
      </c>
      <c r="N36" s="766">
        <v>12</v>
      </c>
      <c r="O36" s="766" t="s">
        <v>930</v>
      </c>
      <c r="P36" s="766" t="s">
        <v>920</v>
      </c>
      <c r="Q36" s="761">
        <f t="shared" si="22"/>
        <v>20</v>
      </c>
      <c r="R36" s="760">
        <f t="shared" si="23"/>
        <v>12</v>
      </c>
      <c r="S36" s="761">
        <f t="shared" ref="S36" si="40">IF($S$31,MID(O36,49,7)+0,"")</f>
        <v>19.25</v>
      </c>
      <c r="T36" s="760">
        <f t="shared" si="25"/>
        <v>14.25</v>
      </c>
      <c r="U36" s="761">
        <f t="shared" si="26"/>
        <v>18</v>
      </c>
      <c r="V36" s="760">
        <f t="shared" si="27"/>
        <v>14</v>
      </c>
      <c r="W36" s="761">
        <f t="shared" si="28"/>
        <v>19.083333333333332</v>
      </c>
      <c r="X36" s="760">
        <f t="shared" si="29"/>
        <v>13.416666666666666</v>
      </c>
      <c r="Y36" s="312">
        <f t="shared" si="30"/>
        <v>19.083333333333332</v>
      </c>
      <c r="Z36" s="312">
        <f t="shared" si="31"/>
        <v>13.416666666666666</v>
      </c>
      <c r="AA36" s="230"/>
      <c r="AB36" s="237">
        <f t="shared" si="32"/>
        <v>16.25</v>
      </c>
      <c r="AD36" s="242" t="s">
        <v>9</v>
      </c>
      <c r="AE36" s="214" t="str">
        <f t="shared" si="33"/>
        <v>GBPCBS5Y=ICAP</v>
      </c>
      <c r="AF36" s="312">
        <v>7.25</v>
      </c>
      <c r="AG36" s="312">
        <v>2.25</v>
      </c>
      <c r="AH36" s="230"/>
      <c r="AI36" s="237">
        <f t="shared" ref="AI36:AI37" si="41">IF(ISNUMBER(AH36),AH36,AVERAGE(AF36:AG36))</f>
        <v>4.75</v>
      </c>
      <c r="AK36" s="235" t="s">
        <v>9</v>
      </c>
      <c r="AL36" s="214" t="str">
        <f t="shared" si="35"/>
        <v>EURCBS5Y=ICAP</v>
      </c>
      <c r="AM36" s="312">
        <v>-17.5</v>
      </c>
      <c r="AN36" s="312">
        <v>-22.5</v>
      </c>
      <c r="AO36" s="230"/>
      <c r="AP36" s="237">
        <f t="shared" si="39"/>
        <v>-20</v>
      </c>
      <c r="AR36" s="235" t="s">
        <v>9</v>
      </c>
      <c r="AS36" s="309" t="str">
        <f t="shared" si="37"/>
        <v>NZDCBS5Y=ICAP</v>
      </c>
      <c r="AT36" s="312">
        <v>37.5</v>
      </c>
      <c r="AU36" s="312">
        <v>27.5</v>
      </c>
      <c r="AV36" s="230"/>
      <c r="AW36" s="237">
        <f t="shared" si="38"/>
        <v>32.5</v>
      </c>
    </row>
    <row r="37" spans="7:49">
      <c r="I37" s="235" t="s">
        <v>10</v>
      </c>
      <c r="J37" s="214" t="str">
        <f t="shared" si="21"/>
        <v>AU3AB3LND6Y=ICAA</v>
      </c>
      <c r="K37" s="214"/>
      <c r="L37" s="214" t="s">
        <v>89</v>
      </c>
      <c r="M37" s="766">
        <v>22</v>
      </c>
      <c r="N37" s="766">
        <v>14</v>
      </c>
      <c r="O37" s="766"/>
      <c r="P37" s="766" t="s">
        <v>918</v>
      </c>
      <c r="Q37" s="761">
        <f t="shared" si="22"/>
        <v>22</v>
      </c>
      <c r="R37" s="760">
        <f t="shared" si="23"/>
        <v>14</v>
      </c>
      <c r="S37" s="761">
        <f t="shared" ref="S37:T37" si="42">IF($S$31,IF(ISNUMBER(Q37),S36+Q37-Q36,AVERAGE(S36,S38)),"")</f>
        <v>21.25</v>
      </c>
      <c r="T37" s="760">
        <f t="shared" si="42"/>
        <v>16.25</v>
      </c>
      <c r="U37" s="761">
        <f t="shared" si="26"/>
        <v>19.75</v>
      </c>
      <c r="V37" s="760">
        <f t="shared" si="27"/>
        <v>15.75</v>
      </c>
      <c r="W37" s="761">
        <f t="shared" si="28"/>
        <v>21</v>
      </c>
      <c r="X37" s="760">
        <f t="shared" si="29"/>
        <v>15.333333333333334</v>
      </c>
      <c r="Y37" s="312">
        <f t="shared" si="30"/>
        <v>21</v>
      </c>
      <c r="Z37" s="312">
        <f t="shared" si="31"/>
        <v>15.333333333333334</v>
      </c>
      <c r="AA37" s="230"/>
      <c r="AB37" s="237">
        <f t="shared" si="32"/>
        <v>18.166666666666668</v>
      </c>
      <c r="AD37" s="242" t="s">
        <v>11</v>
      </c>
      <c r="AE37" s="214" t="str">
        <f t="shared" si="33"/>
        <v>GBPCBS7Y=ICAP</v>
      </c>
      <c r="AF37" s="312">
        <v>6</v>
      </c>
      <c r="AG37" s="312">
        <v>1</v>
      </c>
      <c r="AH37" s="230"/>
      <c r="AI37" s="237">
        <f t="shared" si="41"/>
        <v>3.5</v>
      </c>
      <c r="AK37" s="235" t="s">
        <v>11</v>
      </c>
      <c r="AL37" s="214" t="str">
        <f t="shared" si="35"/>
        <v>EURCBS7Y=ICAP</v>
      </c>
      <c r="AM37" s="312">
        <v>-14</v>
      </c>
      <c r="AN37" s="312">
        <v>-19</v>
      </c>
      <c r="AO37" s="230"/>
      <c r="AP37" s="237">
        <f t="shared" si="39"/>
        <v>-16.5</v>
      </c>
      <c r="AR37" s="235" t="s">
        <v>11</v>
      </c>
      <c r="AS37" s="309" t="str">
        <f t="shared" si="37"/>
        <v>NZDCBS7Y=ICAP</v>
      </c>
      <c r="AT37" s="312">
        <v>40</v>
      </c>
      <c r="AU37" s="312">
        <v>30</v>
      </c>
      <c r="AV37" s="230"/>
      <c r="AW37" s="237">
        <f t="shared" si="38"/>
        <v>35</v>
      </c>
    </row>
    <row r="38" spans="7:49">
      <c r="I38" s="235" t="s">
        <v>11</v>
      </c>
      <c r="J38" s="214" t="str">
        <f t="shared" si="21"/>
        <v>AU3AB3LND7Y=ICAA</v>
      </c>
      <c r="K38" s="214" t="s">
        <v>68</v>
      </c>
      <c r="L38" s="214" t="s">
        <v>90</v>
      </c>
      <c r="M38" s="766">
        <v>24</v>
      </c>
      <c r="N38" s="766">
        <v>16</v>
      </c>
      <c r="O38" s="766" t="s">
        <v>902</v>
      </c>
      <c r="P38" s="766" t="s">
        <v>919</v>
      </c>
      <c r="Q38" s="761">
        <f t="shared" si="22"/>
        <v>24</v>
      </c>
      <c r="R38" s="760">
        <f t="shared" si="23"/>
        <v>16</v>
      </c>
      <c r="S38" s="761">
        <f t="shared" si="24"/>
        <v>22.75</v>
      </c>
      <c r="T38" s="760">
        <f t="shared" si="25"/>
        <v>17.75</v>
      </c>
      <c r="U38" s="761">
        <f t="shared" si="26"/>
        <v>21.5</v>
      </c>
      <c r="V38" s="760">
        <f t="shared" si="27"/>
        <v>17.5</v>
      </c>
      <c r="W38" s="761">
        <f t="shared" si="28"/>
        <v>22.75</v>
      </c>
      <c r="X38" s="760">
        <f t="shared" si="29"/>
        <v>17.083333333333332</v>
      </c>
      <c r="Y38" s="312">
        <f t="shared" si="30"/>
        <v>22.75</v>
      </c>
      <c r="Z38" s="312">
        <f t="shared" si="31"/>
        <v>17.083333333333332</v>
      </c>
      <c r="AA38" s="230"/>
      <c r="AB38" s="237">
        <f t="shared" si="32"/>
        <v>19.916666666666664</v>
      </c>
      <c r="AD38" s="242" t="s">
        <v>14</v>
      </c>
      <c r="AE38" s="214" t="str">
        <f t="shared" si="33"/>
        <v>GBPCBS10Y=ICAP</v>
      </c>
      <c r="AF38" s="312">
        <v>4.75</v>
      </c>
      <c r="AG38" s="312">
        <v>-0.25</v>
      </c>
      <c r="AH38" s="230"/>
      <c r="AI38" s="237">
        <f t="shared" si="34"/>
        <v>2.25</v>
      </c>
      <c r="AK38" s="235" t="s">
        <v>14</v>
      </c>
      <c r="AL38" s="214" t="str">
        <f t="shared" si="35"/>
        <v>EURCBS10Y=ICAP</v>
      </c>
      <c r="AM38" s="312">
        <v>-9.25</v>
      </c>
      <c r="AN38" s="312">
        <v>-14.25</v>
      </c>
      <c r="AO38" s="230"/>
      <c r="AP38" s="237">
        <f t="shared" si="39"/>
        <v>-11.75</v>
      </c>
      <c r="AR38" s="235" t="s">
        <v>14</v>
      </c>
      <c r="AS38" s="309" t="str">
        <f t="shared" si="37"/>
        <v>NZDCBS10Y=ICAP</v>
      </c>
      <c r="AT38" s="312">
        <v>43</v>
      </c>
      <c r="AU38" s="312">
        <v>33</v>
      </c>
      <c r="AV38" s="230"/>
      <c r="AW38" s="237">
        <f t="shared" si="38"/>
        <v>38</v>
      </c>
    </row>
    <row r="39" spans="7:49">
      <c r="I39" s="235" t="s">
        <v>12</v>
      </c>
      <c r="J39" s="214" t="str">
        <f t="shared" si="21"/>
        <v>AU3AB3LND8Y=ICAA</v>
      </c>
      <c r="K39" s="214"/>
      <c r="L39" s="214" t="s">
        <v>91</v>
      </c>
      <c r="M39" s="766">
        <v>24.75</v>
      </c>
      <c r="N39" s="766">
        <v>16.75</v>
      </c>
      <c r="O39" s="766"/>
      <c r="P39" s="766" t="s">
        <v>921</v>
      </c>
      <c r="Q39" s="761">
        <f t="shared" si="22"/>
        <v>24.75</v>
      </c>
      <c r="R39" s="760">
        <f t="shared" si="23"/>
        <v>16.75</v>
      </c>
      <c r="S39" s="761">
        <f t="shared" ref="S39:T39" si="43">IF($S$31,IF(ISNUMBER(Q39),S38+Q39-Q38,S38+(S41-S38)/3),"")</f>
        <v>23.5</v>
      </c>
      <c r="T39" s="760">
        <f t="shared" si="43"/>
        <v>18.5</v>
      </c>
      <c r="U39" s="761">
        <f t="shared" si="26"/>
        <v>22.25</v>
      </c>
      <c r="V39" s="760">
        <f t="shared" si="27"/>
        <v>18.25</v>
      </c>
      <c r="W39" s="761">
        <f t="shared" si="28"/>
        <v>23.5</v>
      </c>
      <c r="X39" s="760">
        <f t="shared" si="29"/>
        <v>17.833333333333332</v>
      </c>
      <c r="Y39" s="312">
        <f t="shared" si="30"/>
        <v>23.5</v>
      </c>
      <c r="Z39" s="312">
        <f t="shared" si="31"/>
        <v>17.833333333333332</v>
      </c>
      <c r="AA39" s="230"/>
      <c r="AB39" s="237">
        <f t="shared" si="32"/>
        <v>20.666666666666664</v>
      </c>
      <c r="AD39" s="242" t="s">
        <v>16</v>
      </c>
      <c r="AE39" s="214" t="str">
        <f t="shared" si="33"/>
        <v>GBPCBS15Y=ICAP</v>
      </c>
      <c r="AF39" s="312">
        <v>1.5</v>
      </c>
      <c r="AG39" s="312">
        <v>-3.5</v>
      </c>
      <c r="AH39" s="230"/>
      <c r="AI39" s="237">
        <f t="shared" si="34"/>
        <v>-1</v>
      </c>
      <c r="AK39" s="235" t="s">
        <v>16</v>
      </c>
      <c r="AL39" s="214" t="str">
        <f t="shared" si="35"/>
        <v>EURCBS15Y=ICAP</v>
      </c>
      <c r="AM39" s="312">
        <v>-3.75</v>
      </c>
      <c r="AN39" s="312">
        <v>-8.75</v>
      </c>
      <c r="AO39" s="230"/>
      <c r="AP39" s="237">
        <f t="shared" si="39"/>
        <v>-6.25</v>
      </c>
      <c r="AR39" s="235" t="s">
        <v>16</v>
      </c>
      <c r="AS39" s="309" t="str">
        <f t="shared" si="37"/>
        <v>NZDCBS15Y=ICAP</v>
      </c>
      <c r="AT39" s="312">
        <v>43.5</v>
      </c>
      <c r="AU39" s="312">
        <v>33.5</v>
      </c>
      <c r="AV39" s="230"/>
      <c r="AW39" s="237">
        <f t="shared" si="38"/>
        <v>38.5</v>
      </c>
    </row>
    <row r="40" spans="7:49">
      <c r="I40" s="235" t="s">
        <v>13</v>
      </c>
      <c r="J40" s="214" t="str">
        <f t="shared" si="21"/>
        <v>AU3AB3LND9Y=ICAA</v>
      </c>
      <c r="K40" s="214"/>
      <c r="L40" s="214" t="s">
        <v>64</v>
      </c>
      <c r="M40" s="766">
        <v>25.5</v>
      </c>
      <c r="N40" s="766">
        <v>17.5</v>
      </c>
      <c r="O40" s="766"/>
      <c r="P40" s="766" t="s">
        <v>924</v>
      </c>
      <c r="Q40" s="761">
        <f t="shared" si="22"/>
        <v>25.5</v>
      </c>
      <c r="R40" s="760">
        <f t="shared" si="23"/>
        <v>17.5</v>
      </c>
      <c r="S40" s="761">
        <f t="shared" ref="S40:T40" si="44">IF($S$31,IF(ISNUMBER(Q40),S39+Q40-Q39,AVERAGE(S39,S41)),"")</f>
        <v>24.25</v>
      </c>
      <c r="T40" s="760">
        <f t="shared" si="44"/>
        <v>19.25</v>
      </c>
      <c r="U40" s="761">
        <f t="shared" si="26"/>
        <v>22.75</v>
      </c>
      <c r="V40" s="760">
        <f t="shared" si="27"/>
        <v>18.75</v>
      </c>
      <c r="W40" s="761">
        <f t="shared" si="28"/>
        <v>24.166666666666668</v>
      </c>
      <c r="X40" s="760">
        <f t="shared" si="29"/>
        <v>18.5</v>
      </c>
      <c r="Y40" s="312">
        <f t="shared" si="30"/>
        <v>24.166666666666668</v>
      </c>
      <c r="Z40" s="312">
        <f t="shared" si="31"/>
        <v>18.5</v>
      </c>
      <c r="AA40" s="230"/>
      <c r="AB40" s="237">
        <f t="shared" si="32"/>
        <v>21.333333333333336</v>
      </c>
      <c r="AD40" s="242" t="s">
        <v>17</v>
      </c>
      <c r="AE40" s="214" t="str">
        <f t="shared" si="33"/>
        <v>GBPCBS20Y=ICAP</v>
      </c>
      <c r="AF40" s="312">
        <v>1</v>
      </c>
      <c r="AG40" s="312">
        <v>-4</v>
      </c>
      <c r="AH40" s="230"/>
      <c r="AI40" s="237">
        <f t="shared" si="34"/>
        <v>-1.5</v>
      </c>
      <c r="AK40" s="235" t="s">
        <v>17</v>
      </c>
      <c r="AL40" s="214" t="str">
        <f t="shared" si="35"/>
        <v>EURCBS20Y=ICAP</v>
      </c>
      <c r="AM40" s="312">
        <v>0.5</v>
      </c>
      <c r="AN40" s="312">
        <v>-4.5</v>
      </c>
      <c r="AO40" s="230"/>
      <c r="AP40" s="237">
        <f t="shared" si="39"/>
        <v>-2</v>
      </c>
      <c r="AR40" s="235" t="s">
        <v>17</v>
      </c>
      <c r="AS40" s="309" t="str">
        <f t="shared" si="37"/>
        <v>NZDCBS20Y=ICAP</v>
      </c>
      <c r="AT40" s="312">
        <v>44.25</v>
      </c>
      <c r="AU40" s="312">
        <v>34.25</v>
      </c>
      <c r="AV40" s="230"/>
      <c r="AW40" s="237">
        <f t="shared" si="38"/>
        <v>39.25</v>
      </c>
    </row>
    <row r="41" spans="7:49">
      <c r="I41" s="235" t="s">
        <v>14</v>
      </c>
      <c r="J41" s="214" t="str">
        <f t="shared" si="21"/>
        <v>AU3AB3LND10Y=ICAA</v>
      </c>
      <c r="K41" s="214" t="s">
        <v>69</v>
      </c>
      <c r="L41" s="214" t="s">
        <v>65</v>
      </c>
      <c r="M41" s="766">
        <v>25.75</v>
      </c>
      <c r="N41" s="766">
        <v>17.75</v>
      </c>
      <c r="O41" s="766" t="s">
        <v>910</v>
      </c>
      <c r="P41" s="766" t="s">
        <v>928</v>
      </c>
      <c r="Q41" s="761">
        <f t="shared" si="22"/>
        <v>25.75</v>
      </c>
      <c r="R41" s="760">
        <f t="shared" si="23"/>
        <v>17.75</v>
      </c>
      <c r="S41" s="761">
        <f t="shared" si="24"/>
        <v>25</v>
      </c>
      <c r="T41" s="760">
        <f t="shared" ref="T41:T46" si="45">IF($S$31,MID(O41,55,7)+0,"")</f>
        <v>20</v>
      </c>
      <c r="U41" s="761">
        <f t="shared" si="26"/>
        <v>23.5</v>
      </c>
      <c r="V41" s="760">
        <f t="shared" si="27"/>
        <v>19.5</v>
      </c>
      <c r="W41" s="761">
        <f t="shared" si="28"/>
        <v>24.75</v>
      </c>
      <c r="X41" s="760">
        <f t="shared" si="29"/>
        <v>19.083333333333332</v>
      </c>
      <c r="Y41" s="312">
        <f t="shared" si="30"/>
        <v>24.75</v>
      </c>
      <c r="Z41" s="312">
        <f t="shared" si="31"/>
        <v>19.083333333333332</v>
      </c>
      <c r="AA41" s="230"/>
      <c r="AB41" s="237">
        <f t="shared" si="32"/>
        <v>21.916666666666664</v>
      </c>
      <c r="AD41" s="242" t="s">
        <v>19</v>
      </c>
      <c r="AE41" s="214" t="str">
        <f t="shared" si="33"/>
        <v>GBPCBS30Y=ICAP</v>
      </c>
      <c r="AF41" s="312">
        <v>5.5</v>
      </c>
      <c r="AG41" s="312">
        <v>0.5</v>
      </c>
      <c r="AH41" s="230"/>
      <c r="AI41" s="237">
        <f t="shared" si="34"/>
        <v>3</v>
      </c>
      <c r="AK41" s="235" t="s">
        <v>18</v>
      </c>
      <c r="AL41" s="214" t="str">
        <f t="shared" si="35"/>
        <v>EURCBS25Y=ICAP</v>
      </c>
      <c r="AM41" s="312">
        <v>4</v>
      </c>
      <c r="AN41" s="312">
        <v>-1</v>
      </c>
      <c r="AO41" s="230"/>
      <c r="AP41" s="237">
        <f t="shared" si="39"/>
        <v>1.5</v>
      </c>
    </row>
    <row r="42" spans="7:49">
      <c r="I42" s="235" t="s">
        <v>15</v>
      </c>
      <c r="J42" s="214" t="str">
        <f t="shared" si="21"/>
        <v>AU3AB3LND12Y=ICAA</v>
      </c>
      <c r="K42" s="214" t="s">
        <v>70</v>
      </c>
      <c r="L42" s="214" t="s">
        <v>66</v>
      </c>
      <c r="M42" s="766">
        <v>25</v>
      </c>
      <c r="N42" s="766">
        <v>16</v>
      </c>
      <c r="O42" s="766" t="s">
        <v>908</v>
      </c>
      <c r="P42" s="766" t="s">
        <v>931</v>
      </c>
      <c r="Q42" s="761">
        <f t="shared" si="22"/>
        <v>25</v>
      </c>
      <c r="R42" s="760">
        <f t="shared" si="23"/>
        <v>16</v>
      </c>
      <c r="S42" s="761">
        <f t="shared" si="24"/>
        <v>23.75</v>
      </c>
      <c r="T42" s="760">
        <f t="shared" si="45"/>
        <v>18.75</v>
      </c>
      <c r="U42" s="761">
        <f t="shared" si="26"/>
        <v>22.25</v>
      </c>
      <c r="V42" s="760">
        <f t="shared" si="27"/>
        <v>18.25</v>
      </c>
      <c r="W42" s="761">
        <f t="shared" si="28"/>
        <v>23.666666666666668</v>
      </c>
      <c r="X42" s="760">
        <f t="shared" si="29"/>
        <v>17.666666666666668</v>
      </c>
      <c r="Y42" s="312">
        <f t="shared" si="30"/>
        <v>23.666666666666668</v>
      </c>
      <c r="Z42" s="312">
        <f t="shared" si="31"/>
        <v>17.666666666666668</v>
      </c>
      <c r="AA42" s="230"/>
      <c r="AB42" s="237">
        <f t="shared" si="32"/>
        <v>20.666666666666668</v>
      </c>
      <c r="AD42" s="242" t="s">
        <v>27</v>
      </c>
      <c r="AE42" s="214" t="str">
        <f t="shared" si="33"/>
        <v>GBPCBS40Y=ICAP</v>
      </c>
      <c r="AF42" s="312">
        <v>9.25</v>
      </c>
      <c r="AG42" s="312">
        <v>4.25</v>
      </c>
      <c r="AH42" s="230"/>
      <c r="AI42" s="237">
        <f t="shared" ref="AI42" si="46">IF(ISNUMBER(AH42),AH42,AVERAGE(AF42:AG42))</f>
        <v>6.75</v>
      </c>
      <c r="AK42" s="235" t="s">
        <v>19</v>
      </c>
      <c r="AL42" s="214" t="str">
        <f t="shared" si="35"/>
        <v>EURCBS30Y=ICAP</v>
      </c>
      <c r="AM42" s="312">
        <v>7.25</v>
      </c>
      <c r="AN42" s="312">
        <v>2.25</v>
      </c>
      <c r="AO42" s="230"/>
      <c r="AP42" s="237">
        <f t="shared" si="39"/>
        <v>4.75</v>
      </c>
    </row>
    <row r="43" spans="7:49">
      <c r="I43" s="235" t="s">
        <v>16</v>
      </c>
      <c r="J43" s="214" t="str">
        <f t="shared" si="21"/>
        <v>AU3AB3LND15Y=ICAA</v>
      </c>
      <c r="K43" s="214" t="s">
        <v>71</v>
      </c>
      <c r="L43" s="214" t="s">
        <v>67</v>
      </c>
      <c r="M43" s="766">
        <v>20.5</v>
      </c>
      <c r="N43" s="766">
        <v>11.5</v>
      </c>
      <c r="O43" s="766" t="s">
        <v>904</v>
      </c>
      <c r="P43" s="766" t="s">
        <v>929</v>
      </c>
      <c r="Q43" s="761">
        <f t="shared" si="22"/>
        <v>20.5</v>
      </c>
      <c r="R43" s="760">
        <f t="shared" si="23"/>
        <v>11.5</v>
      </c>
      <c r="S43" s="761">
        <f t="shared" si="24"/>
        <v>19.5</v>
      </c>
      <c r="T43" s="760">
        <f t="shared" si="45"/>
        <v>14.5</v>
      </c>
      <c r="U43" s="761">
        <f t="shared" si="26"/>
        <v>18</v>
      </c>
      <c r="V43" s="760">
        <f t="shared" si="27"/>
        <v>14</v>
      </c>
      <c r="W43" s="761">
        <f t="shared" si="28"/>
        <v>19.333333333333332</v>
      </c>
      <c r="X43" s="760">
        <f t="shared" si="29"/>
        <v>13.333333333333334</v>
      </c>
      <c r="Y43" s="312">
        <f t="shared" si="30"/>
        <v>19.333333333333332</v>
      </c>
      <c r="Z43" s="312">
        <f t="shared" si="31"/>
        <v>13.333333333333334</v>
      </c>
      <c r="AA43" s="230"/>
      <c r="AB43" s="237">
        <f t="shared" si="32"/>
        <v>16.333333333333332</v>
      </c>
      <c r="AD43" s="242" t="s">
        <v>198</v>
      </c>
      <c r="AE43" s="214" t="str">
        <f t="shared" si="33"/>
        <v>GBPCBS50Y=ICAP</v>
      </c>
      <c r="AF43" s="312">
        <v>10.25</v>
      </c>
      <c r="AG43" s="312">
        <v>5.25</v>
      </c>
      <c r="AH43" s="230"/>
      <c r="AI43" s="237">
        <f t="shared" ref="AI43" si="47">IF(ISNUMBER(AH43),AH43,AVERAGE(AF43:AG43))</f>
        <v>7.75</v>
      </c>
      <c r="AK43" s="235" t="s">
        <v>27</v>
      </c>
      <c r="AL43" s="214" t="str">
        <f t="shared" si="35"/>
        <v>EURCBS40Y=ICAP</v>
      </c>
      <c r="AM43" s="312">
        <v>11.75</v>
      </c>
      <c r="AN43" s="312">
        <v>6.75</v>
      </c>
      <c r="AO43" s="230"/>
      <c r="AP43" s="237">
        <f t="shared" si="39"/>
        <v>9.25</v>
      </c>
    </row>
    <row r="44" spans="7:49">
      <c r="I44" s="235" t="s">
        <v>17</v>
      </c>
      <c r="J44" s="214" t="str">
        <f t="shared" si="21"/>
        <v>AU3AB3LND20Y=ICAA</v>
      </c>
      <c r="K44" s="214" t="s">
        <v>72</v>
      </c>
      <c r="L44" s="214" t="s">
        <v>68</v>
      </c>
      <c r="M44" s="766">
        <v>14.25</v>
      </c>
      <c r="N44" s="766">
        <v>5.25</v>
      </c>
      <c r="O44" s="766" t="s">
        <v>913</v>
      </c>
      <c r="P44" s="766" t="s">
        <v>926</v>
      </c>
      <c r="Q44" s="761">
        <f t="shared" ref="Q44:Q46" si="48">IF($Q$31,M44,"")</f>
        <v>14.25</v>
      </c>
      <c r="R44" s="760">
        <f t="shared" ref="R44:R46" si="49">IF($Q$31,N44,"")</f>
        <v>5.25</v>
      </c>
      <c r="S44" s="761">
        <f t="shared" si="24"/>
        <v>12.5</v>
      </c>
      <c r="T44" s="760">
        <f t="shared" si="45"/>
        <v>7.5</v>
      </c>
      <c r="U44" s="761">
        <f t="shared" ref="U44:U46" si="50">IF($U$31,MID(P44,66,7)+0,"")</f>
        <v>11</v>
      </c>
      <c r="V44" s="760">
        <f t="shared" ref="V44:V46" si="51">IF($U$31,MID(P44,74,7)+0,"")</f>
        <v>7</v>
      </c>
      <c r="W44" s="761">
        <f t="shared" ref="W44:W46" si="52">AVERAGE(Q44,S44,U44)</f>
        <v>12.583333333333334</v>
      </c>
      <c r="X44" s="760">
        <f t="shared" ref="X44:X46" si="53">AVERAGE(R44,T44,V44)</f>
        <v>6.583333333333333</v>
      </c>
      <c r="Y44" s="312">
        <f t="shared" ref="Y44:Y46" si="54">IF(ISERROR(W44),0,W44)</f>
        <v>12.583333333333334</v>
      </c>
      <c r="Z44" s="312">
        <f t="shared" ref="Z44:Z46" si="55">IF(ISERROR(X44),0,X44)</f>
        <v>6.583333333333333</v>
      </c>
      <c r="AA44" s="230"/>
      <c r="AB44" s="237">
        <f t="shared" ref="AB44:AB46" si="56">IF(ISNUMBER(AA44),AA44,AVERAGE(Y44:Z44))</f>
        <v>9.5833333333333339</v>
      </c>
      <c r="AK44" s="235" t="s">
        <v>198</v>
      </c>
      <c r="AL44" s="214" t="str">
        <f t="shared" si="35"/>
        <v>EURCBS50Y=ICAP</v>
      </c>
      <c r="AM44" s="312">
        <v>12.75</v>
      </c>
      <c r="AN44" s="312">
        <v>7.75</v>
      </c>
      <c r="AO44" s="230"/>
      <c r="AP44" s="237">
        <f t="shared" si="39"/>
        <v>10.25</v>
      </c>
    </row>
    <row r="45" spans="7:49">
      <c r="I45" s="235" t="s">
        <v>18</v>
      </c>
      <c r="J45" s="214" t="str">
        <f t="shared" si="21"/>
        <v>AU3AB3LND25Y=ICAA</v>
      </c>
      <c r="K45" s="214"/>
      <c r="L45" s="214" t="s">
        <v>69</v>
      </c>
      <c r="M45" s="766">
        <v>8.75</v>
      </c>
      <c r="N45" s="766">
        <v>-0.25</v>
      </c>
      <c r="O45" s="766"/>
      <c r="P45" s="766" t="s">
        <v>925</v>
      </c>
      <c r="Q45" s="761">
        <f t="shared" si="48"/>
        <v>8.75</v>
      </c>
      <c r="R45" s="760">
        <f t="shared" si="49"/>
        <v>-0.25</v>
      </c>
      <c r="S45" s="761">
        <f t="shared" ref="S45:T45" si="57">IF($S$31,IF(ISNUMBER(Q45),S44+Q45-Q44,AVERAGE(S44,S46)),"")</f>
        <v>7</v>
      </c>
      <c r="T45" s="760">
        <f t="shared" si="57"/>
        <v>2</v>
      </c>
      <c r="U45" s="761">
        <f t="shared" si="50"/>
        <v>4</v>
      </c>
      <c r="V45" s="760">
        <f t="shared" si="51"/>
        <v>0</v>
      </c>
      <c r="W45" s="761">
        <f t="shared" si="52"/>
        <v>6.583333333333333</v>
      </c>
      <c r="X45" s="760">
        <f t="shared" si="53"/>
        <v>0.58333333333333337</v>
      </c>
      <c r="Y45" s="312">
        <f t="shared" si="54"/>
        <v>6.583333333333333</v>
      </c>
      <c r="Z45" s="312">
        <f t="shared" si="55"/>
        <v>0.58333333333333337</v>
      </c>
      <c r="AA45" s="230"/>
      <c r="AB45" s="237">
        <f t="shared" si="56"/>
        <v>3.583333333333333</v>
      </c>
    </row>
    <row r="46" spans="7:49">
      <c r="I46" s="235" t="s">
        <v>19</v>
      </c>
      <c r="J46" s="214" t="str">
        <f t="shared" si="21"/>
        <v>AU3AB3LND30Y=ICAA</v>
      </c>
      <c r="K46" s="214" t="s">
        <v>73</v>
      </c>
      <c r="L46" s="214" t="s">
        <v>70</v>
      </c>
      <c r="M46" s="766">
        <v>1.75</v>
      </c>
      <c r="N46" s="766">
        <v>-7.25</v>
      </c>
      <c r="O46" s="766" t="s">
        <v>907</v>
      </c>
      <c r="P46" s="766" t="s">
        <v>927</v>
      </c>
      <c r="Q46" s="762">
        <f t="shared" si="48"/>
        <v>1.75</v>
      </c>
      <c r="R46" s="763">
        <f t="shared" si="49"/>
        <v>-7.25</v>
      </c>
      <c r="S46" s="762">
        <f t="shared" si="24"/>
        <v>-2.25</v>
      </c>
      <c r="T46" s="763">
        <f t="shared" si="45"/>
        <v>-7.25</v>
      </c>
      <c r="U46" s="762">
        <f t="shared" si="50"/>
        <v>-3</v>
      </c>
      <c r="V46" s="763">
        <f t="shared" si="51"/>
        <v>-7</v>
      </c>
      <c r="W46" s="762">
        <f t="shared" si="52"/>
        <v>-1.1666666666666667</v>
      </c>
      <c r="X46" s="763">
        <f t="shared" si="53"/>
        <v>-7.166666666666667</v>
      </c>
      <c r="Y46" s="312">
        <f t="shared" si="54"/>
        <v>-1.1666666666666667</v>
      </c>
      <c r="Z46" s="312">
        <f t="shared" si="55"/>
        <v>-7.166666666666667</v>
      </c>
      <c r="AA46" s="230"/>
      <c r="AB46" s="237">
        <f t="shared" si="56"/>
        <v>-4.166666666666667</v>
      </c>
    </row>
    <row r="47" spans="7:49">
      <c r="I47" s="235"/>
    </row>
    <row r="48" spans="7:49" ht="12.75" customHeight="1">
      <c r="I48" s="235"/>
    </row>
    <row r="49" spans="7:9" ht="12.75" customHeight="1">
      <c r="I49" s="235"/>
    </row>
    <row r="50" spans="7:9" ht="12.75" customHeight="1">
      <c r="I50" s="235"/>
    </row>
    <row r="51" spans="7:9">
      <c r="I51" s="235"/>
    </row>
    <row r="52" spans="7:9">
      <c r="I52" s="235"/>
    </row>
    <row r="53" spans="7:9">
      <c r="I53" s="235"/>
    </row>
    <row r="54" spans="7:9">
      <c r="G54" s="198" t="s">
        <v>842</v>
      </c>
      <c r="I54" s="235"/>
    </row>
    <row r="55" spans="7:9">
      <c r="G55" s="204">
        <v>1</v>
      </c>
      <c r="I55" s="235"/>
    </row>
    <row r="56" spans="7:9">
      <c r="I56" s="235"/>
    </row>
    <row r="57" spans="7:9">
      <c r="G57" s="198" t="s">
        <v>843</v>
      </c>
      <c r="I57" s="235"/>
    </row>
    <row r="58" spans="7:9">
      <c r="G58" s="826" t="b">
        <v>1</v>
      </c>
      <c r="I58" s="235"/>
    </row>
    <row r="59" spans="7:9">
      <c r="I59" s="235"/>
    </row>
    <row r="60" spans="7:9">
      <c r="I60" s="235"/>
    </row>
    <row r="61" spans="7:9">
      <c r="I61" s="235"/>
    </row>
    <row r="62" spans="7:9">
      <c r="I62" s="235"/>
    </row>
    <row r="63" spans="7:9">
      <c r="I63" s="235"/>
    </row>
    <row r="64" spans="7:9">
      <c r="I64" s="235"/>
    </row>
    <row r="65" spans="9:35">
      <c r="I65" s="235"/>
    </row>
    <row r="66" spans="9:35">
      <c r="I66" s="301" t="s">
        <v>267</v>
      </c>
    </row>
    <row r="67" spans="9:35">
      <c r="I67" s="297" t="s">
        <v>292</v>
      </c>
      <c r="Y67" s="298" t="s">
        <v>294</v>
      </c>
      <c r="Z67" s="299" t="s">
        <v>806</v>
      </c>
      <c r="AA67" s="300"/>
      <c r="AB67" s="299" t="s">
        <v>293</v>
      </c>
      <c r="AC67" s="293"/>
      <c r="AD67" s="294"/>
      <c r="AE67" s="739"/>
      <c r="AF67" s="295"/>
      <c r="AG67" s="295"/>
      <c r="AH67" s="295"/>
      <c r="AI67" s="296"/>
    </row>
    <row r="68" spans="9:35">
      <c r="I68" s="167" t="s">
        <v>128</v>
      </c>
      <c r="Y68" s="292">
        <f>AB7</f>
        <v>1.0724499999999999</v>
      </c>
      <c r="Z68" s="239" t="str">
        <f t="shared" ref="Z68:Z71" si="58">"FXcurve"&amp;I68</f>
        <v>FXcurveAUD</v>
      </c>
      <c r="AB68" s="55" t="str">
        <f>_xll.qFXcurve(Z68,I68,Today,I7:I28,AB7:AB28)</f>
        <v>FXcurveAUD|[Swap Pricer 1w.xlsm]FX!$AB$68#1100</v>
      </c>
    </row>
    <row r="69" spans="9:35">
      <c r="I69" s="167" t="s">
        <v>239</v>
      </c>
      <c r="Y69" s="292">
        <f>AI7</f>
        <v>1.6078999999999999</v>
      </c>
      <c r="Z69" s="239" t="str">
        <f t="shared" si="58"/>
        <v>FXcurveGBP</v>
      </c>
      <c r="AB69" s="55" t="str">
        <f>_xll.qFXcurve(Z69,I69,Today,AD7:AD28,AI7:AI28)</f>
        <v>FXcurveGBP|[Swap Pricer 1w.xlsm]FX!$AB$69#1096</v>
      </c>
    </row>
    <row r="70" spans="9:35">
      <c r="I70" s="167" t="s">
        <v>241</v>
      </c>
      <c r="Y70" s="292">
        <f>AP7</f>
        <v>1.4523999999999999</v>
      </c>
      <c r="Z70" s="239" t="str">
        <f t="shared" si="58"/>
        <v>FXcurveEUR</v>
      </c>
      <c r="AB70" s="55" t="str">
        <f>_xll.qFXcurve(Z70,I70,Today,AK7:AK28,AP7:AP28)</f>
        <v>FXcurveEUR|[Swap Pricer 1w.xlsm]FX!$AB$70#1097</v>
      </c>
    </row>
    <row r="71" spans="9:35">
      <c r="I71" s="167" t="s">
        <v>240</v>
      </c>
      <c r="Y71" s="292">
        <f>AW7</f>
        <v>0.83069999999999999</v>
      </c>
      <c r="Z71" s="239" t="str">
        <f t="shared" si="58"/>
        <v>FXcurveNZD</v>
      </c>
      <c r="AB71" s="55" t="str">
        <f>_xll.qFXcurve(Z71,I71,Today,AR7:AR28,AW7:AW28)</f>
        <v>FXcurveNZD|[Swap Pricer 1w.xlsm]FX!$AB$71#1098</v>
      </c>
    </row>
    <row r="72" spans="9:35">
      <c r="I72" s="167" t="s">
        <v>242</v>
      </c>
      <c r="Y72" s="292">
        <v>1</v>
      </c>
    </row>
    <row r="73" spans="9:35">
      <c r="I73" s="243"/>
      <c r="Y73" s="167"/>
    </row>
    <row r="74" spans="9:35">
      <c r="I74" s="239"/>
    </row>
    <row r="75" spans="9:35">
      <c r="I75" s="239"/>
    </row>
    <row r="76" spans="9:35">
      <c r="I76" s="239"/>
    </row>
    <row r="77" spans="9:35">
      <c r="I77" s="239"/>
    </row>
    <row r="78" spans="9:35">
      <c r="I78" s="239"/>
    </row>
  </sheetData>
  <sheetProtection sheet="1" objects="1" scenarios="1" autoFilter="0" pivotTables="0"/>
  <conditionalFormatting sqref="AA4">
    <cfRule type="expression" dxfId="53" priority="1" stopIfTrue="1">
      <formula>PPP_Global&lt;&gt;"LOCAL"</formula>
    </cfRule>
    <cfRule type="cellIs" dxfId="52" priority="5" stopIfTrue="1" operator="equal">
      <formula>"SNAP"</formula>
    </cfRule>
    <cfRule type="cellIs" dxfId="51" priority="6" stopIfTrue="1" operator="equal">
      <formula>"STOP"</formula>
    </cfRule>
  </conditionalFormatting>
  <conditionalFormatting sqref="AV32:AV40 AV7:AV28 AO32:AO44 AO7:AO28 AH32:AH43 AH7:AH28 AA7:AA28 AA32:AA46">
    <cfRule type="cellIs" dxfId="50" priority="2" operator="notEqual">
      <formula>0</formula>
    </cfRule>
  </conditionalFormatting>
  <dataValidations count="1">
    <dataValidation type="list" allowBlank="1" showInputMessage="1" showErrorMessage="1" promptTitle="Reuters Update Frequency" prompt="Throttles the frequency of Reuters updates.  To SNAP more than once, switch to STOP and then back to SNAP again" sqref="AA4">
      <formula1>"20s,1m,3m,10m,30m,1h,STOP,SNAP"</formula1>
    </dataValidation>
  </dataValidations>
  <pageMargins left="0.7" right="0.7" top="0.75" bottom="0.75" header="0.3" footer="0.3"/>
  <pageSetup paperSize="9"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tAU">
    <outlinePr showOutlineSymbols="0"/>
  </sheetPr>
  <dimension ref="A1:FF224"/>
  <sheetViews>
    <sheetView showGridLines="0" showRowColHeaders="0" showZeros="0" showOutlineSymbols="0" zoomScaleNormal="100" workbookViewId="0">
      <pane xSplit="3" topLeftCell="D1" activePane="topRight" state="frozen"/>
      <selection pane="topRight" activeCell="X1" sqref="X1"/>
    </sheetView>
  </sheetViews>
  <sheetFormatPr defaultRowHeight="12.75" outlineLevelCol="2"/>
  <cols>
    <col min="1" max="1" width="1.7109375" style="164" customWidth="1"/>
    <col min="2" max="2" width="7.7109375" style="164" customWidth="1"/>
    <col min="3" max="3" width="1.7109375" style="164" customWidth="1"/>
    <col min="4" max="4" width="2.7109375" style="547" hidden="1" customWidth="1" outlineLevel="2"/>
    <col min="5" max="5" width="12.28515625" style="547" hidden="1" customWidth="1" outlineLevel="2"/>
    <col min="6" max="6" width="5.28515625" style="547" hidden="1" customWidth="1" outlineLevel="2"/>
    <col min="7" max="7" width="14.7109375" style="582" hidden="1" customWidth="1" outlineLevel="2"/>
    <col min="8" max="8" width="1.7109375" style="547" hidden="1" customWidth="1" outlineLevel="2"/>
    <col min="9" max="9" width="11.28515625" style="547" hidden="1" customWidth="1" outlineLevel="2"/>
    <col min="10" max="10" width="1.7109375" style="547" hidden="1" customWidth="1" outlineLevel="2"/>
    <col min="11" max="11" width="4.28515625" style="547" hidden="1" customWidth="1" outlineLevel="2"/>
    <col min="12" max="12" width="4.140625" style="547" hidden="1" customWidth="1" outlineLevel="2"/>
    <col min="13" max="13" width="21.140625" style="547" hidden="1" customWidth="1" outlineLevel="2"/>
    <col min="14" max="14" width="7.7109375" style="570" hidden="1" customWidth="1" outlineLevel="2"/>
    <col min="15" max="17" width="7.7109375" style="582" hidden="1" customWidth="1" outlineLevel="2"/>
    <col min="18" max="18" width="1.7109375" style="547" hidden="1" customWidth="1" outlineLevel="2"/>
    <col min="19" max="19" width="7.7109375" style="571" hidden="1" customWidth="1" outlineLevel="2"/>
    <col min="20" max="22" width="7.7109375" style="547" hidden="1" customWidth="1" outlineLevel="2"/>
    <col min="23" max="23" width="1.7109375" style="547" hidden="1" customWidth="1" outlineLevel="2"/>
    <col min="24" max="24" width="3.7109375" style="6" customWidth="1" collapsed="1"/>
    <col min="25" max="25" width="3.7109375" style="5" customWidth="1"/>
    <col min="26" max="26" width="1.7109375" style="549" hidden="1" customWidth="1" outlineLevel="2"/>
    <col min="27" max="27" width="12.28515625" style="549" hidden="1" customWidth="1" outlineLevel="1"/>
    <col min="28" max="28" width="1.7109375" style="549" hidden="1" customWidth="1" outlineLevel="2"/>
    <col min="29" max="29" width="8" style="549" hidden="1" customWidth="1" outlineLevel="2"/>
    <col min="30" max="30" width="1.7109375" style="549" hidden="1" customWidth="1" outlineLevel="2"/>
    <col min="31" max="31" width="7.7109375" style="1" customWidth="1" collapsed="1"/>
    <col min="32" max="32" width="7.7109375" style="1" customWidth="1"/>
    <col min="33" max="34" width="6.7109375" style="1" customWidth="1"/>
    <col min="35" max="35" width="6.7109375" style="30" customWidth="1"/>
    <col min="36" max="37" width="2.7109375" style="9" customWidth="1"/>
    <col min="38" max="38" width="3.7109375" style="25" customWidth="1"/>
    <col min="39" max="39" width="1.7109375" style="552" hidden="1" customWidth="1" outlineLevel="2"/>
    <col min="40" max="40" width="13.42578125" style="552" hidden="1" customWidth="1" outlineLevel="1"/>
    <col min="41" max="41" width="1.7109375" style="552" hidden="1" customWidth="1" outlineLevel="2"/>
    <col min="42" max="42" width="11.140625" style="552" hidden="1" customWidth="1" outlineLevel="2"/>
    <col min="43" max="43" width="1.7109375" style="552" hidden="1" customWidth="1" outlineLevel="2"/>
    <col min="44" max="44" width="5.7109375" style="15" customWidth="1" collapsed="1"/>
    <col min="45" max="45" width="5.7109375" style="1" customWidth="1"/>
    <col min="46" max="46" width="5.7109375" style="15" customWidth="1"/>
    <col min="47" max="47" width="6.7109375" style="15" customWidth="1"/>
    <col min="48" max="49" width="2.7109375" style="1" customWidth="1"/>
    <col min="50" max="50" width="3.7109375" style="26" customWidth="1"/>
    <col min="51" max="51" width="1.7109375" style="556" hidden="1" customWidth="1" outlineLevel="2"/>
    <col min="52" max="52" width="14.7109375" style="556" hidden="1" customWidth="1" outlineLevel="1"/>
    <col min="53" max="53" width="1.7109375" style="556" hidden="1" customWidth="1" outlineLevel="2"/>
    <col min="54" max="54" width="3.7109375" style="556" hidden="1" customWidth="1" outlineLevel="2"/>
    <col min="55" max="55" width="1.7109375" style="556" hidden="1" customWidth="1" outlineLevel="2"/>
    <col min="56" max="56" width="5.7109375" style="13" customWidth="1" collapsed="1"/>
    <col min="57" max="58" width="5.7109375" style="3" customWidth="1"/>
    <col min="59" max="59" width="6.7109375" style="17" customWidth="1"/>
    <col min="60" max="61" width="2.7109375" style="3" customWidth="1"/>
    <col min="62" max="62" width="3.7109375" style="21" customWidth="1"/>
    <col min="63" max="63" width="1.7109375" style="565" hidden="1" customWidth="1" outlineLevel="2"/>
    <col min="64" max="64" width="13.28515625" style="565" hidden="1" customWidth="1" outlineLevel="1"/>
    <col min="65" max="65" width="1.7109375" style="565" hidden="1" customWidth="1" outlineLevel="2"/>
    <col min="66" max="66" width="3.7109375" style="565" hidden="1" customWidth="1" outlineLevel="2"/>
    <col min="67" max="67" width="1.7109375" style="565" hidden="1" customWidth="1" outlineLevel="2"/>
    <col min="68" max="68" width="6.7109375" style="14" customWidth="1" collapsed="1"/>
    <col min="69" max="69" width="6.7109375" style="3" customWidth="1"/>
    <col min="70" max="70" width="5.7109375" style="3" customWidth="1"/>
    <col min="71" max="71" width="6.7109375" style="17" customWidth="1"/>
    <col min="72" max="72" width="2.7109375" style="1" customWidth="1"/>
    <col min="73" max="73" width="12.140625" style="3" customWidth="1"/>
    <col min="74" max="74" width="12.140625" style="532" customWidth="1"/>
    <col min="75" max="75" width="12.140625" style="3" customWidth="1"/>
    <col min="76" max="76" width="5.7109375" style="287" customWidth="1"/>
    <col min="77" max="77" width="5.7109375" style="237" customWidth="1"/>
    <col min="78" max="80" width="5.7109375" style="239" customWidth="1"/>
    <col min="81" max="81" width="5.7109375" style="287" customWidth="1"/>
    <col min="82" max="82" width="5.7109375" style="219" customWidth="1"/>
    <col min="83" max="83" width="5.7109375" style="55" customWidth="1"/>
    <col min="84" max="86" width="17" style="5" customWidth="1"/>
    <col min="87" max="87" width="3.7109375" style="5" customWidth="1"/>
    <col min="88" max="88" width="3.7109375" style="6" customWidth="1"/>
    <col min="89" max="89" width="1.7109375" style="783" hidden="1" customWidth="1" outlineLevel="2"/>
    <col min="90" max="90" width="15" style="195" hidden="1" customWidth="1" outlineLevel="1"/>
    <col min="91" max="91" width="1.7109375" style="783" hidden="1" customWidth="1" outlineLevel="2"/>
    <col min="92" max="92" width="10.140625" style="783" hidden="1" customWidth="1" outlineLevel="2"/>
    <col min="93" max="93" width="1.7109375" style="783" hidden="1" customWidth="1" outlineLevel="2"/>
    <col min="94" max="94" width="9.42578125" style="783" hidden="1" customWidth="1" outlineLevel="2"/>
    <col min="95" max="95" width="7.140625" style="305" hidden="1" customWidth="1" outlineLevel="2"/>
    <col min="96" max="96" width="7.140625" style="792" hidden="1" customWidth="1" outlineLevel="2"/>
    <col min="97" max="97" width="9.140625" style="804" hidden="1" customWidth="1" outlineLevel="2"/>
    <col min="98" max="98" width="1.7109375" style="783" hidden="1" customWidth="1" outlineLevel="2"/>
    <col min="99" max="99" width="6.7109375" style="1" customWidth="1" collapsed="1"/>
    <col min="100" max="101" width="6.7109375" style="1" customWidth="1"/>
    <col min="102" max="102" width="6.7109375" style="15" customWidth="1"/>
    <col min="103" max="103" width="5.7109375" style="5" customWidth="1"/>
    <col min="104" max="104" width="9.140625" style="5"/>
    <col min="105" max="105" width="3.7109375" style="5" customWidth="1"/>
    <col min="106" max="111" width="13.28515625" style="549" hidden="1" customWidth="1" outlineLevel="1"/>
    <col min="112" max="113" width="14.140625" style="549" hidden="1" customWidth="1" outlineLevel="1"/>
    <col min="114" max="114" width="5.7109375" style="5" customWidth="1" collapsed="1"/>
    <col min="115" max="121" width="5.7109375" style="5" customWidth="1"/>
    <col min="122" max="132" width="9.140625" style="5"/>
    <col min="133" max="133" width="2.7109375" style="195" hidden="1" customWidth="1" outlineLevel="2"/>
    <col min="134" max="134" width="10" style="195" hidden="1" customWidth="1" outlineLevel="2"/>
    <col min="135" max="135" width="6.42578125" style="195" hidden="1" customWidth="1" outlineLevel="2"/>
    <col min="136" max="136" width="9.140625" style="195" hidden="1" customWidth="1" outlineLevel="2"/>
    <col min="137" max="137" width="5.28515625" style="195" hidden="1" customWidth="1" outlineLevel="2"/>
    <col min="138" max="138" width="22.140625" style="195" hidden="1" customWidth="1" outlineLevel="2"/>
    <col min="139" max="139" width="9.42578125" style="195" hidden="1" customWidth="1" outlineLevel="2"/>
    <col min="140" max="140" width="9.140625" style="195" hidden="1" customWidth="1" outlineLevel="2"/>
    <col min="141" max="141" width="2.7109375" style="195" hidden="1" customWidth="1" outlineLevel="2"/>
    <col min="142" max="142" width="3.7109375" style="5" customWidth="1" collapsed="1"/>
    <col min="143" max="143" width="3.7109375" style="31" customWidth="1"/>
    <col min="144" max="145" width="7.7109375" style="31" customWidth="1"/>
    <col min="146" max="146" width="7.7109375" style="116" customWidth="1"/>
    <col min="147" max="147" width="7.7109375" style="167" customWidth="1"/>
    <col min="148" max="149" width="9.140625" style="164" hidden="1" customWidth="1" outlineLevel="2"/>
    <col min="150" max="150" width="9.140625" style="31" collapsed="1"/>
    <col min="151" max="151" width="9.140625" style="31"/>
    <col min="152" max="152" width="7.7109375" style="205" customWidth="1"/>
    <col min="153" max="153" width="7.5703125" style="216" hidden="1" customWidth="1" outlineLevel="2"/>
    <col min="154" max="154" width="7.7109375" style="183" customWidth="1" collapsed="1"/>
    <col min="155" max="155" width="7.7109375" style="175" customWidth="1"/>
    <col min="156" max="156" width="7.7109375" style="179" customWidth="1"/>
    <col min="157" max="159" width="7.7109375" style="177" customWidth="1"/>
    <col min="160" max="160" width="2.7109375" style="31" customWidth="1"/>
    <col min="161" max="161" width="8.140625" style="31" bestFit="1" customWidth="1"/>
    <col min="162" max="162" width="2.7109375" style="31" customWidth="1"/>
    <col min="163" max="16384" width="9.140625" style="5"/>
  </cols>
  <sheetData>
    <row r="1" spans="1:162" ht="0.95" customHeight="1"/>
    <row r="2" spans="1:162" s="227" customFormat="1" ht="24.95" customHeight="1">
      <c r="A2" s="221"/>
      <c r="B2" s="221"/>
      <c r="C2" s="221"/>
      <c r="D2" s="547"/>
      <c r="E2" s="194" t="s">
        <v>100</v>
      </c>
      <c r="F2" s="548"/>
      <c r="G2" s="915"/>
      <c r="H2" s="548"/>
      <c r="I2" s="548"/>
      <c r="J2" s="548"/>
      <c r="K2" s="548"/>
      <c r="L2" s="548"/>
      <c r="M2" s="548"/>
      <c r="N2" s="916"/>
      <c r="O2" s="915"/>
      <c r="P2" s="915"/>
      <c r="Q2" s="915"/>
      <c r="R2" s="548"/>
      <c r="S2" s="917"/>
      <c r="T2" s="548"/>
      <c r="U2" s="548"/>
      <c r="V2" s="548"/>
      <c r="W2" s="547"/>
      <c r="Y2" s="228" t="s">
        <v>202</v>
      </c>
      <c r="Z2" s="548"/>
      <c r="AA2" s="548"/>
      <c r="AB2" s="548"/>
      <c r="AC2" s="548"/>
      <c r="AD2" s="548"/>
      <c r="AE2" s="228"/>
      <c r="AF2" s="228"/>
      <c r="AG2" s="228"/>
      <c r="AH2" s="228"/>
      <c r="AI2" s="588"/>
      <c r="AJ2" s="228"/>
      <c r="AK2" s="228"/>
      <c r="AL2" s="919" t="str">
        <f>IF(IsBillFuturesExpiry?,"Bill futures expiry today. Check futures roll setting below",       IF(IsBondFuturesExpiry?,"Bond futures expiry. Ensure futures roll setting below concurs with broker EFP's",""))</f>
        <v/>
      </c>
      <c r="AM2" s="548"/>
      <c r="AN2" s="548"/>
      <c r="AO2" s="548"/>
      <c r="AP2" s="548"/>
      <c r="AQ2" s="548"/>
      <c r="AR2" s="228"/>
      <c r="AS2" s="228"/>
      <c r="AT2" s="228"/>
      <c r="AU2" s="228"/>
      <c r="AV2" s="228"/>
      <c r="AW2" s="228"/>
      <c r="AX2" s="228"/>
      <c r="AY2" s="548"/>
      <c r="AZ2" s="548"/>
      <c r="BA2" s="548"/>
      <c r="BB2" s="548"/>
      <c r="BC2" s="548"/>
      <c r="BD2" s="228"/>
      <c r="BE2" s="228"/>
      <c r="BF2" s="228"/>
      <c r="BG2" s="228"/>
      <c r="BH2" s="228"/>
      <c r="BI2" s="228"/>
      <c r="BJ2" s="228"/>
      <c r="BK2" s="222"/>
      <c r="BL2" s="222"/>
      <c r="BM2" s="222"/>
      <c r="BN2" s="222"/>
      <c r="BO2" s="222"/>
      <c r="BP2" s="228"/>
      <c r="BQ2" s="587"/>
      <c r="BR2" s="228"/>
      <c r="BS2" s="589"/>
      <c r="BT2" s="228"/>
      <c r="BV2" s="533"/>
      <c r="BX2" s="288" t="s">
        <v>290</v>
      </c>
      <c r="BY2" s="289"/>
      <c r="BZ2" s="289"/>
      <c r="CA2" s="289"/>
      <c r="CB2" s="289"/>
      <c r="CC2" s="288"/>
      <c r="CD2" s="499"/>
      <c r="CJ2" s="787" t="s">
        <v>203</v>
      </c>
      <c r="CK2" s="790"/>
      <c r="CL2" s="789"/>
      <c r="CM2" s="790"/>
      <c r="CN2" s="790"/>
      <c r="CO2" s="790"/>
      <c r="CP2" s="790"/>
      <c r="CQ2" s="793"/>
      <c r="CR2" s="794"/>
      <c r="CS2" s="805"/>
      <c r="CT2" s="790"/>
      <c r="CU2" s="587"/>
      <c r="CV2" s="587"/>
      <c r="CW2" s="587"/>
      <c r="CX2" s="588"/>
      <c r="CY2" s="228"/>
      <c r="CZ2" s="228"/>
      <c r="DA2" s="228"/>
      <c r="DB2" s="548"/>
      <c r="DC2" s="548"/>
      <c r="DD2" s="548"/>
      <c r="DE2" s="548"/>
      <c r="DF2" s="548"/>
      <c r="DG2" s="548"/>
      <c r="DH2" s="548"/>
      <c r="DI2" s="548"/>
      <c r="DJ2" s="228"/>
      <c r="DK2" s="228"/>
      <c r="DL2" s="228"/>
      <c r="DM2" s="228"/>
      <c r="DN2" s="228"/>
      <c r="DO2" s="228"/>
      <c r="DP2" s="228"/>
      <c r="DQ2" s="228"/>
      <c r="EC2" s="226"/>
      <c r="ED2" s="222" t="s">
        <v>248</v>
      </c>
      <c r="EE2" s="222"/>
      <c r="EF2" s="222"/>
      <c r="EG2" s="222"/>
      <c r="EH2" s="222"/>
      <c r="EI2" s="222"/>
      <c r="EJ2" s="222"/>
      <c r="EK2" s="226"/>
      <c r="EM2" s="228" t="s">
        <v>211</v>
      </c>
      <c r="EN2" s="228"/>
      <c r="EO2" s="228"/>
      <c r="EP2" s="228"/>
      <c r="EQ2" s="228"/>
      <c r="ER2" s="229"/>
      <c r="ES2" s="229"/>
      <c r="ET2" s="228"/>
      <c r="EU2" s="228"/>
      <c r="EV2" s="228"/>
      <c r="EW2" s="224"/>
      <c r="EX2" s="228"/>
      <c r="EY2" s="228"/>
      <c r="EZ2" s="228"/>
      <c r="FA2" s="228"/>
      <c r="FB2" s="228"/>
      <c r="FC2" s="228"/>
      <c r="FD2" s="228"/>
      <c r="FE2" s="228"/>
      <c r="FF2" s="228"/>
    </row>
    <row r="3" spans="1:162">
      <c r="AK3" s="87"/>
      <c r="AL3" s="108"/>
      <c r="AM3" s="562"/>
      <c r="AN3" s="562"/>
      <c r="AO3" s="562"/>
      <c r="AP3" s="562"/>
      <c r="AQ3" s="562"/>
      <c r="AR3" s="109"/>
      <c r="AS3" s="90"/>
      <c r="AT3" s="109"/>
      <c r="AU3" s="109"/>
      <c r="AV3" s="90"/>
      <c r="AW3" s="90"/>
      <c r="AX3" s="110"/>
      <c r="AY3" s="557"/>
      <c r="AZ3" s="557"/>
      <c r="BA3" s="557"/>
      <c r="BB3" s="557"/>
      <c r="BC3" s="557"/>
      <c r="BD3" s="111"/>
      <c r="BE3" s="88"/>
      <c r="BF3" s="88"/>
      <c r="BG3" s="89"/>
      <c r="BH3" s="88"/>
      <c r="BI3" s="82"/>
    </row>
    <row r="4" spans="1:162" s="34" customFormat="1">
      <c r="A4" s="163"/>
      <c r="B4" s="163"/>
      <c r="C4" s="163"/>
      <c r="D4" s="547"/>
      <c r="E4" s="572" t="s">
        <v>561</v>
      </c>
      <c r="F4" s="572"/>
      <c r="G4" s="582"/>
      <c r="H4" s="547"/>
      <c r="I4" s="547"/>
      <c r="J4" s="547"/>
      <c r="K4" s="547"/>
      <c r="L4" s="547"/>
      <c r="M4" s="547"/>
      <c r="N4" s="570"/>
      <c r="O4" s="582"/>
      <c r="P4" s="582"/>
      <c r="Q4" s="582"/>
      <c r="R4" s="547"/>
      <c r="S4" s="571"/>
      <c r="T4" s="547"/>
      <c r="U4" s="547"/>
      <c r="V4" s="547"/>
      <c r="W4" s="547"/>
      <c r="X4" s="54"/>
      <c r="Y4" s="34" t="str">
        <f>"BOND FUTURES (" &amp; UPPER(TEXT(S18,"MMM")) &amp; ")"</f>
        <v>BOND FUTURES (SEP)</v>
      </c>
      <c r="Z4" s="197"/>
      <c r="AA4" s="197"/>
      <c r="AB4" s="197"/>
      <c r="AC4" s="197"/>
      <c r="AD4" s="197"/>
      <c r="AG4" s="586" t="str">
        <f>IF(S6="DELAYED","DELAYED","")</f>
        <v>DELAYED</v>
      </c>
      <c r="AH4" s="36" t="s">
        <v>20</v>
      </c>
      <c r="AI4" s="591" t="s">
        <v>24</v>
      </c>
      <c r="AJ4" s="35"/>
      <c r="AK4" s="91"/>
      <c r="AL4" s="65" t="s">
        <v>31</v>
      </c>
      <c r="AM4" s="561"/>
      <c r="AN4" s="561"/>
      <c r="AO4" s="561"/>
      <c r="AP4" s="561"/>
      <c r="AQ4" s="561"/>
      <c r="AR4" s="59"/>
      <c r="AS4" s="59"/>
      <c r="AT4" s="930">
        <v>40729</v>
      </c>
      <c r="AU4" s="930"/>
      <c r="AV4" s="66"/>
      <c r="AW4" s="66"/>
      <c r="AX4" s="92" t="s">
        <v>871</v>
      </c>
      <c r="AY4" s="558"/>
      <c r="AZ4" s="558"/>
      <c r="BA4" s="558"/>
      <c r="BB4" s="558"/>
      <c r="BC4" s="558"/>
      <c r="BD4" s="70"/>
      <c r="BE4" s="65"/>
      <c r="BF4" s="32" t="s">
        <v>874</v>
      </c>
      <c r="BG4" s="69"/>
      <c r="BH4" s="59"/>
      <c r="BI4" s="82"/>
      <c r="BJ4" s="7" t="s">
        <v>269</v>
      </c>
      <c r="BK4" s="566"/>
      <c r="BL4" s="566"/>
      <c r="BM4" s="566"/>
      <c r="BN4" s="566"/>
      <c r="BO4" s="566"/>
      <c r="BP4" s="52"/>
      <c r="BQ4" s="3"/>
      <c r="BR4" s="32"/>
      <c r="BS4" s="17" t="s">
        <v>641</v>
      </c>
      <c r="BT4" s="1"/>
      <c r="BV4" s="534"/>
      <c r="BX4" s="287"/>
      <c r="BY4" s="237"/>
      <c r="BZ4" s="239"/>
      <c r="CA4" s="239"/>
      <c r="CB4" s="239"/>
      <c r="CC4" s="287"/>
      <c r="CD4" s="219"/>
      <c r="CE4" s="55"/>
      <c r="CI4" s="5"/>
      <c r="CJ4" s="54" t="s">
        <v>112</v>
      </c>
      <c r="CK4" s="791"/>
      <c r="CL4" s="196"/>
      <c r="CM4" s="791"/>
      <c r="CN4" s="200" t="str">
        <f>PPP_string(PPP_Global,CW4)</f>
        <v>FRQ:30m</v>
      </c>
      <c r="CO4" s="791"/>
      <c r="CP4" s="791"/>
      <c r="CQ4" s="307"/>
      <c r="CR4" s="795"/>
      <c r="CS4" s="806"/>
      <c r="CT4" s="791"/>
      <c r="CU4" s="1"/>
      <c r="CV4" s="1"/>
      <c r="CW4" s="32" t="s">
        <v>359</v>
      </c>
      <c r="CX4" s="15"/>
      <c r="CY4" s="5"/>
      <c r="CZ4" s="5"/>
      <c r="DA4" s="5"/>
      <c r="DB4" s="549"/>
      <c r="DC4" s="549"/>
      <c r="DD4" s="549"/>
      <c r="DE4" s="549"/>
      <c r="DF4" s="549"/>
      <c r="DG4" s="549"/>
      <c r="DH4" s="549"/>
      <c r="DI4" s="549"/>
      <c r="DJ4" s="5"/>
      <c r="DK4" s="5"/>
      <c r="DL4" s="5"/>
      <c r="DM4" s="5"/>
      <c r="DN4" s="5"/>
      <c r="DO4" s="5"/>
      <c r="DP4" s="5"/>
      <c r="DQ4" s="5"/>
      <c r="DR4" s="5"/>
      <c r="DS4" s="5"/>
      <c r="DT4" s="5"/>
      <c r="EC4" s="195"/>
      <c r="ED4" s="195" t="s">
        <v>250</v>
      </c>
      <c r="EE4" s="200" t="str">
        <f>PPP_string(PPP_Global,EP4)</f>
        <v>FRQ:1h</v>
      </c>
      <c r="EF4" s="195"/>
      <c r="EG4" s="195"/>
      <c r="EH4" s="195"/>
      <c r="EI4" s="195"/>
      <c r="EJ4" s="195"/>
      <c r="EK4" s="195"/>
      <c r="EM4" s="166" t="s">
        <v>249</v>
      </c>
      <c r="EN4" s="31"/>
      <c r="EO4" s="31"/>
      <c r="EP4" s="32" t="s">
        <v>257</v>
      </c>
      <c r="EQ4" s="167"/>
      <c r="ER4" s="164"/>
      <c r="ES4" s="164"/>
      <c r="ET4" s="31"/>
      <c r="EU4" s="115"/>
      <c r="EV4" s="215" t="s">
        <v>220</v>
      </c>
      <c r="EW4" s="217" t="s">
        <v>139</v>
      </c>
      <c r="EX4" s="184" t="s">
        <v>157</v>
      </c>
      <c r="EY4" s="176" t="s">
        <v>218</v>
      </c>
      <c r="EZ4" s="176" t="s">
        <v>219</v>
      </c>
      <c r="FA4" s="178" t="s">
        <v>221</v>
      </c>
      <c r="FB4" s="178" t="s">
        <v>223</v>
      </c>
      <c r="FC4" s="178" t="s">
        <v>222</v>
      </c>
      <c r="FD4" s="115"/>
      <c r="FE4" s="244"/>
      <c r="FF4" s="115"/>
    </row>
    <row r="5" spans="1:162">
      <c r="G5" s="547"/>
      <c r="Y5" s="21" t="s">
        <v>7</v>
      </c>
      <c r="Z5" s="565"/>
      <c r="AA5" s="565"/>
      <c r="AB5" s="565"/>
      <c r="AC5" s="565"/>
      <c r="AD5" s="565"/>
      <c r="AE5" s="73">
        <f t="array" ref="AE5:AF5">IF(AND(T18&lt;&gt;0,U18&lt;&gt;0),T18:U18,V18)</f>
        <v>95.179999999999993</v>
      </c>
      <c r="AF5" s="73">
        <v>95.19</v>
      </c>
      <c r="AG5" s="10"/>
      <c r="AH5" s="9">
        <f>IF(ISNUMBER(AG5),AG5,AVERAGE(AE5:AF5))</f>
        <v>95.185000000000002</v>
      </c>
      <c r="AI5" s="30">
        <f>100-AH5</f>
        <v>4.8149999999999977</v>
      </c>
      <c r="AJ5" s="20"/>
      <c r="AK5" s="93"/>
      <c r="AL5" s="71"/>
      <c r="AP5" s="209" t="s">
        <v>560</v>
      </c>
      <c r="AR5" s="68"/>
      <c r="AS5" s="67"/>
      <c r="AT5" s="68"/>
      <c r="AU5" s="68"/>
      <c r="AV5" s="67"/>
      <c r="AW5" s="67"/>
      <c r="AX5" s="92" t="s">
        <v>873</v>
      </c>
      <c r="AY5" s="558"/>
      <c r="AZ5" s="558"/>
      <c r="BA5" s="558"/>
      <c r="BB5" s="558"/>
      <c r="BC5" s="558"/>
      <c r="BD5" s="70"/>
      <c r="BE5" s="65"/>
      <c r="BF5" s="32" t="s">
        <v>874</v>
      </c>
      <c r="BG5" s="69"/>
      <c r="BH5" s="94"/>
      <c r="BI5" s="82"/>
      <c r="BJ5" s="7" t="s">
        <v>270</v>
      </c>
      <c r="BK5" s="566"/>
      <c r="BL5" s="566"/>
      <c r="BM5" s="566"/>
      <c r="BN5" s="566"/>
      <c r="BO5" s="566"/>
      <c r="BP5" s="52"/>
      <c r="BR5" s="32"/>
      <c r="BS5" s="17" t="s">
        <v>638</v>
      </c>
      <c r="BU5" s="5"/>
      <c r="BW5" s="5"/>
      <c r="BX5" s="290" t="s">
        <v>358</v>
      </c>
      <c r="BY5" s="186"/>
      <c r="BZ5" s="232"/>
      <c r="CA5" s="232"/>
      <c r="CB5" s="232"/>
      <c r="CE5" s="56"/>
      <c r="EM5" s="166"/>
      <c r="EV5" s="205">
        <f t="array" ref="EV5:EV24">EI6:EI25</f>
        <v>38898</v>
      </c>
      <c r="EW5" s="216">
        <f>IF(EV5=CPI0_DATE,1,IF(EV5&lt;CPI0_DATE,EW6/EY5*EY6,EXP(_xll.qInterp(EX5,$ER$10:$ER$21,$ES$10:$ES$21))))</f>
        <v>1.1451717016492871</v>
      </c>
      <c r="EX5" s="183">
        <f t="shared" ref="EX5:EX28" si="0">ROUND((EV5-CPI0_DATE)/365/0.25,0)*0.25</f>
        <v>-4.75</v>
      </c>
      <c r="EY5" s="175">
        <f t="shared" ref="EY5:EY68" si="1">IF(EV5&lt;CPI0_DATE,INDEX($EJ$6:$EJ$25,MATCH(EV5,$EI$6:$EI$25)),IF(EV5=CPI0_DATE,CPI0_VALUE,0))</f>
        <v>154.300003</v>
      </c>
      <c r="EZ5" s="179">
        <f t="shared" ref="EZ5:EZ29" si="2">IF(EY5&gt;0,EY5,EZ4*EW4/EW5)</f>
        <v>154.300003</v>
      </c>
      <c r="FD5" s="193"/>
      <c r="FE5" s="193"/>
      <c r="FF5" s="193"/>
    </row>
    <row r="6" spans="1:162">
      <c r="E6" s="547" t="s">
        <v>562</v>
      </c>
      <c r="G6" s="828" t="str">
        <f>"YTT" &amp; IF($BF$5="Auto",_xll.qFuturesDateToCode(_xll.qDateNext(Today,"1YTT")),$BF$5)</f>
        <v>YTTU1</v>
      </c>
      <c r="I6" s="573" t="s">
        <v>45</v>
      </c>
      <c r="M6" s="547" t="str">
        <f ca="1">_xll.RtUpdate("IDN",G6:G7,I6,N6,,RTMODE_RATES)</f>
        <v>Updated at 10:13:26</v>
      </c>
      <c r="N6" s="574" t="s">
        <v>888</v>
      </c>
      <c r="Q6" s="582" t="s">
        <v>517</v>
      </c>
      <c r="S6" s="575" t="str">
        <f>IF(ISNUMBER(N6),"LIVE","DELAYED")</f>
        <v>DELAYED</v>
      </c>
      <c r="Y6" s="21" t="s">
        <v>14</v>
      </c>
      <c r="Z6" s="565"/>
      <c r="AA6" s="565"/>
      <c r="AB6" s="565"/>
      <c r="AC6" s="565"/>
      <c r="AD6" s="565"/>
      <c r="AE6" s="73">
        <f t="array" ref="AE6:AF6">IF(AND(T19&lt;&gt;0,U19&lt;&gt;0),T19:U19,V19)</f>
        <v>94.740000000000009</v>
      </c>
      <c r="AF6" s="73">
        <v>94.745000000000005</v>
      </c>
      <c r="AG6" s="10"/>
      <c r="AH6" s="9">
        <f>IF(ISNUMBER(AG6),AG6,AVERAGE(AE6:AF6))</f>
        <v>94.742500000000007</v>
      </c>
      <c r="AI6" s="30">
        <f t="shared" ref="AI6" si="3">100-AH6</f>
        <v>5.2574999999999932</v>
      </c>
      <c r="AJ6" s="20"/>
      <c r="AK6" s="93"/>
      <c r="AL6" s="95" t="s">
        <v>112</v>
      </c>
      <c r="AM6" s="209"/>
      <c r="AN6" s="209"/>
      <c r="AO6" s="209"/>
      <c r="AP6" s="214" t="str">
        <f>PPP_string(PPP_Global,AT6)</f>
        <v>FRQ:30s</v>
      </c>
      <c r="AQ6" s="209"/>
      <c r="AR6" s="68"/>
      <c r="AS6" s="67"/>
      <c r="AT6" s="32" t="s">
        <v>691</v>
      </c>
      <c r="AU6" s="68"/>
      <c r="AV6" s="67"/>
      <c r="AW6" s="67"/>
      <c r="AX6" s="95" t="s">
        <v>872</v>
      </c>
      <c r="AY6" s="209"/>
      <c r="AZ6" s="209"/>
      <c r="BA6" s="209"/>
      <c r="BB6" s="209"/>
      <c r="BC6" s="209"/>
      <c r="BD6" s="70"/>
      <c r="BE6" s="65"/>
      <c r="BF6" s="32" t="s">
        <v>108</v>
      </c>
      <c r="BG6" s="69"/>
      <c r="BH6" s="94"/>
      <c r="BI6" s="82"/>
      <c r="BJ6" s="7" t="s">
        <v>271</v>
      </c>
      <c r="BK6" s="566"/>
      <c r="BL6" s="566"/>
      <c r="BM6" s="566"/>
      <c r="BN6" s="566"/>
      <c r="BO6" s="566"/>
      <c r="BP6" s="52"/>
      <c r="BR6" s="32"/>
      <c r="BS6" s="17" t="s">
        <v>639</v>
      </c>
      <c r="BU6" s="5"/>
      <c r="BW6" s="5"/>
      <c r="BX6" s="291" t="s">
        <v>101</v>
      </c>
      <c r="BY6" s="186" t="s">
        <v>286</v>
      </c>
      <c r="BZ6" s="60" t="s">
        <v>34</v>
      </c>
      <c r="CA6" s="60" t="s">
        <v>33</v>
      </c>
      <c r="CB6" s="232"/>
      <c r="EC6" s="196"/>
      <c r="ED6" s="196" t="s">
        <v>254</v>
      </c>
      <c r="EF6" s="196"/>
      <c r="EG6" s="196"/>
      <c r="EH6" s="238"/>
      <c r="EI6" s="516">
        <f t="array" ref="EI6:EJ25">HS!AUD_CPI</f>
        <v>38898</v>
      </c>
      <c r="EJ6" s="517">
        <v>154.300003</v>
      </c>
      <c r="EK6" s="196"/>
      <c r="EM6" s="244" t="s">
        <v>217</v>
      </c>
      <c r="EN6" s="115"/>
      <c r="EP6" s="173"/>
      <c r="EQ6" s="168">
        <f>IF(ISNUMBER(EP6),DATE(YEAR(EP6),MONTH(EP6)+1,1)-1,EI25)</f>
        <v>40633</v>
      </c>
      <c r="ER6" s="163"/>
      <c r="ES6" s="163"/>
      <c r="ET6" s="115"/>
      <c r="EV6" s="205">
        <v>38990</v>
      </c>
      <c r="EW6" s="216">
        <f>IF(EV6=CPI0_DATE,1,IF(EV6&lt;CPI0_DATE,EW7/EY6*EY7,EXP(_xll.qInterp(EX6,$ER$10:$ER$21,$ES$10:$ES$21))))</f>
        <v>1.1348747617509594</v>
      </c>
      <c r="EX6" s="183">
        <f t="shared" si="0"/>
        <v>-4.5</v>
      </c>
      <c r="EY6" s="175">
        <f t="shared" si="1"/>
        <v>155.699997</v>
      </c>
      <c r="EZ6" s="179">
        <f t="shared" si="2"/>
        <v>155.699997</v>
      </c>
      <c r="FA6" s="177">
        <f>100*(EZ6/EZ5-1)</f>
        <v>0.90731948981230826</v>
      </c>
      <c r="FD6" s="193"/>
      <c r="FE6" s="193"/>
      <c r="FF6" s="193"/>
    </row>
    <row r="7" spans="1:162">
      <c r="G7" s="828" t="str">
        <f>"/"&amp;G6</f>
        <v>/YTTU1</v>
      </c>
      <c r="N7" s="574">
        <v>40801</v>
      </c>
      <c r="AJ7" s="18"/>
      <c r="AK7" s="96"/>
      <c r="AL7" s="97"/>
      <c r="AM7" s="563"/>
      <c r="AN7" s="563"/>
      <c r="AO7" s="563"/>
      <c r="AP7" s="563"/>
      <c r="AQ7" s="563"/>
      <c r="AR7" s="98"/>
      <c r="AS7" s="99"/>
      <c r="AT7" s="98"/>
      <c r="AU7" s="98"/>
      <c r="AV7" s="99"/>
      <c r="AW7" s="99"/>
      <c r="AX7" s="100"/>
      <c r="AY7" s="559"/>
      <c r="AZ7" s="559"/>
      <c r="BA7" s="559"/>
      <c r="BB7" s="559"/>
      <c r="BC7" s="559"/>
      <c r="BD7" s="101"/>
      <c r="BE7" s="102"/>
      <c r="BF7" s="102"/>
      <c r="BG7" s="103"/>
      <c r="BH7" s="104"/>
      <c r="BI7" s="82"/>
      <c r="BJ7" s="7" t="s">
        <v>272</v>
      </c>
      <c r="BK7" s="566"/>
      <c r="BL7" s="566"/>
      <c r="BM7" s="566"/>
      <c r="BN7" s="566"/>
      <c r="BO7" s="566"/>
      <c r="BP7" s="52"/>
      <c r="BR7" s="32"/>
      <c r="BS7" s="17" t="s">
        <v>640</v>
      </c>
      <c r="BU7" s="5"/>
      <c r="BW7" s="5"/>
      <c r="BX7" s="287" t="s">
        <v>106</v>
      </c>
      <c r="BY7" s="237">
        <f t="array" ref="BY7:BY27">_xll.qIRsynthSCBasisReval(AUD.ZB,"1V3",_xll.qVectorMake(BS10:BS12,BS15,BS28:BS32,BS34,BS37))</f>
        <v>9.0000000000086544</v>
      </c>
      <c r="BZ7" s="237">
        <f t="array" ref="BZ7:BZ27">_xll.qIRsynthSCBasisReval(AUD.ZB,"1V3",_xll.qVectorMake(AI10,BG18:BG19,BG22,BG28:BG34))</f>
        <v>8.6736173798840355E-12</v>
      </c>
      <c r="CA7" s="237">
        <f t="array" ref="CA7:CA27">_xll.qIRsynthSCBasisReval(AUD.ZB,"3V6",_xll.qVectorMake(AI15,AU28:AU38))</f>
        <v>8.3641018321553577</v>
      </c>
      <c r="CI7" s="34"/>
      <c r="CJ7" s="34" t="s">
        <v>822</v>
      </c>
      <c r="CK7" s="236"/>
      <c r="CL7" s="236"/>
      <c r="CM7" s="236"/>
      <c r="CN7" s="236"/>
      <c r="CO7" s="236"/>
      <c r="CP7" s="236"/>
      <c r="CQ7" s="801"/>
      <c r="CR7" s="802"/>
      <c r="CS7" s="807"/>
      <c r="CT7" s="236"/>
      <c r="CU7" s="35"/>
      <c r="CV7" s="35"/>
      <c r="CW7" s="35"/>
      <c r="CX7" s="37"/>
      <c r="CY7" s="34"/>
      <c r="CZ7" s="34"/>
      <c r="DA7" s="34" t="s">
        <v>210</v>
      </c>
      <c r="DB7" s="197"/>
      <c r="DC7" s="197"/>
      <c r="DD7" s="197"/>
      <c r="DE7" s="197"/>
      <c r="DF7" s="197"/>
      <c r="DG7" s="197"/>
      <c r="DH7" s="197"/>
      <c r="DI7" s="197"/>
      <c r="DJ7" s="34"/>
      <c r="DK7" s="34"/>
      <c r="DL7" s="34"/>
      <c r="DM7" s="34"/>
      <c r="DN7" s="34"/>
      <c r="DO7" s="34"/>
      <c r="DP7" s="34"/>
      <c r="DQ7" s="34"/>
      <c r="DR7" s="34"/>
      <c r="DS7" s="34"/>
      <c r="DT7" s="34"/>
      <c r="EI7" s="516">
        <v>38990</v>
      </c>
      <c r="EJ7" s="517">
        <v>155.699997</v>
      </c>
      <c r="EM7" s="166" t="s">
        <v>216</v>
      </c>
      <c r="EP7" s="160"/>
      <c r="EQ7" s="171">
        <f>IF(ISNUMBER(EP7),EP7,EJ25)</f>
        <v>176.699997</v>
      </c>
      <c r="EV7" s="205">
        <v>39082</v>
      </c>
      <c r="EW7" s="216">
        <f>IF(EV7=CPI0_DATE,1,IF(EV7&lt;CPI0_DATE,EW8/EY7*EY8,EXP(_xll.qInterp(EX7,$ER$10:$ER$21,$ES$10:$ES$21))))</f>
        <v>1.1363343858520905</v>
      </c>
      <c r="EX7" s="183">
        <f t="shared" si="0"/>
        <v>-4.25</v>
      </c>
      <c r="EY7" s="175">
        <f t="shared" si="1"/>
        <v>155.5</v>
      </c>
      <c r="EZ7" s="179">
        <f t="shared" si="2"/>
        <v>155.5</v>
      </c>
      <c r="FA7" s="177">
        <f t="shared" ref="FA7:FA70" si="4">100*(EZ7/EZ6-1)</f>
        <v>-0.12845022726621913</v>
      </c>
      <c r="FB7" s="177">
        <f t="shared" ref="FB7:FB70" si="5">50*(EZ7/EZ5-1)</f>
        <v>0.38885190429970296</v>
      </c>
      <c r="FD7" s="193"/>
      <c r="FE7" s="193" t="s">
        <v>224</v>
      </c>
      <c r="FF7" s="193"/>
    </row>
    <row r="8" spans="1:162">
      <c r="Y8" s="34" t="s">
        <v>22</v>
      </c>
      <c r="Z8" s="197"/>
      <c r="AA8" s="197"/>
      <c r="AB8" s="197"/>
      <c r="AC8" s="554" t="str">
        <f ca="1">_xll.RtUpdate("IDN",AA10:AA15,AC10:AC11,AE10,,RTMODE_RATES)</f>
        <v>Updated at 10:13:26</v>
      </c>
      <c r="AD8" s="197"/>
      <c r="AE8" s="35"/>
      <c r="AF8" s="35"/>
      <c r="AG8" s="35"/>
      <c r="AH8" s="36" t="s">
        <v>20</v>
      </c>
      <c r="AI8" s="591" t="s">
        <v>24</v>
      </c>
      <c r="AJ8" s="1"/>
      <c r="AK8" s="75"/>
      <c r="AW8" s="77"/>
      <c r="BD8" s="52"/>
      <c r="BH8" s="8"/>
      <c r="BI8" s="82"/>
      <c r="BU8" s="5"/>
      <c r="BW8" s="5"/>
      <c r="BX8" s="287" t="s">
        <v>0</v>
      </c>
      <c r="BY8" s="237">
        <v>9.0000000000086544</v>
      </c>
      <c r="BZ8" s="237">
        <v>8.6736173798840355E-12</v>
      </c>
      <c r="CA8" s="237">
        <v>8.3641018321553577</v>
      </c>
      <c r="CJ8" s="34" t="s">
        <v>828</v>
      </c>
      <c r="CK8" s="236"/>
      <c r="CL8" s="784" t="str">
        <f ca="1">_xll.RtUpdate("IDN",CL9:CL16,CN9:CN10,CU9,,RTMODE_VOLS)</f>
        <v>Updated at 10:13:26</v>
      </c>
      <c r="CM8" s="236"/>
      <c r="CN8" s="236"/>
      <c r="CO8" s="236"/>
      <c r="CP8" s="236"/>
      <c r="CQ8" s="801"/>
      <c r="CR8" s="802"/>
      <c r="CS8" s="807"/>
      <c r="CT8" s="236"/>
      <c r="CU8" s="35" t="s">
        <v>207</v>
      </c>
      <c r="CV8" s="35" t="s">
        <v>205</v>
      </c>
      <c r="CW8" s="35" t="s">
        <v>209</v>
      </c>
      <c r="CX8" s="37" t="s">
        <v>205</v>
      </c>
      <c r="CY8" s="37"/>
      <c r="DA8" s="34"/>
      <c r="DB8" s="197"/>
      <c r="DC8" s="197"/>
      <c r="DD8" s="197"/>
      <c r="DE8" s="197"/>
      <c r="DF8" s="197"/>
      <c r="DG8" s="197"/>
      <c r="DH8" s="197"/>
      <c r="DI8" s="197"/>
      <c r="DJ8" s="35" t="s">
        <v>25</v>
      </c>
      <c r="DK8" s="57" t="s">
        <v>26</v>
      </c>
      <c r="DL8" s="57" t="s">
        <v>7</v>
      </c>
      <c r="DM8" s="57" t="s">
        <v>8</v>
      </c>
      <c r="DN8" s="57" t="s">
        <v>9</v>
      </c>
      <c r="DO8" s="57" t="s">
        <v>11</v>
      </c>
      <c r="DP8" s="57" t="s">
        <v>14</v>
      </c>
      <c r="DQ8" s="57" t="s">
        <v>16</v>
      </c>
      <c r="EI8" s="516">
        <v>39082</v>
      </c>
      <c r="EJ8" s="517">
        <v>155.5</v>
      </c>
      <c r="EV8" s="205">
        <v>39172</v>
      </c>
      <c r="EW8" s="216">
        <f>IF(EV8=CPI0_DATE,1,IF(EV8&lt;CPI0_DATE,EW9/EY8*EY9,EXP(_xll.qInterp(EX8,$ER$10:$ER$21,$ES$10:$ES$21))))</f>
        <v>1.1356040500409752</v>
      </c>
      <c r="EX8" s="183">
        <f t="shared" si="0"/>
        <v>-4</v>
      </c>
      <c r="EY8" s="175">
        <f t="shared" si="1"/>
        <v>155.60000600000001</v>
      </c>
      <c r="EZ8" s="179">
        <f t="shared" si="2"/>
        <v>155.60000600000001</v>
      </c>
      <c r="FA8" s="177">
        <f t="shared" si="4"/>
        <v>6.4312540192923429E-2</v>
      </c>
      <c r="FB8" s="177">
        <f t="shared" si="5"/>
        <v>-3.2110148338665434E-2</v>
      </c>
      <c r="FD8" s="193"/>
      <c r="FE8" s="193"/>
      <c r="FF8" s="193"/>
    </row>
    <row r="9" spans="1:162">
      <c r="E9" s="547" t="s">
        <v>563</v>
      </c>
      <c r="G9" s="828" t="str">
        <f>"YBA"&amp;IF(BF4="Auto",_xll.qFuturesDateToCode(_xll.qDateNext(Today,"1YBA")),BF4)</f>
        <v>YBAU1</v>
      </c>
      <c r="I9" s="573" t="s">
        <v>45</v>
      </c>
      <c r="M9" s="547" t="str">
        <f ca="1">_xll.RtUpdate("IDN",G9:G10,I9,N9,,RTMODE_RATES)</f>
        <v>Updated at 10:13:27</v>
      </c>
      <c r="N9" s="574" t="s">
        <v>888</v>
      </c>
      <c r="Q9" s="582" t="s">
        <v>517</v>
      </c>
      <c r="S9" s="575" t="str">
        <f>IF(ISNUMBER(N9),"LIVE","DELAYED")</f>
        <v>DELAYED</v>
      </c>
      <c r="Y9" s="21" t="s">
        <v>6</v>
      </c>
      <c r="Z9" s="565"/>
      <c r="AA9" s="565"/>
      <c r="AB9" s="565"/>
      <c r="AC9" s="565"/>
      <c r="AD9" s="565"/>
      <c r="AE9" s="58">
        <f>T41</f>
        <v>4.75</v>
      </c>
      <c r="AF9" s="58"/>
      <c r="AG9" s="10"/>
      <c r="AH9" s="3">
        <f t="shared" ref="AH9:AH15" si="6">IF(ISNUMBER(AG9),AG9,AVERAGE(AE9:AF9))</f>
        <v>4.75</v>
      </c>
      <c r="AI9" s="17">
        <f t="array" ref="AI9:AI15">AH9:AH15</f>
        <v>4.75</v>
      </c>
      <c r="AJ9" s="1"/>
      <c r="AK9" s="75"/>
      <c r="AL9" s="40" t="s">
        <v>98</v>
      </c>
      <c r="AM9" s="210"/>
      <c r="AN9" s="210"/>
      <c r="AO9" s="210"/>
      <c r="AP9" s="554" t="str">
        <f ca="1">_xll.RtUpdate("IDN",AN10:AN15,AP10,AR10,,RTMODE_RATES)</f>
        <v>Updated at 10:13:26</v>
      </c>
      <c r="AQ9" s="210"/>
      <c r="AR9" s="40"/>
      <c r="AS9" s="18"/>
      <c r="AT9" s="37" t="s">
        <v>114</v>
      </c>
      <c r="AU9" s="37" t="s">
        <v>115</v>
      </c>
      <c r="AW9" s="77"/>
      <c r="AX9" s="40" t="s">
        <v>32</v>
      </c>
      <c r="AY9" s="210"/>
      <c r="AZ9" s="210"/>
      <c r="BA9" s="210"/>
      <c r="BB9" s="554" t="str">
        <f ca="1">_xll.RtUpdate("IDN",AZ10:AZ15,BB10:BB11,BD10,,RTMODE_RATES)</f>
        <v>Updated at 10:29:45</v>
      </c>
      <c r="BC9" s="210"/>
      <c r="BD9" s="41"/>
      <c r="BE9" s="34"/>
      <c r="BF9" s="34"/>
      <c r="BG9" s="38"/>
      <c r="BH9" s="8"/>
      <c r="BI9" s="82"/>
      <c r="BJ9" s="33" t="s">
        <v>35</v>
      </c>
      <c r="BK9" s="551"/>
      <c r="BL9" s="551"/>
      <c r="BM9" s="551"/>
      <c r="BN9" s="554" t="str">
        <f ca="1">_xll.RtUpdate("IDN",BL10:BL15,BN10:BN11,BP10,,RTMODE_RATES)</f>
        <v>Updated at 10:28:15</v>
      </c>
      <c r="BO9" s="551"/>
      <c r="BP9" s="33"/>
      <c r="BQ9" s="39"/>
      <c r="BR9" s="38"/>
      <c r="BS9" s="38"/>
      <c r="BU9" s="5"/>
      <c r="BW9" s="5"/>
      <c r="BX9" s="287" t="s">
        <v>1</v>
      </c>
      <c r="BY9" s="237">
        <v>18.000000000000238</v>
      </c>
      <c r="BZ9" s="237">
        <v>10.5000000000003</v>
      </c>
      <c r="CA9" s="237">
        <v>8.3641018321553577</v>
      </c>
      <c r="CJ9" s="786" t="s">
        <v>25</v>
      </c>
      <c r="CK9" s="195"/>
      <c r="CL9" s="304" t="str">
        <f t="shared" ref="CL9:CL16" si="7">"AU"&amp;CJ9&amp;"CATM=ICAA"</f>
        <v>AU1YCATM=ICAA</v>
      </c>
      <c r="CM9" s="195"/>
      <c r="CN9" s="304" t="s">
        <v>81</v>
      </c>
      <c r="CO9" s="195"/>
      <c r="CP9" s="195"/>
      <c r="CQ9" s="796"/>
      <c r="CR9" s="797"/>
      <c r="CS9" s="808"/>
      <c r="CT9" s="195"/>
      <c r="CU9" s="62">
        <v>4.88</v>
      </c>
      <c r="CV9" s="62">
        <v>15.44</v>
      </c>
      <c r="CW9" s="160"/>
      <c r="CX9" s="17">
        <f t="shared" ref="CX9:CX16" si="8">IF(ISNUMBER(CW9),CW9,CV9)</f>
        <v>15.44</v>
      </c>
      <c r="CY9" s="17"/>
      <c r="DA9" s="34" t="s">
        <v>0</v>
      </c>
      <c r="DB9" s="785" t="str">
        <f t="shared" ref="DB9:DB19" si="9">"AUBP"&amp;$DA9&amp;"X"&amp;DJ$8&amp;"=ICAA"</f>
        <v>AUBP1MX1Y=ICAA</v>
      </c>
      <c r="DC9" s="785" t="str">
        <f t="shared" ref="DC9:DC19" si="10">"AUBP"&amp;$DA9&amp;"X"&amp;DK$8&amp;"=ICAA"</f>
        <v>AUBP1MX2Y=ICAA</v>
      </c>
      <c r="DD9" s="785" t="str">
        <f t="shared" ref="DD9:DD19" si="11">"AUBP"&amp;$DA9&amp;"X"&amp;DL$8&amp;"=ICAA"</f>
        <v>AUBP1MX3Y=ICAA</v>
      </c>
      <c r="DE9" s="785" t="str">
        <f t="shared" ref="DE9:DE19" si="12">"AUBP"&amp;$DA9&amp;"X"&amp;DM$8&amp;"=ICAA"</f>
        <v>AUBP1MX4Y=ICAA</v>
      </c>
      <c r="DF9" s="785" t="str">
        <f t="shared" ref="DF9:DF19" si="13">"AUBP"&amp;$DA9&amp;"X"&amp;DN$8&amp;"=ICAA"</f>
        <v>AUBP1MX5Y=ICAA</v>
      </c>
      <c r="DG9" s="785" t="str">
        <f t="shared" ref="DG9:DG19" si="14">"AUBP"&amp;$DA9&amp;"X"&amp;DO$8&amp;"=ICAA"</f>
        <v>AUBP1MX7Y=ICAA</v>
      </c>
      <c r="DH9" s="785" t="str">
        <f t="shared" ref="DH9:DH19" si="15">"AUBP"&amp;$DA9&amp;"X"&amp;DP$8&amp;"=ICAA"</f>
        <v>AUBP1MX10Y=ICAA</v>
      </c>
      <c r="DI9" s="785" t="str">
        <f t="shared" ref="DI9:DI19" si="16">"AUBP"&amp;$DA9&amp;"X"&amp;DQ$8&amp;"=ICAA"</f>
        <v>AUBP1MX15Y=ICAA</v>
      </c>
      <c r="DJ9" s="58">
        <f t="shared" ref="DJ9:DJ19" si="17">IF(ISNUMBER(DJ23),DJ23,DB23)</f>
        <v>4.13</v>
      </c>
      <c r="DK9" s="58">
        <f t="shared" ref="DK9:DK19" si="18">IF(ISNUMBER(DK23),DK23,DC23)</f>
        <v>5.26</v>
      </c>
      <c r="DL9" s="58">
        <f t="shared" ref="DL9:DL19" si="19">IF(ISNUMBER(DL23),DL23,DD23)</f>
        <v>5.5</v>
      </c>
      <c r="DM9" s="58">
        <f t="shared" ref="DM9:DM19" si="20">IF(ISNUMBER(DM23),DM23,DE23)</f>
        <v>5.5</v>
      </c>
      <c r="DN9" s="58">
        <f t="shared" ref="DN9:DN19" si="21">IF(ISNUMBER(DN23),DN23,DF23)</f>
        <v>5.4</v>
      </c>
      <c r="DO9" s="58">
        <f t="shared" ref="DO9:DO19" si="22">IF(ISNUMBER(DO23),DO23,DG23)</f>
        <v>5.3</v>
      </c>
      <c r="DP9" s="58">
        <f t="shared" ref="DP9:DP19" si="23">IF(ISNUMBER(DP23),DP23,DH23)</f>
        <v>5.0999999999999996</v>
      </c>
      <c r="DQ9" s="58">
        <f t="shared" ref="DQ9:DQ19" si="24">IF(ISNUMBER(DQ23),DQ23,DI23)</f>
        <v>5.0999999999999996</v>
      </c>
      <c r="DU9" s="162"/>
      <c r="DV9" s="162"/>
      <c r="DW9" s="162"/>
      <c r="DX9" s="162"/>
      <c r="DY9" s="162"/>
      <c r="DZ9" s="162"/>
      <c r="EA9" s="162"/>
      <c r="EI9" s="516">
        <v>39172</v>
      </c>
      <c r="EJ9" s="517">
        <v>155.60000600000001</v>
      </c>
      <c r="ER9" s="180" t="s">
        <v>157</v>
      </c>
      <c r="ES9" s="180" t="s">
        <v>253</v>
      </c>
      <c r="EV9" s="205">
        <v>39263</v>
      </c>
      <c r="EW9" s="216">
        <f>IF(EV9=CPI0_DATE,1,IF(EV9&lt;CPI0_DATE,EW10/EY9*EY10,EXP(_xll.qInterp(EX9,$ER$10:$ER$21,$ES$10:$ES$21))))</f>
        <v>1.1219047428571431</v>
      </c>
      <c r="EX9" s="183">
        <f t="shared" si="0"/>
        <v>-3.75</v>
      </c>
      <c r="EY9" s="175">
        <f t="shared" si="1"/>
        <v>157.5</v>
      </c>
      <c r="EZ9" s="179">
        <f t="shared" si="2"/>
        <v>157.5</v>
      </c>
      <c r="FA9" s="177">
        <f t="shared" si="4"/>
        <v>1.2210757883903911</v>
      </c>
      <c r="FB9" s="177">
        <f t="shared" si="5"/>
        <v>0.64308681672026191</v>
      </c>
      <c r="FC9" s="177">
        <f t="shared" ref="FC9:FC68" si="25">100*(EZ9/EZ5-1)</f>
        <v>2.0738800633723908</v>
      </c>
      <c r="FD9" s="193"/>
      <c r="FE9" s="193"/>
      <c r="FF9" s="193"/>
    </row>
    <row r="10" spans="1:162">
      <c r="G10" s="828" t="str">
        <f>"/"&amp;G9</f>
        <v>/YBAU1</v>
      </c>
      <c r="N10" s="574">
        <v>40794</v>
      </c>
      <c r="Y10" s="21" t="s">
        <v>0</v>
      </c>
      <c r="Z10" s="565"/>
      <c r="AA10" s="569" t="str">
        <f>"AU"&amp;Y10&amp;"BB=ICAA"</f>
        <v>AU1MBB=ICAA</v>
      </c>
      <c r="AB10" s="565"/>
      <c r="AC10" s="569" t="s">
        <v>43</v>
      </c>
      <c r="AD10" s="565"/>
      <c r="AE10" s="58">
        <v>4.8499999999999996</v>
      </c>
      <c r="AF10" s="58">
        <v>4.83</v>
      </c>
      <c r="AG10" s="10"/>
      <c r="AH10" s="3">
        <f t="shared" si="6"/>
        <v>4.84</v>
      </c>
      <c r="AI10" s="17">
        <v>4.84</v>
      </c>
      <c r="AJ10" s="1"/>
      <c r="AK10" s="75"/>
      <c r="AL10" s="19" t="s">
        <v>0</v>
      </c>
      <c r="AN10" s="553" t="str">
        <f t="shared" ref="AN10:AN15" si="26">"AU"&amp;AL10&amp;"BA="</f>
        <v>AU1MBA=</v>
      </c>
      <c r="AP10" s="553" t="s">
        <v>99</v>
      </c>
      <c r="AR10" s="42">
        <v>4.8383000000000003</v>
      </c>
      <c r="AS10" s="11" t="str">
        <f t="array" ref="AS10:AS15">TRIM(N102:N107)</f>
        <v>JUL</v>
      </c>
      <c r="AT10" s="105">
        <f t="shared" ref="AT10:AT15" si="27">AVERAGE(O102:P102)</f>
        <v>4.79</v>
      </c>
      <c r="AU10" s="105">
        <f t="shared" ref="AU10:AU15" si="28">AVERAGE(O109:P109)</f>
        <v>4.8099999999999996</v>
      </c>
      <c r="AW10" s="77"/>
      <c r="AX10" s="19" t="s">
        <v>184</v>
      </c>
      <c r="AY10" s="552"/>
      <c r="AZ10" s="553" t="str">
        <f t="shared" ref="AZ10:AZ15" si="29">"AU"&amp;AX10&amp;"F=TTKL"</f>
        <v>AU1X4F=TTKL</v>
      </c>
      <c r="BA10" s="552"/>
      <c r="BB10" s="553" t="s">
        <v>43</v>
      </c>
      <c r="BC10" s="552"/>
      <c r="BD10" s="42">
        <v>4.8569999999999993</v>
      </c>
      <c r="BE10" s="42">
        <v>4.9569999999999999</v>
      </c>
      <c r="BF10" s="10"/>
      <c r="BG10" s="17">
        <f t="shared" ref="BG10:BG15" si="30">IF(ISNUMBER(BF10),BF10,AVERAGE(BD10:BE10))</f>
        <v>4.907</v>
      </c>
      <c r="BH10" s="8"/>
      <c r="BI10" s="82"/>
      <c r="BJ10" s="19" t="s">
        <v>0</v>
      </c>
      <c r="BK10" s="552"/>
      <c r="BL10" s="553" t="str">
        <f t="shared" ref="BL10:BL15" si="31">"AUD"&amp;BJ10&amp;"OIS=ICAA"</f>
        <v>AUD1MOIS=ICAA</v>
      </c>
      <c r="BM10" s="552"/>
      <c r="BN10" s="553" t="s">
        <v>43</v>
      </c>
      <c r="BO10" s="552"/>
      <c r="BP10" s="42">
        <v>4.7450000000000001</v>
      </c>
      <c r="BQ10" s="42">
        <v>4.7549999999999999</v>
      </c>
      <c r="BR10" s="10"/>
      <c r="BS10" s="30">
        <f t="shared" ref="BS10:BS15" si="32">IF(ISNUMBER(BR10),BR10,AVERAGE(BP10:BQ10))</f>
        <v>4.75</v>
      </c>
      <c r="BU10" s="5"/>
      <c r="BW10" s="5"/>
      <c r="BX10" s="287" t="s">
        <v>2</v>
      </c>
      <c r="BY10" s="237">
        <v>21.749999999995939</v>
      </c>
      <c r="BZ10" s="237">
        <v>13.999999999995891</v>
      </c>
      <c r="CA10" s="237">
        <v>8.3641018321553577</v>
      </c>
      <c r="CJ10" s="786" t="s">
        <v>26</v>
      </c>
      <c r="CK10" s="195"/>
      <c r="CL10" s="304" t="str">
        <f t="shared" si="7"/>
        <v>AU2YCATM=ICAA</v>
      </c>
      <c r="CM10" s="195"/>
      <c r="CN10" s="304" t="s">
        <v>121</v>
      </c>
      <c r="CO10" s="195"/>
      <c r="CP10" s="195"/>
      <c r="CQ10" s="796"/>
      <c r="CR10" s="797"/>
      <c r="CS10" s="808"/>
      <c r="CT10" s="195"/>
      <c r="CU10" s="62">
        <v>5.03</v>
      </c>
      <c r="CV10" s="62">
        <v>17.62</v>
      </c>
      <c r="CW10" s="160"/>
      <c r="CX10" s="15">
        <f t="shared" si="8"/>
        <v>17.62</v>
      </c>
      <c r="CY10" s="17"/>
      <c r="DA10" s="34" t="s">
        <v>1</v>
      </c>
      <c r="DB10" s="785" t="str">
        <f t="shared" si="9"/>
        <v>AUBP2MX1Y=ICAA</v>
      </c>
      <c r="DC10" s="785" t="str">
        <f t="shared" si="10"/>
        <v>AUBP2MX2Y=ICAA</v>
      </c>
      <c r="DD10" s="785" t="str">
        <f t="shared" si="11"/>
        <v>AUBP2MX3Y=ICAA</v>
      </c>
      <c r="DE10" s="785" t="str">
        <f t="shared" si="12"/>
        <v>AUBP2MX4Y=ICAA</v>
      </c>
      <c r="DF10" s="785" t="str">
        <f t="shared" si="13"/>
        <v>AUBP2MX5Y=ICAA</v>
      </c>
      <c r="DG10" s="785" t="str">
        <f t="shared" si="14"/>
        <v>AUBP2MX7Y=ICAA</v>
      </c>
      <c r="DH10" s="785" t="str">
        <f t="shared" si="15"/>
        <v>AUBP2MX10Y=ICAA</v>
      </c>
      <c r="DI10" s="785" t="str">
        <f t="shared" si="16"/>
        <v>AUBP2MX15Y=ICAA</v>
      </c>
      <c r="DJ10" s="58">
        <f t="shared" si="17"/>
        <v>4.4000000000000004</v>
      </c>
      <c r="DK10" s="58">
        <f t="shared" si="18"/>
        <v>5.3</v>
      </c>
      <c r="DL10" s="58">
        <f t="shared" si="19"/>
        <v>5.5</v>
      </c>
      <c r="DM10" s="58">
        <f t="shared" si="20"/>
        <v>5.5</v>
      </c>
      <c r="DN10" s="58">
        <f t="shared" si="21"/>
        <v>5.45</v>
      </c>
      <c r="DO10" s="58">
        <f t="shared" si="22"/>
        <v>5.35</v>
      </c>
      <c r="DP10" s="58">
        <f t="shared" si="23"/>
        <v>5.25</v>
      </c>
      <c r="DQ10" s="58">
        <f t="shared" si="24"/>
        <v>5.25</v>
      </c>
      <c r="DU10" s="162"/>
      <c r="DV10" s="162"/>
      <c r="DW10" s="162"/>
      <c r="DX10" s="162"/>
      <c r="DY10" s="162"/>
      <c r="DZ10" s="162"/>
      <c r="EA10" s="162"/>
      <c r="EI10" s="516">
        <v>39263</v>
      </c>
      <c r="EJ10" s="517">
        <v>157.5</v>
      </c>
      <c r="EM10" s="115" t="s">
        <v>215</v>
      </c>
      <c r="EN10" s="115"/>
      <c r="EO10" s="115"/>
      <c r="EP10" s="57"/>
      <c r="EQ10" s="115"/>
      <c r="ER10" s="181">
        <v>0</v>
      </c>
      <c r="ES10" s="181">
        <v>0</v>
      </c>
      <c r="EV10" s="205">
        <v>39355</v>
      </c>
      <c r="EW10" s="216">
        <f>IF(EV10=CPI0_DATE,1,IF(EV10&lt;CPI0_DATE,EW11/EY10*EY11,EXP(_xll.qInterp(EX10,$ER$10:$ER$21,$ES$10:$ES$21))))</f>
        <v>1.1141235202727549</v>
      </c>
      <c r="EX10" s="183">
        <f t="shared" si="0"/>
        <v>-3.5</v>
      </c>
      <c r="EY10" s="175">
        <f t="shared" si="1"/>
        <v>158.60000600000001</v>
      </c>
      <c r="EZ10" s="179">
        <f t="shared" si="2"/>
        <v>158.60000600000001</v>
      </c>
      <c r="FA10" s="177">
        <f t="shared" si="4"/>
        <v>0.69841650793651677</v>
      </c>
      <c r="FB10" s="177">
        <f t="shared" si="5"/>
        <v>0.96401024560371917</v>
      </c>
      <c r="FC10" s="177">
        <f t="shared" si="25"/>
        <v>1.8625620140506616</v>
      </c>
    </row>
    <row r="11" spans="1:162">
      <c r="Y11" s="21" t="s">
        <v>1</v>
      </c>
      <c r="Z11" s="565"/>
      <c r="AA11" s="569" t="str">
        <f t="shared" ref="AA11:AA15" si="33">"AU"&amp;Y11&amp;"BB=ICAA"</f>
        <v>AU2MBB=ICAA</v>
      </c>
      <c r="AB11" s="565"/>
      <c r="AC11" s="569" t="s">
        <v>44</v>
      </c>
      <c r="AD11" s="565"/>
      <c r="AE11" s="58">
        <v>4.9400000000000004</v>
      </c>
      <c r="AF11" s="58">
        <v>4.92</v>
      </c>
      <c r="AG11" s="10"/>
      <c r="AH11" s="3">
        <f t="shared" si="6"/>
        <v>4.93</v>
      </c>
      <c r="AI11" s="17">
        <v>4.93</v>
      </c>
      <c r="AJ11" s="1"/>
      <c r="AK11" s="75"/>
      <c r="AL11" s="19" t="s">
        <v>1</v>
      </c>
      <c r="AN11" s="553" t="str">
        <f t="shared" si="26"/>
        <v>AU2MBA=</v>
      </c>
      <c r="AR11" s="42">
        <v>4.9300000000000006</v>
      </c>
      <c r="AS11" s="11" t="str">
        <v>AUG</v>
      </c>
      <c r="AT11" s="105">
        <f t="shared" si="27"/>
        <v>4.84</v>
      </c>
      <c r="AU11" s="105">
        <f t="shared" si="28"/>
        <v>4.8900000000000006</v>
      </c>
      <c r="AW11" s="77"/>
      <c r="AX11" s="19" t="s">
        <v>185</v>
      </c>
      <c r="AY11" s="552"/>
      <c r="AZ11" s="553" t="str">
        <f t="shared" si="29"/>
        <v>AU2X5F=TTKL</v>
      </c>
      <c r="BA11" s="552"/>
      <c r="BB11" s="553" t="s">
        <v>44</v>
      </c>
      <c r="BC11" s="552"/>
      <c r="BD11" s="42">
        <v>4.8269999999999991</v>
      </c>
      <c r="BE11" s="42">
        <v>4.9269999999999996</v>
      </c>
      <c r="BF11" s="10"/>
      <c r="BG11" s="17">
        <f t="shared" si="30"/>
        <v>4.8769999999999989</v>
      </c>
      <c r="BH11" s="8"/>
      <c r="BI11" s="82"/>
      <c r="BJ11" s="19" t="s">
        <v>1</v>
      </c>
      <c r="BK11" s="552"/>
      <c r="BL11" s="553" t="str">
        <f t="shared" si="31"/>
        <v>AUD2MOIS=ICAA</v>
      </c>
      <c r="BM11" s="552"/>
      <c r="BN11" s="553" t="s">
        <v>44</v>
      </c>
      <c r="BO11" s="552"/>
      <c r="BP11" s="42">
        <v>4.7450000000000001</v>
      </c>
      <c r="BQ11" s="42">
        <v>4.7549999999999999</v>
      </c>
      <c r="BR11" s="10"/>
      <c r="BS11" s="30">
        <f t="shared" si="32"/>
        <v>4.75</v>
      </c>
      <c r="BU11" s="5"/>
      <c r="BW11" s="5"/>
      <c r="BX11" s="287" t="s">
        <v>5</v>
      </c>
      <c r="BY11" s="237">
        <v>17.135898167844609</v>
      </c>
      <c r="BZ11" s="237">
        <v>10.135898167844687</v>
      </c>
      <c r="CA11" s="237">
        <v>8.3641018321553577</v>
      </c>
      <c r="CJ11" s="235" t="s">
        <v>7</v>
      </c>
      <c r="CK11" s="195"/>
      <c r="CL11" s="304" t="str">
        <f t="shared" si="7"/>
        <v>AU3YCATM=ICAA</v>
      </c>
      <c r="CM11" s="195"/>
      <c r="CN11" s="195"/>
      <c r="CO11" s="195"/>
      <c r="CP11" s="195"/>
      <c r="CQ11" s="796"/>
      <c r="CR11" s="797"/>
      <c r="CS11" s="808"/>
      <c r="CT11" s="195"/>
      <c r="CU11" s="62">
        <v>5.1599999999999993</v>
      </c>
      <c r="CV11" s="62">
        <v>18.690000000000001</v>
      </c>
      <c r="CW11" s="160"/>
      <c r="CX11" s="15">
        <f t="shared" si="8"/>
        <v>18.690000000000001</v>
      </c>
      <c r="CY11" s="17"/>
      <c r="DA11" s="115" t="s">
        <v>2</v>
      </c>
      <c r="DB11" s="785" t="str">
        <f t="shared" si="9"/>
        <v>AUBP3MX1Y=ICAA</v>
      </c>
      <c r="DC11" s="785" t="str">
        <f t="shared" si="10"/>
        <v>AUBP3MX2Y=ICAA</v>
      </c>
      <c r="DD11" s="785" t="str">
        <f t="shared" si="11"/>
        <v>AUBP3MX3Y=ICAA</v>
      </c>
      <c r="DE11" s="785" t="str">
        <f t="shared" si="12"/>
        <v>AUBP3MX4Y=ICAA</v>
      </c>
      <c r="DF11" s="785" t="str">
        <f t="shared" si="13"/>
        <v>AUBP3MX5Y=ICAA</v>
      </c>
      <c r="DG11" s="785" t="str">
        <f t="shared" si="14"/>
        <v>AUBP3MX7Y=ICAA</v>
      </c>
      <c r="DH11" s="785" t="str">
        <f t="shared" si="15"/>
        <v>AUBP3MX10Y=ICAA</v>
      </c>
      <c r="DI11" s="785" t="str">
        <f t="shared" si="16"/>
        <v>AUBP3MX15Y=ICAA</v>
      </c>
      <c r="DJ11" s="58">
        <f t="shared" si="17"/>
        <v>4.75</v>
      </c>
      <c r="DK11" s="58">
        <f t="shared" si="18"/>
        <v>5.55</v>
      </c>
      <c r="DL11" s="58">
        <f t="shared" si="19"/>
        <v>5.75</v>
      </c>
      <c r="DM11" s="58">
        <f t="shared" si="20"/>
        <v>5.6499999999999995</v>
      </c>
      <c r="DN11" s="58">
        <f t="shared" si="21"/>
        <v>5.56</v>
      </c>
      <c r="DO11" s="58">
        <f t="shared" si="22"/>
        <v>5.4</v>
      </c>
      <c r="DP11" s="58">
        <f t="shared" si="23"/>
        <v>5.3</v>
      </c>
      <c r="DQ11" s="58">
        <f t="shared" si="24"/>
        <v>5.3</v>
      </c>
      <c r="DU11" s="162"/>
      <c r="DV11" s="162"/>
      <c r="DW11" s="162"/>
      <c r="DX11" s="162"/>
      <c r="DY11" s="162"/>
      <c r="DZ11" s="162"/>
      <c r="EA11" s="162"/>
      <c r="EI11" s="516">
        <v>39355</v>
      </c>
      <c r="EJ11" s="517">
        <v>158.60000600000001</v>
      </c>
      <c r="EM11" s="161" t="s">
        <v>25</v>
      </c>
      <c r="EN11" s="62">
        <f t="array" ref="EN11:EO19">EI28:EJ36</f>
        <v>2.75</v>
      </c>
      <c r="EO11" s="62">
        <v>2.8499999999999996</v>
      </c>
      <c r="EP11" s="160"/>
      <c r="EQ11" s="169">
        <f t="shared" ref="EQ11:EQ19" si="34">IF(ISNUMBER(EP11),EP11,AVERAGE(EN11:EO11))</f>
        <v>2.8</v>
      </c>
      <c r="ER11" s="180">
        <v>1</v>
      </c>
      <c r="ES11" s="182">
        <f t="shared" ref="ES11:ES19" si="35">LN((1+EQ11%)^-ER11)</f>
        <v>-2.761516703297338E-2</v>
      </c>
      <c r="EV11" s="205">
        <v>39447</v>
      </c>
      <c r="EW11" s="216">
        <f>IF(EV11=CPI0_DATE,1,IF(EV11&lt;CPI0_DATE,EW12/EY11*EY12,EXP(_xll.qInterp(EX11,$ER$10:$ER$21,$ES$10:$ES$21))))</f>
        <v>1.1036851366514004</v>
      </c>
      <c r="EX11" s="183">
        <f t="shared" si="0"/>
        <v>-3.25</v>
      </c>
      <c r="EY11" s="175">
        <f t="shared" si="1"/>
        <v>160.10000600000001</v>
      </c>
      <c r="EZ11" s="179">
        <f t="shared" si="2"/>
        <v>160.10000600000001</v>
      </c>
      <c r="FA11" s="177">
        <f t="shared" si="4"/>
        <v>0.94577550015981782</v>
      </c>
      <c r="FB11" s="177">
        <f t="shared" si="5"/>
        <v>0.82539873015873289</v>
      </c>
      <c r="FC11" s="177">
        <f t="shared" si="25"/>
        <v>2.9582032154340965</v>
      </c>
    </row>
    <row r="12" spans="1:162">
      <c r="E12" s="547" t="s">
        <v>564</v>
      </c>
      <c r="G12" s="828" t="str">
        <f>"YIB"&amp;BF6</f>
        <v>YIBc1</v>
      </c>
      <c r="I12" s="573" t="s">
        <v>45</v>
      </c>
      <c r="M12" s="547" t="str">
        <f ca="1">_xll.RtUpdate("IDN",G12:G13,I12,N12,,RTMODE_RATES)</f>
        <v>Updated at 10:13:27</v>
      </c>
      <c r="N12" s="574" t="s">
        <v>888</v>
      </c>
      <c r="Q12" s="582" t="s">
        <v>517</v>
      </c>
      <c r="S12" s="575" t="str">
        <f>IF(ISNUMBER(N12),"LIVE","DELAYED")</f>
        <v>DELAYED</v>
      </c>
      <c r="Y12" s="21" t="s">
        <v>2</v>
      </c>
      <c r="Z12" s="565"/>
      <c r="AA12" s="569" t="str">
        <f t="shared" si="33"/>
        <v>AU3MBB=ICAA</v>
      </c>
      <c r="AB12" s="565"/>
      <c r="AC12" s="565"/>
      <c r="AD12" s="565"/>
      <c r="AE12" s="58">
        <v>4.9700000000000006</v>
      </c>
      <c r="AF12" s="58">
        <v>4.95</v>
      </c>
      <c r="AG12" s="10"/>
      <c r="AH12" s="3">
        <f t="shared" si="6"/>
        <v>4.9600000000000009</v>
      </c>
      <c r="AI12" s="17">
        <v>4.9600000000000009</v>
      </c>
      <c r="AJ12" s="1"/>
      <c r="AK12" s="75"/>
      <c r="AL12" s="19" t="s">
        <v>2</v>
      </c>
      <c r="AN12" s="553" t="str">
        <f t="shared" si="26"/>
        <v>AU3MBA=</v>
      </c>
      <c r="AR12" s="42">
        <v>4.95</v>
      </c>
      <c r="AS12" s="11" t="str">
        <v>SEP</v>
      </c>
      <c r="AT12" s="105">
        <f t="shared" si="27"/>
        <v>4.9400000000000004</v>
      </c>
      <c r="AU12" s="105">
        <f t="shared" si="28"/>
        <v>4.95</v>
      </c>
      <c r="AW12" s="77"/>
      <c r="AX12" s="19" t="s">
        <v>186</v>
      </c>
      <c r="AY12" s="552"/>
      <c r="AZ12" s="553" t="str">
        <f t="shared" si="29"/>
        <v>AU3X6F=TTKL</v>
      </c>
      <c r="BA12" s="552"/>
      <c r="BB12" s="552"/>
      <c r="BC12" s="552"/>
      <c r="BD12" s="42">
        <v>4.819</v>
      </c>
      <c r="BE12" s="42">
        <v>4.9190000000000005</v>
      </c>
      <c r="BF12" s="10"/>
      <c r="BG12" s="17">
        <f t="shared" si="30"/>
        <v>4.8689999999999998</v>
      </c>
      <c r="BH12" s="8"/>
      <c r="BI12" s="82"/>
      <c r="BJ12" s="19" t="s">
        <v>2</v>
      </c>
      <c r="BK12" s="552"/>
      <c r="BL12" s="553" t="str">
        <f t="shared" si="31"/>
        <v>AUD3MOIS=ICAA</v>
      </c>
      <c r="BM12" s="552"/>
      <c r="BN12" s="552"/>
      <c r="BO12" s="552"/>
      <c r="BP12" s="42">
        <v>4.7370000000000001</v>
      </c>
      <c r="BQ12" s="42">
        <v>4.7480000000000002</v>
      </c>
      <c r="BR12" s="10"/>
      <c r="BS12" s="30">
        <f t="shared" si="32"/>
        <v>4.7424999999999997</v>
      </c>
      <c r="BT12" s="52"/>
      <c r="BU12" s="5"/>
      <c r="BW12" s="5"/>
      <c r="BX12" s="287" t="s">
        <v>25</v>
      </c>
      <c r="BY12" s="237">
        <v>19</v>
      </c>
      <c r="BZ12" s="237">
        <v>11.999999999999998</v>
      </c>
      <c r="CA12" s="237">
        <v>9.5</v>
      </c>
      <c r="CJ12" s="235" t="s">
        <v>8</v>
      </c>
      <c r="CK12" s="195"/>
      <c r="CL12" s="304" t="str">
        <f t="shared" si="7"/>
        <v>AU4YCATM=ICAA</v>
      </c>
      <c r="CM12" s="195"/>
      <c r="CN12" s="195"/>
      <c r="CO12" s="195"/>
      <c r="CP12" s="195"/>
      <c r="CQ12" s="796"/>
      <c r="CR12" s="797"/>
      <c r="CS12" s="808"/>
      <c r="CT12" s="195"/>
      <c r="CU12" s="62">
        <v>5.28</v>
      </c>
      <c r="CV12" s="62">
        <v>18.439999999999998</v>
      </c>
      <c r="CW12" s="160"/>
      <c r="CX12" s="15">
        <f t="shared" si="8"/>
        <v>18.439999999999998</v>
      </c>
      <c r="CY12" s="17"/>
      <c r="DA12" s="115" t="s">
        <v>5</v>
      </c>
      <c r="DB12" s="785" t="str">
        <f t="shared" si="9"/>
        <v>AUBP6MX1Y=ICAA</v>
      </c>
      <c r="DC12" s="785" t="str">
        <f t="shared" si="10"/>
        <v>AUBP6MX2Y=ICAA</v>
      </c>
      <c r="DD12" s="785" t="str">
        <f t="shared" si="11"/>
        <v>AUBP6MX3Y=ICAA</v>
      </c>
      <c r="DE12" s="785" t="str">
        <f t="shared" si="12"/>
        <v>AUBP6MX4Y=ICAA</v>
      </c>
      <c r="DF12" s="785" t="str">
        <f t="shared" si="13"/>
        <v>AUBP6MX5Y=ICAA</v>
      </c>
      <c r="DG12" s="785" t="str">
        <f t="shared" si="14"/>
        <v>AUBP6MX7Y=ICAA</v>
      </c>
      <c r="DH12" s="785" t="str">
        <f t="shared" si="15"/>
        <v>AUBP6MX10Y=ICAA</v>
      </c>
      <c r="DI12" s="785" t="str">
        <f t="shared" si="16"/>
        <v>AUBP6MX15Y=ICAA</v>
      </c>
      <c r="DJ12" s="58">
        <f t="shared" si="17"/>
        <v>5.2</v>
      </c>
      <c r="DK12" s="58">
        <f t="shared" si="18"/>
        <v>5.8</v>
      </c>
      <c r="DL12" s="58">
        <f t="shared" si="19"/>
        <v>5.85</v>
      </c>
      <c r="DM12" s="58">
        <f t="shared" si="20"/>
        <v>5.75</v>
      </c>
      <c r="DN12" s="58">
        <f t="shared" si="21"/>
        <v>5.6199999999999992</v>
      </c>
      <c r="DO12" s="58">
        <f t="shared" si="22"/>
        <v>5.4700000000000006</v>
      </c>
      <c r="DP12" s="58">
        <f t="shared" si="23"/>
        <v>5.35</v>
      </c>
      <c r="DQ12" s="58">
        <f t="shared" si="24"/>
        <v>5.35</v>
      </c>
      <c r="DU12" s="162"/>
      <c r="DV12" s="162"/>
      <c r="DW12" s="162"/>
      <c r="DX12" s="162"/>
      <c r="DY12" s="162"/>
      <c r="DZ12" s="162"/>
      <c r="EA12" s="162"/>
      <c r="EI12" s="516">
        <v>39447</v>
      </c>
      <c r="EJ12" s="517">
        <v>160.10000600000001</v>
      </c>
      <c r="EM12" s="161" t="s">
        <v>7</v>
      </c>
      <c r="EN12" s="62">
        <v>2.77</v>
      </c>
      <c r="EO12" s="62">
        <v>2.8699999999999997</v>
      </c>
      <c r="EP12" s="160"/>
      <c r="EQ12" s="169">
        <f t="shared" si="34"/>
        <v>2.82</v>
      </c>
      <c r="ER12" s="180">
        <v>3</v>
      </c>
      <c r="ES12" s="182">
        <f t="shared" si="35"/>
        <v>-8.3429101917801771E-2</v>
      </c>
      <c r="EV12" s="205">
        <v>39538</v>
      </c>
      <c r="EW12" s="216">
        <f>IF(EV12=CPI0_DATE,1,IF(EV12&lt;CPI0_DATE,EW13/EY12*EY13,EXP(_xll.qInterp(EX12,$ER$10:$ER$21,$ES$10:$ES$21))))</f>
        <v>1.0893958092983198</v>
      </c>
      <c r="EX12" s="183">
        <f t="shared" si="0"/>
        <v>-3</v>
      </c>
      <c r="EY12" s="175">
        <f t="shared" si="1"/>
        <v>162.199997</v>
      </c>
      <c r="EZ12" s="179">
        <f t="shared" si="2"/>
        <v>162.199997</v>
      </c>
      <c r="FA12" s="177">
        <f t="shared" si="4"/>
        <v>1.3116745292314214</v>
      </c>
      <c r="FB12" s="177">
        <f t="shared" si="5"/>
        <v>1.1349277628652787</v>
      </c>
      <c r="FC12" s="177">
        <f t="shared" si="25"/>
        <v>4.2416392965948679</v>
      </c>
    </row>
    <row r="13" spans="1:162">
      <c r="G13" s="828" t="str">
        <f>"/"&amp;G12</f>
        <v>/YIBc1</v>
      </c>
      <c r="N13" s="574">
        <v>40753</v>
      </c>
      <c r="Y13" s="21" t="s">
        <v>3</v>
      </c>
      <c r="Z13" s="565"/>
      <c r="AA13" s="569" t="str">
        <f t="shared" si="33"/>
        <v>AU4MBB=ICAA</v>
      </c>
      <c r="AB13" s="565"/>
      <c r="AC13" s="565"/>
      <c r="AD13" s="565"/>
      <c r="AE13" s="58">
        <v>4.99</v>
      </c>
      <c r="AF13" s="58">
        <v>4.9700000000000006</v>
      </c>
      <c r="AG13" s="10"/>
      <c r="AH13" s="3">
        <f t="shared" si="6"/>
        <v>4.9800000000000004</v>
      </c>
      <c r="AI13" s="17">
        <v>4.9800000000000004</v>
      </c>
      <c r="AJ13" s="1"/>
      <c r="AK13" s="75"/>
      <c r="AL13" s="19" t="s">
        <v>3</v>
      </c>
      <c r="AN13" s="553" t="str">
        <f t="shared" si="26"/>
        <v>AU4MBA=</v>
      </c>
      <c r="AR13" s="42">
        <v>4.9750000000000005</v>
      </c>
      <c r="AS13" s="11" t="str">
        <v>OCT</v>
      </c>
      <c r="AT13" s="105">
        <f t="shared" si="27"/>
        <v>4.9600000000000009</v>
      </c>
      <c r="AU13" s="105">
        <f t="shared" si="28"/>
        <v>4.9800000000000004</v>
      </c>
      <c r="AW13" s="77"/>
      <c r="AX13" s="19" t="s">
        <v>187</v>
      </c>
      <c r="AY13" s="552"/>
      <c r="AZ13" s="553" t="str">
        <f t="shared" si="29"/>
        <v>AU4X7F=TTKL</v>
      </c>
      <c r="BA13" s="552"/>
      <c r="BB13" s="552"/>
      <c r="BC13" s="552"/>
      <c r="BD13" s="42">
        <v>4.8209999999999997</v>
      </c>
      <c r="BE13" s="42">
        <v>4.9210000000000003</v>
      </c>
      <c r="BF13" s="10"/>
      <c r="BG13" s="17">
        <f t="shared" si="30"/>
        <v>4.8710000000000004</v>
      </c>
      <c r="BH13" s="8"/>
      <c r="BI13" s="82"/>
      <c r="BJ13" s="19" t="s">
        <v>3</v>
      </c>
      <c r="BK13" s="552"/>
      <c r="BL13" s="553" t="str">
        <f t="shared" si="31"/>
        <v>AUD4MOIS=ICAA</v>
      </c>
      <c r="BM13" s="552"/>
      <c r="BN13" s="552"/>
      <c r="BO13" s="552"/>
      <c r="BP13" s="42">
        <v>4.74</v>
      </c>
      <c r="BQ13" s="42">
        <v>4.76</v>
      </c>
      <c r="BR13" s="10"/>
      <c r="BS13" s="30">
        <f t="shared" si="32"/>
        <v>4.75</v>
      </c>
      <c r="BT13" s="52"/>
      <c r="BU13" s="5"/>
      <c r="BW13" s="5"/>
      <c r="BX13" s="287" t="s">
        <v>26</v>
      </c>
      <c r="BY13" s="237">
        <v>21.5</v>
      </c>
      <c r="BZ13" s="237">
        <v>11.999999999999998</v>
      </c>
      <c r="CA13" s="237">
        <v>9.25</v>
      </c>
      <c r="CJ13" s="235" t="s">
        <v>9</v>
      </c>
      <c r="CK13" s="195"/>
      <c r="CL13" s="304" t="str">
        <f t="shared" si="7"/>
        <v>AU5YCATM=ICAA</v>
      </c>
      <c r="CM13" s="195"/>
      <c r="CN13" s="195"/>
      <c r="CO13" s="195"/>
      <c r="CP13" s="195"/>
      <c r="CQ13" s="796"/>
      <c r="CR13" s="797"/>
      <c r="CS13" s="808"/>
      <c r="CT13" s="195"/>
      <c r="CU13" s="62">
        <v>5.4</v>
      </c>
      <c r="CV13" s="62">
        <v>17.72</v>
      </c>
      <c r="CW13" s="160"/>
      <c r="CX13" s="15">
        <f t="shared" si="8"/>
        <v>17.72</v>
      </c>
      <c r="CY13" s="17"/>
      <c r="DA13" s="115" t="s">
        <v>25</v>
      </c>
      <c r="DB13" s="785" t="str">
        <f t="shared" si="9"/>
        <v>AUBP1YX1Y=ICAA</v>
      </c>
      <c r="DC13" s="785" t="str">
        <f t="shared" si="10"/>
        <v>AUBP1YX2Y=ICAA</v>
      </c>
      <c r="DD13" s="785" t="str">
        <f t="shared" si="11"/>
        <v>AUBP1YX3Y=ICAA</v>
      </c>
      <c r="DE13" s="785" t="str">
        <f t="shared" si="12"/>
        <v>AUBP1YX4Y=ICAA</v>
      </c>
      <c r="DF13" s="785" t="str">
        <f t="shared" si="13"/>
        <v>AUBP1YX5Y=ICAA</v>
      </c>
      <c r="DG13" s="785" t="str">
        <f t="shared" si="14"/>
        <v>AUBP1YX7Y=ICAA</v>
      </c>
      <c r="DH13" s="785" t="str">
        <f t="shared" si="15"/>
        <v>AUBP1YX10Y=ICAA</v>
      </c>
      <c r="DI13" s="785" t="str">
        <f t="shared" si="16"/>
        <v>AUBP1YX15Y=ICAA</v>
      </c>
      <c r="DJ13" s="58">
        <f t="shared" si="17"/>
        <v>6</v>
      </c>
      <c r="DK13" s="58">
        <f t="shared" si="18"/>
        <v>6.1099999999999994</v>
      </c>
      <c r="DL13" s="58">
        <f t="shared" si="19"/>
        <v>6.1</v>
      </c>
      <c r="DM13" s="58">
        <f t="shared" si="20"/>
        <v>5.95</v>
      </c>
      <c r="DN13" s="58">
        <f t="shared" si="21"/>
        <v>5.8</v>
      </c>
      <c r="DO13" s="58">
        <f t="shared" si="22"/>
        <v>5.6</v>
      </c>
      <c r="DP13" s="58">
        <f t="shared" si="23"/>
        <v>5.4</v>
      </c>
      <c r="DQ13" s="58">
        <f t="shared" si="24"/>
        <v>5.4</v>
      </c>
      <c r="DU13" s="162"/>
      <c r="DV13" s="162"/>
      <c r="DW13" s="162"/>
      <c r="DX13" s="162"/>
      <c r="DY13" s="162"/>
      <c r="DZ13" s="162"/>
      <c r="EA13" s="162"/>
      <c r="EI13" s="516">
        <v>39538</v>
      </c>
      <c r="EJ13" s="517">
        <v>162.199997</v>
      </c>
      <c r="EM13" s="161" t="s">
        <v>9</v>
      </c>
      <c r="EN13" s="62">
        <v>2.8</v>
      </c>
      <c r="EO13" s="62">
        <v>2.9</v>
      </c>
      <c r="EP13" s="160"/>
      <c r="EQ13" s="169">
        <f t="shared" si="34"/>
        <v>2.8499999999999996</v>
      </c>
      <c r="ER13" s="180">
        <v>5</v>
      </c>
      <c r="ES13" s="182">
        <f t="shared" si="35"/>
        <v>-0.14050715055437407</v>
      </c>
      <c r="EV13" s="205">
        <v>39629</v>
      </c>
      <c r="EW13" s="216">
        <f>IF(EV13=CPI0_DATE,1,IF(EV13&lt;CPI0_DATE,EW14/EY13*EY14,EXP(_xll.qInterp(EX13,$ER$10:$ER$21,$ES$10:$ES$21))))</f>
        <v>1.0735114857772243</v>
      </c>
      <c r="EX13" s="183">
        <f t="shared" si="0"/>
        <v>-2.75</v>
      </c>
      <c r="EY13" s="175">
        <f t="shared" si="1"/>
        <v>164.60000600000001</v>
      </c>
      <c r="EZ13" s="179">
        <f t="shared" si="2"/>
        <v>164.60000600000001</v>
      </c>
      <c r="FA13" s="177">
        <f t="shared" si="4"/>
        <v>1.479660323298293</v>
      </c>
      <c r="FB13" s="177">
        <f t="shared" si="5"/>
        <v>1.4053715900547825</v>
      </c>
      <c r="FC13" s="177">
        <f t="shared" si="25"/>
        <v>4.5079403174603128</v>
      </c>
    </row>
    <row r="14" spans="1:162">
      <c r="Y14" s="21" t="s">
        <v>4</v>
      </c>
      <c r="Z14" s="565"/>
      <c r="AA14" s="569" t="str">
        <f t="shared" si="33"/>
        <v>AU5MBB=ICAA</v>
      </c>
      <c r="AB14" s="565"/>
      <c r="AC14" s="565"/>
      <c r="AD14" s="565"/>
      <c r="AE14" s="58">
        <v>5.01</v>
      </c>
      <c r="AF14" s="58">
        <v>4.99</v>
      </c>
      <c r="AG14" s="10"/>
      <c r="AH14" s="3">
        <f t="shared" si="6"/>
        <v>5</v>
      </c>
      <c r="AI14" s="17">
        <v>5</v>
      </c>
      <c r="AJ14" s="1"/>
      <c r="AK14" s="75"/>
      <c r="AL14" s="19" t="s">
        <v>4</v>
      </c>
      <c r="AN14" s="553" t="str">
        <f t="shared" si="26"/>
        <v>AU5MBA=</v>
      </c>
      <c r="AR14" s="42">
        <v>4.9967000000000006</v>
      </c>
      <c r="AS14" s="11" t="str">
        <v>NOV</v>
      </c>
      <c r="AT14" s="105">
        <f t="shared" si="27"/>
        <v>4.99</v>
      </c>
      <c r="AU14" s="105">
        <f t="shared" si="28"/>
        <v>5</v>
      </c>
      <c r="AW14" s="77"/>
      <c r="AX14" s="19" t="s">
        <v>188</v>
      </c>
      <c r="AY14" s="552"/>
      <c r="AZ14" s="553" t="str">
        <f t="shared" si="29"/>
        <v>AU5X8F=TTKL</v>
      </c>
      <c r="BA14" s="552"/>
      <c r="BB14" s="552"/>
      <c r="BC14" s="552"/>
      <c r="BD14" s="42">
        <v>4.8319999999999999</v>
      </c>
      <c r="BE14" s="42">
        <v>4.9320000000000004</v>
      </c>
      <c r="BF14" s="10"/>
      <c r="BG14" s="17">
        <f t="shared" si="30"/>
        <v>4.8819999999999997</v>
      </c>
      <c r="BH14" s="8"/>
      <c r="BI14" s="82"/>
      <c r="BJ14" s="19" t="s">
        <v>4</v>
      </c>
      <c r="BK14" s="552"/>
      <c r="BL14" s="553" t="str">
        <f t="shared" si="31"/>
        <v>AUD5MOIS=ICAA</v>
      </c>
      <c r="BM14" s="552"/>
      <c r="BN14" s="552"/>
      <c r="BO14" s="552"/>
      <c r="BP14" s="42">
        <v>4.7450000000000001</v>
      </c>
      <c r="BQ14" s="42">
        <v>4.7649999999999997</v>
      </c>
      <c r="BR14" s="10"/>
      <c r="BS14" s="30">
        <f t="shared" si="32"/>
        <v>4.7549999999999999</v>
      </c>
      <c r="BT14" s="52"/>
      <c r="BU14" s="5"/>
      <c r="BW14" s="5"/>
      <c r="BX14" s="287" t="s">
        <v>7</v>
      </c>
      <c r="BY14" s="237">
        <v>23.5</v>
      </c>
      <c r="BZ14" s="237">
        <v>11.999999999999998</v>
      </c>
      <c r="CA14" s="237">
        <v>8.75</v>
      </c>
      <c r="CJ14" s="235" t="s">
        <v>11</v>
      </c>
      <c r="CK14" s="195"/>
      <c r="CL14" s="304" t="str">
        <f t="shared" si="7"/>
        <v>AU7YCATM=ICAA</v>
      </c>
      <c r="CM14" s="195"/>
      <c r="CN14" s="195"/>
      <c r="CO14" s="195"/>
      <c r="CP14" s="195"/>
      <c r="CQ14" s="796"/>
      <c r="CR14" s="797"/>
      <c r="CS14" s="808"/>
      <c r="CT14" s="195"/>
      <c r="CU14" s="62">
        <v>5.58</v>
      </c>
      <c r="CV14" s="62">
        <v>16.45</v>
      </c>
      <c r="CW14" s="160"/>
      <c r="CX14" s="15">
        <f t="shared" si="8"/>
        <v>16.45</v>
      </c>
      <c r="CY14" s="17"/>
      <c r="DA14" s="115" t="s">
        <v>26</v>
      </c>
      <c r="DB14" s="785" t="str">
        <f t="shared" si="9"/>
        <v>AUBP2YX1Y=ICAA</v>
      </c>
      <c r="DC14" s="785" t="str">
        <f t="shared" si="10"/>
        <v>AUBP2YX2Y=ICAA</v>
      </c>
      <c r="DD14" s="785" t="str">
        <f t="shared" si="11"/>
        <v>AUBP2YX3Y=ICAA</v>
      </c>
      <c r="DE14" s="785" t="str">
        <f t="shared" si="12"/>
        <v>AUBP2YX4Y=ICAA</v>
      </c>
      <c r="DF14" s="785" t="str">
        <f t="shared" si="13"/>
        <v>AUBP2YX5Y=ICAA</v>
      </c>
      <c r="DG14" s="785" t="str">
        <f t="shared" si="14"/>
        <v>AUBP2YX7Y=ICAA</v>
      </c>
      <c r="DH14" s="785" t="str">
        <f t="shared" si="15"/>
        <v>AUBP2YX10Y=ICAA</v>
      </c>
      <c r="DI14" s="785" t="str">
        <f t="shared" si="16"/>
        <v>AUBP2YX15Y=ICAA</v>
      </c>
      <c r="DJ14" s="58">
        <f t="shared" si="17"/>
        <v>6.87</v>
      </c>
      <c r="DK14" s="58">
        <f t="shared" si="18"/>
        <v>6.6</v>
      </c>
      <c r="DL14" s="58">
        <f t="shared" si="19"/>
        <v>6.25</v>
      </c>
      <c r="DM14" s="58">
        <f t="shared" si="20"/>
        <v>6</v>
      </c>
      <c r="DN14" s="58">
        <f t="shared" si="21"/>
        <v>5.8</v>
      </c>
      <c r="DO14" s="58">
        <f t="shared" si="22"/>
        <v>5.6</v>
      </c>
      <c r="DP14" s="58">
        <f t="shared" si="23"/>
        <v>5.3</v>
      </c>
      <c r="DQ14" s="58">
        <f t="shared" si="24"/>
        <v>5.3</v>
      </c>
      <c r="DU14" s="162"/>
      <c r="DV14" s="162"/>
      <c r="DW14" s="162"/>
      <c r="DX14" s="162"/>
      <c r="DY14" s="162"/>
      <c r="DZ14" s="162"/>
      <c r="EA14" s="162"/>
      <c r="EI14" s="516">
        <v>39629</v>
      </c>
      <c r="EJ14" s="517">
        <v>164.60000600000001</v>
      </c>
      <c r="EM14" s="161" t="s">
        <v>11</v>
      </c>
      <c r="EN14" s="62">
        <v>2.84</v>
      </c>
      <c r="EO14" s="62">
        <v>2.94</v>
      </c>
      <c r="EP14" s="160"/>
      <c r="EQ14" s="169">
        <f t="shared" si="34"/>
        <v>2.8899999999999997</v>
      </c>
      <c r="ER14" s="180">
        <v>7</v>
      </c>
      <c r="ES14" s="182">
        <f t="shared" si="35"/>
        <v>-0.19943189279739204</v>
      </c>
      <c r="EV14" s="205">
        <v>39721</v>
      </c>
      <c r="EW14" s="216">
        <f>IF(EV14=CPI0_DATE,1,IF(EV14&lt;CPI0_DATE,EW15/EY14*EY15,EXP(_xll.qInterp(EX14,$ER$10:$ER$21,$ES$10:$ES$21))))</f>
        <v>1.0612612432432436</v>
      </c>
      <c r="EX14" s="183">
        <f t="shared" si="0"/>
        <v>-2.5</v>
      </c>
      <c r="EY14" s="175">
        <f t="shared" si="1"/>
        <v>166.5</v>
      </c>
      <c r="EZ14" s="179">
        <f t="shared" si="2"/>
        <v>166.5</v>
      </c>
      <c r="FA14" s="177">
        <f t="shared" si="4"/>
        <v>1.1543097999644036</v>
      </c>
      <c r="FB14" s="177">
        <f t="shared" si="5"/>
        <v>1.3255249936903524</v>
      </c>
      <c r="FC14" s="177">
        <f t="shared" si="25"/>
        <v>4.9810805177396889</v>
      </c>
    </row>
    <row r="15" spans="1:162">
      <c r="Y15" s="21" t="s">
        <v>5</v>
      </c>
      <c r="Z15" s="565"/>
      <c r="AA15" s="569" t="str">
        <f t="shared" si="33"/>
        <v>AU6MBB=ICAA</v>
      </c>
      <c r="AB15" s="565"/>
      <c r="AC15" s="565"/>
      <c r="AD15" s="565"/>
      <c r="AE15" s="58">
        <v>5.0199999999999996</v>
      </c>
      <c r="AF15" s="58">
        <v>5</v>
      </c>
      <c r="AG15" s="10"/>
      <c r="AH15" s="3">
        <f t="shared" si="6"/>
        <v>5.01</v>
      </c>
      <c r="AI15" s="17">
        <v>5.01</v>
      </c>
      <c r="AJ15" s="1"/>
      <c r="AK15" s="75"/>
      <c r="AL15" s="19" t="s">
        <v>5</v>
      </c>
      <c r="AN15" s="553" t="str">
        <f t="shared" si="26"/>
        <v>AU6MBA=</v>
      </c>
      <c r="AR15" s="42">
        <v>5.0133000000000001</v>
      </c>
      <c r="AS15" s="11" t="str">
        <v>DEC</v>
      </c>
      <c r="AT15" s="105">
        <f t="shared" si="27"/>
        <v>5.01</v>
      </c>
      <c r="AU15" s="105">
        <f t="shared" si="28"/>
        <v>5.0199999999999996</v>
      </c>
      <c r="AW15" s="77"/>
      <c r="AX15" s="19" t="s">
        <v>189</v>
      </c>
      <c r="AY15" s="552"/>
      <c r="AZ15" s="553" t="str">
        <f t="shared" si="29"/>
        <v>AU6X9F=TTKL</v>
      </c>
      <c r="BA15" s="552"/>
      <c r="BB15" s="552"/>
      <c r="BC15" s="552"/>
      <c r="BD15" s="42">
        <v>4.8479999999999999</v>
      </c>
      <c r="BE15" s="42">
        <v>4.9480000000000004</v>
      </c>
      <c r="BF15" s="10"/>
      <c r="BG15" s="17">
        <f t="shared" si="30"/>
        <v>4.8979999999999997</v>
      </c>
      <c r="BH15" s="8"/>
      <c r="BI15" s="82"/>
      <c r="BJ15" s="19" t="s">
        <v>5</v>
      </c>
      <c r="BK15" s="552"/>
      <c r="BL15" s="553" t="str">
        <f t="shared" si="31"/>
        <v>AUD6MOIS=ICAA</v>
      </c>
      <c r="BM15" s="552"/>
      <c r="BN15" s="552"/>
      <c r="BO15" s="552"/>
      <c r="BP15" s="42">
        <v>4.7450000000000001</v>
      </c>
      <c r="BQ15" s="42">
        <v>4.7649999999999997</v>
      </c>
      <c r="BR15" s="10"/>
      <c r="BS15" s="30">
        <f t="shared" si="32"/>
        <v>4.7549999999999999</v>
      </c>
      <c r="BT15" s="52"/>
      <c r="BU15" s="5"/>
      <c r="BW15" s="5"/>
      <c r="BX15" s="287" t="s">
        <v>8</v>
      </c>
      <c r="BY15" s="237">
        <v>23.75</v>
      </c>
      <c r="BZ15" s="237">
        <v>11.75</v>
      </c>
      <c r="CA15" s="237">
        <v>8.5</v>
      </c>
      <c r="CJ15" s="235" t="s">
        <v>14</v>
      </c>
      <c r="CK15" s="195"/>
      <c r="CL15" s="304" t="str">
        <f t="shared" si="7"/>
        <v>AU10YCATM=ICAA</v>
      </c>
      <c r="CM15" s="195"/>
      <c r="CN15" s="195"/>
      <c r="CO15" s="195"/>
      <c r="CP15" s="195"/>
      <c r="CQ15" s="796"/>
      <c r="CR15" s="797"/>
      <c r="CS15" s="808"/>
      <c r="CT15" s="195"/>
      <c r="CU15" s="62">
        <v>5.71</v>
      </c>
      <c r="CV15" s="62">
        <v>15.360000000000001</v>
      </c>
      <c r="CW15" s="160"/>
      <c r="CX15" s="15">
        <f t="shared" si="8"/>
        <v>15.360000000000001</v>
      </c>
      <c r="CY15" s="17"/>
      <c r="DA15" s="115" t="s">
        <v>7</v>
      </c>
      <c r="DB15" s="785" t="str">
        <f t="shared" si="9"/>
        <v>AUBP3YX1Y=ICAA</v>
      </c>
      <c r="DC15" s="785" t="str">
        <f t="shared" si="10"/>
        <v>AUBP3YX2Y=ICAA</v>
      </c>
      <c r="DD15" s="785" t="str">
        <f t="shared" si="11"/>
        <v>AUBP3YX3Y=ICAA</v>
      </c>
      <c r="DE15" s="785" t="str">
        <f t="shared" si="12"/>
        <v>AUBP3YX4Y=ICAA</v>
      </c>
      <c r="DF15" s="785" t="str">
        <f t="shared" si="13"/>
        <v>AUBP3YX5Y=ICAA</v>
      </c>
      <c r="DG15" s="785" t="str">
        <f t="shared" si="14"/>
        <v>AUBP3YX7Y=ICAA</v>
      </c>
      <c r="DH15" s="785" t="str">
        <f t="shared" si="15"/>
        <v>AUBP3YX10Y=ICAA</v>
      </c>
      <c r="DI15" s="785" t="str">
        <f t="shared" si="16"/>
        <v>AUBP3YX15Y=ICAA</v>
      </c>
      <c r="DJ15" s="58">
        <f t="shared" si="17"/>
        <v>6.53</v>
      </c>
      <c r="DK15" s="58">
        <f t="shared" si="18"/>
        <v>6.2</v>
      </c>
      <c r="DL15" s="58">
        <f t="shared" si="19"/>
        <v>5.94</v>
      </c>
      <c r="DM15" s="58">
        <f t="shared" si="20"/>
        <v>5.78</v>
      </c>
      <c r="DN15" s="58">
        <f t="shared" si="21"/>
        <v>5.57</v>
      </c>
      <c r="DO15" s="58">
        <f t="shared" si="22"/>
        <v>5.38</v>
      </c>
      <c r="DP15" s="58">
        <f t="shared" si="23"/>
        <v>5.2</v>
      </c>
      <c r="DQ15" s="58">
        <f t="shared" si="24"/>
        <v>5.2</v>
      </c>
      <c r="DS15" s="31"/>
      <c r="DU15" s="162"/>
      <c r="DV15" s="162"/>
      <c r="DW15" s="162"/>
      <c r="DX15" s="162"/>
      <c r="DY15" s="162"/>
      <c r="DZ15" s="162"/>
      <c r="EA15" s="162"/>
      <c r="EI15" s="516">
        <v>39721</v>
      </c>
      <c r="EJ15" s="517">
        <v>166.5</v>
      </c>
      <c r="EM15" s="161" t="s">
        <v>14</v>
      </c>
      <c r="EN15" s="62">
        <v>2.8899999999999997</v>
      </c>
      <c r="EO15" s="62">
        <v>2.9899999999999998</v>
      </c>
      <c r="EP15" s="160"/>
      <c r="EQ15" s="169">
        <f t="shared" si="34"/>
        <v>2.9399999999999995</v>
      </c>
      <c r="ER15" s="180">
        <v>10</v>
      </c>
      <c r="ES15" s="182">
        <f t="shared" si="35"/>
        <v>-0.28976108236517212</v>
      </c>
      <c r="EV15" s="205">
        <v>39813</v>
      </c>
      <c r="EW15" s="216">
        <f>IF(EV15=CPI0_DATE,1,IF(EV15&lt;CPI0_DATE,EW16/EY15*EY16,EXP(_xll.qInterp(EX15,$ER$10:$ER$21,$ES$10:$ES$21))))</f>
        <v>1.0644578132530125</v>
      </c>
      <c r="EX15" s="183">
        <f t="shared" si="0"/>
        <v>-2.25</v>
      </c>
      <c r="EY15" s="175">
        <f t="shared" si="1"/>
        <v>166</v>
      </c>
      <c r="EZ15" s="179">
        <f t="shared" si="2"/>
        <v>166</v>
      </c>
      <c r="FA15" s="177">
        <f t="shared" si="4"/>
        <v>-0.30030030030030463</v>
      </c>
      <c r="FB15" s="177">
        <f t="shared" si="5"/>
        <v>0.42527155193420318</v>
      </c>
      <c r="FC15" s="177">
        <f t="shared" si="25"/>
        <v>3.6851928662638533</v>
      </c>
    </row>
    <row r="16" spans="1:162">
      <c r="E16" s="572" t="s">
        <v>565</v>
      </c>
      <c r="F16" s="572"/>
      <c r="AH16" s="9"/>
      <c r="AJ16" s="1"/>
      <c r="AK16" s="75"/>
      <c r="AW16" s="77"/>
      <c r="AX16" s="16"/>
      <c r="AY16" s="560"/>
      <c r="AZ16" s="560"/>
      <c r="BA16" s="560"/>
      <c r="BB16" s="560"/>
      <c r="BC16" s="560"/>
      <c r="BD16" s="3"/>
      <c r="BH16" s="8"/>
      <c r="BI16" s="82"/>
      <c r="BJ16" s="25"/>
      <c r="BK16" s="550"/>
      <c r="BL16" s="550"/>
      <c r="BM16" s="550"/>
      <c r="BN16" s="550"/>
      <c r="BO16" s="550"/>
      <c r="BP16" s="15"/>
      <c r="BQ16" s="1"/>
      <c r="BR16" s="15"/>
      <c r="BS16" s="30"/>
      <c r="BT16" s="52"/>
      <c r="BU16" s="5"/>
      <c r="BW16" s="5"/>
      <c r="BX16" s="287" t="s">
        <v>9</v>
      </c>
      <c r="BY16" s="237">
        <v>24.25</v>
      </c>
      <c r="BZ16" s="237">
        <v>11.5</v>
      </c>
      <c r="CA16" s="237">
        <v>8.25</v>
      </c>
      <c r="CJ16" s="235" t="s">
        <v>16</v>
      </c>
      <c r="CK16" s="195"/>
      <c r="CL16" s="304" t="str">
        <f t="shared" si="7"/>
        <v>AU15YCATM=ICAA</v>
      </c>
      <c r="CM16" s="195"/>
      <c r="CN16" s="195"/>
      <c r="CO16" s="195"/>
      <c r="CP16" s="195"/>
      <c r="CQ16" s="796"/>
      <c r="CR16" s="797"/>
      <c r="CS16" s="808"/>
      <c r="CT16" s="195"/>
      <c r="CU16" s="62">
        <v>5.84</v>
      </c>
      <c r="CV16" s="62">
        <v>13.08</v>
      </c>
      <c r="CW16" s="160"/>
      <c r="CX16" s="15">
        <f t="shared" si="8"/>
        <v>13.08</v>
      </c>
      <c r="CY16" s="17"/>
      <c r="DA16" s="115" t="s">
        <v>8</v>
      </c>
      <c r="DB16" s="785" t="str">
        <f t="shared" si="9"/>
        <v>AUBP4YX1Y=ICAA</v>
      </c>
      <c r="DC16" s="785" t="str">
        <f t="shared" si="10"/>
        <v>AUBP4YX2Y=ICAA</v>
      </c>
      <c r="DD16" s="785" t="str">
        <f t="shared" si="11"/>
        <v>AUBP4YX3Y=ICAA</v>
      </c>
      <c r="DE16" s="785" t="str">
        <f t="shared" si="12"/>
        <v>AUBP4YX4Y=ICAA</v>
      </c>
      <c r="DF16" s="785" t="str">
        <f t="shared" si="13"/>
        <v>AUBP4YX5Y=ICAA</v>
      </c>
      <c r="DG16" s="785" t="str">
        <f t="shared" si="14"/>
        <v>AUBP4YX7Y=ICAA</v>
      </c>
      <c r="DH16" s="785" t="str">
        <f t="shared" si="15"/>
        <v>AUBP4YX10Y=ICAA</v>
      </c>
      <c r="DI16" s="785" t="str">
        <f t="shared" si="16"/>
        <v>AUBP4YX15Y=ICAA</v>
      </c>
      <c r="DJ16" s="58">
        <f t="shared" si="17"/>
        <v>6.1</v>
      </c>
      <c r="DK16" s="58">
        <f t="shared" si="18"/>
        <v>5.95</v>
      </c>
      <c r="DL16" s="58">
        <f t="shared" si="19"/>
        <v>5.76</v>
      </c>
      <c r="DM16" s="58">
        <f t="shared" si="20"/>
        <v>5.55</v>
      </c>
      <c r="DN16" s="58">
        <f t="shared" si="21"/>
        <v>5.4</v>
      </c>
      <c r="DO16" s="58">
        <f t="shared" si="22"/>
        <v>5.26</v>
      </c>
      <c r="DP16" s="58">
        <f t="shared" si="23"/>
        <v>5.13</v>
      </c>
      <c r="DQ16" s="58">
        <f t="shared" si="24"/>
        <v>5.13</v>
      </c>
      <c r="DS16" s="31"/>
      <c r="DU16" s="162"/>
      <c r="DV16" s="162"/>
      <c r="DW16" s="162"/>
      <c r="DX16" s="162"/>
      <c r="DY16" s="162"/>
      <c r="DZ16" s="162"/>
      <c r="EA16" s="162"/>
      <c r="EI16" s="516">
        <v>39813</v>
      </c>
      <c r="EJ16" s="517">
        <v>166</v>
      </c>
      <c r="EM16" s="161" t="s">
        <v>15</v>
      </c>
      <c r="EN16" s="62">
        <v>2.9</v>
      </c>
      <c r="EO16" s="62">
        <v>3</v>
      </c>
      <c r="EP16" s="160"/>
      <c r="EQ16" s="169">
        <f t="shared" si="34"/>
        <v>2.95</v>
      </c>
      <c r="ER16" s="180">
        <v>12</v>
      </c>
      <c r="ES16" s="182">
        <f t="shared" si="35"/>
        <v>-0.34887896982848582</v>
      </c>
      <c r="EV16" s="205">
        <v>39903</v>
      </c>
      <c r="EW16" s="216">
        <f>IF(EV16=CPI0_DATE,1,IF(EV16&lt;CPI0_DATE,EW17/EY16*EY17,EXP(_xll.qInterp(EX16,$ER$10:$ER$21,$ES$10:$ES$21))))</f>
        <v>1.0631768964472368</v>
      </c>
      <c r="EX16" s="183">
        <f t="shared" si="0"/>
        <v>-2</v>
      </c>
      <c r="EY16" s="175">
        <f t="shared" si="1"/>
        <v>166.199997</v>
      </c>
      <c r="EZ16" s="179">
        <f t="shared" si="2"/>
        <v>166.199997</v>
      </c>
      <c r="FA16" s="177">
        <f t="shared" si="4"/>
        <v>0.12048012048193613</v>
      </c>
      <c r="FB16" s="177">
        <f t="shared" si="5"/>
        <v>-9.0090990990993047E-2</v>
      </c>
      <c r="FC16" s="177">
        <f t="shared" si="25"/>
        <v>2.466091290988115</v>
      </c>
    </row>
    <row r="17" spans="1:162">
      <c r="O17" s="582" t="s">
        <v>566</v>
      </c>
      <c r="Y17" s="34" t="s">
        <v>21</v>
      </c>
      <c r="Z17" s="197"/>
      <c r="AA17" s="197"/>
      <c r="AB17" s="197"/>
      <c r="AC17" s="197"/>
      <c r="AD17" s="197"/>
      <c r="AF17" s="586" t="str">
        <f>IF(S9="DELAYED","DELAYED","")</f>
        <v>DELAYED</v>
      </c>
      <c r="AG17" s="35"/>
      <c r="AH17" s="36" t="s">
        <v>20</v>
      </c>
      <c r="AI17" s="591" t="s">
        <v>24</v>
      </c>
      <c r="AJ17" s="106"/>
      <c r="AK17" s="107"/>
      <c r="AL17" s="63" t="s">
        <v>122</v>
      </c>
      <c r="AM17" s="212"/>
      <c r="AN17" s="212"/>
      <c r="AO17" s="212"/>
      <c r="AP17" s="212"/>
      <c r="AQ17" s="212"/>
      <c r="AR17" s="18"/>
      <c r="AS17" s="35"/>
      <c r="AT17" s="39"/>
      <c r="AU17" s="29"/>
      <c r="AV17" s="18"/>
      <c r="AW17" s="76"/>
      <c r="AX17" s="40" t="s">
        <v>37</v>
      </c>
      <c r="AY17" s="210"/>
      <c r="AZ17" s="210"/>
      <c r="BA17" s="210"/>
      <c r="BB17" s="554" t="str">
        <f ca="1">_xll.RtUpdate("IDN",AZ18:AZ23,BB18:BB19,BD18,,RTMODE_RATES)</f>
        <v>Updated at 10:29:15</v>
      </c>
      <c r="BC17" s="210"/>
      <c r="BH17" s="24"/>
      <c r="BI17" s="83"/>
      <c r="BJ17" s="40" t="s">
        <v>107</v>
      </c>
      <c r="BK17" s="308"/>
      <c r="BL17" s="308"/>
      <c r="BM17" s="308"/>
      <c r="BN17" s="308"/>
      <c r="BO17" s="308"/>
      <c r="BQ17" s="586" t="str">
        <f>IF(S12="DELAYED","DELAYED","")</f>
        <v>DELAYED</v>
      </c>
      <c r="BR17" s="40"/>
      <c r="BS17" s="30"/>
      <c r="BT17" s="53"/>
      <c r="BU17" s="7"/>
      <c r="BV17" s="535"/>
      <c r="BW17" s="7"/>
      <c r="BX17" s="287" t="s">
        <v>10</v>
      </c>
      <c r="BY17" s="237">
        <v>24.000000000000004</v>
      </c>
      <c r="BZ17" s="237">
        <v>11.250000000000002</v>
      </c>
      <c r="CA17" s="237">
        <v>7.6249999999999991</v>
      </c>
      <c r="CJ17" s="167"/>
      <c r="DA17" s="115" t="s">
        <v>9</v>
      </c>
      <c r="DB17" s="785" t="str">
        <f t="shared" si="9"/>
        <v>AUBP5YX1Y=ICAA</v>
      </c>
      <c r="DC17" s="785" t="str">
        <f t="shared" si="10"/>
        <v>AUBP5YX2Y=ICAA</v>
      </c>
      <c r="DD17" s="785" t="str">
        <f t="shared" si="11"/>
        <v>AUBP5YX3Y=ICAA</v>
      </c>
      <c r="DE17" s="785" t="str">
        <f t="shared" si="12"/>
        <v>AUBP5YX4Y=ICAA</v>
      </c>
      <c r="DF17" s="785" t="str">
        <f t="shared" si="13"/>
        <v>AUBP5YX5Y=ICAA</v>
      </c>
      <c r="DG17" s="785" t="str">
        <f t="shared" si="14"/>
        <v>AUBP5YX7Y=ICAA</v>
      </c>
      <c r="DH17" s="785" t="str">
        <f t="shared" si="15"/>
        <v>AUBP5YX10Y=ICAA</v>
      </c>
      <c r="DI17" s="785" t="str">
        <f t="shared" si="16"/>
        <v>AUBP5YX15Y=ICAA</v>
      </c>
      <c r="DJ17" s="58">
        <f t="shared" si="17"/>
        <v>5.84</v>
      </c>
      <c r="DK17" s="58">
        <f t="shared" si="18"/>
        <v>5.56</v>
      </c>
      <c r="DL17" s="58">
        <f t="shared" si="19"/>
        <v>5.4300000000000006</v>
      </c>
      <c r="DM17" s="58">
        <f t="shared" si="20"/>
        <v>5.35</v>
      </c>
      <c r="DN17" s="58">
        <f t="shared" si="21"/>
        <v>5.2700000000000005</v>
      </c>
      <c r="DO17" s="58">
        <f t="shared" si="22"/>
        <v>5.1499999999999995</v>
      </c>
      <c r="DP17" s="58">
        <f t="shared" si="23"/>
        <v>5.05</v>
      </c>
      <c r="DQ17" s="58">
        <f t="shared" si="24"/>
        <v>5.05</v>
      </c>
      <c r="DS17" s="31"/>
      <c r="EI17" s="516">
        <v>39903</v>
      </c>
      <c r="EJ17" s="517">
        <v>166.199997</v>
      </c>
      <c r="EM17" s="161" t="s">
        <v>16</v>
      </c>
      <c r="EN17" s="62">
        <v>2.9099999999999997</v>
      </c>
      <c r="EO17" s="62">
        <v>3.01</v>
      </c>
      <c r="EP17" s="160"/>
      <c r="EQ17" s="169">
        <f t="shared" si="34"/>
        <v>2.96</v>
      </c>
      <c r="ER17" s="180">
        <v>15</v>
      </c>
      <c r="ES17" s="182">
        <f t="shared" si="35"/>
        <v>-0.43755565949669917</v>
      </c>
      <c r="EV17" s="205">
        <v>39994</v>
      </c>
      <c r="EW17" s="216">
        <f>IF(EV17=CPI0_DATE,1,IF(EV17&lt;CPI0_DATE,EW18/EY17*EY18,EXP(_xll.qInterp(EX17,$ER$10:$ER$21,$ES$10:$ES$21))))</f>
        <v>1.0580838143712579</v>
      </c>
      <c r="EX17" s="183">
        <f t="shared" si="0"/>
        <v>-1.75</v>
      </c>
      <c r="EY17" s="175">
        <f t="shared" si="1"/>
        <v>167</v>
      </c>
      <c r="EZ17" s="179">
        <f t="shared" si="2"/>
        <v>167</v>
      </c>
      <c r="FA17" s="177">
        <f t="shared" si="4"/>
        <v>0.48134958750931656</v>
      </c>
      <c r="FB17" s="177">
        <f t="shared" si="5"/>
        <v>0.30120481927711218</v>
      </c>
      <c r="FC17" s="177">
        <f t="shared" si="25"/>
        <v>1.4580764960604009</v>
      </c>
    </row>
    <row r="18" spans="1:162" s="7" customFormat="1">
      <c r="A18" s="165"/>
      <c r="B18" s="165"/>
      <c r="C18" s="165"/>
      <c r="D18" s="547"/>
      <c r="E18" s="547" t="s">
        <v>562</v>
      </c>
      <c r="F18" s="547"/>
      <c r="G18" s="828" t="str">
        <f>IF(S6="LIVE","YTT"&amp;_xll.qFuturesDateToCode(N6),"/YTT"&amp;_xll.qFuturesDateToCode(N7))</f>
        <v>/YTTU1</v>
      </c>
      <c r="H18" s="547"/>
      <c r="I18" s="573" t="s">
        <v>45</v>
      </c>
      <c r="J18" s="547"/>
      <c r="K18" s="547"/>
      <c r="L18" s="547"/>
      <c r="M18" s="547" t="str">
        <f ca="1">_xll.RtUpdate("IDN",G18:G19,I18:I21,N18,,RTMODE_RATES)</f>
        <v>Updated at 10:13:26</v>
      </c>
      <c r="N18" s="574">
        <v>40801</v>
      </c>
      <c r="O18" s="580">
        <v>95.179999999999993</v>
      </c>
      <c r="P18" s="580">
        <v>95.19</v>
      </c>
      <c r="Q18" s="580">
        <v>95.19</v>
      </c>
      <c r="R18" s="547" t="s">
        <v>78</v>
      </c>
      <c r="S18" s="577">
        <v>40801</v>
      </c>
      <c r="T18" s="576">
        <v>95.179999999999993</v>
      </c>
      <c r="U18" s="576">
        <v>95.19</v>
      </c>
      <c r="V18" s="576">
        <v>95.19</v>
      </c>
      <c r="W18" s="547"/>
      <c r="X18" s="6"/>
      <c r="Y18" s="22" t="str">
        <f t="array" ref="Y18:Y25">F23:F30</f>
        <v>U1</v>
      </c>
      <c r="Z18" s="213"/>
      <c r="AA18" s="213"/>
      <c r="AB18" s="213"/>
      <c r="AC18" s="213"/>
      <c r="AD18" s="213"/>
      <c r="AE18" s="58">
        <f t="array" ref="AE18:AF18">IF(AND(T23&lt;&gt;0,U23&lt;&gt;0),T23:U23,V23)</f>
        <v>95.13</v>
      </c>
      <c r="AF18" s="58">
        <v>95.14</v>
      </c>
      <c r="AG18" s="10"/>
      <c r="AH18" s="72">
        <f t="shared" ref="AH18:AH25" si="36">IF(ISNUMBER(AG18),AG18,AVERAGE(AE18:AF18))</f>
        <v>95.134999999999991</v>
      </c>
      <c r="AI18" s="30">
        <f t="shared" ref="AI18:AI25" si="37">100-AH18</f>
        <v>4.8650000000000091</v>
      </c>
      <c r="AJ18" s="1"/>
      <c r="AK18" s="77"/>
      <c r="AL18" s="22" t="str">
        <f t="shared" ref="AL18:AL25" si="38">Y18</f>
        <v>U1</v>
      </c>
      <c r="AM18" s="213"/>
      <c r="AN18" s="213"/>
      <c r="AO18" s="213"/>
      <c r="AP18" s="213"/>
      <c r="AQ18" s="213"/>
      <c r="AR18" s="62">
        <f>IF(ISNUMBER(AT18),AT18,_xll.qFuturesConvexityAdjustment(AH18,Today,CS21,CX21,"SFE"))</f>
        <v>3.2438733785333795E-3</v>
      </c>
      <c r="AT18" s="10"/>
      <c r="AU18" s="30">
        <f t="shared" ref="AU18:AU25" si="39">AI18-IF(ISNUMBER(AT18),AT18,AR18)%</f>
        <v>4.8649675612662238</v>
      </c>
      <c r="AV18" s="41"/>
      <c r="AW18" s="78"/>
      <c r="AX18" s="19" t="s">
        <v>190</v>
      </c>
      <c r="AY18" s="552"/>
      <c r="AZ18" s="553" t="s">
        <v>92</v>
      </c>
      <c r="BA18" s="552"/>
      <c r="BB18" s="553" t="s">
        <v>43</v>
      </c>
      <c r="BC18" s="552"/>
      <c r="BD18" s="42">
        <v>4.8099999999999996</v>
      </c>
      <c r="BE18" s="42">
        <v>4.84</v>
      </c>
      <c r="BF18" s="10"/>
      <c r="BG18" s="17">
        <f t="shared" ref="BG18:BG22" si="40">IF(ISNUMBER(BF18),BF18,AVERAGE(BD18:BE18))</f>
        <v>4.8249999999999993</v>
      </c>
      <c r="BH18" s="34"/>
      <c r="BI18" s="74"/>
      <c r="BJ18" s="61" t="str">
        <f t="shared" ref="BJ18:BJ25" si="41">TEXT(N32,"MMM")</f>
        <v>Jul</v>
      </c>
      <c r="BK18" s="567"/>
      <c r="BL18" s="567"/>
      <c r="BM18" s="567"/>
      <c r="BN18" s="567"/>
      <c r="BO18" s="567"/>
      <c r="BP18" s="64">
        <f t="array" ref="BP18:BQ18">IF(AND(T32&lt;&gt;0,U32&lt;&gt;0),T32:U32,V32-V31+#REF!)</f>
        <v>95.254999999999995</v>
      </c>
      <c r="BQ18" s="64">
        <v>95.26</v>
      </c>
      <c r="BR18" s="10"/>
      <c r="BS18" s="30">
        <f t="shared" ref="BS18:BS25" si="42">100-IF(ISNUMBER(BR18),BR18,SUMPRODUCT(N(BP18:BQ18&lt;&gt;0),BP18:BQ18)/SUMPRODUCT(N(BP18:BQ18&lt;&gt;0)))</f>
        <v>4.7425000000000068</v>
      </c>
      <c r="BT18" s="6"/>
      <c r="BU18" s="5"/>
      <c r="BV18" s="532"/>
      <c r="BW18" s="5"/>
      <c r="BX18" s="287" t="s">
        <v>11</v>
      </c>
      <c r="BY18" s="237">
        <v>23.75</v>
      </c>
      <c r="BZ18" s="237">
        <v>11</v>
      </c>
      <c r="CA18" s="237">
        <v>7</v>
      </c>
      <c r="CB18" s="239"/>
      <c r="CC18" s="287"/>
      <c r="CD18" s="219"/>
      <c r="CE18" s="55"/>
      <c r="CI18" s="5"/>
      <c r="CJ18" s="6"/>
      <c r="CK18" s="783"/>
      <c r="CL18" s="195"/>
      <c r="CM18" s="783"/>
      <c r="CN18" s="783"/>
      <c r="CO18" s="783"/>
      <c r="CP18" s="783"/>
      <c r="CQ18" s="305"/>
      <c r="CR18" s="792"/>
      <c r="CS18" s="804"/>
      <c r="CT18" s="783"/>
      <c r="CU18" s="1"/>
      <c r="CV18" s="1"/>
      <c r="CW18" s="1"/>
      <c r="CX18" s="15"/>
      <c r="CY18" s="5"/>
      <c r="CZ18" s="5"/>
      <c r="DA18" s="115" t="s">
        <v>11</v>
      </c>
      <c r="DB18" s="785" t="str">
        <f t="shared" si="9"/>
        <v>AUBP7YX1Y=ICAA</v>
      </c>
      <c r="DC18" s="785" t="str">
        <f t="shared" si="10"/>
        <v>AUBP7YX2Y=ICAA</v>
      </c>
      <c r="DD18" s="785" t="str">
        <f t="shared" si="11"/>
        <v>AUBP7YX3Y=ICAA</v>
      </c>
      <c r="DE18" s="785" t="str">
        <f t="shared" si="12"/>
        <v>AUBP7YX4Y=ICAA</v>
      </c>
      <c r="DF18" s="785" t="str">
        <f t="shared" si="13"/>
        <v>AUBP7YX5Y=ICAA</v>
      </c>
      <c r="DG18" s="785" t="str">
        <f t="shared" si="14"/>
        <v>AUBP7YX7Y=ICAA</v>
      </c>
      <c r="DH18" s="785" t="str">
        <f t="shared" si="15"/>
        <v>AUBP7YX10Y=ICAA</v>
      </c>
      <c r="DI18" s="785" t="str">
        <f t="shared" si="16"/>
        <v>AUBP7YX15Y=ICAA</v>
      </c>
      <c r="DJ18" s="58">
        <f t="shared" si="17"/>
        <v>5.5</v>
      </c>
      <c r="DK18" s="58">
        <f t="shared" si="18"/>
        <v>5.39</v>
      </c>
      <c r="DL18" s="58">
        <f t="shared" si="19"/>
        <v>5.3199999999999994</v>
      </c>
      <c r="DM18" s="58">
        <f t="shared" si="20"/>
        <v>5.26</v>
      </c>
      <c r="DN18" s="58">
        <f t="shared" si="21"/>
        <v>5.18</v>
      </c>
      <c r="DO18" s="58">
        <f t="shared" si="22"/>
        <v>5.09</v>
      </c>
      <c r="DP18" s="58">
        <f t="shared" si="23"/>
        <v>5</v>
      </c>
      <c r="DQ18" s="58">
        <f t="shared" si="24"/>
        <v>5</v>
      </c>
      <c r="DR18" s="5"/>
      <c r="DS18" s="31"/>
      <c r="DT18" s="5"/>
      <c r="EC18" s="195"/>
      <c r="ED18" s="195"/>
      <c r="EE18" s="195"/>
      <c r="EF18" s="195"/>
      <c r="EG18" s="195"/>
      <c r="EH18" s="195"/>
      <c r="EI18" s="516">
        <v>39994</v>
      </c>
      <c r="EJ18" s="517">
        <v>167</v>
      </c>
      <c r="EK18" s="195"/>
      <c r="EM18" s="161" t="s">
        <v>17</v>
      </c>
      <c r="EN18" s="62">
        <v>2.92</v>
      </c>
      <c r="EO18" s="62">
        <v>3.02</v>
      </c>
      <c r="EP18" s="160"/>
      <c r="EQ18" s="169">
        <f t="shared" si="34"/>
        <v>2.9699999999999998</v>
      </c>
      <c r="ER18" s="180">
        <v>20</v>
      </c>
      <c r="ES18" s="182">
        <f t="shared" si="35"/>
        <v>-0.58534995361136266</v>
      </c>
      <c r="EU18" s="166"/>
      <c r="EV18" s="205">
        <v>40086</v>
      </c>
      <c r="EW18" s="216">
        <f>IF(EV18=CPI0_DATE,1,IF(EV18&lt;CPI0_DATE,EW19/EY18*EY19,EXP(_xll.qInterp(EX18,$ER$10:$ER$21,$ES$10:$ES$21))))</f>
        <v>1.048042649535849</v>
      </c>
      <c r="EX18" s="183">
        <f t="shared" si="0"/>
        <v>-1.5</v>
      </c>
      <c r="EY18" s="175">
        <f t="shared" si="1"/>
        <v>168.60000600000001</v>
      </c>
      <c r="EZ18" s="179">
        <f t="shared" si="2"/>
        <v>168.60000600000001</v>
      </c>
      <c r="FA18" s="177">
        <f t="shared" si="4"/>
        <v>0.95808742514971179</v>
      </c>
      <c r="FB18" s="177">
        <f t="shared" si="5"/>
        <v>0.72202438126398594</v>
      </c>
      <c r="FC18" s="177">
        <f t="shared" si="25"/>
        <v>1.2612648648648639</v>
      </c>
      <c r="FD18" s="166"/>
      <c r="FE18" s="166"/>
      <c r="FF18" s="166"/>
    </row>
    <row r="19" spans="1:162" s="6" customFormat="1">
      <c r="A19" s="159"/>
      <c r="B19" s="159"/>
      <c r="C19" s="159"/>
      <c r="D19" s="547"/>
      <c r="E19" s="547"/>
      <c r="F19" s="547"/>
      <c r="G19" s="828" t="str">
        <f>SUBSTITUTE(G18,"YTT","YTC")</f>
        <v>/YTCU1</v>
      </c>
      <c r="H19" s="547"/>
      <c r="I19" s="573" t="s">
        <v>43</v>
      </c>
      <c r="J19" s="547"/>
      <c r="K19" s="547"/>
      <c r="L19" s="547"/>
      <c r="M19" s="547"/>
      <c r="N19" s="574">
        <v>40801</v>
      </c>
      <c r="O19" s="580">
        <v>94.740000000000009</v>
      </c>
      <c r="P19" s="580">
        <v>94.745000000000005</v>
      </c>
      <c r="Q19" s="580">
        <v>94.765000000000001</v>
      </c>
      <c r="R19" s="547" t="s">
        <v>78</v>
      </c>
      <c r="S19" s="577">
        <v>40801</v>
      </c>
      <c r="T19" s="576">
        <v>94.740000000000009</v>
      </c>
      <c r="U19" s="576">
        <v>94.745000000000005</v>
      </c>
      <c r="V19" s="576">
        <v>94.765000000000001</v>
      </c>
      <c r="W19" s="547"/>
      <c r="Y19" s="22" t="str">
        <v>Z1</v>
      </c>
      <c r="Z19" s="213"/>
      <c r="AA19" s="213"/>
      <c r="AB19" s="213"/>
      <c r="AC19" s="213"/>
      <c r="AD19" s="213"/>
      <c r="AE19" s="58">
        <f t="array" ref="AE19:AF19">IF(AND(T24&lt;&gt;0,U24&lt;&gt;0),T24:U24,V24-V23+AH18)</f>
        <v>95.11</v>
      </c>
      <c r="AF19" s="58">
        <v>95.11999999999999</v>
      </c>
      <c r="AG19" s="10"/>
      <c r="AH19" s="72">
        <f t="shared" si="36"/>
        <v>95.114999999999995</v>
      </c>
      <c r="AI19" s="30">
        <f t="shared" si="37"/>
        <v>4.8850000000000051</v>
      </c>
      <c r="AJ19" s="1"/>
      <c r="AK19" s="77"/>
      <c r="AL19" s="22" t="str">
        <f t="shared" si="38"/>
        <v>Z1</v>
      </c>
      <c r="AM19" s="213"/>
      <c r="AN19" s="213"/>
      <c r="AO19" s="213"/>
      <c r="AP19" s="213"/>
      <c r="AQ19" s="213"/>
      <c r="AR19" s="62">
        <f>IF(ISNUMBER(AT19),AT19,_xll.qFuturesConvexityAdjustment(AH19,Today,CS22,CX22,"SFE"))</f>
        <v>3.2787138976342334E-2</v>
      </c>
      <c r="AT19" s="10"/>
      <c r="AU19" s="30">
        <f t="shared" si="39"/>
        <v>4.8846721286102417</v>
      </c>
      <c r="AV19" s="5"/>
      <c r="AW19" s="79"/>
      <c r="AX19" s="19" t="s">
        <v>191</v>
      </c>
      <c r="AY19" s="552"/>
      <c r="AZ19" s="553" t="s">
        <v>93</v>
      </c>
      <c r="BA19" s="552"/>
      <c r="BB19" s="553" t="s">
        <v>44</v>
      </c>
      <c r="BC19" s="552"/>
      <c r="BD19" s="42">
        <v>4.8049999999999997</v>
      </c>
      <c r="BE19" s="42">
        <v>4.835</v>
      </c>
      <c r="BF19" s="10"/>
      <c r="BG19" s="17">
        <f t="shared" si="40"/>
        <v>4.82</v>
      </c>
      <c r="BH19" s="3"/>
      <c r="BI19" s="84"/>
      <c r="BJ19" s="61" t="str">
        <f t="shared" si="41"/>
        <v>Aug</v>
      </c>
      <c r="BK19" s="567"/>
      <c r="BL19" s="567"/>
      <c r="BM19" s="567"/>
      <c r="BN19" s="567"/>
      <c r="BO19" s="567"/>
      <c r="BP19" s="64">
        <f t="array" ref="BP19:BQ19">IF(AND(T33&lt;&gt;0,U33&lt;&gt;0),T33:U33,V33-V32+100-BS18)</f>
        <v>95.265000000000001</v>
      </c>
      <c r="BQ19" s="64">
        <v>95.274999999999991</v>
      </c>
      <c r="BR19" s="10"/>
      <c r="BS19" s="30">
        <f t="shared" si="42"/>
        <v>4.730000000000004</v>
      </c>
      <c r="BT19" s="1"/>
      <c r="BU19" s="5"/>
      <c r="BV19" s="532"/>
      <c r="BW19" s="5"/>
      <c r="BX19" s="287" t="s">
        <v>12</v>
      </c>
      <c r="BY19" s="237">
        <v>23.583333333333332</v>
      </c>
      <c r="BZ19" s="237">
        <v>10.583333333333334</v>
      </c>
      <c r="CA19" s="237">
        <v>6.833333333333333</v>
      </c>
      <c r="CB19" s="239"/>
      <c r="CC19" s="287"/>
      <c r="CD19" s="219"/>
      <c r="CE19" s="55"/>
      <c r="CI19" s="5"/>
      <c r="CJ19" s="34" t="s">
        <v>823</v>
      </c>
      <c r="CK19" s="236"/>
      <c r="CL19" s="236"/>
      <c r="CM19" s="236"/>
      <c r="CN19" s="236"/>
      <c r="CO19" s="236"/>
      <c r="CP19" s="236" t="s">
        <v>821</v>
      </c>
      <c r="CQ19" s="801" t="s">
        <v>818</v>
      </c>
      <c r="CR19" s="802" t="s">
        <v>818</v>
      </c>
      <c r="CS19" s="807" t="s">
        <v>824</v>
      </c>
      <c r="CT19" s="236"/>
      <c r="CU19" s="35"/>
      <c r="CV19" s="35"/>
      <c r="CW19" s="35"/>
      <c r="CX19" s="813" t="str">
        <f>AF17</f>
        <v>DELAYED</v>
      </c>
      <c r="CY19" s="5"/>
      <c r="CZ19" s="5"/>
      <c r="DA19" s="115" t="s">
        <v>14</v>
      </c>
      <c r="DB19" s="785" t="str">
        <f t="shared" si="9"/>
        <v>AUBP10YX1Y=ICAA</v>
      </c>
      <c r="DC19" s="785" t="str">
        <f t="shared" si="10"/>
        <v>AUBP10YX2Y=ICAA</v>
      </c>
      <c r="DD19" s="785" t="str">
        <f t="shared" si="11"/>
        <v>AUBP10YX3Y=ICAA</v>
      </c>
      <c r="DE19" s="785" t="str">
        <f t="shared" si="12"/>
        <v>AUBP10YX4Y=ICAA</v>
      </c>
      <c r="DF19" s="785" t="str">
        <f t="shared" si="13"/>
        <v>AUBP10YX5Y=ICAA</v>
      </c>
      <c r="DG19" s="785" t="str">
        <f t="shared" si="14"/>
        <v>AUBP10YX7Y=ICAA</v>
      </c>
      <c r="DH19" s="785" t="str">
        <f t="shared" si="15"/>
        <v>AUBP10YX10Y=ICAA</v>
      </c>
      <c r="DI19" s="785" t="str">
        <f t="shared" si="16"/>
        <v>AUBP10YX15Y=ICAA</v>
      </c>
      <c r="DJ19" s="58">
        <f t="shared" si="17"/>
        <v>5.3</v>
      </c>
      <c r="DK19" s="58">
        <f t="shared" si="18"/>
        <v>5.2</v>
      </c>
      <c r="DL19" s="58">
        <f t="shared" si="19"/>
        <v>5.13</v>
      </c>
      <c r="DM19" s="58">
        <f t="shared" si="20"/>
        <v>5.07</v>
      </c>
      <c r="DN19" s="58">
        <f t="shared" si="21"/>
        <v>5.05</v>
      </c>
      <c r="DO19" s="58">
        <f t="shared" si="22"/>
        <v>5</v>
      </c>
      <c r="DP19" s="58">
        <f t="shared" si="23"/>
        <v>4.9000000000000004</v>
      </c>
      <c r="DQ19" s="58">
        <f t="shared" si="24"/>
        <v>4.9000000000000004</v>
      </c>
      <c r="DR19" s="5"/>
      <c r="DS19" s="5"/>
      <c r="DT19" s="5"/>
      <c r="EC19" s="195"/>
      <c r="ED19" s="195"/>
      <c r="EE19" s="195"/>
      <c r="EF19" s="195"/>
      <c r="EG19" s="195"/>
      <c r="EH19" s="195"/>
      <c r="EI19" s="516">
        <v>40086</v>
      </c>
      <c r="EJ19" s="517">
        <v>168.60000600000001</v>
      </c>
      <c r="EK19" s="195"/>
      <c r="EM19" s="161" t="s">
        <v>19</v>
      </c>
      <c r="EN19" s="62">
        <v>2.92</v>
      </c>
      <c r="EO19" s="62">
        <v>3.02</v>
      </c>
      <c r="EP19" s="160"/>
      <c r="EQ19" s="169">
        <f t="shared" si="34"/>
        <v>2.9699999999999998</v>
      </c>
      <c r="ER19" s="180">
        <v>30</v>
      </c>
      <c r="ES19" s="182">
        <f t="shared" si="35"/>
        <v>-0.87802493041704377</v>
      </c>
      <c r="ET19" s="31"/>
      <c r="EU19" s="167"/>
      <c r="EV19" s="205">
        <v>40178</v>
      </c>
      <c r="EW19" s="216">
        <f>IF(EV19=CPI0_DATE,1,IF(EV19&lt;CPI0_DATE,EW20/EY19*EY20,EXP(_xll.qInterp(EX19,$ER$10:$ER$21,$ES$10:$ES$21))))</f>
        <v>1.04247785840708</v>
      </c>
      <c r="EX19" s="183">
        <f t="shared" si="0"/>
        <v>-1.25</v>
      </c>
      <c r="EY19" s="175">
        <f t="shared" si="1"/>
        <v>169.5</v>
      </c>
      <c r="EZ19" s="179">
        <f t="shared" si="2"/>
        <v>169.5</v>
      </c>
      <c r="FA19" s="177">
        <f t="shared" si="4"/>
        <v>0.53380425146603017</v>
      </c>
      <c r="FB19" s="177">
        <f t="shared" si="5"/>
        <v>0.74850299401197917</v>
      </c>
      <c r="FC19" s="177">
        <f t="shared" si="25"/>
        <v>2.108433734939763</v>
      </c>
      <c r="FD19" s="167"/>
      <c r="FE19" s="167"/>
      <c r="FF19" s="167"/>
    </row>
    <row r="20" spans="1:162">
      <c r="I20" s="573" t="s">
        <v>44</v>
      </c>
      <c r="N20" s="574"/>
      <c r="O20" s="580"/>
      <c r="P20" s="580"/>
      <c r="Q20" s="580"/>
      <c r="R20" s="547" t="s">
        <v>78</v>
      </c>
      <c r="S20" s="577"/>
      <c r="T20" s="576"/>
      <c r="U20" s="576"/>
      <c r="V20" s="576"/>
      <c r="Y20" s="22" t="str">
        <v>H2</v>
      </c>
      <c r="Z20" s="213"/>
      <c r="AA20" s="213"/>
      <c r="AB20" s="213"/>
      <c r="AC20" s="213"/>
      <c r="AD20" s="213"/>
      <c r="AE20" s="58">
        <f t="array" ref="AE20:AF20">IF(AND(T25&lt;&gt;0,U25&lt;&gt;0),T25:U25,V25-V24+AH19)</f>
        <v>95.05</v>
      </c>
      <c r="AF20" s="58">
        <v>95.06</v>
      </c>
      <c r="AG20" s="10"/>
      <c r="AH20" s="72">
        <f t="shared" si="36"/>
        <v>95.055000000000007</v>
      </c>
      <c r="AI20" s="30">
        <f>100-AH20</f>
        <v>4.9449999999999932</v>
      </c>
      <c r="AJ20" s="1"/>
      <c r="AK20" s="77"/>
      <c r="AL20" s="22" t="str">
        <f t="shared" si="38"/>
        <v>H2</v>
      </c>
      <c r="AM20" s="213"/>
      <c r="AN20" s="213"/>
      <c r="AO20" s="213"/>
      <c r="AP20" s="213"/>
      <c r="AQ20" s="213"/>
      <c r="AR20" s="62">
        <f>IF(ISNUMBER(AT20),AT20,_xll.qFuturesConvexityAdjustment(AH20,Today,CS23,CX23,"SFE"))</f>
        <v>0.13813617654676591</v>
      </c>
      <c r="AT20" s="10"/>
      <c r="AU20" s="30">
        <f t="shared" si="39"/>
        <v>4.9436186382345255</v>
      </c>
      <c r="AV20" s="4"/>
      <c r="AW20" s="80"/>
      <c r="AX20" s="19" t="s">
        <v>192</v>
      </c>
      <c r="AY20" s="552"/>
      <c r="AZ20" s="553" t="s">
        <v>94</v>
      </c>
      <c r="BA20" s="552"/>
      <c r="BB20" s="552"/>
      <c r="BC20" s="552"/>
      <c r="BD20" s="42">
        <v>4.8049999999999997</v>
      </c>
      <c r="BE20" s="42">
        <v>4.835</v>
      </c>
      <c r="BF20" s="10"/>
      <c r="BG20" s="17">
        <f t="shared" si="40"/>
        <v>4.82</v>
      </c>
      <c r="BH20" s="6"/>
      <c r="BI20" s="85"/>
      <c r="BJ20" s="61" t="str">
        <f t="shared" si="41"/>
        <v>Sep</v>
      </c>
      <c r="BK20" s="567"/>
      <c r="BL20" s="567"/>
      <c r="BM20" s="567"/>
      <c r="BN20" s="567"/>
      <c r="BO20" s="567"/>
      <c r="BP20" s="64">
        <f t="array" ref="BP20:BQ20">IF(AND(T34&lt;&gt;0,U34&lt;&gt;0),T34:U34,V34-V33+100-BS19)</f>
        <v>95.3</v>
      </c>
      <c r="BQ20" s="64">
        <v>95.31</v>
      </c>
      <c r="BR20" s="10"/>
      <c r="BS20" s="30">
        <f t="shared" si="42"/>
        <v>4.6949999999999932</v>
      </c>
      <c r="BU20" s="5"/>
      <c r="BW20" s="5"/>
      <c r="BX20" s="287" t="s">
        <v>13</v>
      </c>
      <c r="BY20" s="237">
        <v>23.416666666666664</v>
      </c>
      <c r="BZ20" s="237">
        <v>10.166666666666666</v>
      </c>
      <c r="CA20" s="237">
        <v>6.6666666666666661</v>
      </c>
      <c r="CJ20" s="814" t="s">
        <v>827</v>
      </c>
      <c r="CK20" s="815"/>
      <c r="CL20" s="815" t="str">
        <f ca="1">_xll.RtUpdate(IF(S9="LIVE","IDN","dIDN_SELECTFEED"),CL21:CL28,CN21,CP21,,RTMODE_VOLS)</f>
        <v>Updated at 10:13:27</v>
      </c>
      <c r="CM20" s="815"/>
      <c r="CN20" s="815"/>
      <c r="CO20" s="815"/>
      <c r="CP20" s="815" t="s">
        <v>820</v>
      </c>
      <c r="CQ20" s="816" t="s">
        <v>819</v>
      </c>
      <c r="CR20" s="817" t="s">
        <v>341</v>
      </c>
      <c r="CS20" s="818" t="s">
        <v>813</v>
      </c>
      <c r="CT20" s="815"/>
      <c r="CU20" s="819" t="s">
        <v>207</v>
      </c>
      <c r="CV20" s="819" t="s">
        <v>816</v>
      </c>
      <c r="CW20" s="820" t="s">
        <v>817</v>
      </c>
      <c r="CX20" s="821" t="s">
        <v>814</v>
      </c>
      <c r="EI20" s="516">
        <v>40178</v>
      </c>
      <c r="EJ20" s="517">
        <v>169.5</v>
      </c>
      <c r="EM20" s="161" t="s">
        <v>27</v>
      </c>
      <c r="EP20" s="160"/>
      <c r="EQ20" s="169">
        <f>IF(ISNUMBER(EP20),EP20,100*(((1+EQ19%)^30 * (1+ES23%)^10)^(1/40)-1))</f>
        <v>2.970000000000006</v>
      </c>
      <c r="ER20" s="180">
        <v>40</v>
      </c>
      <c r="ES20" s="182">
        <f t="shared" ref="ES20:ES21" si="43">LN((1+EQ20%)^-ER20)</f>
        <v>-1.1706999072227251</v>
      </c>
      <c r="ET20" s="166"/>
      <c r="EV20" s="205">
        <v>40268</v>
      </c>
      <c r="EW20" s="216">
        <f>IF(EV20=CPI0_DATE,1,IF(EV20&lt;CPI0_DATE,EW21/EY20*EY21,EXP(_xll.qInterp(EX20,$ER$10:$ER$21,$ES$10:$ES$21))))</f>
        <v>1.033333315789474</v>
      </c>
      <c r="EX20" s="183">
        <f t="shared" si="0"/>
        <v>-1</v>
      </c>
      <c r="EY20" s="175">
        <f t="shared" si="1"/>
        <v>171</v>
      </c>
      <c r="EZ20" s="179">
        <f t="shared" si="2"/>
        <v>171</v>
      </c>
      <c r="FA20" s="177">
        <f t="shared" si="4"/>
        <v>0.88495575221239076</v>
      </c>
      <c r="FB20" s="177">
        <f t="shared" si="5"/>
        <v>0.71174196755366959</v>
      </c>
      <c r="FC20" s="177">
        <f t="shared" si="25"/>
        <v>2.8880884997849909</v>
      </c>
    </row>
    <row r="21" spans="1:162">
      <c r="I21" s="573" t="s">
        <v>522</v>
      </c>
      <c r="N21" s="574"/>
      <c r="O21" s="580"/>
      <c r="P21" s="580"/>
      <c r="Q21" s="580"/>
      <c r="S21" s="577"/>
      <c r="T21" s="576"/>
      <c r="U21" s="576"/>
      <c r="V21" s="576"/>
      <c r="Y21" s="22" t="str">
        <v>M2</v>
      </c>
      <c r="Z21" s="213"/>
      <c r="AA21" s="213"/>
      <c r="AB21" s="213"/>
      <c r="AC21" s="213"/>
      <c r="AD21" s="213"/>
      <c r="AE21" s="58">
        <f t="array" ref="AE21:AF21">IF(AND(T26&lt;&gt;0,U26&lt;&gt;0),T26:U26,V26-V25+AH20)</f>
        <v>94.960000000000008</v>
      </c>
      <c r="AF21" s="58">
        <v>94.97</v>
      </c>
      <c r="AG21" s="10"/>
      <c r="AH21" s="72">
        <f t="shared" si="36"/>
        <v>94.965000000000003</v>
      </c>
      <c r="AI21" s="30">
        <f t="shared" si="37"/>
        <v>5.0349999999999966</v>
      </c>
      <c r="AJ21" s="1"/>
      <c r="AK21" s="77"/>
      <c r="AL21" s="22" t="str">
        <f t="shared" si="38"/>
        <v>M2</v>
      </c>
      <c r="AM21" s="213"/>
      <c r="AN21" s="213"/>
      <c r="AO21" s="213"/>
      <c r="AP21" s="213"/>
      <c r="AQ21" s="213"/>
      <c r="AR21" s="62">
        <f>IF(ISNUMBER(AT21),AT21,_xll.qFuturesConvexityAdjustment(AH21,Today,CS24,CX24,"SFE"))</f>
        <v>0.40975936555218695</v>
      </c>
      <c r="AT21" s="10"/>
      <c r="AU21" s="30">
        <f t="shared" si="39"/>
        <v>5.0309024063444747</v>
      </c>
      <c r="AV21" s="4"/>
      <c r="AW21" s="80"/>
      <c r="AX21" s="19" t="s">
        <v>193</v>
      </c>
      <c r="AY21" s="552"/>
      <c r="AZ21" s="553" t="s">
        <v>95</v>
      </c>
      <c r="BA21" s="552"/>
      <c r="BB21" s="552"/>
      <c r="BC21" s="552"/>
      <c r="BD21" s="42">
        <v>4.8099999999999996</v>
      </c>
      <c r="BE21" s="42">
        <v>4.84</v>
      </c>
      <c r="BF21" s="10"/>
      <c r="BG21" s="17">
        <f t="shared" si="40"/>
        <v>4.8249999999999993</v>
      </c>
      <c r="BI21" s="84"/>
      <c r="BJ21" s="61" t="str">
        <f t="shared" si="41"/>
        <v>Oct</v>
      </c>
      <c r="BK21" s="567"/>
      <c r="BL21" s="567"/>
      <c r="BM21" s="567"/>
      <c r="BN21" s="567"/>
      <c r="BO21" s="567"/>
      <c r="BP21" s="64">
        <f t="array" ref="BP21:BQ21">IF(AND(T35&lt;&gt;0,U35&lt;&gt;0),T35:U35,V35-V34+100-BS20)</f>
        <v>95.304999999999993</v>
      </c>
      <c r="BQ21" s="64">
        <v>95.33</v>
      </c>
      <c r="BR21" s="10"/>
      <c r="BS21" s="30">
        <f t="shared" si="42"/>
        <v>4.6825000000000045</v>
      </c>
      <c r="BU21" s="5"/>
      <c r="BW21" s="5"/>
      <c r="BX21" s="287" t="s">
        <v>14</v>
      </c>
      <c r="BY21" s="237">
        <v>23.249999999999996</v>
      </c>
      <c r="BZ21" s="237">
        <v>9.75</v>
      </c>
      <c r="CA21" s="237">
        <v>6.5</v>
      </c>
      <c r="CI21" s="7"/>
      <c r="CJ21" s="788" t="str">
        <f t="array" ref="CJ21:CJ28">Y18:Y25</f>
        <v>U1</v>
      </c>
      <c r="CL21" s="304" t="str">
        <f t="shared" ref="CL21:CL28" si="44">"1YBA"&amp;CU21*1000&amp;uFuturesCodeETO("CALL",S23)&amp;RIGHT(CJ21,1)</f>
        <v>1YBA95125I1</v>
      </c>
      <c r="CN21" s="782" t="s">
        <v>815</v>
      </c>
      <c r="CP21" s="201">
        <v>0.12000000000000001</v>
      </c>
      <c r="CQ21" s="798">
        <f t="shared" ref="CQ21:CQ28" si="45">100-CU21</f>
        <v>4.875</v>
      </c>
      <c r="CR21" s="792">
        <f t="shared" ref="CR21:CR28" si="46">1000000/(1+CQ21%*90/365) - 1000000/(1+(CQ21%+1%%)*90/365)</f>
        <v>24.074673323193565</v>
      </c>
      <c r="CS21" s="804">
        <f>MAX(_xll.qDateNext(S23,"-4B",,"AUD"),Today)</f>
        <v>40788</v>
      </c>
      <c r="CU21" s="799">
        <f t="shared" ref="CU21:CU28" si="47">ROUND(V23/0.125,0)*0.125</f>
        <v>95.125</v>
      </c>
      <c r="CV21" s="800">
        <f>IF(ISNUMBER(CP21),CP21,CV22)</f>
        <v>0.12000000000000001</v>
      </c>
      <c r="CW21" s="800">
        <f t="shared" ref="CW21:CW28" si="48">CV21/CR21/CQ21%%</f>
        <v>10.224597561483888</v>
      </c>
      <c r="CX21" s="17">
        <f t="shared" ref="CX21:CX28" si="49">CW21*AI18%</f>
        <v>0.49742667136619206</v>
      </c>
      <c r="CY21" s="7"/>
      <c r="CZ21" s="7"/>
      <c r="DA21" s="34"/>
      <c r="DB21" s="197"/>
      <c r="DC21" s="197"/>
      <c r="DD21" s="197"/>
      <c r="DE21" s="197"/>
      <c r="DF21" s="197"/>
      <c r="DG21" s="197"/>
      <c r="DH21" s="197"/>
      <c r="DI21" s="197"/>
      <c r="DJ21" s="34"/>
      <c r="DK21" s="34"/>
      <c r="DL21" s="34"/>
      <c r="DM21" s="34"/>
      <c r="DN21" s="34"/>
      <c r="DO21" s="34"/>
      <c r="DP21" s="34"/>
      <c r="DQ21" s="7"/>
      <c r="DR21" s="7"/>
      <c r="DS21" s="7"/>
      <c r="DT21" s="7"/>
      <c r="EI21" s="516">
        <v>40268</v>
      </c>
      <c r="EJ21" s="517">
        <v>171</v>
      </c>
      <c r="EM21" s="161" t="s">
        <v>198</v>
      </c>
      <c r="EN21" s="167"/>
      <c r="EO21" s="167"/>
      <c r="EP21" s="160"/>
      <c r="EQ21" s="169">
        <f>IF(ISNUMBER(EP21),EP21,100*(((1+EQ20%)^40 * (1+ES23%)^10)^(1/50)-1))</f>
        <v>2.970000000000006</v>
      </c>
      <c r="ER21" s="180">
        <v>50</v>
      </c>
      <c r="ES21" s="182">
        <f t="shared" si="43"/>
        <v>-1.4633748840284064</v>
      </c>
      <c r="ET21" s="167"/>
      <c r="EV21" s="205">
        <v>40359</v>
      </c>
      <c r="EW21" s="216">
        <f>IF(EV21=CPI0_DATE,1,IF(EV21&lt;CPI0_DATE,EW22/EY21*EY22,EXP(_xll.qInterp(EX21,$ER$10:$ER$21,$ES$10:$ES$21))))</f>
        <v>1.0267285929089394</v>
      </c>
      <c r="EX21" s="183">
        <f t="shared" si="0"/>
        <v>-0.75</v>
      </c>
      <c r="EY21" s="175">
        <f t="shared" si="1"/>
        <v>172.10000600000001</v>
      </c>
      <c r="EZ21" s="179">
        <f t="shared" si="2"/>
        <v>172.10000600000001</v>
      </c>
      <c r="FA21" s="177">
        <f t="shared" si="4"/>
        <v>0.64327836257309645</v>
      </c>
      <c r="FB21" s="177">
        <f t="shared" si="5"/>
        <v>0.76696342182891453</v>
      </c>
      <c r="FC21" s="177">
        <f t="shared" si="25"/>
        <v>3.0538958083832446</v>
      </c>
    </row>
    <row r="22" spans="1:162">
      <c r="N22" s="574"/>
      <c r="O22" s="580"/>
      <c r="P22" s="580"/>
      <c r="Q22" s="580"/>
      <c r="S22" s="577"/>
      <c r="T22" s="576"/>
      <c r="U22" s="576"/>
      <c r="V22" s="576"/>
      <c r="Y22" s="22" t="str">
        <v>U2</v>
      </c>
      <c r="Z22" s="213"/>
      <c r="AA22" s="213"/>
      <c r="AB22" s="213"/>
      <c r="AC22" s="213"/>
      <c r="AD22" s="213"/>
      <c r="AE22" s="58">
        <f t="array" ref="AE22:AF22">IF(AND(T27&lt;&gt;0,U27&lt;&gt;0),T27:U27,V27-V26+AH21)</f>
        <v>94.89</v>
      </c>
      <c r="AF22" s="58">
        <v>94.910000000000011</v>
      </c>
      <c r="AG22" s="10"/>
      <c r="AH22" s="72">
        <f t="shared" si="36"/>
        <v>94.9</v>
      </c>
      <c r="AI22" s="30">
        <f t="shared" si="37"/>
        <v>5.0999999999999943</v>
      </c>
      <c r="AJ22" s="1"/>
      <c r="AK22" s="77"/>
      <c r="AL22" s="22" t="str">
        <f t="shared" si="38"/>
        <v>U2</v>
      </c>
      <c r="AM22" s="213"/>
      <c r="AN22" s="213"/>
      <c r="AO22" s="213"/>
      <c r="AP22" s="213"/>
      <c r="AQ22" s="213"/>
      <c r="AR22" s="62">
        <f>IF(ISNUMBER(AT22),AT22,_xll.qFuturesConvexityAdjustment(AH22,Today,CS25,CX25,"SFE"))</f>
        <v>0.66680760549555629</v>
      </c>
      <c r="AT22" s="10"/>
      <c r="AU22" s="30">
        <f t="shared" si="39"/>
        <v>5.0933319239450388</v>
      </c>
      <c r="AV22" s="4"/>
      <c r="AW22" s="80"/>
      <c r="AX22" s="19" t="s">
        <v>194</v>
      </c>
      <c r="AY22" s="552"/>
      <c r="AZ22" s="553" t="s">
        <v>96</v>
      </c>
      <c r="BA22" s="552"/>
      <c r="BB22" s="552"/>
      <c r="BC22" s="552"/>
      <c r="BD22" s="42">
        <v>4.8099999999999996</v>
      </c>
      <c r="BE22" s="42">
        <v>4.84</v>
      </c>
      <c r="BF22" s="10"/>
      <c r="BG22" s="17">
        <f t="shared" si="40"/>
        <v>4.8249999999999993</v>
      </c>
      <c r="BI22" s="84"/>
      <c r="BJ22" s="61" t="str">
        <f t="shared" si="41"/>
        <v>Nov</v>
      </c>
      <c r="BK22" s="567"/>
      <c r="BL22" s="567"/>
      <c r="BM22" s="567"/>
      <c r="BN22" s="567"/>
      <c r="BO22" s="567"/>
      <c r="BP22" s="64">
        <f t="array" ref="BP22:BQ22">IF(AND(T36&lt;&gt;0,U36&lt;&gt;0),T36:U36,V36-V35+100-BS21)</f>
        <v>95.304999999999993</v>
      </c>
      <c r="BQ22" s="64">
        <v>95.334999999999994</v>
      </c>
      <c r="BR22" s="10"/>
      <c r="BS22" s="30">
        <f t="shared" si="42"/>
        <v>4.6800000000000068</v>
      </c>
      <c r="BU22" s="5"/>
      <c r="BW22" s="5"/>
      <c r="BX22" s="287" t="s">
        <v>15</v>
      </c>
      <c r="BY22" s="237">
        <v>20.448370992707453</v>
      </c>
      <c r="BZ22" s="237">
        <v>8.575123319522481</v>
      </c>
      <c r="CA22" s="237">
        <v>5.8</v>
      </c>
      <c r="CI22" s="6"/>
      <c r="CJ22" s="788" t="str">
        <v>Z1</v>
      </c>
      <c r="CL22" s="304" t="str">
        <f t="shared" si="44"/>
        <v>1YBA95125L1</v>
      </c>
      <c r="CP22" s="201">
        <v>0.15000000000000002</v>
      </c>
      <c r="CQ22" s="798">
        <f t="shared" si="45"/>
        <v>4.875</v>
      </c>
      <c r="CR22" s="792">
        <f t="shared" si="46"/>
        <v>24.074673323193565</v>
      </c>
      <c r="CS22" s="804">
        <f>MAX(_xll.qDateNext(S24,"-4B",,"AUD"),Today)</f>
        <v>40879</v>
      </c>
      <c r="CU22" s="799">
        <f t="shared" si="47"/>
        <v>95.125</v>
      </c>
      <c r="CV22" s="800">
        <f>IF(ISNUMBER(CP22),CP22,CV23)</f>
        <v>0.15000000000000002</v>
      </c>
      <c r="CW22" s="800">
        <f t="shared" si="48"/>
        <v>12.780746951854862</v>
      </c>
      <c r="CX22" s="17">
        <f t="shared" si="49"/>
        <v>0.62433948859811073</v>
      </c>
      <c r="CY22" s="6"/>
      <c r="CZ22" s="6"/>
      <c r="DA22" s="34" t="s">
        <v>209</v>
      </c>
      <c r="DB22" s="197" t="str">
        <f ca="1">_xll.RtUpdate("IDN",DB9:DB19,"PRIMACT_1",DB23,,RTMODE_VOLS)</f>
        <v>Updated at 10:13:26</v>
      </c>
      <c r="DC22" s="197" t="str">
        <f ca="1">_xll.RtUpdate("IDN",DC9:DC19,"PRIMACT_1",DC23,,RTMODE_VOLS)</f>
        <v>Updated at 10:13:26</v>
      </c>
      <c r="DD22" s="197" t="str">
        <f ca="1">_xll.RtUpdate("IDN",DD9:DD19,"PRIMACT_1",DD23,,RTMODE_VOLS)</f>
        <v>Updated at 10:13:26</v>
      </c>
      <c r="DE22" s="197" t="str">
        <f ca="1">_xll.RtUpdate("IDN",DE9:DE19,"PRIMACT_1",DE23,,RTMODE_VOLS)</f>
        <v>Updated at 10:13:26</v>
      </c>
      <c r="DF22" s="197" t="str">
        <f ca="1">_xll.RtUpdate("IDN",DF9:DF19,"PRIMACT_1",DF23,,RTMODE_VOLS)</f>
        <v>Updated at 10:13:26</v>
      </c>
      <c r="DG22" s="197" t="str">
        <f ca="1">_xll.RtUpdate("IDN",DG9:DG19,"PRIMACT_1",DG23,,RTMODE_VOLS)</f>
        <v>Updated at 10:13:26</v>
      </c>
      <c r="DH22" s="197" t="str">
        <f ca="1">_xll.RtUpdate("IDN",DH9:DH19,"PRIMACT_1",DH23,,RTMODE_VOLS)</f>
        <v>Updated at 10:13:26</v>
      </c>
      <c r="DI22" s="197"/>
      <c r="DJ22" s="35" t="s">
        <v>25</v>
      </c>
      <c r="DK22" s="57" t="s">
        <v>26</v>
      </c>
      <c r="DL22" s="57" t="s">
        <v>7</v>
      </c>
      <c r="DM22" s="57" t="s">
        <v>8</v>
      </c>
      <c r="DN22" s="57" t="s">
        <v>9</v>
      </c>
      <c r="DO22" s="57" t="s">
        <v>11</v>
      </c>
      <c r="DP22" s="57" t="s">
        <v>14</v>
      </c>
      <c r="DQ22" s="57" t="s">
        <v>16</v>
      </c>
      <c r="DR22" s="6"/>
      <c r="DS22" s="6"/>
      <c r="DT22" s="6"/>
      <c r="EI22" s="516">
        <v>40359</v>
      </c>
      <c r="EJ22" s="517">
        <v>172.10000600000001</v>
      </c>
      <c r="EV22" s="205">
        <v>40451</v>
      </c>
      <c r="EW22" s="216">
        <f>IF(EV22=CPI0_DATE,1,IF(EV22&lt;CPI0_DATE,EW23/EY22*EY23,EXP(_xll.qInterp(EX22,$ER$10:$ER$21,$ES$10:$ES$21))))</f>
        <v>1.0196191225686246</v>
      </c>
      <c r="EX22" s="183">
        <f t="shared" si="0"/>
        <v>-0.5</v>
      </c>
      <c r="EY22" s="175">
        <f t="shared" si="1"/>
        <v>173.300003</v>
      </c>
      <c r="EZ22" s="179">
        <f t="shared" si="2"/>
        <v>173.300003</v>
      </c>
      <c r="FA22" s="177">
        <f t="shared" si="4"/>
        <v>0.69726726215222357</v>
      </c>
      <c r="FB22" s="177">
        <f t="shared" si="5"/>
        <v>0.67251549707602054</v>
      </c>
      <c r="FC22" s="177">
        <f t="shared" si="25"/>
        <v>2.7876612293833425</v>
      </c>
    </row>
    <row r="23" spans="1:162">
      <c r="E23" s="547" t="s">
        <v>563</v>
      </c>
      <c r="F23" s="547" t="str">
        <f>IF(S9="LIVE",_xll.qFuturesDateToCode(N9),_xll.qFuturesDateToCode(N10))</f>
        <v>U1</v>
      </c>
      <c r="G23" s="828" t="str">
        <f t="array" ref="G23:G30">IF(S9="DELAYED","/","")  &amp;  "YBA" &amp; F23:F30</f>
        <v>/YBAU1</v>
      </c>
      <c r="I23" s="573" t="s">
        <v>45</v>
      </c>
      <c r="M23" s="547" t="str">
        <f ca="1">_xll.RtUpdate("IDN",G23:G30,I23:I26,N23,,RTMODE_RATES)</f>
        <v>Updated at 10:21:11</v>
      </c>
      <c r="N23" s="574">
        <v>40794</v>
      </c>
      <c r="O23" s="580">
        <v>95.13</v>
      </c>
      <c r="P23" s="580">
        <v>95.14</v>
      </c>
      <c r="Q23" s="580">
        <v>95.14</v>
      </c>
      <c r="R23" s="547" t="s">
        <v>78</v>
      </c>
      <c r="S23" s="803">
        <v>40794</v>
      </c>
      <c r="T23" s="576">
        <v>95.13</v>
      </c>
      <c r="U23" s="576">
        <v>95.14</v>
      </c>
      <c r="V23" s="576">
        <v>95.14</v>
      </c>
      <c r="Y23" s="22" t="str">
        <v>Z2</v>
      </c>
      <c r="Z23" s="213"/>
      <c r="AA23" s="213"/>
      <c r="AB23" s="213"/>
      <c r="AC23" s="213"/>
      <c r="AD23" s="213"/>
      <c r="AE23" s="58">
        <f t="array" ref="AE23:AF23">IF(AND(T28&lt;&gt;0,U28&lt;&gt;0),T28:U28,V28-V27+AH22)</f>
        <v>94.83</v>
      </c>
      <c r="AF23" s="58">
        <v>94.85</v>
      </c>
      <c r="AG23" s="10"/>
      <c r="AH23" s="72">
        <f t="shared" si="36"/>
        <v>94.84</v>
      </c>
      <c r="AI23" s="30">
        <f t="shared" si="37"/>
        <v>5.1599999999999966</v>
      </c>
      <c r="AJ23" s="1"/>
      <c r="AK23" s="77"/>
      <c r="AL23" s="22" t="str">
        <f t="shared" si="38"/>
        <v>Z2</v>
      </c>
      <c r="AM23" s="213"/>
      <c r="AN23" s="213"/>
      <c r="AO23" s="213"/>
      <c r="AP23" s="213"/>
      <c r="AQ23" s="213"/>
      <c r="AR23" s="62">
        <f>IF(ISNUMBER(AT23),AT23,_xll.qFuturesConvexityAdjustment(AH23,Today,CS26,CX26,"SFE"))</f>
        <v>0.99479493670635577</v>
      </c>
      <c r="AT23" s="10"/>
      <c r="AU23" s="30">
        <f t="shared" si="39"/>
        <v>5.150052050632933</v>
      </c>
      <c r="AV23" s="4"/>
      <c r="AW23" s="80"/>
      <c r="AX23" s="23" t="s">
        <v>197</v>
      </c>
      <c r="AY23" s="555"/>
      <c r="AZ23" s="564" t="s">
        <v>109</v>
      </c>
      <c r="BA23" s="555"/>
      <c r="BB23" s="555"/>
      <c r="BC23" s="555"/>
      <c r="BD23" s="42">
        <v>4.83</v>
      </c>
      <c r="BE23" s="42">
        <v>4.8599999999999994</v>
      </c>
      <c r="BF23" s="10"/>
      <c r="BG23" s="17">
        <f t="shared" ref="BG23" si="50">IF(ISNUMBER(BF23),BF23,AVERAGE(BD23:BE23))</f>
        <v>4.8449999999999998</v>
      </c>
      <c r="BI23" s="84"/>
      <c r="BJ23" s="61" t="str">
        <f t="shared" si="41"/>
        <v>Dec</v>
      </c>
      <c r="BK23" s="567"/>
      <c r="BL23" s="567"/>
      <c r="BM23" s="567"/>
      <c r="BN23" s="567"/>
      <c r="BO23" s="567"/>
      <c r="BP23" s="64">
        <f t="array" ref="BP23:BQ23">IF(AND(T37&lt;&gt;0,U37&lt;&gt;0),T37:U37,V37-V36+100-BS22)</f>
        <v>95.314999999999998</v>
      </c>
      <c r="BQ23" s="64">
        <v>95.33</v>
      </c>
      <c r="BR23" s="10"/>
      <c r="BS23" s="30">
        <f t="shared" si="42"/>
        <v>4.6775000000000091</v>
      </c>
      <c r="BU23" s="5"/>
      <c r="BW23" s="5"/>
      <c r="BX23" s="287" t="s">
        <v>16</v>
      </c>
      <c r="BY23" s="237">
        <v>17.708901673762796</v>
      </c>
      <c r="BZ23" s="237">
        <v>7.4263136051263334</v>
      </c>
      <c r="CA23" s="237">
        <v>4.75</v>
      </c>
      <c r="CJ23" s="788" t="str">
        <v>H2</v>
      </c>
      <c r="CL23" s="304" t="str">
        <f t="shared" si="44"/>
        <v>1YBA95125C2</v>
      </c>
      <c r="CP23" s="201">
        <v>0.19</v>
      </c>
      <c r="CQ23" s="798">
        <f t="shared" si="45"/>
        <v>4.875</v>
      </c>
      <c r="CR23" s="792">
        <f t="shared" si="46"/>
        <v>24.074673323193565</v>
      </c>
      <c r="CS23" s="804">
        <f>MAX(_xll.qDateNext(S25,"-4B",,"AUD"),Today)</f>
        <v>40970</v>
      </c>
      <c r="CU23" s="799">
        <f t="shared" si="47"/>
        <v>95.125</v>
      </c>
      <c r="CV23" s="800">
        <f>IF(ISNUMBER(CP23),CP23,CV24)</f>
        <v>0.19</v>
      </c>
      <c r="CW23" s="800">
        <f t="shared" si="48"/>
        <v>16.188946139016156</v>
      </c>
      <c r="CX23" s="17">
        <f t="shared" si="49"/>
        <v>0.80054338657434787</v>
      </c>
      <c r="DA23" s="34" t="s">
        <v>0</v>
      </c>
      <c r="DB23" s="201">
        <v>4.13</v>
      </c>
      <c r="DC23" s="201">
        <v>5.26</v>
      </c>
      <c r="DD23" s="201">
        <v>5.5</v>
      </c>
      <c r="DE23" s="201">
        <v>5.5</v>
      </c>
      <c r="DF23" s="201">
        <v>5.4</v>
      </c>
      <c r="DG23" s="201">
        <v>5.3</v>
      </c>
      <c r="DH23" s="201">
        <v>5.0999999999999996</v>
      </c>
      <c r="DI23" s="201">
        <f t="shared" ref="DI23:DI33" si="51">DH23</f>
        <v>5.0999999999999996</v>
      </c>
      <c r="DJ23" s="32"/>
      <c r="DK23" s="32"/>
      <c r="DL23" s="32"/>
      <c r="DM23" s="32"/>
      <c r="DN23" s="32"/>
      <c r="DO23" s="32"/>
      <c r="DP23" s="32"/>
      <c r="DQ23" s="32"/>
      <c r="EI23" s="516">
        <v>40451</v>
      </c>
      <c r="EJ23" s="517">
        <v>173.300003</v>
      </c>
      <c r="EM23" s="161" t="s">
        <v>724</v>
      </c>
      <c r="ER23" s="164" t="s">
        <v>723</v>
      </c>
      <c r="ES23" s="164">
        <f>100*(((1+EQ19%)^30 / (1+EQ18%)^20)^(1/10)-1)</f>
        <v>2.970000000000006</v>
      </c>
      <c r="EV23" s="205">
        <v>40543</v>
      </c>
      <c r="EW23" s="216">
        <f>IF(EV23=CPI0_DATE,1,IF(EV23&lt;CPI0_DATE,EW24/EY23*EY24,EXP(_xll.qInterp(EX23,$ER$10:$ER$21,$ES$10:$ES$21))))</f>
        <v>1.0155172241379311</v>
      </c>
      <c r="EX23" s="183">
        <f t="shared" si="0"/>
        <v>-0.25</v>
      </c>
      <c r="EY23" s="175">
        <f t="shared" si="1"/>
        <v>174</v>
      </c>
      <c r="EZ23" s="179">
        <f t="shared" si="2"/>
        <v>174</v>
      </c>
      <c r="FA23" s="177">
        <f t="shared" si="4"/>
        <v>0.40392209341162388</v>
      </c>
      <c r="FB23" s="177">
        <f t="shared" si="5"/>
        <v>0.55200288604289049</v>
      </c>
      <c r="FC23" s="177">
        <f t="shared" si="25"/>
        <v>2.6548672566371723</v>
      </c>
    </row>
    <row r="24" spans="1:162">
      <c r="F24" s="547" t="str">
        <f>_xll.qFuturesDateToCode(_xll.qFuturesCodeToDate(F23,Today)+92)</f>
        <v>Z1</v>
      </c>
      <c r="G24" s="828" t="str">
        <v>/YBAZ1</v>
      </c>
      <c r="I24" s="573" t="s">
        <v>43</v>
      </c>
      <c r="N24" s="574">
        <v>40885</v>
      </c>
      <c r="O24" s="580">
        <v>95.11</v>
      </c>
      <c r="P24" s="580">
        <v>95.11999999999999</v>
      </c>
      <c r="Q24" s="580">
        <v>95.13</v>
      </c>
      <c r="R24" s="547" t="s">
        <v>78</v>
      </c>
      <c r="S24" s="803">
        <v>40885</v>
      </c>
      <c r="T24" s="576">
        <v>95.11</v>
      </c>
      <c r="U24" s="576">
        <v>95.11999999999999</v>
      </c>
      <c r="V24" s="576">
        <v>95.13</v>
      </c>
      <c r="Y24" s="22" t="str">
        <v>H3</v>
      </c>
      <c r="Z24" s="213"/>
      <c r="AA24" s="213"/>
      <c r="AB24" s="213"/>
      <c r="AC24" s="213"/>
      <c r="AD24" s="213"/>
      <c r="AE24" s="58">
        <f t="array" ref="AE24:AF24">IF(AND(T29&lt;&gt;0,U29&lt;&gt;0),T29:U29,V29-V28+AH23)</f>
        <v>94.78</v>
      </c>
      <c r="AF24" s="58">
        <v>94.79</v>
      </c>
      <c r="AG24" s="10"/>
      <c r="AH24" s="72">
        <f t="shared" si="36"/>
        <v>94.784999999999997</v>
      </c>
      <c r="AI24" s="30">
        <f t="shared" si="37"/>
        <v>5.2150000000000034</v>
      </c>
      <c r="AJ24" s="1"/>
      <c r="AK24" s="77"/>
      <c r="AL24" s="22" t="str">
        <f t="shared" si="38"/>
        <v>H3</v>
      </c>
      <c r="AM24" s="213"/>
      <c r="AN24" s="213"/>
      <c r="AO24" s="213"/>
      <c r="AP24" s="213"/>
      <c r="AQ24" s="213"/>
      <c r="AR24" s="62">
        <f>IF(ISNUMBER(AT24),AT24,_xll.qFuturesConvexityAdjustment(AH24,Today,CS27,CX27,"SFE"))</f>
        <v>1.2985477311719507</v>
      </c>
      <c r="AT24" s="10"/>
      <c r="AU24" s="30">
        <f t="shared" si="39"/>
        <v>5.2020145226882839</v>
      </c>
      <c r="AV24" s="4"/>
      <c r="AW24" s="80"/>
      <c r="BI24" s="84"/>
      <c r="BJ24" s="61" t="str">
        <f t="shared" si="41"/>
        <v>Jan</v>
      </c>
      <c r="BK24" s="567"/>
      <c r="BL24" s="567"/>
      <c r="BM24" s="567"/>
      <c r="BN24" s="567"/>
      <c r="BO24" s="567"/>
      <c r="BP24" s="64">
        <f t="array" ref="BP24:BQ24">IF(AND(T38&lt;&gt;0,U38&lt;&gt;0),T38:U38,V38-V37+100-BS23)</f>
        <v>95.304999999999993</v>
      </c>
      <c r="BQ24" s="64">
        <v>95.334999999999994</v>
      </c>
      <c r="BR24" s="10"/>
      <c r="BS24" s="30">
        <f t="shared" si="42"/>
        <v>4.6800000000000068</v>
      </c>
      <c r="BT24" s="52"/>
      <c r="BU24" s="5"/>
      <c r="BW24" s="5"/>
      <c r="BX24" s="287" t="s">
        <v>17</v>
      </c>
      <c r="BY24" s="237">
        <v>15.050685771569484</v>
      </c>
      <c r="BZ24" s="237">
        <v>6.3115779042065583</v>
      </c>
      <c r="CA24" s="237">
        <v>3.5</v>
      </c>
      <c r="CJ24" s="788" t="str">
        <v>M2</v>
      </c>
      <c r="CL24" s="304" t="str">
        <f t="shared" si="44"/>
        <v>1YBA95000F2</v>
      </c>
      <c r="CP24" s="201">
        <v>0.24000000000000002</v>
      </c>
      <c r="CQ24" s="798">
        <f t="shared" si="45"/>
        <v>5</v>
      </c>
      <c r="CR24" s="792">
        <f t="shared" si="46"/>
        <v>24.060015919036232</v>
      </c>
      <c r="CS24" s="804">
        <f>MAX(_xll.qDateNext(S26,"-4B",,"AUD"),Today)</f>
        <v>41061</v>
      </c>
      <c r="CU24" s="799">
        <f t="shared" si="47"/>
        <v>95</v>
      </c>
      <c r="CV24" s="800">
        <f>IF(ISNUMBER(CP24),CP24,CV25)</f>
        <v>0.24000000000000002</v>
      </c>
      <c r="CW24" s="800">
        <f t="shared" si="48"/>
        <v>19.950111488505918</v>
      </c>
      <c r="CX24" s="17">
        <f t="shared" si="49"/>
        <v>1.0044881134462722</v>
      </c>
      <c r="DA24" s="34" t="s">
        <v>1</v>
      </c>
      <c r="DB24" s="201">
        <v>4.4000000000000004</v>
      </c>
      <c r="DC24" s="201">
        <v>5.3</v>
      </c>
      <c r="DD24" s="201">
        <v>5.5</v>
      </c>
      <c r="DE24" s="201">
        <v>5.5</v>
      </c>
      <c r="DF24" s="201">
        <v>5.45</v>
      </c>
      <c r="DG24" s="201">
        <v>5.35</v>
      </c>
      <c r="DH24" s="201">
        <v>5.25</v>
      </c>
      <c r="DI24" s="201">
        <f t="shared" si="51"/>
        <v>5.25</v>
      </c>
      <c r="DJ24" s="32"/>
      <c r="DK24" s="32"/>
      <c r="DL24" s="32"/>
      <c r="DM24" s="32"/>
      <c r="DN24" s="32"/>
      <c r="DO24" s="32"/>
      <c r="DP24" s="32"/>
      <c r="DQ24" s="32"/>
      <c r="EI24" s="516">
        <v>40543</v>
      </c>
      <c r="EJ24" s="517">
        <v>174</v>
      </c>
      <c r="EM24" s="161" t="s">
        <v>725</v>
      </c>
      <c r="EV24" s="205">
        <v>40633</v>
      </c>
      <c r="EW24" s="216">
        <f>IF(EV24=CPI0_DATE,1,IF(EV24&lt;CPI0_DATE,EW25/EY24*EY25,EXP(_xll.qInterp(EX24,$ER$10:$ER$21,$ES$10:$ES$21))))</f>
        <v>1</v>
      </c>
      <c r="EX24" s="183">
        <f t="shared" si="0"/>
        <v>0</v>
      </c>
      <c r="EY24" s="175">
        <f t="shared" si="1"/>
        <v>176.699997</v>
      </c>
      <c r="EZ24" s="179">
        <f t="shared" si="2"/>
        <v>176.699997</v>
      </c>
      <c r="FA24" s="177">
        <f t="shared" si="4"/>
        <v>1.5517224137931107</v>
      </c>
      <c r="FB24" s="177">
        <f t="shared" si="5"/>
        <v>0.98095612843122071</v>
      </c>
      <c r="FC24" s="177">
        <f t="shared" si="25"/>
        <v>3.3333315789473739</v>
      </c>
      <c r="FE24" s="170"/>
    </row>
    <row r="25" spans="1:162">
      <c r="F25" s="547" t="str">
        <f>_xll.qFuturesDateToCode(_xll.qFuturesCodeToDate(F24,Today)+92)</f>
        <v>H2</v>
      </c>
      <c r="G25" s="828" t="str">
        <v>/YBAH2</v>
      </c>
      <c r="I25" s="573" t="s">
        <v>44</v>
      </c>
      <c r="N25" s="574">
        <v>40976</v>
      </c>
      <c r="O25" s="580">
        <v>95.05</v>
      </c>
      <c r="P25" s="580">
        <v>95.06</v>
      </c>
      <c r="Q25" s="580">
        <v>95.07</v>
      </c>
      <c r="R25" s="547" t="s">
        <v>78</v>
      </c>
      <c r="S25" s="803">
        <v>40976</v>
      </c>
      <c r="T25" s="576">
        <v>95.05</v>
      </c>
      <c r="U25" s="576">
        <v>95.06</v>
      </c>
      <c r="V25" s="576">
        <v>95.07</v>
      </c>
      <c r="Y25" s="22" t="str">
        <v>M3</v>
      </c>
      <c r="Z25" s="213"/>
      <c r="AA25" s="213"/>
      <c r="AB25" s="213"/>
      <c r="AC25" s="213"/>
      <c r="AD25" s="213"/>
      <c r="AE25" s="58">
        <f t="array" ref="AE25:AF25">IF(AND(T30&lt;&gt;0,U30&lt;&gt;0),T30:U30,V30-V29+AH24)</f>
        <v>94.710000000000008</v>
      </c>
      <c r="AF25" s="58">
        <v>94.73</v>
      </c>
      <c r="AG25" s="10"/>
      <c r="AH25" s="72">
        <f t="shared" si="36"/>
        <v>94.72</v>
      </c>
      <c r="AI25" s="30">
        <f t="shared" si="37"/>
        <v>5.2800000000000011</v>
      </c>
      <c r="AJ25" s="1"/>
      <c r="AK25" s="77"/>
      <c r="AL25" s="22" t="str">
        <f t="shared" si="38"/>
        <v>M3</v>
      </c>
      <c r="AM25" s="213"/>
      <c r="AN25" s="213"/>
      <c r="AO25" s="213"/>
      <c r="AP25" s="213"/>
      <c r="AQ25" s="213"/>
      <c r="AR25" s="62">
        <f>IF(ISNUMBER(AT25),AT25,_xll.qFuturesConvexityAdjustment(AH25,Today,CS28,CX28,"SFE"))</f>
        <v>1.7832707504864764</v>
      </c>
      <c r="AT25" s="10"/>
      <c r="AU25" s="30">
        <f t="shared" si="39"/>
        <v>5.2621672924951364</v>
      </c>
      <c r="AW25" s="77"/>
      <c r="BH25" s="8"/>
      <c r="BI25" s="82"/>
      <c r="BJ25" s="61" t="str">
        <f t="shared" si="41"/>
        <v>Feb</v>
      </c>
      <c r="BK25" s="567"/>
      <c r="BL25" s="567"/>
      <c r="BM25" s="567"/>
      <c r="BN25" s="567"/>
      <c r="BO25" s="567"/>
      <c r="BP25" s="64">
        <f t="array" ref="BP25:BQ25">IF(AND(T39&lt;&gt;0,U39&lt;&gt;0),T39:U39,V39-V38+100-BS24)</f>
        <v>95.304999999999993</v>
      </c>
      <c r="BQ25" s="64">
        <v>95.33</v>
      </c>
      <c r="BR25" s="10"/>
      <c r="BS25" s="30">
        <f t="shared" si="42"/>
        <v>4.6825000000000045</v>
      </c>
      <c r="BT25" s="52"/>
      <c r="BU25" s="5"/>
      <c r="BW25" s="5"/>
      <c r="BX25" s="287" t="s">
        <v>18</v>
      </c>
      <c r="BY25" s="237">
        <v>13.492197707483365</v>
      </c>
      <c r="BZ25" s="237">
        <v>5.6580183934607655</v>
      </c>
      <c r="CA25" s="237">
        <v>3.25</v>
      </c>
      <c r="CJ25" s="788" t="str">
        <v>U2</v>
      </c>
      <c r="CL25" s="304" t="str">
        <f t="shared" si="44"/>
        <v>1YBA94875I2</v>
      </c>
      <c r="CP25" s="201">
        <v>0.24000000000000002</v>
      </c>
      <c r="CQ25" s="798">
        <f t="shared" si="45"/>
        <v>5.125</v>
      </c>
      <c r="CR25" s="792">
        <f t="shared" si="46"/>
        <v>24.045371896354482</v>
      </c>
      <c r="CS25" s="804">
        <f>MAX(_xll.qDateNext(S27,"-4B",,"AUD"),Today)</f>
        <v>41159</v>
      </c>
      <c r="CU25" s="799">
        <f t="shared" si="47"/>
        <v>94.875</v>
      </c>
      <c r="CV25" s="800">
        <f>IF(ISNUMBER(CP25),CP25,CV24)</f>
        <v>0.24000000000000002</v>
      </c>
      <c r="CW25" s="800">
        <f t="shared" si="48"/>
        <v>19.475377005827355</v>
      </c>
      <c r="CX25" s="17">
        <f t="shared" si="49"/>
        <v>0.99324422729719397</v>
      </c>
      <c r="DA25" s="115" t="s">
        <v>2</v>
      </c>
      <c r="DB25" s="201">
        <v>4.75</v>
      </c>
      <c r="DC25" s="201">
        <v>5.55</v>
      </c>
      <c r="DD25" s="201">
        <v>5.75</v>
      </c>
      <c r="DE25" s="201">
        <v>5.6499999999999995</v>
      </c>
      <c r="DF25" s="201">
        <v>5.56</v>
      </c>
      <c r="DG25" s="201">
        <v>5.4</v>
      </c>
      <c r="DH25" s="201">
        <v>5.3</v>
      </c>
      <c r="DI25" s="201">
        <f t="shared" si="51"/>
        <v>5.3</v>
      </c>
      <c r="DJ25" s="32"/>
      <c r="DK25" s="32"/>
      <c r="DL25" s="32"/>
      <c r="DM25" s="32"/>
      <c r="DN25" s="32"/>
      <c r="DO25" s="32"/>
      <c r="DP25" s="32"/>
      <c r="DQ25" s="32"/>
      <c r="EI25" s="516">
        <v>40633</v>
      </c>
      <c r="EJ25" s="517">
        <v>176.699997</v>
      </c>
      <c r="EV25" s="205">
        <f>DATE(YEAR(EV24),MONTH(EV24)+4,1)-1</f>
        <v>40724</v>
      </c>
      <c r="EW25" s="216">
        <f>IF(EV25=CPI0_DATE,1,IF(EV25&lt;CPI0_DATE,EW26/EY25*EY26,EXP(_xll.qInterp(EX25,$ER$10:$ER$21,$ES$10:$ES$21))))</f>
        <v>0.99311998466478835</v>
      </c>
      <c r="EX25" s="183">
        <f t="shared" si="0"/>
        <v>0.25</v>
      </c>
      <c r="EY25" s="175">
        <f t="shared" si="1"/>
        <v>0</v>
      </c>
      <c r="EZ25" s="179">
        <f t="shared" si="2"/>
        <v>177.92411765799099</v>
      </c>
      <c r="FA25" s="177">
        <f t="shared" si="4"/>
        <v>0.69276778651614634</v>
      </c>
      <c r="FB25" s="177">
        <f t="shared" si="5"/>
        <v>1.1276200166640771</v>
      </c>
      <c r="FC25" s="177">
        <f t="shared" si="25"/>
        <v>3.3841437855562706</v>
      </c>
    </row>
    <row r="26" spans="1:162">
      <c r="F26" s="547" t="str">
        <f>_xll.qFuturesDateToCode(_xll.qFuturesCodeToDate(F25,Today)+92)</f>
        <v>M2</v>
      </c>
      <c r="G26" s="828" t="str">
        <v>/YBAM2</v>
      </c>
      <c r="I26" s="573" t="s">
        <v>522</v>
      </c>
      <c r="N26" s="574">
        <v>41067</v>
      </c>
      <c r="O26" s="580">
        <v>94.960000000000008</v>
      </c>
      <c r="P26" s="580">
        <v>94.97</v>
      </c>
      <c r="Q26" s="580">
        <v>94.990000000000009</v>
      </c>
      <c r="R26" s="547" t="s">
        <v>78</v>
      </c>
      <c r="S26" s="803">
        <v>41067</v>
      </c>
      <c r="T26" s="576">
        <v>94.960000000000008</v>
      </c>
      <c r="U26" s="576">
        <v>94.97</v>
      </c>
      <c r="V26" s="576">
        <v>94.990000000000009</v>
      </c>
      <c r="AH26" s="9"/>
      <c r="AJ26" s="1"/>
      <c r="AK26" s="77"/>
      <c r="AW26" s="77"/>
      <c r="AX26" s="16"/>
      <c r="AY26" s="560"/>
      <c r="AZ26" s="560"/>
      <c r="BA26" s="560"/>
      <c r="BB26" s="560"/>
      <c r="BC26" s="560"/>
      <c r="BD26" s="3"/>
      <c r="BH26" s="8"/>
      <c r="BI26" s="82"/>
      <c r="BJ26" s="25"/>
      <c r="BK26" s="550"/>
      <c r="BL26" s="550"/>
      <c r="BM26" s="550"/>
      <c r="BN26" s="550"/>
      <c r="BO26" s="550"/>
      <c r="BP26" s="15"/>
      <c r="BQ26" s="1"/>
      <c r="BR26" s="15"/>
      <c r="BT26" s="52"/>
      <c r="BU26" s="5"/>
      <c r="BW26" s="5"/>
      <c r="BX26" s="287" t="s">
        <v>19</v>
      </c>
      <c r="BY26" s="237">
        <v>12.456675936504293</v>
      </c>
      <c r="BZ26" s="237">
        <v>5.2237673282114789</v>
      </c>
      <c r="CA26" s="237">
        <v>2.9999999999999996</v>
      </c>
      <c r="CJ26" s="788" t="str">
        <v>Z2</v>
      </c>
      <c r="CL26" s="304" t="str">
        <f t="shared" si="44"/>
        <v>1YBA94875L2</v>
      </c>
      <c r="CP26" s="201">
        <v>0.24000000000000002</v>
      </c>
      <c r="CQ26" s="798">
        <f t="shared" si="45"/>
        <v>5.125</v>
      </c>
      <c r="CR26" s="792">
        <f t="shared" si="46"/>
        <v>24.045371896354482</v>
      </c>
      <c r="CS26" s="804">
        <f>MAX(_xll.qDateNext(S28,"-4B",,"AUD"),Today)</f>
        <v>41250</v>
      </c>
      <c r="CU26" s="799">
        <f t="shared" si="47"/>
        <v>94.875</v>
      </c>
      <c r="CV26" s="800">
        <f>IF(ISNUMBER(CP26),CP26,CV25)</f>
        <v>0.24000000000000002</v>
      </c>
      <c r="CW26" s="800">
        <f t="shared" si="48"/>
        <v>19.475377005827355</v>
      </c>
      <c r="CX26" s="17">
        <f t="shared" si="49"/>
        <v>1.0049294535006907</v>
      </c>
      <c r="DA26" s="115" t="s">
        <v>5</v>
      </c>
      <c r="DB26" s="201">
        <v>5.2</v>
      </c>
      <c r="DC26" s="201">
        <v>5.8</v>
      </c>
      <c r="DD26" s="201">
        <v>5.85</v>
      </c>
      <c r="DE26" s="201">
        <v>5.75</v>
      </c>
      <c r="DF26" s="201">
        <v>5.6199999999999992</v>
      </c>
      <c r="DG26" s="201">
        <v>5.4700000000000006</v>
      </c>
      <c r="DH26" s="201">
        <v>5.35</v>
      </c>
      <c r="DI26" s="201">
        <f t="shared" si="51"/>
        <v>5.35</v>
      </c>
      <c r="DJ26" s="32"/>
      <c r="DK26" s="32"/>
      <c r="DL26" s="32"/>
      <c r="DM26" s="32"/>
      <c r="DN26" s="32"/>
      <c r="DO26" s="32"/>
      <c r="DP26" s="32"/>
      <c r="DQ26" s="32"/>
      <c r="EV26" s="205">
        <f t="shared" ref="EV26:EV89" si="52">DATE(YEAR(EV25),MONTH(EV25)+4,1)-1</f>
        <v>40816</v>
      </c>
      <c r="EW26" s="216">
        <f>IF(EV26=CPI0_DATE,1,IF(EV26&lt;CPI0_DATE,EW27/EY26*EY27,EXP(_xll.qInterp(EX26,$ER$10:$ER$21,$ES$10:$ES$21))))</f>
        <v>0.9862873039405895</v>
      </c>
      <c r="EX26" s="183">
        <f t="shared" si="0"/>
        <v>0.5</v>
      </c>
      <c r="EY26" s="175">
        <f t="shared" si="1"/>
        <v>0</v>
      </c>
      <c r="EZ26" s="179">
        <f t="shared" si="2"/>
        <v>179.15671862956859</v>
      </c>
      <c r="FA26" s="177">
        <f t="shared" si="4"/>
        <v>0.69276778651612414</v>
      </c>
      <c r="FB26" s="177">
        <f t="shared" si="5"/>
        <v>0.69516742254630559</v>
      </c>
      <c r="FC26" s="177">
        <f t="shared" si="25"/>
        <v>3.3795242516923674</v>
      </c>
    </row>
    <row r="27" spans="1:162">
      <c r="F27" s="547" t="str">
        <f>_xll.qFuturesDateToCode(_xll.qFuturesCodeToDate(F26,Today)+92)</f>
        <v>U2</v>
      </c>
      <c r="G27" s="828" t="str">
        <v>/YBAU2</v>
      </c>
      <c r="N27" s="574">
        <v>41165</v>
      </c>
      <c r="O27" s="580">
        <v>94.89</v>
      </c>
      <c r="P27" s="580">
        <v>94.910000000000011</v>
      </c>
      <c r="Q27" s="580">
        <v>94.92</v>
      </c>
      <c r="R27" s="547" t="s">
        <v>78</v>
      </c>
      <c r="S27" s="803">
        <v>41165</v>
      </c>
      <c r="T27" s="576">
        <v>94.89</v>
      </c>
      <c r="U27" s="576">
        <v>94.910000000000011</v>
      </c>
      <c r="V27" s="576">
        <v>94.92</v>
      </c>
      <c r="Y27" s="34" t="s">
        <v>23</v>
      </c>
      <c r="Z27" s="197"/>
      <c r="AA27" s="197"/>
      <c r="AB27" s="197"/>
      <c r="AC27" s="197"/>
      <c r="AD27" s="197"/>
      <c r="AE27" s="35"/>
      <c r="AF27" s="35"/>
      <c r="AG27" s="35"/>
      <c r="AH27" s="36" t="s">
        <v>28</v>
      </c>
      <c r="AI27" s="591" t="s">
        <v>24</v>
      </c>
      <c r="AJ27" s="18"/>
      <c r="AK27" s="76"/>
      <c r="AL27" s="33" t="s">
        <v>33</v>
      </c>
      <c r="AM27" s="561"/>
      <c r="AN27" s="561"/>
      <c r="AO27" s="561"/>
      <c r="AP27" s="554" t="str">
        <f ca="1">_xll.RtUpdate("IDN",AN28:AN38,AP28:AP29,AR28,,RTMODE_RATES)</f>
        <v>Updated at 10:13:26</v>
      </c>
      <c r="AQ27" s="561"/>
      <c r="AR27" s="33"/>
      <c r="AS27" s="39"/>
      <c r="AT27" s="39"/>
      <c r="AU27" s="38"/>
      <c r="AV27" s="18"/>
      <c r="AW27" s="76"/>
      <c r="AX27" s="33" t="s">
        <v>34</v>
      </c>
      <c r="AY27" s="561"/>
      <c r="AZ27" s="561"/>
      <c r="BA27" s="561"/>
      <c r="BB27" s="554" t="str">
        <f ca="1">_xll.RtUpdate("IDN",AZ28:AZ34,BB28:BB29,BD28,,RTMODE_RATES)</f>
        <v>Updated at 10:13:26</v>
      </c>
      <c r="BC27" s="561"/>
      <c r="BD27" s="33"/>
      <c r="BE27" s="39"/>
      <c r="BF27" s="39"/>
      <c r="BG27" s="38"/>
      <c r="BH27" s="7"/>
      <c r="BI27" s="86"/>
      <c r="BJ27" s="33" t="s">
        <v>36</v>
      </c>
      <c r="BK27" s="551"/>
      <c r="BL27" s="551"/>
      <c r="BM27" s="551"/>
      <c r="BN27" s="554" t="str">
        <f ca="1">_xll.RtUpdate("IDN",BL28:BL37,BN28:BN29,BP28,,RTMODE_RATES)</f>
        <v>Updated at 10:13:27</v>
      </c>
      <c r="BO27" s="551"/>
      <c r="BP27" s="33"/>
      <c r="BQ27" s="35"/>
      <c r="BR27" s="35"/>
      <c r="BS27" s="38"/>
      <c r="BT27" s="53"/>
      <c r="BU27" s="7"/>
      <c r="BV27" s="535"/>
      <c r="BW27" s="7"/>
      <c r="BX27" s="287" t="s">
        <v>27</v>
      </c>
      <c r="BY27" s="237">
        <v>11.109840069164322</v>
      </c>
      <c r="BZ27" s="237">
        <v>4.6589651902947162</v>
      </c>
      <c r="CA27" s="237">
        <v>2.6749067524089418</v>
      </c>
      <c r="CJ27" s="788" t="str">
        <v>H3</v>
      </c>
      <c r="CL27" s="304" t="str">
        <f t="shared" si="44"/>
        <v>1YBA94750C3</v>
      </c>
      <c r="CP27" s="201" t="s">
        <v>829</v>
      </c>
      <c r="CQ27" s="798">
        <f t="shared" si="45"/>
        <v>5.25</v>
      </c>
      <c r="CR27" s="792">
        <f t="shared" si="46"/>
        <v>24.030741239083</v>
      </c>
      <c r="CS27" s="804">
        <f>MAX(_xll.qDateNext(S29,"-4B",,"AUD"),Today)</f>
        <v>41334</v>
      </c>
      <c r="CU27" s="799">
        <f t="shared" si="47"/>
        <v>94.75</v>
      </c>
      <c r="CV27" s="800">
        <f>IF(ISNUMBER(CP27),CP27,CV26)</f>
        <v>0.24000000000000002</v>
      </c>
      <c r="CW27" s="800">
        <f t="shared" si="48"/>
        <v>19.023252449631951</v>
      </c>
      <c r="CX27" s="17">
        <f t="shared" si="49"/>
        <v>0.99206261524830697</v>
      </c>
      <c r="DA27" s="115" t="s">
        <v>25</v>
      </c>
      <c r="DB27" s="201">
        <v>6</v>
      </c>
      <c r="DC27" s="201">
        <v>6.1099999999999994</v>
      </c>
      <c r="DD27" s="201">
        <v>6.1</v>
      </c>
      <c r="DE27" s="201">
        <v>5.95</v>
      </c>
      <c r="DF27" s="201">
        <v>5.8</v>
      </c>
      <c r="DG27" s="201">
        <v>5.6</v>
      </c>
      <c r="DH27" s="201">
        <v>5.4</v>
      </c>
      <c r="DI27" s="201">
        <f t="shared" si="51"/>
        <v>5.4</v>
      </c>
      <c r="DJ27" s="32"/>
      <c r="DK27" s="32"/>
      <c r="DL27" s="32"/>
      <c r="DM27" s="32"/>
      <c r="DN27" s="32"/>
      <c r="DO27" s="32"/>
      <c r="DP27" s="32"/>
      <c r="DQ27" s="32"/>
      <c r="ED27" s="195" t="s">
        <v>215</v>
      </c>
      <c r="EF27" s="195" t="s">
        <v>252</v>
      </c>
      <c r="EG27" s="195" t="s">
        <v>251</v>
      </c>
      <c r="EV27" s="205">
        <f t="shared" si="52"/>
        <v>40908</v>
      </c>
      <c r="EW27" s="216">
        <f>IF(EV27=CPI0_DATE,1,IF(EV27&lt;CPI0_DATE,EW28/EY27*EY28,EXP(_xll.qInterp(EX27,$ER$10:$ER$21,$ES$10:$ES$21))))</f>
        <v>0.97950163216455377</v>
      </c>
      <c r="EX27" s="183">
        <f t="shared" si="0"/>
        <v>0.75</v>
      </c>
      <c r="EY27" s="175">
        <f t="shared" si="1"/>
        <v>0</v>
      </c>
      <c r="EZ27" s="179">
        <f t="shared" si="2"/>
        <v>180.39785866361359</v>
      </c>
      <c r="FA27" s="177">
        <f t="shared" si="4"/>
        <v>0.69276778651614634</v>
      </c>
      <c r="FB27" s="177">
        <f t="shared" si="5"/>
        <v>0.69516742254629449</v>
      </c>
      <c r="FC27" s="177">
        <f t="shared" si="25"/>
        <v>3.6769302664446002</v>
      </c>
    </row>
    <row r="28" spans="1:162" s="7" customFormat="1">
      <c r="A28" s="165"/>
      <c r="B28" s="165"/>
      <c r="C28" s="165"/>
      <c r="D28" s="547"/>
      <c r="E28" s="547"/>
      <c r="F28" s="547" t="str">
        <f>_xll.qFuturesDateToCode(_xll.qFuturesCodeToDate(F27,Today)+92)</f>
        <v>Z2</v>
      </c>
      <c r="G28" s="828" t="str">
        <v>/YBAZ2</v>
      </c>
      <c r="H28" s="547"/>
      <c r="I28" s="547"/>
      <c r="J28" s="547"/>
      <c r="K28" s="547"/>
      <c r="L28" s="547"/>
      <c r="M28" s="547"/>
      <c r="N28" s="574">
        <v>41256</v>
      </c>
      <c r="O28" s="580">
        <v>94.83</v>
      </c>
      <c r="P28" s="580">
        <v>94.85</v>
      </c>
      <c r="Q28" s="580">
        <v>94.86</v>
      </c>
      <c r="R28" s="547" t="s">
        <v>78</v>
      </c>
      <c r="S28" s="803">
        <v>41256</v>
      </c>
      <c r="T28" s="576">
        <v>94.83</v>
      </c>
      <c r="U28" s="576">
        <v>94.85</v>
      </c>
      <c r="V28" s="576">
        <v>94.86</v>
      </c>
      <c r="W28" s="547"/>
      <c r="X28" s="6"/>
      <c r="Y28" s="21" t="s">
        <v>103</v>
      </c>
      <c r="Z28" s="565"/>
      <c r="AA28" s="565"/>
      <c r="AB28" s="565"/>
      <c r="AC28" s="565"/>
      <c r="AD28" s="565"/>
      <c r="AE28" s="58">
        <f t="shared" ref="AE28:AE43" si="53">AVERAGE(AE51,AG51,AI51)</f>
        <v>4.9426666666666668</v>
      </c>
      <c r="AF28" s="58">
        <f t="shared" ref="AF28:AF43" si="54">AVERAGE(AF51,AH51,AJ51)</f>
        <v>4.9059999999999997</v>
      </c>
      <c r="AG28" s="10"/>
      <c r="AH28" s="9"/>
      <c r="AI28" s="30">
        <f>IF(ISNUMBER(AG28),AG28,AVERAGE(AE28:AF28))</f>
        <v>4.9243333333333332</v>
      </c>
      <c r="AJ28" s="1"/>
      <c r="AK28" s="77"/>
      <c r="AL28" s="19" t="s">
        <v>25</v>
      </c>
      <c r="AM28" s="552"/>
      <c r="AN28" s="553" t="str">
        <f t="shared" ref="AN28:AN38" si="55">"AUBR6AB"&amp;AL28&amp;"=ICAA"</f>
        <v>AUBR6AB1Y=ICAA</v>
      </c>
      <c r="AO28" s="552"/>
      <c r="AP28" s="553" t="s">
        <v>43</v>
      </c>
      <c r="AQ28" s="552"/>
      <c r="AR28" s="58">
        <v>8.5</v>
      </c>
      <c r="AS28" s="58">
        <v>10.5</v>
      </c>
      <c r="AT28" s="661"/>
      <c r="AU28" s="17">
        <f t="shared" ref="AU28:AU32" si="56">IF(ISNUMBER(AT28),AT28,AVERAGE(AR28:AS28))</f>
        <v>9.5</v>
      </c>
      <c r="AV28" s="11"/>
      <c r="AW28" s="81"/>
      <c r="AX28" s="19" t="s">
        <v>25</v>
      </c>
      <c r="AY28" s="552"/>
      <c r="AZ28" s="553" t="str">
        <f t="shared" ref="AZ28:AZ34" si="57">"AUBR3AB"&amp;AX28&amp;"=ICAA"</f>
        <v>AUBR3AB1Y=ICAA</v>
      </c>
      <c r="BA28" s="552"/>
      <c r="BB28" s="553" t="s">
        <v>43</v>
      </c>
      <c r="BC28" s="552"/>
      <c r="BD28" s="58">
        <v>11</v>
      </c>
      <c r="BE28" s="58">
        <v>13</v>
      </c>
      <c r="BF28" s="10"/>
      <c r="BG28" s="17">
        <f t="shared" ref="BG28:BG32" si="58">IF(ISNUMBER(BF28),BF28,AVERAGE(BD28:BE28))</f>
        <v>12</v>
      </c>
      <c r="BH28" s="11"/>
      <c r="BI28" s="81"/>
      <c r="BJ28" s="19" t="s">
        <v>25</v>
      </c>
      <c r="BK28" s="552"/>
      <c r="BL28" s="553" t="str">
        <f>"AUDCR3B"&amp;BJ28&amp;"=ICAA"</f>
        <v>AUDCR3B1Y=ICAA</v>
      </c>
      <c r="BM28" s="552"/>
      <c r="BN28" s="553" t="s">
        <v>43</v>
      </c>
      <c r="BO28" s="552"/>
      <c r="BP28" s="58">
        <v>16.5</v>
      </c>
      <c r="BQ28" s="58">
        <v>21.5</v>
      </c>
      <c r="BR28" s="10"/>
      <c r="BS28" s="17">
        <f t="shared" ref="BS28:BS37" si="59">IF(ISNUMBER(BR28),BR28,AVERAGE(BP28:BQ28))</f>
        <v>19</v>
      </c>
      <c r="BT28" s="12"/>
      <c r="BU28" s="5"/>
      <c r="BV28" s="532"/>
      <c r="BW28" s="5"/>
      <c r="BX28" s="287"/>
      <c r="BY28" s="237"/>
      <c r="BZ28" s="239"/>
      <c r="CA28" s="239"/>
      <c r="CB28" s="239"/>
      <c r="CC28" s="287"/>
      <c r="CD28" s="219"/>
      <c r="CE28" s="55"/>
      <c r="CI28" s="5"/>
      <c r="CJ28" s="788" t="str">
        <v>M3</v>
      </c>
      <c r="CK28" s="783"/>
      <c r="CL28" s="304" t="str">
        <f t="shared" si="44"/>
        <v>1YBA94750F3</v>
      </c>
      <c r="CM28" s="783"/>
      <c r="CN28" s="783"/>
      <c r="CO28" s="783"/>
      <c r="CP28" s="201" t="s">
        <v>829</v>
      </c>
      <c r="CQ28" s="798">
        <f t="shared" si="45"/>
        <v>5.25</v>
      </c>
      <c r="CR28" s="792">
        <f t="shared" si="46"/>
        <v>24.030741239083</v>
      </c>
      <c r="CS28" s="804">
        <f>MAX(_xll.qDateNext(S30,"-4B",,"AUD"),Today)</f>
        <v>41432</v>
      </c>
      <c r="CT28" s="783"/>
      <c r="CU28" s="799">
        <f t="shared" si="47"/>
        <v>94.75</v>
      </c>
      <c r="CV28" s="800">
        <f>IF(ISNUMBER(CP28),CP28,CV27)</f>
        <v>0.24000000000000002</v>
      </c>
      <c r="CW28" s="800">
        <f t="shared" si="48"/>
        <v>19.023252449631951</v>
      </c>
      <c r="CX28" s="17">
        <f t="shared" si="49"/>
        <v>1.0044277293405672</v>
      </c>
      <c r="CY28" s="5"/>
      <c r="CZ28" s="5"/>
      <c r="DA28" s="115" t="s">
        <v>26</v>
      </c>
      <c r="DB28" s="201">
        <v>6.87</v>
      </c>
      <c r="DC28" s="201">
        <v>6.6</v>
      </c>
      <c r="DD28" s="201">
        <v>6.25</v>
      </c>
      <c r="DE28" s="201">
        <v>6</v>
      </c>
      <c r="DF28" s="201">
        <v>5.8</v>
      </c>
      <c r="DG28" s="201">
        <v>5.6</v>
      </c>
      <c r="DH28" s="201">
        <v>5.3</v>
      </c>
      <c r="DI28" s="201">
        <f t="shared" si="51"/>
        <v>5.3</v>
      </c>
      <c r="DJ28" s="32"/>
      <c r="DK28" s="32"/>
      <c r="DL28" s="32"/>
      <c r="DM28" s="32"/>
      <c r="DN28" s="32"/>
      <c r="DO28" s="32"/>
      <c r="DP28" s="32"/>
      <c r="DQ28" s="32"/>
      <c r="DR28" s="5"/>
      <c r="DS28" s="5"/>
      <c r="DT28" s="5"/>
      <c r="EC28" s="195"/>
      <c r="ED28" s="195"/>
      <c r="EE28" s="195" t="str">
        <f t="array" ref="EE28:EE36">{"1Y";"3Y";"5Y";"7Y";"10Y";"12Y";"15Y";"20Y";"30Y"}</f>
        <v>1Y</v>
      </c>
      <c r="EF28" s="195" t="str">
        <f t="array" ref="EF28:EF36">"AUILS"&amp;{"1Y";"3Y";"5Y";"7Y";"10Y";"12Y";"15Y";"20Y";"30Y"}&amp;"="</f>
        <v>AUILS1Y=</v>
      </c>
      <c r="EG28" s="195" t="s">
        <v>43</v>
      </c>
      <c r="EH28" s="195" t="str">
        <f ca="1">_xll.RtUpdate("IDN",EF28:EF36,EG28:EG29,EI28,,EE4)</f>
        <v>Updated at 10:13:27</v>
      </c>
      <c r="EI28" s="201">
        <v>2.75</v>
      </c>
      <c r="EJ28" s="201">
        <v>2.8499999999999996</v>
      </c>
      <c r="EK28" s="195"/>
      <c r="EM28" s="31"/>
      <c r="EN28" s="31"/>
      <c r="EO28" s="31"/>
      <c r="EP28" s="116"/>
      <c r="EQ28" s="167"/>
      <c r="ER28" s="164"/>
      <c r="ES28" s="164"/>
      <c r="ET28" s="31"/>
      <c r="EU28" s="166"/>
      <c r="EV28" s="205">
        <f t="shared" si="52"/>
        <v>40999</v>
      </c>
      <c r="EW28" s="216">
        <f>IF(EV28=CPI0_DATE,1,IF(EV28&lt;CPI0_DATE,EW29/EY28*EY29,EXP(_xll.qInterp(EX28,$ER$10:$ER$21,$ES$10:$ES$21))))</f>
        <v>0.97276264591439687</v>
      </c>
      <c r="EX28" s="183">
        <f t="shared" si="0"/>
        <v>1</v>
      </c>
      <c r="EY28" s="175">
        <f t="shared" si="1"/>
        <v>0</v>
      </c>
      <c r="EZ28" s="179">
        <f t="shared" si="2"/>
        <v>181.647596916</v>
      </c>
      <c r="FA28" s="177">
        <f t="shared" si="4"/>
        <v>0.69276778651612414</v>
      </c>
      <c r="FB28" s="177">
        <f t="shared" si="5"/>
        <v>0.69516742254630559</v>
      </c>
      <c r="FC28" s="177">
        <f t="shared" si="25"/>
        <v>2.8000000000000025</v>
      </c>
      <c r="FD28" s="166"/>
      <c r="FE28" s="166"/>
      <c r="FF28" s="166"/>
    </row>
    <row r="29" spans="1:162">
      <c r="F29" s="547" t="str">
        <f>_xll.qFuturesDateToCode(_xll.qFuturesCodeToDate(F28,Today)+92)</f>
        <v>H3</v>
      </c>
      <c r="G29" s="828" t="str">
        <v>/YBAH3</v>
      </c>
      <c r="N29" s="574">
        <v>41340</v>
      </c>
      <c r="O29" s="580">
        <v>94.78</v>
      </c>
      <c r="P29" s="580">
        <v>94.79</v>
      </c>
      <c r="Q29" s="580">
        <v>94.81</v>
      </c>
      <c r="R29" s="547" t="s">
        <v>78</v>
      </c>
      <c r="S29" s="803">
        <v>41340</v>
      </c>
      <c r="T29" s="576">
        <v>94.78</v>
      </c>
      <c r="U29" s="576">
        <v>94.79</v>
      </c>
      <c r="V29" s="576">
        <v>94.81</v>
      </c>
      <c r="Y29" s="21" t="s">
        <v>104</v>
      </c>
      <c r="Z29" s="565"/>
      <c r="AA29" s="565"/>
      <c r="AB29" s="565"/>
      <c r="AC29" s="565"/>
      <c r="AD29" s="565"/>
      <c r="AE29" s="58">
        <f t="shared" si="53"/>
        <v>23.833333333333332</v>
      </c>
      <c r="AF29" s="58">
        <f t="shared" si="54"/>
        <v>19.5</v>
      </c>
      <c r="AG29" s="10"/>
      <c r="AH29" s="3">
        <f t="shared" ref="AH29:AH43" si="60">IF(ISNUMBER(AG29),AG29,AVERAGE(AE29:AF29))</f>
        <v>21.666666666666664</v>
      </c>
      <c r="AI29" s="30">
        <f t="array" ref="AI29:AI32">$AI$5+AH29:AH32%</f>
        <v>5.0316666666666645</v>
      </c>
      <c r="AJ29" s="1"/>
      <c r="AK29" s="77"/>
      <c r="AL29" s="19" t="s">
        <v>26</v>
      </c>
      <c r="AN29" s="553" t="str">
        <f t="shared" si="55"/>
        <v>AUBR6AB2Y=ICAA</v>
      </c>
      <c r="AP29" s="553" t="s">
        <v>44</v>
      </c>
      <c r="AR29" s="58">
        <v>8.25</v>
      </c>
      <c r="AS29" s="58">
        <v>10.25</v>
      </c>
      <c r="AT29" s="661"/>
      <c r="AU29" s="17">
        <f t="shared" si="56"/>
        <v>9.25</v>
      </c>
      <c r="AV29" s="11"/>
      <c r="AW29" s="81"/>
      <c r="AX29" s="19" t="s">
        <v>26</v>
      </c>
      <c r="AY29" s="552"/>
      <c r="AZ29" s="553" t="str">
        <f t="shared" si="57"/>
        <v>AUBR3AB2Y=ICAA</v>
      </c>
      <c r="BA29" s="552"/>
      <c r="BB29" s="553" t="s">
        <v>44</v>
      </c>
      <c r="BC29" s="552"/>
      <c r="BD29" s="58">
        <v>11</v>
      </c>
      <c r="BE29" s="58">
        <v>13</v>
      </c>
      <c r="BF29" s="10"/>
      <c r="BG29" s="17">
        <f t="shared" si="58"/>
        <v>12</v>
      </c>
      <c r="BH29" s="11"/>
      <c r="BI29" s="81"/>
      <c r="BJ29" s="19" t="s">
        <v>26</v>
      </c>
      <c r="BK29" s="552"/>
      <c r="BL29" s="553" t="str">
        <f t="shared" ref="BL29:BL37" si="61">"AUDCR3B"&amp;BJ29&amp;"=ICAA"</f>
        <v>AUDCR3B2Y=ICAA</v>
      </c>
      <c r="BM29" s="552"/>
      <c r="BN29" s="553" t="s">
        <v>44</v>
      </c>
      <c r="BO29" s="552"/>
      <c r="BP29" s="58">
        <v>19</v>
      </c>
      <c r="BQ29" s="58">
        <v>24</v>
      </c>
      <c r="BR29" s="10"/>
      <c r="BS29" s="17">
        <f t="shared" si="59"/>
        <v>21.5</v>
      </c>
      <c r="BT29" s="12"/>
      <c r="BU29" s="5"/>
      <c r="BW29" s="5"/>
      <c r="DA29" s="115" t="s">
        <v>7</v>
      </c>
      <c r="DB29" s="201">
        <v>6.53</v>
      </c>
      <c r="DC29" s="201">
        <v>6.2</v>
      </c>
      <c r="DD29" s="201">
        <v>5.94</v>
      </c>
      <c r="DE29" s="201">
        <v>5.78</v>
      </c>
      <c r="DF29" s="201">
        <v>5.57</v>
      </c>
      <c r="DG29" s="201">
        <v>5.38</v>
      </c>
      <c r="DH29" s="201">
        <v>5.2</v>
      </c>
      <c r="DI29" s="201">
        <f t="shared" si="51"/>
        <v>5.2</v>
      </c>
      <c r="DJ29" s="32"/>
      <c r="DK29" s="32"/>
      <c r="DL29" s="32"/>
      <c r="DM29" s="32"/>
      <c r="DN29" s="32"/>
      <c r="DO29" s="32"/>
      <c r="DP29" s="32"/>
      <c r="DQ29" s="32"/>
      <c r="EE29" s="195" t="str">
        <v>3Y</v>
      </c>
      <c r="EF29" s="195" t="str">
        <v>AUILS3Y=</v>
      </c>
      <c r="EG29" s="195" t="s">
        <v>44</v>
      </c>
      <c r="EI29" s="201">
        <v>2.77</v>
      </c>
      <c r="EJ29" s="201">
        <v>2.8699999999999997</v>
      </c>
      <c r="EV29" s="205">
        <f t="shared" si="52"/>
        <v>41090</v>
      </c>
      <c r="EW29" s="216">
        <f>IF(EV29=CPI0_DATE,1,IF(EV29&lt;CPI0_DATE,EW30/EY29*EY30,EXP(_xll.qInterp(EX29,$ER$10:$ER$21,$ES$10:$ES$21))))</f>
        <v>0.96599955165636076</v>
      </c>
      <c r="EX29" s="183">
        <f t="shared" ref="EX29:EX56" si="62">ROUND((EV29-CPI0_DATE)/365/0.25,0)*0.25</f>
        <v>1.25</v>
      </c>
      <c r="EY29" s="175">
        <f t="shared" si="1"/>
        <v>0</v>
      </c>
      <c r="EZ29" s="179">
        <f t="shared" si="2"/>
        <v>182.91933645002172</v>
      </c>
      <c r="FA29" s="177">
        <f t="shared" si="4"/>
        <v>0.70011360216881702</v>
      </c>
      <c r="FB29" s="177">
        <f t="shared" si="5"/>
        <v>0.69886577509490344</v>
      </c>
      <c r="FC29" s="177">
        <f t="shared" si="25"/>
        <v>2.8074995440655393</v>
      </c>
    </row>
    <row r="30" spans="1:162">
      <c r="F30" s="547" t="str">
        <f>_xll.qFuturesDateToCode(_xll.qFuturesCodeToDate(F29,Today)+92)</f>
        <v>M3</v>
      </c>
      <c r="G30" s="828" t="str">
        <v>/YBAM3</v>
      </c>
      <c r="N30" s="574">
        <v>41438</v>
      </c>
      <c r="O30" s="580">
        <v>94.710000000000008</v>
      </c>
      <c r="P30" s="580">
        <v>94.73</v>
      </c>
      <c r="Q30" s="580">
        <v>94.78</v>
      </c>
      <c r="R30" s="547" t="s">
        <v>78</v>
      </c>
      <c r="S30" s="803">
        <v>41438</v>
      </c>
      <c r="T30" s="576">
        <v>94.710000000000008</v>
      </c>
      <c r="U30" s="576">
        <v>94.73</v>
      </c>
      <c r="V30" s="576">
        <v>94.78</v>
      </c>
      <c r="Y30" s="21" t="s">
        <v>105</v>
      </c>
      <c r="Z30" s="565"/>
      <c r="AA30" s="565"/>
      <c r="AB30" s="565"/>
      <c r="AC30" s="565"/>
      <c r="AD30" s="565"/>
      <c r="AE30" s="58">
        <f t="shared" si="53"/>
        <v>36</v>
      </c>
      <c r="AF30" s="58">
        <f t="shared" si="54"/>
        <v>31.666666666666668</v>
      </c>
      <c r="AG30" s="10"/>
      <c r="AH30" s="3">
        <f t="shared" si="60"/>
        <v>33.833333333333336</v>
      </c>
      <c r="AI30" s="30">
        <v>5.1533333333333307</v>
      </c>
      <c r="AJ30" s="1"/>
      <c r="AK30" s="77"/>
      <c r="AL30" s="19" t="s">
        <v>7</v>
      </c>
      <c r="AN30" s="553" t="str">
        <f t="shared" si="55"/>
        <v>AUBR6AB3Y=ICAA</v>
      </c>
      <c r="AR30" s="58">
        <v>7.75</v>
      </c>
      <c r="AS30" s="58">
        <v>9.75</v>
      </c>
      <c r="AT30" s="661"/>
      <c r="AU30" s="17">
        <f t="shared" si="56"/>
        <v>8.75</v>
      </c>
      <c r="AV30" s="11"/>
      <c r="AW30" s="81"/>
      <c r="AX30" s="19" t="s">
        <v>7</v>
      </c>
      <c r="AY30" s="552"/>
      <c r="AZ30" s="553" t="str">
        <f t="shared" si="57"/>
        <v>AUBR3AB3Y=ICAA</v>
      </c>
      <c r="BA30" s="552"/>
      <c r="BB30" s="552"/>
      <c r="BC30" s="552"/>
      <c r="BD30" s="58">
        <v>11</v>
      </c>
      <c r="BE30" s="58">
        <v>13</v>
      </c>
      <c r="BF30" s="10"/>
      <c r="BG30" s="17">
        <f t="shared" si="58"/>
        <v>12</v>
      </c>
      <c r="BH30" s="11"/>
      <c r="BI30" s="81"/>
      <c r="BJ30" s="19" t="s">
        <v>7</v>
      </c>
      <c r="BK30" s="552"/>
      <c r="BL30" s="553" t="str">
        <f t="shared" si="61"/>
        <v>AUDCR3B3Y=ICAA</v>
      </c>
      <c r="BM30" s="552"/>
      <c r="BN30" s="552"/>
      <c r="BO30" s="552"/>
      <c r="BP30" s="58">
        <v>21</v>
      </c>
      <c r="BQ30" s="58">
        <v>26</v>
      </c>
      <c r="BR30" s="10"/>
      <c r="BS30" s="17">
        <f t="shared" si="59"/>
        <v>23.5</v>
      </c>
      <c r="BT30" s="12"/>
      <c r="BU30" s="5"/>
      <c r="BW30" s="5"/>
      <c r="CJ30" s="6" t="s">
        <v>830</v>
      </c>
      <c r="DA30" s="115" t="s">
        <v>8</v>
      </c>
      <c r="DB30" s="201">
        <v>6.1</v>
      </c>
      <c r="DC30" s="201">
        <v>5.95</v>
      </c>
      <c r="DD30" s="201">
        <v>5.76</v>
      </c>
      <c r="DE30" s="201">
        <v>5.55</v>
      </c>
      <c r="DF30" s="201">
        <v>5.4</v>
      </c>
      <c r="DG30" s="201">
        <v>5.26</v>
      </c>
      <c r="DH30" s="201">
        <v>5.13</v>
      </c>
      <c r="DI30" s="201">
        <f t="shared" si="51"/>
        <v>5.13</v>
      </c>
      <c r="DJ30" s="32"/>
      <c r="DK30" s="32"/>
      <c r="DL30" s="32"/>
      <c r="DM30" s="32"/>
      <c r="DN30" s="32"/>
      <c r="DO30" s="32"/>
      <c r="DP30" s="32"/>
      <c r="DQ30" s="32"/>
      <c r="EE30" s="195" t="str">
        <v>5Y</v>
      </c>
      <c r="EF30" s="195" t="str">
        <v>AUILS5Y=</v>
      </c>
      <c r="EI30" s="201">
        <v>2.8</v>
      </c>
      <c r="EJ30" s="201">
        <v>2.9</v>
      </c>
      <c r="EM30" s="166"/>
      <c r="EN30" s="166"/>
      <c r="EO30" s="166"/>
      <c r="EP30" s="117"/>
      <c r="ER30" s="165"/>
      <c r="ES30" s="165"/>
      <c r="ET30" s="166"/>
      <c r="EV30" s="205">
        <f t="shared" si="52"/>
        <v>41182</v>
      </c>
      <c r="EW30" s="216">
        <f>IF(EV30=CPI0_DATE,1,IF(EV30&lt;CPI0_DATE,EW31/EY30*EY31,EXP(_xll.qInterp(EX30,$ER$10:$ER$21,$ES$10:$ES$21))))</f>
        <v>0.95928347754669807</v>
      </c>
      <c r="EX30" s="183">
        <f t="shared" si="62"/>
        <v>1.5</v>
      </c>
      <c r="EY30" s="175">
        <f t="shared" si="1"/>
        <v>0</v>
      </c>
      <c r="EZ30" s="179">
        <f t="shared" ref="EZ30:EZ61" si="63">IF(EY30&gt;0,EY30,EZ29*EW29/EW30)</f>
        <v>184.19997960550532</v>
      </c>
      <c r="FA30" s="177">
        <f t="shared" si="4"/>
        <v>0.70011360216883922</v>
      </c>
      <c r="FB30" s="177">
        <f t="shared" si="5"/>
        <v>0.70256439744854626</v>
      </c>
      <c r="FC30" s="177">
        <f t="shared" si="25"/>
        <v>2.8149996352435869</v>
      </c>
    </row>
    <row r="31" spans="1:162">
      <c r="N31" s="574"/>
      <c r="O31" s="580"/>
      <c r="P31" s="580"/>
      <c r="Q31" s="580"/>
      <c r="R31" s="547" t="s">
        <v>78</v>
      </c>
      <c r="S31" s="577"/>
      <c r="T31" s="576"/>
      <c r="U31" s="576"/>
      <c r="V31" s="576"/>
      <c r="Y31" s="21" t="s">
        <v>8</v>
      </c>
      <c r="Z31" s="565"/>
      <c r="AA31" s="565"/>
      <c r="AB31" s="565"/>
      <c r="AC31" s="565"/>
      <c r="AD31" s="565"/>
      <c r="AE31" s="58">
        <f t="shared" si="53"/>
        <v>60.583333333333336</v>
      </c>
      <c r="AF31" s="58">
        <f t="shared" si="54"/>
        <v>56.25</v>
      </c>
      <c r="AG31" s="10"/>
      <c r="AH31" s="3">
        <f t="shared" si="60"/>
        <v>58.416666666666671</v>
      </c>
      <c r="AI31" s="30">
        <v>5.3991666666666642</v>
      </c>
      <c r="AJ31" s="1"/>
      <c r="AK31" s="77"/>
      <c r="AL31" s="19" t="s">
        <v>8</v>
      </c>
      <c r="AN31" s="553" t="str">
        <f t="shared" si="55"/>
        <v>AUBR6AB4Y=ICAA</v>
      </c>
      <c r="AR31" s="58">
        <v>7.5</v>
      </c>
      <c r="AS31" s="58">
        <v>9.5</v>
      </c>
      <c r="AT31" s="661"/>
      <c r="AU31" s="17">
        <f t="shared" si="56"/>
        <v>8.5</v>
      </c>
      <c r="AV31" s="11"/>
      <c r="AW31" s="81"/>
      <c r="AX31" s="19" t="s">
        <v>8</v>
      </c>
      <c r="AY31" s="552"/>
      <c r="AZ31" s="553" t="str">
        <f t="shared" si="57"/>
        <v>AUBR3AB4Y=ICAA</v>
      </c>
      <c r="BA31" s="552"/>
      <c r="BB31" s="552"/>
      <c r="BC31" s="552"/>
      <c r="BD31" s="58">
        <v>10.75</v>
      </c>
      <c r="BE31" s="58">
        <v>12.75</v>
      </c>
      <c r="BF31" s="10"/>
      <c r="BG31" s="17">
        <f t="shared" si="58"/>
        <v>11.75</v>
      </c>
      <c r="BH31" s="11"/>
      <c r="BI31" s="81"/>
      <c r="BJ31" s="19" t="s">
        <v>8</v>
      </c>
      <c r="BK31" s="552"/>
      <c r="BL31" s="553" t="str">
        <f t="shared" si="61"/>
        <v>AUDCR3B4Y=ICAA</v>
      </c>
      <c r="BM31" s="552"/>
      <c r="BN31" s="552"/>
      <c r="BO31" s="552"/>
      <c r="BP31" s="58">
        <v>21.25</v>
      </c>
      <c r="BQ31" s="58">
        <v>26.25</v>
      </c>
      <c r="BR31" s="10"/>
      <c r="BS31" s="17">
        <f t="shared" si="59"/>
        <v>23.75</v>
      </c>
      <c r="BT31" s="12"/>
      <c r="BU31" s="9"/>
      <c r="BW31" s="5"/>
      <c r="CI31" s="7"/>
      <c r="CJ31" s="6" t="s">
        <v>831</v>
      </c>
      <c r="CU31" s="18"/>
      <c r="CV31" s="18"/>
      <c r="CW31" s="18"/>
      <c r="CX31" s="29"/>
      <c r="CY31" s="7"/>
      <c r="CZ31" s="7"/>
      <c r="DA31" s="115" t="s">
        <v>9</v>
      </c>
      <c r="DB31" s="201">
        <v>5.84</v>
      </c>
      <c r="DC31" s="201">
        <v>5.56</v>
      </c>
      <c r="DD31" s="201">
        <v>5.4300000000000006</v>
      </c>
      <c r="DE31" s="201">
        <v>5.35</v>
      </c>
      <c r="DF31" s="201">
        <v>5.2700000000000005</v>
      </c>
      <c r="DG31" s="201">
        <v>5.1499999999999995</v>
      </c>
      <c r="DH31" s="201">
        <v>5.05</v>
      </c>
      <c r="DI31" s="201">
        <f t="shared" si="51"/>
        <v>5.05</v>
      </c>
      <c r="DJ31" s="32"/>
      <c r="DK31" s="32"/>
      <c r="DL31" s="32"/>
      <c r="DM31" s="32"/>
      <c r="DN31" s="32"/>
      <c r="DO31" s="32"/>
      <c r="DP31" s="32"/>
      <c r="DQ31" s="32"/>
      <c r="DR31" s="7"/>
      <c r="DS31" s="7"/>
      <c r="DT31" s="7"/>
      <c r="EE31" s="195" t="str">
        <v>7Y</v>
      </c>
      <c r="EF31" s="195" t="str">
        <v>AUILS7Y=</v>
      </c>
      <c r="EI31" s="201">
        <v>2.84</v>
      </c>
      <c r="EJ31" s="201">
        <v>2.94</v>
      </c>
      <c r="EV31" s="205">
        <f t="shared" si="52"/>
        <v>41274</v>
      </c>
      <c r="EW31" s="216">
        <f>IF(EV31=CPI0_DATE,1,IF(EV31&lt;CPI0_DATE,EW32/EY31*EY32,EXP(_xll.qInterp(EX31,$ER$10:$ER$21,$ES$10:$ES$21))))</f>
        <v>0.95261409667966601</v>
      </c>
      <c r="EX31" s="183">
        <f t="shared" si="62"/>
        <v>1.75</v>
      </c>
      <c r="EY31" s="175">
        <f t="shared" si="1"/>
        <v>0</v>
      </c>
      <c r="EZ31" s="179">
        <f t="shared" si="63"/>
        <v>185.48958871791567</v>
      </c>
      <c r="FA31" s="177">
        <f t="shared" si="4"/>
        <v>0.70011360216881702</v>
      </c>
      <c r="FB31" s="177">
        <f t="shared" si="5"/>
        <v>0.70256439744854626</v>
      </c>
      <c r="FC31" s="177">
        <f t="shared" si="25"/>
        <v>2.8225002735739801</v>
      </c>
    </row>
    <row r="32" spans="1:162">
      <c r="E32" s="547" t="s">
        <v>564</v>
      </c>
      <c r="F32" s="547" t="str">
        <f>IF(S12="LIVE",_xll.qFuturesDateToCode(N12),_xll.qFuturesDateToCode(N13))</f>
        <v>N1</v>
      </c>
      <c r="G32" s="828" t="str">
        <f t="array" ref="G32:G39">IF(S12="LIVE","YIB"&amp;F32:F39,"/YIB"&amp;F32:F39)</f>
        <v>/YIBN1</v>
      </c>
      <c r="I32" s="573" t="s">
        <v>45</v>
      </c>
      <c r="M32" s="547" t="str">
        <f ca="1">_xll.RtUpdate("IDN",G32:G39,I32:I35,N32,,RTMODE_RATES)</f>
        <v>Updated at 10:28:18</v>
      </c>
      <c r="N32" s="574">
        <v>40753</v>
      </c>
      <c r="O32" s="580">
        <v>95.254999999999995</v>
      </c>
      <c r="P32" s="580">
        <v>95.26</v>
      </c>
      <c r="Q32" s="580">
        <v>95.254999999999995</v>
      </c>
      <c r="S32" s="577">
        <v>40753</v>
      </c>
      <c r="T32" s="576">
        <v>95.254999999999995</v>
      </c>
      <c r="U32" s="576">
        <v>95.26</v>
      </c>
      <c r="V32" s="576">
        <v>95.254999999999995</v>
      </c>
      <c r="Y32" s="21" t="s">
        <v>9</v>
      </c>
      <c r="Z32" s="565"/>
      <c r="AA32" s="565"/>
      <c r="AB32" s="565"/>
      <c r="AC32" s="565"/>
      <c r="AD32" s="565"/>
      <c r="AE32" s="58">
        <f t="shared" si="53"/>
        <v>72.416666666666671</v>
      </c>
      <c r="AF32" s="58">
        <f t="shared" si="54"/>
        <v>68.083333333333329</v>
      </c>
      <c r="AG32" s="10"/>
      <c r="AH32" s="3">
        <f t="shared" si="60"/>
        <v>70.25</v>
      </c>
      <c r="AI32" s="30">
        <v>5.5174999999999974</v>
      </c>
      <c r="AJ32" s="1"/>
      <c r="AK32" s="77"/>
      <c r="AL32" s="19" t="s">
        <v>9</v>
      </c>
      <c r="AN32" s="553" t="str">
        <f t="shared" si="55"/>
        <v>AUBR6AB5Y=ICAA</v>
      </c>
      <c r="AR32" s="58">
        <v>7.25</v>
      </c>
      <c r="AS32" s="58">
        <v>9.25</v>
      </c>
      <c r="AT32" s="661"/>
      <c r="AU32" s="17">
        <f t="shared" si="56"/>
        <v>8.25</v>
      </c>
      <c r="AV32" s="11"/>
      <c r="AW32" s="81"/>
      <c r="AX32" s="19" t="s">
        <v>9</v>
      </c>
      <c r="AY32" s="552"/>
      <c r="AZ32" s="553" t="str">
        <f t="shared" si="57"/>
        <v>AUBR3AB5Y=ICAA</v>
      </c>
      <c r="BA32" s="552"/>
      <c r="BB32" s="552"/>
      <c r="BC32" s="552"/>
      <c r="BD32" s="58">
        <v>10.5</v>
      </c>
      <c r="BE32" s="58">
        <v>12.5</v>
      </c>
      <c r="BF32" s="10"/>
      <c r="BG32" s="17">
        <f t="shared" si="58"/>
        <v>11.5</v>
      </c>
      <c r="BH32" s="11"/>
      <c r="BI32" s="81"/>
      <c r="BJ32" s="19" t="s">
        <v>9</v>
      </c>
      <c r="BK32" s="552"/>
      <c r="BL32" s="553" t="str">
        <f t="shared" si="61"/>
        <v>AUDCR3B5Y=ICAA</v>
      </c>
      <c r="BM32" s="552"/>
      <c r="BN32" s="552"/>
      <c r="BO32" s="552"/>
      <c r="BP32" s="58">
        <v>21.75</v>
      </c>
      <c r="BQ32" s="58">
        <v>26.75</v>
      </c>
      <c r="BR32" s="10"/>
      <c r="BS32" s="17">
        <f t="shared" si="59"/>
        <v>24.25</v>
      </c>
      <c r="BT32" s="12"/>
      <c r="BU32" s="5"/>
      <c r="BW32" s="5"/>
      <c r="CJ32" s="6" t="s">
        <v>825</v>
      </c>
      <c r="DA32" s="115" t="s">
        <v>11</v>
      </c>
      <c r="DB32" s="201">
        <v>5.5</v>
      </c>
      <c r="DC32" s="201">
        <v>5.39</v>
      </c>
      <c r="DD32" s="201">
        <v>5.3199999999999994</v>
      </c>
      <c r="DE32" s="201">
        <v>5.26</v>
      </c>
      <c r="DF32" s="201">
        <v>5.18</v>
      </c>
      <c r="DG32" s="201">
        <v>5.09</v>
      </c>
      <c r="DH32" s="201">
        <v>5</v>
      </c>
      <c r="DI32" s="201">
        <f t="shared" si="51"/>
        <v>5</v>
      </c>
      <c r="DJ32" s="32"/>
      <c r="DK32" s="32"/>
      <c r="DL32" s="32"/>
      <c r="DM32" s="32"/>
      <c r="DN32" s="32"/>
      <c r="DO32" s="32"/>
      <c r="DP32" s="32"/>
      <c r="DQ32" s="32"/>
      <c r="EE32" s="195" t="str">
        <v>10Y</v>
      </c>
      <c r="EF32" s="195" t="str">
        <v>AUILS10Y=</v>
      </c>
      <c r="EI32" s="201">
        <v>2.8899999999999997</v>
      </c>
      <c r="EJ32" s="201">
        <v>2.9899999999999998</v>
      </c>
      <c r="EV32" s="205">
        <f t="shared" si="52"/>
        <v>41364</v>
      </c>
      <c r="EW32" s="216">
        <f>IF(EV32=CPI0_DATE,1,IF(EV32&lt;CPI0_DATE,EW33/EY32*EY33,EXP(_xll.qInterp(EX32,$ER$10:$ER$21,$ES$10:$ES$21))))</f>
        <v>0.94599108442232083</v>
      </c>
      <c r="EX32" s="183">
        <f t="shared" si="62"/>
        <v>2</v>
      </c>
      <c r="EY32" s="175">
        <f t="shared" si="1"/>
        <v>0</v>
      </c>
      <c r="EZ32" s="179">
        <f t="shared" si="63"/>
        <v>186.78822655913683</v>
      </c>
      <c r="FA32" s="177">
        <f t="shared" si="4"/>
        <v>0.70011360216883922</v>
      </c>
      <c r="FB32" s="177">
        <f t="shared" si="5"/>
        <v>0.70256439744854626</v>
      </c>
      <c r="FC32" s="177">
        <f t="shared" si="25"/>
        <v>2.8300014590966649</v>
      </c>
    </row>
    <row r="33" spans="5:159">
      <c r="F33" s="547" t="str">
        <f>_xll.qFuturesDateToCode(_xll.qFuturesCodeToDate(F32,Today)+31)</f>
        <v>Q1</v>
      </c>
      <c r="G33" s="828" t="str">
        <v>/YIBQ1</v>
      </c>
      <c r="I33" s="573" t="s">
        <v>43</v>
      </c>
      <c r="N33" s="574">
        <v>40786</v>
      </c>
      <c r="O33" s="580">
        <v>95.265000000000001</v>
      </c>
      <c r="P33" s="580">
        <v>95.274999999999991</v>
      </c>
      <c r="Q33" s="580">
        <v>95.28</v>
      </c>
      <c r="S33" s="577">
        <v>40786</v>
      </c>
      <c r="T33" s="576">
        <v>95.265000000000001</v>
      </c>
      <c r="U33" s="576">
        <v>95.274999999999991</v>
      </c>
      <c r="V33" s="576">
        <v>95.28</v>
      </c>
      <c r="Y33" s="21" t="s">
        <v>10</v>
      </c>
      <c r="Z33" s="565"/>
      <c r="AA33" s="565"/>
      <c r="AB33" s="565"/>
      <c r="AC33" s="565"/>
      <c r="AD33" s="565"/>
      <c r="AE33" s="58">
        <f t="shared" si="53"/>
        <v>37.833333333333336</v>
      </c>
      <c r="AF33" s="58">
        <f t="shared" si="54"/>
        <v>33.5</v>
      </c>
      <c r="AG33" s="10"/>
      <c r="AH33" s="3">
        <f t="shared" si="60"/>
        <v>35.666666666666671</v>
      </c>
      <c r="AI33" s="30">
        <f t="array" ref="AI33:AI43">$AI$6+AH33:AH43%</f>
        <v>5.6141666666666596</v>
      </c>
      <c r="AJ33" s="1"/>
      <c r="AK33" s="77"/>
      <c r="AL33" s="19" t="s">
        <v>11</v>
      </c>
      <c r="AN33" s="553" t="str">
        <f t="shared" si="55"/>
        <v>AUBR6AB7Y=ICAA</v>
      </c>
      <c r="AR33" s="58">
        <v>6</v>
      </c>
      <c r="AS33" s="58">
        <v>8</v>
      </c>
      <c r="AT33" s="661"/>
      <c r="AU33" s="17">
        <f t="shared" ref="AU33:AU38" si="64">IF(ISNUMBER(AT33),AT33,AVERAGE(AR33:AS33))</f>
        <v>7</v>
      </c>
      <c r="AV33" s="11"/>
      <c r="AW33" s="81"/>
      <c r="AX33" s="19" t="s">
        <v>11</v>
      </c>
      <c r="AY33" s="552"/>
      <c r="AZ33" s="553" t="str">
        <f t="shared" si="57"/>
        <v>AUBR3AB7Y=ICAA</v>
      </c>
      <c r="BA33" s="552"/>
      <c r="BB33" s="552"/>
      <c r="BC33" s="552"/>
      <c r="BD33" s="58">
        <v>10</v>
      </c>
      <c r="BE33" s="58">
        <v>12</v>
      </c>
      <c r="BF33" s="10"/>
      <c r="BG33" s="17">
        <f>IF(ISNUMBER(BF33),BF33,AVERAGE(BD33:BE33))</f>
        <v>11</v>
      </c>
      <c r="BH33" s="11"/>
      <c r="BI33" s="81"/>
      <c r="BJ33" s="19" t="s">
        <v>10</v>
      </c>
      <c r="BK33" s="552"/>
      <c r="BL33" s="553" t="str">
        <f t="shared" si="61"/>
        <v>AUDCR3B6Y=ICAA</v>
      </c>
      <c r="BM33" s="552"/>
      <c r="BN33" s="552"/>
      <c r="BO33" s="552"/>
      <c r="BP33" s="58">
        <v>21.5</v>
      </c>
      <c r="BQ33" s="58">
        <v>26.5</v>
      </c>
      <c r="BR33" s="10"/>
      <c r="BS33" s="17">
        <f t="shared" si="59"/>
        <v>24</v>
      </c>
      <c r="BT33" s="12"/>
      <c r="BU33" s="5"/>
      <c r="BW33" s="5"/>
      <c r="DA33" s="115" t="s">
        <v>14</v>
      </c>
      <c r="DB33" s="201">
        <v>5.3</v>
      </c>
      <c r="DC33" s="201">
        <v>5.2</v>
      </c>
      <c r="DD33" s="201">
        <v>5.13</v>
      </c>
      <c r="DE33" s="201">
        <v>5.07</v>
      </c>
      <c r="DF33" s="201">
        <v>5.05</v>
      </c>
      <c r="DG33" s="201">
        <v>5</v>
      </c>
      <c r="DH33" s="201">
        <v>4.9000000000000004</v>
      </c>
      <c r="DI33" s="201">
        <f t="shared" si="51"/>
        <v>4.9000000000000004</v>
      </c>
      <c r="DJ33" s="32"/>
      <c r="DK33" s="32"/>
      <c r="DL33" s="32"/>
      <c r="DM33" s="32"/>
      <c r="DN33" s="32"/>
      <c r="DO33" s="32"/>
      <c r="DP33" s="32"/>
      <c r="DQ33" s="32"/>
      <c r="EE33" s="195" t="str">
        <v>12Y</v>
      </c>
      <c r="EF33" s="195" t="str">
        <v>AUILS12Y=</v>
      </c>
      <c r="EI33" s="201">
        <v>2.9</v>
      </c>
      <c r="EJ33" s="201">
        <v>3</v>
      </c>
      <c r="EV33" s="205">
        <f t="shared" si="52"/>
        <v>41455</v>
      </c>
      <c r="EW33" s="216">
        <f>IF(EV33=CPI0_DATE,1,IF(EV33&lt;CPI0_DATE,EW34/EY33*EY34,EXP(_xll.qInterp(EX33,$ER$10:$ER$21,$ES$10:$ES$21))))</f>
        <v>0.93941411839871702</v>
      </c>
      <c r="EX33" s="183">
        <f t="shared" si="62"/>
        <v>2.25</v>
      </c>
      <c r="EY33" s="175">
        <f t="shared" si="1"/>
        <v>0</v>
      </c>
      <c r="EZ33" s="179">
        <f t="shared" si="63"/>
        <v>188.09595634052727</v>
      </c>
      <c r="FA33" s="177">
        <f t="shared" si="4"/>
        <v>0.70011360216881702</v>
      </c>
      <c r="FB33" s="177">
        <f t="shared" si="5"/>
        <v>0.70256439744853516</v>
      </c>
      <c r="FC33" s="177">
        <f t="shared" si="25"/>
        <v>2.8300014590966649</v>
      </c>
    </row>
    <row r="34" spans="5:159">
      <c r="F34" s="547" t="str">
        <f>_xll.qFuturesDateToCode(_xll.qFuturesCodeToDate(F33,Today)+31)</f>
        <v>U1</v>
      </c>
      <c r="G34" s="828" t="str">
        <v>/YIBU1</v>
      </c>
      <c r="I34" s="573" t="s">
        <v>44</v>
      </c>
      <c r="N34" s="574">
        <v>40816</v>
      </c>
      <c r="O34" s="580">
        <v>95.3</v>
      </c>
      <c r="P34" s="580">
        <v>95.31</v>
      </c>
      <c r="Q34" s="580">
        <v>95.314999999999998</v>
      </c>
      <c r="S34" s="577">
        <v>40816</v>
      </c>
      <c r="T34" s="576">
        <v>95.3</v>
      </c>
      <c r="U34" s="576">
        <v>95.31</v>
      </c>
      <c r="V34" s="576">
        <v>95.314999999999998</v>
      </c>
      <c r="Y34" s="21" t="s">
        <v>11</v>
      </c>
      <c r="Z34" s="565"/>
      <c r="AA34" s="565"/>
      <c r="AB34" s="565"/>
      <c r="AC34" s="565"/>
      <c r="AD34" s="565"/>
      <c r="AE34" s="58">
        <f t="shared" si="53"/>
        <v>46.5</v>
      </c>
      <c r="AF34" s="58">
        <f t="shared" si="54"/>
        <v>42.166666666666664</v>
      </c>
      <c r="AG34" s="10"/>
      <c r="AH34" s="3">
        <f t="shared" si="60"/>
        <v>44.333333333333329</v>
      </c>
      <c r="AI34" s="30">
        <v>5.7008333333333265</v>
      </c>
      <c r="AJ34" s="1"/>
      <c r="AK34" s="77"/>
      <c r="AL34" s="19" t="s">
        <v>14</v>
      </c>
      <c r="AN34" s="553" t="str">
        <f t="shared" si="55"/>
        <v>AUBR6AB10Y=ICAA</v>
      </c>
      <c r="AR34" s="58">
        <v>5.5</v>
      </c>
      <c r="AS34" s="58">
        <v>7.5</v>
      </c>
      <c r="AT34" s="661"/>
      <c r="AU34" s="17">
        <f t="shared" si="64"/>
        <v>6.5</v>
      </c>
      <c r="AV34" s="11"/>
      <c r="AW34" s="81"/>
      <c r="AX34" s="19" t="s">
        <v>14</v>
      </c>
      <c r="AY34" s="552"/>
      <c r="AZ34" s="553" t="str">
        <f t="shared" si="57"/>
        <v>AUBR3AB10Y=ICAA</v>
      </c>
      <c r="BA34" s="552"/>
      <c r="BB34" s="552"/>
      <c r="BC34" s="552"/>
      <c r="BD34" s="58">
        <v>8.75</v>
      </c>
      <c r="BE34" s="58">
        <v>10.75</v>
      </c>
      <c r="BF34" s="10"/>
      <c r="BG34" s="17">
        <f>IF(ISNUMBER(BF34),BF34,AVERAGE(BD34:BE34))</f>
        <v>9.75</v>
      </c>
      <c r="BH34" s="11"/>
      <c r="BI34" s="81"/>
      <c r="BJ34" s="19" t="s">
        <v>11</v>
      </c>
      <c r="BK34" s="552"/>
      <c r="BL34" s="553" t="str">
        <f t="shared" si="61"/>
        <v>AUDCR3B7Y=ICAA</v>
      </c>
      <c r="BM34" s="552"/>
      <c r="BN34" s="552"/>
      <c r="BO34" s="552"/>
      <c r="BP34" s="58">
        <v>21.25</v>
      </c>
      <c r="BQ34" s="58">
        <v>26.25</v>
      </c>
      <c r="BR34" s="10"/>
      <c r="BS34" s="17">
        <f t="shared" si="59"/>
        <v>23.75</v>
      </c>
      <c r="BT34" s="12"/>
      <c r="BU34" s="5"/>
      <c r="BW34" s="5"/>
      <c r="EE34" s="195" t="str">
        <v>15Y</v>
      </c>
      <c r="EF34" s="195" t="str">
        <v>AUILS15Y=</v>
      </c>
      <c r="EI34" s="201">
        <v>2.9099999999999997</v>
      </c>
      <c r="EJ34" s="201">
        <v>3.01</v>
      </c>
      <c r="EV34" s="205">
        <f t="shared" si="52"/>
        <v>41547</v>
      </c>
      <c r="EW34" s="216">
        <f>IF(EV34=CPI0_DATE,1,IF(EV34&lt;CPI0_DATE,EW35/EY34*EY35,EXP(_xll.qInterp(EX34,$ER$10:$ER$21,$ES$10:$ES$21))))</f>
        <v>0.93288287847421492</v>
      </c>
      <c r="EX34" s="183">
        <f t="shared" si="62"/>
        <v>2.5</v>
      </c>
      <c r="EY34" s="175">
        <f t="shared" si="1"/>
        <v>0</v>
      </c>
      <c r="EZ34" s="179">
        <f t="shared" si="63"/>
        <v>189.41284171599685</v>
      </c>
      <c r="FA34" s="177">
        <f t="shared" si="4"/>
        <v>0.70011360216883922</v>
      </c>
      <c r="FB34" s="177">
        <f t="shared" si="5"/>
        <v>0.70256439744853516</v>
      </c>
      <c r="FC34" s="177">
        <f t="shared" si="25"/>
        <v>2.8300014590966427</v>
      </c>
    </row>
    <row r="35" spans="5:159">
      <c r="F35" s="547" t="str">
        <f>_xll.qFuturesDateToCode(_xll.qFuturesCodeToDate(F34,Today)+31)</f>
        <v>V1</v>
      </c>
      <c r="G35" s="828" t="str">
        <v>/YIBV1</v>
      </c>
      <c r="I35" s="573" t="s">
        <v>522</v>
      </c>
      <c r="N35" s="574">
        <v>40847</v>
      </c>
      <c r="O35" s="580">
        <v>95.304999999999993</v>
      </c>
      <c r="P35" s="580">
        <v>95.33</v>
      </c>
      <c r="Q35" s="580">
        <v>95.34</v>
      </c>
      <c r="S35" s="577">
        <v>40847</v>
      </c>
      <c r="T35" s="576">
        <v>95.304999999999993</v>
      </c>
      <c r="U35" s="576">
        <v>95.33</v>
      </c>
      <c r="V35" s="576">
        <v>95.34</v>
      </c>
      <c r="Y35" s="21" t="s">
        <v>12</v>
      </c>
      <c r="Z35" s="565"/>
      <c r="AA35" s="565"/>
      <c r="AB35" s="565"/>
      <c r="AC35" s="565"/>
      <c r="AD35" s="565"/>
      <c r="AE35" s="58">
        <f t="shared" si="53"/>
        <v>52.166666666666664</v>
      </c>
      <c r="AF35" s="58">
        <f t="shared" si="54"/>
        <v>47.833333333333336</v>
      </c>
      <c r="AG35" s="10"/>
      <c r="AH35" s="3">
        <f t="shared" si="60"/>
        <v>50</v>
      </c>
      <c r="AI35" s="30">
        <v>5.7574999999999932</v>
      </c>
      <c r="AJ35" s="1"/>
      <c r="AK35" s="77"/>
      <c r="AL35" s="19" t="s">
        <v>16</v>
      </c>
      <c r="AN35" s="553" t="str">
        <f t="shared" si="55"/>
        <v>AUBR6AB15Y=ICAA</v>
      </c>
      <c r="AR35" s="58">
        <v>3.25</v>
      </c>
      <c r="AS35" s="58">
        <v>6.25</v>
      </c>
      <c r="AT35" s="661"/>
      <c r="AU35" s="17">
        <f t="shared" si="64"/>
        <v>4.75</v>
      </c>
      <c r="AV35" s="11"/>
      <c r="AW35" s="81"/>
      <c r="AX35" s="16"/>
      <c r="AY35" s="560"/>
      <c r="AZ35" s="560"/>
      <c r="BA35" s="560"/>
      <c r="BB35" s="560"/>
      <c r="BC35" s="560"/>
      <c r="BD35" s="3"/>
      <c r="BH35" s="11"/>
      <c r="BI35" s="81"/>
      <c r="BJ35" s="19" t="s">
        <v>12</v>
      </c>
      <c r="BK35" s="552"/>
      <c r="BL35" s="553" t="str">
        <f t="shared" si="61"/>
        <v>AUDCR3B8Y=ICAA</v>
      </c>
      <c r="BM35" s="552"/>
      <c r="BN35" s="552"/>
      <c r="BO35" s="552"/>
      <c r="BP35" s="58">
        <v>21</v>
      </c>
      <c r="BQ35" s="58">
        <v>26</v>
      </c>
      <c r="BR35" s="10"/>
      <c r="BS35" s="17">
        <f t="shared" si="59"/>
        <v>23.5</v>
      </c>
      <c r="BT35" s="12"/>
      <c r="BU35" s="5"/>
      <c r="BW35" s="5"/>
      <c r="EE35" s="195" t="str">
        <v>20Y</v>
      </c>
      <c r="EF35" s="195" t="str">
        <v>AUILS20Y=</v>
      </c>
      <c r="EI35" s="201">
        <v>2.92</v>
      </c>
      <c r="EJ35" s="201">
        <v>3.02</v>
      </c>
      <c r="EV35" s="205">
        <f t="shared" si="52"/>
        <v>41639</v>
      </c>
      <c r="EW35" s="216">
        <f>IF(EV35=CPI0_DATE,1,IF(EV35&lt;CPI0_DATE,EW36/EY35*EY36,EXP(_xll.qInterp(EX35,$ER$10:$ER$21,$ES$10:$ES$21))))</f>
        <v>0.92639704673989842</v>
      </c>
      <c r="EX35" s="183">
        <f t="shared" si="62"/>
        <v>2.75</v>
      </c>
      <c r="EY35" s="175">
        <f t="shared" si="1"/>
        <v>0</v>
      </c>
      <c r="EZ35" s="179">
        <f t="shared" si="63"/>
        <v>190.7389467851051</v>
      </c>
      <c r="FA35" s="177">
        <f t="shared" si="4"/>
        <v>0.70011360216886143</v>
      </c>
      <c r="FB35" s="177">
        <f t="shared" si="5"/>
        <v>0.70256439744855737</v>
      </c>
      <c r="FC35" s="177">
        <f t="shared" si="25"/>
        <v>2.8300014590966649</v>
      </c>
    </row>
    <row r="36" spans="5:159">
      <c r="F36" s="547" t="str">
        <f>_xll.qFuturesDateToCode(_xll.qFuturesCodeToDate(F35,Today)+31)</f>
        <v>X1</v>
      </c>
      <c r="G36" s="828" t="str">
        <v>/YIBX1</v>
      </c>
      <c r="N36" s="574">
        <v>40877</v>
      </c>
      <c r="O36" s="580">
        <v>95.304999999999993</v>
      </c>
      <c r="P36" s="580">
        <v>95.334999999999994</v>
      </c>
      <c r="Q36" s="580">
        <v>95.33</v>
      </c>
      <c r="S36" s="577">
        <v>40877</v>
      </c>
      <c r="T36" s="576">
        <v>95.304999999999993</v>
      </c>
      <c r="U36" s="576">
        <v>95.334999999999994</v>
      </c>
      <c r="V36" s="576">
        <v>95.33</v>
      </c>
      <c r="Y36" s="21" t="s">
        <v>13</v>
      </c>
      <c r="Z36" s="565"/>
      <c r="AA36" s="565"/>
      <c r="AB36" s="565"/>
      <c r="AC36" s="565"/>
      <c r="AD36" s="565"/>
      <c r="AE36" s="58">
        <f t="shared" si="53"/>
        <v>56.666666666666664</v>
      </c>
      <c r="AF36" s="58">
        <f t="shared" si="54"/>
        <v>52.333333333333336</v>
      </c>
      <c r="AG36" s="10"/>
      <c r="AH36" s="3">
        <f t="shared" si="60"/>
        <v>54.5</v>
      </c>
      <c r="AI36" s="30">
        <v>5.8024999999999931</v>
      </c>
      <c r="AJ36" s="1"/>
      <c r="AK36" s="77"/>
      <c r="AL36" s="19" t="s">
        <v>17</v>
      </c>
      <c r="AN36" s="553" t="str">
        <f t="shared" si="55"/>
        <v>AUBR6AB20Y=ICAA</v>
      </c>
      <c r="AR36" s="58">
        <v>2</v>
      </c>
      <c r="AS36" s="58">
        <v>5</v>
      </c>
      <c r="AT36" s="661"/>
      <c r="AU36" s="17">
        <f t="shared" si="64"/>
        <v>3.5</v>
      </c>
      <c r="AV36" s="11"/>
      <c r="AW36" s="81"/>
      <c r="AX36" s="16"/>
      <c r="AY36" s="560"/>
      <c r="AZ36" s="560"/>
      <c r="BA36" s="560"/>
      <c r="BB36" s="560"/>
      <c r="BC36" s="560"/>
      <c r="BD36" s="3"/>
      <c r="BH36" s="11"/>
      <c r="BI36" s="81"/>
      <c r="BJ36" s="19" t="s">
        <v>13</v>
      </c>
      <c r="BK36" s="552"/>
      <c r="BL36" s="553" t="str">
        <f t="shared" si="61"/>
        <v>AUDCR3B9Y=ICAA</v>
      </c>
      <c r="BM36" s="552"/>
      <c r="BN36" s="552"/>
      <c r="BO36" s="552"/>
      <c r="BP36" s="58">
        <v>21</v>
      </c>
      <c r="BQ36" s="58">
        <v>26</v>
      </c>
      <c r="BR36" s="10"/>
      <c r="BS36" s="17">
        <f t="shared" si="59"/>
        <v>23.5</v>
      </c>
      <c r="BT36" s="12"/>
      <c r="BU36" s="5"/>
      <c r="BW36" s="5"/>
      <c r="EE36" s="195" t="str">
        <v>30Y</v>
      </c>
      <c r="EF36" s="195" t="str">
        <v>AUILS30Y=</v>
      </c>
      <c r="EI36" s="201">
        <v>2.92</v>
      </c>
      <c r="EJ36" s="201">
        <v>3.02</v>
      </c>
      <c r="EV36" s="205">
        <f t="shared" si="52"/>
        <v>41729</v>
      </c>
      <c r="EW36" s="216">
        <f>IF(EV36=CPI0_DATE,1,IF(EV36&lt;CPI0_DATE,EW37/EY36*EY37,EXP(_xll.qInterp(EX36,$ER$10:$ER$21,$ES$10:$ES$21))))</f>
        <v>0.91995630749710111</v>
      </c>
      <c r="EX36" s="183">
        <f t="shared" si="62"/>
        <v>3</v>
      </c>
      <c r="EY36" s="175">
        <f t="shared" si="1"/>
        <v>0</v>
      </c>
      <c r="EZ36" s="179">
        <f t="shared" si="63"/>
        <v>192.07433609618118</v>
      </c>
      <c r="FA36" s="177">
        <f t="shared" si="4"/>
        <v>0.70011360216883922</v>
      </c>
      <c r="FB36" s="177">
        <f t="shared" si="5"/>
        <v>0.70256439744854626</v>
      </c>
      <c r="FC36" s="177">
        <f t="shared" si="25"/>
        <v>2.8300014590966649</v>
      </c>
    </row>
    <row r="37" spans="5:159">
      <c r="F37" s="547" t="str">
        <f>_xll.qFuturesDateToCode(_xll.qFuturesCodeToDate(F36,Today)+31)</f>
        <v>Z1</v>
      </c>
      <c r="G37" s="828" t="str">
        <v>/YIBZ1</v>
      </c>
      <c r="N37" s="574">
        <v>40907</v>
      </c>
      <c r="O37" s="580">
        <v>95.314999999999998</v>
      </c>
      <c r="P37" s="580">
        <v>95.33</v>
      </c>
      <c r="Q37" s="580">
        <v>95.35</v>
      </c>
      <c r="S37" s="577">
        <v>40907</v>
      </c>
      <c r="T37" s="576">
        <v>95.314999999999998</v>
      </c>
      <c r="U37" s="576">
        <v>95.33</v>
      </c>
      <c r="V37" s="576">
        <v>95.35</v>
      </c>
      <c r="Y37" s="21" t="s">
        <v>14</v>
      </c>
      <c r="Z37" s="565"/>
      <c r="AA37" s="565"/>
      <c r="AB37" s="565"/>
      <c r="AC37" s="565"/>
      <c r="AD37" s="565"/>
      <c r="AE37" s="58">
        <f t="shared" si="53"/>
        <v>60.626666666666665</v>
      </c>
      <c r="AF37" s="58">
        <f t="shared" si="54"/>
        <v>56.293333333333329</v>
      </c>
      <c r="AG37" s="10"/>
      <c r="AH37" s="3">
        <f t="shared" si="60"/>
        <v>58.459999999999994</v>
      </c>
      <c r="AI37" s="30">
        <v>5.8420999999999932</v>
      </c>
      <c r="AJ37" s="1"/>
      <c r="AK37" s="77"/>
      <c r="AL37" s="19" t="s">
        <v>18</v>
      </c>
      <c r="AN37" s="553" t="str">
        <f t="shared" si="55"/>
        <v>AUBR6AB25Y=ICAA</v>
      </c>
      <c r="AR37" s="58">
        <v>1.75</v>
      </c>
      <c r="AS37" s="58">
        <v>4.75</v>
      </c>
      <c r="AT37" s="661"/>
      <c r="AU37" s="17">
        <f t="shared" si="64"/>
        <v>3.25</v>
      </c>
      <c r="AV37" s="11"/>
      <c r="AW37" s="81"/>
      <c r="AX37" s="16"/>
      <c r="AY37" s="560"/>
      <c r="AZ37" s="560"/>
      <c r="BA37" s="560"/>
      <c r="BB37" s="560"/>
      <c r="BC37" s="560"/>
      <c r="BD37" s="3"/>
      <c r="BH37" s="11"/>
      <c r="BI37" s="81"/>
      <c r="BJ37" s="19" t="s">
        <v>14</v>
      </c>
      <c r="BK37" s="552"/>
      <c r="BL37" s="553" t="str">
        <f t="shared" si="61"/>
        <v>AUDCR3B10Y=ICAA</v>
      </c>
      <c r="BM37" s="552"/>
      <c r="BN37" s="552"/>
      <c r="BO37" s="552"/>
      <c r="BP37" s="58">
        <v>20.75</v>
      </c>
      <c r="BQ37" s="58">
        <v>25.75</v>
      </c>
      <c r="BR37" s="10"/>
      <c r="BS37" s="17">
        <f t="shared" si="59"/>
        <v>23.25</v>
      </c>
      <c r="BT37" s="12"/>
      <c r="BU37" s="5"/>
      <c r="BW37" s="5"/>
      <c r="EV37" s="205">
        <f t="shared" si="52"/>
        <v>41820</v>
      </c>
      <c r="EW37" s="216">
        <f>IF(EV37=CPI0_DATE,1,IF(EV37&lt;CPI0_DATE,EW38/EY37*EY38,EXP(_xll.qInterp(EX37,$ER$10:$ER$21,$ES$10:$ES$21))))</f>
        <v>0.91341600312180127</v>
      </c>
      <c r="EX37" s="183">
        <f t="shared" si="62"/>
        <v>3.25</v>
      </c>
      <c r="EY37" s="175">
        <f t="shared" si="1"/>
        <v>0</v>
      </c>
      <c r="EZ37" s="179">
        <f t="shared" si="63"/>
        <v>193.44964002829889</v>
      </c>
      <c r="FA37" s="177">
        <f t="shared" si="4"/>
        <v>0.7160269092009397</v>
      </c>
      <c r="FB37" s="177">
        <f t="shared" si="5"/>
        <v>0.71057675657812958</v>
      </c>
      <c r="FC37" s="177">
        <f t="shared" si="25"/>
        <v>2.8462513452864213</v>
      </c>
    </row>
    <row r="38" spans="5:159">
      <c r="F38" s="547" t="str">
        <f>_xll.qFuturesDateToCode(_xll.qFuturesCodeToDate(F37,Today)+31)</f>
        <v>F2</v>
      </c>
      <c r="G38" s="828" t="str">
        <v>/YIBF2</v>
      </c>
      <c r="N38" s="574">
        <v>40939</v>
      </c>
      <c r="O38" s="580">
        <v>95.304999999999993</v>
      </c>
      <c r="P38" s="580">
        <v>95.334999999999994</v>
      </c>
      <c r="Q38" s="580">
        <v>95.415000000000006</v>
      </c>
      <c r="S38" s="577">
        <v>40939</v>
      </c>
      <c r="T38" s="576">
        <v>95.304999999999993</v>
      </c>
      <c r="U38" s="576">
        <v>95.334999999999994</v>
      </c>
      <c r="V38" s="576">
        <v>95.415000000000006</v>
      </c>
      <c r="Y38" s="21" t="s">
        <v>15</v>
      </c>
      <c r="Z38" s="565"/>
      <c r="AA38" s="565"/>
      <c r="AB38" s="565"/>
      <c r="AC38" s="565"/>
      <c r="AD38" s="565"/>
      <c r="AE38" s="58">
        <f t="shared" si="53"/>
        <v>67.626666666666665</v>
      </c>
      <c r="AF38" s="58">
        <f t="shared" si="54"/>
        <v>62.96</v>
      </c>
      <c r="AG38" s="10"/>
      <c r="AH38" s="3">
        <f t="shared" si="60"/>
        <v>65.293333333333337</v>
      </c>
      <c r="AI38" s="30">
        <v>5.9104333333333265</v>
      </c>
      <c r="AJ38" s="1"/>
      <c r="AK38" s="77"/>
      <c r="AL38" s="19" t="s">
        <v>19</v>
      </c>
      <c r="AN38" s="553" t="str">
        <f t="shared" si="55"/>
        <v>AUBR6AB30Y=ICAA</v>
      </c>
      <c r="AR38" s="58">
        <v>1.5</v>
      </c>
      <c r="AS38" s="58">
        <v>4.5</v>
      </c>
      <c r="AT38" s="661"/>
      <c r="AU38" s="17">
        <f t="shared" si="64"/>
        <v>3</v>
      </c>
      <c r="AV38" s="11"/>
      <c r="AW38" s="81"/>
      <c r="AX38" s="16"/>
      <c r="AY38" s="560"/>
      <c r="AZ38" s="560"/>
      <c r="BA38" s="560"/>
      <c r="BB38" s="560"/>
      <c r="BC38" s="560"/>
      <c r="BD38" s="3"/>
      <c r="BH38" s="11"/>
      <c r="BI38" s="81"/>
      <c r="BJ38" s="12"/>
      <c r="BK38" s="560"/>
      <c r="BL38" s="560"/>
      <c r="BM38" s="560"/>
      <c r="BN38" s="560"/>
      <c r="BO38" s="560"/>
      <c r="BP38" s="3"/>
      <c r="BT38" s="12"/>
      <c r="BU38" s="5"/>
      <c r="BW38" s="5"/>
      <c r="EV38" s="205">
        <f t="shared" si="52"/>
        <v>41912</v>
      </c>
      <c r="EW38" s="216">
        <f>IF(EV38=CPI0_DATE,1,IF(EV38&lt;CPI0_DATE,EW39/EY38*EY39,EXP(_xll.qInterp(EX38,$ER$10:$ER$21,$ES$10:$ES$21))))</f>
        <v>0.90692219615183789</v>
      </c>
      <c r="EX38" s="183">
        <f t="shared" si="62"/>
        <v>3.5</v>
      </c>
      <c r="EY38" s="175">
        <f t="shared" si="1"/>
        <v>0</v>
      </c>
      <c r="EZ38" s="179">
        <f t="shared" si="63"/>
        <v>194.83479150665389</v>
      </c>
      <c r="FA38" s="177">
        <f t="shared" si="4"/>
        <v>0.7160269092009619</v>
      </c>
      <c r="FB38" s="177">
        <f t="shared" si="5"/>
        <v>0.71859038187443991</v>
      </c>
      <c r="FC38" s="177">
        <f t="shared" si="25"/>
        <v>2.8625037993921465</v>
      </c>
    </row>
    <row r="39" spans="5:159">
      <c r="F39" s="547" t="str">
        <f>_xll.qFuturesDateToCode(_xll.qFuturesCodeToDate(F38,Today)+31)</f>
        <v>G2</v>
      </c>
      <c r="G39" s="828" t="str">
        <v>/YIBG2</v>
      </c>
      <c r="N39" s="574">
        <v>40968</v>
      </c>
      <c r="O39" s="580">
        <v>95.304999999999993</v>
      </c>
      <c r="P39" s="580">
        <v>95.33</v>
      </c>
      <c r="Q39" s="580">
        <v>95.35</v>
      </c>
      <c r="S39" s="577">
        <v>40968</v>
      </c>
      <c r="T39" s="576">
        <v>95.304999999999993</v>
      </c>
      <c r="U39" s="576">
        <v>95.33</v>
      </c>
      <c r="V39" s="576">
        <v>95.35</v>
      </c>
      <c r="Y39" s="21" t="s">
        <v>16</v>
      </c>
      <c r="Z39" s="565"/>
      <c r="AA39" s="565"/>
      <c r="AB39" s="565"/>
      <c r="AC39" s="565"/>
      <c r="AD39" s="565"/>
      <c r="AE39" s="58">
        <f t="shared" si="53"/>
        <v>73.793333333333337</v>
      </c>
      <c r="AF39" s="58">
        <f t="shared" si="54"/>
        <v>69.126666666666665</v>
      </c>
      <c r="AG39" s="10"/>
      <c r="AH39" s="3">
        <f t="shared" si="60"/>
        <v>71.460000000000008</v>
      </c>
      <c r="AI39" s="30">
        <v>5.9720999999999931</v>
      </c>
      <c r="AJ39" s="1"/>
      <c r="AK39" s="77"/>
      <c r="AV39" s="11"/>
      <c r="AW39" s="81"/>
      <c r="AX39" s="16"/>
      <c r="AY39" s="560"/>
      <c r="AZ39" s="560"/>
      <c r="BA39" s="560"/>
      <c r="BB39" s="560"/>
      <c r="BC39" s="560"/>
      <c r="BD39" s="3"/>
      <c r="BH39" s="11"/>
      <c r="BI39" s="81"/>
      <c r="BJ39" s="12"/>
      <c r="BK39" s="560"/>
      <c r="BL39" s="560"/>
      <c r="BM39" s="560"/>
      <c r="BN39" s="560"/>
      <c r="BO39" s="560"/>
      <c r="BP39" s="3"/>
      <c r="BT39" s="12"/>
      <c r="BU39" s="5"/>
      <c r="BW39" s="5"/>
      <c r="EV39" s="205">
        <f t="shared" si="52"/>
        <v>42004</v>
      </c>
      <c r="EW39" s="216">
        <f>IF(EV39=CPI0_DATE,1,IF(EV39&lt;CPI0_DATE,EW40/EY39*EY40,EXP(_xll.qInterp(EX39,$ER$10:$ER$21,$ES$10:$ES$21))))</f>
        <v>0.9004745560202253</v>
      </c>
      <c r="EX39" s="183">
        <f t="shared" si="62"/>
        <v>3.75</v>
      </c>
      <c r="EY39" s="175">
        <f t="shared" si="1"/>
        <v>0</v>
      </c>
      <c r="EZ39" s="179">
        <f t="shared" si="63"/>
        <v>196.22986104232709</v>
      </c>
      <c r="FA39" s="177">
        <f t="shared" si="4"/>
        <v>0.7160269092009397</v>
      </c>
      <c r="FB39" s="177">
        <f t="shared" si="5"/>
        <v>0.71859038187445101</v>
      </c>
      <c r="FC39" s="177">
        <f t="shared" si="25"/>
        <v>2.8787588218195825</v>
      </c>
    </row>
    <row r="40" spans="5:159">
      <c r="N40" s="574"/>
      <c r="O40" s="580"/>
      <c r="P40" s="580"/>
      <c r="Q40" s="580"/>
      <c r="S40" s="577"/>
      <c r="T40" s="576"/>
      <c r="U40" s="576"/>
      <c r="V40" s="576"/>
      <c r="Y40" s="21" t="s">
        <v>17</v>
      </c>
      <c r="Z40" s="565"/>
      <c r="AA40" s="565"/>
      <c r="AB40" s="565"/>
      <c r="AC40" s="565"/>
      <c r="AD40" s="565"/>
      <c r="AE40" s="58">
        <f t="shared" ref="AE40:AE41" si="65">AVERAGE(AE63,AG63,AI63)</f>
        <v>69.543333333333337</v>
      </c>
      <c r="AF40" s="58">
        <f t="shared" si="54"/>
        <v>64.876666666666665</v>
      </c>
      <c r="AG40" s="10"/>
      <c r="AH40" s="3">
        <f t="shared" si="60"/>
        <v>67.210000000000008</v>
      </c>
      <c r="AI40" s="30">
        <v>5.9295999999999935</v>
      </c>
      <c r="AJ40" s="1"/>
      <c r="AK40" s="77"/>
      <c r="AV40" s="11"/>
      <c r="AW40" s="81"/>
      <c r="AX40" s="16"/>
      <c r="AY40" s="560"/>
      <c r="AZ40" s="560"/>
      <c r="BA40" s="560"/>
      <c r="BB40" s="560"/>
      <c r="BC40" s="560"/>
      <c r="BD40" s="3"/>
      <c r="BH40" s="11"/>
      <c r="BI40" s="81"/>
      <c r="BJ40" s="12"/>
      <c r="BK40" s="560"/>
      <c r="BL40" s="560"/>
      <c r="BM40" s="560"/>
      <c r="BN40" s="560"/>
      <c r="BO40" s="560"/>
      <c r="BP40" s="3"/>
      <c r="BT40" s="12"/>
      <c r="BU40" s="5"/>
      <c r="BW40" s="5"/>
      <c r="EV40" s="205">
        <f t="shared" si="52"/>
        <v>42094</v>
      </c>
      <c r="EW40" s="216">
        <f>IF(EV40=CPI0_DATE,1,IF(EV40&lt;CPI0_DATE,EW41/EY40*EY41,EXP(_xll.qInterp(EX40,$ER$10:$ER$21,$ES$10:$ES$21))))</f>
        <v>0.89407275451009882</v>
      </c>
      <c r="EX40" s="183">
        <f t="shared" si="62"/>
        <v>4</v>
      </c>
      <c r="EY40" s="175">
        <f t="shared" si="1"/>
        <v>0</v>
      </c>
      <c r="EZ40" s="179">
        <f t="shared" si="63"/>
        <v>197.63491965127778</v>
      </c>
      <c r="FA40" s="177">
        <f t="shared" si="4"/>
        <v>0.7160269092009619</v>
      </c>
      <c r="FB40" s="177">
        <f t="shared" si="5"/>
        <v>0.71859038187445101</v>
      </c>
      <c r="FC40" s="177">
        <f t="shared" si="25"/>
        <v>2.8950164129746714</v>
      </c>
    </row>
    <row r="41" spans="5:159">
      <c r="E41" s="547" t="s">
        <v>80</v>
      </c>
      <c r="G41" s="828" t="s">
        <v>726</v>
      </c>
      <c r="I41" s="573" t="s">
        <v>46</v>
      </c>
      <c r="M41" s="547" t="str">
        <f ca="1">_xll.RtUpdate("IDN",G41,I41,O41,,RTMODE_RATES)</f>
        <v>Updated at 10:13:26</v>
      </c>
      <c r="N41" s="574"/>
      <c r="O41" s="580">
        <v>4.75</v>
      </c>
      <c r="P41" s="580"/>
      <c r="Q41" s="580"/>
      <c r="R41" s="547" t="s">
        <v>78</v>
      </c>
      <c r="S41" s="577"/>
      <c r="T41" s="576">
        <v>4.75</v>
      </c>
      <c r="U41" s="576"/>
      <c r="V41" s="576"/>
      <c r="Y41" s="21" t="s">
        <v>18</v>
      </c>
      <c r="Z41" s="565"/>
      <c r="AA41" s="565"/>
      <c r="AB41" s="565"/>
      <c r="AC41" s="565"/>
      <c r="AD41" s="565"/>
      <c r="AE41" s="58">
        <f t="shared" si="65"/>
        <v>58.314999999999998</v>
      </c>
      <c r="AF41" s="58">
        <f t="shared" si="54"/>
        <v>53.314999999999998</v>
      </c>
      <c r="AG41" s="10"/>
      <c r="AH41" s="3">
        <f t="shared" si="60"/>
        <v>55.814999999999998</v>
      </c>
      <c r="AI41" s="30">
        <v>5.8156499999999927</v>
      </c>
      <c r="AJ41" s="1"/>
      <c r="AK41" s="77"/>
      <c r="AV41" s="11"/>
      <c r="AW41" s="81"/>
      <c r="AX41" s="16"/>
      <c r="AY41" s="560"/>
      <c r="AZ41" s="560"/>
      <c r="BA41" s="560"/>
      <c r="BB41" s="560"/>
      <c r="BC41" s="560"/>
      <c r="BD41" s="3"/>
      <c r="BH41" s="11"/>
      <c r="BI41" s="81"/>
      <c r="BJ41" s="12"/>
      <c r="BK41" s="560"/>
      <c r="BL41" s="560"/>
      <c r="BM41" s="560"/>
      <c r="BN41" s="560"/>
      <c r="BO41" s="560"/>
      <c r="BP41" s="3"/>
      <c r="BT41" s="12"/>
      <c r="BU41" s="531"/>
      <c r="BW41" s="5"/>
      <c r="EV41" s="205">
        <f t="shared" si="52"/>
        <v>42185</v>
      </c>
      <c r="EW41" s="216">
        <f>IF(EV41=CPI0_DATE,1,IF(EV41&lt;CPI0_DATE,EW42/EY41*EY42,EXP(_xll.qInterp(EX41,$ER$10:$ER$21,$ES$10:$ES$21))))</f>
        <v>0.88771646573800711</v>
      </c>
      <c r="EX41" s="183">
        <f t="shared" si="62"/>
        <v>4.25</v>
      </c>
      <c r="EY41" s="175">
        <f t="shared" si="1"/>
        <v>0</v>
      </c>
      <c r="EZ41" s="179">
        <f t="shared" si="63"/>
        <v>199.05003885795861</v>
      </c>
      <c r="FA41" s="177">
        <f t="shared" si="4"/>
        <v>0.7160269092009619</v>
      </c>
      <c r="FB41" s="177">
        <f t="shared" si="5"/>
        <v>0.71859038187445101</v>
      </c>
      <c r="FC41" s="177">
        <f t="shared" si="25"/>
        <v>2.8950164129746936</v>
      </c>
    </row>
    <row r="42" spans="5:159">
      <c r="N42" s="574"/>
      <c r="O42" s="580"/>
      <c r="P42" s="580"/>
      <c r="Q42" s="580"/>
      <c r="R42" s="547" t="s">
        <v>78</v>
      </c>
      <c r="S42" s="577"/>
      <c r="T42" s="576"/>
      <c r="U42" s="576"/>
      <c r="V42" s="576"/>
      <c r="Y42" s="21" t="s">
        <v>19</v>
      </c>
      <c r="Z42" s="565"/>
      <c r="AA42" s="565"/>
      <c r="AB42" s="565"/>
      <c r="AC42" s="565"/>
      <c r="AD42" s="565"/>
      <c r="AE42" s="58">
        <f t="shared" si="53"/>
        <v>44.46</v>
      </c>
      <c r="AF42" s="58">
        <f t="shared" si="54"/>
        <v>39.793333333333329</v>
      </c>
      <c r="AG42" s="10"/>
      <c r="AH42" s="3">
        <f t="shared" si="60"/>
        <v>42.126666666666665</v>
      </c>
      <c r="AI42" s="30">
        <v>5.6787666666666601</v>
      </c>
      <c r="AJ42" s="1"/>
      <c r="AK42" s="77"/>
      <c r="AV42" s="11"/>
      <c r="AW42" s="81"/>
      <c r="AX42" s="16"/>
      <c r="AY42" s="560"/>
      <c r="AZ42" s="560"/>
      <c r="BA42" s="560"/>
      <c r="BB42" s="560"/>
      <c r="BC42" s="560"/>
      <c r="BD42" s="3"/>
      <c r="BH42" s="11"/>
      <c r="BI42" s="81"/>
      <c r="BJ42" s="12"/>
      <c r="BK42" s="560"/>
      <c r="BL42" s="560"/>
      <c r="BM42" s="560"/>
      <c r="BN42" s="560"/>
      <c r="BO42" s="560"/>
      <c r="BP42" s="3"/>
      <c r="BT42" s="12"/>
      <c r="BU42" s="531"/>
      <c r="BW42" s="5"/>
      <c r="EV42" s="205">
        <f t="shared" si="52"/>
        <v>42277</v>
      </c>
      <c r="EW42" s="216">
        <f>IF(EV42=CPI0_DATE,1,IF(EV42&lt;CPI0_DATE,EW43/EY42*EY43,EXP(_xll.qInterp(EX42,$ER$10:$ER$21,$ES$10:$ES$21))))</f>
        <v>0.88140536613732268</v>
      </c>
      <c r="EX42" s="183">
        <f t="shared" si="62"/>
        <v>4.5</v>
      </c>
      <c r="EY42" s="175">
        <f t="shared" si="1"/>
        <v>0</v>
      </c>
      <c r="EZ42" s="179">
        <f t="shared" si="63"/>
        <v>200.47529069895654</v>
      </c>
      <c r="FA42" s="177">
        <f t="shared" si="4"/>
        <v>0.7160269092009397</v>
      </c>
      <c r="FB42" s="177">
        <f t="shared" si="5"/>
        <v>0.71859038187445101</v>
      </c>
      <c r="FC42" s="177">
        <f t="shared" si="25"/>
        <v>2.8950164129746936</v>
      </c>
    </row>
    <row r="43" spans="5:159">
      <c r="Y43" s="21" t="s">
        <v>27</v>
      </c>
      <c r="Z43" s="565"/>
      <c r="AA43" s="565"/>
      <c r="AB43" s="565"/>
      <c r="AC43" s="565"/>
      <c r="AD43" s="565"/>
      <c r="AE43" s="58">
        <f t="shared" si="53"/>
        <v>11.565000000000001</v>
      </c>
      <c r="AF43" s="58">
        <f t="shared" si="54"/>
        <v>5.5650000000000004</v>
      </c>
      <c r="AG43" s="10"/>
      <c r="AH43" s="3">
        <f t="shared" si="60"/>
        <v>8.5650000000000013</v>
      </c>
      <c r="AI43" s="30">
        <v>5.3431499999999934</v>
      </c>
      <c r="AJ43" s="1"/>
      <c r="AK43" s="77"/>
      <c r="AR43" s="1"/>
      <c r="AV43" s="11"/>
      <c r="AW43" s="81"/>
      <c r="AX43" s="16"/>
      <c r="AY43" s="560"/>
      <c r="AZ43" s="560"/>
      <c r="BA43" s="560"/>
      <c r="BB43" s="560"/>
      <c r="BC43" s="560"/>
      <c r="BD43" s="3"/>
      <c r="BH43" s="11"/>
      <c r="BI43" s="81"/>
      <c r="BJ43" s="12"/>
      <c r="BK43" s="560"/>
      <c r="BL43" s="560"/>
      <c r="BM43" s="560"/>
      <c r="BN43" s="560"/>
      <c r="BO43" s="560"/>
      <c r="BP43" s="3"/>
      <c r="BT43" s="12"/>
      <c r="BU43" s="531"/>
      <c r="BW43" s="5"/>
      <c r="EV43" s="205">
        <f t="shared" si="52"/>
        <v>42369</v>
      </c>
      <c r="EW43" s="216">
        <f>IF(EV43=CPI0_DATE,1,IF(EV43&lt;CPI0_DATE,EW44/EY43*EY44,EXP(_xll.qInterp(EX43,$ER$10:$ER$21,$ES$10:$ES$21))))</f>
        <v>0.87513913444177138</v>
      </c>
      <c r="EX43" s="183">
        <f t="shared" si="62"/>
        <v>4.75</v>
      </c>
      <c r="EY43" s="175">
        <f t="shared" si="1"/>
        <v>0</v>
      </c>
      <c r="EZ43" s="179">
        <f t="shared" si="63"/>
        <v>201.91074772665988</v>
      </c>
      <c r="FA43" s="177">
        <f t="shared" si="4"/>
        <v>0.7160269092009397</v>
      </c>
      <c r="FB43" s="177">
        <f t="shared" si="5"/>
        <v>0.71859038187443991</v>
      </c>
      <c r="FC43" s="177">
        <f t="shared" si="25"/>
        <v>2.8950164129746936</v>
      </c>
    </row>
    <row r="44" spans="5:159">
      <c r="AH44" s="9"/>
      <c r="AJ44" s="1"/>
      <c r="AK44" s="1"/>
      <c r="AR44" s="1"/>
      <c r="AX44" s="16"/>
      <c r="AY44" s="560"/>
      <c r="AZ44" s="560"/>
      <c r="BA44" s="560"/>
      <c r="BB44" s="560"/>
      <c r="BC44" s="560"/>
      <c r="BD44" s="3"/>
      <c r="BH44" s="8"/>
      <c r="BI44" s="8"/>
      <c r="BJ44" s="12"/>
      <c r="BK44" s="560"/>
      <c r="BL44" s="560"/>
      <c r="BM44" s="560"/>
      <c r="BN44" s="560"/>
      <c r="BO44" s="560"/>
      <c r="BP44" s="3"/>
      <c r="BT44" s="13"/>
      <c r="BU44" s="531"/>
      <c r="BW44" s="5"/>
      <c r="EV44" s="205">
        <f t="shared" si="52"/>
        <v>42460</v>
      </c>
      <c r="EW44" s="216">
        <f>IF(EV44=CPI0_DATE,1,IF(EV44&lt;CPI0_DATE,EW45/EY44*EY45,EXP(_xll.qInterp(EX44,$ER$10:$ER$21,$ES$10:$ES$21))))</f>
        <v>0.86891745166907763</v>
      </c>
      <c r="EX44" s="183">
        <f t="shared" si="62"/>
        <v>5</v>
      </c>
      <c r="EY44" s="175">
        <f t="shared" si="1"/>
        <v>0</v>
      </c>
      <c r="EZ44" s="179">
        <f t="shared" si="63"/>
        <v>203.35648301295163</v>
      </c>
      <c r="FA44" s="177">
        <f t="shared" si="4"/>
        <v>0.7160269092009619</v>
      </c>
      <c r="FB44" s="177">
        <f t="shared" si="5"/>
        <v>0.71859038187445101</v>
      </c>
      <c r="FC44" s="177">
        <f t="shared" si="25"/>
        <v>2.8950164129746936</v>
      </c>
    </row>
    <row r="45" spans="5:159">
      <c r="E45" s="572"/>
      <c r="AE45" s="5"/>
      <c r="AF45" s="5"/>
      <c r="AG45" s="5"/>
      <c r="AI45" s="15"/>
      <c r="AJ45" s="1"/>
      <c r="AK45" s="1"/>
      <c r="AR45" s="1"/>
      <c r="AX45" s="16"/>
      <c r="AY45" s="560"/>
      <c r="AZ45" s="560"/>
      <c r="BA45" s="560"/>
      <c r="BB45" s="560"/>
      <c r="BC45" s="560"/>
      <c r="BD45" s="3"/>
      <c r="BH45" s="8"/>
      <c r="BI45" s="8"/>
      <c r="BJ45" s="12"/>
      <c r="BK45" s="560"/>
      <c r="BL45" s="560"/>
      <c r="BM45" s="560"/>
      <c r="BN45" s="560"/>
      <c r="BO45" s="560"/>
      <c r="BP45" s="3"/>
      <c r="BT45" s="13"/>
      <c r="BU45" s="531"/>
      <c r="BW45" s="5"/>
      <c r="EV45" s="205">
        <f t="shared" si="52"/>
        <v>42551</v>
      </c>
      <c r="EW45" s="216">
        <f>IF(EV45=CPI0_DATE,1,IF(EV45&lt;CPI0_DATE,EW46/EY45*EY46,EXP(_xll.qInterp(EX45,$ER$10:$ER$21,$ES$10:$ES$21))))</f>
        <v>0.86254087203325225</v>
      </c>
      <c r="EX45" s="183">
        <f t="shared" si="62"/>
        <v>5.25</v>
      </c>
      <c r="EY45" s="175">
        <f t="shared" si="1"/>
        <v>0</v>
      </c>
      <c r="EZ45" s="179">
        <f t="shared" si="63"/>
        <v>204.85985386810509</v>
      </c>
      <c r="FA45" s="177">
        <f t="shared" si="4"/>
        <v>0.73927854813349292</v>
      </c>
      <c r="FB45" s="177">
        <f t="shared" si="5"/>
        <v>0.73029944533651303</v>
      </c>
      <c r="FC45" s="177">
        <f t="shared" si="25"/>
        <v>2.9187711007141903</v>
      </c>
    </row>
    <row r="46" spans="5:159">
      <c r="E46" s="572" t="s">
        <v>23</v>
      </c>
      <c r="AE46" s="5"/>
      <c r="AF46" s="5"/>
      <c r="AG46" s="5"/>
      <c r="AH46" s="5"/>
      <c r="AI46" s="15"/>
      <c r="AJ46" s="1"/>
      <c r="AK46" s="1"/>
      <c r="BU46" s="531"/>
      <c r="EV46" s="205">
        <f t="shared" si="52"/>
        <v>42643</v>
      </c>
      <c r="EW46" s="216">
        <f>IF(EV46=CPI0_DATE,1,IF(EV46&lt;CPI0_DATE,EW47/EY46*EY47,EXP(_xll.qInterp(EX46,$ER$10:$ER$21,$ES$10:$ES$21))))</f>
        <v>0.85621108713929095</v>
      </c>
      <c r="EX46" s="183">
        <f t="shared" si="62"/>
        <v>5.5</v>
      </c>
      <c r="EY46" s="175">
        <f t="shared" si="1"/>
        <v>0</v>
      </c>
      <c r="EZ46" s="179">
        <f t="shared" si="63"/>
        <v>206.3743388214896</v>
      </c>
      <c r="FA46" s="177">
        <f t="shared" si="4"/>
        <v>0.73927854813349292</v>
      </c>
      <c r="FB46" s="177">
        <f t="shared" si="5"/>
        <v>0.74201121199213294</v>
      </c>
      <c r="FC46" s="177">
        <f t="shared" si="25"/>
        <v>2.9425312725403829</v>
      </c>
    </row>
    <row r="47" spans="5:159">
      <c r="AE47" s="5"/>
      <c r="AF47" s="5"/>
      <c r="AG47" s="5"/>
      <c r="AH47" s="5"/>
      <c r="AI47" s="15"/>
      <c r="AJ47" s="1"/>
      <c r="AK47" s="1"/>
      <c r="BD47" s="52"/>
      <c r="BU47" s="531"/>
      <c r="EV47" s="205">
        <f t="shared" si="52"/>
        <v>42735</v>
      </c>
      <c r="EW47" s="216">
        <f>IF(EV47=CPI0_DATE,1,IF(EV47&lt;CPI0_DATE,EW48/EY47*EY48,EXP(_xll.qInterp(EX47,$ER$10:$ER$21,$ES$10:$ES$21))))</f>
        <v>0.84992775358242323</v>
      </c>
      <c r="EX47" s="183">
        <f t="shared" si="62"/>
        <v>5.75</v>
      </c>
      <c r="EY47" s="175">
        <f t="shared" si="1"/>
        <v>0</v>
      </c>
      <c r="EZ47" s="179">
        <f t="shared" si="63"/>
        <v>207.90002003724922</v>
      </c>
      <c r="FA47" s="177">
        <f t="shared" si="4"/>
        <v>0.73927854813349292</v>
      </c>
      <c r="FB47" s="177">
        <f t="shared" si="5"/>
        <v>0.74201121199214404</v>
      </c>
      <c r="FC47" s="177">
        <f t="shared" si="25"/>
        <v>2.9662969297193698</v>
      </c>
    </row>
    <row r="48" spans="5:159">
      <c r="E48" s="547" t="s">
        <v>567</v>
      </c>
      <c r="F48" s="547" t="s">
        <v>25</v>
      </c>
      <c r="G48" s="828" t="s">
        <v>47</v>
      </c>
      <c r="I48" s="573" t="s">
        <v>44</v>
      </c>
      <c r="M48" s="547" t="str">
        <f ca="1">_xll.RtUpdate("IDN",G48:G63,I48:I51,N48,,RTMODE_RATES)</f>
        <v>Updated at 10:29:15</v>
      </c>
      <c r="N48" s="580">
        <v>4.9400000000000004</v>
      </c>
      <c r="O48" s="580">
        <v>4.8899999999999997</v>
      </c>
      <c r="P48" s="580">
        <v>0</v>
      </c>
      <c r="Q48" s="580">
        <v>0</v>
      </c>
      <c r="Y48" s="31"/>
      <c r="AE48" s="934" t="s">
        <v>40</v>
      </c>
      <c r="AF48" s="935"/>
      <c r="AG48" s="934" t="s">
        <v>41</v>
      </c>
      <c r="AH48" s="935"/>
      <c r="AI48" s="934" t="s">
        <v>42</v>
      </c>
      <c r="AJ48" s="938"/>
      <c r="AK48" s="935"/>
      <c r="AT48" s="940" t="s">
        <v>227</v>
      </c>
      <c r="AU48" s="940"/>
      <c r="AV48" s="940"/>
      <c r="AW48" s="940"/>
      <c r="AX48" s="940"/>
      <c r="AY48" s="940"/>
      <c r="AZ48" s="940"/>
      <c r="BA48" s="940"/>
      <c r="BB48" s="940"/>
      <c r="BC48" s="940"/>
      <c r="BD48" s="940"/>
      <c r="BE48" s="940"/>
      <c r="BF48" s="940"/>
      <c r="BG48" s="940"/>
      <c r="BH48" s="940"/>
      <c r="BI48" s="940"/>
      <c r="BJ48" s="940"/>
      <c r="BK48" s="940"/>
      <c r="BL48" s="940"/>
      <c r="BM48" s="940"/>
      <c r="BN48" s="940"/>
      <c r="BO48" s="940"/>
      <c r="BP48" s="940"/>
      <c r="BQ48" s="940"/>
      <c r="BR48" s="940"/>
      <c r="BS48" s="940"/>
      <c r="BT48" s="940"/>
      <c r="BU48" s="531"/>
      <c r="EV48" s="205">
        <f t="shared" si="52"/>
        <v>42825</v>
      </c>
      <c r="EW48" s="216">
        <f>IF(EV48=CPI0_DATE,1,IF(EV48&lt;CPI0_DATE,EW49/EY48*EY49,EXP(_xll.qInterp(EX48,$ER$10:$ER$21,$ES$10:$ES$21))))</f>
        <v>0.84369053047796594</v>
      </c>
      <c r="EX48" s="183">
        <f t="shared" si="62"/>
        <v>6</v>
      </c>
      <c r="EY48" s="175">
        <f t="shared" si="1"/>
        <v>0</v>
      </c>
      <c r="EZ48" s="179">
        <f t="shared" si="63"/>
        <v>209.43698028694982</v>
      </c>
      <c r="FA48" s="177">
        <f t="shared" si="4"/>
        <v>0.73927854813349292</v>
      </c>
      <c r="FB48" s="177">
        <f t="shared" si="5"/>
        <v>0.74201121199214404</v>
      </c>
      <c r="FC48" s="177">
        <f t="shared" si="25"/>
        <v>2.990068073517449</v>
      </c>
    </row>
    <row r="49" spans="6:159">
      <c r="F49" s="547" t="s">
        <v>26</v>
      </c>
      <c r="G49" s="828" t="s">
        <v>48</v>
      </c>
      <c r="I49" s="573" t="s">
        <v>43</v>
      </c>
      <c r="N49" s="580">
        <v>5.0624999999999991</v>
      </c>
      <c r="O49" s="580">
        <v>5.0024999999999995</v>
      </c>
      <c r="P49" s="580">
        <v>24.25</v>
      </c>
      <c r="Q49" s="580">
        <v>19.25</v>
      </c>
      <c r="Y49" s="31"/>
      <c r="AE49" s="936"/>
      <c r="AF49" s="937"/>
      <c r="AG49" s="936"/>
      <c r="AH49" s="937"/>
      <c r="AI49" s="936"/>
      <c r="AJ49" s="939"/>
      <c r="AK49" s="937"/>
      <c r="AT49" s="940"/>
      <c r="AU49" s="940"/>
      <c r="AV49" s="940"/>
      <c r="AW49" s="940"/>
      <c r="AX49" s="940"/>
      <c r="AY49" s="940"/>
      <c r="AZ49" s="940"/>
      <c r="BA49" s="940"/>
      <c r="BB49" s="940"/>
      <c r="BC49" s="940"/>
      <c r="BD49" s="940"/>
      <c r="BE49" s="940"/>
      <c r="BF49" s="940"/>
      <c r="BG49" s="940"/>
      <c r="BH49" s="940"/>
      <c r="BI49" s="940"/>
      <c r="BJ49" s="940"/>
      <c r="BK49" s="940"/>
      <c r="BL49" s="940"/>
      <c r="BM49" s="940"/>
      <c r="BN49" s="940"/>
      <c r="BO49" s="940"/>
      <c r="BP49" s="940"/>
      <c r="BQ49" s="940"/>
      <c r="BR49" s="940"/>
      <c r="BS49" s="940"/>
      <c r="BT49" s="940"/>
      <c r="BU49" s="531"/>
      <c r="EV49" s="205">
        <f t="shared" si="52"/>
        <v>42916</v>
      </c>
      <c r="EW49" s="216">
        <f>IF(EV49=CPI0_DATE,1,IF(EV49&lt;CPI0_DATE,EW50/EY49*EY50,EXP(_xll.qInterp(EX49,$ER$10:$ER$21,$ES$10:$ES$21))))</f>
        <v>0.83749907944282975</v>
      </c>
      <c r="EX49" s="183">
        <f t="shared" si="62"/>
        <v>6.25</v>
      </c>
      <c r="EY49" s="175">
        <f t="shared" si="1"/>
        <v>0</v>
      </c>
      <c r="EZ49" s="179">
        <f t="shared" si="63"/>
        <v>210.98530295406979</v>
      </c>
      <c r="FA49" s="177">
        <f t="shared" si="4"/>
        <v>0.73927854813349292</v>
      </c>
      <c r="FB49" s="177">
        <f t="shared" si="5"/>
        <v>0.74201121199213294</v>
      </c>
      <c r="FC49" s="177">
        <f t="shared" si="25"/>
        <v>2.990068073517449</v>
      </c>
    </row>
    <row r="50" spans="6:159">
      <c r="F50" s="547" t="s">
        <v>7</v>
      </c>
      <c r="G50" s="828" t="s">
        <v>49</v>
      </c>
      <c r="I50" s="573" t="s">
        <v>81</v>
      </c>
      <c r="N50" s="580">
        <v>5.1824999999999992</v>
      </c>
      <c r="O50" s="580">
        <v>5.1224999999999987</v>
      </c>
      <c r="P50" s="580">
        <v>36.25</v>
      </c>
      <c r="Q50" s="580">
        <v>31.25</v>
      </c>
      <c r="Y50" s="31"/>
      <c r="AE50" s="113" t="s">
        <v>38</v>
      </c>
      <c r="AF50" s="114" t="s">
        <v>39</v>
      </c>
      <c r="AG50" s="113" t="s">
        <v>38</v>
      </c>
      <c r="AH50" s="114" t="s">
        <v>39</v>
      </c>
      <c r="AI50" s="113" t="s">
        <v>38</v>
      </c>
      <c r="AJ50" s="932" t="s">
        <v>39</v>
      </c>
      <c r="AK50" s="933"/>
      <c r="AT50" s="941"/>
      <c r="AU50" s="941"/>
      <c r="AV50" s="941"/>
      <c r="AW50" s="941"/>
      <c r="AX50" s="941"/>
      <c r="AY50" s="941"/>
      <c r="AZ50" s="941"/>
      <c r="BA50" s="941"/>
      <c r="BB50" s="941"/>
      <c r="BC50" s="941"/>
      <c r="BD50" s="941"/>
      <c r="BE50" s="941"/>
      <c r="BF50" s="941"/>
      <c r="BG50" s="941"/>
      <c r="BH50" s="941"/>
      <c r="BI50" s="941"/>
      <c r="BJ50" s="941"/>
      <c r="BK50" s="941"/>
      <c r="BL50" s="941"/>
      <c r="BM50" s="941"/>
      <c r="BN50" s="941"/>
      <c r="BO50" s="941"/>
      <c r="BP50" s="941"/>
      <c r="BQ50" s="941"/>
      <c r="BR50" s="941"/>
      <c r="BS50" s="941"/>
      <c r="BT50" s="941"/>
      <c r="BU50" s="531"/>
      <c r="EV50" s="205">
        <f t="shared" si="52"/>
        <v>43008</v>
      </c>
      <c r="EW50" s="216">
        <f>IF(EV50=CPI0_DATE,1,IF(EV50&lt;CPI0_DATE,EW51/EY50*EY51,EXP(_xll.qInterp(EX50,$ER$10:$ER$21,$ES$10:$ES$21))))</f>
        <v>0.83135306457716041</v>
      </c>
      <c r="EX50" s="183">
        <f t="shared" si="62"/>
        <v>6.5</v>
      </c>
      <c r="EY50" s="175">
        <f t="shared" si="1"/>
        <v>0</v>
      </c>
      <c r="EZ50" s="179">
        <f t="shared" si="63"/>
        <v>212.5450720385237</v>
      </c>
      <c r="FA50" s="177">
        <f t="shared" si="4"/>
        <v>0.73927854813349292</v>
      </c>
      <c r="FB50" s="177">
        <f t="shared" si="5"/>
        <v>0.74201121199214404</v>
      </c>
      <c r="FC50" s="177">
        <f t="shared" si="25"/>
        <v>2.990068073517449</v>
      </c>
    </row>
    <row r="51" spans="6:159">
      <c r="F51" s="547" t="s">
        <v>8</v>
      </c>
      <c r="G51" s="828" t="s">
        <v>50</v>
      </c>
      <c r="I51" s="573" t="s">
        <v>82</v>
      </c>
      <c r="N51" s="580">
        <v>5.4274999999999993</v>
      </c>
      <c r="O51" s="580">
        <v>5.3674999999999988</v>
      </c>
      <c r="P51" s="580">
        <v>60.75</v>
      </c>
      <c r="Q51" s="580">
        <v>55.75</v>
      </c>
      <c r="X51" s="28"/>
      <c r="Y51" s="43" t="s">
        <v>25</v>
      </c>
      <c r="Z51" s="541"/>
      <c r="AA51" s="541"/>
      <c r="AB51" s="541"/>
      <c r="AC51" s="541"/>
      <c r="AD51" s="541"/>
      <c r="AE51" s="112">
        <f t="array" ref="AE51:AF51">IF(AE67,N48:O48,"")</f>
        <v>4.9400000000000004</v>
      </c>
      <c r="AF51" s="112">
        <v>4.8899999999999997</v>
      </c>
      <c r="AG51" s="112">
        <f t="array" ref="AG51:AG66">IF($AG$67,P65:P80,"")</f>
        <v>4.9450000000000003</v>
      </c>
      <c r="AH51" s="112">
        <f t="array" ref="AH51:AH66">IF($AG$67,Q65:Q80,"")</f>
        <v>4.9050000000000002</v>
      </c>
      <c r="AI51" s="541">
        <f t="array" ref="AI51:AI66">IF($AI$67,P82:P97,"")</f>
        <v>4.9429999999999996</v>
      </c>
      <c r="AJ51" s="942">
        <f t="shared" ref="AJ51:AJ66" si="66">IF($AI$67,Q82,"")</f>
        <v>4.923</v>
      </c>
      <c r="AK51" s="942"/>
      <c r="BD51" s="52"/>
      <c r="BU51" s="531"/>
      <c r="EV51" s="205">
        <f t="shared" si="52"/>
        <v>43100</v>
      </c>
      <c r="EW51" s="216">
        <f>IF(EV51=CPI0_DATE,1,IF(EV51&lt;CPI0_DATE,EW52/EY51*EY52,EXP(_xll.qInterp(EX51,$ER$10:$ER$21,$ES$10:$ES$21))))</f>
        <v>0.82525215244611638</v>
      </c>
      <c r="EX51" s="183">
        <f t="shared" si="62"/>
        <v>6.75</v>
      </c>
      <c r="EY51" s="175">
        <f t="shared" si="1"/>
        <v>0</v>
      </c>
      <c r="EZ51" s="179">
        <f t="shared" si="63"/>
        <v>214.11637216121937</v>
      </c>
      <c r="FA51" s="177">
        <f t="shared" si="4"/>
        <v>0.73927854813349292</v>
      </c>
      <c r="FB51" s="177">
        <f t="shared" si="5"/>
        <v>0.74201121199214404</v>
      </c>
      <c r="FC51" s="177">
        <f t="shared" si="25"/>
        <v>2.990068073517449</v>
      </c>
    </row>
    <row r="52" spans="6:159">
      <c r="F52" s="547" t="s">
        <v>9</v>
      </c>
      <c r="G52" s="828" t="s">
        <v>51</v>
      </c>
      <c r="N52" s="580">
        <v>5.5474999999999994</v>
      </c>
      <c r="O52" s="580">
        <v>5.4874999999999998</v>
      </c>
      <c r="P52" s="580">
        <v>72.75</v>
      </c>
      <c r="Q52" s="580">
        <v>67.75</v>
      </c>
      <c r="X52" s="28"/>
      <c r="Y52" s="43" t="s">
        <v>26</v>
      </c>
      <c r="Z52" s="541"/>
      <c r="AA52" s="541"/>
      <c r="AB52" s="541"/>
      <c r="AC52" s="541"/>
      <c r="AD52" s="541"/>
      <c r="AE52" s="112">
        <f t="array" ref="AE52:AE66">IF($AE$67,P49:P63,"")</f>
        <v>24.25</v>
      </c>
      <c r="AF52" s="112">
        <f t="array" ref="AF52:AF66">IF($AE$67,Q49:Q63,"")</f>
        <v>19.25</v>
      </c>
      <c r="AG52" s="112">
        <v>23.5</v>
      </c>
      <c r="AH52" s="112">
        <v>19.5</v>
      </c>
      <c r="AI52" s="541">
        <v>23.75</v>
      </c>
      <c r="AJ52" s="931">
        <f t="shared" si="66"/>
        <v>19.75</v>
      </c>
      <c r="AK52" s="931"/>
      <c r="AT52" s="41" t="s">
        <v>295</v>
      </c>
      <c r="AU52" s="37"/>
      <c r="AV52" s="35"/>
      <c r="AW52" s="35"/>
      <c r="AX52" s="35"/>
      <c r="AY52" s="211"/>
      <c r="AZ52" s="211"/>
      <c r="BA52" s="211"/>
      <c r="BB52" s="211"/>
      <c r="BC52" s="211"/>
      <c r="BD52" s="41" t="s">
        <v>755</v>
      </c>
      <c r="BE52" s="39"/>
      <c r="BG52" s="55" t="str">
        <f>_xll.qIRcurveZeroBankReval("AUD.ZB.DISC","AUD",Today,AI9:AI12,AU18:AU25,Y18:Y25,AI30:AI43,AU28:AU38)</f>
        <v>AUD.ZB.DISC|[Swap Pricer 1w.xlsm]AU!$BG$52#1138</v>
      </c>
      <c r="BT52" s="3"/>
      <c r="BU52" s="531"/>
      <c r="EV52" s="205">
        <f t="shared" si="52"/>
        <v>43190</v>
      </c>
      <c r="EW52" s="216">
        <f>IF(EV52=CPI0_DATE,1,IF(EV52&lt;CPI0_DATE,EW53/EY52*EY53,EXP(_xll.qInterp(EX52,$ER$10:$ER$21,$ES$10:$ES$21))))</f>
        <v>0.81919601206177861</v>
      </c>
      <c r="EX52" s="183">
        <f t="shared" si="62"/>
        <v>7</v>
      </c>
      <c r="EY52" s="175">
        <f t="shared" si="1"/>
        <v>0</v>
      </c>
      <c r="EZ52" s="179">
        <f t="shared" si="63"/>
        <v>215.69928856864894</v>
      </c>
      <c r="FA52" s="177">
        <f t="shared" si="4"/>
        <v>0.73927854813349292</v>
      </c>
      <c r="FB52" s="177">
        <f t="shared" si="5"/>
        <v>0.74201121199214404</v>
      </c>
      <c r="FC52" s="177">
        <f t="shared" si="25"/>
        <v>2.990068073517449</v>
      </c>
    </row>
    <row r="53" spans="6:159">
      <c r="F53" s="547" t="s">
        <v>10</v>
      </c>
      <c r="G53" s="828" t="s">
        <v>52</v>
      </c>
      <c r="N53" s="580">
        <v>5.64</v>
      </c>
      <c r="O53" s="580">
        <v>5.585</v>
      </c>
      <c r="P53" s="580">
        <v>38</v>
      </c>
      <c r="Q53" s="580">
        <v>33</v>
      </c>
      <c r="X53" s="28"/>
      <c r="Y53" s="43" t="s">
        <v>7</v>
      </c>
      <c r="Z53" s="541"/>
      <c r="AA53" s="541"/>
      <c r="AB53" s="541"/>
      <c r="AC53" s="541"/>
      <c r="AD53" s="541"/>
      <c r="AE53" s="112">
        <v>36.25</v>
      </c>
      <c r="AF53" s="112">
        <v>31.25</v>
      </c>
      <c r="AG53" s="112">
        <v>35.75</v>
      </c>
      <c r="AH53" s="112">
        <v>31.75</v>
      </c>
      <c r="AI53" s="541">
        <v>36</v>
      </c>
      <c r="AJ53" s="931">
        <f t="shared" si="66"/>
        <v>32</v>
      </c>
      <c r="AK53" s="931"/>
      <c r="AT53" s="41"/>
      <c r="AU53" s="37"/>
      <c r="AV53" s="35"/>
      <c r="AW53" s="35"/>
      <c r="AX53" s="35"/>
      <c r="AY53" s="211"/>
      <c r="AZ53" s="211"/>
      <c r="BA53" s="211"/>
      <c r="BB53" s="211"/>
      <c r="BC53" s="211"/>
      <c r="BD53" s="41" t="s">
        <v>756</v>
      </c>
      <c r="BE53" s="39"/>
      <c r="BG53" s="55" t="str">
        <f>_xll.qIRcurveSCBasisReval("AUD.ZB.ON","AUD",AUD.ZB.DISC,"1v3","Synthetic",BY7:BY27)</f>
        <v>AUD.ZB.ON|[Swap Pricer 1w.xlsm]AU!$BG$53#1140</v>
      </c>
      <c r="BT53" s="3"/>
      <c r="BU53" s="531"/>
      <c r="EV53" s="205">
        <f t="shared" si="52"/>
        <v>43281</v>
      </c>
      <c r="EW53" s="216">
        <f>IF(EV53=CPI0_DATE,1,IF(EV53&lt;CPI0_DATE,EW54/EY53*EY54,EXP(_xll.qInterp(EX53,$ER$10:$ER$21,$ES$10:$ES$21))))</f>
        <v>0.81305272002188522</v>
      </c>
      <c r="EX53" s="183">
        <f t="shared" si="62"/>
        <v>7.25</v>
      </c>
      <c r="EY53" s="175">
        <f t="shared" si="1"/>
        <v>0</v>
      </c>
      <c r="EZ53" s="179">
        <f t="shared" si="63"/>
        <v>217.32907676053736</v>
      </c>
      <c r="FA53" s="177">
        <f t="shared" si="4"/>
        <v>0.75558348045721146</v>
      </c>
      <c r="FB53" s="177">
        <f t="shared" si="5"/>
        <v>0.75022394758748057</v>
      </c>
      <c r="FC53" s="177">
        <f t="shared" si="25"/>
        <v>3.0067373023838329</v>
      </c>
    </row>
    <row r="54" spans="6:159">
      <c r="F54" s="547" t="s">
        <v>11</v>
      </c>
      <c r="G54" s="828" t="s">
        <v>53</v>
      </c>
      <c r="N54" s="580">
        <v>5.7274999999999991</v>
      </c>
      <c r="O54" s="580">
        <v>5.6724999999999994</v>
      </c>
      <c r="P54" s="580">
        <v>46.75</v>
      </c>
      <c r="Q54" s="580">
        <v>41.75</v>
      </c>
      <c r="X54" s="28"/>
      <c r="Y54" s="43" t="s">
        <v>8</v>
      </c>
      <c r="Z54" s="541"/>
      <c r="AA54" s="541"/>
      <c r="AB54" s="541"/>
      <c r="AC54" s="541"/>
      <c r="AD54" s="541"/>
      <c r="AE54" s="112">
        <v>60.75</v>
      </c>
      <c r="AF54" s="112">
        <v>55.75</v>
      </c>
      <c r="AG54" s="112">
        <v>60.25</v>
      </c>
      <c r="AH54" s="112">
        <v>56.25</v>
      </c>
      <c r="AI54" s="541">
        <v>60.75</v>
      </c>
      <c r="AJ54" s="931">
        <f t="shared" si="66"/>
        <v>56.75</v>
      </c>
      <c r="AK54" s="931"/>
      <c r="AT54" s="37"/>
      <c r="AU54" s="37"/>
      <c r="AV54" s="35"/>
      <c r="AW54" s="35"/>
      <c r="AX54" s="35"/>
      <c r="AY54" s="211"/>
      <c r="AZ54" s="211"/>
      <c r="BA54" s="211"/>
      <c r="BB54" s="211"/>
      <c r="BC54" s="211"/>
      <c r="BD54" s="41" t="s">
        <v>757</v>
      </c>
      <c r="BE54" s="39"/>
      <c r="BG54" s="56" t="str">
        <f>_xll.qIRcurveSCBasisReval("AUD.ZB.1M","AUD",AUD.ZB.DISC,"1v3","Synthetic",BZ7:BZ27)</f>
        <v>AUD.ZB.1M|[Swap Pricer 1w.xlsm]AU!$BG$54#1141</v>
      </c>
      <c r="BT54" s="3"/>
      <c r="BU54" s="531"/>
      <c r="EV54" s="205">
        <f t="shared" si="52"/>
        <v>43373</v>
      </c>
      <c r="EW54" s="216">
        <f>IF(EV54=CPI0_DATE,1,IF(EV54&lt;CPI0_DATE,EW55/EY54*EY55,EXP(_xll.qInterp(EX54,$ER$10:$ER$21,$ES$10:$ES$21))))</f>
        <v>0.80695549758747298</v>
      </c>
      <c r="EX54" s="183">
        <f t="shared" si="62"/>
        <v>7.5</v>
      </c>
      <c r="EY54" s="175">
        <f t="shared" si="1"/>
        <v>0</v>
      </c>
      <c r="EZ54" s="179">
        <f t="shared" si="63"/>
        <v>218.97117936277016</v>
      </c>
      <c r="FA54" s="177">
        <f t="shared" si="4"/>
        <v>0.75558348045721146</v>
      </c>
      <c r="FB54" s="177">
        <f t="shared" si="5"/>
        <v>0.75843801243690168</v>
      </c>
      <c r="FC54" s="177">
        <f t="shared" si="25"/>
        <v>3.0234092292112713</v>
      </c>
    </row>
    <row r="55" spans="6:159">
      <c r="F55" s="547" t="s">
        <v>12</v>
      </c>
      <c r="G55" s="828" t="s">
        <v>54</v>
      </c>
      <c r="N55" s="580">
        <v>5.7850000000000001</v>
      </c>
      <c r="O55" s="580">
        <v>5.73</v>
      </c>
      <c r="P55" s="580">
        <v>52.5</v>
      </c>
      <c r="Q55" s="580">
        <v>47.5</v>
      </c>
      <c r="X55" s="28"/>
      <c r="Y55" s="43" t="s">
        <v>9</v>
      </c>
      <c r="Z55" s="541"/>
      <c r="AA55" s="541"/>
      <c r="AB55" s="541"/>
      <c r="AC55" s="541"/>
      <c r="AD55" s="541"/>
      <c r="AE55" s="112">
        <v>72.75</v>
      </c>
      <c r="AF55" s="112">
        <v>67.75</v>
      </c>
      <c r="AG55" s="112">
        <v>72.25</v>
      </c>
      <c r="AH55" s="112">
        <v>68.25</v>
      </c>
      <c r="AI55" s="541">
        <v>72.25</v>
      </c>
      <c r="AJ55" s="931">
        <f t="shared" si="66"/>
        <v>68.25</v>
      </c>
      <c r="AK55" s="931"/>
      <c r="AT55" s="37"/>
      <c r="AU55" s="37"/>
      <c r="AV55" s="35"/>
      <c r="AW55" s="35"/>
      <c r="AX55" s="35"/>
      <c r="AY55" s="211"/>
      <c r="AZ55" s="211"/>
      <c r="BA55" s="211"/>
      <c r="BB55" s="211"/>
      <c r="BC55" s="211"/>
      <c r="BD55" s="41" t="s">
        <v>758</v>
      </c>
      <c r="BE55" s="39"/>
      <c r="BG55" s="56" t="str">
        <f>AUD.ZB.DISC</f>
        <v>AUD.ZB.DISC|[Swap Pricer 1w.xlsm]AU!$BG$52#1138</v>
      </c>
      <c r="BT55" s="3"/>
      <c r="BU55" s="531"/>
      <c r="EV55" s="205">
        <f t="shared" si="52"/>
        <v>43465</v>
      </c>
      <c r="EW55" s="216">
        <f>IF(EV55=CPI0_DATE,1,IF(EV55&lt;CPI0_DATE,EW56/EY55*EY56,EXP(_xll.qInterp(EX55,$ER$10:$ER$21,$ES$10:$ES$21))))</f>
        <v>0.80090399927463274</v>
      </c>
      <c r="EX55" s="183">
        <f t="shared" si="62"/>
        <v>7.75</v>
      </c>
      <c r="EY55" s="175">
        <f t="shared" si="1"/>
        <v>0</v>
      </c>
      <c r="EZ55" s="179">
        <f t="shared" si="63"/>
        <v>220.62568942099759</v>
      </c>
      <c r="FA55" s="177">
        <f t="shared" si="4"/>
        <v>0.75558348045721146</v>
      </c>
      <c r="FB55" s="177">
        <f t="shared" si="5"/>
        <v>0.75843801243691278</v>
      </c>
      <c r="FC55" s="177">
        <f t="shared" si="25"/>
        <v>3.040083854436415</v>
      </c>
    </row>
    <row r="56" spans="6:159">
      <c r="F56" s="547" t="s">
        <v>13</v>
      </c>
      <c r="G56" s="828" t="s">
        <v>55</v>
      </c>
      <c r="N56" s="580">
        <v>5.83</v>
      </c>
      <c r="O56" s="580">
        <v>5.7750000000000004</v>
      </c>
      <c r="P56" s="580">
        <v>57</v>
      </c>
      <c r="Q56" s="580">
        <v>52</v>
      </c>
      <c r="X56" s="28"/>
      <c r="Y56" s="43" t="s">
        <v>10</v>
      </c>
      <c r="Z56" s="541"/>
      <c r="AA56" s="541"/>
      <c r="AB56" s="541"/>
      <c r="AC56" s="541"/>
      <c r="AD56" s="541"/>
      <c r="AE56" s="112">
        <v>38</v>
      </c>
      <c r="AF56" s="112">
        <v>33</v>
      </c>
      <c r="AG56" s="112">
        <v>37.75</v>
      </c>
      <c r="AH56" s="112">
        <v>33.75</v>
      </c>
      <c r="AI56" s="541">
        <v>37.75</v>
      </c>
      <c r="AJ56" s="931">
        <f t="shared" si="66"/>
        <v>33.75</v>
      </c>
      <c r="AK56" s="931"/>
      <c r="AT56" s="37"/>
      <c r="AU56" s="37"/>
      <c r="AV56" s="35"/>
      <c r="AW56" s="35"/>
      <c r="AX56" s="35"/>
      <c r="AY56" s="211"/>
      <c r="AZ56" s="211"/>
      <c r="BA56" s="211"/>
      <c r="BB56" s="211"/>
      <c r="BC56" s="211"/>
      <c r="BD56" s="41" t="s">
        <v>759</v>
      </c>
      <c r="BE56" s="39"/>
      <c r="BG56" s="56" t="str">
        <f>_xll.qIRcurveSCBasisReval("AUD.ZB.6M","AUD",AUD.ZB.DISC,"3v6","Synthetic",CA7:CA27)</f>
        <v>AUD.ZB.6M|[Swap Pricer 1w.xlsm]AU!$BG$56#1139</v>
      </c>
      <c r="BT56" s="3"/>
      <c r="BU56" s="531"/>
      <c r="EV56" s="205">
        <f t="shared" si="52"/>
        <v>43555</v>
      </c>
      <c r="EW56" s="216">
        <f>IF(EV56=CPI0_DATE,1,IF(EV56&lt;CPI0_DATE,EW57/EY56*EY57,EXP(_xll.qInterp(EX56,$ER$10:$ER$21,$ES$10:$ES$21))))</f>
        <v>0.79489788219029855</v>
      </c>
      <c r="EX56" s="183">
        <f t="shared" si="62"/>
        <v>8</v>
      </c>
      <c r="EY56" s="175">
        <f t="shared" si="1"/>
        <v>0</v>
      </c>
      <c r="EZ56" s="179">
        <f t="shared" si="63"/>
        <v>222.2927006839075</v>
      </c>
      <c r="FA56" s="177">
        <f t="shared" si="4"/>
        <v>0.75558348045721146</v>
      </c>
      <c r="FB56" s="177">
        <f t="shared" si="5"/>
        <v>0.75843801243691278</v>
      </c>
      <c r="FC56" s="177">
        <f t="shared" si="25"/>
        <v>3.0567611784960258</v>
      </c>
    </row>
    <row r="57" spans="6:159">
      <c r="F57" s="547" t="s">
        <v>14</v>
      </c>
      <c r="G57" s="828" t="s">
        <v>56</v>
      </c>
      <c r="N57" s="580">
        <v>5.87</v>
      </c>
      <c r="O57" s="580">
        <v>5.8149999999999995</v>
      </c>
      <c r="P57" s="580">
        <v>61</v>
      </c>
      <c r="Q57" s="580">
        <v>56</v>
      </c>
      <c r="X57" s="28"/>
      <c r="Y57" s="43" t="s">
        <v>11</v>
      </c>
      <c r="Z57" s="541"/>
      <c r="AA57" s="541"/>
      <c r="AB57" s="541"/>
      <c r="AC57" s="541"/>
      <c r="AD57" s="541"/>
      <c r="AE57" s="112">
        <v>46.75</v>
      </c>
      <c r="AF57" s="112">
        <v>41.75</v>
      </c>
      <c r="AG57" s="112">
        <v>46.25</v>
      </c>
      <c r="AH57" s="112">
        <v>42.25</v>
      </c>
      <c r="AI57" s="541">
        <v>46.5</v>
      </c>
      <c r="AJ57" s="931">
        <f t="shared" si="66"/>
        <v>42.5</v>
      </c>
      <c r="AK57" s="931"/>
      <c r="AT57" s="37"/>
      <c r="AU57" s="37"/>
      <c r="AV57" s="35"/>
      <c r="AW57" s="35"/>
      <c r="AX57" s="35"/>
      <c r="AY57" s="211"/>
      <c r="AZ57" s="211"/>
      <c r="BA57" s="211"/>
      <c r="BB57" s="211"/>
      <c r="BC57" s="211"/>
      <c r="BD57" s="41" t="s">
        <v>760</v>
      </c>
      <c r="BE57" s="39"/>
      <c r="BG57" s="56" t="str">
        <f>BG56</f>
        <v>AUD.ZB.6M|[Swap Pricer 1w.xlsm]AU!$BG$56#1139</v>
      </c>
      <c r="BT57" s="3"/>
      <c r="BU57" s="531"/>
      <c r="EV57" s="205">
        <f t="shared" si="52"/>
        <v>43646</v>
      </c>
      <c r="EW57" s="216">
        <f>IF(EV57=CPI0_DATE,1,IF(EV57&lt;CPI0_DATE,EW58/EY57*EY58,EXP(_xll.qInterp(EX57,$ER$10:$ER$21,$ES$10:$ES$21))))</f>
        <v>0.7889368060128189</v>
      </c>
      <c r="EX57" s="183">
        <f t="shared" ref="EX57:EX88" si="67">ROUND((EV57-CPI0_DATE)/365/0.25,0)*0.25</f>
        <v>8.25</v>
      </c>
      <c r="EY57" s="175">
        <f t="shared" si="1"/>
        <v>0</v>
      </c>
      <c r="EZ57" s="179">
        <f t="shared" si="63"/>
        <v>223.97230760853731</v>
      </c>
      <c r="FA57" s="177">
        <f t="shared" si="4"/>
        <v>0.75558348045721146</v>
      </c>
      <c r="FB57" s="177">
        <f t="shared" si="5"/>
        <v>0.75843801243691278</v>
      </c>
      <c r="FC57" s="177">
        <f t="shared" si="25"/>
        <v>3.0567611784960258</v>
      </c>
    </row>
    <row r="58" spans="6:159">
      <c r="F58" s="547" t="s">
        <v>15</v>
      </c>
      <c r="G58" s="828" t="s">
        <v>57</v>
      </c>
      <c r="N58" s="580">
        <v>5.9424999999999999</v>
      </c>
      <c r="O58" s="580">
        <v>5.8774999999999995</v>
      </c>
      <c r="P58" s="580">
        <v>68.25</v>
      </c>
      <c r="Q58" s="580">
        <v>62.25</v>
      </c>
      <c r="X58" s="28"/>
      <c r="Y58" s="43" t="s">
        <v>12</v>
      </c>
      <c r="Z58" s="541"/>
      <c r="AA58" s="541"/>
      <c r="AB58" s="541"/>
      <c r="AC58" s="541"/>
      <c r="AD58" s="541"/>
      <c r="AE58" s="112">
        <v>52.5</v>
      </c>
      <c r="AF58" s="112">
        <v>47.5</v>
      </c>
      <c r="AG58" s="112">
        <v>52</v>
      </c>
      <c r="AH58" s="112">
        <v>48</v>
      </c>
      <c r="AI58" s="541">
        <v>52</v>
      </c>
      <c r="AJ58" s="931">
        <f t="shared" si="66"/>
        <v>48</v>
      </c>
      <c r="AK58" s="931"/>
      <c r="BG58" s="185"/>
      <c r="BT58" s="3"/>
      <c r="BU58" s="531"/>
      <c r="EV58" s="205">
        <f t="shared" si="52"/>
        <v>43738</v>
      </c>
      <c r="EW58" s="216">
        <f>IF(EV58=CPI0_DATE,1,IF(EV58&lt;CPI0_DATE,EW59/EY58*EY59,EXP(_xll.qInterp(EX58,$ER$10:$ER$21,$ES$10:$ES$21))))</f>
        <v>0.78302043297267288</v>
      </c>
      <c r="EX58" s="183">
        <f t="shared" si="67"/>
        <v>8.5</v>
      </c>
      <c r="EY58" s="175">
        <f t="shared" si="1"/>
        <v>0</v>
      </c>
      <c r="EZ58" s="179">
        <f t="shared" si="63"/>
        <v>225.66460536562622</v>
      </c>
      <c r="FA58" s="177">
        <f t="shared" si="4"/>
        <v>0.75558348045721146</v>
      </c>
      <c r="FB58" s="177">
        <f t="shared" si="5"/>
        <v>0.75843801243691278</v>
      </c>
      <c r="FC58" s="177">
        <f t="shared" si="25"/>
        <v>3.0567611784960258</v>
      </c>
    </row>
    <row r="59" spans="6:159">
      <c r="F59" s="547" t="s">
        <v>16</v>
      </c>
      <c r="G59" s="828" t="s">
        <v>58</v>
      </c>
      <c r="N59" s="580">
        <v>6.0049999999999999</v>
      </c>
      <c r="O59" s="580">
        <v>5.94</v>
      </c>
      <c r="P59" s="580">
        <v>74.5</v>
      </c>
      <c r="Q59" s="580">
        <v>68.5</v>
      </c>
      <c r="X59" s="28"/>
      <c r="Y59" s="43" t="s">
        <v>13</v>
      </c>
      <c r="Z59" s="541"/>
      <c r="AA59" s="541"/>
      <c r="AB59" s="541"/>
      <c r="AC59" s="541"/>
      <c r="AD59" s="541"/>
      <c r="AE59" s="112">
        <v>57</v>
      </c>
      <c r="AF59" s="112">
        <v>52</v>
      </c>
      <c r="AG59" s="112">
        <v>56.5</v>
      </c>
      <c r="AH59" s="112">
        <v>52.5</v>
      </c>
      <c r="AI59" s="541">
        <v>56.5</v>
      </c>
      <c r="AJ59" s="931">
        <f t="shared" si="66"/>
        <v>52.5</v>
      </c>
      <c r="AK59" s="931"/>
      <c r="AT59" s="41" t="s">
        <v>296</v>
      </c>
      <c r="AU59" s="37"/>
      <c r="AV59" s="35"/>
      <c r="AW59" s="35"/>
      <c r="AX59" s="35"/>
      <c r="AY59" s="211"/>
      <c r="AZ59" s="211"/>
      <c r="BA59" s="211"/>
      <c r="BB59" s="211"/>
      <c r="BC59" s="211"/>
      <c r="BD59" s="40" t="s">
        <v>761</v>
      </c>
      <c r="BE59" s="39"/>
      <c r="BG59" s="185" t="str">
        <f>_xll.qIRcurveXCBasisReval(BD59,AUD.ZB.DISC,"Market",_xll.qVectorMake(FX!AB32,FX!AB33,FX!AB34,FX!AB35,FX!AB36,FX!AB38,FX!AB41,FX!AB43,FX!AB44,FX!AB46),USD.ZB.DISC,BK59)</f>
        <v>AUD.ZBX.DISC|[Swap Pricer 1w.xlsm]AU!$BG$59#1142</v>
      </c>
      <c r="BK59" s="779" t="str">
        <f>_xll.qFXcurve("TEMP","AUD",Today,FX!I7:I21,FX!AB7:AB21)</f>
        <v>TEMP|[Swap Pricer 1w.xlsm]AU!$BK$59#1099</v>
      </c>
      <c r="BT59" s="3"/>
      <c r="BU59" s="531"/>
      <c r="EV59" s="205">
        <f t="shared" si="52"/>
        <v>43830</v>
      </c>
      <c r="EW59" s="216">
        <f>IF(EV59=CPI0_DATE,1,IF(EV59&lt;CPI0_DATE,EW60/EY59*EY60,EXP(_xll.qInterp(EX59,$ER$10:$ER$21,$ES$10:$ES$21))))</f>
        <v>0.77714842783333127</v>
      </c>
      <c r="EX59" s="183">
        <f t="shared" si="67"/>
        <v>8.75</v>
      </c>
      <c r="EY59" s="175">
        <f t="shared" si="1"/>
        <v>0</v>
      </c>
      <c r="EZ59" s="179">
        <f t="shared" si="63"/>
        <v>227.36968984500785</v>
      </c>
      <c r="FA59" s="177">
        <f t="shared" si="4"/>
        <v>0.75558348045721146</v>
      </c>
      <c r="FB59" s="177">
        <f t="shared" si="5"/>
        <v>0.75843801243691278</v>
      </c>
      <c r="FC59" s="177">
        <f t="shared" si="25"/>
        <v>3.0567611784960258</v>
      </c>
    </row>
    <row r="60" spans="6:159">
      <c r="F60" s="547" t="s">
        <v>17</v>
      </c>
      <c r="G60" s="828" t="s">
        <v>59</v>
      </c>
      <c r="N60" s="580">
        <v>5.9624999999999995</v>
      </c>
      <c r="O60" s="580">
        <v>5.8974999999999991</v>
      </c>
      <c r="P60" s="580">
        <v>70.25</v>
      </c>
      <c r="Q60" s="580">
        <v>64.25</v>
      </c>
      <c r="X60" s="28"/>
      <c r="Y60" s="43" t="s">
        <v>14</v>
      </c>
      <c r="Z60" s="541"/>
      <c r="AA60" s="541"/>
      <c r="AB60" s="541"/>
      <c r="AC60" s="541"/>
      <c r="AD60" s="541"/>
      <c r="AE60" s="112">
        <v>61</v>
      </c>
      <c r="AF60" s="112">
        <v>56</v>
      </c>
      <c r="AG60" s="112">
        <v>60.5</v>
      </c>
      <c r="AH60" s="112">
        <v>56.5</v>
      </c>
      <c r="AI60" s="541">
        <v>60.38</v>
      </c>
      <c r="AJ60" s="931">
        <f t="shared" si="66"/>
        <v>56.38</v>
      </c>
      <c r="AK60" s="931"/>
      <c r="AT60" s="41"/>
      <c r="AU60" s="37"/>
      <c r="AV60" s="35"/>
      <c r="AW60" s="35"/>
      <c r="AX60" s="35"/>
      <c r="AY60" s="211"/>
      <c r="AZ60" s="211"/>
      <c r="BA60" s="211"/>
      <c r="BB60" s="211"/>
      <c r="BC60" s="211"/>
      <c r="BD60" s="41" t="s">
        <v>762</v>
      </c>
      <c r="BE60" s="39"/>
      <c r="BG60" s="185" t="str">
        <f t="array" ref="BG60:BG64">BG53:BG57</f>
        <v>AUD.ZB.ON|[Swap Pricer 1w.xlsm]AU!$BG$53#1140</v>
      </c>
      <c r="BT60" s="3"/>
      <c r="BU60" s="531"/>
      <c r="EV60" s="205">
        <f t="shared" si="52"/>
        <v>43921</v>
      </c>
      <c r="EW60" s="216">
        <f>IF(EV60=CPI0_DATE,1,IF(EV60&lt;CPI0_DATE,EW61/EY60*EY61,EXP(_xll.qInterp(EX60,$ER$10:$ER$21,$ES$10:$ES$21))))</f>
        <v>0.77132045787226156</v>
      </c>
      <c r="EX60" s="183">
        <f t="shared" si="67"/>
        <v>9</v>
      </c>
      <c r="EY60" s="175">
        <f t="shared" si="1"/>
        <v>0</v>
      </c>
      <c r="EZ60" s="179">
        <f t="shared" si="63"/>
        <v>229.08765766104352</v>
      </c>
      <c r="FA60" s="177">
        <f t="shared" si="4"/>
        <v>0.75558348045721146</v>
      </c>
      <c r="FB60" s="177">
        <f t="shared" si="5"/>
        <v>0.75843801243691278</v>
      </c>
      <c r="FC60" s="177">
        <f t="shared" si="25"/>
        <v>3.0567611784960036</v>
      </c>
    </row>
    <row r="61" spans="6:159">
      <c r="F61" s="547" t="s">
        <v>18</v>
      </c>
      <c r="G61" s="828" t="s">
        <v>60</v>
      </c>
      <c r="N61" s="580">
        <v>5.8474999999999993</v>
      </c>
      <c r="O61" s="580">
        <v>5.7824999999999998</v>
      </c>
      <c r="P61" s="580">
        <v>58.75</v>
      </c>
      <c r="Q61" s="580">
        <v>52.75</v>
      </c>
      <c r="X61" s="28"/>
      <c r="Y61" s="43" t="s">
        <v>15</v>
      </c>
      <c r="Z61" s="541"/>
      <c r="AA61" s="541"/>
      <c r="AB61" s="541"/>
      <c r="AC61" s="541"/>
      <c r="AD61" s="541"/>
      <c r="AE61" s="112">
        <v>68.25</v>
      </c>
      <c r="AF61" s="112">
        <v>62.25</v>
      </c>
      <c r="AG61" s="112">
        <v>67.25</v>
      </c>
      <c r="AH61" s="112">
        <v>63.25</v>
      </c>
      <c r="AI61" s="541">
        <v>67.38</v>
      </c>
      <c r="AJ61" s="931">
        <f t="shared" si="66"/>
        <v>63.38</v>
      </c>
      <c r="AK61" s="931"/>
      <c r="BD61" s="41" t="s">
        <v>763</v>
      </c>
      <c r="BG61" s="185" t="str">
        <v>AUD.ZB.1M|[Swap Pricer 1w.xlsm]AU!$BG$54#1141</v>
      </c>
      <c r="BU61" s="531"/>
      <c r="EV61" s="205">
        <f t="shared" si="52"/>
        <v>44012</v>
      </c>
      <c r="EW61" s="216">
        <f>IF(EV61=CPI0_DATE,1,IF(EV61&lt;CPI0_DATE,EW62/EY61*EY62,EXP(_xll.qInterp(EX61,$ER$10:$ER$21,$ES$10:$ES$21))))</f>
        <v>0.76553619286207464</v>
      </c>
      <c r="EX61" s="183">
        <f t="shared" si="67"/>
        <v>9.25</v>
      </c>
      <c r="EY61" s="175">
        <f t="shared" si="1"/>
        <v>0</v>
      </c>
      <c r="EZ61" s="179">
        <f t="shared" si="63"/>
        <v>230.81860615809674</v>
      </c>
      <c r="FA61" s="177">
        <f t="shared" si="4"/>
        <v>0.75558348045721146</v>
      </c>
      <c r="FB61" s="177">
        <f t="shared" si="5"/>
        <v>0.75843801243691278</v>
      </c>
      <c r="FC61" s="177">
        <f t="shared" si="25"/>
        <v>3.0567611784960036</v>
      </c>
    </row>
    <row r="62" spans="6:159">
      <c r="F62" s="547" t="s">
        <v>19</v>
      </c>
      <c r="G62" s="828" t="s">
        <v>61</v>
      </c>
      <c r="N62" s="580">
        <v>5.7050000000000001</v>
      </c>
      <c r="O62" s="580">
        <v>5.64</v>
      </c>
      <c r="P62" s="580">
        <v>44.5</v>
      </c>
      <c r="Q62" s="580">
        <v>38.5</v>
      </c>
      <c r="X62" s="28"/>
      <c r="Y62" s="43" t="s">
        <v>16</v>
      </c>
      <c r="Z62" s="541"/>
      <c r="AA62" s="541"/>
      <c r="AB62" s="541"/>
      <c r="AC62" s="541"/>
      <c r="AD62" s="541"/>
      <c r="AE62" s="112">
        <v>74.5</v>
      </c>
      <c r="AF62" s="112">
        <v>68.5</v>
      </c>
      <c r="AG62" s="112">
        <v>73.5</v>
      </c>
      <c r="AH62" s="112">
        <v>69.5</v>
      </c>
      <c r="AI62" s="541">
        <v>73.38</v>
      </c>
      <c r="AJ62" s="931">
        <f t="shared" si="66"/>
        <v>69.38</v>
      </c>
      <c r="AK62" s="931"/>
      <c r="BD62" s="41" t="s">
        <v>764</v>
      </c>
      <c r="BG62" s="185" t="str">
        <v>AUD.ZB.DISC|[Swap Pricer 1w.xlsm]AU!$BG$52#1138</v>
      </c>
      <c r="EV62" s="205">
        <f t="shared" si="52"/>
        <v>44104</v>
      </c>
      <c r="EW62" s="216">
        <f>IF(EV62=CPI0_DATE,1,IF(EV62&lt;CPI0_DATE,EW63/EY62*EY63,EXP(_xll.qInterp(EX62,$ER$10:$ER$21,$ES$10:$ES$21))))</f>
        <v>0.75979530505181359</v>
      </c>
      <c r="EX62" s="183">
        <f t="shared" si="67"/>
        <v>9.5</v>
      </c>
      <c r="EY62" s="175">
        <f t="shared" si="1"/>
        <v>0</v>
      </c>
      <c r="EZ62" s="179">
        <f t="shared" ref="EZ62:EZ93" si="68">IF(EY62&gt;0,EY62,EZ61*EW61/EW62)</f>
        <v>232.56263341604893</v>
      </c>
      <c r="FA62" s="177">
        <f t="shared" si="4"/>
        <v>0.75558348045721146</v>
      </c>
      <c r="FB62" s="177">
        <f t="shared" si="5"/>
        <v>0.75843801243691278</v>
      </c>
      <c r="FC62" s="177">
        <f t="shared" si="25"/>
        <v>3.0567611784960258</v>
      </c>
    </row>
    <row r="63" spans="6:159">
      <c r="F63" s="547" t="s">
        <v>27</v>
      </c>
      <c r="G63" s="828" t="s">
        <v>62</v>
      </c>
      <c r="N63" s="580">
        <v>5.3624999999999989</v>
      </c>
      <c r="O63" s="580">
        <v>5.2774999999999999</v>
      </c>
      <c r="P63" s="580">
        <v>10.25</v>
      </c>
      <c r="Q63" s="580">
        <v>2.25</v>
      </c>
      <c r="X63" s="28"/>
      <c r="Y63" s="43" t="s">
        <v>17</v>
      </c>
      <c r="Z63" s="541"/>
      <c r="AA63" s="541"/>
      <c r="AB63" s="541"/>
      <c r="AC63" s="541"/>
      <c r="AD63" s="541"/>
      <c r="AE63" s="112">
        <v>70.25</v>
      </c>
      <c r="AF63" s="112">
        <v>64.25</v>
      </c>
      <c r="AG63" s="112">
        <v>69.25</v>
      </c>
      <c r="AH63" s="112">
        <v>65.25</v>
      </c>
      <c r="AI63" s="541">
        <v>69.13</v>
      </c>
      <c r="AJ63" s="931">
        <f t="shared" si="66"/>
        <v>65.13</v>
      </c>
      <c r="AK63" s="931"/>
      <c r="BD63" s="41" t="s">
        <v>765</v>
      </c>
      <c r="BG63" s="185" t="str">
        <v>AUD.ZB.6M|[Swap Pricer 1w.xlsm]AU!$BG$56#1139</v>
      </c>
      <c r="EV63" s="205">
        <f t="shared" si="52"/>
        <v>44196</v>
      </c>
      <c r="EW63" s="216">
        <f>IF(EV63=CPI0_DATE,1,IF(EV63&lt;CPI0_DATE,EW64/EY63*EY64,EXP(_xll.qInterp(EX63,$ER$10:$ER$21,$ES$10:$ES$21))))</f>
        <v>0.75409746914838249</v>
      </c>
      <c r="EX63" s="183">
        <f t="shared" si="67"/>
        <v>9.75</v>
      </c>
      <c r="EY63" s="175">
        <f t="shared" si="1"/>
        <v>0</v>
      </c>
      <c r="EZ63" s="179">
        <f t="shared" si="68"/>
        <v>234.31983825585687</v>
      </c>
      <c r="FA63" s="177">
        <f t="shared" si="4"/>
        <v>0.75558348045721146</v>
      </c>
      <c r="FB63" s="177">
        <f t="shared" si="5"/>
        <v>0.75843801243691278</v>
      </c>
      <c r="FC63" s="177">
        <f t="shared" si="25"/>
        <v>3.0567611784960258</v>
      </c>
    </row>
    <row r="64" spans="6:159">
      <c r="R64" s="547" t="s">
        <v>78</v>
      </c>
      <c r="X64" s="28"/>
      <c r="Y64" s="43" t="s">
        <v>18</v>
      </c>
      <c r="Z64" s="541"/>
      <c r="AA64" s="541"/>
      <c r="AB64" s="541"/>
      <c r="AC64" s="541"/>
      <c r="AD64" s="541"/>
      <c r="AE64" s="112">
        <v>58.75</v>
      </c>
      <c r="AF64" s="112">
        <v>52.75</v>
      </c>
      <c r="AG64" s="112" t="str">
        <v/>
      </c>
      <c r="AH64" s="112" t="str">
        <v/>
      </c>
      <c r="AI64" s="541">
        <v>57.88</v>
      </c>
      <c r="AJ64" s="931">
        <f t="shared" si="66"/>
        <v>53.88</v>
      </c>
      <c r="AK64" s="931"/>
      <c r="BD64" s="41" t="s">
        <v>766</v>
      </c>
      <c r="BG64" s="185" t="str">
        <v>AUD.ZB.6M|[Swap Pricer 1w.xlsm]AU!$BG$56#1139</v>
      </c>
      <c r="EV64" s="205">
        <f t="shared" si="52"/>
        <v>44286</v>
      </c>
      <c r="EW64" s="216">
        <f>IF(EV64=CPI0_DATE,1,IF(EV64&lt;CPI0_DATE,EW65/EY64*EY65,EXP(_xll.qInterp(EX64,$ER$10:$ER$21,$ES$10:$ES$21))))</f>
        <v>0.74844236229811423</v>
      </c>
      <c r="EX64" s="183">
        <f t="shared" si="67"/>
        <v>10</v>
      </c>
      <c r="EY64" s="175">
        <f t="shared" si="1"/>
        <v>0</v>
      </c>
      <c r="EZ64" s="179">
        <f t="shared" si="68"/>
        <v>236.09032024515218</v>
      </c>
      <c r="FA64" s="177">
        <f t="shared" si="4"/>
        <v>0.75558348045721146</v>
      </c>
      <c r="FB64" s="177">
        <f t="shared" si="5"/>
        <v>0.75843801243691278</v>
      </c>
      <c r="FC64" s="177">
        <f t="shared" si="25"/>
        <v>3.0567611784960258</v>
      </c>
    </row>
    <row r="65" spans="5:159">
      <c r="E65" s="547" t="s">
        <v>568</v>
      </c>
      <c r="F65" s="547" t="s">
        <v>25</v>
      </c>
      <c r="G65" s="828" t="s">
        <v>63</v>
      </c>
      <c r="M65" s="547" t="str">
        <f ca="1">_xll.RtUpdate("IDN",G65,I48:I49,N65,,RTMODE_RATES)</f>
        <v>Updated at 10:29:45</v>
      </c>
      <c r="N65" s="581">
        <v>4.9450000000000003</v>
      </c>
      <c r="O65" s="581">
        <v>4.9050000000000002</v>
      </c>
      <c r="P65" s="584">
        <f t="array" ref="P65:Q65">N65:O65+0</f>
        <v>4.9450000000000003</v>
      </c>
      <c r="Q65" s="584">
        <v>4.9050000000000002</v>
      </c>
      <c r="R65" s="547" t="s">
        <v>78</v>
      </c>
      <c r="X65" s="28"/>
      <c r="Y65" s="43" t="s">
        <v>19</v>
      </c>
      <c r="Z65" s="541"/>
      <c r="AA65" s="541"/>
      <c r="AB65" s="541"/>
      <c r="AC65" s="541"/>
      <c r="AD65" s="541"/>
      <c r="AE65" s="112">
        <v>44.5</v>
      </c>
      <c r="AF65" s="112">
        <v>38.5</v>
      </c>
      <c r="AG65" s="112">
        <v>43.5</v>
      </c>
      <c r="AH65" s="112">
        <v>39.5</v>
      </c>
      <c r="AI65" s="541">
        <v>45.38</v>
      </c>
      <c r="AJ65" s="931">
        <f t="shared" si="66"/>
        <v>41.38</v>
      </c>
      <c r="AK65" s="931"/>
      <c r="EV65" s="205">
        <f t="shared" si="52"/>
        <v>44377</v>
      </c>
      <c r="EW65" s="216">
        <f>IF(EV65=CPI0_DATE,1,IF(EV65&lt;CPI0_DATE,EW66/EY65*EY66,EXP(_xll.qInterp(EX65,$ER$10:$ER$21,$ES$10:$ES$21))))</f>
        <v>0.74293195617886598</v>
      </c>
      <c r="EX65" s="183">
        <f t="shared" si="67"/>
        <v>10.25</v>
      </c>
      <c r="EY65" s="175">
        <f t="shared" si="1"/>
        <v>0</v>
      </c>
      <c r="EZ65" s="179">
        <f t="shared" si="68"/>
        <v>237.84142750949087</v>
      </c>
      <c r="FA65" s="177">
        <f t="shared" si="4"/>
        <v>0.74171074126223591</v>
      </c>
      <c r="FB65" s="177">
        <f t="shared" si="5"/>
        <v>0.75144923277660203</v>
      </c>
      <c r="FC65" s="177">
        <f t="shared" si="25"/>
        <v>3.0425715969292</v>
      </c>
    </row>
    <row r="66" spans="5:159">
      <c r="F66" s="547" t="s">
        <v>26</v>
      </c>
      <c r="G66" s="828" t="s">
        <v>77</v>
      </c>
      <c r="I66" s="573" t="s">
        <v>64</v>
      </c>
      <c r="M66" s="579" t="str">
        <f ca="1">_xll.RtUpdate("IDN",G66,I66,N66,,RTMODE_RATES)</f>
        <v>Updated at 10:13:26</v>
      </c>
      <c r="N66" s="574" t="s">
        <v>909</v>
      </c>
      <c r="O66" s="582" t="str">
        <f t="array" ref="O66:O79">""</f>
        <v/>
      </c>
      <c r="P66" s="585">
        <f t="shared" ref="P66:P79" si="69">MID(N66,7,6)+0</f>
        <v>23.5</v>
      </c>
      <c r="Q66" s="585">
        <f t="shared" ref="Q66:Q79" si="70">MID(N66,15,6)+0</f>
        <v>19.5</v>
      </c>
      <c r="X66" s="28"/>
      <c r="Y66" s="43" t="s">
        <v>27</v>
      </c>
      <c r="Z66" s="541"/>
      <c r="AA66" s="541"/>
      <c r="AB66" s="541"/>
      <c r="AC66" s="541"/>
      <c r="AD66" s="541"/>
      <c r="AE66" s="112">
        <v>10.25</v>
      </c>
      <c r="AF66" s="112">
        <v>2.25</v>
      </c>
      <c r="AG66" s="112" t="str">
        <v/>
      </c>
      <c r="AH66" s="112" t="str">
        <v/>
      </c>
      <c r="AI66" s="541">
        <v>12.88</v>
      </c>
      <c r="AJ66" s="931">
        <f t="shared" si="66"/>
        <v>8.8800000000000008</v>
      </c>
      <c r="AK66" s="931"/>
      <c r="EV66" s="205">
        <f t="shared" si="52"/>
        <v>44469</v>
      </c>
      <c r="EW66" s="216">
        <f>IF(EV66=CPI0_DATE,1,IF(EV66&lt;CPI0_DATE,EW67/EY66*EY67,EXP(_xll.qInterp(EX66,$ER$10:$ER$21,$ES$10:$ES$21))))</f>
        <v>0.73746212041897818</v>
      </c>
      <c r="EX66" s="183">
        <f t="shared" si="67"/>
        <v>10.5</v>
      </c>
      <c r="EY66" s="175">
        <f t="shared" si="1"/>
        <v>0</v>
      </c>
      <c r="EZ66" s="179">
        <f t="shared" si="68"/>
        <v>239.60552292450018</v>
      </c>
      <c r="FA66" s="177">
        <f t="shared" si="4"/>
        <v>0.74171074126223591</v>
      </c>
      <c r="FB66" s="177">
        <f t="shared" si="5"/>
        <v>0.74446141538074828</v>
      </c>
      <c r="FC66" s="177">
        <f t="shared" si="25"/>
        <v>3.0283839690840253</v>
      </c>
    </row>
    <row r="67" spans="5:159">
      <c r="F67" s="547" t="s">
        <v>7</v>
      </c>
      <c r="G67" s="828" t="s">
        <v>77</v>
      </c>
      <c r="I67" s="573" t="s">
        <v>65</v>
      </c>
      <c r="M67" s="579" t="str">
        <f ca="1">_xll.RtUpdate("IDN",G67,I67,N67,,RTMODE_RATES)</f>
        <v>Updated at 10:13:26</v>
      </c>
      <c r="N67" s="574" t="s">
        <v>903</v>
      </c>
      <c r="O67" s="582" t="str">
        <v/>
      </c>
      <c r="P67" s="585">
        <f t="shared" si="69"/>
        <v>35.75</v>
      </c>
      <c r="Q67" s="585">
        <f t="shared" si="70"/>
        <v>31.75</v>
      </c>
      <c r="AE67" s="157" t="b">
        <v>1</v>
      </c>
      <c r="AF67" s="44"/>
      <c r="AG67" s="157" t="b">
        <v>1</v>
      </c>
      <c r="AH67" s="44"/>
      <c r="AI67" s="592" t="b">
        <v>1</v>
      </c>
      <c r="AJ67" s="45"/>
      <c r="AK67" s="45"/>
      <c r="BL67" s="565" t="str">
        <f>_xll.qIRcurveFXImpliedXCBasis_TEST("AUD.ZBX.DISC",BK59,USD.ZB.DISC,FX!I32:I46,FX!AB32:AB46,AUD.ZB.3M,USD.ZB.3M)</f>
        <v>AUD.ZBX.DISC|[Swap Pricer 1w.xlsm]AU!$BL$67#1143</v>
      </c>
      <c r="EV67" s="205">
        <f t="shared" si="52"/>
        <v>44561</v>
      </c>
      <c r="EW67" s="216">
        <f>IF(EV67=CPI0_DATE,1,IF(EV67&lt;CPI0_DATE,EW68/EY67*EY68,EXP(_xll.qInterp(EX67,$ER$10:$ER$21,$ES$10:$ES$21))))</f>
        <v>0.73203255631922215</v>
      </c>
      <c r="EX67" s="183">
        <f t="shared" si="67"/>
        <v>10.75</v>
      </c>
      <c r="EY67" s="175">
        <f t="shared" si="1"/>
        <v>0</v>
      </c>
      <c r="EZ67" s="179">
        <f t="shared" si="68"/>
        <v>241.38270282468869</v>
      </c>
      <c r="FA67" s="177">
        <f t="shared" si="4"/>
        <v>0.7417107412622137</v>
      </c>
      <c r="FB67" s="177">
        <f t="shared" si="5"/>
        <v>0.74446141538073718</v>
      </c>
      <c r="FC67" s="177">
        <f t="shared" si="25"/>
        <v>3.0141982946914503</v>
      </c>
    </row>
    <row r="68" spans="5:159">
      <c r="F68" s="547" t="s">
        <v>8</v>
      </c>
      <c r="G68" s="828" t="s">
        <v>77</v>
      </c>
      <c r="I68" s="573" t="s">
        <v>66</v>
      </c>
      <c r="M68" s="579" t="str">
        <f ca="1">_xll.RtUpdate("IDN",G68,I68,N68,,RTMODE_RATES)</f>
        <v>Updated at 10:13:27</v>
      </c>
      <c r="N68" s="574" t="s">
        <v>914</v>
      </c>
      <c r="O68" s="582" t="str">
        <v/>
      </c>
      <c r="P68" s="585">
        <f t="shared" si="69"/>
        <v>60.25</v>
      </c>
      <c r="Q68" s="585">
        <f t="shared" si="70"/>
        <v>56.25</v>
      </c>
      <c r="AT68" s="37"/>
      <c r="AU68" s="37"/>
      <c r="AV68" s="35"/>
      <c r="AW68" s="35"/>
      <c r="AX68" s="35"/>
      <c r="AY68" s="211"/>
      <c r="AZ68" s="211"/>
      <c r="BA68" s="211"/>
      <c r="BB68" s="211"/>
      <c r="BC68" s="211"/>
      <c r="BD68" s="40"/>
      <c r="BE68" s="39"/>
      <c r="EV68" s="205">
        <f t="shared" si="52"/>
        <v>44651</v>
      </c>
      <c r="EW68" s="216">
        <f>IF(EV68=CPI0_DATE,1,IF(EV68&lt;CPI0_DATE,EW69/EY68*EY69,EXP(_xll.qInterp(EX68,$ER$10:$ER$21,$ES$10:$ES$21))))</f>
        <v>0.72664296737954148</v>
      </c>
      <c r="EX68" s="183">
        <f t="shared" si="67"/>
        <v>11</v>
      </c>
      <c r="EY68" s="175">
        <f t="shared" si="1"/>
        <v>0</v>
      </c>
      <c r="EZ68" s="179">
        <f t="shared" si="68"/>
        <v>243.17306425908851</v>
      </c>
      <c r="FA68" s="177">
        <f t="shared" si="4"/>
        <v>0.74171074126223591</v>
      </c>
      <c r="FB68" s="177">
        <f t="shared" si="5"/>
        <v>0.74446141538073718</v>
      </c>
      <c r="FC68" s="177">
        <f t="shared" si="25"/>
        <v>3.0000145734826011</v>
      </c>
    </row>
    <row r="69" spans="5:159">
      <c r="F69" s="547" t="s">
        <v>9</v>
      </c>
      <c r="G69" s="828" t="s">
        <v>77</v>
      </c>
      <c r="I69" s="573" t="s">
        <v>67</v>
      </c>
      <c r="M69" s="579" t="str">
        <f ca="1">_xll.RtUpdate("IDN",G69,I69,N69,,RTMODE_RATES)</f>
        <v>Updated at 10:19:45</v>
      </c>
      <c r="N69" s="574" t="s">
        <v>930</v>
      </c>
      <c r="O69" s="582" t="str">
        <v/>
      </c>
      <c r="P69" s="585">
        <f t="shared" si="69"/>
        <v>72.25</v>
      </c>
      <c r="Q69" s="585">
        <f t="shared" si="70"/>
        <v>68.25</v>
      </c>
      <c r="AT69" s="37"/>
      <c r="AU69" s="37"/>
      <c r="AV69" s="35"/>
      <c r="AW69" s="35"/>
      <c r="AX69" s="35"/>
      <c r="AY69" s="211"/>
      <c r="AZ69" s="211"/>
      <c r="BA69" s="211"/>
      <c r="BB69" s="211"/>
      <c r="BC69" s="211"/>
      <c r="BD69" s="35"/>
      <c r="BE69" s="41"/>
      <c r="BJ69" s="27"/>
      <c r="BK69" s="568"/>
      <c r="BL69" s="568"/>
      <c r="BM69" s="568"/>
      <c r="BN69" s="568"/>
      <c r="BO69" s="568"/>
      <c r="BP69" s="8"/>
      <c r="BQ69" s="590"/>
      <c r="BT69" s="3"/>
      <c r="EV69" s="205">
        <f t="shared" si="52"/>
        <v>44742</v>
      </c>
      <c r="EW69" s="216">
        <f>IF(EV69=CPI0_DATE,1,IF(EV69&lt;CPI0_DATE,EW70/EY69*EY70,EXP(_xll.qInterp(EX69,$ER$10:$ER$21,$ES$10:$ES$21))))</f>
        <v>0.72129305928286158</v>
      </c>
      <c r="EX69" s="183">
        <f t="shared" si="67"/>
        <v>11.25</v>
      </c>
      <c r="EY69" s="175">
        <f t="shared" ref="EY69:EY132" si="71">IF(EV69&lt;CPI0_DATE,INDEX($EJ$6:$EJ$25,MATCH(EV69,$EI$6:$EI$25)),IF(EV69=CPI0_DATE,CPI0_VALUE,0))</f>
        <v>0</v>
      </c>
      <c r="EZ69" s="179">
        <f t="shared" si="68"/>
        <v>244.97670499655467</v>
      </c>
      <c r="FA69" s="177">
        <f t="shared" si="4"/>
        <v>0.74171074126223591</v>
      </c>
      <c r="FB69" s="177">
        <f t="shared" si="5"/>
        <v>0.74446141538074828</v>
      </c>
      <c r="FC69" s="177">
        <f t="shared" ref="FC69:FC132" si="72">100*(EZ69/EZ65-1)</f>
        <v>3.0000145734826011</v>
      </c>
    </row>
    <row r="70" spans="5:159">
      <c r="F70" s="547" t="s">
        <v>10</v>
      </c>
      <c r="G70" s="828" t="s">
        <v>77</v>
      </c>
      <c r="I70" s="573" t="s">
        <v>68</v>
      </c>
      <c r="M70" s="579" t="str">
        <f ca="1">_xll.RtUpdate("IDN",G70,I70,N70,,RTMODE_RATES)</f>
        <v>Updated at 10:20:15</v>
      </c>
      <c r="N70" s="574" t="s">
        <v>902</v>
      </c>
      <c r="O70" s="582" t="str">
        <v/>
      </c>
      <c r="P70" s="585">
        <f t="shared" si="69"/>
        <v>37.75</v>
      </c>
      <c r="Q70" s="585">
        <f t="shared" si="70"/>
        <v>33.75</v>
      </c>
      <c r="AT70" s="37"/>
      <c r="AU70" s="37"/>
      <c r="AV70" s="35"/>
      <c r="AW70" s="35"/>
      <c r="AX70" s="35"/>
      <c r="AY70" s="211"/>
      <c r="AZ70" s="211"/>
      <c r="BA70" s="211"/>
      <c r="BB70" s="211"/>
      <c r="BC70" s="211"/>
      <c r="BD70" s="35"/>
      <c r="BE70" s="41"/>
      <c r="BJ70" s="27"/>
      <c r="BK70" s="568"/>
      <c r="BL70" s="568"/>
      <c r="BM70" s="568"/>
      <c r="BN70" s="568"/>
      <c r="BO70" s="568"/>
      <c r="BP70" s="8"/>
      <c r="BQ70" s="590"/>
      <c r="BT70" s="3"/>
      <c r="EV70" s="205">
        <f t="shared" si="52"/>
        <v>44834</v>
      </c>
      <c r="EW70" s="216">
        <f>IF(EV70=CPI0_DATE,1,IF(EV70&lt;CPI0_DATE,EW71/EY70*EY71,EXP(_xll.qInterp(EX70,$ER$10:$ER$21,$ES$10:$ES$21))))</f>
        <v>0.71598253987901683</v>
      </c>
      <c r="EX70" s="183">
        <f t="shared" si="67"/>
        <v>11.5</v>
      </c>
      <c r="EY70" s="175">
        <f t="shared" si="71"/>
        <v>0</v>
      </c>
      <c r="EZ70" s="179">
        <f t="shared" si="68"/>
        <v>246.79372353110438</v>
      </c>
      <c r="FA70" s="177">
        <f t="shared" si="4"/>
        <v>0.7417107412622137</v>
      </c>
      <c r="FB70" s="177">
        <f t="shared" si="5"/>
        <v>0.74446141538074828</v>
      </c>
      <c r="FC70" s="177">
        <f t="shared" si="72"/>
        <v>3.0000145734826011</v>
      </c>
    </row>
    <row r="71" spans="5:159">
      <c r="F71" s="547" t="s">
        <v>11</v>
      </c>
      <c r="G71" s="828" t="s">
        <v>77</v>
      </c>
      <c r="I71" s="573" t="s">
        <v>69</v>
      </c>
      <c r="M71" s="579" t="str">
        <f ca="1">_xll.RtUpdate("IDN",G71,I71,N71,,RTMODE_RATES)</f>
        <v>Updated at 10:13:26</v>
      </c>
      <c r="N71" s="574" t="s">
        <v>910</v>
      </c>
      <c r="O71" s="582" t="str">
        <v/>
      </c>
      <c r="P71" s="585">
        <f t="shared" si="69"/>
        <v>46.25</v>
      </c>
      <c r="Q71" s="585">
        <f t="shared" si="70"/>
        <v>42.25</v>
      </c>
      <c r="BD71" s="1"/>
      <c r="BE71" s="2"/>
      <c r="BJ71" s="27"/>
      <c r="BK71" s="568"/>
      <c r="BL71" s="568"/>
      <c r="BM71" s="568"/>
      <c r="BN71" s="568"/>
      <c r="BO71" s="568"/>
      <c r="BP71" s="8"/>
      <c r="BQ71" s="590"/>
      <c r="BT71" s="3"/>
      <c r="EV71" s="205">
        <f t="shared" si="52"/>
        <v>44926</v>
      </c>
      <c r="EW71" s="216">
        <f>IF(EV71=CPI0_DATE,1,IF(EV71&lt;CPI0_DATE,EW72/EY71*EY72,EXP(_xll.qInterp(EX71,$ER$10:$ER$21,$ES$10:$ES$21))))</f>
        <v>0.71071111916879681</v>
      </c>
      <c r="EX71" s="183">
        <f t="shared" si="67"/>
        <v>11.75</v>
      </c>
      <c r="EY71" s="175">
        <f t="shared" si="71"/>
        <v>0</v>
      </c>
      <c r="EZ71" s="179">
        <f t="shared" si="68"/>
        <v>248.62421908729561</v>
      </c>
      <c r="FA71" s="177">
        <f t="shared" ref="FA71:FA134" si="73">100*(EZ71/EZ70-1)</f>
        <v>0.74171074126223591</v>
      </c>
      <c r="FB71" s="177">
        <f t="shared" ref="FB71:FB134" si="74">50*(EZ71/EZ69-1)</f>
        <v>0.74446141538074828</v>
      </c>
      <c r="FC71" s="177">
        <f t="shared" si="72"/>
        <v>3.0000145734826233</v>
      </c>
    </row>
    <row r="72" spans="5:159">
      <c r="F72" s="547" t="s">
        <v>12</v>
      </c>
      <c r="G72" s="828" t="s">
        <v>77</v>
      </c>
      <c r="I72" s="573" t="s">
        <v>70</v>
      </c>
      <c r="M72" s="579" t="str">
        <f ca="1">_xll.RtUpdate("IDN",G72,I72,N72,,RTMODE_RATES)</f>
        <v>Updated at 10:13:26</v>
      </c>
      <c r="N72" s="574" t="s">
        <v>908</v>
      </c>
      <c r="O72" s="582" t="str">
        <v/>
      </c>
      <c r="P72" s="585">
        <f t="shared" si="69"/>
        <v>52</v>
      </c>
      <c r="Q72" s="585">
        <f t="shared" si="70"/>
        <v>48</v>
      </c>
      <c r="BD72" s="1"/>
      <c r="BE72" s="2"/>
      <c r="BJ72" s="27"/>
      <c r="BK72" s="568"/>
      <c r="BL72" s="568"/>
      <c r="BM72" s="568"/>
      <c r="BN72" s="568"/>
      <c r="BO72" s="568"/>
      <c r="BP72" s="8"/>
      <c r="BQ72" s="590"/>
      <c r="BT72" s="3"/>
      <c r="EV72" s="205">
        <f t="shared" si="52"/>
        <v>45016</v>
      </c>
      <c r="EW72" s="216">
        <f>IF(EV72=CPI0_DATE,1,IF(EV72&lt;CPI0_DATE,EW73/EY72*EY73,EXP(_xll.qInterp(EX72,$ER$10:$ER$21,$ES$10:$ES$21))))</f>
        <v>0.70547850928811029</v>
      </c>
      <c r="EX72" s="183">
        <f t="shared" si="67"/>
        <v>12</v>
      </c>
      <c r="EY72" s="175">
        <f t="shared" si="71"/>
        <v>0</v>
      </c>
      <c r="EZ72" s="179">
        <f t="shared" si="68"/>
        <v>250.46829162564541</v>
      </c>
      <c r="FA72" s="177">
        <f t="shared" si="73"/>
        <v>0.7417107412622137</v>
      </c>
      <c r="FB72" s="177">
        <f t="shared" si="74"/>
        <v>0.74446141538074828</v>
      </c>
      <c r="FC72" s="177">
        <f t="shared" si="72"/>
        <v>3.0000145734826233</v>
      </c>
    </row>
    <row r="73" spans="5:159">
      <c r="F73" s="547" t="s">
        <v>13</v>
      </c>
      <c r="G73" s="828" t="s">
        <v>77</v>
      </c>
      <c r="I73" s="573" t="s">
        <v>71</v>
      </c>
      <c r="M73" s="579" t="str">
        <f ca="1">_xll.RtUpdate("IDN",G73,I73,N73,,RTMODE_RATES)</f>
        <v>Updated at 10:13:26</v>
      </c>
      <c r="N73" s="574" t="s">
        <v>904</v>
      </c>
      <c r="O73" s="582" t="str">
        <v/>
      </c>
      <c r="P73" s="585">
        <f t="shared" si="69"/>
        <v>56.5</v>
      </c>
      <c r="Q73" s="585">
        <f t="shared" si="70"/>
        <v>52.5</v>
      </c>
      <c r="BD73" s="1"/>
      <c r="BE73" s="2"/>
      <c r="BJ73" s="27"/>
      <c r="BK73" s="568"/>
      <c r="BL73" s="568"/>
      <c r="BM73" s="568"/>
      <c r="BN73" s="568"/>
      <c r="BO73" s="568"/>
      <c r="BP73" s="8"/>
      <c r="BQ73" s="590"/>
      <c r="BT73" s="3"/>
      <c r="EV73" s="205">
        <f t="shared" si="52"/>
        <v>45107</v>
      </c>
      <c r="EW73" s="216">
        <f>IF(EV73=CPI0_DATE,1,IF(EV73&lt;CPI0_DATE,EW74/EY73*EY74,EXP(_xll.qInterp(EX73,$ER$10:$ER$21,$ES$10:$ES$21))))</f>
        <v>0.70028443275134677</v>
      </c>
      <c r="EX73" s="183">
        <f t="shared" si="67"/>
        <v>12.25</v>
      </c>
      <c r="EY73" s="175">
        <f t="shared" si="71"/>
        <v>0</v>
      </c>
      <c r="EZ73" s="179">
        <f t="shared" si="68"/>
        <v>252.32603887218164</v>
      </c>
      <c r="FA73" s="177">
        <f t="shared" si="73"/>
        <v>0.74170955312493625</v>
      </c>
      <c r="FB73" s="177">
        <f t="shared" si="74"/>
        <v>0.74446081690582311</v>
      </c>
      <c r="FC73" s="177">
        <f t="shared" si="72"/>
        <v>3.0000133587111177</v>
      </c>
    </row>
    <row r="74" spans="5:159">
      <c r="F74" s="547" t="s">
        <v>14</v>
      </c>
      <c r="G74" s="828" t="s">
        <v>77</v>
      </c>
      <c r="I74" s="573" t="s">
        <v>72</v>
      </c>
      <c r="M74" s="579" t="str">
        <f ca="1">_xll.RtUpdate("IDN",G74,I74,N74,,RTMODE_RATES)</f>
        <v>Updated at 10:13:26</v>
      </c>
      <c r="N74" s="574" t="s">
        <v>913</v>
      </c>
      <c r="O74" s="582" t="str">
        <v/>
      </c>
      <c r="P74" s="585">
        <f t="shared" si="69"/>
        <v>60.5</v>
      </c>
      <c r="Q74" s="585">
        <f t="shared" si="70"/>
        <v>56.5</v>
      </c>
      <c r="BD74" s="1"/>
      <c r="BE74" s="2"/>
      <c r="BJ74" s="27"/>
      <c r="BK74" s="568"/>
      <c r="BL74" s="568"/>
      <c r="BM74" s="568"/>
      <c r="BN74" s="568"/>
      <c r="BO74" s="568"/>
      <c r="BP74" s="8"/>
      <c r="BQ74" s="590"/>
      <c r="BT74" s="3"/>
      <c r="EV74" s="205">
        <f t="shared" si="52"/>
        <v>45199</v>
      </c>
      <c r="EW74" s="216">
        <f>IF(EV74=CPI0_DATE,1,IF(EV74&lt;CPI0_DATE,EW75/EY74*EY75,EXP(_xll.qInterp(EX74,$ER$10:$ER$21,$ES$10:$ES$21))))</f>
        <v>0.69512859753691214</v>
      </c>
      <c r="EX74" s="183">
        <f t="shared" si="67"/>
        <v>12.5</v>
      </c>
      <c r="EY74" s="175">
        <f t="shared" si="71"/>
        <v>0</v>
      </c>
      <c r="EZ74" s="179">
        <f t="shared" si="68"/>
        <v>254.19756520751835</v>
      </c>
      <c r="FA74" s="177">
        <f t="shared" si="73"/>
        <v>0.74170955312493625</v>
      </c>
      <c r="FB74" s="177">
        <f t="shared" si="74"/>
        <v>0.74446021843092014</v>
      </c>
      <c r="FC74" s="177">
        <f t="shared" si="72"/>
        <v>3.0000121439396565</v>
      </c>
    </row>
    <row r="75" spans="5:159">
      <c r="F75" s="547" t="s">
        <v>15</v>
      </c>
      <c r="G75" s="828" t="s">
        <v>77</v>
      </c>
      <c r="I75" s="573" t="s">
        <v>73</v>
      </c>
      <c r="M75" s="579" t="str">
        <f ca="1">_xll.RtUpdate("IDN",G75,I75,N75,,RTMODE_RATES)</f>
        <v>Updated at 10:13:26</v>
      </c>
      <c r="N75" s="574" t="s">
        <v>907</v>
      </c>
      <c r="O75" s="582" t="str">
        <v/>
      </c>
      <c r="P75" s="585">
        <f t="shared" si="69"/>
        <v>67.25</v>
      </c>
      <c r="Q75" s="585">
        <f t="shared" si="70"/>
        <v>63.25</v>
      </c>
      <c r="EV75" s="205">
        <f t="shared" si="52"/>
        <v>45291</v>
      </c>
      <c r="EW75" s="216">
        <f>IF(EV75=CPI0_DATE,1,IF(EV75&lt;CPI0_DATE,EW76/EY75*EY76,EXP(_xll.qInterp(EX75,$ER$10:$ER$21,$ES$10:$ES$21))))</f>
        <v>0.69001072209355796</v>
      </c>
      <c r="EX75" s="183">
        <f t="shared" si="67"/>
        <v>12.75</v>
      </c>
      <c r="EY75" s="175">
        <f t="shared" si="71"/>
        <v>0</v>
      </c>
      <c r="EZ75" s="179">
        <f t="shared" si="68"/>
        <v>256.08297283247344</v>
      </c>
      <c r="FA75" s="177">
        <f t="shared" si="73"/>
        <v>0.74170955312491404</v>
      </c>
      <c r="FB75" s="177">
        <f t="shared" si="74"/>
        <v>0.74446021843090904</v>
      </c>
      <c r="FC75" s="177">
        <f t="shared" si="72"/>
        <v>3.0000109291681509</v>
      </c>
    </row>
    <row r="76" spans="5:159">
      <c r="F76" s="547" t="s">
        <v>16</v>
      </c>
      <c r="G76" s="828" t="s">
        <v>77</v>
      </c>
      <c r="I76" s="573" t="s">
        <v>74</v>
      </c>
      <c r="M76" s="579" t="str">
        <f ca="1">_xll.RtUpdate("IDN",G76,I76,N76,,RTMODE_RATES)</f>
        <v>Updated at 10:13:26</v>
      </c>
      <c r="N76" s="574" t="s">
        <v>901</v>
      </c>
      <c r="O76" s="582" t="str">
        <v/>
      </c>
      <c r="P76" s="585">
        <f t="shared" si="69"/>
        <v>73.5</v>
      </c>
      <c r="Q76" s="585">
        <f t="shared" si="70"/>
        <v>69.5</v>
      </c>
      <c r="EV76" s="205">
        <f t="shared" si="52"/>
        <v>45382</v>
      </c>
      <c r="EW76" s="216">
        <f>IF(EV76=CPI0_DATE,1,IF(EV76&lt;CPI0_DATE,EW77/EY76*EY77,EXP(_xll.qInterp(EX76,$ER$10:$ER$21,$ES$10:$ES$21))))</f>
        <v>0.68493052694295309</v>
      </c>
      <c r="EX76" s="183">
        <f t="shared" si="67"/>
        <v>13</v>
      </c>
      <c r="EY76" s="175">
        <f t="shared" si="71"/>
        <v>0</v>
      </c>
      <c r="EZ76" s="179">
        <f t="shared" si="68"/>
        <v>257.98236470589825</v>
      </c>
      <c r="FA76" s="177">
        <f t="shared" si="73"/>
        <v>0.74170955312493625</v>
      </c>
      <c r="FB76" s="177">
        <f t="shared" si="74"/>
        <v>0.74446021843090904</v>
      </c>
      <c r="FC76" s="177">
        <f t="shared" si="72"/>
        <v>3.0000097143967119</v>
      </c>
    </row>
    <row r="77" spans="5:159">
      <c r="F77" s="547" t="s">
        <v>17</v>
      </c>
      <c r="G77" s="828" t="s">
        <v>77</v>
      </c>
      <c r="I77" s="573" t="s">
        <v>75</v>
      </c>
      <c r="M77" s="579" t="str">
        <f ca="1">_xll.RtUpdate("IDN",G77,I77,N77,,RTMODE_RATES)</f>
        <v>Updated at 10:13:26</v>
      </c>
      <c r="N77" s="574" t="s">
        <v>911</v>
      </c>
      <c r="O77" s="582" t="str">
        <v/>
      </c>
      <c r="P77" s="585">
        <f t="shared" si="69"/>
        <v>69.25</v>
      </c>
      <c r="Q77" s="585">
        <f t="shared" si="70"/>
        <v>65.25</v>
      </c>
      <c r="EV77" s="205">
        <f t="shared" si="52"/>
        <v>45473</v>
      </c>
      <c r="EW77" s="216">
        <f>IF(EV77=CPI0_DATE,1,IF(EV77&lt;CPI0_DATE,EW78/EY77*EY78,EXP(_xll.qInterp(EX77,$ER$10:$ER$21,$ES$10:$ES$21))))</f>
        <v>0.67988773466442243</v>
      </c>
      <c r="EX77" s="183">
        <f t="shared" si="67"/>
        <v>13.25</v>
      </c>
      <c r="EY77" s="175">
        <f t="shared" si="71"/>
        <v>0</v>
      </c>
      <c r="EZ77" s="179">
        <f t="shared" si="68"/>
        <v>259.8958445502995</v>
      </c>
      <c r="FA77" s="177">
        <f t="shared" si="73"/>
        <v>0.74170955312493625</v>
      </c>
      <c r="FB77" s="177">
        <f t="shared" si="74"/>
        <v>0.74446021843092014</v>
      </c>
      <c r="FC77" s="177">
        <f t="shared" si="72"/>
        <v>3.0000097143967119</v>
      </c>
    </row>
    <row r="78" spans="5:159">
      <c r="F78" s="547" t="s">
        <v>18</v>
      </c>
      <c r="G78" s="582" t="s">
        <v>77</v>
      </c>
      <c r="M78" s="579"/>
      <c r="N78" s="574"/>
      <c r="O78" s="582" t="str">
        <v/>
      </c>
      <c r="P78" s="585" t="str">
        <f t="array" ref="P78:Q78">""</f>
        <v/>
      </c>
      <c r="Q78" s="585" t="str">
        <v/>
      </c>
      <c r="EV78" s="205">
        <f t="shared" si="52"/>
        <v>45565</v>
      </c>
      <c r="EW78" s="216">
        <f>IF(EV78=CPI0_DATE,1,IF(EV78&lt;CPI0_DATE,EW79/EY78*EY79,EXP(_xll.qInterp(EX78,$ER$10:$ER$21,$ES$10:$ES$21))))</f>
        <v>0.67488206987979671</v>
      </c>
      <c r="EX78" s="183">
        <f t="shared" si="67"/>
        <v>13.5</v>
      </c>
      <c r="EY78" s="175">
        <f t="shared" si="71"/>
        <v>0</v>
      </c>
      <c r="EZ78" s="179">
        <f t="shared" si="68"/>
        <v>261.82351685750376</v>
      </c>
      <c r="FA78" s="177">
        <f t="shared" si="73"/>
        <v>0.74170955312491404</v>
      </c>
      <c r="FB78" s="177">
        <f t="shared" si="74"/>
        <v>0.74446021843090904</v>
      </c>
      <c r="FC78" s="177">
        <f t="shared" si="72"/>
        <v>3.0000097143966897</v>
      </c>
    </row>
    <row r="79" spans="5:159">
      <c r="F79" s="547" t="s">
        <v>19</v>
      </c>
      <c r="G79" s="828" t="s">
        <v>77</v>
      </c>
      <c r="I79" s="573" t="s">
        <v>76</v>
      </c>
      <c r="M79" s="579" t="str">
        <f ca="1">_xll.RtUpdate("IDN",G79,I79,N79,,RTMODE_RATES)</f>
        <v>Updated at 10:13:26</v>
      </c>
      <c r="N79" s="574" t="s">
        <v>912</v>
      </c>
      <c r="O79" s="582" t="str">
        <v/>
      </c>
      <c r="P79" s="585">
        <f t="shared" si="69"/>
        <v>43.5</v>
      </c>
      <c r="Q79" s="585">
        <f t="shared" si="70"/>
        <v>39.5</v>
      </c>
      <c r="EV79" s="205">
        <f t="shared" si="52"/>
        <v>45657</v>
      </c>
      <c r="EW79" s="216">
        <f>IF(EV79=CPI0_DATE,1,IF(EV79&lt;CPI0_DATE,EW80/EY79*EY80,EXP(_xll.qInterp(EX79,$ER$10:$ER$21,$ES$10:$ES$21))))</f>
        <v>0.66991325923837508</v>
      </c>
      <c r="EX79" s="183">
        <f t="shared" si="67"/>
        <v>13.75</v>
      </c>
      <c r="EY79" s="175">
        <f t="shared" si="71"/>
        <v>0</v>
      </c>
      <c r="EZ79" s="179">
        <f t="shared" si="68"/>
        <v>263.76548689436356</v>
      </c>
      <c r="FA79" s="177">
        <f t="shared" si="73"/>
        <v>0.74170955312493625</v>
      </c>
      <c r="FB79" s="177">
        <f t="shared" si="74"/>
        <v>0.74446021843092014</v>
      </c>
      <c r="FC79" s="177">
        <f t="shared" si="72"/>
        <v>3.0000097143967119</v>
      </c>
    </row>
    <row r="80" spans="5:159">
      <c r="F80" s="547" t="s">
        <v>27</v>
      </c>
      <c r="P80" s="582" t="str">
        <f t="array" ref="P80:Q80">""</f>
        <v/>
      </c>
      <c r="Q80" s="583" t="str">
        <v/>
      </c>
      <c r="EV80" s="205">
        <f t="shared" si="52"/>
        <v>45747</v>
      </c>
      <c r="EW80" s="216">
        <f>IF(EV80=CPI0_DATE,1,IF(EV80&lt;CPI0_DATE,EW81/EY80*EY81,EXP(_xll.qInterp(EX80,$ER$10:$ER$21,$ES$10:$ES$21))))</f>
        <v>0.66498103140199771</v>
      </c>
      <c r="EX80" s="183">
        <f t="shared" si="67"/>
        <v>14</v>
      </c>
      <c r="EY80" s="175">
        <f t="shared" si="71"/>
        <v>0</v>
      </c>
      <c r="EZ80" s="179">
        <f t="shared" si="68"/>
        <v>265.72186070850557</v>
      </c>
      <c r="FA80" s="177">
        <f t="shared" si="73"/>
        <v>0.74170955312493625</v>
      </c>
      <c r="FB80" s="177">
        <f t="shared" si="74"/>
        <v>0.74446021843093124</v>
      </c>
      <c r="FC80" s="177">
        <f t="shared" si="72"/>
        <v>3.0000097143967119</v>
      </c>
    </row>
    <row r="81" spans="5:159">
      <c r="EV81" s="205">
        <f t="shared" si="52"/>
        <v>45838</v>
      </c>
      <c r="EW81" s="216">
        <f>IF(EV81=CPI0_DATE,1,IF(EV81&lt;CPI0_DATE,EW82/EY81*EY82,EXP(_xll.qInterp(EX81,$ER$10:$ER$21,$ES$10:$ES$21))))</f>
        <v>0.66008511703022865</v>
      </c>
      <c r="EX81" s="183">
        <f t="shared" si="67"/>
        <v>14.25</v>
      </c>
      <c r="EY81" s="175">
        <f t="shared" si="71"/>
        <v>0</v>
      </c>
      <c r="EZ81" s="179">
        <f t="shared" si="68"/>
        <v>267.69274513412188</v>
      </c>
      <c r="FA81" s="177">
        <f t="shared" si="73"/>
        <v>0.74170955312493625</v>
      </c>
      <c r="FB81" s="177">
        <f t="shared" si="74"/>
        <v>0.74446021843092014</v>
      </c>
      <c r="FC81" s="177">
        <f t="shared" si="72"/>
        <v>3.0000097143967119</v>
      </c>
    </row>
    <row r="82" spans="5:159">
      <c r="E82" s="547" t="s">
        <v>569</v>
      </c>
      <c r="F82" s="547" t="s">
        <v>25</v>
      </c>
      <c r="G82" s="828" t="s">
        <v>83</v>
      </c>
      <c r="I82" s="573" t="s">
        <v>84</v>
      </c>
      <c r="M82" s="579" t="str">
        <f ca="1">_xll.RtUpdate("IDN",G82,I82,N82,,RTMODE_RATES)</f>
        <v>Updated at 10:29:14</v>
      </c>
      <c r="N82" s="574" t="s">
        <v>932</v>
      </c>
      <c r="O82" s="582" t="str">
        <f t="array" ref="O82:O97">""</f>
        <v/>
      </c>
      <c r="P82" s="585">
        <f>MID(N82,6,6)+0</f>
        <v>4.9429999999999996</v>
      </c>
      <c r="Q82" s="585">
        <f>MID(N82,13,6)+0</f>
        <v>4.923</v>
      </c>
      <c r="R82" s="547" t="s">
        <v>78</v>
      </c>
      <c r="EV82" s="205">
        <f t="shared" si="52"/>
        <v>45930</v>
      </c>
      <c r="EW82" s="216">
        <f>IF(EV82=CPI0_DATE,1,IF(EV82&lt;CPI0_DATE,EW83/EY82*EY83,EXP(_xll.qInterp(EX82,$ER$10:$ER$21,$ES$10:$ES$21))))</f>
        <v>0.65522524876564725</v>
      </c>
      <c r="EX82" s="183">
        <f t="shared" si="67"/>
        <v>14.5</v>
      </c>
      <c r="EY82" s="175">
        <f t="shared" si="71"/>
        <v>0</v>
      </c>
      <c r="EZ82" s="179">
        <f t="shared" si="68"/>
        <v>269.67824779780403</v>
      </c>
      <c r="FA82" s="177">
        <f t="shared" si="73"/>
        <v>0.74170955312493625</v>
      </c>
      <c r="FB82" s="177">
        <f t="shared" si="74"/>
        <v>0.74446021843090904</v>
      </c>
      <c r="FC82" s="177">
        <f t="shared" si="72"/>
        <v>3.0000097143967341</v>
      </c>
    </row>
    <row r="83" spans="5:159">
      <c r="F83" s="547" t="s">
        <v>26</v>
      </c>
      <c r="G83" s="828" t="s">
        <v>83</v>
      </c>
      <c r="I83" s="573" t="s">
        <v>85</v>
      </c>
      <c r="M83" s="579" t="str">
        <f ca="1">_xll.RtUpdate("IDN",G83,I83,N83,,RTMODE_RATES)</f>
        <v>Updated at 10:18:35</v>
      </c>
      <c r="N83" s="574" t="s">
        <v>923</v>
      </c>
      <c r="O83" s="582" t="str">
        <v/>
      </c>
      <c r="P83" s="585">
        <f t="array" ref="P83:P97">MID(N83:N97,20,7)+0</f>
        <v>23.75</v>
      </c>
      <c r="Q83" s="585">
        <f t="array" ref="Q83:Q97">MID(N83:N97,29,6)+0</f>
        <v>19.75</v>
      </c>
      <c r="R83" s="547" t="s">
        <v>78</v>
      </c>
      <c r="EV83" s="205">
        <f t="shared" si="52"/>
        <v>46022</v>
      </c>
      <c r="EW83" s="216">
        <f>IF(EV83=CPI0_DATE,1,IF(EV83&lt;CPI0_DATE,EW84/EY83*EY84,EXP(_xll.qInterp(EX83,$ER$10:$ER$21,$ES$10:$ES$21))))</f>
        <v>0.65040116121924862</v>
      </c>
      <c r="EX83" s="183">
        <f t="shared" si="67"/>
        <v>14.75</v>
      </c>
      <c r="EY83" s="175">
        <f t="shared" si="71"/>
        <v>0</v>
      </c>
      <c r="EZ83" s="179">
        <f t="shared" si="68"/>
        <v>271.67847712442028</v>
      </c>
      <c r="FA83" s="177">
        <f t="shared" si="73"/>
        <v>0.74170955312493625</v>
      </c>
      <c r="FB83" s="177">
        <f t="shared" si="74"/>
        <v>0.74446021843092014</v>
      </c>
      <c r="FC83" s="177">
        <f t="shared" si="72"/>
        <v>3.0000097143967119</v>
      </c>
    </row>
    <row r="84" spans="5:159">
      <c r="F84" s="547" t="s">
        <v>7</v>
      </c>
      <c r="G84" s="828" t="s">
        <v>83</v>
      </c>
      <c r="I84" s="573" t="s">
        <v>86</v>
      </c>
      <c r="M84" s="579" t="str">
        <f ca="1">_xll.RtUpdate("IDN",G84,I84,N84,,RTMODE_RATES)</f>
        <v>Updated at 10:30:17</v>
      </c>
      <c r="N84" s="574" t="s">
        <v>938</v>
      </c>
      <c r="O84" s="582" t="str">
        <v/>
      </c>
      <c r="P84" s="585">
        <v>36</v>
      </c>
      <c r="Q84" s="585">
        <v>32</v>
      </c>
      <c r="R84" s="547" t="s">
        <v>78</v>
      </c>
      <c r="EV84" s="205">
        <f t="shared" si="52"/>
        <v>46112</v>
      </c>
      <c r="EW84" s="216">
        <f>IF(EV84=CPI0_DATE,1,IF(EV84&lt;CPI0_DATE,EW85/EY84*EY85,EXP(_xll.qInterp(EX84,$ER$10:$ER$21,$ES$10:$ES$21))))</f>
        <v>0.64561259095595092</v>
      </c>
      <c r="EX84" s="183">
        <f t="shared" si="67"/>
        <v>15</v>
      </c>
      <c r="EY84" s="175">
        <f t="shared" si="71"/>
        <v>0</v>
      </c>
      <c r="EZ84" s="179">
        <f t="shared" si="68"/>
        <v>273.69354234303643</v>
      </c>
      <c r="FA84" s="177">
        <f t="shared" si="73"/>
        <v>0.74170955312493625</v>
      </c>
      <c r="FB84" s="177">
        <f t="shared" si="74"/>
        <v>0.74446021843092014</v>
      </c>
      <c r="FC84" s="177">
        <f t="shared" si="72"/>
        <v>3.0000097143967119</v>
      </c>
    </row>
    <row r="85" spans="5:159">
      <c r="F85" s="547" t="s">
        <v>8</v>
      </c>
      <c r="G85" s="828" t="s">
        <v>83</v>
      </c>
      <c r="I85" s="573" t="s">
        <v>87</v>
      </c>
      <c r="M85" s="579" t="str">
        <f ca="1">_xll.RtUpdate("IDN",G85,I85,N85,,RTMODE_RATES)</f>
        <v>Updated at 10:30:14</v>
      </c>
      <c r="N85" s="574" t="s">
        <v>917</v>
      </c>
      <c r="O85" s="582" t="str">
        <v/>
      </c>
      <c r="P85" s="585">
        <v>60.75</v>
      </c>
      <c r="Q85" s="585">
        <v>56.75</v>
      </c>
      <c r="R85" s="547" t="s">
        <v>78</v>
      </c>
      <c r="EV85" s="205">
        <f t="shared" si="52"/>
        <v>46203</v>
      </c>
      <c r="EW85" s="216">
        <f>IF(EV85=CPI0_DATE,1,IF(EV85&lt;CPI0_DATE,EW86/EY85*EY86,EXP(_xll.qInterp(EX85,$ER$10:$ER$21,$ES$10:$ES$21))))</f>
        <v>0.64085928252561786</v>
      </c>
      <c r="EX85" s="183">
        <f t="shared" si="67"/>
        <v>15.25</v>
      </c>
      <c r="EY85" s="175">
        <f t="shared" si="71"/>
        <v>0</v>
      </c>
      <c r="EZ85" s="179">
        <f t="shared" si="68"/>
        <v>275.72355089190199</v>
      </c>
      <c r="FA85" s="177">
        <f t="shared" si="73"/>
        <v>0.74170860279971773</v>
      </c>
      <c r="FB85" s="177">
        <f t="shared" si="74"/>
        <v>0.7444597397439745</v>
      </c>
      <c r="FC85" s="177">
        <f t="shared" si="72"/>
        <v>3.0000087427682898</v>
      </c>
    </row>
    <row r="86" spans="5:159">
      <c r="F86" s="547" t="s">
        <v>9</v>
      </c>
      <c r="G86" s="828" t="s">
        <v>83</v>
      </c>
      <c r="I86" s="573" t="s">
        <v>88</v>
      </c>
      <c r="M86" s="579" t="str">
        <f ca="1">_xll.RtUpdate("IDN",G86,I86,N86,,RTMODE_RATES)</f>
        <v>Updated at 10:17:45</v>
      </c>
      <c r="N86" s="574" t="s">
        <v>920</v>
      </c>
      <c r="O86" s="582" t="str">
        <v/>
      </c>
      <c r="P86" s="585">
        <v>72.25</v>
      </c>
      <c r="Q86" s="585">
        <v>68.25</v>
      </c>
      <c r="R86" s="547" t="s">
        <v>78</v>
      </c>
      <c r="EV86" s="205">
        <f t="shared" si="52"/>
        <v>46295</v>
      </c>
      <c r="EW86" s="216">
        <f>IF(EV86=CPI0_DATE,1,IF(EV86&lt;CPI0_DATE,EW87/EY86*EY87,EXP(_xll.qInterp(EX86,$ER$10:$ER$21,$ES$10:$ES$21))))</f>
        <v>0.63614097022353633</v>
      </c>
      <c r="EX86" s="183">
        <f t="shared" si="67"/>
        <v>15.5</v>
      </c>
      <c r="EY86" s="175">
        <f t="shared" si="71"/>
        <v>0</v>
      </c>
      <c r="EZ86" s="179">
        <f t="shared" si="68"/>
        <v>277.76861618881208</v>
      </c>
      <c r="FA86" s="177">
        <f t="shared" si="73"/>
        <v>0.74170860279971773</v>
      </c>
      <c r="FB86" s="177">
        <f t="shared" si="74"/>
        <v>0.74445926105705107</v>
      </c>
      <c r="FC86" s="177">
        <f t="shared" si="72"/>
        <v>3.000007771139912</v>
      </c>
    </row>
    <row r="87" spans="5:159">
      <c r="F87" s="547" t="s">
        <v>10</v>
      </c>
      <c r="G87" s="828" t="s">
        <v>83</v>
      </c>
      <c r="I87" s="573" t="s">
        <v>89</v>
      </c>
      <c r="M87" s="579" t="str">
        <f ca="1">_xll.RtUpdate("IDN",G87,I87,N87,,RTMODE_RATES)</f>
        <v>Updated at 10:17:45</v>
      </c>
      <c r="N87" s="574" t="s">
        <v>918</v>
      </c>
      <c r="O87" s="582" t="str">
        <v/>
      </c>
      <c r="P87" s="585">
        <v>37.75</v>
      </c>
      <c r="Q87" s="585">
        <v>33.75</v>
      </c>
      <c r="R87" s="547" t="s">
        <v>78</v>
      </c>
      <c r="EV87" s="205">
        <f t="shared" si="52"/>
        <v>46387</v>
      </c>
      <c r="EW87" s="216">
        <f>IF(EV87=CPI0_DATE,1,IF(EV87&lt;CPI0_DATE,EW88/EY87*EY88,EXP(_xll.qInterp(EX87,$ER$10:$ER$21,$ES$10:$ES$21))))</f>
        <v>0.63145739639148557</v>
      </c>
      <c r="EX87" s="183">
        <f t="shared" si="67"/>
        <v>15.75</v>
      </c>
      <c r="EY87" s="175">
        <f t="shared" si="71"/>
        <v>0</v>
      </c>
      <c r="EZ87" s="179">
        <f t="shared" si="68"/>
        <v>279.82884991096222</v>
      </c>
      <c r="FA87" s="177">
        <f t="shared" si="73"/>
        <v>0.74170860279971773</v>
      </c>
      <c r="FB87" s="177">
        <f t="shared" si="74"/>
        <v>0.74445926105705107</v>
      </c>
      <c r="FC87" s="177">
        <f t="shared" si="72"/>
        <v>3.0000067995115121</v>
      </c>
    </row>
    <row r="88" spans="5:159">
      <c r="F88" s="547" t="s">
        <v>11</v>
      </c>
      <c r="G88" s="828" t="s">
        <v>83</v>
      </c>
      <c r="I88" s="573" t="s">
        <v>90</v>
      </c>
      <c r="M88" s="579" t="str">
        <f ca="1">_xll.RtUpdate("IDN",G88,I88,N88,,RTMODE_RATES)</f>
        <v>Updated at 10:17:45</v>
      </c>
      <c r="N88" s="574" t="s">
        <v>919</v>
      </c>
      <c r="O88" s="582" t="str">
        <v/>
      </c>
      <c r="P88" s="585">
        <v>46.5</v>
      </c>
      <c r="Q88" s="585">
        <v>42.5</v>
      </c>
      <c r="R88" s="547" t="s">
        <v>78</v>
      </c>
      <c r="EV88" s="205">
        <f t="shared" si="52"/>
        <v>46477</v>
      </c>
      <c r="EW88" s="216">
        <f>IF(EV88=CPI0_DATE,1,IF(EV88&lt;CPI0_DATE,EW89/EY88*EY89,EXP(_xll.qInterp(EX88,$ER$10:$ER$21,$ES$10:$ES$21))))</f>
        <v>0.62680830526824782</v>
      </c>
      <c r="EX88" s="183">
        <f t="shared" si="67"/>
        <v>16</v>
      </c>
      <c r="EY88" s="175">
        <f t="shared" si="71"/>
        <v>0</v>
      </c>
      <c r="EZ88" s="179">
        <f t="shared" si="68"/>
        <v>281.90436456386738</v>
      </c>
      <c r="FA88" s="177">
        <f t="shared" si="73"/>
        <v>0.74170860279973994</v>
      </c>
      <c r="FB88" s="177">
        <f t="shared" si="74"/>
        <v>0.74445926105706217</v>
      </c>
      <c r="FC88" s="177">
        <f t="shared" si="72"/>
        <v>3.0000058278831565</v>
      </c>
    </row>
    <row r="89" spans="5:159">
      <c r="F89" s="547" t="s">
        <v>12</v>
      </c>
      <c r="G89" s="828" t="s">
        <v>83</v>
      </c>
      <c r="I89" s="573" t="s">
        <v>91</v>
      </c>
      <c r="M89" s="579" t="str">
        <f ca="1">_xll.RtUpdate("IDN",G89,I89,N89,,RTMODE_RATES)</f>
        <v>Updated at 10:18:51</v>
      </c>
      <c r="N89" s="574" t="s">
        <v>921</v>
      </c>
      <c r="O89" s="582" t="str">
        <v/>
      </c>
      <c r="P89" s="585">
        <v>52</v>
      </c>
      <c r="Q89" s="585">
        <v>48</v>
      </c>
      <c r="R89" s="547" t="s">
        <v>78</v>
      </c>
      <c r="EV89" s="205">
        <f t="shared" si="52"/>
        <v>46568</v>
      </c>
      <c r="EW89" s="216">
        <f>IF(EV89=CPI0_DATE,1,IF(EV89&lt;CPI0_DATE,EW90/EY89*EY90,EXP(_xll.qInterp(EX89,$ER$10:$ER$21,$ES$10:$ES$21))))</f>
        <v>0.62219344297564172</v>
      </c>
      <c r="EX89" s="183">
        <f t="shared" ref="EX89:EX120" si="75">ROUND((EV89-CPI0_DATE)/365/0.25,0)*0.25</f>
        <v>16.25</v>
      </c>
      <c r="EY89" s="175">
        <f t="shared" si="71"/>
        <v>0</v>
      </c>
      <c r="EZ89" s="179">
        <f t="shared" si="68"/>
        <v>283.99527348750547</v>
      </c>
      <c r="FA89" s="177">
        <f t="shared" si="73"/>
        <v>0.74170860279971773</v>
      </c>
      <c r="FB89" s="177">
        <f t="shared" si="74"/>
        <v>0.74445926105706217</v>
      </c>
      <c r="FC89" s="177">
        <f t="shared" si="72"/>
        <v>3.0000058278831787</v>
      </c>
    </row>
    <row r="90" spans="5:159">
      <c r="F90" s="547" t="s">
        <v>13</v>
      </c>
      <c r="G90" s="828" t="s">
        <v>83</v>
      </c>
      <c r="I90" s="573" t="s">
        <v>64</v>
      </c>
      <c r="M90" s="579" t="str">
        <f ca="1">_xll.RtUpdate("IDN",G90,I90,N90,,RTMODE_RATES)</f>
        <v>Updated at 10:18:51</v>
      </c>
      <c r="N90" s="574" t="s">
        <v>924</v>
      </c>
      <c r="O90" s="582" t="str">
        <v/>
      </c>
      <c r="P90" s="585">
        <v>56.5</v>
      </c>
      <c r="Q90" s="585">
        <v>52.5</v>
      </c>
      <c r="R90" s="547" t="s">
        <v>78</v>
      </c>
      <c r="EV90" s="205">
        <f t="shared" ref="EV90:EV153" si="76">DATE(YEAR(EV89),MONTH(EV89)+4,1)-1</f>
        <v>46660</v>
      </c>
      <c r="EW90" s="216">
        <f>IF(EV90=CPI0_DATE,1,IF(EV90&lt;CPI0_DATE,EW91/EY90*EY91,EXP(_xll.qInterp(EX90,$ER$10:$ER$21,$ES$10:$ES$21))))</f>
        <v>0.61761255750465827</v>
      </c>
      <c r="EX90" s="183">
        <f t="shared" si="75"/>
        <v>16.5</v>
      </c>
      <c r="EY90" s="175">
        <f t="shared" si="71"/>
        <v>0</v>
      </c>
      <c r="EZ90" s="179">
        <f t="shared" si="68"/>
        <v>286.10169086250687</v>
      </c>
      <c r="FA90" s="177">
        <f t="shared" si="73"/>
        <v>0.74170860279971773</v>
      </c>
      <c r="FB90" s="177">
        <f t="shared" si="74"/>
        <v>0.74445926105705107</v>
      </c>
      <c r="FC90" s="177">
        <f t="shared" si="72"/>
        <v>3.0000058278831787</v>
      </c>
    </row>
    <row r="91" spans="5:159">
      <c r="F91" s="547" t="s">
        <v>14</v>
      </c>
      <c r="G91" s="828" t="s">
        <v>83</v>
      </c>
      <c r="I91" s="573" t="s">
        <v>65</v>
      </c>
      <c r="M91" s="579" t="str">
        <f ca="1">_xll.RtUpdate("IDN",G91,I91,N91,,RTMODE_RATES)</f>
        <v>Updated at 10:18:51</v>
      </c>
      <c r="N91" s="574" t="s">
        <v>928</v>
      </c>
      <c r="O91" s="582" t="str">
        <v/>
      </c>
      <c r="P91" s="585">
        <v>60.38</v>
      </c>
      <c r="Q91" s="585">
        <v>56.38</v>
      </c>
      <c r="R91" s="547" t="s">
        <v>78</v>
      </c>
      <c r="EV91" s="205">
        <f t="shared" si="76"/>
        <v>46752</v>
      </c>
      <c r="EW91" s="216">
        <f>IF(EV91=CPI0_DATE,1,IF(EV91&lt;CPI0_DATE,EW92/EY91*EY92,EXP(_xll.qInterp(EX91,$ER$10:$ER$21,$ES$10:$ES$21))))</f>
        <v>0.6130653987016994</v>
      </c>
      <c r="EX91" s="183">
        <f t="shared" si="75"/>
        <v>16.75</v>
      </c>
      <c r="EY91" s="175">
        <f t="shared" si="71"/>
        <v>0</v>
      </c>
      <c r="EZ91" s="179">
        <f t="shared" si="68"/>
        <v>288.22373171638952</v>
      </c>
      <c r="FA91" s="177">
        <f t="shared" si="73"/>
        <v>0.74170860279971773</v>
      </c>
      <c r="FB91" s="177">
        <f t="shared" si="74"/>
        <v>0.74445926105705107</v>
      </c>
      <c r="FC91" s="177">
        <f t="shared" si="72"/>
        <v>3.0000058278831565</v>
      </c>
    </row>
    <row r="92" spans="5:159">
      <c r="F92" s="547" t="s">
        <v>15</v>
      </c>
      <c r="G92" s="828" t="s">
        <v>83</v>
      </c>
      <c r="I92" s="573" t="s">
        <v>66</v>
      </c>
      <c r="M92" s="579" t="str">
        <f ca="1">_xll.RtUpdate("IDN",G92,I92,N92,,RTMODE_RATES)</f>
        <v>Updated at 10:21:08</v>
      </c>
      <c r="N92" s="574" t="s">
        <v>931</v>
      </c>
      <c r="O92" s="582" t="str">
        <v/>
      </c>
      <c r="P92" s="585">
        <v>67.38</v>
      </c>
      <c r="Q92" s="585">
        <v>63.38</v>
      </c>
      <c r="R92" s="547" t="s">
        <v>78</v>
      </c>
      <c r="EV92" s="205">
        <f t="shared" si="76"/>
        <v>46843</v>
      </c>
      <c r="EW92" s="216">
        <f>IF(EV92=CPI0_DATE,1,IF(EV92&lt;CPI0_DATE,EW93/EY92*EY93,EXP(_xll.qInterp(EX92,$ER$10:$ER$21,$ES$10:$ES$21))))</f>
        <v>0.60855171825491716</v>
      </c>
      <c r="EX92" s="183">
        <f t="shared" si="75"/>
        <v>17</v>
      </c>
      <c r="EY92" s="175">
        <f t="shared" si="71"/>
        <v>0</v>
      </c>
      <c r="EZ92" s="179">
        <f t="shared" si="68"/>
        <v>290.36151192984039</v>
      </c>
      <c r="FA92" s="177">
        <f t="shared" si="73"/>
        <v>0.74170860279971773</v>
      </c>
      <c r="FB92" s="177">
        <f t="shared" si="74"/>
        <v>0.74445926105705107</v>
      </c>
      <c r="FC92" s="177">
        <f t="shared" si="72"/>
        <v>3.0000058278831565</v>
      </c>
    </row>
    <row r="93" spans="5:159">
      <c r="F93" s="547" t="s">
        <v>16</v>
      </c>
      <c r="G93" s="828" t="s">
        <v>83</v>
      </c>
      <c r="I93" s="573" t="s">
        <v>67</v>
      </c>
      <c r="M93" s="579" t="str">
        <f ca="1">_xll.RtUpdate("IDN",G93,I93,N93,,RTMODE_RATES)</f>
        <v>Updated at 10:18:51</v>
      </c>
      <c r="N93" s="574" t="s">
        <v>929</v>
      </c>
      <c r="O93" s="582" t="str">
        <v/>
      </c>
      <c r="P93" s="585">
        <v>73.38</v>
      </c>
      <c r="Q93" s="585">
        <v>69.38</v>
      </c>
      <c r="R93" s="547" t="s">
        <v>78</v>
      </c>
      <c r="EV93" s="205">
        <f t="shared" si="76"/>
        <v>46934</v>
      </c>
      <c r="EW93" s="216">
        <f>IF(EV93=CPI0_DATE,1,IF(EV93&lt;CPI0_DATE,EW94/EY93*EY94,EXP(_xll.qInterp(EX93,$ER$10:$ER$21,$ES$10:$ES$21))))</f>
        <v>0.60407126968065428</v>
      </c>
      <c r="EX93" s="183">
        <f t="shared" si="75"/>
        <v>17.25</v>
      </c>
      <c r="EY93" s="175">
        <f t="shared" si="71"/>
        <v>0</v>
      </c>
      <c r="EZ93" s="179">
        <f t="shared" si="68"/>
        <v>292.51514824304331</v>
      </c>
      <c r="FA93" s="177">
        <f t="shared" si="73"/>
        <v>0.74170860279971773</v>
      </c>
      <c r="FB93" s="177">
        <f t="shared" si="74"/>
        <v>0.74445926105705107</v>
      </c>
      <c r="FC93" s="177">
        <f t="shared" si="72"/>
        <v>3.0000058278831565</v>
      </c>
    </row>
    <row r="94" spans="5:159">
      <c r="F94" s="547" t="s">
        <v>17</v>
      </c>
      <c r="G94" s="828" t="s">
        <v>83</v>
      </c>
      <c r="I94" s="573" t="s">
        <v>68</v>
      </c>
      <c r="M94" s="579" t="str">
        <f ca="1">_xll.RtUpdate("IDN",G94,I94,N94,,RTMODE_RATES)</f>
        <v>Updated at 10:18:51</v>
      </c>
      <c r="N94" s="574" t="s">
        <v>926</v>
      </c>
      <c r="O94" s="582" t="str">
        <v/>
      </c>
      <c r="P94" s="585">
        <v>69.13</v>
      </c>
      <c r="Q94" s="585">
        <v>65.13</v>
      </c>
      <c r="R94" s="547" t="s">
        <v>78</v>
      </c>
      <c r="EV94" s="205">
        <f t="shared" si="76"/>
        <v>47026</v>
      </c>
      <c r="EW94" s="216">
        <f>IF(EV94=CPI0_DATE,1,IF(EV94&lt;CPI0_DATE,EW95/EY94*EY95,EXP(_xll.qInterp(EX94,$ER$10:$ER$21,$ES$10:$ES$21))))</f>
        <v>0.59962380830998385</v>
      </c>
      <c r="EX94" s="183">
        <f t="shared" si="75"/>
        <v>17.5</v>
      </c>
      <c r="EY94" s="175">
        <f t="shared" si="71"/>
        <v>0</v>
      </c>
      <c r="EZ94" s="179">
        <f t="shared" ref="EZ94:EZ125" si="77">IF(EY94&gt;0,EY94,EZ93*EW93/EW94)</f>
        <v>294.68475826205429</v>
      </c>
      <c r="FA94" s="177">
        <f t="shared" si="73"/>
        <v>0.74170860279971773</v>
      </c>
      <c r="FB94" s="177">
        <f t="shared" si="74"/>
        <v>0.74445926105703997</v>
      </c>
      <c r="FC94" s="177">
        <f t="shared" si="72"/>
        <v>3.0000058278831343</v>
      </c>
    </row>
    <row r="95" spans="5:159">
      <c r="F95" s="547" t="s">
        <v>18</v>
      </c>
      <c r="G95" s="828" t="s">
        <v>83</v>
      </c>
      <c r="I95" s="573" t="s">
        <v>69</v>
      </c>
      <c r="M95" s="579" t="str">
        <f ca="1">_xll.RtUpdate("IDN",G95,I95,N95,,RTMODE_RATES)</f>
        <v>Updated at 10:18:51</v>
      </c>
      <c r="N95" s="574" t="s">
        <v>925</v>
      </c>
      <c r="O95" s="582" t="str">
        <v/>
      </c>
      <c r="P95" s="585">
        <v>57.88</v>
      </c>
      <c r="Q95" s="585">
        <v>53.88</v>
      </c>
      <c r="R95" s="547" t="s">
        <v>78</v>
      </c>
      <c r="EV95" s="205">
        <f t="shared" si="76"/>
        <v>47118</v>
      </c>
      <c r="EW95" s="216">
        <f>IF(EV95=CPI0_DATE,1,IF(EV95&lt;CPI0_DATE,EW96/EY95*EY96,EXP(_xll.qInterp(EX95,$ER$10:$ER$21,$ES$10:$ES$21))))</f>
        <v>0.5952090912753486</v>
      </c>
      <c r="EX95" s="183">
        <f t="shared" si="75"/>
        <v>17.75</v>
      </c>
      <c r="EY95" s="175">
        <f t="shared" si="71"/>
        <v>0</v>
      </c>
      <c r="EZ95" s="179">
        <f t="shared" si="77"/>
        <v>296.87046046522346</v>
      </c>
      <c r="FA95" s="177">
        <f t="shared" si="73"/>
        <v>0.74170860279969553</v>
      </c>
      <c r="FB95" s="177">
        <f t="shared" si="74"/>
        <v>0.74445926105703997</v>
      </c>
      <c r="FC95" s="177">
        <f t="shared" si="72"/>
        <v>3.0000058278831343</v>
      </c>
    </row>
    <row r="96" spans="5:159">
      <c r="F96" s="547" t="s">
        <v>19</v>
      </c>
      <c r="G96" s="828" t="s">
        <v>83</v>
      </c>
      <c r="I96" s="573" t="s">
        <v>70</v>
      </c>
      <c r="M96" s="579" t="str">
        <f ca="1">_xll.RtUpdate("IDN",G96,I96,N96,,RTMODE_RATES)</f>
        <v>Updated at 10:18:51</v>
      </c>
      <c r="N96" s="574" t="s">
        <v>927</v>
      </c>
      <c r="O96" s="582" t="str">
        <v/>
      </c>
      <c r="P96" s="585">
        <v>45.38</v>
      </c>
      <c r="Q96" s="585">
        <v>41.38</v>
      </c>
      <c r="R96" s="547" t="s">
        <v>78</v>
      </c>
      <c r="EV96" s="205">
        <f t="shared" si="76"/>
        <v>47208</v>
      </c>
      <c r="EW96" s="216">
        <f>IF(EV96=CPI0_DATE,1,IF(EV96&lt;CPI0_DATE,EW97/EY96*EY97,EXP(_xll.qInterp(EX96,$ER$10:$ER$21,$ES$10:$ES$21))))</f>
        <v>0.59082687749729812</v>
      </c>
      <c r="EX96" s="183">
        <f t="shared" si="75"/>
        <v>18</v>
      </c>
      <c r="EY96" s="175">
        <f t="shared" si="71"/>
        <v>0</v>
      </c>
      <c r="EZ96" s="179">
        <f t="shared" si="77"/>
        <v>299.07237420966521</v>
      </c>
      <c r="FA96" s="177">
        <f t="shared" si="73"/>
        <v>0.74170860279973994</v>
      </c>
      <c r="FB96" s="177">
        <f t="shared" si="74"/>
        <v>0.74445926105705107</v>
      </c>
      <c r="FC96" s="177">
        <f t="shared" si="72"/>
        <v>3.0000058278831343</v>
      </c>
    </row>
    <row r="97" spans="5:159">
      <c r="F97" s="547" t="s">
        <v>27</v>
      </c>
      <c r="G97" s="828" t="s">
        <v>83</v>
      </c>
      <c r="I97" s="573" t="s">
        <v>71</v>
      </c>
      <c r="M97" s="579" t="str">
        <f ca="1">_xll.RtUpdate("IDN",G97,I97,N97,,RTMODE_RATES)</f>
        <v>Updated at 10:13:26</v>
      </c>
      <c r="N97" s="574" t="s">
        <v>906</v>
      </c>
      <c r="O97" s="582" t="str">
        <v/>
      </c>
      <c r="P97" s="585">
        <v>12.88</v>
      </c>
      <c r="Q97" s="585">
        <v>8.8800000000000008</v>
      </c>
      <c r="R97" s="547" t="s">
        <v>78</v>
      </c>
      <c r="EV97" s="205">
        <f t="shared" si="76"/>
        <v>47299</v>
      </c>
      <c r="EW97" s="216">
        <f>IF(EV97=CPI0_DATE,1,IF(EV97&lt;CPI0_DATE,EW98/EY97*EY98,EXP(_xll.qInterp(EX97,$ER$10:$ER$21,$ES$10:$ES$21))))</f>
        <v>0.58647692767132453</v>
      </c>
      <c r="EX97" s="183">
        <f t="shared" si="75"/>
        <v>18.25</v>
      </c>
      <c r="EY97" s="175">
        <f t="shared" si="71"/>
        <v>0</v>
      </c>
      <c r="EZ97" s="179">
        <f t="shared" si="77"/>
        <v>301.29061973777561</v>
      </c>
      <c r="FA97" s="177">
        <f t="shared" si="73"/>
        <v>0.74170860279969553</v>
      </c>
      <c r="FB97" s="177">
        <f t="shared" si="74"/>
        <v>0.74445926105705107</v>
      </c>
      <c r="FC97" s="177">
        <f t="shared" si="72"/>
        <v>3.0000058278831343</v>
      </c>
    </row>
    <row r="98" spans="5:159">
      <c r="R98" s="547" t="s">
        <v>78</v>
      </c>
      <c r="EV98" s="205">
        <f t="shared" si="76"/>
        <v>47391</v>
      </c>
      <c r="EW98" s="216">
        <f>IF(EV98=CPI0_DATE,1,IF(EV98&lt;CPI0_DATE,EW99/EY98*EY99,EXP(_xll.qInterp(EX98,$ER$10:$ER$21,$ES$10:$ES$21))))</f>
        <v>0.5821590042547935</v>
      </c>
      <c r="EX98" s="183">
        <f t="shared" si="75"/>
        <v>18.5</v>
      </c>
      <c r="EY98" s="175">
        <f t="shared" si="71"/>
        <v>0</v>
      </c>
      <c r="EZ98" s="179">
        <f t="shared" si="77"/>
        <v>303.5253181837993</v>
      </c>
      <c r="FA98" s="177">
        <f t="shared" si="73"/>
        <v>0.74170860279971773</v>
      </c>
      <c r="FB98" s="177">
        <f t="shared" si="74"/>
        <v>0.74445926105705107</v>
      </c>
      <c r="FC98" s="177">
        <f t="shared" si="72"/>
        <v>3.0000058278831565</v>
      </c>
    </row>
    <row r="99" spans="5:159">
      <c r="E99" s="572"/>
      <c r="EV99" s="205">
        <f t="shared" si="76"/>
        <v>47483</v>
      </c>
      <c r="EW99" s="216">
        <f>IF(EV99=CPI0_DATE,1,IF(EV99&lt;CPI0_DATE,EW100/EY99*EY100,EXP(_xll.qInterp(EX99,$ER$10:$ER$21,$ES$10:$ES$21))))</f>
        <v>0.57787287145397359</v>
      </c>
      <c r="EX99" s="183">
        <f t="shared" si="75"/>
        <v>18.75</v>
      </c>
      <c r="EY99" s="175">
        <f t="shared" si="71"/>
        <v>0</v>
      </c>
      <c r="EZ99" s="179">
        <f t="shared" si="77"/>
        <v>305.77659158044378</v>
      </c>
      <c r="FA99" s="177">
        <f t="shared" si="73"/>
        <v>0.74170860279971773</v>
      </c>
      <c r="FB99" s="177">
        <f t="shared" si="74"/>
        <v>0.74445926105706217</v>
      </c>
      <c r="FC99" s="177">
        <f t="shared" si="72"/>
        <v>3.0000058278831787</v>
      </c>
    </row>
    <row r="100" spans="5:159">
      <c r="E100" s="572" t="s">
        <v>576</v>
      </c>
      <c r="EV100" s="205">
        <f t="shared" si="76"/>
        <v>47573</v>
      </c>
      <c r="EW100" s="216">
        <f>IF(EV100=CPI0_DATE,1,IF(EV100&lt;CPI0_DATE,EW101/EY100*EY101,EXP(_xll.qInterp(EX100,$ER$10:$ER$21,$ES$10:$ES$21))))</f>
        <v>0.57361829521115937</v>
      </c>
      <c r="EX100" s="183">
        <f t="shared" si="75"/>
        <v>19</v>
      </c>
      <c r="EY100" s="175">
        <f t="shared" si="71"/>
        <v>0</v>
      </c>
      <c r="EZ100" s="179">
        <f t="shared" si="77"/>
        <v>308.04456286554364</v>
      </c>
      <c r="FA100" s="177">
        <f t="shared" si="73"/>
        <v>0.74170860279969553</v>
      </c>
      <c r="FB100" s="177">
        <f t="shared" si="74"/>
        <v>0.74445926105705107</v>
      </c>
      <c r="FC100" s="177">
        <f t="shared" si="72"/>
        <v>3.0000058278831343</v>
      </c>
    </row>
    <row r="101" spans="5:159">
      <c r="EV101" s="205">
        <f t="shared" si="76"/>
        <v>47664</v>
      </c>
      <c r="EW101" s="216">
        <f>IF(EV101=CPI0_DATE,1,IF(EV101&lt;CPI0_DATE,EW102/EY101*EY102,EXP(_xll.qInterp(EX101,$ER$10:$ER$21,$ES$10:$ES$21))))</f>
        <v>0.56939504319188994</v>
      </c>
      <c r="EX101" s="183">
        <f t="shared" si="75"/>
        <v>19.25</v>
      </c>
      <c r="EY101" s="175">
        <f t="shared" si="71"/>
        <v>0</v>
      </c>
      <c r="EZ101" s="179">
        <f t="shared" si="77"/>
        <v>310.32935588877416</v>
      </c>
      <c r="FA101" s="177">
        <f t="shared" si="73"/>
        <v>0.74170860279971773</v>
      </c>
      <c r="FB101" s="177">
        <f t="shared" si="74"/>
        <v>0.74445926105703997</v>
      </c>
      <c r="FC101" s="177">
        <f t="shared" si="72"/>
        <v>3.0000058278831565</v>
      </c>
    </row>
    <row r="102" spans="5:159">
      <c r="E102" s="547" t="s">
        <v>577</v>
      </c>
      <c r="F102" s="547" t="s">
        <v>116</v>
      </c>
      <c r="G102" s="828" t="str">
        <f t="shared" ref="G102:G107" si="78">"AU"&amp;F102&amp;"EBB=ICAA"</f>
        <v>AU0MEBB=ICAA</v>
      </c>
      <c r="I102" s="573" t="s">
        <v>117</v>
      </c>
      <c r="L102" s="547" t="s">
        <v>116</v>
      </c>
      <c r="M102" s="579" t="str">
        <f ca="1">_xll.RtUpdate("IDN",G102:G107,I102:I104,N102,,RTMODE_RATES)</f>
        <v>Updated at 10:14:38</v>
      </c>
      <c r="N102" s="574" t="s">
        <v>118</v>
      </c>
      <c r="O102" s="580">
        <v>4.8</v>
      </c>
      <c r="P102" s="580">
        <v>4.78</v>
      </c>
      <c r="EV102" s="205">
        <f t="shared" si="76"/>
        <v>47756</v>
      </c>
      <c r="EW102" s="216">
        <f>IF(EV102=CPI0_DATE,1,IF(EV102&lt;CPI0_DATE,EW103/EY102*EY103,EXP(_xll.qInterp(EX102,$ER$10:$ER$21,$ES$10:$ES$21))))</f>
        <v>0.56520288477226188</v>
      </c>
      <c r="EX102" s="183">
        <f t="shared" si="75"/>
        <v>19.5</v>
      </c>
      <c r="EY102" s="175">
        <f t="shared" si="71"/>
        <v>0</v>
      </c>
      <c r="EZ102" s="179">
        <f t="shared" si="77"/>
        <v>312.63109541841413</v>
      </c>
      <c r="FA102" s="177">
        <f t="shared" si="73"/>
        <v>0.74170860279971773</v>
      </c>
      <c r="FB102" s="177">
        <f t="shared" si="74"/>
        <v>0.74445926105705107</v>
      </c>
      <c r="FC102" s="177">
        <f t="shared" si="72"/>
        <v>3.0000058278831343</v>
      </c>
    </row>
    <row r="103" spans="5:159">
      <c r="F103" s="547" t="s">
        <v>0</v>
      </c>
      <c r="G103" s="828" t="str">
        <f t="shared" si="78"/>
        <v>AU1MEBB=ICAA</v>
      </c>
      <c r="I103" s="573" t="s">
        <v>43</v>
      </c>
      <c r="L103" s="547" t="s">
        <v>0</v>
      </c>
      <c r="N103" s="574" t="s">
        <v>119</v>
      </c>
      <c r="O103" s="580">
        <v>4.8499999999999996</v>
      </c>
      <c r="P103" s="580">
        <v>4.83</v>
      </c>
      <c r="EV103" s="205">
        <f t="shared" si="76"/>
        <v>47848</v>
      </c>
      <c r="EW103" s="216">
        <f>IF(EV103=CPI0_DATE,1,IF(EV103&lt;CPI0_DATE,EW104/EY103*EY104,EXP(_xll.qInterp(EX103,$ER$10:$ER$21,$ES$10:$ES$21))))</f>
        <v>0.56104159102633511</v>
      </c>
      <c r="EX103" s="183">
        <f t="shared" si="75"/>
        <v>19.75</v>
      </c>
      <c r="EY103" s="175">
        <f t="shared" si="71"/>
        <v>0</v>
      </c>
      <c r="EZ103" s="179">
        <f t="shared" si="77"/>
        <v>314.94990714815953</v>
      </c>
      <c r="FA103" s="177">
        <f t="shared" si="73"/>
        <v>0.74170860279971773</v>
      </c>
      <c r="FB103" s="177">
        <f t="shared" si="74"/>
        <v>0.74445926105705107</v>
      </c>
      <c r="FC103" s="177">
        <f t="shared" si="72"/>
        <v>3.0000058278831343</v>
      </c>
    </row>
    <row r="104" spans="5:159">
      <c r="F104" s="547" t="s">
        <v>1</v>
      </c>
      <c r="G104" s="828" t="str">
        <f t="shared" si="78"/>
        <v>AU2MEBB=ICAA</v>
      </c>
      <c r="I104" s="573" t="s">
        <v>44</v>
      </c>
      <c r="L104" s="547" t="s">
        <v>1</v>
      </c>
      <c r="N104" s="574" t="s">
        <v>120</v>
      </c>
      <c r="O104" s="580">
        <v>4.95</v>
      </c>
      <c r="P104" s="580">
        <v>4.9300000000000006</v>
      </c>
      <c r="EV104" s="205">
        <f t="shared" si="76"/>
        <v>47938</v>
      </c>
      <c r="EW104" s="216">
        <f>IF(EV104=CPI0_DATE,1,IF(EV104&lt;CPI0_DATE,EW105/EY104*EY105,EXP(_xll.qInterp(EX104,$ER$10:$ER$21,$ES$10:$ES$21))))</f>
        <v>0.55691093471363184</v>
      </c>
      <c r="EX104" s="183">
        <f t="shared" si="75"/>
        <v>20</v>
      </c>
      <c r="EY104" s="175">
        <f t="shared" si="71"/>
        <v>0</v>
      </c>
      <c r="EZ104" s="179">
        <f t="shared" si="77"/>
        <v>317.28591770398714</v>
      </c>
      <c r="FA104" s="177">
        <f t="shared" si="73"/>
        <v>0.74170860279971773</v>
      </c>
      <c r="FB104" s="177">
        <f t="shared" si="74"/>
        <v>0.74445926105705107</v>
      </c>
      <c r="FC104" s="177">
        <f t="shared" si="72"/>
        <v>3.0000058278831565</v>
      </c>
    </row>
    <row r="105" spans="5:159">
      <c r="F105" s="547" t="s">
        <v>2</v>
      </c>
      <c r="G105" s="828" t="str">
        <f t="shared" si="78"/>
        <v>AU3MEBB=ICAA</v>
      </c>
      <c r="L105" s="547" t="s">
        <v>2</v>
      </c>
      <c r="N105" s="574" t="s">
        <v>342</v>
      </c>
      <c r="O105" s="580">
        <v>4.9700000000000006</v>
      </c>
      <c r="P105" s="580">
        <v>4.95</v>
      </c>
      <c r="EV105" s="205">
        <f t="shared" si="76"/>
        <v>48029</v>
      </c>
      <c r="EW105" s="216">
        <f>IF(EV105=CPI0_DATE,1,IF(EV105&lt;CPI0_DATE,EW106/EY105*EY106,EXP(_xll.qInterp(EX105,$ER$10:$ER$21,$ES$10:$ES$21))))</f>
        <v>0.5528509586218453</v>
      </c>
      <c r="EX105" s="183">
        <f t="shared" si="75"/>
        <v>20.25</v>
      </c>
      <c r="EY105" s="175">
        <f t="shared" si="71"/>
        <v>0</v>
      </c>
      <c r="EZ105" s="179">
        <f t="shared" si="77"/>
        <v>319.61597288441027</v>
      </c>
      <c r="FA105" s="177">
        <f t="shared" si="73"/>
        <v>0.73437081522065295</v>
      </c>
      <c r="FB105" s="177">
        <f t="shared" si="74"/>
        <v>0.74076315476665489</v>
      </c>
      <c r="FC105" s="177">
        <f t="shared" si="72"/>
        <v>2.992503551280068</v>
      </c>
    </row>
    <row r="106" spans="5:159">
      <c r="F106" s="547" t="s">
        <v>3</v>
      </c>
      <c r="G106" s="828" t="str">
        <f t="shared" si="78"/>
        <v>AU4MEBB=ICAA</v>
      </c>
      <c r="L106" s="547" t="s">
        <v>3</v>
      </c>
      <c r="N106" s="574" t="s">
        <v>803</v>
      </c>
      <c r="O106" s="580">
        <v>5</v>
      </c>
      <c r="P106" s="580">
        <v>4.9800000000000004</v>
      </c>
      <c r="EV106" s="205">
        <f t="shared" si="76"/>
        <v>48121</v>
      </c>
      <c r="EW106" s="216">
        <f>IF(EV106=CPI0_DATE,1,IF(EV106&lt;CPI0_DATE,EW107/EY106*EY107,EXP(_xll.qInterp(EX106,$ER$10:$ER$21,$ES$10:$ES$21))))</f>
        <v>0.54882058045108795</v>
      </c>
      <c r="EX106" s="183">
        <f t="shared" si="75"/>
        <v>20.5</v>
      </c>
      <c r="EY106" s="175">
        <f t="shared" si="71"/>
        <v>0</v>
      </c>
      <c r="EZ106" s="179">
        <f t="shared" si="77"/>
        <v>321.96313931005693</v>
      </c>
      <c r="FA106" s="177">
        <f t="shared" si="73"/>
        <v>0.73437081522065295</v>
      </c>
      <c r="FB106" s="177">
        <f t="shared" si="74"/>
        <v>0.73706731769189737</v>
      </c>
      <c r="FC106" s="177">
        <f t="shared" si="72"/>
        <v>2.9850018211250218</v>
      </c>
    </row>
    <row r="107" spans="5:159">
      <c r="F107" s="547" t="s">
        <v>4</v>
      </c>
      <c r="G107" s="828" t="str">
        <f t="shared" si="78"/>
        <v>AU5MEBB=ICAA</v>
      </c>
      <c r="L107" s="547" t="s">
        <v>4</v>
      </c>
      <c r="N107" s="574" t="s">
        <v>905</v>
      </c>
      <c r="O107" s="580">
        <v>5.0199999999999996</v>
      </c>
      <c r="P107" s="580">
        <v>5</v>
      </c>
      <c r="EV107" s="205">
        <f t="shared" si="76"/>
        <v>48213</v>
      </c>
      <c r="EW107" s="216">
        <f>IF(EV107=CPI0_DATE,1,IF(EV107&lt;CPI0_DATE,EW108/EY107*EY108,EXP(_xll.qInterp(EX107,$ER$10:$ER$21,$ES$10:$ES$21))))</f>
        <v>0.54481958442744616</v>
      </c>
      <c r="EX107" s="183">
        <f t="shared" si="75"/>
        <v>20.75</v>
      </c>
      <c r="EY107" s="175">
        <f t="shared" si="71"/>
        <v>0</v>
      </c>
      <c r="EZ107" s="179">
        <f t="shared" si="77"/>
        <v>324.3275426409183</v>
      </c>
      <c r="FA107" s="177">
        <f t="shared" si="73"/>
        <v>0.73437081522067515</v>
      </c>
      <c r="FB107" s="177">
        <f t="shared" si="74"/>
        <v>0.73706731769190847</v>
      </c>
      <c r="FC107" s="177">
        <f t="shared" si="72"/>
        <v>2.9775006373782942</v>
      </c>
    </row>
    <row r="108" spans="5:159">
      <c r="EV108" s="205">
        <f t="shared" si="76"/>
        <v>48304</v>
      </c>
      <c r="EW108" s="216">
        <f>IF(EV108=CPI0_DATE,1,IF(EV108&lt;CPI0_DATE,EW109/EY108*EY109,EXP(_xll.qInterp(EX108,$ER$10:$ER$21,$ES$10:$ES$21))))</f>
        <v>0.54084775635003579</v>
      </c>
      <c r="EX108" s="183">
        <f t="shared" si="75"/>
        <v>21</v>
      </c>
      <c r="EY108" s="175">
        <f t="shared" si="71"/>
        <v>0</v>
      </c>
      <c r="EZ108" s="179">
        <f t="shared" si="77"/>
        <v>326.70930945979552</v>
      </c>
      <c r="FA108" s="177">
        <f t="shared" si="73"/>
        <v>0.73437081522065295</v>
      </c>
      <c r="FB108" s="177">
        <f t="shared" si="74"/>
        <v>0.73706731769190847</v>
      </c>
      <c r="FC108" s="177">
        <f t="shared" si="72"/>
        <v>2.9699999999999838</v>
      </c>
    </row>
    <row r="109" spans="5:159">
      <c r="E109" s="547" t="s">
        <v>578</v>
      </c>
      <c r="F109" s="547" t="s">
        <v>116</v>
      </c>
      <c r="G109" s="828" t="s">
        <v>570</v>
      </c>
      <c r="I109" s="573" t="s">
        <v>117</v>
      </c>
      <c r="L109" s="547" t="s">
        <v>116</v>
      </c>
      <c r="M109" s="579" t="str">
        <f ca="1">_xll.RtUpdate("IDN",G109:G114,I109:I111,N109,,RTMODE_RATES)</f>
        <v>Updated at 10:13:26</v>
      </c>
      <c r="N109" s="574" t="s">
        <v>118</v>
      </c>
      <c r="O109" s="580">
        <v>4.8199999999999994</v>
      </c>
      <c r="P109" s="580">
        <v>4.8</v>
      </c>
      <c r="EV109" s="205">
        <f t="shared" si="76"/>
        <v>48395</v>
      </c>
      <c r="EW109" s="216">
        <f>IF(EV109=CPI0_DATE,1,IF(EV109&lt;CPI0_DATE,EW110/EY109*EY110,EXP(_xll.qInterp(EX109,$ER$10:$ER$21,$ES$10:$ES$21))))</f>
        <v>0.53690488357953314</v>
      </c>
      <c r="EX109" s="183">
        <f t="shared" si="75"/>
        <v>21.25</v>
      </c>
      <c r="EY109" s="175">
        <f t="shared" si="71"/>
        <v>0</v>
      </c>
      <c r="EZ109" s="179">
        <f t="shared" si="77"/>
        <v>329.10856727907731</v>
      </c>
      <c r="FA109" s="177">
        <f t="shared" si="73"/>
        <v>0.73437081522069736</v>
      </c>
      <c r="FB109" s="177">
        <f t="shared" si="74"/>
        <v>0.73706731769190847</v>
      </c>
      <c r="FC109" s="177">
        <f t="shared" si="72"/>
        <v>2.970000000000006</v>
      </c>
    </row>
    <row r="110" spans="5:159">
      <c r="F110" s="547" t="s">
        <v>0</v>
      </c>
      <c r="G110" s="828" t="s">
        <v>571</v>
      </c>
      <c r="I110" s="573" t="s">
        <v>43</v>
      </c>
      <c r="L110" s="547" t="s">
        <v>0</v>
      </c>
      <c r="N110" s="574" t="s">
        <v>119</v>
      </c>
      <c r="O110" s="580">
        <v>4.9000000000000004</v>
      </c>
      <c r="P110" s="580">
        <v>4.88</v>
      </c>
      <c r="EV110" s="205">
        <f t="shared" si="76"/>
        <v>48487</v>
      </c>
      <c r="EW110" s="216">
        <f>IF(EV110=CPI0_DATE,1,IF(EV110&lt;CPI0_DATE,EW111/EY110*EY111,EXP(_xll.qInterp(EX110,$ER$10:$ER$21,$ES$10:$ES$21))))</f>
        <v>0.53299075502679216</v>
      </c>
      <c r="EX110" s="183">
        <f t="shared" si="75"/>
        <v>21.5</v>
      </c>
      <c r="EY110" s="175">
        <f t="shared" si="71"/>
        <v>0</v>
      </c>
      <c r="EZ110" s="179">
        <f t="shared" si="77"/>
        <v>331.52544454756566</v>
      </c>
      <c r="FA110" s="177">
        <f t="shared" si="73"/>
        <v>0.73437081522065295</v>
      </c>
      <c r="FB110" s="177">
        <f t="shared" si="74"/>
        <v>0.73706731769190847</v>
      </c>
      <c r="FC110" s="177">
        <f t="shared" si="72"/>
        <v>2.970000000000006</v>
      </c>
    </row>
    <row r="111" spans="5:159">
      <c r="F111" s="547" t="s">
        <v>1</v>
      </c>
      <c r="G111" s="828" t="s">
        <v>572</v>
      </c>
      <c r="I111" s="573" t="s">
        <v>44</v>
      </c>
      <c r="L111" s="547" t="s">
        <v>1</v>
      </c>
      <c r="N111" s="574" t="s">
        <v>120</v>
      </c>
      <c r="O111" s="580">
        <v>4.96</v>
      </c>
      <c r="P111" s="580">
        <v>4.9400000000000004</v>
      </c>
      <c r="EV111" s="205">
        <f t="shared" si="76"/>
        <v>48579</v>
      </c>
      <c r="EW111" s="216">
        <f>IF(EV111=CPI0_DATE,1,IF(EV111&lt;CPI0_DATE,EW112/EY111*EY112,EXP(_xll.qInterp(EX111,$ER$10:$ER$21,$ES$10:$ES$21))))</f>
        <v>0.52910516114154238</v>
      </c>
      <c r="EX111" s="183">
        <f t="shared" si="75"/>
        <v>21.75</v>
      </c>
      <c r="EY111" s="175">
        <f t="shared" si="71"/>
        <v>0</v>
      </c>
      <c r="EZ111" s="179">
        <f t="shared" si="77"/>
        <v>333.96007065735358</v>
      </c>
      <c r="FA111" s="177">
        <f t="shared" si="73"/>
        <v>0.73437081522067515</v>
      </c>
      <c r="FB111" s="177">
        <f t="shared" si="74"/>
        <v>0.73706731769189737</v>
      </c>
      <c r="FC111" s="177">
        <f t="shared" si="72"/>
        <v>2.970000000000006</v>
      </c>
    </row>
    <row r="112" spans="5:159">
      <c r="F112" s="547" t="s">
        <v>2</v>
      </c>
      <c r="G112" s="828" t="s">
        <v>573</v>
      </c>
      <c r="L112" s="547" t="s">
        <v>2</v>
      </c>
      <c r="N112" s="574" t="s">
        <v>342</v>
      </c>
      <c r="O112" s="580">
        <v>4.99</v>
      </c>
      <c r="P112" s="580">
        <v>4.9700000000000006</v>
      </c>
      <c r="EV112" s="205">
        <f t="shared" si="76"/>
        <v>48669</v>
      </c>
      <c r="EW112" s="216">
        <f>IF(EV112=CPI0_DATE,1,IF(EV112&lt;CPI0_DATE,EW113/EY112*EY113,EXP(_xll.qInterp(EX112,$ER$10:$ER$21,$ES$10:$ES$21))))</f>
        <v>0.52524789390117088</v>
      </c>
      <c r="EX112" s="183">
        <f t="shared" si="75"/>
        <v>22</v>
      </c>
      <c r="EY112" s="175">
        <f t="shared" si="71"/>
        <v>0</v>
      </c>
      <c r="EZ112" s="179">
        <f t="shared" si="77"/>
        <v>336.41257595075155</v>
      </c>
      <c r="FA112" s="177">
        <f t="shared" si="73"/>
        <v>0.73437081522067515</v>
      </c>
      <c r="FB112" s="177">
        <f t="shared" si="74"/>
        <v>0.73706731769191958</v>
      </c>
      <c r="FC112" s="177">
        <f t="shared" si="72"/>
        <v>2.9700000000000282</v>
      </c>
    </row>
    <row r="113" spans="5:159">
      <c r="F113" s="547" t="s">
        <v>3</v>
      </c>
      <c r="G113" s="828" t="s">
        <v>574</v>
      </c>
      <c r="L113" s="547" t="s">
        <v>3</v>
      </c>
      <c r="N113" s="574" t="s">
        <v>803</v>
      </c>
      <c r="O113" s="580">
        <v>5.01</v>
      </c>
      <c r="P113" s="580">
        <v>4.99</v>
      </c>
      <c r="EV113" s="205">
        <f t="shared" si="76"/>
        <v>48760</v>
      </c>
      <c r="EW113" s="216">
        <f>IF(EV113=CPI0_DATE,1,IF(EV113&lt;CPI0_DATE,EW114/EY113*EY114,EXP(_xll.qInterp(EX113,$ER$10:$ER$21,$ES$10:$ES$21))))</f>
        <v>0.52141874679958544</v>
      </c>
      <c r="EX113" s="183">
        <f t="shared" si="75"/>
        <v>22.25</v>
      </c>
      <c r="EY113" s="175">
        <f t="shared" si="71"/>
        <v>0</v>
      </c>
      <c r="EZ113" s="179">
        <f t="shared" si="77"/>
        <v>338.88309172726588</v>
      </c>
      <c r="FA113" s="177">
        <f t="shared" si="73"/>
        <v>0.73437081522065295</v>
      </c>
      <c r="FB113" s="177">
        <f t="shared" si="74"/>
        <v>0.73706731769190847</v>
      </c>
      <c r="FC113" s="177">
        <f t="shared" si="72"/>
        <v>2.9699999999999838</v>
      </c>
    </row>
    <row r="114" spans="5:159">
      <c r="F114" s="547" t="s">
        <v>4</v>
      </c>
      <c r="G114" s="828" t="s">
        <v>575</v>
      </c>
      <c r="L114" s="547" t="s">
        <v>4</v>
      </c>
      <c r="N114" s="574" t="s">
        <v>905</v>
      </c>
      <c r="O114" s="580">
        <v>5.03</v>
      </c>
      <c r="P114" s="580">
        <v>5.01</v>
      </c>
      <c r="R114" s="547" t="s">
        <v>78</v>
      </c>
      <c r="EV114" s="205">
        <f t="shared" si="76"/>
        <v>48852</v>
      </c>
      <c r="EW114" s="216">
        <f>IF(EV114=CPI0_DATE,1,IF(EV114&lt;CPI0_DATE,EW115/EY114*EY115,EXP(_xll.qInterp(EX114,$ER$10:$ER$21,$ES$10:$ES$21))))</f>
        <v>0.51761751483615825</v>
      </c>
      <c r="EX114" s="183">
        <f t="shared" si="75"/>
        <v>22.5</v>
      </c>
      <c r="EY114" s="175">
        <f t="shared" si="71"/>
        <v>0</v>
      </c>
      <c r="EZ114" s="179">
        <f t="shared" si="77"/>
        <v>341.37175025062839</v>
      </c>
      <c r="FA114" s="177">
        <f t="shared" si="73"/>
        <v>0.73437081522067515</v>
      </c>
      <c r="FB114" s="177">
        <f t="shared" si="74"/>
        <v>0.73706731769189737</v>
      </c>
      <c r="FC114" s="177">
        <f t="shared" si="72"/>
        <v>2.970000000000006</v>
      </c>
    </row>
    <row r="115" spans="5:159">
      <c r="EV115" s="205">
        <f t="shared" si="76"/>
        <v>48944</v>
      </c>
      <c r="EW115" s="216">
        <f>IF(EV115=CPI0_DATE,1,IF(EV115&lt;CPI0_DATE,EW116/EY115*EY116,EXP(_xll.qInterp(EX115,$ER$10:$ER$21,$ES$10:$ES$21))))</f>
        <v>0.51384399450475127</v>
      </c>
      <c r="EX115" s="183">
        <f t="shared" si="75"/>
        <v>22.75</v>
      </c>
      <c r="EY115" s="175">
        <f t="shared" si="71"/>
        <v>0</v>
      </c>
      <c r="EZ115" s="179">
        <f t="shared" si="77"/>
        <v>343.87868475587698</v>
      </c>
      <c r="FA115" s="177">
        <f t="shared" si="73"/>
        <v>0.73437081522065295</v>
      </c>
      <c r="FB115" s="177">
        <f t="shared" si="74"/>
        <v>0.73706731769189737</v>
      </c>
      <c r="FC115" s="177">
        <f t="shared" si="72"/>
        <v>2.970000000000006</v>
      </c>
    </row>
    <row r="116" spans="5:159">
      <c r="R116" s="547" t="s">
        <v>78</v>
      </c>
      <c r="EV116" s="205">
        <f t="shared" si="76"/>
        <v>49034</v>
      </c>
      <c r="EW116" s="216">
        <f>IF(EV116=CPI0_DATE,1,IF(EV116&lt;CPI0_DATE,EW117/EY116*EY117,EXP(_xll.qInterp(EX116,$ER$10:$ER$21,$ES$10:$ES$21))))</f>
        <v>0.51009798378282123</v>
      </c>
      <c r="EX116" s="183">
        <f t="shared" si="75"/>
        <v>23</v>
      </c>
      <c r="EY116" s="175">
        <f t="shared" si="71"/>
        <v>0</v>
      </c>
      <c r="EZ116" s="179">
        <f t="shared" si="77"/>
        <v>346.40402945648879</v>
      </c>
      <c r="FA116" s="177">
        <f t="shared" si="73"/>
        <v>0.73437081522065295</v>
      </c>
      <c r="FB116" s="177">
        <f t="shared" si="74"/>
        <v>0.73706731769189737</v>
      </c>
      <c r="FC116" s="177">
        <f t="shared" si="72"/>
        <v>2.9699999999999838</v>
      </c>
    </row>
    <row r="117" spans="5:159">
      <c r="R117" s="547" t="s">
        <v>78</v>
      </c>
      <c r="EV117" s="205">
        <f t="shared" si="76"/>
        <v>49125</v>
      </c>
      <c r="EW117" s="216">
        <f>IF(EV117=CPI0_DATE,1,IF(EV117&lt;CPI0_DATE,EW118/EY117*EY118,EXP(_xll.qInterp(EX117,$ER$10:$ER$21,$ES$10:$ES$21))))</f>
        <v>0.50637928212060357</v>
      </c>
      <c r="EX117" s="183">
        <f t="shared" si="75"/>
        <v>23.25</v>
      </c>
      <c r="EY117" s="175">
        <f t="shared" si="71"/>
        <v>0</v>
      </c>
      <c r="EZ117" s="179">
        <f t="shared" si="77"/>
        <v>348.94791955156563</v>
      </c>
      <c r="FA117" s="177">
        <f t="shared" si="73"/>
        <v>0.73437081522067515</v>
      </c>
      <c r="FB117" s="177">
        <f t="shared" si="74"/>
        <v>0.73706731769189737</v>
      </c>
      <c r="FC117" s="177">
        <f t="shared" si="72"/>
        <v>2.9699999999999838</v>
      </c>
    </row>
    <row r="118" spans="5:159">
      <c r="E118" s="547" t="s">
        <v>374</v>
      </c>
      <c r="G118" s="580">
        <v>1</v>
      </c>
      <c r="R118" s="547" t="s">
        <v>78</v>
      </c>
      <c r="EV118" s="205">
        <f t="shared" si="76"/>
        <v>49217</v>
      </c>
      <c r="EW118" s="216">
        <f>IF(EV118=CPI0_DATE,1,IF(EV118&lt;CPI0_DATE,EW119/EY118*EY119,EXP(_xll.qInterp(EX118,$ER$10:$ER$21,$ES$10:$ES$21))))</f>
        <v>0.50268769043037598</v>
      </c>
      <c r="EX118" s="183">
        <f t="shared" si="75"/>
        <v>23.5</v>
      </c>
      <c r="EY118" s="175">
        <f t="shared" si="71"/>
        <v>0</v>
      </c>
      <c r="EZ118" s="179">
        <f t="shared" si="77"/>
        <v>351.51049123307212</v>
      </c>
      <c r="FA118" s="177">
        <f t="shared" si="73"/>
        <v>0.73437081522069736</v>
      </c>
      <c r="FB118" s="177">
        <f t="shared" si="74"/>
        <v>0.73706731769191958</v>
      </c>
      <c r="FC118" s="177">
        <f t="shared" si="72"/>
        <v>2.970000000000006</v>
      </c>
    </row>
    <row r="119" spans="5:159">
      <c r="EV119" s="205">
        <f t="shared" si="76"/>
        <v>49309</v>
      </c>
      <c r="EW119" s="216">
        <f>IF(EV119=CPI0_DATE,1,IF(EV119&lt;CPI0_DATE,EW120/EY119*EY120,EXP(_xll.qInterp(EX119,$ER$10:$ER$21,$ES$10:$ES$21))))</f>
        <v>0.49902301107579999</v>
      </c>
      <c r="EX119" s="183">
        <f t="shared" si="75"/>
        <v>23.75</v>
      </c>
      <c r="EY119" s="175">
        <f t="shared" si="71"/>
        <v>0</v>
      </c>
      <c r="EZ119" s="179">
        <f t="shared" si="77"/>
        <v>354.09188169312654</v>
      </c>
      <c r="FA119" s="177">
        <f t="shared" si="73"/>
        <v>0.73437081522065295</v>
      </c>
      <c r="FB119" s="177">
        <f t="shared" si="74"/>
        <v>0.73706731769190847</v>
      </c>
      <c r="FC119" s="177">
        <f t="shared" si="72"/>
        <v>2.970000000000006</v>
      </c>
    </row>
    <row r="120" spans="5:159">
      <c r="E120" s="547" t="s">
        <v>843</v>
      </c>
      <c r="G120" s="918" t="b">
        <v>1</v>
      </c>
      <c r="EV120" s="205">
        <f t="shared" si="76"/>
        <v>49399</v>
      </c>
      <c r="EW120" s="216">
        <f>IF(EV120=CPI0_DATE,1,IF(EV120&lt;CPI0_DATE,EW121/EY120*EY121,EXP(_xll.qInterp(EX120,$ER$10:$ER$21,$ES$10:$ES$21))))</f>
        <v>0.49538504786133936</v>
      </c>
      <c r="EX120" s="183">
        <f t="shared" si="75"/>
        <v>24</v>
      </c>
      <c r="EY120" s="175">
        <f t="shared" si="71"/>
        <v>0</v>
      </c>
      <c r="EZ120" s="179">
        <f t="shared" si="77"/>
        <v>356.69222913134655</v>
      </c>
      <c r="FA120" s="177">
        <f t="shared" si="73"/>
        <v>0.73437081522067515</v>
      </c>
      <c r="FB120" s="177">
        <f t="shared" si="74"/>
        <v>0.73706731769189737</v>
      </c>
      <c r="FC120" s="177">
        <f t="shared" si="72"/>
        <v>2.970000000000006</v>
      </c>
    </row>
    <row r="121" spans="5:159">
      <c r="EV121" s="205">
        <f t="shared" si="76"/>
        <v>49490</v>
      </c>
      <c r="EW121" s="216">
        <f>IF(EV121=CPI0_DATE,1,IF(EV121&lt;CPI0_DATE,EW122/EY121*EY122,EXP(_xll.qInterp(EX121,$ER$10:$ER$21,$ES$10:$ES$21))))</f>
        <v>0.49177360602175729</v>
      </c>
      <c r="EX121" s="183">
        <f t="shared" ref="EX121:EX152" si="79">ROUND((EV121-CPI0_DATE)/365/0.25,0)*0.25</f>
        <v>24.25</v>
      </c>
      <c r="EY121" s="175">
        <f t="shared" si="71"/>
        <v>0</v>
      </c>
      <c r="EZ121" s="179">
        <f t="shared" si="77"/>
        <v>359.31167276224721</v>
      </c>
      <c r="FA121" s="177">
        <f t="shared" si="73"/>
        <v>0.73437081522067515</v>
      </c>
      <c r="FB121" s="177">
        <f t="shared" si="74"/>
        <v>0.73706731769190847</v>
      </c>
      <c r="FC121" s="177">
        <f t="shared" si="72"/>
        <v>2.9700000000000282</v>
      </c>
    </row>
    <row r="122" spans="5:159">
      <c r="E122" s="547" t="s">
        <v>869</v>
      </c>
      <c r="G122" s="828" t="b">
        <f>Today=_xll.qDateNext(Today,"0YBAexpiry")</f>
        <v>0</v>
      </c>
      <c r="I122" s="920"/>
      <c r="EV122" s="205">
        <f t="shared" si="76"/>
        <v>49582</v>
      </c>
      <c r="EW122" s="216">
        <f>IF(EV122=CPI0_DATE,1,IF(EV122&lt;CPI0_DATE,EW123/EY122*EY123,EXP(_xll.qInterp(EX122,$ER$10:$ER$21,$ES$10:$ES$21))))</f>
        <v>0.48818849221168892</v>
      </c>
      <c r="EX122" s="183">
        <f t="shared" si="79"/>
        <v>24.5</v>
      </c>
      <c r="EY122" s="175">
        <f t="shared" si="71"/>
        <v>0</v>
      </c>
      <c r="EZ122" s="179">
        <f t="shared" si="77"/>
        <v>361.9503528226943</v>
      </c>
      <c r="FA122" s="177">
        <f t="shared" si="73"/>
        <v>0.73437081522065295</v>
      </c>
      <c r="FB122" s="177">
        <f t="shared" si="74"/>
        <v>0.73706731769190847</v>
      </c>
      <c r="FC122" s="177">
        <f t="shared" si="72"/>
        <v>2.9699999999999838</v>
      </c>
    </row>
    <row r="123" spans="5:159">
      <c r="E123" s="547" t="s">
        <v>870</v>
      </c>
      <c r="G123" s="828" t="b">
        <f>Today=_xll.qDateNext(Today,"0YTTexpiry")</f>
        <v>0</v>
      </c>
      <c r="I123" s="920"/>
      <c r="EV123" s="205">
        <f t="shared" si="76"/>
        <v>49674</v>
      </c>
      <c r="EW123" s="216">
        <f>IF(EV123=CPI0_DATE,1,IF(EV123&lt;CPI0_DATE,EW124/EY123*EY124,EXP(_xll.qInterp(EX123,$ER$10:$ER$21,$ES$10:$ES$21))))</f>
        <v>0.48462951449528985</v>
      </c>
      <c r="EX123" s="183">
        <f t="shared" si="79"/>
        <v>24.75</v>
      </c>
      <c r="EY123" s="175">
        <f t="shared" si="71"/>
        <v>0</v>
      </c>
      <c r="EZ123" s="179">
        <f t="shared" si="77"/>
        <v>364.60841057941241</v>
      </c>
      <c r="FA123" s="177">
        <f t="shared" si="73"/>
        <v>0.73437081522067515</v>
      </c>
      <c r="FB123" s="177">
        <f t="shared" si="74"/>
        <v>0.73706731769189737</v>
      </c>
      <c r="FC123" s="177">
        <f t="shared" si="72"/>
        <v>2.970000000000006</v>
      </c>
    </row>
    <row r="124" spans="5:159">
      <c r="EV124" s="205">
        <f t="shared" si="76"/>
        <v>49765</v>
      </c>
      <c r="EW124" s="216">
        <f>IF(EV124=CPI0_DATE,1,IF(EV124&lt;CPI0_DATE,EW125/EY124*EY125,EXP(_xll.qInterp(EX124,$ER$10:$ER$21,$ES$10:$ES$21))))</f>
        <v>0.48109648233596131</v>
      </c>
      <c r="EX124" s="183">
        <f t="shared" si="79"/>
        <v>25</v>
      </c>
      <c r="EY124" s="175">
        <f t="shared" si="71"/>
        <v>0</v>
      </c>
      <c r="EZ124" s="179">
        <f t="shared" si="77"/>
        <v>367.28598833654758</v>
      </c>
      <c r="FA124" s="177">
        <f t="shared" si="73"/>
        <v>0.73437081522067515</v>
      </c>
      <c r="FB124" s="177">
        <f t="shared" si="74"/>
        <v>0.73706731769190847</v>
      </c>
      <c r="FC124" s="177">
        <f t="shared" si="72"/>
        <v>2.970000000000006</v>
      </c>
    </row>
    <row r="125" spans="5:159">
      <c r="EV125" s="205">
        <f t="shared" si="76"/>
        <v>49856</v>
      </c>
      <c r="EW125" s="216">
        <f>IF(EV125=CPI0_DATE,1,IF(EV125&lt;CPI0_DATE,EW126/EY125*EY126,EXP(_xll.qInterp(EX125,$ER$10:$ER$21,$ES$10:$ES$21))))</f>
        <v>0.47758920658614867</v>
      </c>
      <c r="EX125" s="183">
        <f t="shared" si="79"/>
        <v>25.25</v>
      </c>
      <c r="EY125" s="175">
        <f t="shared" si="71"/>
        <v>0</v>
      </c>
      <c r="EZ125" s="179">
        <f t="shared" si="77"/>
        <v>369.98322944328595</v>
      </c>
      <c r="FA125" s="177">
        <f t="shared" si="73"/>
        <v>0.73437081522065295</v>
      </c>
      <c r="FB125" s="177">
        <f t="shared" si="74"/>
        <v>0.73706731769190847</v>
      </c>
      <c r="FC125" s="177">
        <f t="shared" si="72"/>
        <v>2.970000000000006</v>
      </c>
    </row>
    <row r="126" spans="5:159">
      <c r="EV126" s="205">
        <f t="shared" si="76"/>
        <v>49948</v>
      </c>
      <c r="EW126" s="216">
        <f>IF(EV126=CPI0_DATE,1,IF(EV126&lt;CPI0_DATE,EW127/EY126*EY127,EXP(_xll.qInterp(EX126,$ER$10:$ER$21,$ES$10:$ES$21))))</f>
        <v>0.47410749947721553</v>
      </c>
      <c r="EX126" s="183">
        <f t="shared" si="79"/>
        <v>25.5</v>
      </c>
      <c r="EY126" s="175">
        <f t="shared" si="71"/>
        <v>0</v>
      </c>
      <c r="EZ126" s="179">
        <f t="shared" ref="EZ126:EZ157" si="80">IF(EY126&gt;0,EY126,EZ125*EW125/EW126)</f>
        <v>372.70027830152839</v>
      </c>
      <c r="FA126" s="177">
        <f t="shared" si="73"/>
        <v>0.73437081522067515</v>
      </c>
      <c r="FB126" s="177">
        <f t="shared" si="74"/>
        <v>0.73706731769190847</v>
      </c>
      <c r="FC126" s="177">
        <f t="shared" si="72"/>
        <v>2.9700000000000282</v>
      </c>
    </row>
    <row r="127" spans="5:159">
      <c r="EV127" s="205">
        <f t="shared" si="76"/>
        <v>50040</v>
      </c>
      <c r="EW127" s="216">
        <f>IF(EV127=CPI0_DATE,1,IF(EV127&lt;CPI0_DATE,EW128/EY127*EY128,EXP(_xll.qInterp(EX127,$ER$10:$ER$21,$ES$10:$ES$21))))</f>
        <v>0.47065117460939093</v>
      </c>
      <c r="EX127" s="183">
        <f t="shared" si="79"/>
        <v>25.75</v>
      </c>
      <c r="EY127" s="175">
        <f t="shared" si="71"/>
        <v>0</v>
      </c>
      <c r="EZ127" s="179">
        <f t="shared" si="80"/>
        <v>375.43728037362098</v>
      </c>
      <c r="FA127" s="177">
        <f t="shared" si="73"/>
        <v>0.73437081522065295</v>
      </c>
      <c r="FB127" s="177">
        <f t="shared" si="74"/>
        <v>0.73706731769190847</v>
      </c>
      <c r="FC127" s="177">
        <f t="shared" si="72"/>
        <v>2.970000000000006</v>
      </c>
    </row>
    <row r="128" spans="5:159">
      <c r="EV128" s="205">
        <f t="shared" si="76"/>
        <v>50130</v>
      </c>
      <c r="EW128" s="216">
        <f>IF(EV128=CPI0_DATE,1,IF(EV128&lt;CPI0_DATE,EW129/EY128*EY129,EXP(_xll.qInterp(EX128,$ER$10:$ER$21,$ES$10:$ES$21))))</f>
        <v>0.46722004694179009</v>
      </c>
      <c r="EX128" s="183">
        <f t="shared" si="79"/>
        <v>26</v>
      </c>
      <c r="EY128" s="175">
        <f t="shared" si="71"/>
        <v>0</v>
      </c>
      <c r="EZ128" s="179">
        <f t="shared" si="80"/>
        <v>378.19438219014307</v>
      </c>
      <c r="FA128" s="177">
        <f t="shared" si="73"/>
        <v>0.73437081522067515</v>
      </c>
      <c r="FB128" s="177">
        <f t="shared" si="74"/>
        <v>0.73706731769190847</v>
      </c>
      <c r="FC128" s="177">
        <f t="shared" si="72"/>
        <v>2.970000000000006</v>
      </c>
    </row>
    <row r="129" spans="152:159">
      <c r="EV129" s="205">
        <f t="shared" si="76"/>
        <v>50221</v>
      </c>
      <c r="EW129" s="216">
        <f>IF(EV129=CPI0_DATE,1,IF(EV129&lt;CPI0_DATE,EW130/EY129*EY130,EXP(_xll.qInterp(EX129,$ER$10:$ER$21,$ES$10:$ES$21))))</f>
        <v>0.46381393278250815</v>
      </c>
      <c r="EX129" s="183">
        <f t="shared" si="79"/>
        <v>26.25</v>
      </c>
      <c r="EY129" s="175">
        <f t="shared" si="71"/>
        <v>0</v>
      </c>
      <c r="EZ129" s="179">
        <f t="shared" si="80"/>
        <v>380.97173135775159</v>
      </c>
      <c r="FA129" s="177">
        <f t="shared" si="73"/>
        <v>0.73437081522067515</v>
      </c>
      <c r="FB129" s="177">
        <f t="shared" si="74"/>
        <v>0.73706731769190847</v>
      </c>
      <c r="FC129" s="177">
        <f t="shared" si="72"/>
        <v>2.970000000000006</v>
      </c>
    </row>
    <row r="130" spans="152:159">
      <c r="EV130" s="205">
        <f t="shared" si="76"/>
        <v>50313</v>
      </c>
      <c r="EW130" s="216">
        <f>IF(EV130=CPI0_DATE,1,IF(EV130&lt;CPI0_DATE,EW131/EY130*EY131,EXP(_xll.qInterp(EX130,$ER$10:$ER$21,$ES$10:$ES$21))))</f>
        <v>0.46043264977878562</v>
      </c>
      <c r="EX130" s="183">
        <f t="shared" si="79"/>
        <v>26.5</v>
      </c>
      <c r="EY130" s="175">
        <f t="shared" si="71"/>
        <v>0</v>
      </c>
      <c r="EZ130" s="179">
        <f t="shared" si="80"/>
        <v>383.76947656708376</v>
      </c>
      <c r="FA130" s="177">
        <f t="shared" si="73"/>
        <v>0.73437081522065295</v>
      </c>
      <c r="FB130" s="177">
        <f t="shared" si="74"/>
        <v>0.73706731769189737</v>
      </c>
      <c r="FC130" s="177">
        <f t="shared" si="72"/>
        <v>2.9699999999999838</v>
      </c>
    </row>
    <row r="131" spans="152:159">
      <c r="EV131" s="205">
        <f t="shared" si="76"/>
        <v>50405</v>
      </c>
      <c r="EW131" s="216">
        <f>IF(EV131=CPI0_DATE,1,IF(EV131&lt;CPI0_DATE,EW132/EY131*EY132,EXP(_xll.qInterp(EX131,$ER$10:$ER$21,$ES$10:$ES$21))))</f>
        <v>0.4570760169072457</v>
      </c>
      <c r="EX131" s="183">
        <f t="shared" si="79"/>
        <v>26.75</v>
      </c>
      <c r="EY131" s="175">
        <f t="shared" si="71"/>
        <v>0</v>
      </c>
      <c r="EZ131" s="179">
        <f t="shared" si="80"/>
        <v>386.58776760071754</v>
      </c>
      <c r="FA131" s="177">
        <f t="shared" si="73"/>
        <v>0.73437081522067515</v>
      </c>
      <c r="FB131" s="177">
        <f t="shared" si="74"/>
        <v>0.73706731769189737</v>
      </c>
      <c r="FC131" s="177">
        <f t="shared" si="72"/>
        <v>2.970000000000006</v>
      </c>
    </row>
    <row r="132" spans="152:159">
      <c r="EV132" s="205">
        <f t="shared" si="76"/>
        <v>50495</v>
      </c>
      <c r="EW132" s="216">
        <f>IF(EV132=CPI0_DATE,1,IF(EV132&lt;CPI0_DATE,EW133/EY132*EY133,EXP(_xll.qInterp(EX132,$ER$10:$ER$21,$ES$10:$ES$21))))</f>
        <v>0.45374385446420323</v>
      </c>
      <c r="EX132" s="183">
        <f t="shared" si="79"/>
        <v>27</v>
      </c>
      <c r="EY132" s="175">
        <f t="shared" si="71"/>
        <v>0</v>
      </c>
      <c r="EZ132" s="179">
        <f t="shared" si="80"/>
        <v>389.4267553411903</v>
      </c>
      <c r="FA132" s="177">
        <f t="shared" si="73"/>
        <v>0.73437081522067515</v>
      </c>
      <c r="FB132" s="177">
        <f t="shared" si="74"/>
        <v>0.73706731769190847</v>
      </c>
      <c r="FC132" s="177">
        <f t="shared" si="72"/>
        <v>2.9699999999999838</v>
      </c>
    </row>
    <row r="133" spans="152:159">
      <c r="EV133" s="205">
        <f t="shared" si="76"/>
        <v>50586</v>
      </c>
      <c r="EW133" s="216">
        <f>IF(EV133=CPI0_DATE,1,IF(EV133&lt;CPI0_DATE,EW134/EY133*EY134,EXP(_xll.qInterp(EX133,$ER$10:$ER$21,$ES$10:$ES$21))))</f>
        <v>0.45043598405604368</v>
      </c>
      <c r="EX133" s="183">
        <f t="shared" si="79"/>
        <v>27.25</v>
      </c>
      <c r="EY133" s="175">
        <f t="shared" ref="EY133:EY196" si="81">IF(EV133&lt;CPI0_DATE,INDEX($EJ$6:$EJ$25,MATCH(EV133,$EI$6:$EI$25)),IF(EV133=CPI0_DATE,CPI0_VALUE,0))</f>
        <v>0</v>
      </c>
      <c r="EZ133" s="179">
        <f t="shared" si="80"/>
        <v>392.28659177907679</v>
      </c>
      <c r="FA133" s="177">
        <f t="shared" si="73"/>
        <v>0.73437081522067515</v>
      </c>
      <c r="FB133" s="177">
        <f t="shared" si="74"/>
        <v>0.73706731769190847</v>
      </c>
      <c r="FC133" s="177">
        <f t="shared" ref="FC133:FC196" si="82">100*(EZ133/EZ129-1)</f>
        <v>2.9699999999999838</v>
      </c>
    </row>
    <row r="134" spans="152:159">
      <c r="EV134" s="205">
        <f t="shared" si="76"/>
        <v>50678</v>
      </c>
      <c r="EW134" s="216">
        <f>IF(EV134=CPI0_DATE,1,IF(EV134&lt;CPI0_DATE,EW135/EY134*EY135,EXP(_xll.qInterp(EX134,$ER$10:$ER$21,$ES$10:$ES$21))))</f>
        <v>0.44715222858967235</v>
      </c>
      <c r="EX134" s="183">
        <f t="shared" si="79"/>
        <v>27.5</v>
      </c>
      <c r="EY134" s="175">
        <f t="shared" si="81"/>
        <v>0</v>
      </c>
      <c r="EZ134" s="179">
        <f t="shared" si="80"/>
        <v>395.16743002112611</v>
      </c>
      <c r="FA134" s="177">
        <f t="shared" si="73"/>
        <v>0.73437081522065295</v>
      </c>
      <c r="FB134" s="177">
        <f t="shared" si="74"/>
        <v>0.73706731769189737</v>
      </c>
      <c r="FC134" s="177">
        <f t="shared" si="82"/>
        <v>2.9699999999999838</v>
      </c>
    </row>
    <row r="135" spans="152:159">
      <c r="EV135" s="205">
        <f t="shared" si="76"/>
        <v>50770</v>
      </c>
      <c r="EW135" s="216">
        <f>IF(EV135=CPI0_DATE,1,IF(EV135&lt;CPI0_DATE,EW136/EY135*EY136,EXP(_xll.qInterp(EX135,$ER$10:$ER$21,$ES$10:$ES$21))))</f>
        <v>0.44389241226303361</v>
      </c>
      <c r="EX135" s="183">
        <f t="shared" si="79"/>
        <v>27.75</v>
      </c>
      <c r="EY135" s="175">
        <f t="shared" si="81"/>
        <v>0</v>
      </c>
      <c r="EZ135" s="179">
        <f t="shared" si="80"/>
        <v>398.06942429845884</v>
      </c>
      <c r="FA135" s="177">
        <f t="shared" ref="FA135:FA198" si="83">100*(EZ135/EZ134-1)</f>
        <v>0.73437081522067515</v>
      </c>
      <c r="FB135" s="177">
        <f t="shared" ref="FB135:FB198" si="84">50*(EZ135/EZ133-1)</f>
        <v>0.73706731769190847</v>
      </c>
      <c r="FC135" s="177">
        <f t="shared" si="82"/>
        <v>2.970000000000006</v>
      </c>
    </row>
    <row r="136" spans="152:159">
      <c r="EV136" s="205">
        <f t="shared" si="76"/>
        <v>50860</v>
      </c>
      <c r="EW136" s="216">
        <f>IF(EV136=CPI0_DATE,1,IF(EV136&lt;CPI0_DATE,EW137/EY136*EY137,EXP(_xll.qInterp(EX136,$ER$10:$ER$21,$ES$10:$ES$21))))</f>
        <v>0.44065636055569901</v>
      </c>
      <c r="EX136" s="183">
        <f t="shared" si="79"/>
        <v>28</v>
      </c>
      <c r="EY136" s="175">
        <f t="shared" si="81"/>
        <v>0</v>
      </c>
      <c r="EZ136" s="179">
        <f t="shared" si="80"/>
        <v>400.99272997482365</v>
      </c>
      <c r="FA136" s="177">
        <f t="shared" si="83"/>
        <v>0.73437081522067515</v>
      </c>
      <c r="FB136" s="177">
        <f t="shared" si="84"/>
        <v>0.73706731769190847</v>
      </c>
      <c r="FC136" s="177">
        <f t="shared" si="82"/>
        <v>2.970000000000006</v>
      </c>
    </row>
    <row r="137" spans="152:159">
      <c r="EV137" s="205">
        <f t="shared" si="76"/>
        <v>50951</v>
      </c>
      <c r="EW137" s="216">
        <f>IF(EV137=CPI0_DATE,1,IF(EV137&lt;CPI0_DATE,EW138/EY137*EY138,EXP(_xll.qInterp(EX137,$ER$10:$ER$21,$ES$10:$ES$21))))</f>
        <v>0.43744390021952384</v>
      </c>
      <c r="EX137" s="183">
        <f t="shared" si="79"/>
        <v>28.25</v>
      </c>
      <c r="EY137" s="175">
        <f t="shared" si="81"/>
        <v>0</v>
      </c>
      <c r="EZ137" s="179">
        <f t="shared" si="80"/>
        <v>403.93750355491534</v>
      </c>
      <c r="FA137" s="177">
        <f t="shared" si="83"/>
        <v>0.73437081522065295</v>
      </c>
      <c r="FB137" s="177">
        <f t="shared" si="84"/>
        <v>0.73706731769189737</v>
      </c>
      <c r="FC137" s="177">
        <f t="shared" si="82"/>
        <v>2.9699999999999838</v>
      </c>
    </row>
    <row r="138" spans="152:159">
      <c r="EV138" s="205">
        <f t="shared" si="76"/>
        <v>51043</v>
      </c>
      <c r="EW138" s="216">
        <f>IF(EV138=CPI0_DATE,1,IF(EV138&lt;CPI0_DATE,EW139/EY138*EY139,EXP(_xll.qInterp(EX138,$ER$10:$ER$21,$ES$10:$ES$21))))</f>
        <v>0.43425485926937196</v>
      </c>
      <c r="EX138" s="183">
        <f t="shared" si="79"/>
        <v>28.5</v>
      </c>
      <c r="EY138" s="175">
        <f t="shared" si="81"/>
        <v>0</v>
      </c>
      <c r="EZ138" s="179">
        <f t="shared" si="80"/>
        <v>406.9039026927536</v>
      </c>
      <c r="FA138" s="177">
        <f t="shared" si="83"/>
        <v>0.73437081522067515</v>
      </c>
      <c r="FB138" s="177">
        <f t="shared" si="84"/>
        <v>0.73706731769190847</v>
      </c>
      <c r="FC138" s="177">
        <f t="shared" si="82"/>
        <v>2.970000000000006</v>
      </c>
    </row>
    <row r="139" spans="152:159">
      <c r="EV139" s="205">
        <f t="shared" si="76"/>
        <v>51135</v>
      </c>
      <c r="EW139" s="216">
        <f>IF(EV139=CPI0_DATE,1,IF(EV139&lt;CPI0_DATE,EW140/EY139*EY140,EXP(_xll.qInterp(EX139,$ER$10:$ER$21,$ES$10:$ES$21))))</f>
        <v>0.43108906697390853</v>
      </c>
      <c r="EX139" s="183">
        <f t="shared" si="79"/>
        <v>28.75</v>
      </c>
      <c r="EY139" s="175">
        <f t="shared" si="81"/>
        <v>0</v>
      </c>
      <c r="EZ139" s="179">
        <f t="shared" si="80"/>
        <v>409.89208620012306</v>
      </c>
      <c r="FA139" s="177">
        <f t="shared" si="83"/>
        <v>0.73437081522065295</v>
      </c>
      <c r="FB139" s="177">
        <f t="shared" si="84"/>
        <v>0.73706731769190847</v>
      </c>
      <c r="FC139" s="177">
        <f t="shared" si="82"/>
        <v>2.970000000000006</v>
      </c>
    </row>
    <row r="140" spans="152:159">
      <c r="EV140" s="205">
        <f t="shared" si="76"/>
        <v>51226</v>
      </c>
      <c r="EW140" s="216">
        <f>IF(EV140=CPI0_DATE,1,IF(EV140&lt;CPI0_DATE,EW141/EY140*EY141,EXP(_xll.qInterp(EX140,$ER$10:$ER$21,$ES$10:$ES$21))))</f>
        <v>0.42794635384645918</v>
      </c>
      <c r="EX140" s="183">
        <f t="shared" si="79"/>
        <v>29</v>
      </c>
      <c r="EY140" s="175">
        <f t="shared" si="81"/>
        <v>0</v>
      </c>
      <c r="EZ140" s="179">
        <f t="shared" si="80"/>
        <v>412.90221405507589</v>
      </c>
      <c r="FA140" s="177">
        <f t="shared" si="83"/>
        <v>0.73437081522065295</v>
      </c>
      <c r="FB140" s="177">
        <f t="shared" si="84"/>
        <v>0.73706731769189737</v>
      </c>
      <c r="FC140" s="177">
        <f t="shared" si="82"/>
        <v>2.9699999999999838</v>
      </c>
    </row>
    <row r="141" spans="152:159">
      <c r="EV141" s="205">
        <f t="shared" si="76"/>
        <v>51317</v>
      </c>
      <c r="EW141" s="216">
        <f>IF(EV141=CPI0_DATE,1,IF(EV141&lt;CPI0_DATE,EW142/EY141*EY142,EXP(_xll.qInterp(EX141,$ER$10:$ER$21,$ES$10:$ES$21))))</f>
        <v>0.42482655163593647</v>
      </c>
      <c r="EX141" s="183">
        <f t="shared" si="79"/>
        <v>29.25</v>
      </c>
      <c r="EY141" s="175">
        <f t="shared" si="81"/>
        <v>0</v>
      </c>
      <c r="EZ141" s="179">
        <f t="shared" si="80"/>
        <v>415.93444741049638</v>
      </c>
      <c r="FA141" s="177">
        <f t="shared" si="83"/>
        <v>0.73437081522067515</v>
      </c>
      <c r="FB141" s="177">
        <f t="shared" si="84"/>
        <v>0.73706731769190847</v>
      </c>
      <c r="FC141" s="177">
        <f t="shared" si="82"/>
        <v>2.970000000000006</v>
      </c>
    </row>
    <row r="142" spans="152:159">
      <c r="EV142" s="205">
        <f t="shared" si="76"/>
        <v>51409</v>
      </c>
      <c r="EW142" s="216">
        <f>IF(EV142=CPI0_DATE,1,IF(EV142&lt;CPI0_DATE,EW143/EY142*EY143,EXP(_xll.qInterp(EX142,$ER$10:$ER$21,$ES$10:$ES$21))))</f>
        <v>0.42172949331783238</v>
      </c>
      <c r="EX142" s="183">
        <f t="shared" si="79"/>
        <v>29.5</v>
      </c>
      <c r="EY142" s="175">
        <f t="shared" si="81"/>
        <v>0</v>
      </c>
      <c r="EZ142" s="179">
        <f t="shared" si="80"/>
        <v>418.98894860272833</v>
      </c>
      <c r="FA142" s="177">
        <f t="shared" si="83"/>
        <v>0.73437081522065295</v>
      </c>
      <c r="FB142" s="177">
        <f t="shared" si="84"/>
        <v>0.73706731769189737</v>
      </c>
      <c r="FC142" s="177">
        <f t="shared" si="82"/>
        <v>2.9699999999999838</v>
      </c>
    </row>
    <row r="143" spans="152:159">
      <c r="EV143" s="205">
        <f t="shared" si="76"/>
        <v>51501</v>
      </c>
      <c r="EW143" s="216">
        <f>IF(EV143=CPI0_DATE,1,IF(EV143&lt;CPI0_DATE,EW144/EY143*EY144,EXP(_xll.qInterp(EX143,$ER$10:$ER$21,$ES$10:$ES$21))))</f>
        <v>0.41865501308527581</v>
      </c>
      <c r="EX143" s="183">
        <f t="shared" si="79"/>
        <v>29.75</v>
      </c>
      <c r="EY143" s="175">
        <f t="shared" si="81"/>
        <v>0</v>
      </c>
      <c r="EZ143" s="179">
        <f t="shared" si="80"/>
        <v>422.06588116026677</v>
      </c>
      <c r="FA143" s="177">
        <f t="shared" si="83"/>
        <v>0.73437081522069736</v>
      </c>
      <c r="FB143" s="177">
        <f t="shared" si="84"/>
        <v>0.73706731769190847</v>
      </c>
      <c r="FC143" s="177">
        <f t="shared" si="82"/>
        <v>2.970000000000006</v>
      </c>
    </row>
    <row r="144" spans="152:159">
      <c r="EV144" s="205">
        <f t="shared" si="76"/>
        <v>51591</v>
      </c>
      <c r="EW144" s="216">
        <f>IF(EV144=CPI0_DATE,1,IF(EV144&lt;CPI0_DATE,EW145/EY144*EY145,EXP(_xll.qInterp(EX144,$ER$10:$ER$21,$ES$10:$ES$21))))</f>
        <v>0.41560294634015649</v>
      </c>
      <c r="EX144" s="183">
        <f t="shared" si="79"/>
        <v>30</v>
      </c>
      <c r="EY144" s="175">
        <f t="shared" si="81"/>
        <v>0</v>
      </c>
      <c r="EZ144" s="179">
        <f t="shared" si="80"/>
        <v>425.16540981251171</v>
      </c>
      <c r="FA144" s="177">
        <f t="shared" si="83"/>
        <v>0.73437081522067515</v>
      </c>
      <c r="FB144" s="177">
        <f t="shared" si="84"/>
        <v>0.73706731769191958</v>
      </c>
      <c r="FC144" s="177">
        <f t="shared" si="82"/>
        <v>2.970000000000006</v>
      </c>
    </row>
    <row r="145" spans="152:159">
      <c r="EV145" s="205">
        <f t="shared" si="76"/>
        <v>51682</v>
      </c>
      <c r="EW145" s="216">
        <f>IF(EV145=CPI0_DATE,1,IF(EV145&lt;CPI0_DATE,EW146/EY145*EY146,EXP(_xll.qInterp(EX145,$ER$10:$ER$21,$ES$10:$ES$21))))</f>
        <v>0.41257312968431237</v>
      </c>
      <c r="EX145" s="183">
        <f t="shared" si="79"/>
        <v>30.25</v>
      </c>
      <c r="EY145" s="175">
        <f t="shared" si="81"/>
        <v>0</v>
      </c>
      <c r="EZ145" s="179">
        <f t="shared" si="80"/>
        <v>428.28770049858815</v>
      </c>
      <c r="FA145" s="177">
        <f t="shared" si="83"/>
        <v>0.73437081522067515</v>
      </c>
      <c r="FB145" s="177">
        <f t="shared" si="84"/>
        <v>0.73706731769190847</v>
      </c>
      <c r="FC145" s="177">
        <f t="shared" si="82"/>
        <v>2.970000000000006</v>
      </c>
    </row>
    <row r="146" spans="152:159">
      <c r="EV146" s="205">
        <f t="shared" si="76"/>
        <v>51774</v>
      </c>
      <c r="EW146" s="216">
        <f>IF(EV146=CPI0_DATE,1,IF(EV146&lt;CPI0_DATE,EW147/EY146*EY147,EXP(_xll.qInterp(EX146,$ER$10:$ER$21,$ES$10:$ES$21))))</f>
        <v>0.40956540091078208</v>
      </c>
      <c r="EX146" s="183">
        <f t="shared" si="79"/>
        <v>30.5</v>
      </c>
      <c r="EY146" s="175">
        <f t="shared" si="81"/>
        <v>0</v>
      </c>
      <c r="EZ146" s="179">
        <f t="shared" si="80"/>
        <v>431.43292037622945</v>
      </c>
      <c r="FA146" s="177">
        <f t="shared" si="83"/>
        <v>0.73437081522065295</v>
      </c>
      <c r="FB146" s="177">
        <f t="shared" si="84"/>
        <v>0.73706731769190847</v>
      </c>
      <c r="FC146" s="177">
        <f t="shared" si="82"/>
        <v>2.9700000000000282</v>
      </c>
    </row>
    <row r="147" spans="152:159">
      <c r="EV147" s="205">
        <f t="shared" si="76"/>
        <v>51866</v>
      </c>
      <c r="EW147" s="216">
        <f>IF(EV147=CPI0_DATE,1,IF(EV147&lt;CPI0_DATE,EW148/EY147*EY148,EXP(_xll.qInterp(EX147,$ER$10:$ER$21,$ES$10:$ES$21))))</f>
        <v>0.40657959899512075</v>
      </c>
      <c r="EX147" s="183">
        <f t="shared" si="79"/>
        <v>30.75</v>
      </c>
      <c r="EY147" s="175">
        <f t="shared" si="81"/>
        <v>0</v>
      </c>
      <c r="EZ147" s="179">
        <f t="shared" si="80"/>
        <v>434.60123783072663</v>
      </c>
      <c r="FA147" s="177">
        <f t="shared" si="83"/>
        <v>0.73437081522065295</v>
      </c>
      <c r="FB147" s="177">
        <f t="shared" si="84"/>
        <v>0.73706731769189737</v>
      </c>
      <c r="FC147" s="177">
        <f t="shared" si="82"/>
        <v>2.9699999999999838</v>
      </c>
    </row>
    <row r="148" spans="152:159">
      <c r="EV148" s="205">
        <f t="shared" si="76"/>
        <v>51956</v>
      </c>
      <c r="EW148" s="216">
        <f>IF(EV148=CPI0_DATE,1,IF(EV148&lt;CPI0_DATE,EW149/EY148*EY149,EXP(_xll.qInterp(EX148,$ER$10:$ER$21,$ES$10:$ES$21))))</f>
        <v>0.40361556408677912</v>
      </c>
      <c r="EX148" s="183">
        <f t="shared" si="79"/>
        <v>31</v>
      </c>
      <c r="EY148" s="175">
        <f t="shared" si="81"/>
        <v>0</v>
      </c>
      <c r="EZ148" s="179">
        <f t="shared" si="80"/>
        <v>437.79282248394333</v>
      </c>
      <c r="FA148" s="177">
        <f t="shared" si="83"/>
        <v>0.73437081522067515</v>
      </c>
      <c r="FB148" s="177">
        <f t="shared" si="84"/>
        <v>0.73706731769190847</v>
      </c>
      <c r="FC148" s="177">
        <f t="shared" si="82"/>
        <v>2.970000000000006</v>
      </c>
    </row>
    <row r="149" spans="152:159">
      <c r="EV149" s="205">
        <f t="shared" si="76"/>
        <v>52047</v>
      </c>
      <c r="EW149" s="216">
        <f>IF(EV149=CPI0_DATE,1,IF(EV149&lt;CPI0_DATE,EW150/EY149*EY150,EXP(_xll.qInterp(EX149,$ER$10:$ER$21,$ES$10:$ES$21))))</f>
        <v>0.40067313750054617</v>
      </c>
      <c r="EX149" s="183">
        <f t="shared" si="79"/>
        <v>31.25</v>
      </c>
      <c r="EY149" s="175">
        <f t="shared" si="81"/>
        <v>0</v>
      </c>
      <c r="EZ149" s="179">
        <f t="shared" si="80"/>
        <v>441.00784520339619</v>
      </c>
      <c r="FA149" s="177">
        <f t="shared" si="83"/>
        <v>0.73437081522065295</v>
      </c>
      <c r="FB149" s="177">
        <f t="shared" si="84"/>
        <v>0.73706731769190847</v>
      </c>
      <c r="FC149" s="177">
        <f t="shared" si="82"/>
        <v>2.9699999999999838</v>
      </c>
    </row>
    <row r="150" spans="152:159">
      <c r="EV150" s="205">
        <f t="shared" si="76"/>
        <v>52139</v>
      </c>
      <c r="EW150" s="216">
        <f>IF(EV150=CPI0_DATE,1,IF(EV150&lt;CPI0_DATE,EW151/EY150*EY151,EXP(_xll.qInterp(EX150,$ER$10:$ER$21,$ES$10:$ES$21))))</f>
        <v>0.39775216170805294</v>
      </c>
      <c r="EX150" s="183">
        <f t="shared" si="79"/>
        <v>31.5</v>
      </c>
      <c r="EY150" s="175">
        <f t="shared" si="81"/>
        <v>0</v>
      </c>
      <c r="EZ150" s="179">
        <f t="shared" si="80"/>
        <v>444.24647811140341</v>
      </c>
      <c r="FA150" s="177">
        <f t="shared" si="83"/>
        <v>0.73437081522065295</v>
      </c>
      <c r="FB150" s="177">
        <f t="shared" si="84"/>
        <v>0.73706731769189737</v>
      </c>
      <c r="FC150" s="177">
        <f t="shared" si="82"/>
        <v>2.9699999999999838</v>
      </c>
    </row>
    <row r="151" spans="152:159">
      <c r="EV151" s="205">
        <f t="shared" si="76"/>
        <v>52231</v>
      </c>
      <c r="EW151" s="216">
        <f>IF(EV151=CPI0_DATE,1,IF(EV151&lt;CPI0_DATE,EW152/EY151*EY152,EXP(_xll.qInterp(EX151,$ER$10:$ER$21,$ES$10:$ES$21))))</f>
        <v>0.39485248032933934</v>
      </c>
      <c r="EX151" s="183">
        <f t="shared" si="79"/>
        <v>31.75</v>
      </c>
      <c r="EY151" s="175">
        <f t="shared" si="81"/>
        <v>0</v>
      </c>
      <c r="EZ151" s="179">
        <f t="shared" si="80"/>
        <v>447.50889459429925</v>
      </c>
      <c r="FA151" s="177">
        <f t="shared" si="83"/>
        <v>0.73437081522067515</v>
      </c>
      <c r="FB151" s="177">
        <f t="shared" si="84"/>
        <v>0.73706731769189737</v>
      </c>
      <c r="FC151" s="177">
        <f t="shared" si="82"/>
        <v>2.970000000000006</v>
      </c>
    </row>
    <row r="152" spans="152:159">
      <c r="EV152" s="205">
        <f t="shared" si="76"/>
        <v>52321</v>
      </c>
      <c r="EW152" s="216">
        <f>IF(EV152=CPI0_DATE,1,IF(EV152&lt;CPI0_DATE,EW153/EY152*EY153,EXP(_xll.qInterp(EX152,$ER$10:$ER$21,$ES$10:$ES$21))))</f>
        <v>0.391973938124482</v>
      </c>
      <c r="EX152" s="183">
        <f t="shared" si="79"/>
        <v>32</v>
      </c>
      <c r="EY152" s="175">
        <f t="shared" si="81"/>
        <v>0</v>
      </c>
      <c r="EZ152" s="179">
        <f t="shared" si="80"/>
        <v>450.79526931171642</v>
      </c>
      <c r="FA152" s="177">
        <f t="shared" si="83"/>
        <v>0.73437081522067515</v>
      </c>
      <c r="FB152" s="177">
        <f t="shared" si="84"/>
        <v>0.73706731769190847</v>
      </c>
      <c r="FC152" s="177">
        <f t="shared" si="82"/>
        <v>2.970000000000006</v>
      </c>
    </row>
    <row r="153" spans="152:159">
      <c r="EV153" s="205">
        <f t="shared" si="76"/>
        <v>52412</v>
      </c>
      <c r="EW153" s="216">
        <f>IF(EV153=CPI0_DATE,1,IF(EV153&lt;CPI0_DATE,EW154/EY153*EY154,EXP(_xll.qInterp(EX153,$ER$10:$ER$21,$ES$10:$ES$21))))</f>
        <v>0.38911638098528323</v>
      </c>
      <c r="EX153" s="183">
        <f t="shared" ref="EX153:EX184" si="85">ROUND((EV153-CPI0_DATE)/365/0.25,0)*0.25</f>
        <v>32.25</v>
      </c>
      <c r="EY153" s="175">
        <f t="shared" si="81"/>
        <v>0</v>
      </c>
      <c r="EZ153" s="179">
        <f t="shared" si="80"/>
        <v>454.1057782059371</v>
      </c>
      <c r="FA153" s="177">
        <f t="shared" si="83"/>
        <v>0.73437081522067515</v>
      </c>
      <c r="FB153" s="177">
        <f t="shared" si="84"/>
        <v>0.73706731769190847</v>
      </c>
      <c r="FC153" s="177">
        <f t="shared" si="82"/>
        <v>2.970000000000006</v>
      </c>
    </row>
    <row r="154" spans="152:159">
      <c r="EV154" s="205">
        <f t="shared" ref="EV154:EV217" si="86">DATE(YEAR(EV153),MONTH(EV153)+4,1)-1</f>
        <v>52504</v>
      </c>
      <c r="EW154" s="216">
        <f>IF(EV154=CPI0_DATE,1,IF(EV154&lt;CPI0_DATE,EW155/EY154*EY155,EXP(_xll.qInterp(EX154,$ER$10:$ER$21,$ES$10:$ES$21))))</f>
        <v>0.38627965592702035</v>
      </c>
      <c r="EX154" s="183">
        <f t="shared" si="85"/>
        <v>32.5</v>
      </c>
      <c r="EY154" s="175">
        <f t="shared" si="81"/>
        <v>0</v>
      </c>
      <c r="EZ154" s="179">
        <f t="shared" si="80"/>
        <v>457.4405985113122</v>
      </c>
      <c r="FA154" s="177">
        <f t="shared" si="83"/>
        <v>0.73437081522067515</v>
      </c>
      <c r="FB154" s="177">
        <f t="shared" si="84"/>
        <v>0.73706731769190847</v>
      </c>
      <c r="FC154" s="177">
        <f t="shared" si="82"/>
        <v>2.9700000000000282</v>
      </c>
    </row>
    <row r="155" spans="152:159">
      <c r="EV155" s="205">
        <f t="shared" si="86"/>
        <v>52596</v>
      </c>
      <c r="EW155" s="216">
        <f>IF(EV155=CPI0_DATE,1,IF(EV155&lt;CPI0_DATE,EW156/EY155*EY156,EXP(_xll.qInterp(EX155,$ER$10:$ER$21,$ES$10:$ES$21))))</f>
        <v>0.38346361108025573</v>
      </c>
      <c r="EX155" s="183">
        <f t="shared" si="85"/>
        <v>32.75</v>
      </c>
      <c r="EY155" s="175">
        <f t="shared" si="81"/>
        <v>0</v>
      </c>
      <c r="EZ155" s="179">
        <f t="shared" si="80"/>
        <v>460.79990876374995</v>
      </c>
      <c r="FA155" s="177">
        <f t="shared" si="83"/>
        <v>0.73437081522065295</v>
      </c>
      <c r="FB155" s="177">
        <f t="shared" si="84"/>
        <v>0.73706731769189737</v>
      </c>
      <c r="FC155" s="177">
        <f t="shared" si="82"/>
        <v>2.970000000000006</v>
      </c>
    </row>
    <row r="156" spans="152:159">
      <c r="EV156" s="205">
        <f t="shared" si="86"/>
        <v>52687</v>
      </c>
      <c r="EW156" s="216">
        <f>IF(EV156=CPI0_DATE,1,IF(EV156&lt;CPI0_DATE,EW157/EY156*EY157,EXP(_xll.qInterp(EX156,$ER$10:$ER$21,$ES$10:$ES$21))))</f>
        <v>0.38066809568270565</v>
      </c>
      <c r="EX156" s="183">
        <f t="shared" si="85"/>
        <v>33</v>
      </c>
      <c r="EY156" s="175">
        <f t="shared" si="81"/>
        <v>0</v>
      </c>
      <c r="EZ156" s="179">
        <f t="shared" si="80"/>
        <v>464.18388881027442</v>
      </c>
      <c r="FA156" s="177">
        <f t="shared" si="83"/>
        <v>0.73437081522067515</v>
      </c>
      <c r="FB156" s="177">
        <f t="shared" si="84"/>
        <v>0.73706731769189737</v>
      </c>
      <c r="FC156" s="177">
        <f t="shared" si="82"/>
        <v>2.970000000000006</v>
      </c>
    </row>
    <row r="157" spans="152:159">
      <c r="EV157" s="205">
        <f t="shared" si="86"/>
        <v>52778</v>
      </c>
      <c r="EW157" s="216">
        <f>IF(EV157=CPI0_DATE,1,IF(EV157&lt;CPI0_DATE,EW158/EY157*EY158,EXP(_xll.qInterp(EX157,$ER$10:$ER$21,$ES$10:$ES$21))))</f>
        <v>0.37789296007116946</v>
      </c>
      <c r="EX157" s="183">
        <f t="shared" si="85"/>
        <v>33.25</v>
      </c>
      <c r="EY157" s="175">
        <f t="shared" si="81"/>
        <v>0</v>
      </c>
      <c r="EZ157" s="179">
        <f t="shared" si="80"/>
        <v>467.59271981865345</v>
      </c>
      <c r="FA157" s="177">
        <f t="shared" si="83"/>
        <v>0.73437081522067515</v>
      </c>
      <c r="FB157" s="177">
        <f t="shared" si="84"/>
        <v>0.73706731769190847</v>
      </c>
      <c r="FC157" s="177">
        <f t="shared" si="82"/>
        <v>2.970000000000006</v>
      </c>
    </row>
    <row r="158" spans="152:159">
      <c r="EV158" s="205">
        <f t="shared" si="86"/>
        <v>52870</v>
      </c>
      <c r="EW158" s="216">
        <f>IF(EV158=CPI0_DATE,1,IF(EV158&lt;CPI0_DATE,EW159/EY158*EY159,EXP(_xll.qInterp(EX158,$ER$10:$ER$21,$ES$10:$ES$21))))</f>
        <v>0.37513805567351693</v>
      </c>
      <c r="EX158" s="183">
        <f t="shared" si="85"/>
        <v>33.5</v>
      </c>
      <c r="EY158" s="175">
        <f t="shared" si="81"/>
        <v>0</v>
      </c>
      <c r="EZ158" s="179">
        <f t="shared" ref="EZ158:EZ189" si="87">IF(EY158&gt;0,EY158,EZ157*EW157/EW158)</f>
        <v>471.02658428709816</v>
      </c>
      <c r="FA158" s="177">
        <f t="shared" si="83"/>
        <v>0.73437081522065295</v>
      </c>
      <c r="FB158" s="177">
        <f t="shared" si="84"/>
        <v>0.73706731769190847</v>
      </c>
      <c r="FC158" s="177">
        <f t="shared" si="82"/>
        <v>2.970000000000006</v>
      </c>
    </row>
    <row r="159" spans="152:159">
      <c r="EV159" s="205">
        <f t="shared" si="86"/>
        <v>52962</v>
      </c>
      <c r="EW159" s="216">
        <f>IF(EV159=CPI0_DATE,1,IF(EV159&lt;CPI0_DATE,EW160/EY159*EY160,EXP(_xll.qInterp(EX159,$ER$10:$ER$21,$ES$10:$ES$21))))</f>
        <v>0.37240323500073391</v>
      </c>
      <c r="EX159" s="183">
        <f t="shared" si="85"/>
        <v>33.75</v>
      </c>
      <c r="EY159" s="175">
        <f t="shared" si="81"/>
        <v>0</v>
      </c>
      <c r="EZ159" s="179">
        <f t="shared" si="87"/>
        <v>474.48566605403335</v>
      </c>
      <c r="FA159" s="177">
        <f t="shared" si="83"/>
        <v>0.73437081522065295</v>
      </c>
      <c r="FB159" s="177">
        <f t="shared" si="84"/>
        <v>0.73706731769189737</v>
      </c>
      <c r="FC159" s="177">
        <f t="shared" si="82"/>
        <v>2.970000000000006</v>
      </c>
    </row>
    <row r="160" spans="152:159">
      <c r="EV160" s="205">
        <f t="shared" si="86"/>
        <v>53052</v>
      </c>
      <c r="EW160" s="216">
        <f>IF(EV160=CPI0_DATE,1,IF(EV160&lt;CPI0_DATE,EW161/EY160*EY161,EXP(_xll.qInterp(EX160,$ER$10:$ER$21,$ES$10:$ES$21))))</f>
        <v>0.36968835163902652</v>
      </c>
      <c r="EX160" s="183">
        <f t="shared" si="85"/>
        <v>34</v>
      </c>
      <c r="EY160" s="175">
        <f t="shared" si="81"/>
        <v>0</v>
      </c>
      <c r="EZ160" s="179">
        <f t="shared" si="87"/>
        <v>477.9701503079396</v>
      </c>
      <c r="FA160" s="177">
        <f t="shared" si="83"/>
        <v>0.73437081522067515</v>
      </c>
      <c r="FB160" s="177">
        <f t="shared" si="84"/>
        <v>0.73706731769190847</v>
      </c>
      <c r="FC160" s="177">
        <f t="shared" si="82"/>
        <v>2.970000000000006</v>
      </c>
    </row>
    <row r="161" spans="152:159">
      <c r="EV161" s="205">
        <f t="shared" si="86"/>
        <v>53143</v>
      </c>
      <c r="EW161" s="216">
        <f>IF(EV161=CPI0_DATE,1,IF(EV161&lt;CPI0_DATE,EW162/EY161*EY162,EXP(_xll.qInterp(EX161,$ER$10:$ER$21,$ES$10:$ES$21))))</f>
        <v>0.36699326024198259</v>
      </c>
      <c r="EX161" s="183">
        <f t="shared" si="85"/>
        <v>34.25</v>
      </c>
      <c r="EY161" s="175">
        <f t="shared" si="81"/>
        <v>0</v>
      </c>
      <c r="EZ161" s="179">
        <f t="shared" si="87"/>
        <v>481.48022359726747</v>
      </c>
      <c r="FA161" s="177">
        <f t="shared" si="83"/>
        <v>0.73437081522067515</v>
      </c>
      <c r="FB161" s="177">
        <f t="shared" si="84"/>
        <v>0.73706731769190847</v>
      </c>
      <c r="FC161" s="177">
        <f t="shared" si="82"/>
        <v>2.970000000000006</v>
      </c>
    </row>
    <row r="162" spans="152:159">
      <c r="EV162" s="205">
        <f t="shared" si="86"/>
        <v>53235</v>
      </c>
      <c r="EW162" s="216">
        <f>IF(EV162=CPI0_DATE,1,IF(EV162&lt;CPI0_DATE,EW163/EY162*EY163,EXP(_xll.qInterp(EX162,$ER$10:$ER$21,$ES$10:$ES$21))))</f>
        <v>0.36431781652278999</v>
      </c>
      <c r="EX162" s="183">
        <f t="shared" si="85"/>
        <v>34.5</v>
      </c>
      <c r="EY162" s="175">
        <f t="shared" si="81"/>
        <v>0</v>
      </c>
      <c r="EZ162" s="179">
        <f t="shared" si="87"/>
        <v>485.01607384042507</v>
      </c>
      <c r="FA162" s="177">
        <f t="shared" si="83"/>
        <v>0.73437081522067515</v>
      </c>
      <c r="FB162" s="177">
        <f t="shared" si="84"/>
        <v>0.73706731769190847</v>
      </c>
      <c r="FC162" s="177">
        <f t="shared" si="82"/>
        <v>2.9700000000000282</v>
      </c>
    </row>
    <row r="163" spans="152:159">
      <c r="EV163" s="205">
        <f t="shared" si="86"/>
        <v>53327</v>
      </c>
      <c r="EW163" s="216">
        <f>IF(EV163=CPI0_DATE,1,IF(EV163&lt;CPI0_DATE,EW164/EY163*EY164,EXP(_xll.qInterp(EX163,$ER$10:$ER$21,$ES$10:$ES$21))))</f>
        <v>0.36166187724651244</v>
      </c>
      <c r="EX163" s="183">
        <f t="shared" si="85"/>
        <v>34.75</v>
      </c>
      <c r="EY163" s="175">
        <f t="shared" si="81"/>
        <v>0</v>
      </c>
      <c r="EZ163" s="179">
        <f t="shared" si="87"/>
        <v>488.57789033583822</v>
      </c>
      <c r="FA163" s="177">
        <f t="shared" si="83"/>
        <v>0.73437081522065295</v>
      </c>
      <c r="FB163" s="177">
        <f t="shared" si="84"/>
        <v>0.73706731769190847</v>
      </c>
      <c r="FC163" s="177">
        <f t="shared" si="82"/>
        <v>2.9700000000000282</v>
      </c>
    </row>
    <row r="164" spans="152:159">
      <c r="EV164" s="205">
        <f t="shared" si="86"/>
        <v>53417</v>
      </c>
      <c r="EW164" s="216">
        <f>IF(EV164=CPI0_DATE,1,IF(EV164&lt;CPI0_DATE,EW165/EY164*EY165,EXP(_xll.qInterp(EX164,$ER$10:$ER$21,$ES$10:$ES$21))))</f>
        <v>0.35902530022242057</v>
      </c>
      <c r="EX164" s="183">
        <f t="shared" si="85"/>
        <v>35</v>
      </c>
      <c r="EY164" s="175">
        <f t="shared" si="81"/>
        <v>0</v>
      </c>
      <c r="EZ164" s="179">
        <f t="shared" si="87"/>
        <v>492.16586377208552</v>
      </c>
      <c r="FA164" s="177">
        <f t="shared" si="83"/>
        <v>0.73437081522067515</v>
      </c>
      <c r="FB164" s="177">
        <f t="shared" si="84"/>
        <v>0.73706731769190847</v>
      </c>
      <c r="FC164" s="177">
        <f t="shared" si="82"/>
        <v>2.9700000000000282</v>
      </c>
    </row>
    <row r="165" spans="152:159">
      <c r="EV165" s="205">
        <f t="shared" si="86"/>
        <v>53508</v>
      </c>
      <c r="EW165" s="216">
        <f>IF(EV165=CPI0_DATE,1,IF(EV165&lt;CPI0_DATE,EW166/EY165*EY166,EXP(_xll.qInterp(EX165,$ER$10:$ER$21,$ES$10:$ES$21))))</f>
        <v>0.35640794429638006</v>
      </c>
      <c r="EX165" s="183">
        <f t="shared" si="85"/>
        <v>35.25</v>
      </c>
      <c r="EY165" s="175">
        <f t="shared" si="81"/>
        <v>0</v>
      </c>
      <c r="EZ165" s="179">
        <f t="shared" si="87"/>
        <v>495.78018623810635</v>
      </c>
      <c r="FA165" s="177">
        <f t="shared" si="83"/>
        <v>0.73437081522065295</v>
      </c>
      <c r="FB165" s="177">
        <f t="shared" si="84"/>
        <v>0.73706731769190847</v>
      </c>
      <c r="FC165" s="177">
        <f t="shared" si="82"/>
        <v>2.970000000000006</v>
      </c>
    </row>
    <row r="166" spans="152:159">
      <c r="EV166" s="205">
        <f t="shared" si="86"/>
        <v>53600</v>
      </c>
      <c r="EW166" s="216">
        <f>IF(EV166=CPI0_DATE,1,IF(EV166&lt;CPI0_DATE,EW167/EY166*EY167,EXP(_xll.qInterp(EX166,$ER$10:$ER$21,$ES$10:$ES$21))))</f>
        <v>0.35380966934329422</v>
      </c>
      <c r="EX166" s="183">
        <f t="shared" si="85"/>
        <v>35.5</v>
      </c>
      <c r="EY166" s="175">
        <f t="shared" si="81"/>
        <v>0</v>
      </c>
      <c r="EZ166" s="179">
        <f t="shared" si="87"/>
        <v>499.42105123348557</v>
      </c>
      <c r="FA166" s="177">
        <f t="shared" si="83"/>
        <v>0.73437081522065295</v>
      </c>
      <c r="FB166" s="177">
        <f t="shared" si="84"/>
        <v>0.73706731769188627</v>
      </c>
      <c r="FC166" s="177">
        <f t="shared" si="82"/>
        <v>2.9699999999999838</v>
      </c>
    </row>
    <row r="167" spans="152:159">
      <c r="EV167" s="205">
        <f t="shared" si="86"/>
        <v>53692</v>
      </c>
      <c r="EW167" s="216">
        <f>IF(EV167=CPI0_DATE,1,IF(EV167&lt;CPI0_DATE,EW168/EY167*EY168,EXP(_xll.qInterp(EX167,$ER$10:$ER$21,$ES$10:$ES$21))))</f>
        <v>0.3512303362596022</v>
      </c>
      <c r="EX167" s="183">
        <f t="shared" si="85"/>
        <v>35.75</v>
      </c>
      <c r="EY167" s="175">
        <f t="shared" si="81"/>
        <v>0</v>
      </c>
      <c r="EZ167" s="179">
        <f t="shared" si="87"/>
        <v>503.0886536788127</v>
      </c>
      <c r="FA167" s="177">
        <f t="shared" si="83"/>
        <v>0.73437081522069736</v>
      </c>
      <c r="FB167" s="177">
        <f t="shared" si="84"/>
        <v>0.73706731769190847</v>
      </c>
      <c r="FC167" s="177">
        <f t="shared" si="82"/>
        <v>2.9700000000000282</v>
      </c>
    </row>
    <row r="168" spans="152:159">
      <c r="EV168" s="205">
        <f t="shared" si="86"/>
        <v>53782</v>
      </c>
      <c r="EW168" s="216">
        <f>IF(EV168=CPI0_DATE,1,IF(EV168&lt;CPI0_DATE,EW169/EY168*EY169,EXP(_xll.qInterp(EX168,$ER$10:$ER$21,$ES$10:$ES$21))))</f>
        <v>0.34866980695583238</v>
      </c>
      <c r="EX168" s="183">
        <f t="shared" si="85"/>
        <v>36</v>
      </c>
      <c r="EY168" s="175">
        <f t="shared" si="81"/>
        <v>0</v>
      </c>
      <c r="EZ168" s="179">
        <f t="shared" si="87"/>
        <v>506.78318992611639</v>
      </c>
      <c r="FA168" s="177">
        <f t="shared" si="83"/>
        <v>0.73437081522065295</v>
      </c>
      <c r="FB168" s="177">
        <f t="shared" si="84"/>
        <v>0.73706731769190847</v>
      </c>
      <c r="FC168" s="177">
        <f t="shared" si="82"/>
        <v>2.9699999999999838</v>
      </c>
    </row>
    <row r="169" spans="152:159">
      <c r="EV169" s="205">
        <f t="shared" si="86"/>
        <v>53873</v>
      </c>
      <c r="EW169" s="216">
        <f>IF(EV169=CPI0_DATE,1,IF(EV169&lt;CPI0_DATE,EW170/EY169*EY170,EXP(_xll.qInterp(EX169,$ER$10:$ER$21,$ES$10:$ES$21))))</f>
        <v>0.34612794434920857</v>
      </c>
      <c r="EX169" s="183">
        <f t="shared" si="85"/>
        <v>36.25</v>
      </c>
      <c r="EY169" s="175">
        <f t="shared" si="81"/>
        <v>0</v>
      </c>
      <c r="EZ169" s="179">
        <f t="shared" si="87"/>
        <v>510.50485776937808</v>
      </c>
      <c r="FA169" s="177">
        <f t="shared" si="83"/>
        <v>0.73437081522065295</v>
      </c>
      <c r="FB169" s="177">
        <f t="shared" si="84"/>
        <v>0.73706731769189737</v>
      </c>
      <c r="FC169" s="177">
        <f t="shared" si="82"/>
        <v>2.9699999999999838</v>
      </c>
    </row>
    <row r="170" spans="152:159">
      <c r="EV170" s="205">
        <f t="shared" si="86"/>
        <v>53965</v>
      </c>
      <c r="EW170" s="216">
        <f>IF(EV170=CPI0_DATE,1,IF(EV170&lt;CPI0_DATE,EW171/EY170*EY171,EXP(_xll.qInterp(EX170,$ER$10:$ER$21,$ES$10:$ES$21))))</f>
        <v>0.34360461235631168</v>
      </c>
      <c r="EX170" s="183">
        <f t="shared" si="85"/>
        <v>36.5</v>
      </c>
      <c r="EY170" s="175">
        <f t="shared" si="81"/>
        <v>0</v>
      </c>
      <c r="EZ170" s="179">
        <f t="shared" si="87"/>
        <v>514.25385645512029</v>
      </c>
      <c r="FA170" s="177">
        <f t="shared" si="83"/>
        <v>0.73437081522069736</v>
      </c>
      <c r="FB170" s="177">
        <f t="shared" si="84"/>
        <v>0.73706731769191958</v>
      </c>
      <c r="FC170" s="177">
        <f t="shared" si="82"/>
        <v>2.9700000000000282</v>
      </c>
    </row>
    <row r="171" spans="152:159">
      <c r="EV171" s="205">
        <f t="shared" si="86"/>
        <v>54057</v>
      </c>
      <c r="EW171" s="216">
        <f>IF(EV171=CPI0_DATE,1,IF(EV171&lt;CPI0_DATE,EW172/EY171*EY172,EXP(_xll.qInterp(EX171,$ER$10:$ER$21,$ES$10:$ES$21))))</f>
        <v>0.34109967588579415</v>
      </c>
      <c r="EX171" s="183">
        <f t="shared" si="85"/>
        <v>36.75</v>
      </c>
      <c r="EY171" s="175">
        <f t="shared" si="81"/>
        <v>0</v>
      </c>
      <c r="EZ171" s="179">
        <f t="shared" si="87"/>
        <v>518.03038669307341</v>
      </c>
      <c r="FA171" s="177">
        <f t="shared" si="83"/>
        <v>0.73437081522065295</v>
      </c>
      <c r="FB171" s="177">
        <f t="shared" si="84"/>
        <v>0.73706731769190847</v>
      </c>
      <c r="FC171" s="177">
        <f t="shared" si="82"/>
        <v>2.9699999999999838</v>
      </c>
    </row>
    <row r="172" spans="152:159">
      <c r="EV172" s="205">
        <f t="shared" si="86"/>
        <v>54148</v>
      </c>
      <c r="EW172" s="216">
        <f>IF(EV172=CPI0_DATE,1,IF(EV172&lt;CPI0_DATE,EW173/EY172*EY173,EXP(_xll.qInterp(EX172,$ER$10:$ER$21,$ES$10:$ES$21))))</f>
        <v>0.33861300083114731</v>
      </c>
      <c r="EX172" s="183">
        <f t="shared" si="85"/>
        <v>37</v>
      </c>
      <c r="EY172" s="175">
        <f t="shared" si="81"/>
        <v>0</v>
      </c>
      <c r="EZ172" s="179">
        <f t="shared" si="87"/>
        <v>521.83465066692202</v>
      </c>
      <c r="FA172" s="177">
        <f t="shared" si="83"/>
        <v>0.73437081522065295</v>
      </c>
      <c r="FB172" s="177">
        <f t="shared" si="84"/>
        <v>0.73706731769188627</v>
      </c>
      <c r="FC172" s="177">
        <f t="shared" si="82"/>
        <v>2.9699999999999838</v>
      </c>
    </row>
    <row r="173" spans="152:159">
      <c r="EV173" s="205">
        <f t="shared" si="86"/>
        <v>54239</v>
      </c>
      <c r="EW173" s="216">
        <f>IF(EV173=CPI0_DATE,1,IF(EV173&lt;CPI0_DATE,EW174/EY173*EY174,EXP(_xll.qInterp(EX173,$ER$10:$ER$21,$ES$10:$ES$21))))</f>
        <v>0.33614445406352195</v>
      </c>
      <c r="EX173" s="183">
        <f t="shared" si="85"/>
        <v>37.25</v>
      </c>
      <c r="EY173" s="175">
        <f t="shared" si="81"/>
        <v>0</v>
      </c>
      <c r="EZ173" s="179">
        <f t="shared" si="87"/>
        <v>525.66685204512862</v>
      </c>
      <c r="FA173" s="177">
        <f t="shared" si="83"/>
        <v>0.73437081522067515</v>
      </c>
      <c r="FB173" s="177">
        <f t="shared" si="84"/>
        <v>0.73706731769189737</v>
      </c>
      <c r="FC173" s="177">
        <f t="shared" si="82"/>
        <v>2.970000000000006</v>
      </c>
    </row>
    <row r="174" spans="152:159">
      <c r="EV174" s="205">
        <f t="shared" si="86"/>
        <v>54331</v>
      </c>
      <c r="EW174" s="216">
        <f>IF(EV174=CPI0_DATE,1,IF(EV174&lt;CPI0_DATE,EW175/EY174*EY175,EXP(_xll.qInterp(EX174,$ER$10:$ER$21,$ES$10:$ES$21))))</f>
        <v>0.33369390342460103</v>
      </c>
      <c r="EX174" s="183">
        <f t="shared" si="85"/>
        <v>37.5</v>
      </c>
      <c r="EY174" s="175">
        <f t="shared" si="81"/>
        <v>0</v>
      </c>
      <c r="EZ174" s="179">
        <f t="shared" si="87"/>
        <v>529.52719599183729</v>
      </c>
      <c r="FA174" s="177">
        <f t="shared" si="83"/>
        <v>0.73437081522067515</v>
      </c>
      <c r="FB174" s="177">
        <f t="shared" si="84"/>
        <v>0.73706731769190847</v>
      </c>
      <c r="FC174" s="177">
        <f t="shared" si="82"/>
        <v>2.9699999999999838</v>
      </c>
    </row>
    <row r="175" spans="152:159">
      <c r="EV175" s="205">
        <f t="shared" si="86"/>
        <v>54423</v>
      </c>
      <c r="EW175" s="216">
        <f>IF(EV175=CPI0_DATE,1,IF(EV175&lt;CPI0_DATE,EW176/EY175*EY176,EXP(_xll.qInterp(EX175,$ER$10:$ER$21,$ES$10:$ES$21))))</f>
        <v>0.33126121771952421</v>
      </c>
      <c r="EX175" s="183">
        <f t="shared" si="85"/>
        <v>37.75</v>
      </c>
      <c r="EY175" s="175">
        <f t="shared" si="81"/>
        <v>0</v>
      </c>
      <c r="EZ175" s="179">
        <f t="shared" si="87"/>
        <v>533.41588917785771</v>
      </c>
      <c r="FA175" s="177">
        <f t="shared" si="83"/>
        <v>0.73437081522067515</v>
      </c>
      <c r="FB175" s="177">
        <f t="shared" si="84"/>
        <v>0.73706731769190847</v>
      </c>
      <c r="FC175" s="177">
        <f t="shared" si="82"/>
        <v>2.970000000000006</v>
      </c>
    </row>
    <row r="176" spans="152:159">
      <c r="EV176" s="205">
        <f t="shared" si="86"/>
        <v>54513</v>
      </c>
      <c r="EW176" s="216">
        <f>IF(EV176=CPI0_DATE,1,IF(EV176&lt;CPI0_DATE,EW177/EY176*EY177,EXP(_xll.qInterp(EX176,$ER$10:$ER$21,$ES$10:$ES$21))))</f>
        <v>0.32884626670986428</v>
      </c>
      <c r="EX176" s="183">
        <f t="shared" si="85"/>
        <v>38</v>
      </c>
      <c r="EY176" s="175">
        <f t="shared" si="81"/>
        <v>0</v>
      </c>
      <c r="EZ176" s="179">
        <f t="shared" si="87"/>
        <v>537.33313979172965</v>
      </c>
      <c r="FA176" s="177">
        <f t="shared" si="83"/>
        <v>0.73437081522065295</v>
      </c>
      <c r="FB176" s="177">
        <f t="shared" si="84"/>
        <v>0.73706731769189737</v>
      </c>
      <c r="FC176" s="177">
        <f t="shared" si="82"/>
        <v>2.970000000000006</v>
      </c>
    </row>
    <row r="177" spans="152:159">
      <c r="EV177" s="205">
        <f t="shared" si="86"/>
        <v>54604</v>
      </c>
      <c r="EW177" s="216">
        <f>IF(EV177=CPI0_DATE,1,IF(EV177&lt;CPI0_DATE,EW178/EY177*EY178,EXP(_xll.qInterp(EX177,$ER$10:$ER$21,$ES$10:$ES$21))))</f>
        <v>0.3264489211066543</v>
      </c>
      <c r="EX177" s="183">
        <f t="shared" si="85"/>
        <v>38.25</v>
      </c>
      <c r="EY177" s="175">
        <f t="shared" si="81"/>
        <v>0</v>
      </c>
      <c r="EZ177" s="179">
        <f t="shared" si="87"/>
        <v>541.27915755086894</v>
      </c>
      <c r="FA177" s="177">
        <f t="shared" si="83"/>
        <v>0.73437081522065295</v>
      </c>
      <c r="FB177" s="177">
        <f t="shared" si="84"/>
        <v>0.73706731769189737</v>
      </c>
      <c r="FC177" s="177">
        <f t="shared" si="82"/>
        <v>2.970000000000006</v>
      </c>
    </row>
    <row r="178" spans="152:159">
      <c r="EV178" s="205">
        <f t="shared" si="86"/>
        <v>54696</v>
      </c>
      <c r="EW178" s="216">
        <f>IF(EV178=CPI0_DATE,1,IF(EV178&lt;CPI0_DATE,EW179/EY178*EY179,EXP(_xll.qInterp(EX178,$ER$10:$ER$21,$ES$10:$ES$21))))</f>
        <v>0.32406905256346608</v>
      </c>
      <c r="EX178" s="183">
        <f t="shared" si="85"/>
        <v>38.5</v>
      </c>
      <c r="EY178" s="175">
        <f t="shared" si="81"/>
        <v>0</v>
      </c>
      <c r="EZ178" s="179">
        <f t="shared" si="87"/>
        <v>545.25415371279485</v>
      </c>
      <c r="FA178" s="177">
        <f t="shared" si="83"/>
        <v>0.73437081522067515</v>
      </c>
      <c r="FB178" s="177">
        <f t="shared" si="84"/>
        <v>0.73706731769190847</v>
      </c>
      <c r="FC178" s="177">
        <f t="shared" si="82"/>
        <v>2.970000000000006</v>
      </c>
    </row>
    <row r="179" spans="152:159">
      <c r="EV179" s="205">
        <f t="shared" si="86"/>
        <v>54788</v>
      </c>
      <c r="EW179" s="216">
        <f>IF(EV179=CPI0_DATE,1,IF(EV179&lt;CPI0_DATE,EW180/EY179*EY180,EXP(_xll.qInterp(EX179,$ER$10:$ER$21,$ES$10:$ES$21))))</f>
        <v>0.32170653366953894</v>
      </c>
      <c r="EX179" s="183">
        <f t="shared" si="85"/>
        <v>38.75</v>
      </c>
      <c r="EY179" s="175">
        <f t="shared" si="81"/>
        <v>0</v>
      </c>
      <c r="EZ179" s="179">
        <f t="shared" si="87"/>
        <v>549.25834108643994</v>
      </c>
      <c r="FA179" s="177">
        <f t="shared" si="83"/>
        <v>0.73437081522065295</v>
      </c>
      <c r="FB179" s="177">
        <f t="shared" si="84"/>
        <v>0.73706731769189737</v>
      </c>
      <c r="FC179" s="177">
        <f t="shared" si="82"/>
        <v>2.9699999999999838</v>
      </c>
    </row>
    <row r="180" spans="152:159">
      <c r="EV180" s="205">
        <f t="shared" si="86"/>
        <v>54878</v>
      </c>
      <c r="EW180" s="216">
        <f>IF(EV180=CPI0_DATE,1,IF(EV180&lt;CPI0_DATE,EW181/EY180*EY181,EXP(_xll.qInterp(EX180,$ER$10:$ER$21,$ES$10:$ES$21))))</f>
        <v>0.3193612379429584</v>
      </c>
      <c r="EX180" s="183">
        <f t="shared" si="85"/>
        <v>39</v>
      </c>
      <c r="EY180" s="175">
        <f t="shared" si="81"/>
        <v>0</v>
      </c>
      <c r="EZ180" s="179">
        <f t="shared" si="87"/>
        <v>553.29193404354396</v>
      </c>
      <c r="FA180" s="177">
        <f t="shared" si="83"/>
        <v>0.73437081522067515</v>
      </c>
      <c r="FB180" s="177">
        <f t="shared" si="84"/>
        <v>0.73706731769189737</v>
      </c>
      <c r="FC180" s="177">
        <f t="shared" si="82"/>
        <v>2.9699999999999838</v>
      </c>
    </row>
    <row r="181" spans="152:159">
      <c r="EV181" s="205">
        <f t="shared" si="86"/>
        <v>54969</v>
      </c>
      <c r="EW181" s="216">
        <f>IF(EV181=CPI0_DATE,1,IF(EV181&lt;CPI0_DATE,EW182/EY181*EY182,EXP(_xll.qInterp(EX181,$ER$10:$ER$21,$ES$10:$ES$21))))</f>
        <v>0.31703303982388487</v>
      </c>
      <c r="EX181" s="183">
        <f t="shared" si="85"/>
        <v>39.25</v>
      </c>
      <c r="EY181" s="175">
        <f t="shared" si="81"/>
        <v>0</v>
      </c>
      <c r="EZ181" s="179">
        <f t="shared" si="87"/>
        <v>557.35514853012978</v>
      </c>
      <c r="FA181" s="177">
        <f t="shared" si="83"/>
        <v>0.73437081522067515</v>
      </c>
      <c r="FB181" s="177">
        <f t="shared" si="84"/>
        <v>0.73706731769190847</v>
      </c>
      <c r="FC181" s="177">
        <f t="shared" si="82"/>
        <v>2.970000000000006</v>
      </c>
    </row>
    <row r="182" spans="152:159">
      <c r="EV182" s="205">
        <f t="shared" si="86"/>
        <v>55061</v>
      </c>
      <c r="EW182" s="216">
        <f>IF(EV182=CPI0_DATE,1,IF(EV182&lt;CPI0_DATE,EW183/EY182*EY183,EXP(_xll.qInterp(EX182,$ER$10:$ER$21,$ES$10:$ES$21))))</f>
        <v>0.3147218146678315</v>
      </c>
      <c r="EX182" s="183">
        <f t="shared" si="85"/>
        <v>39.5</v>
      </c>
      <c r="EY182" s="175">
        <f t="shared" si="81"/>
        <v>0</v>
      </c>
      <c r="EZ182" s="179">
        <f t="shared" si="87"/>
        <v>561.44820207806481</v>
      </c>
      <c r="FA182" s="177">
        <f t="shared" si="83"/>
        <v>0.73437081522065295</v>
      </c>
      <c r="FB182" s="177">
        <f t="shared" si="84"/>
        <v>0.73706731769190847</v>
      </c>
      <c r="FC182" s="177">
        <f t="shared" si="82"/>
        <v>2.9699999999999838</v>
      </c>
    </row>
    <row r="183" spans="152:159">
      <c r="EV183" s="205">
        <f t="shared" si="86"/>
        <v>55153</v>
      </c>
      <c r="EW183" s="216">
        <f>IF(EV183=CPI0_DATE,1,IF(EV183&lt;CPI0_DATE,EW184/EY183*EY184,EXP(_xll.qInterp(EX183,$ER$10:$ER$21,$ES$10:$ES$21))))</f>
        <v>0.31242743873899093</v>
      </c>
      <c r="EX183" s="183">
        <f t="shared" si="85"/>
        <v>39.75</v>
      </c>
      <c r="EY183" s="175">
        <f t="shared" si="81"/>
        <v>0</v>
      </c>
      <c r="EZ183" s="179">
        <f t="shared" si="87"/>
        <v>565.57131381670729</v>
      </c>
      <c r="FA183" s="177">
        <f t="shared" si="83"/>
        <v>0.73437081522067515</v>
      </c>
      <c r="FB183" s="177">
        <f t="shared" si="84"/>
        <v>0.73706731769190847</v>
      </c>
      <c r="FC183" s="177">
        <f t="shared" si="82"/>
        <v>2.970000000000006</v>
      </c>
    </row>
    <row r="184" spans="152:159">
      <c r="EV184" s="205">
        <f t="shared" si="86"/>
        <v>55243</v>
      </c>
      <c r="EW184" s="216">
        <f>IF(EV184=CPI0_DATE,1,IF(EV184&lt;CPI0_DATE,EW185/EY184*EY185,EXP(_xll.qInterp(EX184,$ER$10:$ER$21,$ES$10:$ES$21))))</f>
        <v>0.31014978920361114</v>
      </c>
      <c r="EX184" s="183">
        <f t="shared" si="85"/>
        <v>40</v>
      </c>
      <c r="EY184" s="175">
        <f t="shared" si="81"/>
        <v>0</v>
      </c>
      <c r="EZ184" s="179">
        <f t="shared" si="87"/>
        <v>569.72470448463741</v>
      </c>
      <c r="FA184" s="177">
        <f t="shared" si="83"/>
        <v>0.73437081522069736</v>
      </c>
      <c r="FB184" s="177">
        <f t="shared" si="84"/>
        <v>0.73706731769191958</v>
      </c>
      <c r="FC184" s="177">
        <f t="shared" si="82"/>
        <v>2.9700000000000282</v>
      </c>
    </row>
    <row r="185" spans="152:159">
      <c r="EV185" s="205">
        <f t="shared" si="86"/>
        <v>55334</v>
      </c>
      <c r="EW185" s="216">
        <f>IF(EV185=CPI0_DATE,1,IF(EV185&lt;CPI0_DATE,EW186/EY185*EY186,EXP(_xll.qInterp(EX185,$ER$10:$ER$21,$ES$10:$ES$21))))</f>
        <v>0.30788874412341938</v>
      </c>
      <c r="EX185" s="183">
        <f t="shared" ref="EX185:EX216" si="88">ROUND((EV185-CPI0_DATE)/365/0.25,0)*0.25</f>
        <v>40.25</v>
      </c>
      <c r="EY185" s="175">
        <f t="shared" si="81"/>
        <v>0</v>
      </c>
      <c r="EZ185" s="179">
        <f t="shared" si="87"/>
        <v>573.90859644147463</v>
      </c>
      <c r="FA185" s="177">
        <f t="shared" si="83"/>
        <v>0.73437081522063075</v>
      </c>
      <c r="FB185" s="177">
        <f t="shared" si="84"/>
        <v>0.73706731769190847</v>
      </c>
      <c r="FC185" s="177">
        <f t="shared" si="82"/>
        <v>2.970000000000006</v>
      </c>
    </row>
    <row r="186" spans="152:159">
      <c r="EV186" s="205">
        <f t="shared" si="86"/>
        <v>55426</v>
      </c>
      <c r="EW186" s="216">
        <f>IF(EV186=CPI0_DATE,1,IF(EV186&lt;CPI0_DATE,EW187/EY186*EY187,EXP(_xll.qInterp(EX186,$ER$10:$ER$21,$ES$10:$ES$21))))</f>
        <v>0.30564418244909336</v>
      </c>
      <c r="EX186" s="183">
        <f t="shared" si="88"/>
        <v>40.5</v>
      </c>
      <c r="EY186" s="175">
        <f t="shared" si="81"/>
        <v>0</v>
      </c>
      <c r="EZ186" s="179">
        <f t="shared" si="87"/>
        <v>578.12321367978348</v>
      </c>
      <c r="FA186" s="177">
        <f t="shared" si="83"/>
        <v>0.73437081522067515</v>
      </c>
      <c r="FB186" s="177">
        <f t="shared" si="84"/>
        <v>0.73706731769189737</v>
      </c>
      <c r="FC186" s="177">
        <f t="shared" si="82"/>
        <v>2.9700000000000282</v>
      </c>
    </row>
    <row r="187" spans="152:159">
      <c r="EV187" s="205">
        <f t="shared" si="86"/>
        <v>55518</v>
      </c>
      <c r="EW187" s="216">
        <f>IF(EV187=CPI0_DATE,1,IF(EV187&lt;CPI0_DATE,EW188/EY187*EY188,EXP(_xll.qInterp(EX187,$ER$10:$ER$21,$ES$10:$ES$21))))</f>
        <v>0.30341598401378156</v>
      </c>
      <c r="EX187" s="183">
        <f t="shared" si="88"/>
        <v>40.75</v>
      </c>
      <c r="EY187" s="175">
        <f t="shared" si="81"/>
        <v>0</v>
      </c>
      <c r="EZ187" s="179">
        <f t="shared" si="87"/>
        <v>582.36878183706358</v>
      </c>
      <c r="FA187" s="177">
        <f t="shared" si="83"/>
        <v>0.73437081522065295</v>
      </c>
      <c r="FB187" s="177">
        <f t="shared" si="84"/>
        <v>0.73706731769190847</v>
      </c>
      <c r="FC187" s="177">
        <f t="shared" si="82"/>
        <v>2.970000000000006</v>
      </c>
    </row>
    <row r="188" spans="152:159">
      <c r="EV188" s="205">
        <f t="shared" si="86"/>
        <v>55609</v>
      </c>
      <c r="EW188" s="216">
        <f>IF(EV188=CPI0_DATE,1,IF(EV188&lt;CPI0_DATE,EW189/EY188*EY189,EXP(_xll.qInterp(EX188,$ER$10:$ER$21,$ES$10:$ES$21))))</f>
        <v>0.30120402952666908</v>
      </c>
      <c r="EX188" s="183">
        <f t="shared" si="88"/>
        <v>41</v>
      </c>
      <c r="EY188" s="175">
        <f t="shared" si="81"/>
        <v>0</v>
      </c>
      <c r="EZ188" s="179">
        <f t="shared" si="87"/>
        <v>586.64552820783103</v>
      </c>
      <c r="FA188" s="177">
        <f t="shared" si="83"/>
        <v>0.73437081522065295</v>
      </c>
      <c r="FB188" s="177">
        <f t="shared" si="84"/>
        <v>0.73706731769189737</v>
      </c>
      <c r="FC188" s="177">
        <f t="shared" si="82"/>
        <v>2.9699999999999838</v>
      </c>
    </row>
    <row r="189" spans="152:159">
      <c r="EV189" s="205">
        <f t="shared" si="86"/>
        <v>55700</v>
      </c>
      <c r="EW189" s="216">
        <f>IF(EV189=CPI0_DATE,1,IF(EV189&lt;CPI0_DATE,EW190/EY189*EY190,EXP(_xll.qInterp(EX189,$ER$10:$ER$21,$ES$10:$ES$21))))</f>
        <v>0.29900820056659155</v>
      </c>
      <c r="EX189" s="183">
        <f t="shared" si="88"/>
        <v>41.25</v>
      </c>
      <c r="EY189" s="175">
        <f t="shared" si="81"/>
        <v>0</v>
      </c>
      <c r="EZ189" s="179">
        <f t="shared" si="87"/>
        <v>590.95368175578642</v>
      </c>
      <c r="FA189" s="177">
        <f t="shared" si="83"/>
        <v>0.73437081522065295</v>
      </c>
      <c r="FB189" s="177">
        <f t="shared" si="84"/>
        <v>0.73706731769189737</v>
      </c>
      <c r="FC189" s="177">
        <f t="shared" si="82"/>
        <v>2.970000000000006</v>
      </c>
    </row>
    <row r="190" spans="152:159">
      <c r="EV190" s="205">
        <f t="shared" si="86"/>
        <v>55792</v>
      </c>
      <c r="EW190" s="216">
        <f>IF(EV190=CPI0_DATE,1,IF(EV190&lt;CPI0_DATE,EW191/EY190*EY191,EXP(_xll.qInterp(EX190,$ER$10:$ER$21,$ES$10:$ES$21))))</f>
        <v>0.29682837957569524</v>
      </c>
      <c r="EX190" s="183">
        <f t="shared" si="88"/>
        <v>41.5</v>
      </c>
      <c r="EY190" s="175">
        <f t="shared" si="81"/>
        <v>0</v>
      </c>
      <c r="EZ190" s="179">
        <f t="shared" ref="EZ190:EZ221" si="89">IF(EY190&gt;0,EY190,EZ189*EW189/EW190)</f>
        <v>595.29347312607297</v>
      </c>
      <c r="FA190" s="177">
        <f t="shared" si="83"/>
        <v>0.73437081522067515</v>
      </c>
      <c r="FB190" s="177">
        <f t="shared" si="84"/>
        <v>0.73706731769190847</v>
      </c>
      <c r="FC190" s="177">
        <f t="shared" si="82"/>
        <v>2.9699999999999838</v>
      </c>
    </row>
    <row r="191" spans="152:159">
      <c r="EV191" s="205">
        <f t="shared" si="86"/>
        <v>55884</v>
      </c>
      <c r="EW191" s="216">
        <f>IF(EV191=CPI0_DATE,1,IF(EV191&lt;CPI0_DATE,EW192/EY191*EY192,EXP(_xll.qInterp(EX191,$ER$10:$ER$21,$ES$10:$ES$21))))</f>
        <v>0.29466444985314316</v>
      </c>
      <c r="EX191" s="183">
        <f t="shared" si="88"/>
        <v>41.75</v>
      </c>
      <c r="EY191" s="175">
        <f t="shared" si="81"/>
        <v>0</v>
      </c>
      <c r="EZ191" s="179">
        <f t="shared" si="89"/>
        <v>599.66513465762444</v>
      </c>
      <c r="FA191" s="177">
        <f t="shared" si="83"/>
        <v>0.73437081522067515</v>
      </c>
      <c r="FB191" s="177">
        <f t="shared" si="84"/>
        <v>0.73706731769191958</v>
      </c>
      <c r="FC191" s="177">
        <f t="shared" si="82"/>
        <v>2.970000000000006</v>
      </c>
    </row>
    <row r="192" spans="152:159">
      <c r="EV192" s="205">
        <f t="shared" si="86"/>
        <v>55974</v>
      </c>
      <c r="EW192" s="216">
        <f>IF(EV192=CPI0_DATE,1,IF(EV192&lt;CPI0_DATE,EW193/EY192*EY193,EXP(_xll.qInterp(EX192,$ER$10:$ER$21,$ES$10:$ES$21))))</f>
        <v>0.29251629554886771</v>
      </c>
      <c r="EX192" s="183">
        <f t="shared" si="88"/>
        <v>42</v>
      </c>
      <c r="EY192" s="175">
        <f t="shared" si="81"/>
        <v>0</v>
      </c>
      <c r="EZ192" s="179">
        <f t="shared" si="89"/>
        <v>604.06890039560358</v>
      </c>
      <c r="FA192" s="177">
        <f t="shared" si="83"/>
        <v>0.73437081522063075</v>
      </c>
      <c r="FB192" s="177">
        <f t="shared" si="84"/>
        <v>0.73706731769189737</v>
      </c>
      <c r="FC192" s="177">
        <f t="shared" si="82"/>
        <v>2.9699999999999838</v>
      </c>
    </row>
    <row r="193" spans="152:159">
      <c r="EV193" s="205">
        <f t="shared" si="86"/>
        <v>56065</v>
      </c>
      <c r="EW193" s="216">
        <f>IF(EV193=CPI0_DATE,1,IF(EV193&lt;CPI0_DATE,EW194/EY193*EY194,EXP(_xll.qInterp(EX193,$ER$10:$ER$21,$ES$10:$ES$21))))</f>
        <v>0.29038380165736771</v>
      </c>
      <c r="EX193" s="183">
        <f t="shared" si="88"/>
        <v>42.25</v>
      </c>
      <c r="EY193" s="175">
        <f t="shared" si="81"/>
        <v>0</v>
      </c>
      <c r="EZ193" s="179">
        <f t="shared" si="89"/>
        <v>608.5050061039334</v>
      </c>
      <c r="FA193" s="177">
        <f t="shared" si="83"/>
        <v>0.73437081522067515</v>
      </c>
      <c r="FB193" s="177">
        <f t="shared" si="84"/>
        <v>0.73706731769189737</v>
      </c>
      <c r="FC193" s="177">
        <f t="shared" si="82"/>
        <v>2.9700000000000282</v>
      </c>
    </row>
    <row r="194" spans="152:159">
      <c r="EV194" s="205">
        <f t="shared" si="86"/>
        <v>56157</v>
      </c>
      <c r="EW194" s="216">
        <f>IF(EV194=CPI0_DATE,1,IF(EV194&lt;CPI0_DATE,EW195/EY194*EY195,EXP(_xll.qInterp(EX194,$ER$10:$ER$21,$ES$10:$ES$21))))</f>
        <v>0.28826685401155211</v>
      </c>
      <c r="EX194" s="183">
        <f t="shared" si="88"/>
        <v>42.5</v>
      </c>
      <c r="EY194" s="175">
        <f t="shared" si="81"/>
        <v>0</v>
      </c>
      <c r="EZ194" s="179">
        <f t="shared" si="89"/>
        <v>612.9736892779174</v>
      </c>
      <c r="FA194" s="177">
        <f t="shared" si="83"/>
        <v>0.73437081522065295</v>
      </c>
      <c r="FB194" s="177">
        <f t="shared" si="84"/>
        <v>0.73706731769190847</v>
      </c>
      <c r="FC194" s="177">
        <f t="shared" si="82"/>
        <v>2.970000000000006</v>
      </c>
    </row>
    <row r="195" spans="152:159">
      <c r="EV195" s="205">
        <f t="shared" si="86"/>
        <v>56249</v>
      </c>
      <c r="EW195" s="216">
        <f>IF(EV195=CPI0_DATE,1,IF(EV195&lt;CPI0_DATE,EW196/EY195*EY196,EXP(_xll.qInterp(EX195,$ER$10:$ER$21,$ES$10:$ES$21))))</f>
        <v>0.28616533927662735</v>
      </c>
      <c r="EX195" s="183">
        <f t="shared" si="88"/>
        <v>42.75</v>
      </c>
      <c r="EY195" s="175">
        <f t="shared" si="81"/>
        <v>0</v>
      </c>
      <c r="EZ195" s="179">
        <f t="shared" si="89"/>
        <v>617.47518915695582</v>
      </c>
      <c r="FA195" s="177">
        <f t="shared" si="83"/>
        <v>0.73437081522065295</v>
      </c>
      <c r="FB195" s="177">
        <f t="shared" si="84"/>
        <v>0.73706731769190847</v>
      </c>
      <c r="FC195" s="177">
        <f t="shared" si="82"/>
        <v>2.9699999999999838</v>
      </c>
    </row>
    <row r="196" spans="152:159">
      <c r="EV196" s="205">
        <f t="shared" si="86"/>
        <v>56339</v>
      </c>
      <c r="EW196" s="216">
        <f>IF(EV196=CPI0_DATE,1,IF(EV196&lt;CPI0_DATE,EW197/EY196*EY197,EXP(_xll.qInterp(EX196,$ER$10:$ER$21,$ES$10:$ES$21))))</f>
        <v>0.28407914494402997</v>
      </c>
      <c r="EX196" s="183">
        <f t="shared" si="88"/>
        <v>43</v>
      </c>
      <c r="EY196" s="175">
        <f t="shared" si="81"/>
        <v>0</v>
      </c>
      <c r="EZ196" s="179">
        <f t="shared" si="89"/>
        <v>622.00974673735311</v>
      </c>
      <c r="FA196" s="177">
        <f t="shared" si="83"/>
        <v>0.73437081522067515</v>
      </c>
      <c r="FB196" s="177">
        <f t="shared" si="84"/>
        <v>0.73706731769190847</v>
      </c>
      <c r="FC196" s="177">
        <f t="shared" si="82"/>
        <v>2.9700000000000282</v>
      </c>
    </row>
    <row r="197" spans="152:159">
      <c r="EV197" s="205">
        <f t="shared" si="86"/>
        <v>56430</v>
      </c>
      <c r="EW197" s="216">
        <f>IF(EV197=CPI0_DATE,1,IF(EV197&lt;CPI0_DATE,EW198/EY197*EY198,EXP(_xll.qInterp(EX197,$ER$10:$ER$21,$ES$10:$ES$21))))</f>
        <v>0.28200815932540324</v>
      </c>
      <c r="EX197" s="183">
        <f t="shared" si="88"/>
        <v>43.25</v>
      </c>
      <c r="EY197" s="175">
        <f t="shared" ref="EY197:EY224" si="90">IF(EV197&lt;CPI0_DATE,INDEX($EJ$6:$EJ$25,MATCH(EV197,$EI$6:$EI$25)),IF(EV197=CPI0_DATE,CPI0_VALUE,0))</f>
        <v>0</v>
      </c>
      <c r="EZ197" s="179">
        <f t="shared" si="89"/>
        <v>626.57760478522016</v>
      </c>
      <c r="FA197" s="177">
        <f t="shared" si="83"/>
        <v>0.73437081522065295</v>
      </c>
      <c r="FB197" s="177">
        <f t="shared" si="84"/>
        <v>0.73706731769189737</v>
      </c>
      <c r="FC197" s="177">
        <f t="shared" ref="FC197:FC224" si="91">100*(EZ197/EZ193-1)</f>
        <v>2.9699999999999838</v>
      </c>
    </row>
    <row r="198" spans="152:159">
      <c r="EV198" s="205">
        <f t="shared" si="86"/>
        <v>56522</v>
      </c>
      <c r="EW198" s="216">
        <f>IF(EV198=CPI0_DATE,1,IF(EV198&lt;CPI0_DATE,EW199/EY198*EY199,EXP(_xll.qInterp(EX198,$ER$10:$ER$21,$ES$10:$ES$21))))</f>
        <v>0.27995227154661756</v>
      </c>
      <c r="EX198" s="183">
        <f t="shared" si="88"/>
        <v>43.5</v>
      </c>
      <c r="EY198" s="175">
        <f t="shared" si="90"/>
        <v>0</v>
      </c>
      <c r="EZ198" s="179">
        <f t="shared" si="89"/>
        <v>631.17900784947153</v>
      </c>
      <c r="FA198" s="177">
        <f t="shared" si="83"/>
        <v>0.73437081522067515</v>
      </c>
      <c r="FB198" s="177">
        <f t="shared" si="84"/>
        <v>0.73706731769190847</v>
      </c>
      <c r="FC198" s="177">
        <f t="shared" si="91"/>
        <v>2.970000000000006</v>
      </c>
    </row>
    <row r="199" spans="152:159">
      <c r="EV199" s="205">
        <f t="shared" si="86"/>
        <v>56614</v>
      </c>
      <c r="EW199" s="216">
        <f>IF(EV199=CPI0_DATE,1,IF(EV199&lt;CPI0_DATE,EW200/EY199*EY200,EXP(_xll.qInterp(EX199,$ER$10:$ER$21,$ES$10:$ES$21))))</f>
        <v>0.27791137154183482</v>
      </c>
      <c r="EX199" s="183">
        <f t="shared" si="88"/>
        <v>43.75</v>
      </c>
      <c r="EY199" s="175">
        <f t="shared" si="90"/>
        <v>0</v>
      </c>
      <c r="EZ199" s="179">
        <f t="shared" si="89"/>
        <v>635.81420227491753</v>
      </c>
      <c r="FA199" s="177">
        <f t="shared" ref="FA199:FA224" si="92">100*(EZ199/EZ198-1)</f>
        <v>0.73437081522067515</v>
      </c>
      <c r="FB199" s="177">
        <f t="shared" ref="FB199:FB224" si="93">50*(EZ199/EZ197-1)</f>
        <v>0.73706731769191958</v>
      </c>
      <c r="FC199" s="177">
        <f t="shared" si="91"/>
        <v>2.9700000000000282</v>
      </c>
    </row>
    <row r="200" spans="152:159">
      <c r="EV200" s="205">
        <f t="shared" si="86"/>
        <v>56704</v>
      </c>
      <c r="EW200" s="216">
        <f>IF(EV200=CPI0_DATE,1,IF(EV200&lt;CPI0_DATE,EW201/EY200*EY201,EXP(_xll.qInterp(EX200,$ER$10:$ER$21,$ES$10:$ES$21))))</f>
        <v>0.27588535004761577</v>
      </c>
      <c r="EX200" s="183">
        <f t="shared" si="88"/>
        <v>44</v>
      </c>
      <c r="EY200" s="175">
        <f t="shared" si="90"/>
        <v>0</v>
      </c>
      <c r="EZ200" s="179">
        <f t="shared" si="89"/>
        <v>640.48343621545257</v>
      </c>
      <c r="FA200" s="177">
        <f t="shared" si="92"/>
        <v>0.73437081522065295</v>
      </c>
      <c r="FB200" s="177">
        <f t="shared" si="93"/>
        <v>0.73706731769190847</v>
      </c>
      <c r="FC200" s="177">
        <f t="shared" si="91"/>
        <v>2.970000000000006</v>
      </c>
    </row>
    <row r="201" spans="152:159">
      <c r="EV201" s="205">
        <f t="shared" si="86"/>
        <v>56795</v>
      </c>
      <c r="EW201" s="216">
        <f>IF(EV201=CPI0_DATE,1,IF(EV201&lt;CPI0_DATE,EW202/EY201*EY202,EXP(_xll.qInterp(EX201,$ER$10:$ER$21,$ES$10:$ES$21))))</f>
        <v>0.27387409859707024</v>
      </c>
      <c r="EX201" s="183">
        <f t="shared" si="88"/>
        <v>44.25</v>
      </c>
      <c r="EY201" s="175">
        <f t="shared" si="90"/>
        <v>0</v>
      </c>
      <c r="EZ201" s="179">
        <f t="shared" si="89"/>
        <v>645.18695964734127</v>
      </c>
      <c r="FA201" s="177">
        <f t="shared" si="92"/>
        <v>0.73437081522065295</v>
      </c>
      <c r="FB201" s="177">
        <f t="shared" si="93"/>
        <v>0.73706731769189737</v>
      </c>
      <c r="FC201" s="177">
        <f t="shared" si="91"/>
        <v>2.970000000000006</v>
      </c>
    </row>
    <row r="202" spans="152:159">
      <c r="EV202" s="205">
        <f t="shared" si="86"/>
        <v>56887</v>
      </c>
      <c r="EW202" s="216">
        <f>IF(EV202=CPI0_DATE,1,IF(EV202&lt;CPI0_DATE,EW203/EY202*EY203,EXP(_xll.qInterp(EX202,$ER$10:$ER$21,$ES$10:$ES$21))))</f>
        <v>0.27187750951405021</v>
      </c>
      <c r="EX202" s="183">
        <f t="shared" si="88"/>
        <v>44.5</v>
      </c>
      <c r="EY202" s="175">
        <f t="shared" si="90"/>
        <v>0</v>
      </c>
      <c r="EZ202" s="179">
        <f t="shared" si="89"/>
        <v>649.92502438260101</v>
      </c>
      <c r="FA202" s="177">
        <f t="shared" si="92"/>
        <v>0.73437081522069736</v>
      </c>
      <c r="FB202" s="177">
        <f t="shared" si="93"/>
        <v>0.73706731769190847</v>
      </c>
      <c r="FC202" s="177">
        <f t="shared" si="91"/>
        <v>2.9700000000000282</v>
      </c>
    </row>
    <row r="203" spans="152:159">
      <c r="EV203" s="205">
        <f t="shared" si="86"/>
        <v>56979</v>
      </c>
      <c r="EW203" s="216">
        <f>IF(EV203=CPI0_DATE,1,IF(EV203&lt;CPI0_DATE,EW204/EY203*EY204,EXP(_xll.qInterp(EX203,$ER$10:$ER$21,$ES$10:$ES$21))))</f>
        <v>0.2698954759073855</v>
      </c>
      <c r="EX203" s="183">
        <f t="shared" si="88"/>
        <v>44.75</v>
      </c>
      <c r="EY203" s="175">
        <f t="shared" si="90"/>
        <v>0</v>
      </c>
      <c r="EZ203" s="179">
        <f t="shared" si="89"/>
        <v>654.69788408248246</v>
      </c>
      <c r="FA203" s="177">
        <f t="shared" si="92"/>
        <v>0.73437081522063075</v>
      </c>
      <c r="FB203" s="177">
        <f t="shared" si="93"/>
        <v>0.73706731769189737</v>
      </c>
      <c r="FC203" s="177">
        <f t="shared" si="91"/>
        <v>2.9699999999999838</v>
      </c>
    </row>
    <row r="204" spans="152:159">
      <c r="EV204" s="205">
        <f t="shared" si="86"/>
        <v>57070</v>
      </c>
      <c r="EW204" s="216">
        <f>IF(EV204=CPI0_DATE,1,IF(EV204&lt;CPI0_DATE,EW205/EY204*EY205,EXP(_xll.qInterp(EX204,$ER$10:$ER$21,$ES$10:$ES$21))))</f>
        <v>0.26792789166516051</v>
      </c>
      <c r="EX204" s="183">
        <f t="shared" si="88"/>
        <v>45</v>
      </c>
      <c r="EY204" s="175">
        <f t="shared" si="90"/>
        <v>0</v>
      </c>
      <c r="EZ204" s="179">
        <f t="shared" si="89"/>
        <v>659.50579427105151</v>
      </c>
      <c r="FA204" s="177">
        <f t="shared" si="92"/>
        <v>0.73437081522067515</v>
      </c>
      <c r="FB204" s="177">
        <f t="shared" si="93"/>
        <v>0.73706731769189737</v>
      </c>
      <c r="FC204" s="177">
        <f t="shared" si="91"/>
        <v>2.970000000000006</v>
      </c>
    </row>
    <row r="205" spans="152:159">
      <c r="EV205" s="205">
        <f t="shared" si="86"/>
        <v>57161</v>
      </c>
      <c r="EW205" s="216">
        <f>IF(EV205=CPI0_DATE,1,IF(EV205&lt;CPI0_DATE,EW206/EY205*EY206,EXP(_xll.qInterp(EX205,$ER$10:$ER$21,$ES$10:$ES$21))))</f>
        <v>0.26597465144903387</v>
      </c>
      <c r="EX205" s="183">
        <f t="shared" si="88"/>
        <v>45.25</v>
      </c>
      <c r="EY205" s="175">
        <f t="shared" si="90"/>
        <v>0</v>
      </c>
      <c r="EZ205" s="179">
        <f t="shared" si="89"/>
        <v>664.34901234886752</v>
      </c>
      <c r="FA205" s="177">
        <f t="shared" si="92"/>
        <v>0.73437081522069736</v>
      </c>
      <c r="FB205" s="177">
        <f t="shared" si="93"/>
        <v>0.73706731769191958</v>
      </c>
      <c r="FC205" s="177">
        <f t="shared" si="91"/>
        <v>2.9700000000000282</v>
      </c>
    </row>
    <row r="206" spans="152:159">
      <c r="EV206" s="205">
        <f t="shared" si="86"/>
        <v>57253</v>
      </c>
      <c r="EW206" s="216">
        <f>IF(EV206=CPI0_DATE,1,IF(EV206&lt;CPI0_DATE,EW207/EY206*EY207,EXP(_xll.qInterp(EX206,$ER$10:$ER$21,$ES$10:$ES$21))))</f>
        <v>0.26403565068859886</v>
      </c>
      <c r="EX206" s="183">
        <f t="shared" si="88"/>
        <v>45.5</v>
      </c>
      <c r="EY206" s="175">
        <f t="shared" si="90"/>
        <v>0</v>
      </c>
      <c r="EZ206" s="179">
        <f t="shared" si="89"/>
        <v>669.22779760676428</v>
      </c>
      <c r="FA206" s="177">
        <f t="shared" si="92"/>
        <v>0.73437081522065295</v>
      </c>
      <c r="FB206" s="177">
        <f t="shared" si="93"/>
        <v>0.73706731769190847</v>
      </c>
      <c r="FC206" s="177">
        <f t="shared" si="91"/>
        <v>2.970000000000006</v>
      </c>
    </row>
    <row r="207" spans="152:159">
      <c r="EV207" s="205">
        <f t="shared" si="86"/>
        <v>57345</v>
      </c>
      <c r="EW207" s="216">
        <f>IF(EV207=CPI0_DATE,1,IF(EV207&lt;CPI0_DATE,EW208/EY207*EY208,EXP(_xll.qInterp(EX207,$ER$10:$ER$21,$ES$10:$ES$21))))</f>
        <v>0.26211078557578465</v>
      </c>
      <c r="EX207" s="183">
        <f t="shared" si="88"/>
        <v>45.75</v>
      </c>
      <c r="EY207" s="175">
        <f t="shared" si="90"/>
        <v>0</v>
      </c>
      <c r="EZ207" s="179">
        <f t="shared" si="89"/>
        <v>674.14241123973238</v>
      </c>
      <c r="FA207" s="177">
        <f t="shared" si="92"/>
        <v>0.73437081522067515</v>
      </c>
      <c r="FB207" s="177">
        <f t="shared" si="93"/>
        <v>0.73706731769189737</v>
      </c>
      <c r="FC207" s="177">
        <f t="shared" si="91"/>
        <v>2.9700000000000282</v>
      </c>
    </row>
    <row r="208" spans="152:159">
      <c r="EV208" s="205">
        <f t="shared" si="86"/>
        <v>57435</v>
      </c>
      <c r="EW208" s="216">
        <f>IF(EV208=CPI0_DATE,1,IF(EV208&lt;CPI0_DATE,EW209/EY208*EY209,EXP(_xll.qInterp(EX208,$ER$10:$ER$21,$ES$10:$ES$21))))</f>
        <v>0.26019995305929933</v>
      </c>
      <c r="EX208" s="183">
        <f t="shared" si="88"/>
        <v>46</v>
      </c>
      <c r="EY208" s="175">
        <f t="shared" si="90"/>
        <v>0</v>
      </c>
      <c r="EZ208" s="179">
        <f t="shared" si="89"/>
        <v>679.09311636090183</v>
      </c>
      <c r="FA208" s="177">
        <f t="shared" si="92"/>
        <v>0.73437081522065295</v>
      </c>
      <c r="FB208" s="177">
        <f t="shared" si="93"/>
        <v>0.73706731769189737</v>
      </c>
      <c r="FC208" s="177">
        <f t="shared" si="91"/>
        <v>2.970000000000006</v>
      </c>
    </row>
    <row r="209" spans="152:159">
      <c r="EV209" s="205">
        <f t="shared" si="86"/>
        <v>57526</v>
      </c>
      <c r="EW209" s="216">
        <f>IF(EV209=CPI0_DATE,1,IF(EV209&lt;CPI0_DATE,EW210/EY209*EY210,EXP(_xll.qInterp(EX209,$ER$10:$ER$21,$ES$10:$ES$21))))</f>
        <v>0.25830305083911226</v>
      </c>
      <c r="EX209" s="183">
        <f t="shared" si="88"/>
        <v>46.25</v>
      </c>
      <c r="EY209" s="175">
        <f t="shared" si="90"/>
        <v>0</v>
      </c>
      <c r="EZ209" s="179">
        <f t="shared" si="89"/>
        <v>684.0801780156288</v>
      </c>
      <c r="FA209" s="177">
        <f t="shared" si="92"/>
        <v>0.73437081522067515</v>
      </c>
      <c r="FB209" s="177">
        <f t="shared" si="93"/>
        <v>0.73706731769189737</v>
      </c>
      <c r="FC209" s="177">
        <f t="shared" si="91"/>
        <v>2.9699999999999838</v>
      </c>
    </row>
    <row r="210" spans="152:159">
      <c r="EV210" s="205">
        <f t="shared" si="86"/>
        <v>57618</v>
      </c>
      <c r="EW210" s="216">
        <f>IF(EV210=CPI0_DATE,1,IF(EV210&lt;CPI0_DATE,EW211/EY210*EY211,EXP(_xll.qInterp(EX210,$ER$10:$ER$21,$ES$10:$ES$21))))</f>
        <v>0.25641997736097777</v>
      </c>
      <c r="EX210" s="183">
        <f t="shared" si="88"/>
        <v>46.5</v>
      </c>
      <c r="EY210" s="175">
        <f t="shared" si="90"/>
        <v>0</v>
      </c>
      <c r="EZ210" s="179">
        <f t="shared" si="89"/>
        <v>689.10386319568522</v>
      </c>
      <c r="FA210" s="177">
        <f t="shared" si="92"/>
        <v>0.73437081522067515</v>
      </c>
      <c r="FB210" s="177">
        <f t="shared" si="93"/>
        <v>0.73706731769190847</v>
      </c>
      <c r="FC210" s="177">
        <f t="shared" si="91"/>
        <v>2.970000000000006</v>
      </c>
    </row>
    <row r="211" spans="152:159">
      <c r="EV211" s="205">
        <f t="shared" si="86"/>
        <v>57710</v>
      </c>
      <c r="EW211" s="216">
        <f>IF(EV211=CPI0_DATE,1,IF(EV211&lt;CPI0_DATE,EW212/EY211*EY212,EXP(_xll.qInterp(EX211,$ER$10:$ER$21,$ES$10:$ES$21))))</f>
        <v>0.25455063181099802</v>
      </c>
      <c r="EX211" s="183">
        <f t="shared" si="88"/>
        <v>46.75</v>
      </c>
      <c r="EY211" s="175">
        <f t="shared" si="90"/>
        <v>0</v>
      </c>
      <c r="EZ211" s="179">
        <f t="shared" si="89"/>
        <v>694.16444085355249</v>
      </c>
      <c r="FA211" s="177">
        <f t="shared" si="92"/>
        <v>0.73437081522067515</v>
      </c>
      <c r="FB211" s="177">
        <f t="shared" si="93"/>
        <v>0.73706731769190847</v>
      </c>
      <c r="FC211" s="177">
        <f t="shared" si="91"/>
        <v>2.970000000000006</v>
      </c>
    </row>
    <row r="212" spans="152:159">
      <c r="EV212" s="205">
        <f t="shared" si="86"/>
        <v>57800</v>
      </c>
      <c r="EW212" s="216">
        <f>IF(EV212=CPI0_DATE,1,IF(EV212&lt;CPI0_DATE,EW213/EY212*EY213,EXP(_xll.qInterp(EX212,$ER$10:$ER$21,$ES$10:$ES$21))))</f>
        <v>0.2526949141102256</v>
      </c>
      <c r="EX212" s="183">
        <f t="shared" si="88"/>
        <v>47</v>
      </c>
      <c r="EY212" s="175">
        <f t="shared" si="90"/>
        <v>0</v>
      </c>
      <c r="EZ212" s="179">
        <f t="shared" si="89"/>
        <v>699.26218191682062</v>
      </c>
      <c r="FA212" s="177">
        <f t="shared" si="92"/>
        <v>0.73437081522065295</v>
      </c>
      <c r="FB212" s="177">
        <f t="shared" si="93"/>
        <v>0.73706731769189737</v>
      </c>
      <c r="FC212" s="177">
        <f t="shared" si="91"/>
        <v>2.970000000000006</v>
      </c>
    </row>
    <row r="213" spans="152:159">
      <c r="EV213" s="205">
        <f t="shared" si="86"/>
        <v>57891</v>
      </c>
      <c r="EW213" s="216">
        <f>IF(EV213=CPI0_DATE,1,IF(EV213&lt;CPI0_DATE,EW214/EY213*EY214,EXP(_xll.qInterp(EX213,$ER$10:$ER$21,$ES$10:$ES$21))))</f>
        <v>0.25085272490930588</v>
      </c>
      <c r="EX213" s="183">
        <f t="shared" si="88"/>
        <v>47.25</v>
      </c>
      <c r="EY213" s="175">
        <f t="shared" si="90"/>
        <v>0</v>
      </c>
      <c r="EZ213" s="179">
        <f t="shared" si="89"/>
        <v>704.39735930269296</v>
      </c>
      <c r="FA213" s="177">
        <f t="shared" si="92"/>
        <v>0.73437081522065295</v>
      </c>
      <c r="FB213" s="177">
        <f t="shared" si="93"/>
        <v>0.73706731769189737</v>
      </c>
      <c r="FC213" s="177">
        <f t="shared" si="91"/>
        <v>2.970000000000006</v>
      </c>
    </row>
    <row r="214" spans="152:159">
      <c r="EV214" s="205">
        <f t="shared" si="86"/>
        <v>57983</v>
      </c>
      <c r="EW214" s="216">
        <f>IF(EV214=CPI0_DATE,1,IF(EV214&lt;CPI0_DATE,EW215/EY214*EY215,EXP(_xll.qInterp(EX214,$ER$10:$ER$21,$ES$10:$ES$21))))</f>
        <v>0.24902396558315801</v>
      </c>
      <c r="EX214" s="183">
        <f t="shared" si="88"/>
        <v>47.5</v>
      </c>
      <c r="EY214" s="175">
        <f t="shared" si="90"/>
        <v>0</v>
      </c>
      <c r="EZ214" s="179">
        <f t="shared" si="89"/>
        <v>709.570247932597</v>
      </c>
      <c r="FA214" s="177">
        <f t="shared" si="92"/>
        <v>0.73437081522067515</v>
      </c>
      <c r="FB214" s="177">
        <f t="shared" si="93"/>
        <v>0.73706731769190847</v>
      </c>
      <c r="FC214" s="177">
        <f t="shared" si="91"/>
        <v>2.9699999999999838</v>
      </c>
    </row>
    <row r="215" spans="152:159">
      <c r="EV215" s="205">
        <f t="shared" si="86"/>
        <v>58075</v>
      </c>
      <c r="EW215" s="216">
        <f>IF(EV215=CPI0_DATE,1,IF(EV215&lt;CPI0_DATE,EW216/EY215*EY216,EXP(_xll.qInterp(EX215,$ER$10:$ER$21,$ES$10:$ES$21))))</f>
        <v>0.24720853822569486</v>
      </c>
      <c r="EX215" s="183">
        <f t="shared" si="88"/>
        <v>47.75</v>
      </c>
      <c r="EY215" s="175">
        <f t="shared" si="90"/>
        <v>0</v>
      </c>
      <c r="EZ215" s="179">
        <f t="shared" si="89"/>
        <v>714.78112474690306</v>
      </c>
      <c r="FA215" s="177">
        <f t="shared" si="92"/>
        <v>0.73437081522069736</v>
      </c>
      <c r="FB215" s="177">
        <f t="shared" si="93"/>
        <v>0.73706731769191958</v>
      </c>
      <c r="FC215" s="177">
        <f t="shared" si="91"/>
        <v>2.970000000000006</v>
      </c>
    </row>
    <row r="216" spans="152:159">
      <c r="EV216" s="205">
        <f t="shared" si="86"/>
        <v>58165</v>
      </c>
      <c r="EW216" s="216">
        <f>IF(EV216=CPI0_DATE,1,IF(EV216&lt;CPI0_DATE,EW217/EY216*EY217,EXP(_xll.qInterp(EX216,$ER$10:$ER$21,$ES$10:$ES$21))))</f>
        <v>0.2454063456445815</v>
      </c>
      <c r="EX216" s="183">
        <f t="shared" si="88"/>
        <v>48</v>
      </c>
      <c r="EY216" s="175">
        <f t="shared" si="90"/>
        <v>0</v>
      </c>
      <c r="EZ216" s="179">
        <f t="shared" si="89"/>
        <v>720.03026871975032</v>
      </c>
      <c r="FA216" s="177">
        <f t="shared" si="92"/>
        <v>0.73437081522067515</v>
      </c>
      <c r="FB216" s="177">
        <f t="shared" si="93"/>
        <v>0.73706731769191958</v>
      </c>
      <c r="FC216" s="177">
        <f t="shared" si="91"/>
        <v>2.9700000000000282</v>
      </c>
    </row>
    <row r="217" spans="152:159">
      <c r="EV217" s="205">
        <f t="shared" si="86"/>
        <v>58256</v>
      </c>
      <c r="EW217" s="216">
        <f>IF(EV217=CPI0_DATE,1,IF(EV217&lt;CPI0_DATE,EW218/EY217*EY218,EXP(_xll.qInterp(EX217,$ER$10:$ER$21,$ES$10:$ES$21))))</f>
        <v>0.24361729135603172</v>
      </c>
      <c r="EX217" s="183">
        <f t="shared" ref="EX217:EX224" si="94">ROUND((EV217-CPI0_DATE)/365/0.25,0)*0.25</f>
        <v>48.25</v>
      </c>
      <c r="EY217" s="175">
        <f t="shared" si="90"/>
        <v>0</v>
      </c>
      <c r="EZ217" s="179">
        <f t="shared" si="89"/>
        <v>725.317960873983</v>
      </c>
      <c r="FA217" s="177">
        <f t="shared" si="92"/>
        <v>0.73437081522065295</v>
      </c>
      <c r="FB217" s="177">
        <f t="shared" si="93"/>
        <v>0.73706731769189737</v>
      </c>
      <c r="FC217" s="177">
        <f t="shared" si="91"/>
        <v>2.970000000000006</v>
      </c>
    </row>
    <row r="218" spans="152:159">
      <c r="EV218" s="205">
        <f t="shared" ref="EV218:EV224" si="95">DATE(YEAR(EV217),MONTH(EV217)+4,1)-1</f>
        <v>58348</v>
      </c>
      <c r="EW218" s="216">
        <f>IF(EV218=CPI0_DATE,1,IF(EV218&lt;CPI0_DATE,EW219/EY218*EY219,EXP(_xll.qInterp(EX218,$ER$10:$ER$21,$ES$10:$ES$21))))</f>
        <v>0.24184127957964258</v>
      </c>
      <c r="EX218" s="183">
        <f t="shared" si="94"/>
        <v>48.5</v>
      </c>
      <c r="EY218" s="175">
        <f t="shared" si="90"/>
        <v>0</v>
      </c>
      <c r="EZ218" s="179">
        <f t="shared" si="89"/>
        <v>730.64448429619529</v>
      </c>
      <c r="FA218" s="177">
        <f t="shared" si="92"/>
        <v>0.73437081522067515</v>
      </c>
      <c r="FB218" s="177">
        <f t="shared" si="93"/>
        <v>0.73706731769190847</v>
      </c>
      <c r="FC218" s="177">
        <f t="shared" si="91"/>
        <v>2.9700000000000282</v>
      </c>
    </row>
    <row r="219" spans="152:159">
      <c r="EV219" s="205">
        <f t="shared" si="95"/>
        <v>58440</v>
      </c>
      <c r="EW219" s="216">
        <f>IF(EV219=CPI0_DATE,1,IF(EV219&lt;CPI0_DATE,EW220/EY219*EY220,EXP(_xll.qInterp(EX219,$ER$10:$ER$21,$ES$10:$ES$21))))</f>
        <v>0.24007821523326683</v>
      </c>
      <c r="EX219" s="183">
        <f t="shared" si="94"/>
        <v>48.75</v>
      </c>
      <c r="EY219" s="175">
        <f t="shared" si="90"/>
        <v>0</v>
      </c>
      <c r="EZ219" s="179">
        <f t="shared" si="89"/>
        <v>736.01012415188609</v>
      </c>
      <c r="FA219" s="177">
        <f t="shared" si="92"/>
        <v>0.73437081522067515</v>
      </c>
      <c r="FB219" s="177">
        <f t="shared" si="93"/>
        <v>0.73706731769190847</v>
      </c>
      <c r="FC219" s="177">
        <f t="shared" si="91"/>
        <v>2.970000000000006</v>
      </c>
    </row>
    <row r="220" spans="152:159">
      <c r="EV220" s="205">
        <f t="shared" si="95"/>
        <v>58531</v>
      </c>
      <c r="EW220" s="216">
        <f>IF(EV220=CPI0_DATE,1,IF(EV220&lt;CPI0_DATE,EW221/EY220*EY221,EXP(_xll.qInterp(EX220,$ER$10:$ER$21,$ES$10:$ES$21))))</f>
        <v>0.23832800392792222</v>
      </c>
      <c r="EX220" s="183">
        <f t="shared" si="94"/>
        <v>49</v>
      </c>
      <c r="EY220" s="175">
        <f t="shared" si="90"/>
        <v>0</v>
      </c>
      <c r="EZ220" s="179">
        <f t="shared" si="89"/>
        <v>741.4151677007269</v>
      </c>
      <c r="FA220" s="177">
        <f t="shared" si="92"/>
        <v>0.73437081522065295</v>
      </c>
      <c r="FB220" s="177">
        <f t="shared" si="93"/>
        <v>0.73706731769190847</v>
      </c>
      <c r="FC220" s="177">
        <f t="shared" si="91"/>
        <v>2.970000000000006</v>
      </c>
    </row>
    <row r="221" spans="152:159">
      <c r="EV221" s="205">
        <f t="shared" si="95"/>
        <v>58622</v>
      </c>
      <c r="EW221" s="216">
        <f>IF(EV221=CPI0_DATE,1,IF(EV221&lt;CPI0_DATE,EW222/EY221*EY222,EXP(_xll.qInterp(EX221,$ER$10:$ER$21,$ES$10:$ES$21))))</f>
        <v>0.23659055196273837</v>
      </c>
      <c r="EX221" s="183">
        <f t="shared" si="94"/>
        <v>49.25</v>
      </c>
      <c r="EY221" s="175">
        <f t="shared" si="90"/>
        <v>0</v>
      </c>
      <c r="EZ221" s="179">
        <f t="shared" si="89"/>
        <v>746.85990431194034</v>
      </c>
      <c r="FA221" s="177">
        <f t="shared" si="92"/>
        <v>0.73437081522065295</v>
      </c>
      <c r="FB221" s="177">
        <f t="shared" si="93"/>
        <v>0.73706731769189737</v>
      </c>
      <c r="FC221" s="177">
        <f t="shared" si="91"/>
        <v>2.970000000000006</v>
      </c>
    </row>
    <row r="222" spans="152:159">
      <c r="EV222" s="205">
        <f t="shared" si="95"/>
        <v>58714</v>
      </c>
      <c r="EW222" s="216">
        <f>IF(EV222=CPI0_DATE,1,IF(EV222&lt;CPI0_DATE,EW223/EY222*EY223,EXP(_xll.qInterp(EX222,$ER$10:$ER$21,$ES$10:$ES$21))))</f>
        <v>0.23486576631994038</v>
      </c>
      <c r="EX222" s="183">
        <f t="shared" si="94"/>
        <v>49.5</v>
      </c>
      <c r="EY222" s="175">
        <f t="shared" si="90"/>
        <v>0</v>
      </c>
      <c r="EZ222" s="179">
        <f t="shared" ref="EZ222:EZ224" si="96">IF(EY222&gt;0,EY222,EZ221*EW221/EW222)</f>
        <v>752.34462547979217</v>
      </c>
      <c r="FA222" s="177">
        <f t="shared" si="92"/>
        <v>0.73437081522065295</v>
      </c>
      <c r="FB222" s="177">
        <f t="shared" si="93"/>
        <v>0.73706731769189737</v>
      </c>
      <c r="FC222" s="177">
        <f t="shared" si="91"/>
        <v>2.9699999999999838</v>
      </c>
    </row>
    <row r="223" spans="152:159">
      <c r="EV223" s="205">
        <f t="shared" si="95"/>
        <v>58806</v>
      </c>
      <c r="EW223" s="216">
        <f>IF(EV223=CPI0_DATE,1,IF(EV223&lt;CPI0_DATE,EW224/EY223*EY224,EXP(_xll.qInterp(EX223,$ER$10:$ER$21,$ES$10:$ES$21))))</f>
        <v>0.2331535546598687</v>
      </c>
      <c r="EX223" s="183">
        <f t="shared" si="94"/>
        <v>49.75</v>
      </c>
      <c r="EY223" s="175">
        <f t="shared" si="90"/>
        <v>0</v>
      </c>
      <c r="EZ223" s="179">
        <f t="shared" si="96"/>
        <v>757.86962483919717</v>
      </c>
      <c r="FA223" s="177">
        <f t="shared" si="92"/>
        <v>0.73437081522069736</v>
      </c>
      <c r="FB223" s="177">
        <f t="shared" si="93"/>
        <v>0.73706731769191958</v>
      </c>
      <c r="FC223" s="177">
        <f t="shared" si="91"/>
        <v>2.970000000000006</v>
      </c>
    </row>
    <row r="224" spans="152:159">
      <c r="EV224" s="205">
        <f t="shared" si="95"/>
        <v>58896</v>
      </c>
      <c r="EW224" s="216">
        <f>IF(EV224=CPI0_DATE,1,IF(EV224&lt;CPI0_DATE,EW225/EY224*EY225,EXP(_xll.qInterp(EX224,$ER$10:$ER$21,$ES$10:$ES$21))))</f>
        <v>0.23145382531603592</v>
      </c>
      <c r="EX224" s="183">
        <f t="shared" si="94"/>
        <v>50</v>
      </c>
      <c r="EY224" s="175">
        <f t="shared" si="90"/>
        <v>0</v>
      </c>
      <c r="EZ224" s="179">
        <f t="shared" si="96"/>
        <v>763.43519818143852</v>
      </c>
      <c r="FA224" s="177">
        <f t="shared" si="92"/>
        <v>0.73437081522065295</v>
      </c>
      <c r="FB224" s="177">
        <f t="shared" si="93"/>
        <v>0.73706731769190847</v>
      </c>
      <c r="FC224" s="177">
        <f t="shared" si="91"/>
        <v>2.970000000000006</v>
      </c>
    </row>
  </sheetData>
  <sheetProtection sheet="1" objects="1" scenarios="1" autoFilter="0" pivotTables="0"/>
  <mergeCells count="22">
    <mergeCell ref="AT48:BT50"/>
    <mergeCell ref="AJ52:AK52"/>
    <mergeCell ref="AJ53:AK53"/>
    <mergeCell ref="AJ54:AK54"/>
    <mergeCell ref="AJ55:AK55"/>
    <mergeCell ref="AJ51:AK51"/>
    <mergeCell ref="AT4:AU4"/>
    <mergeCell ref="AJ66:AK66"/>
    <mergeCell ref="AJ50:AK50"/>
    <mergeCell ref="AE48:AF49"/>
    <mergeCell ref="AG48:AH49"/>
    <mergeCell ref="AI48:AK49"/>
    <mergeCell ref="AJ61:AK61"/>
    <mergeCell ref="AJ62:AK62"/>
    <mergeCell ref="AJ63:AK63"/>
    <mergeCell ref="AJ64:AK64"/>
    <mergeCell ref="AJ65:AK65"/>
    <mergeCell ref="AJ56:AK56"/>
    <mergeCell ref="AJ57:AK57"/>
    <mergeCell ref="AJ58:AK58"/>
    <mergeCell ref="AJ59:AK59"/>
    <mergeCell ref="AJ60:AK60"/>
  </mergeCells>
  <conditionalFormatting sqref="EP4 CW4 AT6">
    <cfRule type="cellIs" dxfId="49" priority="26" stopIfTrue="1" operator="equal">
      <formula>"SNAP"</formula>
    </cfRule>
    <cfRule type="cellIs" dxfId="48" priority="27" stopIfTrue="1" operator="equal">
      <formula>"STOP"</formula>
    </cfRule>
  </conditionalFormatting>
  <conditionalFormatting sqref="DJ9:DQ19">
    <cfRule type="expression" dxfId="47" priority="47">
      <formula>ISNUMBER(DJ23)</formula>
    </cfRule>
  </conditionalFormatting>
  <conditionalFormatting sqref="EV5:FC48">
    <cfRule type="expression" dxfId="46" priority="14">
      <formula>$EV5&lt;=CPI0_DATE</formula>
    </cfRule>
  </conditionalFormatting>
  <conditionalFormatting sqref="DJ23:DQ33 EP6:EP7 EP11:EP21 CW9:CW16 AG5:AG6 AG9:AG15 AG18:AG25 AG28:AG43 AT18:AT25 AT28:AT38 BF28:BF34 BF18:BF23 BF10:BF15 BR28:BR37 BR18:BR25 BR10:BR15">
    <cfRule type="cellIs" dxfId="45" priority="5" operator="notEqual">
      <formula>""</formula>
    </cfRule>
  </conditionalFormatting>
  <conditionalFormatting sqref="EP4 CW4 AT6">
    <cfRule type="expression" dxfId="44" priority="4" stopIfTrue="1">
      <formula>PPP_Global&lt;&gt;"LOCAL"</formula>
    </cfRule>
  </conditionalFormatting>
  <conditionalFormatting sqref="BF4">
    <cfRule type="expression" dxfId="43" priority="2">
      <formula>IsBillFuturesExpiry?</formula>
    </cfRule>
  </conditionalFormatting>
  <conditionalFormatting sqref="BF5">
    <cfRule type="expression" dxfId="42" priority="1">
      <formula>IsBondFuturesExpiry?</formula>
    </cfRule>
  </conditionalFormatting>
  <dataValidations disablePrompts="1" count="3">
    <dataValidation type="list" allowBlank="1" showInputMessage="1" showErrorMessage="1" promptTitle="Reuters Update Frequency" prompt="Throttles the frequency of Reuters updates.  To SNAP more than once, switch to STOP and then back to SNAP again" sqref="EP4 CW4 AT6">
      <formula1>"5s,15s,30s,1m,30m,1h,STOP,SNAP"</formula1>
    </dataValidation>
    <dataValidation allowBlank="1" showInputMessage="1" showErrorMessage="1" promptTitle="1st bill futures strip contract" prompt="EXAMPLES_x000a__x000a_&quot;Auto&quot;   On expiry day, the expiring contract is removed and incoming new contract is the first contract in the strip_x000a__x000a_&quot;c1&quot;   follows Reuters continuation code.  Typically rolls around midday on expiry day_x000a__x000a_&quot;U2&quot;   September 2012" sqref="BF4"/>
    <dataValidation allowBlank="1" showInputMessage="1" showErrorMessage="1" promptTitle="Bond Futures Contract" prompt="EXAMPLES_x000a__x000a_&quot;Auto&quot;   On expiry day, the expiring contract is removed and the incoming new contract is used_x000a__x000a_&quot;c1&quot;   follows Reuters continuation code.  Typically rolls around midday on expiry day_x000a__x000a_&quot;U2&quot;   September 2012" sqref="BF5"/>
  </dataValidations>
  <pageMargins left="0.7" right="0.7" top="0.75" bottom="0.75" header="0.3" footer="0.3"/>
  <pageSetup paperSize="9" orientation="portrait" horizontalDpi="300"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tUS">
    <outlinePr showOutlineSymbols="0"/>
  </sheetPr>
  <dimension ref="A1:DU56"/>
  <sheetViews>
    <sheetView showGridLines="0" showRowColHeaders="0" showZeros="0" showOutlineSymbols="0" zoomScaleNormal="100" workbookViewId="0">
      <pane xSplit="3" topLeftCell="D1" activePane="topRight" state="frozen"/>
      <selection pane="topRight" activeCell="V1" sqref="V1"/>
    </sheetView>
  </sheetViews>
  <sheetFormatPr defaultRowHeight="12.75" outlineLevelCol="2"/>
  <cols>
    <col min="1" max="1" width="1.7109375" style="206" customWidth="1"/>
    <col min="2" max="2" width="7.7109375" style="206" customWidth="1"/>
    <col min="3" max="3" width="1.7109375" style="206" customWidth="1"/>
    <col min="4" max="4" width="2.7109375" style="547" hidden="1" customWidth="1" outlineLevel="2"/>
    <col min="5" max="5" width="5.7109375" style="547" hidden="1" customWidth="1" outlineLevel="2"/>
    <col min="6" max="6" width="3.85546875" style="547" hidden="1" customWidth="1" outlineLevel="2"/>
    <col min="7" max="7" width="9.5703125" style="547" hidden="1" customWidth="1" outlineLevel="2"/>
    <col min="8" max="8" width="1.7109375" style="582" hidden="1" customWidth="1" outlineLevel="2"/>
    <col min="9" max="9" width="10.5703125" style="582" hidden="1" customWidth="1" outlineLevel="2"/>
    <col min="10" max="10" width="1.7109375" style="547" hidden="1" customWidth="1" outlineLevel="2"/>
    <col min="11" max="11" width="16.28515625" style="547" hidden="1" customWidth="1" outlineLevel="2"/>
    <col min="12" max="12" width="7.7109375" style="570" hidden="1" customWidth="1" outlineLevel="2"/>
    <col min="13" max="15" width="7.7109375" style="593" hidden="1" customWidth="1" outlineLevel="2"/>
    <col min="16" max="16" width="1.7109375" style="582" hidden="1" customWidth="1" outlineLevel="2"/>
    <col min="17" max="17" width="8" style="570" hidden="1" customWidth="1" outlineLevel="2"/>
    <col min="18" max="20" width="8" style="582" hidden="1" customWidth="1" outlineLevel="2"/>
    <col min="21" max="21" width="2.7109375" style="547" hidden="1" customWidth="1" outlineLevel="2"/>
    <col min="22" max="22" width="3.7109375" customWidth="1" collapsed="1"/>
    <col min="23" max="23" width="3.7109375" customWidth="1"/>
    <col min="24" max="24" width="1.7109375" style="547" hidden="1" customWidth="1" outlineLevel="2"/>
    <col min="25" max="25" width="11.7109375" style="547" hidden="1" customWidth="1" outlineLevel="1"/>
    <col min="26" max="26" width="1.7109375" style="547" hidden="1" customWidth="1" outlineLevel="2"/>
    <col min="27" max="27" width="9.42578125" style="547" hidden="1" customWidth="1" outlineLevel="2"/>
    <col min="28" max="28" width="1.7109375" style="547" hidden="1" customWidth="1" outlineLevel="2"/>
    <col min="29" max="29" width="6.7109375" style="128" customWidth="1" collapsed="1"/>
    <col min="30" max="30" width="6.7109375" style="128" customWidth="1"/>
    <col min="31" max="31" width="6.7109375" style="127" customWidth="1"/>
    <col min="32" max="32" width="6.7109375" style="248" customWidth="1"/>
    <col min="33" max="34" width="2.7109375" customWidth="1"/>
    <col min="35" max="35" width="3.7109375" customWidth="1"/>
    <col min="36" max="36" width="1.7109375" style="547" hidden="1" customWidth="1" outlineLevel="2"/>
    <col min="37" max="37" width="14.28515625" style="547" hidden="1" customWidth="1" outlineLevel="1"/>
    <col min="38" max="38" width="1.7109375" style="547" hidden="1" customWidth="1" outlineLevel="2"/>
    <col min="39" max="39" width="9" style="547" hidden="1" customWidth="1" outlineLevel="2"/>
    <col min="40" max="40" width="1.7109375" style="547" hidden="1" customWidth="1" outlineLevel="2"/>
    <col min="41" max="41" width="6.7109375" style="188" customWidth="1" collapsed="1"/>
    <col min="42" max="42" width="6.7109375" style="188" customWidth="1"/>
    <col min="43" max="43" width="6.7109375" customWidth="1"/>
    <col min="44" max="44" width="6.7109375" style="256" customWidth="1"/>
    <col min="45" max="46" width="2.7109375" customWidth="1"/>
    <col min="47" max="47" width="3.7109375" customWidth="1"/>
    <col min="48" max="48" width="1.7109375" style="547" hidden="1" customWidth="1" outlineLevel="2"/>
    <col min="49" max="49" width="13.42578125" style="547" hidden="1" customWidth="1" outlineLevel="1"/>
    <col min="50" max="50" width="1.7109375" style="547" hidden="1" customWidth="1" outlineLevel="2"/>
    <col min="51" max="51" width="7.140625" style="547" hidden="1" customWidth="1" outlineLevel="2"/>
    <col min="52" max="52" width="1.7109375" style="547" hidden="1" customWidth="1" outlineLevel="2"/>
    <col min="53" max="53" width="6.7109375" style="188" customWidth="1" collapsed="1"/>
    <col min="54" max="55" width="6.7109375" style="188" customWidth="1"/>
    <col min="56" max="56" width="6.7109375" style="247" customWidth="1"/>
    <col min="57" max="58" width="2.7109375" customWidth="1"/>
    <col min="59" max="59" width="1.7109375" style="547" hidden="1" customWidth="1" outlineLevel="2"/>
    <col min="60" max="60" width="13.28515625" style="547" hidden="1" customWidth="1" outlineLevel="1"/>
    <col min="61" max="61" width="1.7109375" style="547" hidden="1" customWidth="1" outlineLevel="2"/>
    <col min="62" max="62" width="5" style="547" hidden="1" customWidth="1" outlineLevel="2"/>
    <col min="63" max="63" width="1.7109375" style="547" hidden="1" customWidth="1" outlineLevel="2"/>
    <col min="64" max="64" width="3.7109375" customWidth="1" collapsed="1"/>
    <col min="65" max="67" width="6.7109375" style="188" customWidth="1"/>
    <col min="68" max="68" width="6.7109375" style="256" customWidth="1"/>
    <col min="69" max="69" width="2.7109375" customWidth="1"/>
    <col min="70" max="70" width="5.7109375" customWidth="1"/>
    <col min="71" max="71" width="26.5703125" customWidth="1"/>
    <col min="72" max="72" width="7.7109375" style="285" customWidth="1"/>
    <col min="73" max="76" width="7.7109375" style="188" customWidth="1"/>
    <col min="77" max="80" width="5.140625" customWidth="1"/>
    <col min="84" max="84" width="11.7109375" bestFit="1" customWidth="1"/>
    <col min="87" max="88" width="3.7109375" customWidth="1"/>
    <col min="89" max="89" width="1.7109375" style="547" hidden="1" customWidth="1" outlineLevel="2"/>
    <col min="90" max="91" width="15" style="547" hidden="1" customWidth="1" outlineLevel="1"/>
    <col min="92" max="92" width="1.7109375" style="547" hidden="1" customWidth="1" outlineLevel="2"/>
    <col min="93" max="93" width="10.5703125" style="601" hidden="1" customWidth="1" outlineLevel="2"/>
    <col min="94" max="94" width="1.7109375" style="547" hidden="1" customWidth="1" outlineLevel="2"/>
    <col min="95" max="96" width="6.7109375" style="547" hidden="1" customWidth="1" outlineLevel="2"/>
    <col min="97" max="97" width="1.7109375" style="547" hidden="1" customWidth="1" outlineLevel="2"/>
    <col min="98" max="98" width="7.7109375" style="188" customWidth="1" collapsed="1"/>
    <col min="99" max="100" width="7.7109375" style="188" customWidth="1"/>
    <col min="101" max="101" width="7.7109375" style="256" customWidth="1"/>
    <col min="102" max="102" width="9.42578125" bestFit="1" customWidth="1"/>
    <col min="103" max="104" width="9.42578125" customWidth="1"/>
    <col min="115" max="115" width="3.7109375" customWidth="1"/>
  </cols>
  <sheetData>
    <row r="1" spans="5:125" ht="0.95" customHeight="1"/>
    <row r="2" spans="5:125" ht="24.95" customHeight="1">
      <c r="E2" s="194" t="s">
        <v>529</v>
      </c>
      <c r="F2" s="194"/>
      <c r="G2" s="194"/>
      <c r="H2" s="199"/>
      <c r="I2" s="199"/>
      <c r="J2" s="194"/>
      <c r="K2" s="194"/>
      <c r="L2" s="246"/>
      <c r="M2" s="263"/>
      <c r="N2" s="263"/>
      <c r="O2" s="263"/>
      <c r="P2" s="199"/>
      <c r="Q2" s="246"/>
      <c r="R2" s="199"/>
      <c r="S2" s="199"/>
      <c r="T2" s="199"/>
      <c r="W2" s="46" t="s">
        <v>123</v>
      </c>
      <c r="X2" s="548"/>
      <c r="Y2" s="548" t="s">
        <v>256</v>
      </c>
      <c r="Z2" s="548"/>
      <c r="AA2" s="548"/>
      <c r="AB2" s="548"/>
      <c r="AC2" s="48"/>
      <c r="AD2" s="48"/>
      <c r="AE2" s="47"/>
      <c r="AF2" s="245"/>
      <c r="AG2" s="46"/>
      <c r="AH2" s="46"/>
      <c r="AI2" s="46"/>
      <c r="AJ2" s="548"/>
      <c r="AK2" s="548"/>
      <c r="AL2" s="548"/>
      <c r="AM2" s="548"/>
      <c r="AN2" s="548"/>
      <c r="AO2" s="50"/>
      <c r="AP2" s="50"/>
      <c r="AQ2" s="46"/>
      <c r="AR2" s="51"/>
      <c r="AS2" s="46"/>
      <c r="AT2" s="46"/>
      <c r="AU2" s="46"/>
      <c r="AV2" s="548"/>
      <c r="AW2" s="548"/>
      <c r="AX2" s="548"/>
      <c r="AY2" s="548"/>
      <c r="AZ2" s="548"/>
      <c r="BA2" s="50"/>
      <c r="BB2" s="50"/>
      <c r="BC2" s="50"/>
      <c r="BD2" s="249"/>
      <c r="BE2" s="46"/>
      <c r="BF2" s="46"/>
      <c r="BG2" s="548"/>
      <c r="BH2" s="548"/>
      <c r="BI2" s="548"/>
      <c r="BJ2" s="548"/>
      <c r="BK2" s="548"/>
      <c r="BL2" s="46"/>
      <c r="BM2" s="50"/>
      <c r="BN2" s="50"/>
      <c r="BO2" s="50"/>
      <c r="BP2" s="51"/>
      <c r="BQ2" s="46"/>
      <c r="CJ2" s="46" t="s">
        <v>212</v>
      </c>
      <c r="CT2" s="50"/>
      <c r="CU2" s="50"/>
      <c r="CV2" s="50"/>
      <c r="CW2" s="51"/>
      <c r="CX2" s="46"/>
      <c r="CY2" s="46"/>
      <c r="CZ2" s="46"/>
      <c r="DL2" s="46" t="s">
        <v>298</v>
      </c>
      <c r="DM2" s="46"/>
      <c r="DN2" s="46"/>
      <c r="DO2" s="46"/>
      <c r="DP2" s="46"/>
      <c r="DQ2" s="46"/>
      <c r="DR2" s="46"/>
      <c r="DS2" s="46"/>
      <c r="DT2" s="46"/>
      <c r="DU2" s="46"/>
    </row>
    <row r="3" spans="5:125">
      <c r="AH3" s="250"/>
      <c r="AJ3" s="549"/>
      <c r="AT3" s="154"/>
      <c r="AU3" s="149"/>
      <c r="AV3" s="549"/>
      <c r="AW3" s="549"/>
      <c r="AX3" s="549"/>
      <c r="AY3" s="549"/>
      <c r="AZ3" s="549"/>
      <c r="BA3" s="268"/>
      <c r="BB3" s="268"/>
      <c r="BC3" s="268"/>
      <c r="BD3" s="269"/>
      <c r="BE3" s="149"/>
      <c r="BF3" s="154"/>
      <c r="BG3" s="549"/>
      <c r="BH3" s="549"/>
      <c r="BI3" s="549"/>
      <c r="BJ3" s="549"/>
      <c r="BK3" s="549"/>
      <c r="BL3" s="149"/>
      <c r="BM3" s="268"/>
      <c r="BN3" s="268"/>
      <c r="BO3" s="268"/>
      <c r="BP3" s="270"/>
      <c r="BQ3" s="302"/>
      <c r="CO3" s="601" t="s">
        <v>533</v>
      </c>
    </row>
    <row r="4" spans="5:125">
      <c r="E4" s="572" t="s">
        <v>518</v>
      </c>
      <c r="W4" s="187" t="s">
        <v>124</v>
      </c>
      <c r="AA4" s="546" t="str">
        <f ca="1">_xll.RtUpdate("IDN",Y5:Y12,AA5,AC5,,RTMODE_RATES)</f>
        <v>Updated at 10:13:27</v>
      </c>
      <c r="AH4" s="136"/>
      <c r="AJ4" s="549"/>
      <c r="AT4" s="152"/>
      <c r="AU4" s="271" t="s">
        <v>31</v>
      </c>
      <c r="AV4" s="549"/>
      <c r="AW4" s="549"/>
      <c r="AX4" s="549"/>
      <c r="AY4" s="549"/>
      <c r="AZ4" s="549"/>
      <c r="BA4" s="268"/>
      <c r="BB4" s="268"/>
      <c r="BC4" s="943">
        <f>Today</f>
        <v>40729</v>
      </c>
      <c r="BD4" s="943"/>
      <c r="BE4" s="149"/>
      <c r="BF4" s="152"/>
      <c r="BG4" s="549"/>
      <c r="BH4" s="549"/>
      <c r="BI4" s="549"/>
      <c r="BJ4" s="549"/>
      <c r="BK4" s="549"/>
      <c r="BL4" s="271" t="s">
        <v>79</v>
      </c>
      <c r="BM4" s="268"/>
      <c r="BN4" s="268"/>
      <c r="BO4" s="268"/>
      <c r="BP4" s="270"/>
      <c r="BQ4" s="303"/>
      <c r="CJ4" t="s">
        <v>274</v>
      </c>
      <c r="CO4" s="778" t="str">
        <f>PPP_string(PPP_Global,CV4)</f>
        <v>FRQ:30m</v>
      </c>
      <c r="CV4" s="259" t="s">
        <v>359</v>
      </c>
      <c r="DL4" s="137" t="s">
        <v>276</v>
      </c>
    </row>
    <row r="5" spans="5:125">
      <c r="W5" s="251" t="s">
        <v>6</v>
      </c>
      <c r="Y5" s="573" t="s">
        <v>167</v>
      </c>
      <c r="AA5" s="573" t="s">
        <v>208</v>
      </c>
      <c r="AC5" s="257">
        <v>0.1255</v>
      </c>
      <c r="AE5" s="135"/>
      <c r="AF5" s="248">
        <f t="shared" ref="AF5:AF12" si="0">IF(ISNUMBER(AE5),AE5,AVERAGE(AC5:AD5))</f>
        <v>0.1255</v>
      </c>
      <c r="AH5" s="136"/>
      <c r="AJ5" s="549"/>
      <c r="AT5" s="152"/>
      <c r="AU5" s="149"/>
      <c r="AV5" s="549"/>
      <c r="AW5" s="549"/>
      <c r="AX5" s="549"/>
      <c r="AY5" s="197" t="s">
        <v>273</v>
      </c>
      <c r="AZ5" s="549"/>
      <c r="BA5" s="268"/>
      <c r="BB5" s="268"/>
      <c r="BC5" s="268"/>
      <c r="BD5" s="269"/>
      <c r="BE5" s="149"/>
      <c r="BF5" s="152"/>
      <c r="BG5" s="549"/>
      <c r="BH5" s="549"/>
      <c r="BI5" s="549"/>
      <c r="BJ5" s="549"/>
      <c r="BK5" s="549"/>
      <c r="BL5" s="271" t="s">
        <v>113</v>
      </c>
      <c r="BM5" s="268"/>
      <c r="BN5" s="272" t="s">
        <v>125</v>
      </c>
      <c r="BO5" s="259" t="s">
        <v>166</v>
      </c>
      <c r="BP5" s="270"/>
      <c r="BQ5" s="303"/>
      <c r="BT5" s="286" t="s">
        <v>288</v>
      </c>
      <c r="BV5" s="284"/>
    </row>
    <row r="6" spans="5:125">
      <c r="E6" s="547" t="s">
        <v>527</v>
      </c>
      <c r="G6" s="573" t="str">
        <f>"ED"&amp;$BO$5</f>
        <v>EDcm1</v>
      </c>
      <c r="I6" s="828" t="s">
        <v>45</v>
      </c>
      <c r="K6" s="547" t="str">
        <f ca="1">_xll.RtUpdate("IDN",G6:G7,"EXPIRE DATE",L6,,RTMODE_RATES)</f>
        <v>Updated at 10:13:27</v>
      </c>
      <c r="L6" s="574" t="s">
        <v>890</v>
      </c>
      <c r="O6" s="593" t="s">
        <v>517</v>
      </c>
      <c r="Q6" s="578" t="str">
        <f>IF(ISNUMBER(L6),"LIVE","DELAYED")</f>
        <v>DELAYED</v>
      </c>
      <c r="W6" s="251" t="s">
        <v>29</v>
      </c>
      <c r="Y6" s="573" t="s">
        <v>167</v>
      </c>
      <c r="AC6" s="257">
        <v>0.1255</v>
      </c>
      <c r="AE6" s="135"/>
      <c r="AF6" s="248">
        <f t="shared" si="0"/>
        <v>0.1255</v>
      </c>
      <c r="AH6" s="136"/>
      <c r="AI6" s="187" t="s">
        <v>102</v>
      </c>
      <c r="AJ6" s="549"/>
      <c r="AM6" s="546" t="str">
        <f ca="1">_xll.RtUpdate("IDN",AK7:AK12,AM7,AO7,,RTMODE_RATES)</f>
        <v>Updated at 10:13:27</v>
      </c>
      <c r="AQ6" s="187" t="s">
        <v>174</v>
      </c>
      <c r="AT6" s="152"/>
      <c r="AU6" s="271" t="s">
        <v>112</v>
      </c>
      <c r="AV6" s="549"/>
      <c r="AW6" s="549"/>
      <c r="AX6" s="549"/>
      <c r="AY6" s="573" t="str">
        <f>PPP_string(PPP_Global,BC6)</f>
        <v>FRQ:1m</v>
      </c>
      <c r="AZ6" s="549"/>
      <c r="BA6" s="268"/>
      <c r="BB6" s="268"/>
      <c r="BC6" s="259" t="s">
        <v>268</v>
      </c>
      <c r="BD6" s="269"/>
      <c r="BE6" s="149"/>
      <c r="BF6" s="152"/>
      <c r="BG6" s="549"/>
      <c r="BH6" s="549"/>
      <c r="BI6" s="549"/>
      <c r="BJ6" s="549"/>
      <c r="BK6" s="549"/>
      <c r="BL6" s="271" t="s">
        <v>553</v>
      </c>
      <c r="BM6" s="268"/>
      <c r="BN6" s="272" t="s">
        <v>204</v>
      </c>
      <c r="BO6" s="259" t="s">
        <v>108</v>
      </c>
      <c r="BP6" s="270"/>
      <c r="BQ6" s="303"/>
      <c r="BT6" s="285" t="s">
        <v>101</v>
      </c>
      <c r="BU6" s="188" t="s">
        <v>286</v>
      </c>
      <c r="BV6" s="188" t="s">
        <v>34</v>
      </c>
      <c r="BW6" s="188" t="s">
        <v>33</v>
      </c>
      <c r="BX6" s="188" t="s">
        <v>285</v>
      </c>
    </row>
    <row r="7" spans="5:125">
      <c r="G7" s="573" t="str">
        <f>"/ED"&amp;$BO$5</f>
        <v>/EDcm1</v>
      </c>
      <c r="L7" s="574">
        <v>40805</v>
      </c>
      <c r="W7" s="251" t="s">
        <v>0</v>
      </c>
      <c r="Y7" s="573" t="s">
        <v>168</v>
      </c>
      <c r="AC7" s="257">
        <v>0.18504999999999999</v>
      </c>
      <c r="AE7" s="135"/>
      <c r="AF7" s="248">
        <f t="shared" si="0"/>
        <v>0.18504999999999999</v>
      </c>
      <c r="AH7" s="136"/>
      <c r="AI7" s="251" t="s">
        <v>0</v>
      </c>
      <c r="AJ7" s="549"/>
      <c r="AK7" s="573" t="str">
        <f t="array" ref="AK7:AK12">"USD"&amp;AI7:AI12&amp;"FSR="</f>
        <v>USD1MFSR=</v>
      </c>
      <c r="AM7" s="573" t="s">
        <v>208</v>
      </c>
      <c r="AO7" s="254">
        <v>0.18504999999999999</v>
      </c>
      <c r="AQ7" s="251" t="s">
        <v>26</v>
      </c>
      <c r="AR7" s="280">
        <f t="shared" ref="AR7:AR12" si="1">AVERAGE(L41:M41)</f>
        <v>0.46795000000000003</v>
      </c>
      <c r="AT7" s="155"/>
      <c r="AU7" s="156"/>
      <c r="AV7" s="597"/>
      <c r="AW7" s="597"/>
      <c r="AX7" s="597"/>
      <c r="AY7" s="597"/>
      <c r="AZ7" s="597"/>
      <c r="BA7" s="274"/>
      <c r="BB7" s="274"/>
      <c r="BC7" s="274"/>
      <c r="BD7" s="275"/>
      <c r="BE7" s="156"/>
      <c r="BF7" s="155"/>
      <c r="BG7" s="597"/>
      <c r="BH7" s="597"/>
      <c r="BI7" s="597"/>
      <c r="BJ7" s="597"/>
      <c r="BK7" s="597"/>
      <c r="BL7" s="156"/>
      <c r="BM7" s="274"/>
      <c r="BN7" s="274"/>
      <c r="BO7" s="274"/>
      <c r="BP7" s="276"/>
      <c r="BQ7" s="277"/>
      <c r="BT7" s="285" t="s">
        <v>106</v>
      </c>
      <c r="BU7" s="188">
        <f t="array" ref="BU7:BU32">_xll.qIRsynthSCBasisReval(USD.ZB.DISC,"1V3",_xll.qVectorMake(BP10,BP11,BP29:BP30,BP32:BP38,BP40:BP43))</f>
        <v>9.1050000000103193</v>
      </c>
      <c r="BV7" s="188">
        <f t="array" ref="BV7:BV32">_xll.qIRsynthSCBasisReval(USD.ZB.DISC,"1V3",_xll.qVectorMake(AF7,BD19,BD29:BD41))</f>
        <v>1.0319436277717031E-11</v>
      </c>
      <c r="BW7" s="188">
        <f t="array" ref="BW7:BW32">_xll.qIRsynthSCBasisReval(USD.ZB.DISC,"3V6",AR29:AR41)</f>
        <v>8.75</v>
      </c>
      <c r="BX7" s="188">
        <f t="array" ref="BX7:BX32">_xll.qIRsynthSCBasisReval(USD.ZB.DISC,"3V12",AR45:AR56)</f>
        <v>33.625</v>
      </c>
      <c r="CJ7" s="187" t="s">
        <v>206</v>
      </c>
      <c r="CT7" s="604"/>
      <c r="CU7" s="604"/>
      <c r="CV7" s="604"/>
      <c r="CW7" s="282"/>
    </row>
    <row r="8" spans="5:125">
      <c r="L8" s="830"/>
      <c r="W8" s="251" t="s">
        <v>1</v>
      </c>
      <c r="Y8" s="573" t="s">
        <v>169</v>
      </c>
      <c r="AC8" s="257">
        <v>0.21675000000000003</v>
      </c>
      <c r="AE8" s="135"/>
      <c r="AF8" s="248">
        <f t="shared" si="0"/>
        <v>0.21675000000000003</v>
      </c>
      <c r="AH8" s="136"/>
      <c r="AI8" s="251" t="s">
        <v>1</v>
      </c>
      <c r="AJ8" s="549"/>
      <c r="AK8" s="573" t="str">
        <v>USD2MFSR=</v>
      </c>
      <c r="AO8" s="254">
        <v>0.21675000000000003</v>
      </c>
      <c r="AQ8" s="251" t="s">
        <v>7</v>
      </c>
      <c r="AR8" s="280">
        <f t="shared" si="1"/>
        <v>0.8105</v>
      </c>
      <c r="AT8" s="136"/>
      <c r="AV8" s="549"/>
      <c r="AW8" s="549"/>
      <c r="AX8" s="549"/>
      <c r="AY8" s="549"/>
      <c r="AZ8" s="549"/>
      <c r="BF8" s="136"/>
      <c r="BG8" s="549"/>
      <c r="BH8" s="549"/>
      <c r="BI8" s="549"/>
      <c r="BJ8" s="549"/>
      <c r="BK8" s="549"/>
      <c r="BT8" s="285" t="s">
        <v>0</v>
      </c>
      <c r="BU8" s="188">
        <v>9.1050000000103193</v>
      </c>
      <c r="BV8" s="188">
        <v>1.0319436277717031E-11</v>
      </c>
      <c r="BW8" s="188">
        <v>8.75</v>
      </c>
      <c r="BX8" s="188">
        <v>33.625</v>
      </c>
      <c r="CJ8" s="187"/>
      <c r="CL8" s="547" t="str">
        <f ca="1">_xll.RtUpdate("IDN",CL9:CL18,"PRIMACT_1",CT9,,RTMODE_VOLS)</f>
        <v>Updated at 10:13:27</v>
      </c>
      <c r="CM8" s="547" t="str">
        <f ca="1">_xll.RtUpdate("IDN",CM9:CM18,"PRIMACT_1",CU9,,RTMODE_VOLS)</f>
        <v>Updated at 10:13:27</v>
      </c>
      <c r="CT8" s="604" t="s">
        <v>207</v>
      </c>
      <c r="CU8" s="604" t="s">
        <v>205</v>
      </c>
      <c r="CV8" s="604" t="s">
        <v>209</v>
      </c>
      <c r="CW8" s="282" t="s">
        <v>20</v>
      </c>
    </row>
    <row r="9" spans="5:125">
      <c r="E9" s="547" t="s">
        <v>521</v>
      </c>
      <c r="G9" s="573" t="str">
        <f>"FF"&amp;$BO$6</f>
        <v>FFc1</v>
      </c>
      <c r="I9" s="828" t="s">
        <v>45</v>
      </c>
      <c r="K9" s="547" t="str">
        <f ca="1">_xll.RtUpdate("IDN",G9:G10,"EXPIRE DATE",L9,,RTMODE_RATES)</f>
        <v>Updated at 10:13:27</v>
      </c>
      <c r="L9" s="574" t="s">
        <v>889</v>
      </c>
      <c r="O9" s="593" t="s">
        <v>517</v>
      </c>
      <c r="Q9" s="578" t="str">
        <f>IF(ISNUMBER(L9),"LIVE","DELAYED")</f>
        <v>DELAYED</v>
      </c>
      <c r="W9" s="251" t="s">
        <v>2</v>
      </c>
      <c r="Y9" s="573" t="s">
        <v>170</v>
      </c>
      <c r="AC9" s="257">
        <v>0.24575000000000002</v>
      </c>
      <c r="AE9" s="135"/>
      <c r="AF9" s="248">
        <f t="shared" si="0"/>
        <v>0.24575000000000002</v>
      </c>
      <c r="AH9" s="136"/>
      <c r="AI9" s="251" t="s">
        <v>2</v>
      </c>
      <c r="AJ9" s="549"/>
      <c r="AK9" s="573" t="str">
        <v>USD3MFSR=</v>
      </c>
      <c r="AO9" s="254">
        <v>0.24575000000000002</v>
      </c>
      <c r="AQ9" s="251" t="s">
        <v>9</v>
      </c>
      <c r="AR9" s="280">
        <f t="shared" si="1"/>
        <v>1.77285</v>
      </c>
      <c r="AT9" s="136"/>
      <c r="AU9" s="187" t="s">
        <v>32</v>
      </c>
      <c r="AV9" s="549"/>
      <c r="AX9" s="549"/>
      <c r="AY9" s="544" t="str">
        <f ca="1">_xll.RtUpdate("IDN",AW10:AW15,AY10:AY11,BA10,,RTMODE_RATES)</f>
        <v>Updated at 10:25:07</v>
      </c>
      <c r="AZ9" s="549"/>
      <c r="BF9" s="136"/>
      <c r="BG9" s="549"/>
      <c r="BI9" s="549"/>
      <c r="BJ9" s="544" t="str">
        <f ca="1">_xll.RtUpdate("IDN",BH10:BH15,BJ10:BJ11,BM10,,RTMODE_RATES)</f>
        <v>Updated at 10:13:27</v>
      </c>
      <c r="BK9" s="549"/>
      <c r="BL9" s="187" t="s">
        <v>35</v>
      </c>
      <c r="BT9" s="285" t="s">
        <v>1</v>
      </c>
      <c r="BU9" s="188">
        <v>10.675000000006298</v>
      </c>
      <c r="BV9" s="188">
        <v>2.3750000000062981</v>
      </c>
      <c r="BW9" s="188">
        <v>8.75</v>
      </c>
      <c r="BX9" s="188">
        <v>33.625</v>
      </c>
      <c r="CJ9" s="251" t="s">
        <v>25</v>
      </c>
      <c r="CL9" s="573" t="str">
        <f t="array" ref="CL9:CL18">"US"&amp;CJ9:CJ18&amp;"3LSTK=ICAP"</f>
        <v>US1Y3LSTK=ICAP</v>
      </c>
      <c r="CM9" s="573" t="str">
        <f t="array" ref="CM9:CM18">"US"&amp;CJ9:CJ18&amp;"3LATM=ICAP"</f>
        <v>US1Y3LATM=ICAP</v>
      </c>
      <c r="CT9" s="254">
        <v>0.45</v>
      </c>
      <c r="CU9" s="254">
        <v>90.710000000000008</v>
      </c>
      <c r="CV9" s="259"/>
      <c r="CW9" s="256">
        <f t="shared" ref="CW9:CW18" si="2">IF(ISNUMBER(CV9),CV9,CU9)</f>
        <v>90.710000000000008</v>
      </c>
      <c r="DA9" s="247"/>
    </row>
    <row r="10" spans="5:125">
      <c r="G10" s="573" t="str">
        <f>"/FF"&amp;$BO$6</f>
        <v>/FFc1</v>
      </c>
      <c r="L10" s="574">
        <v>40753</v>
      </c>
      <c r="W10" s="251" t="s">
        <v>3</v>
      </c>
      <c r="Y10" s="573" t="s">
        <v>171</v>
      </c>
      <c r="AC10" s="257">
        <v>0.28725000000000001</v>
      </c>
      <c r="AE10" s="135"/>
      <c r="AF10" s="248">
        <f t="shared" si="0"/>
        <v>0.28725000000000001</v>
      </c>
      <c r="AH10" s="136"/>
      <c r="AI10" s="251" t="s">
        <v>3</v>
      </c>
      <c r="AJ10" s="549"/>
      <c r="AK10" s="573" t="str">
        <v>USD4MFSR=</v>
      </c>
      <c r="AO10" s="254">
        <v>0.28725000000000001</v>
      </c>
      <c r="AQ10" s="251" t="s">
        <v>11</v>
      </c>
      <c r="AR10" s="280">
        <f t="shared" si="1"/>
        <v>2.52095</v>
      </c>
      <c r="AT10" s="136"/>
      <c r="AU10" s="251" t="s">
        <v>184</v>
      </c>
      <c r="AV10" s="549"/>
      <c r="AW10" s="595" t="str">
        <f t="array" ref="AW10:AW15">"USD"&amp;AU10:AU15&amp;"F=PYNY"</f>
        <v>USD1X4F=PYNY</v>
      </c>
      <c r="AX10" s="549"/>
      <c r="AY10" s="595" t="s">
        <v>43</v>
      </c>
      <c r="AZ10" s="549"/>
      <c r="BA10" s="254">
        <v>0.27900000000000003</v>
      </c>
      <c r="BB10" s="254">
        <v>0.29900000000000004</v>
      </c>
      <c r="BC10" s="259"/>
      <c r="BD10" s="247">
        <f t="shared" ref="BD10:BD15" si="3">IF(ISNUMBER(BC10),BC10,AVERAGE(BA10:BB10))</f>
        <v>0.28900000000000003</v>
      </c>
      <c r="BF10" s="136"/>
      <c r="BG10" s="549"/>
      <c r="BH10" s="595" t="str">
        <f t="array" ref="BH10:BH15">"USDOIS"&amp;BL10:BL15&amp;"=PYNY"</f>
        <v>USDOIS1M=PYNY</v>
      </c>
      <c r="BI10" s="549"/>
      <c r="BJ10" s="595" t="s">
        <v>44</v>
      </c>
      <c r="BK10" s="549"/>
      <c r="BL10" s="251" t="s">
        <v>0</v>
      </c>
      <c r="BM10" s="254">
        <v>0.109</v>
      </c>
      <c r="BN10" s="254">
        <v>7.9000000000000001E-2</v>
      </c>
      <c r="BO10" s="259"/>
      <c r="BP10" s="256">
        <f t="shared" ref="BP10:BP15" si="4">IF(ISNUMBER(BO10),BO10,AVERAGE(BM10:BN10))</f>
        <v>9.4E-2</v>
      </c>
      <c r="BT10" s="285" t="s">
        <v>2</v>
      </c>
      <c r="BU10" s="188">
        <v>12.5</v>
      </c>
      <c r="BV10" s="188">
        <v>3.375</v>
      </c>
      <c r="BW10" s="188">
        <v>8.75</v>
      </c>
      <c r="BX10" s="188">
        <v>33.625</v>
      </c>
      <c r="CJ10" s="251" t="s">
        <v>26</v>
      </c>
      <c r="CL10" s="573" t="str">
        <v>US2Y3LSTK=ICAP</v>
      </c>
      <c r="CM10" s="573" t="str">
        <v>US2Y3LATM=ICAP</v>
      </c>
      <c r="CT10" s="254">
        <v>0.77999999999999992</v>
      </c>
      <c r="CU10" s="254">
        <v>82.04</v>
      </c>
      <c r="CV10" s="259"/>
      <c r="CW10" s="256">
        <f t="shared" si="2"/>
        <v>82.04</v>
      </c>
      <c r="DA10" s="247"/>
    </row>
    <row r="11" spans="5:125">
      <c r="W11" s="251" t="s">
        <v>4</v>
      </c>
      <c r="Y11" s="573" t="s">
        <v>172</v>
      </c>
      <c r="AC11" s="257">
        <v>0.34279999999999999</v>
      </c>
      <c r="AE11" s="135"/>
      <c r="AF11" s="248">
        <f t="shared" si="0"/>
        <v>0.34279999999999999</v>
      </c>
      <c r="AH11" s="136"/>
      <c r="AI11" s="251" t="s">
        <v>4</v>
      </c>
      <c r="AJ11" s="549"/>
      <c r="AK11" s="573" t="str">
        <v>USD5MFSR=</v>
      </c>
      <c r="AO11" s="254">
        <v>0.34279999999999999</v>
      </c>
      <c r="AQ11" s="251" t="s">
        <v>14</v>
      </c>
      <c r="AR11" s="280">
        <f t="shared" si="1"/>
        <v>3.1832500000000001</v>
      </c>
      <c r="AT11" s="136"/>
      <c r="AU11" s="251" t="s">
        <v>185</v>
      </c>
      <c r="AV11" s="549"/>
      <c r="AW11" s="595" t="str">
        <v>USD2X5F=PYNY</v>
      </c>
      <c r="AX11" s="549"/>
      <c r="AY11" s="595" t="s">
        <v>44</v>
      </c>
      <c r="AZ11" s="549"/>
      <c r="BA11" s="254">
        <v>0.317</v>
      </c>
      <c r="BB11" s="254">
        <v>0.33699999999999997</v>
      </c>
      <c r="BC11" s="259"/>
      <c r="BD11" s="247">
        <f t="shared" si="3"/>
        <v>0.32699999999999996</v>
      </c>
      <c r="BF11" s="136"/>
      <c r="BG11" s="549"/>
      <c r="BH11" s="595" t="str">
        <v>USDOIS2M=PYNY</v>
      </c>
      <c r="BI11" s="549"/>
      <c r="BJ11" s="595" t="s">
        <v>43</v>
      </c>
      <c r="BK11" s="549"/>
      <c r="BL11" s="251" t="s">
        <v>1</v>
      </c>
      <c r="BM11" s="254">
        <v>0.125</v>
      </c>
      <c r="BN11" s="254">
        <v>9.5000000000000001E-2</v>
      </c>
      <c r="BO11" s="259"/>
      <c r="BP11" s="256">
        <f t="shared" si="4"/>
        <v>0.11</v>
      </c>
      <c r="BT11" s="285" t="s">
        <v>5</v>
      </c>
      <c r="BU11" s="188">
        <v>16.75</v>
      </c>
      <c r="BV11" s="188">
        <v>4.625</v>
      </c>
      <c r="BW11" s="188">
        <v>8.75</v>
      </c>
      <c r="BX11" s="188">
        <v>33.625</v>
      </c>
      <c r="CJ11" s="251" t="s">
        <v>7</v>
      </c>
      <c r="CL11" s="573" t="str">
        <v>US3Y3LSTK=ICAP</v>
      </c>
      <c r="CM11" s="573" t="str">
        <v>US3Y3LATM=ICAP</v>
      </c>
      <c r="CT11" s="254">
        <v>1.23</v>
      </c>
      <c r="CU11" s="254">
        <v>66.599999999999994</v>
      </c>
      <c r="CV11" s="259"/>
      <c r="CW11" s="256">
        <f t="shared" si="2"/>
        <v>66.599999999999994</v>
      </c>
      <c r="DA11" s="247"/>
    </row>
    <row r="12" spans="5:125">
      <c r="W12" s="251" t="s">
        <v>5</v>
      </c>
      <c r="Y12" s="573" t="s">
        <v>173</v>
      </c>
      <c r="AC12" s="257">
        <v>0.39724999999999999</v>
      </c>
      <c r="AE12" s="135"/>
      <c r="AF12" s="248">
        <f t="shared" si="0"/>
        <v>0.39724999999999999</v>
      </c>
      <c r="AH12" s="136"/>
      <c r="AI12" s="251" t="s">
        <v>5</v>
      </c>
      <c r="AJ12" s="549"/>
      <c r="AK12" s="573" t="str">
        <v>USD6MFSR=</v>
      </c>
      <c r="AO12" s="254">
        <v>0.39724999999999999</v>
      </c>
      <c r="AQ12" s="251" t="s">
        <v>19</v>
      </c>
      <c r="AR12" s="280">
        <f t="shared" si="1"/>
        <v>4.3974000000000011</v>
      </c>
      <c r="AT12" s="136"/>
      <c r="AU12" s="251" t="s">
        <v>186</v>
      </c>
      <c r="AV12" s="549"/>
      <c r="AW12" s="595" t="str">
        <v>USD3X6F=PYNY</v>
      </c>
      <c r="AX12" s="549"/>
      <c r="AY12" s="549"/>
      <c r="AZ12" s="549"/>
      <c r="BA12" s="254">
        <v>0.36399999999999999</v>
      </c>
      <c r="BB12" s="254">
        <v>0.38400000000000001</v>
      </c>
      <c r="BC12" s="259"/>
      <c r="BD12" s="247">
        <f t="shared" si="3"/>
        <v>0.374</v>
      </c>
      <c r="BF12" s="136"/>
      <c r="BG12" s="549"/>
      <c r="BH12" s="595" t="str">
        <v>USDOIS3M=PYNY</v>
      </c>
      <c r="BI12" s="549"/>
      <c r="BJ12" s="549"/>
      <c r="BK12" s="549"/>
      <c r="BL12" s="251" t="s">
        <v>2</v>
      </c>
      <c r="BM12" s="254">
        <v>0.13600000000000001</v>
      </c>
      <c r="BN12" s="254">
        <v>0.10600000000000001</v>
      </c>
      <c r="BO12" s="259"/>
      <c r="BP12" s="256">
        <f t="shared" si="4"/>
        <v>0.12100000000000001</v>
      </c>
      <c r="BT12" s="285" t="s">
        <v>25</v>
      </c>
      <c r="BU12" s="188">
        <v>20</v>
      </c>
      <c r="BV12" s="188">
        <v>5.5</v>
      </c>
      <c r="BW12" s="188">
        <v>8.5</v>
      </c>
      <c r="BX12" s="188">
        <v>33.625</v>
      </c>
      <c r="CJ12" s="251" t="s">
        <v>8</v>
      </c>
      <c r="CL12" s="573" t="str">
        <v>US4Y3LSTK=ICAP</v>
      </c>
      <c r="CM12" s="573" t="str">
        <v>US4Y3LATM=ICAP</v>
      </c>
      <c r="CT12" s="254">
        <v>1.6800000000000002</v>
      </c>
      <c r="CU12" s="254">
        <v>54.730000000000004</v>
      </c>
      <c r="CV12" s="259"/>
      <c r="CW12" s="256">
        <f t="shared" si="2"/>
        <v>54.730000000000004</v>
      </c>
      <c r="DA12" s="247"/>
    </row>
    <row r="13" spans="5:125">
      <c r="AH13" s="136"/>
      <c r="AJ13" s="549"/>
      <c r="AT13" s="136"/>
      <c r="AU13" s="251" t="s">
        <v>187</v>
      </c>
      <c r="AV13" s="549"/>
      <c r="AW13" s="595" t="str">
        <v>USD4X7F=PYNY</v>
      </c>
      <c r="AX13" s="549"/>
      <c r="AY13" s="549"/>
      <c r="AZ13" s="549"/>
      <c r="BA13" s="254">
        <v>0.38800000000000001</v>
      </c>
      <c r="BB13" s="254">
        <v>0.40800000000000003</v>
      </c>
      <c r="BC13" s="259"/>
      <c r="BD13" s="247">
        <f t="shared" si="3"/>
        <v>0.39800000000000002</v>
      </c>
      <c r="BF13" s="136"/>
      <c r="BG13" s="549"/>
      <c r="BH13" s="595" t="str">
        <v>USDOIS4M=PYNY</v>
      </c>
      <c r="BI13" s="549"/>
      <c r="BJ13" s="549"/>
      <c r="BK13" s="549"/>
      <c r="BL13" s="251" t="s">
        <v>3</v>
      </c>
      <c r="BM13" s="254">
        <v>0.14400000000000002</v>
      </c>
      <c r="BN13" s="254">
        <v>0.114</v>
      </c>
      <c r="BO13" s="259"/>
      <c r="BP13" s="256">
        <f t="shared" si="4"/>
        <v>0.129</v>
      </c>
      <c r="BT13" s="285" t="s">
        <v>26</v>
      </c>
      <c r="BU13" s="188">
        <v>24.130000000000003</v>
      </c>
      <c r="BV13" s="188">
        <v>6.1249999999999991</v>
      </c>
      <c r="BW13" s="188">
        <v>8.25</v>
      </c>
      <c r="BX13" s="188">
        <v>31.625000000000004</v>
      </c>
      <c r="CJ13" s="251" t="s">
        <v>9</v>
      </c>
      <c r="CL13" s="573" t="str">
        <v>US5Y3LSTK=ICAP</v>
      </c>
      <c r="CM13" s="573" t="str">
        <v>US5Y3LATM=ICAP</v>
      </c>
      <c r="CT13" s="254">
        <v>2.11</v>
      </c>
      <c r="CU13" s="254">
        <v>46.61</v>
      </c>
      <c r="CV13" s="259"/>
      <c r="CW13" s="256">
        <f t="shared" si="2"/>
        <v>46.61</v>
      </c>
      <c r="DA13" s="247"/>
    </row>
    <row r="14" spans="5:125">
      <c r="E14" s="572" t="s">
        <v>528</v>
      </c>
      <c r="W14" s="187" t="s">
        <v>165</v>
      </c>
      <c r="AD14" s="258" t="str">
        <f>IF(Q6="DELAYED","DELAYED","")</f>
        <v>DELAYED</v>
      </c>
      <c r="AF14" s="252" t="s">
        <v>20</v>
      </c>
      <c r="AH14" s="136"/>
      <c r="AI14" s="187" t="s">
        <v>122</v>
      </c>
      <c r="AJ14" s="549"/>
      <c r="AQ14" s="281" t="s">
        <v>277</v>
      </c>
      <c r="AR14" s="282" t="s">
        <v>278</v>
      </c>
      <c r="AT14" s="136"/>
      <c r="AU14" s="251" t="s">
        <v>188</v>
      </c>
      <c r="AV14" s="549"/>
      <c r="AW14" s="595" t="str">
        <v>USD5X8F=PYNY</v>
      </c>
      <c r="AX14" s="549"/>
      <c r="AY14" s="549"/>
      <c r="AZ14" s="549"/>
      <c r="BA14" s="254">
        <v>0.41000000000000003</v>
      </c>
      <c r="BB14" s="254">
        <v>0.43000000000000005</v>
      </c>
      <c r="BC14" s="259"/>
      <c r="BD14" s="247">
        <f t="shared" si="3"/>
        <v>0.42000000000000004</v>
      </c>
      <c r="BF14" s="136"/>
      <c r="BG14" s="549"/>
      <c r="BH14" s="595" t="str">
        <v>USDOIS5M=PYNY</v>
      </c>
      <c r="BI14" s="549"/>
      <c r="BJ14" s="549"/>
      <c r="BK14" s="549"/>
      <c r="BL14" s="251" t="s">
        <v>4</v>
      </c>
      <c r="BM14" s="254">
        <v>0.15100000000000002</v>
      </c>
      <c r="BN14" s="254">
        <v>0.12100000000000001</v>
      </c>
      <c r="BO14" s="259"/>
      <c r="BP14" s="256">
        <f t="shared" si="4"/>
        <v>0.13600000000000001</v>
      </c>
      <c r="BT14" s="285" t="s">
        <v>7</v>
      </c>
      <c r="BU14" s="188">
        <v>25.75</v>
      </c>
      <c r="BV14" s="188">
        <v>5.625</v>
      </c>
      <c r="BW14" s="188">
        <v>7.5</v>
      </c>
      <c r="BX14" s="188">
        <v>29.125</v>
      </c>
      <c r="CJ14" s="251" t="s">
        <v>10</v>
      </c>
      <c r="CL14" s="573" t="str">
        <v>US6Y3LSTK=ICAP</v>
      </c>
      <c r="CM14" s="573" t="str">
        <v>US6Y3LATM=ICAP</v>
      </c>
      <c r="CT14" s="254">
        <v>2.4699999999999998</v>
      </c>
      <c r="CU14" s="254">
        <v>40.590000000000003</v>
      </c>
      <c r="CV14" s="259"/>
      <c r="CW14" s="256">
        <f t="shared" si="2"/>
        <v>40.590000000000003</v>
      </c>
      <c r="DA14" s="247"/>
    </row>
    <row r="15" spans="5:125">
      <c r="L15" s="570" t="s">
        <v>275</v>
      </c>
      <c r="Q15" s="570" t="s">
        <v>559</v>
      </c>
      <c r="W15" s="251" t="str">
        <f t="array" ref="W15:W26">F16:F27</f>
        <v>U1</v>
      </c>
      <c r="AC15" s="266">
        <f t="array" ref="AC15:AD15">IF(AND(R16&lt;&gt;0,S16&lt;&gt;0),R16:S16,AF14)</f>
        <v>99.649999999999991</v>
      </c>
      <c r="AD15" s="266">
        <v>99.654999999999987</v>
      </c>
      <c r="AE15" s="135"/>
      <c r="AF15" s="248">
        <f t="shared" ref="AF15:AF22" si="5">IF(ISNUMBER(AE15),AE15,AVERAGE(AC15:AD15))</f>
        <v>99.652499999999989</v>
      </c>
      <c r="AH15" s="136"/>
      <c r="AI15" s="251" t="str">
        <f t="shared" ref="AI15:AI22" si="6">W15</f>
        <v>U1</v>
      </c>
      <c r="AJ15" s="549"/>
      <c r="AO15" s="259"/>
      <c r="AP15" s="278">
        <f>IF(ISNUMBER(AO15),AO15,_xll.qFuturesConvexityAdjustment(AF15,Today,Q16,CW23,"Eurodollar"))</f>
        <v>1.0226721918510373E-2</v>
      </c>
      <c r="AQ15" s="248">
        <f t="shared" ref="AQ15:AQ26" si="7">100-AF15</f>
        <v>0.3475000000000108</v>
      </c>
      <c r="AR15" s="248">
        <f t="shared" ref="AR15:AR26" si="8">AQ15-AP15%</f>
        <v>0.3473977327808257</v>
      </c>
      <c r="AT15" s="136"/>
      <c r="AU15" s="251" t="s">
        <v>189</v>
      </c>
      <c r="AV15" s="549"/>
      <c r="AW15" s="595" t="str">
        <v>USD6X9F=PYNY</v>
      </c>
      <c r="AX15" s="549"/>
      <c r="AZ15" s="549"/>
      <c r="BA15" s="254">
        <v>0.441</v>
      </c>
      <c r="BB15" s="254">
        <v>0.46100000000000002</v>
      </c>
      <c r="BC15" s="259"/>
      <c r="BD15" s="247">
        <f t="shared" si="3"/>
        <v>0.45100000000000001</v>
      </c>
      <c r="BF15" s="136"/>
      <c r="BG15" s="549"/>
      <c r="BH15" s="595" t="str">
        <v>USDOIS6M=PYNY</v>
      </c>
      <c r="BI15" s="549"/>
      <c r="BK15" s="549"/>
      <c r="BL15" s="251" t="s">
        <v>5</v>
      </c>
      <c r="BM15" s="254">
        <v>0.15800000000000003</v>
      </c>
      <c r="BN15" s="254">
        <v>0.128</v>
      </c>
      <c r="BO15" s="259"/>
      <c r="BP15" s="256">
        <f t="shared" si="4"/>
        <v>0.14300000000000002</v>
      </c>
      <c r="BT15" s="285" t="s">
        <v>8</v>
      </c>
      <c r="BU15" s="188">
        <v>26.25</v>
      </c>
      <c r="BV15" s="188">
        <v>4.875</v>
      </c>
      <c r="BW15" s="188">
        <v>6.875</v>
      </c>
      <c r="BX15" s="188">
        <v>27.25</v>
      </c>
      <c r="CJ15" s="251" t="s">
        <v>11</v>
      </c>
      <c r="CL15" s="573" t="str">
        <v>US7Y3LSTK=ICAP</v>
      </c>
      <c r="CM15" s="573" t="str">
        <v>US7Y3LATM=ICAP</v>
      </c>
      <c r="CT15" s="254">
        <v>2.75</v>
      </c>
      <c r="CU15" s="254">
        <v>36.92</v>
      </c>
      <c r="CV15" s="259"/>
      <c r="CW15" s="256">
        <f t="shared" si="2"/>
        <v>36.92</v>
      </c>
      <c r="DA15" s="247"/>
    </row>
    <row r="16" spans="5:125">
      <c r="E16" s="547" t="s">
        <v>527</v>
      </c>
      <c r="F16" s="547" t="str">
        <f>_xll.qFuturesDateToCode(IF(Q6="LIVE",L6,L7))</f>
        <v>U1</v>
      </c>
      <c r="G16" s="573" t="str">
        <f t="array" ref="G16:G27">IF(Q6="DELAYED","/","")  &amp;  "ED" &amp; F16:F27</f>
        <v>/EDU1</v>
      </c>
      <c r="I16" s="828" t="s">
        <v>45</v>
      </c>
      <c r="K16" s="547" t="str">
        <f ca="1">_xll.RtUpdate("IDN",G16:G27,I16:I19,L16,,RTMODE_RATES)</f>
        <v>Updated at 10:29:01</v>
      </c>
      <c r="L16" s="574">
        <v>40805</v>
      </c>
      <c r="M16" s="581">
        <v>99.649999999999991</v>
      </c>
      <c r="N16" s="581">
        <v>99.654999999999987</v>
      </c>
      <c r="O16" s="581">
        <v>99.66</v>
      </c>
      <c r="Q16" s="574">
        <v>40805</v>
      </c>
      <c r="R16" s="580">
        <v>99.649999999999991</v>
      </c>
      <c r="S16" s="580">
        <v>99.654999999999987</v>
      </c>
      <c r="T16" s="580">
        <v>99.66</v>
      </c>
      <c r="W16" s="251" t="str">
        <v>Z1</v>
      </c>
      <c r="AC16" s="266">
        <f t="array" ref="AC16:AD16">IF(AND(R17&lt;&gt;0,S17&lt;&gt;0),R17:S17,AF15+T17-T16)</f>
        <v>99.564999999999998</v>
      </c>
      <c r="AD16" s="266">
        <v>99.57</v>
      </c>
      <c r="AE16" s="135"/>
      <c r="AF16" s="248">
        <f t="shared" si="5"/>
        <v>99.567499999999995</v>
      </c>
      <c r="AH16" s="136"/>
      <c r="AI16" s="251" t="str">
        <f t="shared" si="6"/>
        <v>Z1</v>
      </c>
      <c r="AJ16" s="549"/>
      <c r="AO16" s="259"/>
      <c r="AP16" s="278">
        <f>IF(ISNUMBER(AO16),AO16,_xll.qFuturesConvexityAdjustment(AF16,Today,Q17,CW24,"Eurodollar"))</f>
        <v>3.1133720169834733E-2</v>
      </c>
      <c r="AQ16" s="248">
        <f t="shared" si="7"/>
        <v>0.43250000000000455</v>
      </c>
      <c r="AR16" s="248">
        <f t="shared" si="8"/>
        <v>0.4321886627983062</v>
      </c>
      <c r="AT16" s="136"/>
      <c r="AV16" s="549"/>
      <c r="AW16" s="549"/>
      <c r="AX16" s="549"/>
      <c r="AY16" s="549"/>
      <c r="AZ16" s="549"/>
      <c r="BF16" s="136"/>
      <c r="BG16" s="549"/>
      <c r="BH16" s="549"/>
      <c r="BI16" s="549" t="s">
        <v>78</v>
      </c>
      <c r="BJ16" s="549"/>
      <c r="BK16" s="549"/>
      <c r="BT16" s="285" t="s">
        <v>9</v>
      </c>
      <c r="BU16" s="188">
        <v>26.130000000000003</v>
      </c>
      <c r="BV16" s="188">
        <v>4.5</v>
      </c>
      <c r="BW16" s="188">
        <v>6.5</v>
      </c>
      <c r="BX16" s="188">
        <v>26</v>
      </c>
      <c r="CJ16" s="251" t="s">
        <v>12</v>
      </c>
      <c r="CL16" s="573" t="str">
        <v>US8Y3LSTK=ICAP</v>
      </c>
      <c r="CM16" s="573" t="str">
        <v>US8Y3LATM=ICAP</v>
      </c>
      <c r="CT16" s="254">
        <v>2.9899999999999998</v>
      </c>
      <c r="CU16" s="254">
        <v>34.260000000000005</v>
      </c>
      <c r="CV16" s="259"/>
      <c r="CW16" s="256">
        <f t="shared" si="2"/>
        <v>34.260000000000005</v>
      </c>
      <c r="DA16" s="247"/>
    </row>
    <row r="17" spans="5:101">
      <c r="F17" s="547" t="str">
        <f>_xll.qFuturesDateToCode(_xll.qFuturesCodeToDate(F16,Today)+92)</f>
        <v>Z1</v>
      </c>
      <c r="G17" s="573" t="str">
        <v>/EDZ1</v>
      </c>
      <c r="I17" s="828" t="s">
        <v>43</v>
      </c>
      <c r="L17" s="574">
        <v>40896</v>
      </c>
      <c r="M17" s="581">
        <v>99.564999999999998</v>
      </c>
      <c r="N17" s="581">
        <v>99.57</v>
      </c>
      <c r="O17" s="581">
        <v>99.57</v>
      </c>
      <c r="Q17" s="574">
        <v>40896</v>
      </c>
      <c r="R17" s="580">
        <v>99.564999999999998</v>
      </c>
      <c r="S17" s="580">
        <v>99.57</v>
      </c>
      <c r="T17" s="580">
        <v>99.57</v>
      </c>
      <c r="W17" s="251" t="str">
        <v>H2</v>
      </c>
      <c r="AC17" s="266">
        <f t="array" ref="AC17:AD17">IF(AND(R18&lt;&gt;0,S18&lt;&gt;0),R18:S18,AF16+T18-T17)</f>
        <v>99.490000000000009</v>
      </c>
      <c r="AD17" s="266">
        <v>99.495000000000005</v>
      </c>
      <c r="AE17" s="135"/>
      <c r="AF17" s="248">
        <f t="shared" si="5"/>
        <v>99.492500000000007</v>
      </c>
      <c r="AH17" s="136"/>
      <c r="AI17" s="251" t="str">
        <f t="shared" si="6"/>
        <v>H2</v>
      </c>
      <c r="AJ17" s="549"/>
      <c r="AO17" s="259"/>
      <c r="AP17" s="278">
        <f>IF(ISNUMBER(AO17),AO17,_xll.qFuturesConvexityAdjustment(AF17,Today,Q18,CW25,"Eurodollar"))</f>
        <v>8.4328937447797347E-2</v>
      </c>
      <c r="AQ17" s="248">
        <f t="shared" si="7"/>
        <v>0.50749999999999318</v>
      </c>
      <c r="AR17" s="248">
        <f t="shared" si="8"/>
        <v>0.50665671062551521</v>
      </c>
      <c r="AT17" s="136"/>
      <c r="AV17" s="549"/>
      <c r="AW17" s="549"/>
      <c r="AX17" s="549"/>
      <c r="AY17" s="549"/>
      <c r="AZ17" s="549"/>
      <c r="BF17" s="136"/>
      <c r="BG17" s="549"/>
      <c r="BH17" s="549"/>
      <c r="BI17" s="549"/>
      <c r="BJ17" s="549"/>
      <c r="BK17" s="549"/>
      <c r="BT17" s="285" t="s">
        <v>10</v>
      </c>
      <c r="BU17" s="188">
        <v>25.565000000000001</v>
      </c>
      <c r="BV17" s="188">
        <v>4.1875</v>
      </c>
      <c r="BW17" s="188">
        <v>6.1874999999999991</v>
      </c>
      <c r="BX17" s="188">
        <v>24.749999999999996</v>
      </c>
      <c r="CJ17" s="251" t="s">
        <v>13</v>
      </c>
      <c r="CL17" s="573" t="str">
        <v>US9Y3LSTK=ICAP</v>
      </c>
      <c r="CM17" s="573" t="str">
        <v>US9Y3LATM=ICAP</v>
      </c>
      <c r="CT17" s="254">
        <v>3.18</v>
      </c>
      <c r="CU17" s="254">
        <v>32.349999999999994</v>
      </c>
      <c r="CV17" s="259"/>
      <c r="CW17" s="256">
        <f t="shared" si="2"/>
        <v>32.349999999999994</v>
      </c>
    </row>
    <row r="18" spans="5:101">
      <c r="F18" s="547" t="str">
        <f>_xll.qFuturesDateToCode(_xll.qFuturesCodeToDate(F17,Today)+92)</f>
        <v>H2</v>
      </c>
      <c r="G18" s="573" t="str">
        <v>/EDH2</v>
      </c>
      <c r="I18" s="828" t="s">
        <v>44</v>
      </c>
      <c r="L18" s="574">
        <v>40987</v>
      </c>
      <c r="M18" s="581">
        <v>99.490000000000009</v>
      </c>
      <c r="N18" s="581">
        <v>99.495000000000005</v>
      </c>
      <c r="O18" s="581">
        <v>99.490000000000009</v>
      </c>
      <c r="Q18" s="574">
        <v>40987</v>
      </c>
      <c r="R18" s="580">
        <v>99.490000000000009</v>
      </c>
      <c r="S18" s="580">
        <v>99.495000000000005</v>
      </c>
      <c r="T18" s="580">
        <v>99.490000000000009</v>
      </c>
      <c r="W18" s="251" t="str">
        <v>M2</v>
      </c>
      <c r="AC18" s="266">
        <f t="array" ref="AC18:AD18">IF(AND(R19&lt;&gt;0,S19&lt;&gt;0),R19:S19,AF17+T19-T18)</f>
        <v>99.35499999999999</v>
      </c>
      <c r="AD18" s="266">
        <v>99.36</v>
      </c>
      <c r="AE18" s="135"/>
      <c r="AF18" s="248">
        <f t="shared" si="5"/>
        <v>99.357499999999987</v>
      </c>
      <c r="AH18" s="136"/>
      <c r="AI18" s="251" t="str">
        <f t="shared" si="6"/>
        <v>M2</v>
      </c>
      <c r="AJ18" s="549"/>
      <c r="AO18" s="259"/>
      <c r="AP18" s="278">
        <f>IF(ISNUMBER(AO18),AO18,_xll.qFuturesConvexityAdjustment(AF18,Today,Q19,CW26,"Eurodollar"))</f>
        <v>0.2097689356212018</v>
      </c>
      <c r="AQ18" s="248">
        <f t="shared" si="7"/>
        <v>0.64250000000001251</v>
      </c>
      <c r="AR18" s="248">
        <f t="shared" si="8"/>
        <v>0.64040231064380049</v>
      </c>
      <c r="AT18" s="136"/>
      <c r="AU18" s="187" t="s">
        <v>37</v>
      </c>
      <c r="AV18" s="549"/>
      <c r="AX18" s="549"/>
      <c r="AY18" s="544" t="str">
        <f ca="1">_xll.RtUpdate("IDN",AW19:AW26,AY19:AY20,BA19,,RTMODE_RATES)</f>
        <v>Updated at 10:26:44</v>
      </c>
      <c r="AZ18" s="549"/>
      <c r="BF18" s="136"/>
      <c r="BG18" s="549"/>
      <c r="BH18" s="549"/>
      <c r="BI18" s="549"/>
      <c r="BJ18" s="549"/>
      <c r="BK18" s="549"/>
      <c r="BL18" s="187" t="s">
        <v>670</v>
      </c>
      <c r="BP18" s="260" t="str">
        <f>IF(Q9="DELAYED","DELAYED","")</f>
        <v>DELAYED</v>
      </c>
      <c r="BT18" s="285" t="s">
        <v>11</v>
      </c>
      <c r="BU18" s="188">
        <v>25</v>
      </c>
      <c r="BV18" s="188">
        <v>3.875</v>
      </c>
      <c r="BW18" s="188">
        <v>5.875</v>
      </c>
      <c r="BX18" s="188">
        <v>23.5</v>
      </c>
      <c r="CJ18" s="251" t="s">
        <v>14</v>
      </c>
      <c r="CL18" s="573" t="str">
        <v>US10Y3LSTK=ICAP</v>
      </c>
      <c r="CM18" s="573" t="str">
        <v>US10Y3LATM=ICAP</v>
      </c>
      <c r="CT18" s="254">
        <v>3.3299999999999996</v>
      </c>
      <c r="CU18" s="254">
        <v>30.87</v>
      </c>
      <c r="CV18" s="259"/>
      <c r="CW18" s="256">
        <f t="shared" si="2"/>
        <v>30.87</v>
      </c>
    </row>
    <row r="19" spans="5:101">
      <c r="F19" s="547" t="str">
        <f>_xll.qFuturesDateToCode(_xll.qFuturesCodeToDate(F18,Today)+92)</f>
        <v>M2</v>
      </c>
      <c r="G19" s="573" t="str">
        <v>/EDM2</v>
      </c>
      <c r="I19" s="828" t="s">
        <v>522</v>
      </c>
      <c r="L19" s="574">
        <v>41078</v>
      </c>
      <c r="M19" s="581">
        <v>99.35499999999999</v>
      </c>
      <c r="N19" s="581">
        <v>99.36</v>
      </c>
      <c r="O19" s="581">
        <v>99.35</v>
      </c>
      <c r="Q19" s="574">
        <v>41078</v>
      </c>
      <c r="R19" s="580">
        <v>99.35499999999999</v>
      </c>
      <c r="S19" s="580">
        <v>99.36</v>
      </c>
      <c r="T19" s="580">
        <v>99.35</v>
      </c>
      <c r="W19" s="251" t="str">
        <v>U2</v>
      </c>
      <c r="AC19" s="266">
        <f t="array" ref="AC19:AD19">IF(AND(R20&lt;&gt;0,S20&lt;&gt;0),R20:S20,AF18+T20-T19)</f>
        <v>99.149999999999991</v>
      </c>
      <c r="AD19" s="266">
        <v>99.154999999999987</v>
      </c>
      <c r="AE19" s="135"/>
      <c r="AF19" s="248">
        <f t="shared" si="5"/>
        <v>99.152499999999989</v>
      </c>
      <c r="AH19" s="136"/>
      <c r="AI19" s="251" t="str">
        <f t="shared" si="6"/>
        <v>U2</v>
      </c>
      <c r="AJ19" s="549"/>
      <c r="AO19" s="259"/>
      <c r="AP19" s="278">
        <f>IF(ISNUMBER(AO19),AO19,_xll.qFuturesConvexityAdjustment(AF19,Today,Q20,CW27,"Eurodollar"))</f>
        <v>0.49682037899394516</v>
      </c>
      <c r="AQ19" s="248">
        <f t="shared" si="7"/>
        <v>0.8475000000000108</v>
      </c>
      <c r="AR19" s="248">
        <f t="shared" si="8"/>
        <v>0.84253179621007135</v>
      </c>
      <c r="AT19" s="136"/>
      <c r="AU19" s="251" t="s">
        <v>190</v>
      </c>
      <c r="AV19" s="549"/>
      <c r="AW19" s="595" t="str">
        <f t="array" ref="AW19:AW26">"USD"&amp;AU19:AU26&amp;"S=ICAP"</f>
        <v>USD2X1S=ICAP</v>
      </c>
      <c r="AX19" s="549"/>
      <c r="AY19" s="595" t="s">
        <v>43</v>
      </c>
      <c r="AZ19" s="549"/>
      <c r="BA19" s="254">
        <v>0.16800000000000001</v>
      </c>
      <c r="BB19" s="254">
        <v>0.21800000000000003</v>
      </c>
      <c r="BC19" s="259"/>
      <c r="BD19" s="247">
        <f t="shared" ref="BD19:BD24" si="9">IF(ISNUMBER(BC19),BC19,AVERAGE(BA19:BB19))</f>
        <v>0.193</v>
      </c>
      <c r="BF19" s="136"/>
      <c r="BG19" s="549"/>
      <c r="BH19" s="549"/>
      <c r="BI19" s="549"/>
      <c r="BJ19" s="549"/>
      <c r="BK19" s="549"/>
      <c r="BL19" s="251" t="str">
        <f t="array" ref="BL19:BL26">TEXT(L29:L36,"mmm")</f>
        <v>Jul</v>
      </c>
      <c r="BM19" s="255">
        <f t="array" ref="BM19:BN19">IF(AND(R29&lt;&gt;0,S29&lt;&gt;0),R29:S29,T29)</f>
        <v>99.905000000000001</v>
      </c>
      <c r="BN19" s="255">
        <v>99.905000000000001</v>
      </c>
      <c r="BO19" s="259"/>
      <c r="BP19" s="256">
        <f t="shared" ref="BP19:BP26" si="10">IF(ISNUMBER(BO19),BO19,AVERAGEIF(BM19:BN19,"&lt;&gt;0"))</f>
        <v>99.905000000000001</v>
      </c>
      <c r="BT19" s="285" t="s">
        <v>12</v>
      </c>
      <c r="BU19" s="188">
        <v>24.333333333333332</v>
      </c>
      <c r="BV19" s="188">
        <v>3.6249999999999996</v>
      </c>
      <c r="BW19" s="188">
        <v>5.75</v>
      </c>
      <c r="BX19" s="188">
        <v>22.541666666666668</v>
      </c>
    </row>
    <row r="20" spans="5:101">
      <c r="F20" s="547" t="str">
        <f>_xll.qFuturesDateToCode(_xll.qFuturesCodeToDate(F19,Today)+92)</f>
        <v>U2</v>
      </c>
      <c r="G20" s="573" t="str">
        <v>/EDU2</v>
      </c>
      <c r="L20" s="574">
        <v>41169</v>
      </c>
      <c r="M20" s="581">
        <v>99.149999999999991</v>
      </c>
      <c r="N20" s="581">
        <v>99.154999999999987</v>
      </c>
      <c r="O20" s="581">
        <v>99.134999999999991</v>
      </c>
      <c r="Q20" s="574">
        <v>41169</v>
      </c>
      <c r="R20" s="580">
        <v>99.149999999999991</v>
      </c>
      <c r="S20" s="580">
        <v>99.154999999999987</v>
      </c>
      <c r="T20" s="580">
        <v>99.134999999999991</v>
      </c>
      <c r="W20" s="251" t="str">
        <v>Z2</v>
      </c>
      <c r="AC20" s="266">
        <f t="array" ref="AC20:AD20">IF(AND(R21&lt;&gt;0,S21&lt;&gt;0),R21:S21,AF19+T21-T20)</f>
        <v>98.894999999999996</v>
      </c>
      <c r="AD20" s="266">
        <v>98.9</v>
      </c>
      <c r="AE20" s="135"/>
      <c r="AF20" s="248">
        <f t="shared" si="5"/>
        <v>98.897500000000008</v>
      </c>
      <c r="AH20" s="136"/>
      <c r="AI20" s="251" t="str">
        <f t="shared" si="6"/>
        <v>Z2</v>
      </c>
      <c r="AJ20" s="549"/>
      <c r="AO20" s="259"/>
      <c r="AP20" s="278">
        <f>IF(ISNUMBER(AO20),AO20,_xll.qFuturesConvexityAdjustment(AF20,Today,Q21,CW28,"Eurodollar"))</f>
        <v>0.94845852264195951</v>
      </c>
      <c r="AQ20" s="248">
        <f t="shared" si="7"/>
        <v>1.102499999999992</v>
      </c>
      <c r="AR20" s="248">
        <f t="shared" si="8"/>
        <v>1.0930154147735724</v>
      </c>
      <c r="AT20" s="136"/>
      <c r="AU20" s="251" t="s">
        <v>191</v>
      </c>
      <c r="AV20" s="549"/>
      <c r="AW20" s="595" t="str">
        <v>USD3X1S=ICAP</v>
      </c>
      <c r="AX20" s="549"/>
      <c r="AY20" s="595" t="s">
        <v>44</v>
      </c>
      <c r="AZ20" s="549"/>
      <c r="BA20" s="254">
        <v>0.186</v>
      </c>
      <c r="BB20" s="254">
        <v>0.23600000000000002</v>
      </c>
      <c r="BC20" s="259"/>
      <c r="BD20" s="247">
        <f t="shared" si="9"/>
        <v>0.21100000000000002</v>
      </c>
      <c r="BF20" s="136"/>
      <c r="BG20" s="549"/>
      <c r="BH20" s="549"/>
      <c r="BI20" s="549"/>
      <c r="BJ20" s="549"/>
      <c r="BK20" s="549"/>
      <c r="BL20" s="251" t="str">
        <v>Aug</v>
      </c>
      <c r="BM20" s="255">
        <f t="array" ref="BM20:BN20">IF(AND(R30&lt;&gt;0,S30&lt;&gt;0),R30:S30,T30-T29+BP19)</f>
        <v>99.88</v>
      </c>
      <c r="BN20" s="255">
        <v>99.884999999999991</v>
      </c>
      <c r="BO20" s="259"/>
      <c r="BP20" s="256">
        <f t="shared" si="10"/>
        <v>99.882499999999993</v>
      </c>
      <c r="BT20" s="285" t="s">
        <v>13</v>
      </c>
      <c r="BU20" s="188">
        <v>23.666666666666668</v>
      </c>
      <c r="BV20" s="188">
        <v>3.3749999999999996</v>
      </c>
      <c r="BW20" s="188">
        <v>5.6250000000000009</v>
      </c>
      <c r="BX20" s="188">
        <v>21.583333333333332</v>
      </c>
    </row>
    <row r="21" spans="5:101">
      <c r="F21" s="547" t="str">
        <f>_xll.qFuturesDateToCode(_xll.qFuturesCodeToDate(F20,Today)+92)</f>
        <v>Z2</v>
      </c>
      <c r="G21" s="573" t="str">
        <v>/EDZ2</v>
      </c>
      <c r="L21" s="574">
        <v>41260</v>
      </c>
      <c r="M21" s="581">
        <v>98.894999999999996</v>
      </c>
      <c r="N21" s="581">
        <v>98.9</v>
      </c>
      <c r="O21" s="581">
        <v>98.874999999999986</v>
      </c>
      <c r="Q21" s="574">
        <v>41260</v>
      </c>
      <c r="R21" s="580">
        <v>98.894999999999996</v>
      </c>
      <c r="S21" s="580">
        <v>98.9</v>
      </c>
      <c r="T21" s="580">
        <v>98.874999999999986</v>
      </c>
      <c r="W21" s="251" t="str">
        <v>H3</v>
      </c>
      <c r="AC21" s="266">
        <f t="array" ref="AC21:AD21">IF(AND(R22&lt;&gt;0,S22&lt;&gt;0),R22:S22,AF20+T22-T21)</f>
        <v>98.644999999999996</v>
      </c>
      <c r="AD21" s="266">
        <v>98.649999999999991</v>
      </c>
      <c r="AE21" s="135"/>
      <c r="AF21" s="248">
        <f t="shared" si="5"/>
        <v>98.647499999999994</v>
      </c>
      <c r="AH21" s="136"/>
      <c r="AI21" s="251" t="str">
        <f t="shared" si="6"/>
        <v>H3</v>
      </c>
      <c r="AJ21" s="549"/>
      <c r="AO21" s="259"/>
      <c r="AP21" s="278">
        <f>IF(ISNUMBER(AO21),AO21,_xll.qFuturesConvexityAdjustment(AF21,Today,Q22,CW29,"Eurodollar"))</f>
        <v>1.5451429393380955</v>
      </c>
      <c r="AQ21" s="248">
        <f t="shared" si="7"/>
        <v>1.3525000000000063</v>
      </c>
      <c r="AR21" s="248">
        <f t="shared" si="8"/>
        <v>1.3370485706066253</v>
      </c>
      <c r="AT21" s="136"/>
      <c r="AU21" s="251" t="s">
        <v>192</v>
      </c>
      <c r="AV21" s="549"/>
      <c r="AW21" s="595" t="str">
        <v>USD4X1S=ICAP</v>
      </c>
      <c r="AX21" s="549"/>
      <c r="AY21" s="549"/>
      <c r="AZ21" s="549"/>
      <c r="BA21" s="254">
        <v>0.20200000000000001</v>
      </c>
      <c r="BB21" s="254">
        <v>0.252</v>
      </c>
      <c r="BC21" s="259"/>
      <c r="BD21" s="247">
        <f t="shared" si="9"/>
        <v>0.22700000000000001</v>
      </c>
      <c r="BF21" s="136"/>
      <c r="BG21" s="549"/>
      <c r="BH21" s="549"/>
      <c r="BI21" s="549"/>
      <c r="BJ21" s="549"/>
      <c r="BK21" s="549"/>
      <c r="BL21" s="251" t="str">
        <v>Sep</v>
      </c>
      <c r="BM21" s="255">
        <f t="array" ref="BM21:BN21">IF(AND(R31&lt;&gt;0,S31&lt;&gt;0),R31:S31,T31-T30+BP20)</f>
        <v>99.86</v>
      </c>
      <c r="BN21" s="255">
        <v>99.86999999999999</v>
      </c>
      <c r="BO21" s="259"/>
      <c r="BP21" s="256">
        <f t="shared" si="10"/>
        <v>99.864999999999995</v>
      </c>
      <c r="BT21" s="285" t="s">
        <v>14</v>
      </c>
      <c r="BU21" s="188">
        <v>23</v>
      </c>
      <c r="BV21" s="188">
        <v>3.1249999999999996</v>
      </c>
      <c r="BW21" s="188">
        <v>5.5</v>
      </c>
      <c r="BX21" s="188">
        <v>20.625</v>
      </c>
      <c r="CJ21" s="187" t="s">
        <v>812</v>
      </c>
      <c r="CT21" s="604"/>
      <c r="CU21" s="812"/>
      <c r="CV21" s="812"/>
      <c r="CW21" s="811" t="str">
        <f>AD14</f>
        <v>DELAYED</v>
      </c>
    </row>
    <row r="22" spans="5:101">
      <c r="F22" s="547" t="str">
        <f>_xll.qFuturesDateToCode(_xll.qFuturesCodeToDate(F21,Today)+92)</f>
        <v>H3</v>
      </c>
      <c r="G22" s="573" t="str">
        <v>/EDH3</v>
      </c>
      <c r="L22" s="574">
        <v>41351</v>
      </c>
      <c r="M22" s="581">
        <v>98.644999999999996</v>
      </c>
      <c r="N22" s="581">
        <v>98.649999999999991</v>
      </c>
      <c r="O22" s="581">
        <v>98.61999999999999</v>
      </c>
      <c r="Q22" s="574">
        <v>41351</v>
      </c>
      <c r="R22" s="580">
        <v>98.644999999999996</v>
      </c>
      <c r="S22" s="580">
        <v>98.649999999999991</v>
      </c>
      <c r="T22" s="580">
        <v>98.61999999999999</v>
      </c>
      <c r="W22" s="251" t="str">
        <v>M3</v>
      </c>
      <c r="AC22" s="266">
        <f t="array" ref="AC22:AD22">IF(AND(R23&lt;&gt;0,S23&lt;&gt;0),R23:S23,AF21+T23-T22)</f>
        <v>98.38</v>
      </c>
      <c r="AD22" s="266">
        <v>98.384999999999991</v>
      </c>
      <c r="AE22" s="135"/>
      <c r="AF22" s="248">
        <f t="shared" si="5"/>
        <v>98.382499999999993</v>
      </c>
      <c r="AH22" s="136"/>
      <c r="AI22" s="251" t="str">
        <f t="shared" si="6"/>
        <v>M3</v>
      </c>
      <c r="AJ22" s="549"/>
      <c r="AO22" s="259"/>
      <c r="AP22" s="278">
        <f>IF(ISNUMBER(AO22),AO22,_xll.qFuturesConvexityAdjustment(AF22,Today,Q23,CW30,"Eurodollar"))</f>
        <v>2.4380799076681781</v>
      </c>
      <c r="AQ22" s="248">
        <f t="shared" si="7"/>
        <v>1.6175000000000068</v>
      </c>
      <c r="AR22" s="248">
        <f t="shared" si="8"/>
        <v>1.593119200923325</v>
      </c>
      <c r="AT22" s="136"/>
      <c r="AU22" s="251" t="s">
        <v>193</v>
      </c>
      <c r="AV22" s="549"/>
      <c r="AW22" s="595" t="str">
        <v>USD5X1S=ICAP</v>
      </c>
      <c r="AX22" s="549"/>
      <c r="AY22" s="549"/>
      <c r="AZ22" s="549"/>
      <c r="BA22" s="254">
        <v>0.21600000000000003</v>
      </c>
      <c r="BB22" s="254">
        <v>0.26600000000000001</v>
      </c>
      <c r="BC22" s="259"/>
      <c r="BD22" s="247">
        <f t="shared" si="9"/>
        <v>0.24100000000000002</v>
      </c>
      <c r="BF22" s="136"/>
      <c r="BG22" s="549"/>
      <c r="BH22" s="549"/>
      <c r="BI22" s="549"/>
      <c r="BJ22" s="549"/>
      <c r="BK22" s="549"/>
      <c r="BL22" s="251" t="str">
        <v>Oct</v>
      </c>
      <c r="BM22" s="255">
        <f t="array" ref="BM22:BN22">IF(AND(R32&lt;&gt;0,S32&lt;&gt;0),R32:S32,T32-T31+BP21)</f>
        <v>99.85</v>
      </c>
      <c r="BN22" s="255">
        <v>99.85499999999999</v>
      </c>
      <c r="BO22" s="259"/>
      <c r="BP22" s="256">
        <f t="shared" si="10"/>
        <v>99.852499999999992</v>
      </c>
      <c r="BT22" s="285" t="s">
        <v>199</v>
      </c>
      <c r="BU22" s="188">
        <v>22.5</v>
      </c>
      <c r="BV22" s="188">
        <v>2.9749999999999996</v>
      </c>
      <c r="BW22" s="188">
        <v>5.375</v>
      </c>
      <c r="BX22" s="188">
        <v>19.9375</v>
      </c>
      <c r="CJ22" s="187"/>
      <c r="CL22" s="547" t="str">
        <f ca="1">_xll.RtUpdate(IF(Q6="DELAYED","dIDN_SELECTFEED","IDN"),CL23:CL34,CO23,CQ23,,RTMODE_VOLS)</f>
        <v>Updated at 10:13:27</v>
      </c>
      <c r="CM22" s="547" t="str">
        <f ca="1">_xll.RtUpdate(IF(Q6="DELAYED","dIDN_SELECTFEED","IDN"),CM23:CM34,CO23,CR23,,RTMODE_VOLS)</f>
        <v>Updated at 10:13:27</v>
      </c>
      <c r="CO22" s="601" t="s">
        <v>251</v>
      </c>
      <c r="CT22" s="604" t="s">
        <v>207</v>
      </c>
      <c r="CU22" s="781" t="s">
        <v>817</v>
      </c>
      <c r="CV22" s="604" t="s">
        <v>209</v>
      </c>
      <c r="CW22" s="282" t="s">
        <v>814</v>
      </c>
    </row>
    <row r="23" spans="5:101">
      <c r="F23" s="547" t="str">
        <f>_xll.qFuturesDateToCode(_xll.qFuturesCodeToDate(F22,Today)+92)</f>
        <v>M3</v>
      </c>
      <c r="G23" s="573" t="str">
        <v>/EDM3</v>
      </c>
      <c r="L23" s="574">
        <v>41442</v>
      </c>
      <c r="M23" s="581">
        <v>98.38</v>
      </c>
      <c r="N23" s="581">
        <v>98.384999999999991</v>
      </c>
      <c r="O23" s="581">
        <v>98.35</v>
      </c>
      <c r="Q23" s="574">
        <v>41442</v>
      </c>
      <c r="R23" s="580">
        <v>98.38</v>
      </c>
      <c r="S23" s="580">
        <v>98.384999999999991</v>
      </c>
      <c r="T23" s="580">
        <v>98.35</v>
      </c>
      <c r="W23" s="251" t="str">
        <v>U3</v>
      </c>
      <c r="AC23" s="266">
        <f t="array" ref="AC23:AD23">IF(AND(R24&lt;&gt;0,S24&lt;&gt;0),R24:S24,AF22+T24-T23)</f>
        <v>98.11999999999999</v>
      </c>
      <c r="AD23" s="266">
        <v>98.124999999999986</v>
      </c>
      <c r="AE23" s="135"/>
      <c r="AF23" s="248">
        <f t="shared" ref="AF23:AF26" si="11">IF(ISNUMBER(AE23),AE23,AVERAGE(AC23:AD23))</f>
        <v>98.122499999999988</v>
      </c>
      <c r="AH23" s="136"/>
      <c r="AI23" s="251" t="str">
        <f t="shared" ref="AI23:AI26" si="12">W23</f>
        <v>U3</v>
      </c>
      <c r="AJ23" s="549"/>
      <c r="AO23" s="259"/>
      <c r="AP23" s="278">
        <f>IF(ISNUMBER(AO23),AO23,_xll.qFuturesConvexityAdjustment(AF23,Today,Q24,CW31,"Eurodollar"))</f>
        <v>3.0084573766582245</v>
      </c>
      <c r="AQ23" s="248">
        <f t="shared" si="7"/>
        <v>1.8775000000000119</v>
      </c>
      <c r="AR23" s="248">
        <f t="shared" si="8"/>
        <v>1.8474154262334297</v>
      </c>
      <c r="AT23" s="136"/>
      <c r="AU23" s="251" t="s">
        <v>194</v>
      </c>
      <c r="AV23" s="549"/>
      <c r="AW23" s="595" t="str">
        <v>USD6X1S=ICAP</v>
      </c>
      <c r="AX23" s="549"/>
      <c r="AY23" s="549"/>
      <c r="AZ23" s="549"/>
      <c r="BA23" s="254">
        <v>0.23800000000000002</v>
      </c>
      <c r="BB23" s="254">
        <v>0.28800000000000003</v>
      </c>
      <c r="BC23" s="259"/>
      <c r="BD23" s="247">
        <f t="shared" si="9"/>
        <v>0.26300000000000001</v>
      </c>
      <c r="BF23" s="136"/>
      <c r="BG23" s="549"/>
      <c r="BH23" s="549"/>
      <c r="BI23" s="549"/>
      <c r="BJ23" s="549"/>
      <c r="BK23" s="549"/>
      <c r="BL23" s="251" t="str">
        <v>Nov</v>
      </c>
      <c r="BM23" s="255">
        <f t="array" ref="BM23:BN23">IF(AND(R33&lt;&gt;0,S33&lt;&gt;0),R33:S33,T33-T32+BP22)</f>
        <v>99.834999999999994</v>
      </c>
      <c r="BN23" s="255">
        <v>99.84</v>
      </c>
      <c r="BO23" s="259"/>
      <c r="BP23" s="256">
        <f t="shared" si="10"/>
        <v>99.837500000000006</v>
      </c>
      <c r="BT23" s="285" t="s">
        <v>15</v>
      </c>
      <c r="BU23" s="188">
        <v>22</v>
      </c>
      <c r="BV23" s="188">
        <v>2.8249999999999997</v>
      </c>
      <c r="BW23" s="188">
        <v>5.25</v>
      </c>
      <c r="BX23" s="188">
        <v>19.25</v>
      </c>
      <c r="CJ23" s="780" t="str">
        <f t="array" ref="CJ23:CJ34">W15:W26</f>
        <v>U1</v>
      </c>
      <c r="CL23" s="573" t="str">
        <f t="shared" ref="CL23:CL34" si="13">"ED"&amp;SUBSTITUTE(CT23,".","")&amp;uFuturesCodeETO("Call",Q16)&amp;RIGHT(CJ23,1)</f>
        <v>ED99625I1</v>
      </c>
      <c r="CM23" s="573" t="str">
        <f t="shared" ref="CM23:CM34" si="14">"ED"&amp;SUBSTITUTE(CT23,".","")&amp;uFuturesCodeETO("Put",Q16)&amp;RIGHT(CJ23,1)</f>
        <v>ED99625U1</v>
      </c>
      <c r="CO23" s="778" t="s">
        <v>121</v>
      </c>
      <c r="CQ23" s="279">
        <v>107.82</v>
      </c>
      <c r="CR23" s="279">
        <v>107.79</v>
      </c>
      <c r="CS23" s="547" t="s">
        <v>78</v>
      </c>
      <c r="CT23" s="128">
        <f t="shared" ref="CT23:CT34" si="15">ROUND(T16/0.125,0)*0.125</f>
        <v>99.625</v>
      </c>
      <c r="CU23" s="254">
        <f t="shared" ref="CU23:CU34" si="16">AVERAGEIF(CQ23:CR23,"&lt;&gt;0")</f>
        <v>107.80500000000001</v>
      </c>
      <c r="CV23" s="259"/>
      <c r="CW23" s="256">
        <f>IF(ISNUMBER(CV23),CV23,    IF(ISERROR(1/CU23),CW24,     CU23*(100-AF15)%))</f>
        <v>0.37462237500001166</v>
      </c>
    </row>
    <row r="24" spans="5:101">
      <c r="F24" s="547" t="str">
        <f>_xll.qFuturesDateToCode(_xll.qFuturesCodeToDate(F23,Today)+92)</f>
        <v>U3</v>
      </c>
      <c r="G24" s="573" t="str">
        <v>/EDU3</v>
      </c>
      <c r="L24" s="574">
        <v>41533</v>
      </c>
      <c r="M24" s="581">
        <v>98.11999999999999</v>
      </c>
      <c r="N24" s="581">
        <v>98.124999999999986</v>
      </c>
      <c r="O24" s="581">
        <v>98.084999999999994</v>
      </c>
      <c r="Q24" s="574">
        <v>41533</v>
      </c>
      <c r="R24" s="580">
        <v>98.11999999999999</v>
      </c>
      <c r="S24" s="580">
        <v>98.124999999999986</v>
      </c>
      <c r="T24" s="580">
        <v>98.084999999999994</v>
      </c>
      <c r="W24" s="251" t="str">
        <v>Z3</v>
      </c>
      <c r="AC24" s="266">
        <f t="array" ref="AC24:AD24">IF(AND(R25&lt;&gt;0,S25&lt;&gt;0),R25:S25,AF23+T25-T24)</f>
        <v>97.85</v>
      </c>
      <c r="AD24" s="266">
        <v>97.85499999999999</v>
      </c>
      <c r="AE24" s="135"/>
      <c r="AF24" s="248">
        <f t="shared" si="11"/>
        <v>97.852499999999992</v>
      </c>
      <c r="AH24" s="136"/>
      <c r="AI24" s="251" t="str">
        <f t="shared" si="12"/>
        <v>Z3</v>
      </c>
      <c r="AJ24" s="549"/>
      <c r="AO24" s="259"/>
      <c r="AP24" s="278">
        <f>IF(ISNUMBER(AO24),AO24,_xll.qFuturesConvexityAdjustment(AF24,Today,Q25,CW32,"Eurodollar"))</f>
        <v>3.633608928070009</v>
      </c>
      <c r="AQ24" s="248">
        <f t="shared" si="7"/>
        <v>2.147500000000008</v>
      </c>
      <c r="AR24" s="248">
        <f t="shared" si="8"/>
        <v>2.1111639107193079</v>
      </c>
      <c r="AT24" s="136"/>
      <c r="AU24" s="251" t="s">
        <v>195</v>
      </c>
      <c r="AV24" s="549"/>
      <c r="AW24" s="595" t="str">
        <v>USD7X1S=ICAP</v>
      </c>
      <c r="AX24" s="549"/>
      <c r="AY24" s="549"/>
      <c r="AZ24" s="549"/>
      <c r="BA24" s="254">
        <v>0.24800000000000003</v>
      </c>
      <c r="BB24" s="254">
        <v>0.29800000000000004</v>
      </c>
      <c r="BC24" s="259"/>
      <c r="BD24" s="247">
        <f t="shared" si="9"/>
        <v>0.27300000000000002</v>
      </c>
      <c r="BF24" s="136"/>
      <c r="BG24" s="549"/>
      <c r="BH24" s="549"/>
      <c r="BI24" s="549"/>
      <c r="BJ24" s="549"/>
      <c r="BK24" s="549"/>
      <c r="BL24" s="251" t="str">
        <v>Dec</v>
      </c>
      <c r="BM24" s="255">
        <f t="array" ref="BM24:BN24">IF(AND(R34&lt;&gt;0,S34&lt;&gt;0),R34:S34,T34-T33+BP23)</f>
        <v>99.82</v>
      </c>
      <c r="BN24" s="255">
        <v>99.824999999999989</v>
      </c>
      <c r="BO24" s="259"/>
      <c r="BP24" s="256">
        <f t="shared" si="10"/>
        <v>99.822499999999991</v>
      </c>
      <c r="BT24" s="285" t="s">
        <v>225</v>
      </c>
      <c r="BU24" s="188">
        <v>21.5</v>
      </c>
      <c r="BV24" s="188">
        <v>2.6749999999999998</v>
      </c>
      <c r="BW24" s="188">
        <v>5.208333333333333</v>
      </c>
      <c r="BX24" s="188">
        <v>18.666666666666668</v>
      </c>
      <c r="CJ24" s="780" t="str">
        <v>Z1</v>
      </c>
      <c r="CL24" s="573" t="str">
        <f t="shared" si="13"/>
        <v>ED99625L1</v>
      </c>
      <c r="CM24" s="573" t="str">
        <f t="shared" si="14"/>
        <v>ED99625X1</v>
      </c>
      <c r="CQ24" s="279">
        <v>87.940000000000012</v>
      </c>
      <c r="CR24" s="279">
        <v>88</v>
      </c>
      <c r="CS24" s="547" t="s">
        <v>78</v>
      </c>
      <c r="CT24" s="128">
        <f t="shared" si="15"/>
        <v>99.625</v>
      </c>
      <c r="CU24" s="254">
        <f t="shared" si="16"/>
        <v>87.97</v>
      </c>
      <c r="CV24" s="259"/>
      <c r="CW24" s="256">
        <f>IF(ISNUMBER(CV24),CV24,    IF(ISERROR(1/CU24),CW25,     CU24*(100-AF16)%))</f>
        <v>0.38047025000000401</v>
      </c>
    </row>
    <row r="25" spans="5:101">
      <c r="F25" s="547" t="str">
        <f>_xll.qFuturesDateToCode(_xll.qFuturesCodeToDate(F24,Today)+92)</f>
        <v>Z3</v>
      </c>
      <c r="G25" s="573" t="str">
        <v>/EDZ3</v>
      </c>
      <c r="L25" s="574">
        <v>41624</v>
      </c>
      <c r="M25" s="581">
        <v>97.85</v>
      </c>
      <c r="N25" s="581">
        <v>97.85499999999999</v>
      </c>
      <c r="O25" s="581">
        <v>97.814999999999998</v>
      </c>
      <c r="Q25" s="574">
        <v>41624</v>
      </c>
      <c r="R25" s="580">
        <v>97.85</v>
      </c>
      <c r="S25" s="580">
        <v>97.85499999999999</v>
      </c>
      <c r="T25" s="580">
        <v>97.814999999999998</v>
      </c>
      <c r="W25" s="251" t="str">
        <v>H4</v>
      </c>
      <c r="AC25" s="266">
        <f t="array" ref="AC25:AD25">IF(AND(R26&lt;&gt;0,S26&lt;&gt;0),R26:S26,AF24+T26-T25)</f>
        <v>97.59</v>
      </c>
      <c r="AD25" s="266">
        <v>97.594999999999999</v>
      </c>
      <c r="AE25" s="135"/>
      <c r="AF25" s="248">
        <f t="shared" si="11"/>
        <v>97.592500000000001</v>
      </c>
      <c r="AH25" s="136"/>
      <c r="AI25" s="251" t="str">
        <f t="shared" si="12"/>
        <v>H4</v>
      </c>
      <c r="AJ25" s="549"/>
      <c r="AO25" s="259"/>
      <c r="AP25" s="278">
        <f>IF(ISNUMBER(AO25),AO25,_xll.qFuturesConvexityAdjustment(AF25,Today,Q26,CW33,"Eurodollar"))</f>
        <v>4.3122058523402007</v>
      </c>
      <c r="AQ25" s="248">
        <f t="shared" si="7"/>
        <v>2.4074999999999989</v>
      </c>
      <c r="AR25" s="248">
        <f t="shared" si="8"/>
        <v>2.3643779414765969</v>
      </c>
      <c r="AT25" s="136"/>
      <c r="AU25" s="251" t="s">
        <v>196</v>
      </c>
      <c r="AV25" s="549"/>
      <c r="AW25" s="595" t="str">
        <v>USD8X1S=ICAP</v>
      </c>
      <c r="AX25" s="549"/>
      <c r="AY25" s="549"/>
      <c r="AZ25" s="549"/>
      <c r="BA25" s="254">
        <v>0.26100000000000001</v>
      </c>
      <c r="BB25" s="254">
        <v>0.311</v>
      </c>
      <c r="BC25" s="259"/>
      <c r="BD25" s="247">
        <f t="shared" ref="BD25:BD26" si="17">IF(ISNUMBER(BC25),BC25,AVERAGE(BA25:BB25))</f>
        <v>0.28600000000000003</v>
      </c>
      <c r="BF25" s="136"/>
      <c r="BG25" s="549"/>
      <c r="BH25" s="549"/>
      <c r="BI25" s="549"/>
      <c r="BJ25" s="549"/>
      <c r="BK25" s="549"/>
      <c r="BL25" s="251" t="str">
        <v>Jan</v>
      </c>
      <c r="BM25" s="255">
        <f t="array" ref="BM25:BN25">IF(AND(R35&lt;&gt;0,S35&lt;&gt;0),R35:S35,T35-T34+BP24)</f>
        <v>99.81</v>
      </c>
      <c r="BN25" s="255">
        <v>99.814999999999998</v>
      </c>
      <c r="BO25" s="259"/>
      <c r="BP25" s="256">
        <f t="shared" si="10"/>
        <v>99.8125</v>
      </c>
      <c r="BT25" s="285" t="s">
        <v>226</v>
      </c>
      <c r="BU25" s="188">
        <v>21.000000000000004</v>
      </c>
      <c r="BV25" s="188">
        <v>2.5249999999999999</v>
      </c>
      <c r="BW25" s="188">
        <v>5.1666666666666661</v>
      </c>
      <c r="BX25" s="188">
        <v>18.083333333333336</v>
      </c>
      <c r="CJ25" s="780" t="str">
        <v>H2</v>
      </c>
      <c r="CL25" s="573" t="str">
        <f t="shared" si="13"/>
        <v>ED995C2</v>
      </c>
      <c r="CM25" s="573" t="str">
        <f t="shared" si="14"/>
        <v>ED995O2</v>
      </c>
      <c r="CQ25" s="279">
        <v>88.72</v>
      </c>
      <c r="CR25" s="279">
        <v>88.73</v>
      </c>
      <c r="CS25" s="547" t="s">
        <v>78</v>
      </c>
      <c r="CT25" s="128">
        <f t="shared" si="15"/>
        <v>99.5</v>
      </c>
      <c r="CU25" s="254">
        <f t="shared" si="16"/>
        <v>88.724999999999994</v>
      </c>
      <c r="CV25" s="259"/>
      <c r="CW25" s="256">
        <f>IF(ISNUMBER(CV25),CV25,    IF(ISERROR(1/CU25),CW26,     CU25*(100-AF17)%))</f>
        <v>0.45027937499999393</v>
      </c>
    </row>
    <row r="26" spans="5:101">
      <c r="F26" s="547" t="str">
        <f>_xll.qFuturesDateToCode(_xll.qFuturesCodeToDate(F25,Today)+92)</f>
        <v>H4</v>
      </c>
      <c r="G26" s="573" t="str">
        <v>/EDH4</v>
      </c>
      <c r="L26" s="574">
        <v>41715</v>
      </c>
      <c r="M26" s="581">
        <v>97.59</v>
      </c>
      <c r="N26" s="581">
        <v>97.594999999999999</v>
      </c>
      <c r="O26" s="581">
        <v>97.56</v>
      </c>
      <c r="Q26" s="574">
        <v>41715</v>
      </c>
      <c r="R26" s="580">
        <v>97.59</v>
      </c>
      <c r="S26" s="580">
        <v>97.594999999999999</v>
      </c>
      <c r="T26" s="580">
        <v>97.56</v>
      </c>
      <c r="W26" s="251" t="str">
        <v>M4</v>
      </c>
      <c r="AC26" s="266">
        <f t="array" ref="AC26:AD26">IF(AND(R27&lt;&gt;0,S27&lt;&gt;0),R27:S27,AF25+T27-T26)</f>
        <v>97.33</v>
      </c>
      <c r="AD26" s="266">
        <v>97.334999999999994</v>
      </c>
      <c r="AE26" s="135"/>
      <c r="AF26" s="248">
        <f t="shared" si="11"/>
        <v>97.332499999999996</v>
      </c>
      <c r="AH26" s="136"/>
      <c r="AI26" s="251" t="str">
        <f t="shared" si="12"/>
        <v>M4</v>
      </c>
      <c r="AJ26" s="549"/>
      <c r="AO26" s="259"/>
      <c r="AP26" s="278">
        <f>IF(ISNUMBER(AO26),AO26,_xll.qFuturesConvexityAdjustment(AF26,Today,Q27,CW34,"Eurodollar"))</f>
        <v>5.0431770600700254</v>
      </c>
      <c r="AQ26" s="248">
        <f t="shared" si="7"/>
        <v>2.667500000000004</v>
      </c>
      <c r="AR26" s="248">
        <f t="shared" si="8"/>
        <v>2.6170682293993037</v>
      </c>
      <c r="AT26" s="136"/>
      <c r="AU26" s="251" t="s">
        <v>197</v>
      </c>
      <c r="AV26" s="549"/>
      <c r="AW26" s="595" t="str">
        <v>USD9X1S=ICAP</v>
      </c>
      <c r="AX26" s="549"/>
      <c r="AZ26" s="549"/>
      <c r="BA26" s="254">
        <v>0.27600000000000002</v>
      </c>
      <c r="BB26" s="254">
        <v>0.32600000000000001</v>
      </c>
      <c r="BC26" s="259"/>
      <c r="BD26" s="247">
        <f t="shared" si="17"/>
        <v>0.30100000000000005</v>
      </c>
      <c r="BF26" s="136"/>
      <c r="BG26" s="549"/>
      <c r="BH26" s="549"/>
      <c r="BI26" s="549"/>
      <c r="BJ26" s="549"/>
      <c r="BK26" s="549"/>
      <c r="BL26" s="251" t="str">
        <v>Feb</v>
      </c>
      <c r="BM26" s="255">
        <f t="array" ref="BM26:BN26">IF(AND(R36&lt;&gt;0,S36&lt;&gt;0),R36:S36,T36-T35+BP25)</f>
        <v>99.78</v>
      </c>
      <c r="BN26" s="255">
        <v>99.784999999999997</v>
      </c>
      <c r="BO26" s="259"/>
      <c r="BP26" s="256">
        <f t="shared" si="10"/>
        <v>99.782499999999999</v>
      </c>
      <c r="BT26" s="285" t="s">
        <v>16</v>
      </c>
      <c r="BU26" s="188">
        <v>20.5</v>
      </c>
      <c r="BV26" s="188">
        <v>2.375</v>
      </c>
      <c r="BW26" s="188">
        <v>5.1249999999999991</v>
      </c>
      <c r="BX26" s="188">
        <v>17.5</v>
      </c>
      <c r="CJ26" s="780" t="str">
        <v>M2</v>
      </c>
      <c r="CL26" s="573" t="str">
        <f t="shared" si="13"/>
        <v>ED99375F2</v>
      </c>
      <c r="CM26" s="573" t="str">
        <f t="shared" si="14"/>
        <v>ED99375R2</v>
      </c>
      <c r="CQ26" s="279">
        <v>86.8</v>
      </c>
      <c r="CR26" s="279">
        <v>86.83</v>
      </c>
      <c r="CS26" s="547" t="s">
        <v>78</v>
      </c>
      <c r="CT26" s="128">
        <f t="shared" si="15"/>
        <v>99.375</v>
      </c>
      <c r="CU26" s="254">
        <f t="shared" si="16"/>
        <v>86.814999999999998</v>
      </c>
      <c r="CV26" s="259"/>
      <c r="CW26" s="256">
        <f>IF(ISNUMBER(CV26),CV26,    IF(ISERROR(1/CU26),CW27,     CU26*(100-AF18)%))</f>
        <v>0.55778637500001083</v>
      </c>
    </row>
    <row r="27" spans="5:101">
      <c r="F27" s="547" t="str">
        <f>_xll.qFuturesDateToCode(_xll.qFuturesCodeToDate(F26,Today)+92)</f>
        <v>M4</v>
      </c>
      <c r="G27" s="573" t="str">
        <v>/EDM4</v>
      </c>
      <c r="L27" s="574">
        <v>41806</v>
      </c>
      <c r="M27" s="581">
        <v>97.33</v>
      </c>
      <c r="N27" s="581">
        <v>97.334999999999994</v>
      </c>
      <c r="O27" s="581">
        <v>97.3</v>
      </c>
      <c r="Q27" s="574">
        <v>41806</v>
      </c>
      <c r="R27" s="580">
        <v>97.33</v>
      </c>
      <c r="S27" s="580">
        <v>97.334999999999994</v>
      </c>
      <c r="T27" s="580">
        <v>97.3</v>
      </c>
      <c r="AH27" s="136"/>
      <c r="AJ27" s="549"/>
      <c r="AT27" s="136"/>
      <c r="AV27" s="549"/>
      <c r="AW27" s="549"/>
      <c r="AX27" s="549"/>
      <c r="AY27" s="549"/>
      <c r="AZ27" s="549"/>
      <c r="BF27" s="136"/>
      <c r="BG27" s="549"/>
      <c r="BH27" s="549"/>
      <c r="BI27" s="549"/>
      <c r="BJ27" s="549"/>
      <c r="BK27" s="549"/>
      <c r="BT27" s="285" t="s">
        <v>17</v>
      </c>
      <c r="BU27" s="188">
        <v>18.88</v>
      </c>
      <c r="BV27" s="188">
        <v>2</v>
      </c>
      <c r="BW27" s="188">
        <v>4.88</v>
      </c>
      <c r="BX27" s="188">
        <v>15.375</v>
      </c>
      <c r="CJ27" s="780" t="str">
        <v>U2</v>
      </c>
      <c r="CL27" s="573" t="str">
        <f t="shared" si="13"/>
        <v>ED99125I2</v>
      </c>
      <c r="CM27" s="573" t="str">
        <f t="shared" si="14"/>
        <v>ED99125U2</v>
      </c>
      <c r="CQ27" s="279">
        <v>83.64</v>
      </c>
      <c r="CR27" s="279">
        <v>83.63</v>
      </c>
      <c r="CS27" s="547" t="s">
        <v>78</v>
      </c>
      <c r="CT27" s="128">
        <f t="shared" si="15"/>
        <v>99.125</v>
      </c>
      <c r="CU27" s="254">
        <f t="shared" si="16"/>
        <v>83.634999999999991</v>
      </c>
      <c r="CV27" s="259"/>
      <c r="CW27" s="256">
        <f t="shared" ref="CW27:CW34" si="18">IF(ISNUMBER(CV27),CV27,    IF(ISERROR(1/CU27),CW26,     CU27*(100-AF19)%))</f>
        <v>0.70880662500000891</v>
      </c>
    </row>
    <row r="28" spans="5:101">
      <c r="L28" s="578"/>
      <c r="M28" s="831"/>
      <c r="N28" s="831"/>
      <c r="O28" s="831"/>
      <c r="Q28" s="574"/>
      <c r="R28" s="580"/>
      <c r="S28" s="580"/>
      <c r="T28" s="580"/>
      <c r="W28" s="187" t="s">
        <v>534</v>
      </c>
      <c r="AA28" s="546" t="str">
        <f ca="1">_xll.RtUpdate("IDN",Y29:Y48,AA29:AA30,AC29,,RTMODE_RATES)</f>
        <v>Updated at 10:29:45</v>
      </c>
      <c r="AH28" s="136"/>
      <c r="AI28" s="187" t="s">
        <v>33</v>
      </c>
      <c r="AJ28" s="549"/>
      <c r="AM28" s="546" t="str">
        <f ca="1">_xll.RtUpdate("IDN",AK29:AK41,AM29:AM30,AO29,,RTMODE_RATES)</f>
        <v>Updated at 10:13:27</v>
      </c>
      <c r="AT28" s="136"/>
      <c r="AU28" s="187" t="s">
        <v>34</v>
      </c>
      <c r="AV28" s="549"/>
      <c r="AX28" s="549"/>
      <c r="AY28" s="544" t="str">
        <f ca="1">_xll.RtUpdate("IDN",AW29:AW41,AY29:AY30,BA29,,RTMODE_RATES)</f>
        <v>Updated at 10:13:27</v>
      </c>
      <c r="AZ28" s="549"/>
      <c r="BF28" s="136"/>
      <c r="BG28" s="549"/>
      <c r="BI28" s="549"/>
      <c r="BJ28" s="544" t="str">
        <f ca="1">_xll.RtUpdate("IDN",BH29:BH43,BJ29:BJ30,BM29,,RTMODE_RATES)</f>
        <v>Updated at 10:25:45</v>
      </c>
      <c r="BK28" s="549"/>
      <c r="BL28" s="187" t="s">
        <v>183</v>
      </c>
      <c r="BT28" s="285" t="s">
        <v>18</v>
      </c>
      <c r="BU28" s="188">
        <v>17.630000000000003</v>
      </c>
      <c r="BV28" s="188">
        <v>1.75</v>
      </c>
      <c r="BW28" s="188">
        <v>4.75</v>
      </c>
      <c r="BX28" s="188">
        <v>14.124999999999998</v>
      </c>
      <c r="CJ28" s="780" t="str">
        <v>Z2</v>
      </c>
      <c r="CL28" s="573" t="str">
        <f t="shared" si="13"/>
        <v>ED98875L2</v>
      </c>
      <c r="CM28" s="573" t="str">
        <f t="shared" si="14"/>
        <v>ED98875X2</v>
      </c>
      <c r="CQ28" s="279">
        <v>75.78</v>
      </c>
      <c r="CR28" s="279">
        <v>75.78</v>
      </c>
      <c r="CS28" s="547" t="s">
        <v>78</v>
      </c>
      <c r="CT28" s="128">
        <f t="shared" si="15"/>
        <v>98.875</v>
      </c>
      <c r="CU28" s="254">
        <f t="shared" si="16"/>
        <v>75.78</v>
      </c>
      <c r="CV28" s="259"/>
      <c r="CW28" s="256">
        <f t="shared" si="18"/>
        <v>0.83547449999999401</v>
      </c>
    </row>
    <row r="29" spans="5:101">
      <c r="E29" s="547" t="s">
        <v>521</v>
      </c>
      <c r="F29" s="547" t="str">
        <f>_xll.qFuturesDateToCode(IF(Q9="LIVE",L9,L10))</f>
        <v>N1</v>
      </c>
      <c r="G29" s="573" t="str">
        <f t="array" ref="G29:G36">IF(Q9="DELAYED","/","")  &amp;  "FF"  &amp;  F29:F36</f>
        <v>/FFN1</v>
      </c>
      <c r="I29" s="828" t="s">
        <v>45</v>
      </c>
      <c r="K29" s="547" t="str">
        <f ca="1">_xll.RtUpdate("IDN",G29:G36,I29:I32,L29,,RTMODE_RATES)</f>
        <v>Updated at 10:13:27</v>
      </c>
      <c r="L29" s="574">
        <v>40753</v>
      </c>
      <c r="M29" s="581">
        <v>99.905000000000001</v>
      </c>
      <c r="N29" s="581">
        <v>0</v>
      </c>
      <c r="O29" s="581">
        <v>99.905000000000001</v>
      </c>
      <c r="Q29" s="574">
        <v>40753</v>
      </c>
      <c r="R29" s="580">
        <v>99.905000000000001</v>
      </c>
      <c r="S29" s="580"/>
      <c r="T29" s="580">
        <v>99.905000000000001</v>
      </c>
      <c r="W29" s="251" t="s">
        <v>25</v>
      </c>
      <c r="Y29" s="573" t="str">
        <f t="shared" ref="Y29:Y38" si="19">"USDSB3L"&amp;W29&amp;"=RR"</f>
        <v>USDSB3L1Y=RR</v>
      </c>
      <c r="AA29" s="573" t="s">
        <v>44</v>
      </c>
      <c r="AC29" s="257">
        <v>0.40800000000000003</v>
      </c>
      <c r="AD29" s="257">
        <v>0.40100000000000002</v>
      </c>
      <c r="AE29" s="135"/>
      <c r="AF29" s="248">
        <f t="shared" ref="AF29:AF37" si="20">IF(ISNUMBER(AE29),AE29,AVERAGE(AC29:AD29))</f>
        <v>0.40450000000000003</v>
      </c>
      <c r="AH29" s="136"/>
      <c r="AI29" s="251" t="s">
        <v>5</v>
      </c>
      <c r="AJ29" s="549"/>
      <c r="AK29" s="573" t="str">
        <f t="array" ref="AK29:AK41">"USD3L6L"&amp;AI29:AI41&amp;"=PYNY"</f>
        <v>USD3L6L6M=PYNY</v>
      </c>
      <c r="AM29" s="573" t="s">
        <v>44</v>
      </c>
      <c r="AO29" s="254">
        <v>9.75</v>
      </c>
      <c r="AP29" s="254">
        <v>7.75</v>
      </c>
      <c r="AQ29" s="135"/>
      <c r="AR29" s="256">
        <f t="shared" ref="AR29" si="21">IF(ISNUMBER(AQ29),AQ29,AVERAGE(AO29:AP29))</f>
        <v>8.75</v>
      </c>
      <c r="AT29" s="136"/>
      <c r="AU29" s="251" t="s">
        <v>2</v>
      </c>
      <c r="AV29" s="549"/>
      <c r="AW29" s="595" t="str">
        <f t="array" ref="AW29:AW41">"USD1L3L"&amp;AU29:AU41&amp;"=PYNY"</f>
        <v>USD1L3L3M=PYNY</v>
      </c>
      <c r="AX29" s="549"/>
      <c r="AY29" s="595" t="s">
        <v>43</v>
      </c>
      <c r="AZ29" s="549"/>
      <c r="BA29" s="254">
        <v>2.3749999999999996</v>
      </c>
      <c r="BB29" s="254">
        <v>4.375</v>
      </c>
      <c r="BC29" s="259"/>
      <c r="BD29" s="247">
        <f t="shared" ref="BD29:BD30" si="22">IF(ISNUMBER(BC29),BC29,AVERAGE(BA29:BB29))</f>
        <v>3.375</v>
      </c>
      <c r="BF29" s="136"/>
      <c r="BG29" s="549"/>
      <c r="BH29" s="595" t="str">
        <f t="array" ref="BH29:BH43">"USDFF3L"&amp;BL29:BL43&amp;"=PYNY"</f>
        <v>USDFF3L3M=PYNY</v>
      </c>
      <c r="BI29" s="549"/>
      <c r="BJ29" s="595" t="s">
        <v>44</v>
      </c>
      <c r="BK29" s="549"/>
      <c r="BL29" s="251" t="s">
        <v>2</v>
      </c>
      <c r="BM29" s="254">
        <v>14.5</v>
      </c>
      <c r="BN29" s="254">
        <v>10.5</v>
      </c>
      <c r="BO29" s="259"/>
      <c r="BP29" s="256">
        <f t="shared" ref="BP29:BP43" si="23">IF(ISNUMBER(BO29),BO29,AVERAGE(BM29:BN29))</f>
        <v>12.5</v>
      </c>
      <c r="BT29" s="285" t="s">
        <v>19</v>
      </c>
      <c r="BU29" s="188">
        <v>16.75</v>
      </c>
      <c r="BV29" s="188">
        <v>1.625</v>
      </c>
      <c r="BW29" s="188">
        <v>4.625</v>
      </c>
      <c r="BX29" s="188">
        <v>13.125</v>
      </c>
      <c r="CJ29" s="780" t="str">
        <v>H3</v>
      </c>
      <c r="CL29" s="573" t="str">
        <f t="shared" si="13"/>
        <v>ED98625C3</v>
      </c>
      <c r="CM29" s="573" t="str">
        <f t="shared" si="14"/>
        <v>ED98625O3</v>
      </c>
      <c r="CQ29" s="279">
        <v>68.83</v>
      </c>
      <c r="CR29" s="279">
        <v>68.84</v>
      </c>
      <c r="CS29" s="547" t="s">
        <v>78</v>
      </c>
      <c r="CT29" s="128">
        <f t="shared" si="15"/>
        <v>98.625</v>
      </c>
      <c r="CU29" s="254">
        <f t="shared" si="16"/>
        <v>68.835000000000008</v>
      </c>
      <c r="CV29" s="259"/>
      <c r="CW29" s="256">
        <f t="shared" si="18"/>
        <v>0.93099337500000445</v>
      </c>
    </row>
    <row r="30" spans="5:101">
      <c r="F30" s="547" t="str">
        <f>_xll.qFuturesDateToCode(_xll.qFuturesCodeToDate(F29,Today)+31)</f>
        <v>Q1</v>
      </c>
      <c r="G30" s="573" t="str">
        <v>/FFQ1</v>
      </c>
      <c r="I30" s="828" t="s">
        <v>43</v>
      </c>
      <c r="L30" s="574">
        <v>40786</v>
      </c>
      <c r="M30" s="581">
        <v>99.88</v>
      </c>
      <c r="N30" s="581">
        <v>99.884999999999991</v>
      </c>
      <c r="O30" s="581">
        <v>99.88</v>
      </c>
      <c r="Q30" s="574">
        <v>40786</v>
      </c>
      <c r="R30" s="580">
        <v>99.88</v>
      </c>
      <c r="S30" s="580">
        <v>99.884999999999991</v>
      </c>
      <c r="T30" s="580">
        <v>99.88</v>
      </c>
      <c r="W30" s="251" t="s">
        <v>26</v>
      </c>
      <c r="Y30" s="573" t="str">
        <f t="shared" si="19"/>
        <v>USDSB3L2Y=RR</v>
      </c>
      <c r="AA30" s="573" t="s">
        <v>43</v>
      </c>
      <c r="AC30" s="257">
        <v>0.72499999999999998</v>
      </c>
      <c r="AD30" s="257">
        <v>0.71499999999999997</v>
      </c>
      <c r="AE30" s="135"/>
      <c r="AF30" s="248">
        <f t="shared" si="20"/>
        <v>0.72</v>
      </c>
      <c r="AH30" s="136"/>
      <c r="AI30" s="251" t="s">
        <v>25</v>
      </c>
      <c r="AJ30" s="549"/>
      <c r="AK30" s="573" t="str">
        <v>USD3L6L1Y=PYNY</v>
      </c>
      <c r="AM30" s="573" t="s">
        <v>43</v>
      </c>
      <c r="AO30" s="254">
        <v>9.5</v>
      </c>
      <c r="AP30" s="254">
        <v>7.5</v>
      </c>
      <c r="AQ30" s="135"/>
      <c r="AR30" s="256">
        <f t="shared" ref="AR30:AR34" si="24">IF(ISNUMBER(AQ30),AQ30,AVERAGE(AO30:AP30))</f>
        <v>8.5</v>
      </c>
      <c r="AT30" s="136"/>
      <c r="AU30" s="251" t="s">
        <v>5</v>
      </c>
      <c r="AV30" s="549"/>
      <c r="AW30" s="595" t="str">
        <v>USD1L3L6M=PYNY</v>
      </c>
      <c r="AX30" s="549"/>
      <c r="AY30" s="595" t="s">
        <v>44</v>
      </c>
      <c r="AZ30" s="549"/>
      <c r="BA30" s="254">
        <v>3.625</v>
      </c>
      <c r="BB30" s="254">
        <v>5.6249999999999991</v>
      </c>
      <c r="BC30" s="259"/>
      <c r="BD30" s="247">
        <f t="shared" si="22"/>
        <v>4.625</v>
      </c>
      <c r="BF30" s="136"/>
      <c r="BG30" s="549"/>
      <c r="BH30" s="595" t="str">
        <v>USDFF3L6M=PYNY</v>
      </c>
      <c r="BI30" s="549"/>
      <c r="BJ30" s="595" t="s">
        <v>43</v>
      </c>
      <c r="BK30" s="549"/>
      <c r="BL30" s="251" t="s">
        <v>5</v>
      </c>
      <c r="BM30" s="254">
        <v>18.75</v>
      </c>
      <c r="BN30" s="254">
        <v>14.75</v>
      </c>
      <c r="BO30" s="259"/>
      <c r="BP30" s="256">
        <f t="shared" si="23"/>
        <v>16.75</v>
      </c>
      <c r="BT30" s="285" t="s">
        <v>200</v>
      </c>
      <c r="BU30" s="188">
        <v>15.673715402535528</v>
      </c>
      <c r="BV30" s="188">
        <v>1.5205843300967301</v>
      </c>
      <c r="BW30" s="188">
        <v>4.3278389217197288</v>
      </c>
      <c r="BX30" s="188">
        <v>12.281705048123554</v>
      </c>
      <c r="CJ30" s="780" t="str">
        <v>M3</v>
      </c>
      <c r="CL30" s="573" t="str">
        <f t="shared" si="13"/>
        <v>ED98375F3</v>
      </c>
      <c r="CM30" s="573" t="str">
        <f t="shared" si="14"/>
        <v>ED98375R3</v>
      </c>
      <c r="CQ30" s="279">
        <v>64.2</v>
      </c>
      <c r="CR30" s="279">
        <v>64.240000000000009</v>
      </c>
      <c r="CS30" s="547" t="s">
        <v>78</v>
      </c>
      <c r="CT30" s="128">
        <f t="shared" si="15"/>
        <v>98.375</v>
      </c>
      <c r="CU30" s="254">
        <f t="shared" si="16"/>
        <v>64.22</v>
      </c>
      <c r="CV30" s="259"/>
      <c r="CW30" s="256">
        <f t="shared" si="18"/>
        <v>1.0387585000000044</v>
      </c>
    </row>
    <row r="31" spans="5:101">
      <c r="F31" s="547" t="str">
        <f>_xll.qFuturesDateToCode(_xll.qFuturesCodeToDate(F30,Today)+31)</f>
        <v>U1</v>
      </c>
      <c r="G31" s="573" t="str">
        <v>/FFU1</v>
      </c>
      <c r="I31" s="828" t="s">
        <v>44</v>
      </c>
      <c r="L31" s="574">
        <v>40816</v>
      </c>
      <c r="M31" s="581">
        <v>99.86</v>
      </c>
      <c r="N31" s="581">
        <v>99.86999999999999</v>
      </c>
      <c r="O31" s="581">
        <v>99.86</v>
      </c>
      <c r="Q31" s="574">
        <v>40816</v>
      </c>
      <c r="R31" s="580">
        <v>99.86</v>
      </c>
      <c r="S31" s="580">
        <v>99.86999999999999</v>
      </c>
      <c r="T31" s="580">
        <v>99.86</v>
      </c>
      <c r="W31" s="251" t="s">
        <v>7</v>
      </c>
      <c r="Y31" s="573" t="str">
        <f t="shared" si="19"/>
        <v>USDSB3L3Y=RR</v>
      </c>
      <c r="AC31" s="257">
        <v>1.165</v>
      </c>
      <c r="AD31" s="257">
        <v>1.155</v>
      </c>
      <c r="AE31" s="135"/>
      <c r="AF31" s="248">
        <f t="shared" si="20"/>
        <v>1.1600000000000001</v>
      </c>
      <c r="AH31" s="136"/>
      <c r="AI31" s="251" t="s">
        <v>26</v>
      </c>
      <c r="AJ31" s="549"/>
      <c r="AK31" s="573" t="str">
        <v>USD3L6L2Y=PYNY</v>
      </c>
      <c r="AO31" s="254">
        <v>9.25</v>
      </c>
      <c r="AP31" s="254">
        <v>7.25</v>
      </c>
      <c r="AQ31" s="135"/>
      <c r="AR31" s="256">
        <f t="shared" si="24"/>
        <v>8.25</v>
      </c>
      <c r="AT31" s="136"/>
      <c r="AU31" s="251" t="s">
        <v>25</v>
      </c>
      <c r="AV31" s="549"/>
      <c r="AW31" s="595" t="str">
        <v>USD1L3L1Y=PYNY</v>
      </c>
      <c r="AX31" s="549"/>
      <c r="AY31" s="549"/>
      <c r="AZ31" s="549"/>
      <c r="BA31" s="254">
        <v>4.5</v>
      </c>
      <c r="BB31" s="254">
        <v>6.5</v>
      </c>
      <c r="BC31" s="259"/>
      <c r="BD31" s="247">
        <f t="shared" ref="BD31:BD37" si="25">IF(ISNUMBER(BC31),BC31,AVERAGE(BA31:BB31))</f>
        <v>5.5</v>
      </c>
      <c r="BF31" s="136"/>
      <c r="BG31" s="549"/>
      <c r="BH31" s="595" t="str">
        <v>USDFF3L9M=PYNY</v>
      </c>
      <c r="BI31" s="549"/>
      <c r="BJ31" s="549"/>
      <c r="BK31" s="549"/>
      <c r="BL31" s="251" t="s">
        <v>30</v>
      </c>
      <c r="BM31" s="254">
        <v>20.75</v>
      </c>
      <c r="BN31" s="254">
        <v>16.75</v>
      </c>
      <c r="BO31" s="259"/>
      <c r="BP31" s="256">
        <f t="shared" si="23"/>
        <v>18.75</v>
      </c>
      <c r="BT31" s="285" t="s">
        <v>27</v>
      </c>
      <c r="BU31" s="188">
        <v>14.898806573296353</v>
      </c>
      <c r="BV31" s="188">
        <v>1.4454066078571088</v>
      </c>
      <c r="BW31" s="188">
        <v>4.1138916054436994</v>
      </c>
      <c r="BX31" s="188">
        <v>11.674557258691577</v>
      </c>
      <c r="CJ31" s="780" t="str">
        <v>U3</v>
      </c>
      <c r="CL31" s="573" t="str">
        <f t="shared" si="13"/>
        <v>ED98125I3</v>
      </c>
      <c r="CM31" s="573" t="str">
        <f t="shared" si="14"/>
        <v>ED98125U3</v>
      </c>
      <c r="CQ31" s="279" t="s">
        <v>829</v>
      </c>
      <c r="CR31" s="279" t="s">
        <v>829</v>
      </c>
      <c r="CS31" s="547" t="s">
        <v>78</v>
      </c>
      <c r="CT31" s="128">
        <f t="shared" si="15"/>
        <v>98.125</v>
      </c>
      <c r="CU31" s="254" t="e">
        <f t="shared" si="16"/>
        <v>#DIV/0!</v>
      </c>
      <c r="CV31" s="259"/>
      <c r="CW31" s="256">
        <f t="shared" si="18"/>
        <v>1.0387585000000044</v>
      </c>
    </row>
    <row r="32" spans="5:101">
      <c r="F32" s="547" t="str">
        <f>_xll.qFuturesDateToCode(_xll.qFuturesCodeToDate(F31,Today)+31)</f>
        <v>V1</v>
      </c>
      <c r="G32" s="573" t="str">
        <v>/FFV1</v>
      </c>
      <c r="I32" s="828" t="s">
        <v>522</v>
      </c>
      <c r="L32" s="574">
        <v>40847</v>
      </c>
      <c r="M32" s="581">
        <v>99.85</v>
      </c>
      <c r="N32" s="581">
        <v>99.85499999999999</v>
      </c>
      <c r="O32" s="581">
        <v>99.85</v>
      </c>
      <c r="Q32" s="574">
        <v>40847</v>
      </c>
      <c r="R32" s="580">
        <v>99.85</v>
      </c>
      <c r="S32" s="580">
        <v>99.85499999999999</v>
      </c>
      <c r="T32" s="580">
        <v>99.85</v>
      </c>
      <c r="W32" s="251" t="s">
        <v>8</v>
      </c>
      <c r="Y32" s="573" t="str">
        <f t="shared" si="19"/>
        <v>USDSB3L4Y=RR</v>
      </c>
      <c r="AC32" s="257">
        <v>1.625</v>
      </c>
      <c r="AD32" s="257">
        <v>1.615</v>
      </c>
      <c r="AE32" s="135"/>
      <c r="AF32" s="248">
        <f t="shared" si="20"/>
        <v>1.62</v>
      </c>
      <c r="AH32" s="136"/>
      <c r="AI32" s="251" t="s">
        <v>7</v>
      </c>
      <c r="AJ32" s="549"/>
      <c r="AK32" s="573" t="str">
        <v>USD3L6L3Y=PYNY</v>
      </c>
      <c r="AO32" s="254">
        <v>8.5</v>
      </c>
      <c r="AP32" s="254">
        <v>6.5</v>
      </c>
      <c r="AQ32" s="135"/>
      <c r="AR32" s="256">
        <f t="shared" si="24"/>
        <v>7.5</v>
      </c>
      <c r="AT32" s="136"/>
      <c r="AU32" s="251" t="s">
        <v>26</v>
      </c>
      <c r="AV32" s="549"/>
      <c r="AW32" s="595" t="str">
        <v>USD1L3L2Y=PYNY</v>
      </c>
      <c r="AX32" s="549"/>
      <c r="AY32" s="549"/>
      <c r="AZ32" s="549"/>
      <c r="BA32" s="254">
        <v>5.1249999999999991</v>
      </c>
      <c r="BB32" s="254">
        <v>7.1249999999999991</v>
      </c>
      <c r="BC32" s="259"/>
      <c r="BD32" s="247">
        <f t="shared" si="25"/>
        <v>6.1249999999999991</v>
      </c>
      <c r="BF32" s="136"/>
      <c r="BG32" s="549"/>
      <c r="BH32" s="595" t="str">
        <v>USDFF3L1Y=PYNY</v>
      </c>
      <c r="BI32" s="549"/>
      <c r="BJ32" s="549"/>
      <c r="BK32" s="549"/>
      <c r="BL32" s="251" t="s">
        <v>25</v>
      </c>
      <c r="BM32" s="254">
        <v>22</v>
      </c>
      <c r="BN32" s="254">
        <v>18</v>
      </c>
      <c r="BO32" s="259"/>
      <c r="BP32" s="256">
        <f t="shared" si="23"/>
        <v>20</v>
      </c>
      <c r="BT32" s="285" t="s">
        <v>198</v>
      </c>
      <c r="BU32" s="188">
        <v>13.866529024997622</v>
      </c>
      <c r="BV32" s="188">
        <v>1.3452602785445456</v>
      </c>
      <c r="BW32" s="188">
        <v>3.82875543783884</v>
      </c>
      <c r="BX32" s="188">
        <v>10.865387053326437</v>
      </c>
      <c r="CJ32" s="780" t="str">
        <v>Z3</v>
      </c>
      <c r="CL32" s="573" t="str">
        <f t="shared" si="13"/>
        <v>ED97875L3</v>
      </c>
      <c r="CM32" s="573" t="str">
        <f t="shared" si="14"/>
        <v>ED97875X3</v>
      </c>
      <c r="CQ32" s="279" t="s">
        <v>829</v>
      </c>
      <c r="CR32" s="279" t="s">
        <v>829</v>
      </c>
      <c r="CS32" s="547" t="s">
        <v>78</v>
      </c>
      <c r="CT32" s="128">
        <f t="shared" si="15"/>
        <v>97.875</v>
      </c>
      <c r="CU32" s="254" t="e">
        <f t="shared" si="16"/>
        <v>#DIV/0!</v>
      </c>
      <c r="CV32" s="259"/>
      <c r="CW32" s="256">
        <f t="shared" si="18"/>
        <v>1.0387585000000044</v>
      </c>
    </row>
    <row r="33" spans="5:101">
      <c r="F33" s="547" t="str">
        <f>_xll.qFuturesDateToCode(_xll.qFuturesCodeToDate(F32,Today)+31)</f>
        <v>X1</v>
      </c>
      <c r="G33" s="573" t="str">
        <v>/FFX1</v>
      </c>
      <c r="L33" s="574">
        <v>40877</v>
      </c>
      <c r="M33" s="581">
        <v>99.834999999999994</v>
      </c>
      <c r="N33" s="581">
        <v>99.84</v>
      </c>
      <c r="O33" s="581">
        <v>99.834999999999994</v>
      </c>
      <c r="Q33" s="574">
        <v>40877</v>
      </c>
      <c r="R33" s="580">
        <v>99.834999999999994</v>
      </c>
      <c r="S33" s="580">
        <v>99.84</v>
      </c>
      <c r="T33" s="580">
        <v>99.834999999999994</v>
      </c>
      <c r="W33" s="251" t="s">
        <v>9</v>
      </c>
      <c r="Y33" s="573" t="str">
        <f t="shared" si="19"/>
        <v>USDSB3L5Y=RR</v>
      </c>
      <c r="AC33" s="257">
        <v>2.0529999999999999</v>
      </c>
      <c r="AD33" s="257">
        <v>2.0430000000000001</v>
      </c>
      <c r="AE33" s="135"/>
      <c r="AF33" s="248">
        <f t="shared" si="20"/>
        <v>2.048</v>
      </c>
      <c r="AH33" s="136"/>
      <c r="AI33" s="251" t="s">
        <v>8</v>
      </c>
      <c r="AJ33" s="549"/>
      <c r="AK33" s="573" t="str">
        <v>USD3L6L4Y=PYNY</v>
      </c>
      <c r="AO33" s="254">
        <v>7.875</v>
      </c>
      <c r="AP33" s="254">
        <v>5.875</v>
      </c>
      <c r="AQ33" s="135"/>
      <c r="AR33" s="256">
        <f t="shared" si="24"/>
        <v>6.875</v>
      </c>
      <c r="AT33" s="136"/>
      <c r="AU33" s="251" t="s">
        <v>7</v>
      </c>
      <c r="AV33" s="549"/>
      <c r="AW33" s="595" t="str">
        <v>USD1L3L3Y=PYNY</v>
      </c>
      <c r="AX33" s="549"/>
      <c r="AY33" s="549"/>
      <c r="AZ33" s="549"/>
      <c r="BA33" s="254">
        <v>4.6249999999999991</v>
      </c>
      <c r="BB33" s="254">
        <v>6.6249999999999991</v>
      </c>
      <c r="BC33" s="259"/>
      <c r="BD33" s="247">
        <f t="shared" si="25"/>
        <v>5.6249999999999991</v>
      </c>
      <c r="BF33" s="136"/>
      <c r="BG33" s="549"/>
      <c r="BH33" s="595" t="str">
        <v>USDFF3L2Y=PYNY</v>
      </c>
      <c r="BI33" s="549"/>
      <c r="BJ33" s="549"/>
      <c r="BK33" s="549"/>
      <c r="BL33" s="251" t="s">
        <v>26</v>
      </c>
      <c r="BM33" s="254">
        <v>26.130000000000003</v>
      </c>
      <c r="BN33" s="254">
        <v>22.130000000000003</v>
      </c>
      <c r="BO33" s="259"/>
      <c r="BP33" s="256">
        <f t="shared" si="23"/>
        <v>24.130000000000003</v>
      </c>
      <c r="CJ33" s="780" t="str">
        <v>H4</v>
      </c>
      <c r="CL33" s="573" t="str">
        <f t="shared" si="13"/>
        <v>ED975C4</v>
      </c>
      <c r="CM33" s="573" t="str">
        <f t="shared" si="14"/>
        <v>ED975O4</v>
      </c>
      <c r="CQ33" s="279" t="s">
        <v>829</v>
      </c>
      <c r="CR33" s="279" t="s">
        <v>829</v>
      </c>
      <c r="CS33" s="547" t="s">
        <v>78</v>
      </c>
      <c r="CT33" s="128">
        <f t="shared" si="15"/>
        <v>97.5</v>
      </c>
      <c r="CU33" s="254" t="e">
        <f t="shared" si="16"/>
        <v>#DIV/0!</v>
      </c>
      <c r="CV33" s="259"/>
      <c r="CW33" s="256">
        <f t="shared" si="18"/>
        <v>1.0387585000000044</v>
      </c>
    </row>
    <row r="34" spans="5:101">
      <c r="F34" s="547" t="str">
        <f>_xll.qFuturesDateToCode(_xll.qFuturesCodeToDate(F33,Today)+31)</f>
        <v>Z1</v>
      </c>
      <c r="G34" s="573" t="str">
        <v>/FFZ1</v>
      </c>
      <c r="L34" s="574">
        <v>40907</v>
      </c>
      <c r="M34" s="581">
        <v>99.82</v>
      </c>
      <c r="N34" s="581">
        <v>99.824999999999989</v>
      </c>
      <c r="O34" s="581">
        <v>99.824999999999989</v>
      </c>
      <c r="Q34" s="574">
        <v>40907</v>
      </c>
      <c r="R34" s="580">
        <v>99.82</v>
      </c>
      <c r="S34" s="580">
        <v>99.824999999999989</v>
      </c>
      <c r="T34" s="580">
        <v>99.824999999999989</v>
      </c>
      <c r="W34" s="251" t="s">
        <v>10</v>
      </c>
      <c r="Y34" s="573" t="str">
        <f t="shared" si="19"/>
        <v>USDSB3L6Y=RR</v>
      </c>
      <c r="AC34" s="257">
        <v>2.42</v>
      </c>
      <c r="AD34" s="257">
        <v>2.4099999999999997</v>
      </c>
      <c r="AE34" s="135"/>
      <c r="AF34" s="248">
        <f t="shared" si="20"/>
        <v>2.415</v>
      </c>
      <c r="AH34" s="136"/>
      <c r="AI34" s="251" t="s">
        <v>9</v>
      </c>
      <c r="AJ34" s="549"/>
      <c r="AK34" s="573" t="str">
        <v>USD3L6L5Y=PYNY</v>
      </c>
      <c r="AO34" s="254">
        <v>7.5</v>
      </c>
      <c r="AP34" s="254">
        <v>5.5</v>
      </c>
      <c r="AQ34" s="135"/>
      <c r="AR34" s="256">
        <f t="shared" si="24"/>
        <v>6.5</v>
      </c>
      <c r="AT34" s="136"/>
      <c r="AU34" s="251" t="s">
        <v>8</v>
      </c>
      <c r="AV34" s="549"/>
      <c r="AW34" s="595" t="str">
        <v>USD1L3L4Y=PYNY</v>
      </c>
      <c r="AX34" s="549"/>
      <c r="AY34" s="549"/>
      <c r="AZ34" s="549"/>
      <c r="BA34" s="254">
        <v>3.8749999999999996</v>
      </c>
      <c r="BB34" s="254">
        <v>5.875</v>
      </c>
      <c r="BC34" s="259"/>
      <c r="BD34" s="247">
        <f t="shared" si="25"/>
        <v>4.875</v>
      </c>
      <c r="BF34" s="136"/>
      <c r="BG34" s="549"/>
      <c r="BH34" s="595" t="str">
        <v>USDFF3L3Y=PYNY</v>
      </c>
      <c r="BI34" s="549"/>
      <c r="BJ34" s="549"/>
      <c r="BK34" s="549"/>
      <c r="BL34" s="251" t="s">
        <v>7</v>
      </c>
      <c r="BM34" s="254">
        <v>28.25</v>
      </c>
      <c r="BN34" s="254">
        <v>23.25</v>
      </c>
      <c r="BO34" s="259"/>
      <c r="BP34" s="256">
        <f t="shared" si="23"/>
        <v>25.75</v>
      </c>
      <c r="CJ34" s="780" t="str">
        <v>M4</v>
      </c>
      <c r="CL34" s="573" t="str">
        <f t="shared" si="13"/>
        <v>ED9725F4</v>
      </c>
      <c r="CM34" s="573" t="str">
        <f t="shared" si="14"/>
        <v>ED9725R4</v>
      </c>
      <c r="CQ34" s="279" t="s">
        <v>829</v>
      </c>
      <c r="CR34" s="279" t="s">
        <v>829</v>
      </c>
      <c r="CS34" s="547" t="s">
        <v>78</v>
      </c>
      <c r="CT34" s="128">
        <f t="shared" si="15"/>
        <v>97.25</v>
      </c>
      <c r="CU34" s="254" t="e">
        <f t="shared" si="16"/>
        <v>#DIV/0!</v>
      </c>
      <c r="CV34" s="259"/>
      <c r="CW34" s="256">
        <f t="shared" si="18"/>
        <v>1.0387585000000044</v>
      </c>
    </row>
    <row r="35" spans="5:101">
      <c r="F35" s="547" t="str">
        <f>_xll.qFuturesDateToCode(_xll.qFuturesCodeToDate(F34,Today)+31)</f>
        <v>F2</v>
      </c>
      <c r="G35" s="573" t="str">
        <v>/FFF2</v>
      </c>
      <c r="L35" s="574">
        <v>40939</v>
      </c>
      <c r="M35" s="581">
        <v>99.81</v>
      </c>
      <c r="N35" s="581">
        <v>99.814999999999998</v>
      </c>
      <c r="O35" s="581">
        <v>99.814999999999998</v>
      </c>
      <c r="Q35" s="574">
        <v>40939</v>
      </c>
      <c r="R35" s="580">
        <v>99.81</v>
      </c>
      <c r="S35" s="580">
        <v>99.814999999999998</v>
      </c>
      <c r="T35" s="580">
        <v>99.814999999999998</v>
      </c>
      <c r="W35" s="251" t="s">
        <v>11</v>
      </c>
      <c r="Y35" s="573" t="str">
        <f t="shared" si="19"/>
        <v>USDSB3L7Y=RR</v>
      </c>
      <c r="AC35" s="257">
        <v>2.714</v>
      </c>
      <c r="AD35" s="257">
        <v>2.7040000000000002</v>
      </c>
      <c r="AE35" s="135"/>
      <c r="AF35" s="248">
        <f t="shared" si="20"/>
        <v>2.7090000000000001</v>
      </c>
      <c r="AH35" s="136"/>
      <c r="AI35" s="251" t="s">
        <v>11</v>
      </c>
      <c r="AJ35" s="549"/>
      <c r="AK35" s="573" t="str">
        <v>USD3L6L7Y=PYNY</v>
      </c>
      <c r="AO35" s="254">
        <v>6.875</v>
      </c>
      <c r="AP35" s="254">
        <v>4.875</v>
      </c>
      <c r="AQ35" s="135"/>
      <c r="AR35" s="256">
        <f t="shared" ref="AR35" si="26">IF(ISNUMBER(AQ35),AQ35,AVERAGE(AO35:AP35))</f>
        <v>5.875</v>
      </c>
      <c r="AT35" s="136"/>
      <c r="AU35" s="251" t="s">
        <v>9</v>
      </c>
      <c r="AV35" s="549"/>
      <c r="AW35" s="595" t="str">
        <v>USD1L3L5Y=PYNY</v>
      </c>
      <c r="AX35" s="549"/>
      <c r="AY35" s="549"/>
      <c r="AZ35" s="549"/>
      <c r="BA35" s="254">
        <v>3.5</v>
      </c>
      <c r="BB35" s="254">
        <v>5.5</v>
      </c>
      <c r="BC35" s="259"/>
      <c r="BD35" s="247">
        <f t="shared" si="25"/>
        <v>4.5</v>
      </c>
      <c r="BF35" s="136"/>
      <c r="BG35" s="549"/>
      <c r="BH35" s="595" t="str">
        <v>USDFF3L4Y=PYNY</v>
      </c>
      <c r="BI35" s="549"/>
      <c r="BJ35" s="549"/>
      <c r="BK35" s="549"/>
      <c r="BL35" s="251" t="s">
        <v>8</v>
      </c>
      <c r="BM35" s="254">
        <v>28.75</v>
      </c>
      <c r="BN35" s="254">
        <v>23.75</v>
      </c>
      <c r="BO35" s="259"/>
      <c r="BP35" s="256">
        <f t="shared" si="23"/>
        <v>26.25</v>
      </c>
    </row>
    <row r="36" spans="5:101">
      <c r="F36" s="547" t="str">
        <f>_xll.qFuturesDateToCode(_xll.qFuturesCodeToDate(F35,Today)+31)</f>
        <v>G2</v>
      </c>
      <c r="G36" s="573" t="str">
        <v>/FFG2</v>
      </c>
      <c r="L36" s="574">
        <v>40968</v>
      </c>
      <c r="M36" s="581">
        <v>99.78</v>
      </c>
      <c r="N36" s="581">
        <v>99.784999999999997</v>
      </c>
      <c r="O36" s="581">
        <v>99.79</v>
      </c>
      <c r="Q36" s="574">
        <v>40968</v>
      </c>
      <c r="R36" s="580">
        <v>99.78</v>
      </c>
      <c r="S36" s="580">
        <v>99.784999999999997</v>
      </c>
      <c r="T36" s="580">
        <v>99.79</v>
      </c>
      <c r="W36" s="251" t="s">
        <v>12</v>
      </c>
      <c r="Y36" s="573" t="str">
        <f t="shared" si="19"/>
        <v>USDSB3L8Y=RR</v>
      </c>
      <c r="AC36" s="257">
        <v>2.9499999999999997</v>
      </c>
      <c r="AD36" s="257">
        <v>2.94</v>
      </c>
      <c r="AE36" s="135"/>
      <c r="AF36" s="248">
        <f t="shared" si="20"/>
        <v>2.9449999999999998</v>
      </c>
      <c r="AH36" s="136"/>
      <c r="AI36" s="251" t="s">
        <v>14</v>
      </c>
      <c r="AJ36" s="549"/>
      <c r="AK36" s="573" t="str">
        <v>USD3L6L10Y=PYNY</v>
      </c>
      <c r="AO36" s="254">
        <v>6.5</v>
      </c>
      <c r="AP36" s="254">
        <v>4.5</v>
      </c>
      <c r="AQ36" s="135"/>
      <c r="AR36" s="256">
        <f t="shared" ref="AR36:AR37" si="27">IF(ISNUMBER(AQ36),AQ36,AVERAGE(AO36:AP36))</f>
        <v>5.5</v>
      </c>
      <c r="AT36" s="136"/>
      <c r="AU36" s="251" t="s">
        <v>11</v>
      </c>
      <c r="AV36" s="549"/>
      <c r="AW36" s="595" t="str">
        <v>USD1L3L7Y=PYNY</v>
      </c>
      <c r="AX36" s="549"/>
      <c r="AY36" s="549"/>
      <c r="AZ36" s="549"/>
      <c r="BA36" s="254">
        <v>2.8749999999999996</v>
      </c>
      <c r="BB36" s="254">
        <v>4.875</v>
      </c>
      <c r="BC36" s="259"/>
      <c r="BD36" s="247">
        <f t="shared" si="25"/>
        <v>3.875</v>
      </c>
      <c r="BF36" s="136"/>
      <c r="BG36" s="549"/>
      <c r="BH36" s="595" t="str">
        <v>USDFF3L5Y=PYNY</v>
      </c>
      <c r="BI36" s="549"/>
      <c r="BJ36" s="549"/>
      <c r="BK36" s="549"/>
      <c r="BL36" s="251" t="s">
        <v>9</v>
      </c>
      <c r="BM36" s="254">
        <v>28.630000000000003</v>
      </c>
      <c r="BN36" s="254">
        <v>23.630000000000003</v>
      </c>
      <c r="BO36" s="259"/>
      <c r="BP36" s="256">
        <f t="shared" si="23"/>
        <v>26.130000000000003</v>
      </c>
      <c r="CJ36" s="6" t="s">
        <v>831</v>
      </c>
    </row>
    <row r="37" spans="5:101">
      <c r="L37" s="578"/>
      <c r="M37" s="831"/>
      <c r="N37" s="831"/>
      <c r="O37" s="831"/>
      <c r="Q37" s="574"/>
      <c r="R37" s="580"/>
      <c r="S37" s="580"/>
      <c r="T37" s="580"/>
      <c r="W37" s="251" t="s">
        <v>13</v>
      </c>
      <c r="Y37" s="573" t="str">
        <f t="shared" si="19"/>
        <v>USDSB3L9Y=RR</v>
      </c>
      <c r="AC37" s="257">
        <v>3.1470000000000002</v>
      </c>
      <c r="AD37" s="257">
        <v>3.137</v>
      </c>
      <c r="AE37" s="135"/>
      <c r="AF37" s="248">
        <f t="shared" si="20"/>
        <v>3.1420000000000003</v>
      </c>
      <c r="AH37" s="136"/>
      <c r="AI37" s="251" t="s">
        <v>15</v>
      </c>
      <c r="AJ37" s="549"/>
      <c r="AK37" s="573" t="str">
        <v>USD3L6L12Y=PYNY</v>
      </c>
      <c r="AO37" s="254">
        <v>6.25</v>
      </c>
      <c r="AP37" s="254">
        <v>4.25</v>
      </c>
      <c r="AQ37" s="135"/>
      <c r="AR37" s="256">
        <f t="shared" si="27"/>
        <v>5.25</v>
      </c>
      <c r="AT37" s="136"/>
      <c r="AU37" s="251" t="s">
        <v>14</v>
      </c>
      <c r="AV37" s="549"/>
      <c r="AW37" s="595" t="str">
        <v>USD1L3L10Y=PYNY</v>
      </c>
      <c r="AX37" s="549"/>
      <c r="AY37" s="549"/>
      <c r="AZ37" s="549"/>
      <c r="BA37" s="254">
        <v>2.125</v>
      </c>
      <c r="BB37" s="254">
        <v>4.1249999999999991</v>
      </c>
      <c r="BC37" s="259"/>
      <c r="BD37" s="247">
        <f t="shared" si="25"/>
        <v>3.1249999999999996</v>
      </c>
      <c r="BF37" s="136"/>
      <c r="BG37" s="549"/>
      <c r="BH37" s="595" t="str">
        <v>USDFF3L7Y=PYNY</v>
      </c>
      <c r="BI37" s="549"/>
      <c r="BJ37" s="549"/>
      <c r="BK37" s="549"/>
      <c r="BL37" s="251" t="s">
        <v>11</v>
      </c>
      <c r="BM37" s="254">
        <v>27.5</v>
      </c>
      <c r="BN37" s="254">
        <v>22.5</v>
      </c>
      <c r="BO37" s="259"/>
      <c r="BP37" s="256">
        <f t="shared" si="23"/>
        <v>25</v>
      </c>
      <c r="CJ37" s="6" t="s">
        <v>825</v>
      </c>
    </row>
    <row r="38" spans="5:101">
      <c r="W38" s="251" t="s">
        <v>14</v>
      </c>
      <c r="Y38" s="573" t="str">
        <f t="shared" si="19"/>
        <v>USDSB3L10Y=RR</v>
      </c>
      <c r="AC38" s="257">
        <v>3.3079999999999998</v>
      </c>
      <c r="AD38" s="257">
        <v>3.298</v>
      </c>
      <c r="AE38" s="135"/>
      <c r="AF38" s="248">
        <f t="shared" ref="AF38" si="28">IF(ISNUMBER(AE38),AE38,AVERAGE(AC38:AD38))</f>
        <v>3.3029999999999999</v>
      </c>
      <c r="AH38" s="136"/>
      <c r="AI38" s="251" t="s">
        <v>16</v>
      </c>
      <c r="AJ38" s="549"/>
      <c r="AK38" s="573" t="str">
        <v>USD3L6L15Y=PYNY</v>
      </c>
      <c r="AO38" s="254">
        <v>6.1249999999999991</v>
      </c>
      <c r="AP38" s="254">
        <v>4.1249999999999991</v>
      </c>
      <c r="AQ38" s="135"/>
      <c r="AR38" s="256">
        <f t="shared" ref="AR38:AR41" si="29">IF(ISNUMBER(AQ38),AQ38,AVERAGE(AO38:AP38))</f>
        <v>5.1249999999999991</v>
      </c>
      <c r="AT38" s="136"/>
      <c r="AU38" s="251" t="s">
        <v>16</v>
      </c>
      <c r="AV38" s="549"/>
      <c r="AW38" s="595" t="str">
        <v>USD1L3L15Y=PYNY</v>
      </c>
      <c r="AX38" s="549"/>
      <c r="AY38" s="549"/>
      <c r="AZ38" s="549"/>
      <c r="BA38" s="254">
        <v>1.375</v>
      </c>
      <c r="BB38" s="254">
        <v>3.3749999999999996</v>
      </c>
      <c r="BC38" s="259"/>
      <c r="BD38" s="247">
        <f>IF(ISNUMBER(BC38),BC38,AVERAGE(BA38:BB38))</f>
        <v>2.375</v>
      </c>
      <c r="BF38" s="136"/>
      <c r="BG38" s="549"/>
      <c r="BH38" s="595" t="str">
        <v>USDFF3L10Y=PYNY</v>
      </c>
      <c r="BI38" s="549"/>
      <c r="BJ38" s="549"/>
      <c r="BK38" s="549"/>
      <c r="BL38" s="251" t="s">
        <v>14</v>
      </c>
      <c r="BM38" s="254">
        <v>25.5</v>
      </c>
      <c r="BN38" s="254">
        <v>20.5</v>
      </c>
      <c r="BO38" s="259"/>
      <c r="BP38" s="256">
        <f t="shared" si="23"/>
        <v>23</v>
      </c>
    </row>
    <row r="39" spans="5:101">
      <c r="E39" s="572" t="s">
        <v>530</v>
      </c>
      <c r="W39" s="251" t="s">
        <v>199</v>
      </c>
      <c r="Y39" s="573"/>
      <c r="AC39" s="257"/>
      <c r="AD39" s="257"/>
      <c r="AE39" s="135"/>
      <c r="AF39" s="248">
        <f>IF(ISNUMBER(AE39),AE39,AVERAGE(AF38,AF40))</f>
        <v>3.4275000000000002</v>
      </c>
      <c r="AH39" s="136"/>
      <c r="AI39" s="251" t="s">
        <v>17</v>
      </c>
      <c r="AJ39" s="549"/>
      <c r="AK39" s="573" t="str">
        <v>USD3L6L20Y=PYNY</v>
      </c>
      <c r="AO39" s="254">
        <v>5.88</v>
      </c>
      <c r="AP39" s="254">
        <v>3.88</v>
      </c>
      <c r="AQ39" s="135"/>
      <c r="AR39" s="256">
        <f t="shared" si="29"/>
        <v>4.88</v>
      </c>
      <c r="AT39" s="136"/>
      <c r="AU39" s="251" t="s">
        <v>17</v>
      </c>
      <c r="AV39" s="549"/>
      <c r="AW39" s="595" t="str">
        <v>USD1L3L20Y=PYNY</v>
      </c>
      <c r="AX39" s="549"/>
      <c r="AY39" s="549"/>
      <c r="AZ39" s="549"/>
      <c r="BA39" s="254">
        <v>1</v>
      </c>
      <c r="BB39" s="254">
        <v>3</v>
      </c>
      <c r="BC39" s="259"/>
      <c r="BD39" s="247">
        <f>IF(ISNUMBER(BC39),BC39,AVERAGE(BA39:BB39))</f>
        <v>2</v>
      </c>
      <c r="BF39" s="136"/>
      <c r="BG39" s="549"/>
      <c r="BH39" s="595" t="str">
        <v>USDFF3L12Y=PYNY</v>
      </c>
      <c r="BI39" s="549"/>
      <c r="BJ39" s="549"/>
      <c r="BK39" s="549"/>
      <c r="BL39" s="251" t="s">
        <v>15</v>
      </c>
      <c r="BM39" s="254">
        <v>24.38</v>
      </c>
      <c r="BN39" s="254">
        <v>19.38</v>
      </c>
      <c r="BO39" s="259"/>
      <c r="BP39" s="256">
        <f t="shared" si="23"/>
        <v>21.88</v>
      </c>
    </row>
    <row r="40" spans="5:101">
      <c r="W40" s="251" t="s">
        <v>15</v>
      </c>
      <c r="Y40" s="573" t="str">
        <f>"USDSB3L"&amp;W40&amp;"=RR"</f>
        <v>USDSB3L12Y=RR</v>
      </c>
      <c r="AC40" s="257">
        <v>3.5569999999999999</v>
      </c>
      <c r="AD40" s="257">
        <v>3.5470000000000002</v>
      </c>
      <c r="AE40" s="135"/>
      <c r="AF40" s="248">
        <f t="shared" ref="AF40:AF43" si="30">IF(ISNUMBER(AE40),AE40,AVERAGE(AC40:AD40))</f>
        <v>3.552</v>
      </c>
      <c r="AH40" s="136"/>
      <c r="AI40" s="251" t="s">
        <v>18</v>
      </c>
      <c r="AJ40" s="549"/>
      <c r="AK40" s="573" t="str">
        <v>USD3L6L25Y=PYNY</v>
      </c>
      <c r="AO40" s="254">
        <v>5.75</v>
      </c>
      <c r="AP40" s="254">
        <v>3.75</v>
      </c>
      <c r="AQ40" s="135"/>
      <c r="AR40" s="256">
        <f t="shared" si="29"/>
        <v>4.75</v>
      </c>
      <c r="AT40" s="136"/>
      <c r="AU40" s="251" t="s">
        <v>18</v>
      </c>
      <c r="AV40" s="549"/>
      <c r="AW40" s="595" t="str">
        <v>USD1L3L25Y=PYNY</v>
      </c>
      <c r="AX40" s="549"/>
      <c r="AY40" s="549"/>
      <c r="AZ40" s="549"/>
      <c r="BA40" s="254">
        <v>0.75</v>
      </c>
      <c r="BB40" s="254">
        <v>2.75</v>
      </c>
      <c r="BC40" s="259"/>
      <c r="BD40" s="247">
        <f>IF(ISNUMBER(BC40),BC40,AVERAGE(BA40:BB40))</f>
        <v>1.75</v>
      </c>
      <c r="BF40" s="136"/>
      <c r="BG40" s="549"/>
      <c r="BH40" s="595" t="str">
        <v>USDFF3L15Y=PYNY</v>
      </c>
      <c r="BI40" s="549"/>
      <c r="BJ40" s="549"/>
      <c r="BK40" s="549"/>
      <c r="BL40" s="251" t="s">
        <v>16</v>
      </c>
      <c r="BM40" s="254">
        <v>23</v>
      </c>
      <c r="BN40" s="254">
        <v>18</v>
      </c>
      <c r="BO40" s="259"/>
      <c r="BP40" s="256">
        <f t="shared" si="23"/>
        <v>20.5</v>
      </c>
    </row>
    <row r="41" spans="5:101">
      <c r="F41" s="547" t="s">
        <v>26</v>
      </c>
      <c r="G41" s="573" t="s">
        <v>175</v>
      </c>
      <c r="I41" s="828" t="s">
        <v>181</v>
      </c>
      <c r="K41" s="547" t="str">
        <f ca="1">_xll.RtUpdate("IDN",G41:G46,I41:I42,L41,,RTMODE_RATES)</f>
        <v>Updated at 10:29:45</v>
      </c>
      <c r="L41" s="574">
        <v>0.46990000000000004</v>
      </c>
      <c r="M41" s="581">
        <v>0.46600000000000003</v>
      </c>
      <c r="W41" s="251" t="s">
        <v>225</v>
      </c>
      <c r="Y41" s="573"/>
      <c r="AC41" s="257"/>
      <c r="AD41" s="257"/>
      <c r="AE41" s="135"/>
      <c r="AF41" s="248">
        <f>IF(ISNUMBER(AE41),AE41,(AF43-AF40)/3+AF40)</f>
        <v>3.6320000000000001</v>
      </c>
      <c r="AH41" s="136"/>
      <c r="AI41" s="251" t="s">
        <v>19</v>
      </c>
      <c r="AJ41" s="549"/>
      <c r="AK41" s="573" t="str">
        <v>USD3L6L30Y=PYNY</v>
      </c>
      <c r="AO41" s="254">
        <v>5.6249999999999991</v>
      </c>
      <c r="AP41" s="254">
        <v>3.625</v>
      </c>
      <c r="AQ41" s="135"/>
      <c r="AR41" s="256">
        <f t="shared" si="29"/>
        <v>4.625</v>
      </c>
      <c r="AT41" s="136"/>
      <c r="AU41" s="251" t="s">
        <v>19</v>
      </c>
      <c r="AV41" s="549"/>
      <c r="AW41" s="595" t="str">
        <v>USD1L3L30Y=PYNY</v>
      </c>
      <c r="AX41" s="549"/>
      <c r="AZ41" s="549"/>
      <c r="BA41" s="254">
        <v>0.625</v>
      </c>
      <c r="BB41" s="254">
        <v>2.625</v>
      </c>
      <c r="BC41" s="259"/>
      <c r="BD41" s="247">
        <f>IF(ISNUMBER(BC41),BC41,AVERAGE(BA41:BB41))</f>
        <v>1.625</v>
      </c>
      <c r="BF41" s="136"/>
      <c r="BG41" s="549"/>
      <c r="BH41" s="595" t="str">
        <v>USDFF3L20Y=PYNY</v>
      </c>
      <c r="BI41" s="549"/>
      <c r="BJ41" s="549"/>
      <c r="BK41" s="549"/>
      <c r="BL41" s="251" t="s">
        <v>17</v>
      </c>
      <c r="BM41" s="254">
        <v>21.38</v>
      </c>
      <c r="BN41" s="254">
        <v>16.38</v>
      </c>
      <c r="BO41" s="259"/>
      <c r="BP41" s="256">
        <f t="shared" si="23"/>
        <v>18.88</v>
      </c>
    </row>
    <row r="42" spans="5:101">
      <c r="F42" s="547" t="s">
        <v>7</v>
      </c>
      <c r="G42" s="573" t="s">
        <v>176</v>
      </c>
      <c r="I42" s="828" t="s">
        <v>182</v>
      </c>
      <c r="L42" s="574">
        <v>0.8145</v>
      </c>
      <c r="M42" s="581">
        <v>0.80649999999999999</v>
      </c>
      <c r="W42" s="251" t="s">
        <v>226</v>
      </c>
      <c r="Y42" s="573"/>
      <c r="AC42" s="257"/>
      <c r="AD42" s="257"/>
      <c r="AE42" s="135"/>
      <c r="AF42" s="248">
        <f>IF(ISNUMBER(AE42),AE42,AVERAGE(AF41,AF43))</f>
        <v>3.7120000000000002</v>
      </c>
      <c r="AH42" s="136"/>
      <c r="AJ42" s="549"/>
      <c r="AT42" s="136"/>
      <c r="BF42" s="136"/>
      <c r="BG42" s="549"/>
      <c r="BH42" s="595" t="str">
        <v>USDFF3L25Y=PYNY</v>
      </c>
      <c r="BI42" s="549"/>
      <c r="BJ42" s="549"/>
      <c r="BK42" s="549"/>
      <c r="BL42" s="251" t="s">
        <v>18</v>
      </c>
      <c r="BM42" s="254">
        <v>20.130000000000003</v>
      </c>
      <c r="BN42" s="254">
        <v>15.129999999999999</v>
      </c>
      <c r="BO42" s="259"/>
      <c r="BP42" s="256">
        <f t="shared" si="23"/>
        <v>17.630000000000003</v>
      </c>
    </row>
    <row r="43" spans="5:101">
      <c r="F43" s="547" t="s">
        <v>9</v>
      </c>
      <c r="G43" s="573" t="s">
        <v>177</v>
      </c>
      <c r="L43" s="574">
        <v>1.7745</v>
      </c>
      <c r="M43" s="581">
        <v>1.7711999999999999</v>
      </c>
      <c r="W43" s="251" t="s">
        <v>16</v>
      </c>
      <c r="Y43" s="573" t="str">
        <f>"USDSB3L"&amp;W43&amp;"=RR"</f>
        <v>USDSB3L15Y=RR</v>
      </c>
      <c r="AC43" s="257">
        <v>3.7970000000000002</v>
      </c>
      <c r="AD43" s="257">
        <v>3.7870000000000004</v>
      </c>
      <c r="AE43" s="135"/>
      <c r="AF43" s="248">
        <f t="shared" si="30"/>
        <v>3.7920000000000003</v>
      </c>
      <c r="AH43" s="136"/>
      <c r="AJ43" s="549"/>
      <c r="AT43" s="136"/>
      <c r="AV43" s="549"/>
      <c r="AW43" s="549"/>
      <c r="AX43" s="549"/>
      <c r="AY43" s="549"/>
      <c r="AZ43" s="549"/>
      <c r="BF43" s="136"/>
      <c r="BG43" s="549"/>
      <c r="BH43" s="595" t="str">
        <v>USDFF3L30Y=PYNY</v>
      </c>
      <c r="BI43" s="549"/>
      <c r="BK43" s="549"/>
      <c r="BL43" s="251" t="s">
        <v>19</v>
      </c>
      <c r="BM43" s="254">
        <v>19.25</v>
      </c>
      <c r="BN43" s="254">
        <v>14.25</v>
      </c>
      <c r="BO43" s="259"/>
      <c r="BP43" s="256">
        <f t="shared" si="23"/>
        <v>16.75</v>
      </c>
    </row>
    <row r="44" spans="5:101">
      <c r="F44" s="547" t="s">
        <v>11</v>
      </c>
      <c r="G44" s="573" t="s">
        <v>178</v>
      </c>
      <c r="L44" s="574">
        <v>2.5234000000000001</v>
      </c>
      <c r="M44" s="581">
        <v>2.5185</v>
      </c>
      <c r="W44" s="251" t="s">
        <v>17</v>
      </c>
      <c r="Y44" s="573" t="str">
        <f>"USDSB3L"&amp;W44&amp;"=RR"</f>
        <v>USDSB3L20Y=RR</v>
      </c>
      <c r="AC44" s="257">
        <v>3.9759999999999995</v>
      </c>
      <c r="AD44" s="257">
        <v>3.9659999999999997</v>
      </c>
      <c r="AE44" s="135"/>
      <c r="AF44" s="248">
        <f t="shared" ref="AF44:AF49" si="31">IF(ISNUMBER(AE44),AE44,AVERAGE(AC44:AD44))</f>
        <v>3.9709999999999996</v>
      </c>
      <c r="AH44" s="136"/>
      <c r="AI44" s="187" t="s">
        <v>285</v>
      </c>
      <c r="AJ44" s="549"/>
      <c r="AM44" s="546" t="str">
        <f ca="1">_xll.RtUpdate("IDN",AK45:AK56,AM45:AM46,AO45,,RTMODE_RATES)</f>
        <v>Updated at 10:25:45</v>
      </c>
      <c r="AT44" s="136"/>
      <c r="BG44" s="549"/>
      <c r="BH44" s="549"/>
      <c r="BI44" s="549"/>
      <c r="BJ44" s="549"/>
      <c r="BK44" s="549"/>
    </row>
    <row r="45" spans="5:101">
      <c r="F45" s="547" t="s">
        <v>14</v>
      </c>
      <c r="G45" s="573" t="s">
        <v>179</v>
      </c>
      <c r="L45" s="574">
        <v>3.1842000000000001</v>
      </c>
      <c r="M45" s="581">
        <v>3.1823000000000001</v>
      </c>
      <c r="W45" s="251" t="s">
        <v>18</v>
      </c>
      <c r="Y45" s="573" t="str">
        <f>"USDSB3L"&amp;W45&amp;"=RR"</f>
        <v>USDSB3L25Y=RR</v>
      </c>
      <c r="AC45" s="257">
        <v>4.0639999999999992</v>
      </c>
      <c r="AD45" s="257">
        <v>4.0539999999999994</v>
      </c>
      <c r="AE45" s="135"/>
      <c r="AF45" s="248">
        <f t="shared" si="31"/>
        <v>4.0589999999999993</v>
      </c>
      <c r="AH45" s="136"/>
      <c r="AI45" s="251" t="s">
        <v>25</v>
      </c>
      <c r="AJ45" s="549"/>
      <c r="AK45" s="573" t="str">
        <f t="array" ref="AK45:AK56">"USD3L12L"&amp;AI45:AI56&amp;"=PYNY"</f>
        <v>USD3L12L1Y=PYNY</v>
      </c>
      <c r="AM45" s="573" t="s">
        <v>44</v>
      </c>
      <c r="AO45" s="254">
        <v>38.625000000000007</v>
      </c>
      <c r="AP45" s="254">
        <v>28.625</v>
      </c>
      <c r="AQ45" s="135"/>
      <c r="AR45" s="256">
        <f t="shared" ref="AR45:AR56" si="32">IF(ISNUMBER(AQ45),AQ45,AVERAGE(AO45:AP45))</f>
        <v>33.625</v>
      </c>
      <c r="AT45" s="136"/>
      <c r="BG45" s="549"/>
      <c r="BH45" s="549"/>
      <c r="BI45" s="549"/>
      <c r="BJ45" s="549"/>
      <c r="BK45" s="549"/>
    </row>
    <row r="46" spans="5:101">
      <c r="F46" s="547" t="s">
        <v>19</v>
      </c>
      <c r="G46" s="573" t="s">
        <v>180</v>
      </c>
      <c r="L46" s="574">
        <v>4.4012000000000011</v>
      </c>
      <c r="M46" s="581">
        <v>4.3936000000000002</v>
      </c>
      <c r="W46" s="251" t="s">
        <v>19</v>
      </c>
      <c r="Y46" s="573" t="str">
        <f>"USDSB3L"&amp;W46&amp;"=RR"</f>
        <v>USDSB3L30Y=RR</v>
      </c>
      <c r="AC46" s="257">
        <v>4.1109999999999998</v>
      </c>
      <c r="AD46" s="257">
        <v>4.101</v>
      </c>
      <c r="AE46" s="135"/>
      <c r="AF46" s="248">
        <f t="shared" si="31"/>
        <v>4.1059999999999999</v>
      </c>
      <c r="AH46" s="136"/>
      <c r="AI46" s="251" t="s">
        <v>26</v>
      </c>
      <c r="AJ46" s="549"/>
      <c r="AK46" s="573" t="str">
        <v>USD3L12L2Y=PYNY</v>
      </c>
      <c r="AM46" s="573" t="s">
        <v>43</v>
      </c>
      <c r="AO46" s="254">
        <v>36.625000000000007</v>
      </c>
      <c r="AP46" s="254">
        <v>26.625</v>
      </c>
      <c r="AQ46" s="135"/>
      <c r="AR46" s="256">
        <f t="shared" si="32"/>
        <v>31.625000000000004</v>
      </c>
      <c r="AT46" s="136"/>
      <c r="AU46" s="115" t="s">
        <v>532</v>
      </c>
      <c r="AV46" s="549"/>
      <c r="AW46" s="549"/>
      <c r="AX46" s="549"/>
      <c r="AY46" s="549"/>
      <c r="AZ46" s="549"/>
      <c r="BG46" s="549"/>
      <c r="BH46" s="549"/>
      <c r="BI46" s="549"/>
      <c r="BJ46" s="549"/>
      <c r="BK46" s="549"/>
    </row>
    <row r="47" spans="5:101">
      <c r="W47" s="251" t="s">
        <v>200</v>
      </c>
      <c r="Y47" s="573"/>
      <c r="AC47" s="257"/>
      <c r="AD47" s="257"/>
      <c r="AE47" s="135"/>
      <c r="AF47" s="248">
        <f>IF(ISNUMBER(AE47),AE47,AVERAGE(AF46,AF48))</f>
        <v>4.1134999999999993</v>
      </c>
      <c r="AH47" s="136"/>
      <c r="AI47" s="251" t="s">
        <v>7</v>
      </c>
      <c r="AJ47" s="549"/>
      <c r="AK47" s="573" t="str">
        <v>USD3L12L3Y=PYNY</v>
      </c>
      <c r="AO47" s="254">
        <v>34.125000000000007</v>
      </c>
      <c r="AP47" s="254">
        <v>24.125</v>
      </c>
      <c r="AQ47" s="135"/>
      <c r="AR47" s="256">
        <f t="shared" si="32"/>
        <v>29.125000000000004</v>
      </c>
      <c r="AT47" s="136"/>
      <c r="AU47" s="137" t="s">
        <v>287</v>
      </c>
      <c r="BG47" s="549"/>
      <c r="BH47" s="549"/>
      <c r="BI47" s="549"/>
      <c r="BJ47" s="549"/>
      <c r="BK47" s="549"/>
    </row>
    <row r="48" spans="5:101">
      <c r="W48" s="251" t="s">
        <v>27</v>
      </c>
      <c r="Y48" s="573" t="str">
        <f>"USDSB3L"&amp;W48&amp;"=RR"</f>
        <v>USDSB3L40Y=RR</v>
      </c>
      <c r="AC48" s="257">
        <v>4.1279999999999992</v>
      </c>
      <c r="AD48" s="257">
        <v>4.113999999999999</v>
      </c>
      <c r="AE48" s="135"/>
      <c r="AF48" s="248">
        <f t="shared" si="31"/>
        <v>4.1209999999999987</v>
      </c>
      <c r="AH48" s="136"/>
      <c r="AI48" s="251" t="s">
        <v>8</v>
      </c>
      <c r="AJ48" s="549"/>
      <c r="AK48" s="573" t="str">
        <v>USD3L12L4Y=PYNY</v>
      </c>
      <c r="AO48" s="254">
        <v>32.25</v>
      </c>
      <c r="AP48" s="254">
        <v>22.25</v>
      </c>
      <c r="AQ48" s="135"/>
      <c r="AR48" s="256">
        <f t="shared" si="32"/>
        <v>27.25</v>
      </c>
      <c r="AT48" s="136"/>
      <c r="AU48" s="283" t="s">
        <v>284</v>
      </c>
      <c r="BA48" s="283"/>
      <c r="BB48" s="283"/>
      <c r="BC48" s="120" t="str">
        <f>_xll.qIRcurveZeroBankReval(AU48,"USD",Today,AF5:AF9,AR15:AR26,AI15:AI26,AF32:AF49)</f>
        <v>USD.ZB.DISC|[Swap Pricer 1w.xlsm]US!$BC$48#1120</v>
      </c>
      <c r="BG48" s="549"/>
      <c r="BH48" s="549"/>
      <c r="BI48" s="549"/>
      <c r="BJ48" s="549"/>
      <c r="BK48" s="549"/>
    </row>
    <row r="49" spans="5:63">
      <c r="E49" s="572" t="s">
        <v>374</v>
      </c>
      <c r="I49" s="580">
        <v>1</v>
      </c>
      <c r="W49" s="251" t="s">
        <v>198</v>
      </c>
      <c r="Y49" s="547" t="str">
        <f ca="1">_xll.RtUpdate("IDN","BGCUSD","ROW80_20",AA49,,RTMODE_RATES)</f>
        <v>Updated at 10:30:12</v>
      </c>
      <c r="AA49" s="598" t="s">
        <v>937</v>
      </c>
      <c r="AC49" s="265">
        <f>MID(AA49,39,6)+0</f>
        <v>4.07</v>
      </c>
      <c r="AD49" s="265">
        <f>MID(AA49,46,6)+0</f>
        <v>4.1100000000000003</v>
      </c>
      <c r="AE49" s="135"/>
      <c r="AF49" s="248">
        <f t="shared" si="31"/>
        <v>4.09</v>
      </c>
      <c r="AH49" s="136"/>
      <c r="AI49" s="251" t="s">
        <v>9</v>
      </c>
      <c r="AJ49" s="549"/>
      <c r="AK49" s="573" t="str">
        <v>USD3L12L5Y=PYNY</v>
      </c>
      <c r="AO49" s="254">
        <v>31</v>
      </c>
      <c r="AP49" s="254">
        <v>21</v>
      </c>
      <c r="AQ49" s="135"/>
      <c r="AR49" s="256">
        <f t="shared" si="32"/>
        <v>26</v>
      </c>
      <c r="AT49" s="136"/>
      <c r="AU49" s="283" t="s">
        <v>279</v>
      </c>
      <c r="BA49" s="283"/>
      <c r="BB49" s="283"/>
      <c r="BC49" s="283" t="str">
        <f>_xll.qIRcurveSCBasisReval(AU49,"USD",USD.ZB.DISC,"1V3","SYNTHETIC",BV7:BV32)</f>
        <v>USD.ZB.ON|[Swap Pricer 1w.xlsm]US!$BC$49#1126</v>
      </c>
      <c r="BG49" s="549"/>
      <c r="BH49" s="549"/>
      <c r="BI49" s="549"/>
      <c r="BJ49" s="549"/>
      <c r="BK49" s="549"/>
    </row>
    <row r="50" spans="5:63">
      <c r="AH50" s="136"/>
      <c r="AI50" s="251" t="s">
        <v>11</v>
      </c>
      <c r="AJ50" s="549"/>
      <c r="AK50" s="573" t="str">
        <v>USD3L12L7Y=PYNY</v>
      </c>
      <c r="AO50" s="254">
        <v>28.5</v>
      </c>
      <c r="AP50" s="254">
        <v>18.5</v>
      </c>
      <c r="AQ50" s="135"/>
      <c r="AR50" s="256">
        <f t="shared" si="32"/>
        <v>23.5</v>
      </c>
      <c r="AT50" s="136"/>
      <c r="AU50" s="283" t="s">
        <v>280</v>
      </c>
      <c r="BA50" s="283"/>
      <c r="BB50" s="283"/>
      <c r="BC50" s="283" t="str">
        <f>_xll.qIRcurveSCBasisReval(AU50,"USD",USD.ZB.DISC,"1V3","SYNTHETIC",BV7:BV32)</f>
        <v>USD.ZB.1M|[Swap Pricer 1w.xlsm]US!$BC$50#1129</v>
      </c>
    </row>
    <row r="51" spans="5:63">
      <c r="E51" s="572" t="s">
        <v>843</v>
      </c>
      <c r="I51" s="829" t="b">
        <v>1</v>
      </c>
      <c r="AH51" s="136"/>
      <c r="AI51" s="251" t="s">
        <v>14</v>
      </c>
      <c r="AK51" s="573" t="str">
        <v>USD3L12L10Y=PYNY</v>
      </c>
      <c r="AO51" s="254">
        <v>25.625</v>
      </c>
      <c r="AP51" s="254">
        <v>15.625</v>
      </c>
      <c r="AQ51" s="135"/>
      <c r="AR51" s="256">
        <f t="shared" si="32"/>
        <v>20.625</v>
      </c>
      <c r="AT51" s="136"/>
      <c r="AU51" s="283" t="s">
        <v>281</v>
      </c>
      <c r="BA51" s="283"/>
      <c r="BB51" s="283"/>
      <c r="BC51" s="283" t="str">
        <f>USD.ZB.DISC</f>
        <v>USD.ZB.DISC|[Swap Pricer 1w.xlsm]US!$BC$48#1120</v>
      </c>
    </row>
    <row r="52" spans="5:63">
      <c r="AH52" s="136"/>
      <c r="AI52" s="251" t="s">
        <v>15</v>
      </c>
      <c r="AK52" s="573" t="str">
        <v>USD3L12L12Y=PYNY</v>
      </c>
      <c r="AO52" s="254">
        <v>24.25</v>
      </c>
      <c r="AP52" s="254">
        <v>14.25</v>
      </c>
      <c r="AQ52" s="135"/>
      <c r="AR52" s="256">
        <f t="shared" si="32"/>
        <v>19.25</v>
      </c>
      <c r="AT52" s="136"/>
      <c r="AU52" s="283" t="s">
        <v>282</v>
      </c>
      <c r="BA52" s="283"/>
      <c r="BB52" s="283"/>
      <c r="BC52" s="283" t="str">
        <f>_xll.qIRcurveSCBasisReval(AU52,"USD",USD.ZB.DISC,"3V6","SYNTHETIC",BW7:BW32)</f>
        <v>USD.ZB.6M|[Swap Pricer 1w.xlsm]US!$BC$52#1127</v>
      </c>
    </row>
    <row r="53" spans="5:63">
      <c r="AH53" s="136"/>
      <c r="AI53" s="251" t="s">
        <v>16</v>
      </c>
      <c r="AK53" s="573" t="str">
        <v>USD3L12L15Y=PYNY</v>
      </c>
      <c r="AO53" s="254">
        <v>22.5</v>
      </c>
      <c r="AP53" s="254">
        <v>12.5</v>
      </c>
      <c r="AQ53" s="135"/>
      <c r="AR53" s="256">
        <f t="shared" si="32"/>
        <v>17.5</v>
      </c>
      <c r="AT53" s="136"/>
      <c r="AU53" s="283" t="s">
        <v>283</v>
      </c>
      <c r="BA53" s="283"/>
      <c r="BB53" s="283"/>
      <c r="BC53" s="283" t="str">
        <f>_xll.qIRcurveSCBasisReval(AU53,"USD",USD.ZB.DISC,"3V12","SYNTHETIC",BX7:BX32)</f>
        <v>USD.ZB.1Y|[Swap Pricer 1w.xlsm]US!$BC$53#1128</v>
      </c>
    </row>
    <row r="54" spans="5:63">
      <c r="AH54" s="136"/>
      <c r="AI54" s="251" t="s">
        <v>17</v>
      </c>
      <c r="AK54" s="573" t="str">
        <v>USD3L12L20Y=PYNY</v>
      </c>
      <c r="AO54" s="254">
        <v>20.375</v>
      </c>
      <c r="AP54" s="254">
        <v>10.375000000000002</v>
      </c>
      <c r="AQ54" s="135"/>
      <c r="AR54" s="256">
        <f t="shared" si="32"/>
        <v>15.375</v>
      </c>
      <c r="AT54" s="136"/>
    </row>
    <row r="55" spans="5:63">
      <c r="AH55" s="136"/>
      <c r="AI55" s="251" t="s">
        <v>18</v>
      </c>
      <c r="AK55" s="573" t="str">
        <v>USD3L12L25Y=PYNY</v>
      </c>
      <c r="AO55" s="254">
        <v>19.125</v>
      </c>
      <c r="AP55" s="254">
        <v>9.125</v>
      </c>
      <c r="AQ55" s="135"/>
      <c r="AR55" s="256">
        <f t="shared" si="32"/>
        <v>14.125</v>
      </c>
      <c r="AT55" s="136"/>
    </row>
    <row r="56" spans="5:63">
      <c r="AH56" s="136"/>
      <c r="AI56" s="251" t="s">
        <v>19</v>
      </c>
      <c r="AK56" s="573" t="str">
        <v>USD3L12L30Y=PYNY</v>
      </c>
      <c r="AO56" s="254">
        <v>18.125</v>
      </c>
      <c r="AP56" s="254">
        <v>8.125</v>
      </c>
      <c r="AQ56" s="135"/>
      <c r="AR56" s="256">
        <f t="shared" si="32"/>
        <v>13.125</v>
      </c>
      <c r="AT56" s="136"/>
    </row>
  </sheetData>
  <sheetProtection sheet="1" objects="1" scenarios="1" autoFilter="0" pivotTables="0"/>
  <mergeCells count="1">
    <mergeCell ref="BC4:BD4"/>
  </mergeCells>
  <conditionalFormatting sqref="CV23:CV34 CV9:CV18 AE29:AE49 BC29:BC41 BO29:BO43 BO19:BO26 BC19:BC26 BC10:BC15 BO10:BO15 AQ45:AQ56 AQ29:AQ41 AE5:AE12 AE15:AE26">
    <cfRule type="cellIs" dxfId="41" priority="5" operator="notEqual">
      <formula>""</formula>
    </cfRule>
  </conditionalFormatting>
  <conditionalFormatting sqref="CV4 BC6">
    <cfRule type="expression" dxfId="40" priority="4">
      <formula>PPP_Global&lt;&gt;"LOCAL"</formula>
    </cfRule>
  </conditionalFormatting>
  <conditionalFormatting sqref="CU23:CU34">
    <cfRule type="containsErrors" dxfId="39" priority="1">
      <formula>ISERROR(CU23)</formula>
    </cfRule>
  </conditionalFormatting>
  <dataValidations disablePrompts="1" count="1">
    <dataValidation type="list" allowBlank="1" showInputMessage="1" showErrorMessage="1" promptTitle="Reuters Update Frequency" prompt="Throttles the frequency of Reuters updates.  To SNAP more than once, switch to STOP and then back to SNAP again" sqref="CV4 BC6">
      <formula1>"5s,15s,30s,1m,30m,1h,STOP,SNAP"</formula1>
    </dataValidation>
  </dataValidations>
  <pageMargins left="0.7" right="0.7" top="0.75" bottom="0.75" header="0.3" footer="0.3"/>
  <pageSetup paperSize="9"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sheetPr codeName="shtEU">
    <outlinePr showOutlineSymbols="0"/>
  </sheetPr>
  <dimension ref="A1:EA65"/>
  <sheetViews>
    <sheetView showGridLines="0" showRowColHeaders="0" showZeros="0" showOutlineSymbols="0" zoomScaleNormal="100" workbookViewId="0">
      <pane xSplit="3" topLeftCell="D1" activePane="topRight" state="frozen"/>
      <selection pane="topRight" activeCell="V1" sqref="V1"/>
    </sheetView>
  </sheetViews>
  <sheetFormatPr defaultRowHeight="12.75" outlineLevelCol="2"/>
  <cols>
    <col min="1" max="1" width="1.7109375" style="206" customWidth="1"/>
    <col min="2" max="2" width="7.7109375" style="206" customWidth="1"/>
    <col min="3" max="3" width="1.7109375" style="206" customWidth="1"/>
    <col min="4" max="4" width="2.7109375" style="547" hidden="1" customWidth="1" outlineLevel="2"/>
    <col min="5" max="5" width="10" style="547" hidden="1" customWidth="1" outlineLevel="2"/>
    <col min="6" max="6" width="3.5703125" style="547" hidden="1" customWidth="1" outlineLevel="2"/>
    <col min="7" max="7" width="9.5703125" style="582" hidden="1" customWidth="1" outlineLevel="2"/>
    <col min="8" max="8" width="1.7109375" style="582" hidden="1" customWidth="1" outlineLevel="2"/>
    <col min="9" max="9" width="10.5703125" style="547" hidden="1" customWidth="1" outlineLevel="2"/>
    <col min="10" max="10" width="1.7109375" style="582" hidden="1" customWidth="1" outlineLevel="2"/>
    <col min="11" max="11" width="16.42578125" style="547" hidden="1" customWidth="1" outlineLevel="2"/>
    <col min="12" max="12" width="6.7109375" style="570" hidden="1" customWidth="1" outlineLevel="2"/>
    <col min="13" max="15" width="6.7109375" style="593" hidden="1" customWidth="1" outlineLevel="2"/>
    <col min="16" max="16" width="1.7109375" style="582" hidden="1" customWidth="1" outlineLevel="2"/>
    <col min="17" max="17" width="6.7109375" style="570" hidden="1" customWidth="1" outlineLevel="2"/>
    <col min="18" max="20" width="6.7109375" style="582" hidden="1" customWidth="1" outlineLevel="2"/>
    <col min="21" max="21" width="2.7109375" style="547" hidden="1" customWidth="1" outlineLevel="2"/>
    <col min="22" max="22" width="3.7109375" customWidth="1" collapsed="1"/>
    <col min="23" max="23" width="3.7109375" customWidth="1"/>
    <col min="24" max="24" width="1.7109375" style="547" hidden="1" customWidth="1" outlineLevel="2"/>
    <col min="25" max="25" width="10.5703125" style="547" hidden="1" customWidth="1" outlineLevel="1"/>
    <col min="26" max="26" width="1.7109375" style="547" hidden="1" customWidth="1" outlineLevel="2"/>
    <col min="27" max="27" width="9.28515625" style="547" hidden="1" customWidth="1" outlineLevel="2"/>
    <col min="28" max="28" width="1.7109375" style="547" hidden="1" customWidth="1" outlineLevel="2"/>
    <col min="29" max="29" width="6.7109375" style="128" customWidth="1" collapsed="1"/>
    <col min="30" max="30" width="6.7109375" style="128" customWidth="1"/>
    <col min="31" max="31" width="6.7109375" style="127" customWidth="1"/>
    <col min="32" max="32" width="6.7109375" style="248" customWidth="1"/>
    <col min="33" max="34" width="2.7109375" customWidth="1"/>
    <col min="35" max="35" width="3.7109375" customWidth="1"/>
    <col min="36" max="36" width="1.7109375" style="547" hidden="1" customWidth="1" outlineLevel="2"/>
    <col min="37" max="37" width="13.85546875" style="547" hidden="1" customWidth="1" outlineLevel="1"/>
    <col min="38" max="38" width="1.7109375" style="547" hidden="1" customWidth="1" outlineLevel="2"/>
    <col min="39" max="39" width="9.85546875" style="547" hidden="1" customWidth="1" outlineLevel="2"/>
    <col min="40" max="40" width="1.7109375" style="547" hidden="1" customWidth="1" outlineLevel="2"/>
    <col min="41" max="41" width="6.7109375" style="188" customWidth="1" collapsed="1"/>
    <col min="42" max="42" width="6.7109375" style="188" customWidth="1"/>
    <col min="43" max="43" width="6.7109375" customWidth="1"/>
    <col min="44" max="44" width="6.7109375" style="256" customWidth="1"/>
    <col min="45" max="46" width="2.7109375" customWidth="1"/>
    <col min="47" max="47" width="3.7109375" customWidth="1"/>
    <col min="48" max="48" width="1.7109375" style="547" hidden="1" customWidth="1" outlineLevel="2"/>
    <col min="49" max="49" width="12.85546875" style="547" hidden="1" customWidth="1" outlineLevel="1"/>
    <col min="50" max="50" width="1.7109375" style="547" hidden="1" customWidth="1" outlineLevel="2"/>
    <col min="51" max="51" width="8" style="547" hidden="1" customWidth="1" outlineLevel="2"/>
    <col min="52" max="52" width="1.7109375" style="547" hidden="1" customWidth="1" outlineLevel="2"/>
    <col min="53" max="53" width="6.7109375" style="188" customWidth="1" collapsed="1"/>
    <col min="54" max="55" width="6.7109375" style="188" customWidth="1"/>
    <col min="56" max="56" width="6.7109375" style="247" customWidth="1"/>
    <col min="57" max="58" width="2.7109375" customWidth="1"/>
    <col min="59" max="59" width="3.7109375" customWidth="1"/>
    <col min="60" max="60" width="1.7109375" style="547" hidden="1" customWidth="1" outlineLevel="2"/>
    <col min="61" max="61" width="15" style="547" hidden="1" customWidth="1" outlineLevel="1"/>
    <col min="62" max="62" width="1.7109375" style="547" hidden="1" customWidth="1" outlineLevel="2"/>
    <col min="63" max="63" width="5.7109375" style="547" hidden="1" customWidth="1" outlineLevel="2"/>
    <col min="64" max="64" width="1.7109375" style="547" hidden="1" customWidth="1" outlineLevel="2"/>
    <col min="65" max="65" width="6.7109375" style="188" customWidth="1" collapsed="1"/>
    <col min="66" max="66" width="6.7109375" style="188" customWidth="1"/>
    <col min="67" max="67" width="6.7109375" style="247" customWidth="1"/>
    <col min="68" max="68" width="6.7109375" style="256" customWidth="1"/>
    <col min="69" max="69" width="2.7109375" customWidth="1"/>
    <col min="70" max="70" width="5.7109375" customWidth="1"/>
    <col min="71" max="71" width="26.5703125" customWidth="1"/>
    <col min="72" max="72" width="7.7109375" style="285" customWidth="1"/>
    <col min="73" max="76" width="7.7109375" style="188" customWidth="1"/>
    <col min="77" max="77" width="5.140625" customWidth="1"/>
    <col min="78" max="78" width="12.5703125" bestFit="1" customWidth="1"/>
    <col min="79" max="79" width="16.7109375" bestFit="1" customWidth="1"/>
    <col min="80" max="80" width="7.42578125" bestFit="1" customWidth="1"/>
    <col min="81" max="81" width="10.7109375" bestFit="1" customWidth="1"/>
    <col min="82" max="82" width="10.42578125" bestFit="1" customWidth="1"/>
    <col min="83" max="86" width="6.28515625" bestFit="1" customWidth="1"/>
    <col min="87" max="88" width="3.7109375" customWidth="1"/>
    <col min="89" max="89" width="1.7109375" style="601" hidden="1" customWidth="1" outlineLevel="2"/>
    <col min="90" max="91" width="14.85546875" style="547" hidden="1" customWidth="1" outlineLevel="1"/>
    <col min="92" max="92" width="1.7109375" style="547" hidden="1" customWidth="1" outlineLevel="2"/>
    <col min="93" max="93" width="9.85546875" style="547" hidden="1" customWidth="1" outlineLevel="2"/>
    <col min="94" max="94" width="1.7109375" style="547" hidden="1" customWidth="1" outlineLevel="2"/>
    <col min="95" max="96" width="6.7109375" style="547" hidden="1" customWidth="1" outlineLevel="2"/>
    <col min="97" max="97" width="1.7109375" style="547" hidden="1" customWidth="1" outlineLevel="2"/>
    <col min="98" max="98" width="7.140625" style="188" customWidth="1" collapsed="1"/>
    <col min="99" max="100" width="7.140625" style="188" customWidth="1"/>
    <col min="101" max="101" width="7.140625" style="256" customWidth="1"/>
    <col min="121" max="121" width="3.7109375" customWidth="1"/>
  </cols>
  <sheetData>
    <row r="1" spans="5:131" ht="0.95" customHeight="1"/>
    <row r="2" spans="5:131" ht="24.95" customHeight="1">
      <c r="E2" s="194" t="s">
        <v>100</v>
      </c>
      <c r="F2" s="194"/>
      <c r="G2" s="199"/>
      <c r="H2" s="199"/>
      <c r="I2" s="194"/>
      <c r="J2" s="199"/>
      <c r="K2" s="194"/>
      <c r="L2" s="246"/>
      <c r="M2" s="263"/>
      <c r="N2" s="263"/>
      <c r="O2" s="263"/>
      <c r="P2" s="199"/>
      <c r="Q2" s="246"/>
      <c r="R2" s="199"/>
      <c r="S2" s="199"/>
      <c r="T2" s="199"/>
      <c r="W2" s="46" t="s">
        <v>489</v>
      </c>
      <c r="Y2" s="548" t="s">
        <v>256</v>
      </c>
      <c r="Z2" s="548"/>
      <c r="AA2" s="548"/>
      <c r="AC2" s="48"/>
      <c r="AD2" s="48"/>
      <c r="AE2" s="47"/>
      <c r="AF2" s="245"/>
      <c r="AG2" s="46"/>
      <c r="AH2" s="46"/>
      <c r="AI2" s="46"/>
      <c r="AJ2" s="548"/>
      <c r="AK2" s="548"/>
      <c r="AL2" s="548"/>
      <c r="AM2" s="548"/>
      <c r="AN2" s="548"/>
      <c r="AO2" s="50"/>
      <c r="AP2" s="50"/>
      <c r="AQ2" s="46"/>
      <c r="AR2" s="51"/>
      <c r="AS2" s="46"/>
      <c r="AT2" s="46"/>
      <c r="AU2" s="46"/>
      <c r="AV2" s="548"/>
      <c r="AW2" s="548"/>
      <c r="AX2" s="548"/>
      <c r="AY2" s="548"/>
      <c r="AZ2" s="548"/>
      <c r="BA2" s="50"/>
      <c r="BB2" s="50"/>
      <c r="BC2" s="50"/>
      <c r="BD2" s="249"/>
      <c r="BE2" s="46"/>
      <c r="BF2" s="46"/>
      <c r="BG2" s="46"/>
      <c r="BH2" s="548"/>
      <c r="BI2" s="548"/>
      <c r="BJ2" s="548"/>
      <c r="BK2" s="548"/>
      <c r="BL2" s="548"/>
      <c r="BM2" s="50"/>
      <c r="BN2" s="50"/>
      <c r="BO2" s="249"/>
      <c r="BP2" s="51"/>
      <c r="BQ2" s="46"/>
      <c r="CJ2" s="46" t="s">
        <v>490</v>
      </c>
      <c r="CT2" s="50"/>
      <c r="CU2" s="50"/>
      <c r="CV2" s="50"/>
      <c r="CW2" s="51"/>
      <c r="CX2" s="46"/>
      <c r="CY2" s="46"/>
      <c r="CZ2" s="46"/>
      <c r="DA2" s="46"/>
      <c r="DB2" s="46"/>
      <c r="DC2" s="46"/>
      <c r="DD2" s="46"/>
      <c r="DE2" s="46"/>
      <c r="DF2" s="46"/>
      <c r="DR2" s="46" t="s">
        <v>491</v>
      </c>
      <c r="DS2" s="46"/>
      <c r="DT2" s="46"/>
      <c r="DU2" s="46"/>
      <c r="DV2" s="46"/>
      <c r="DW2" s="46"/>
      <c r="DX2" s="46"/>
      <c r="DY2" s="46"/>
      <c r="DZ2" s="46"/>
      <c r="EA2" s="46"/>
    </row>
    <row r="3" spans="5:131">
      <c r="AH3" s="250"/>
      <c r="AJ3" s="549"/>
      <c r="AT3" s="154"/>
      <c r="AU3" s="149"/>
      <c r="AV3" s="549"/>
      <c r="AW3" s="549"/>
      <c r="AX3" s="549"/>
      <c r="AY3" s="549"/>
      <c r="AZ3" s="549"/>
      <c r="BA3" s="268"/>
      <c r="BB3" s="268"/>
      <c r="BC3" s="268"/>
      <c r="BD3" s="269"/>
      <c r="BE3" s="149"/>
      <c r="BF3" s="154"/>
      <c r="BG3" s="149"/>
      <c r="BH3" s="549"/>
      <c r="BI3" s="549"/>
      <c r="BJ3" s="549"/>
      <c r="BK3" s="549"/>
      <c r="BL3" s="549"/>
      <c r="BM3" s="268"/>
      <c r="BN3" s="268"/>
      <c r="BO3" s="269"/>
      <c r="BP3" s="270"/>
      <c r="BQ3" s="302"/>
      <c r="CO3" s="603" t="s">
        <v>533</v>
      </c>
    </row>
    <row r="4" spans="5:131">
      <c r="E4" s="547" t="s">
        <v>557</v>
      </c>
      <c r="W4" s="187"/>
      <c r="AH4" s="136"/>
      <c r="AJ4" s="549"/>
      <c r="AT4" s="152"/>
      <c r="AU4" s="271" t="s">
        <v>31</v>
      </c>
      <c r="AV4" s="549"/>
      <c r="AW4" s="549"/>
      <c r="AX4" s="549"/>
      <c r="AY4" s="549"/>
      <c r="AZ4" s="549"/>
      <c r="BA4" s="268"/>
      <c r="BB4" s="268"/>
      <c r="BC4" s="943">
        <f>Today</f>
        <v>40729</v>
      </c>
      <c r="BD4" s="943"/>
      <c r="BE4" s="149"/>
      <c r="BF4" s="152"/>
      <c r="BG4" s="271"/>
      <c r="BH4" s="549"/>
      <c r="BI4" s="549"/>
      <c r="BJ4" s="549"/>
      <c r="BK4" s="549"/>
      <c r="BL4" s="549"/>
      <c r="BM4" s="268"/>
      <c r="BN4" s="268"/>
      <c r="BO4" s="269"/>
      <c r="BP4" s="270"/>
      <c r="BQ4" s="303"/>
      <c r="CJ4" t="s">
        <v>274</v>
      </c>
      <c r="CO4" s="573" t="str">
        <f>PPP_string(PPP_Global,CV4)</f>
        <v>FRQ:30m</v>
      </c>
      <c r="CV4" s="253" t="s">
        <v>359</v>
      </c>
      <c r="DR4" s="137" t="s">
        <v>492</v>
      </c>
    </row>
    <row r="5" spans="5:131">
      <c r="W5" s="187" t="s">
        <v>124</v>
      </c>
      <c r="AA5" s="546" t="str">
        <f ca="1">_xll.RtUpdate("IDN",Y6:Y12,AA6,AC6,,RTMODE_RATES)</f>
        <v>Updated at 10:13:26</v>
      </c>
      <c r="AH5" s="136"/>
      <c r="AJ5" s="549"/>
      <c r="AT5" s="152"/>
      <c r="AU5" s="149"/>
      <c r="AV5" s="549"/>
      <c r="AW5" s="549"/>
      <c r="AX5" s="549"/>
      <c r="AY5" s="197" t="s">
        <v>273</v>
      </c>
      <c r="AZ5" s="549"/>
      <c r="BA5" s="268"/>
      <c r="BB5" s="268"/>
      <c r="BC5" s="268"/>
      <c r="BD5" s="269"/>
      <c r="BE5" s="149"/>
      <c r="BF5" s="152"/>
      <c r="BG5" s="271" t="s">
        <v>637</v>
      </c>
      <c r="BH5" s="549"/>
      <c r="BI5" s="549"/>
      <c r="BJ5" s="549"/>
      <c r="BK5" s="549"/>
      <c r="BL5" s="549"/>
      <c r="BM5" s="268"/>
      <c r="BN5" s="272" t="s">
        <v>520</v>
      </c>
      <c r="BO5" s="259" t="s">
        <v>166</v>
      </c>
      <c r="BP5" s="270"/>
      <c r="BQ5" s="303"/>
      <c r="BT5" s="286" t="s">
        <v>288</v>
      </c>
      <c r="BV5" s="284"/>
    </row>
    <row r="6" spans="5:131">
      <c r="E6" s="547" t="s">
        <v>514</v>
      </c>
      <c r="G6" s="828" t="str">
        <f>"FEI"&amp;$BO$5</f>
        <v>FEIcm1</v>
      </c>
      <c r="I6" s="547" t="s">
        <v>525</v>
      </c>
      <c r="K6" s="547" t="str">
        <f ca="1">_xll.RtUpdate("IDN",G6:G7,"EXPIRE DATE",L6,,RTMODE_RATES)</f>
        <v>Updated at 10:13:26</v>
      </c>
      <c r="L6" s="574" t="s">
        <v>501</v>
      </c>
      <c r="M6" s="593" t="s">
        <v>78</v>
      </c>
      <c r="N6" s="593" t="s">
        <v>517</v>
      </c>
      <c r="Q6" s="578" t="str">
        <f>IF(ISNUMBER(L6),"LIVE","DELAYED")</f>
        <v>DELAYED</v>
      </c>
      <c r="W6" s="251" t="s">
        <v>6</v>
      </c>
      <c r="Y6" s="573" t="s">
        <v>493</v>
      </c>
      <c r="AA6" s="573" t="s">
        <v>208</v>
      </c>
      <c r="AC6" s="257">
        <v>0.84625000000000006</v>
      </c>
      <c r="AE6" s="135"/>
      <c r="AF6" s="248">
        <f t="shared" ref="AF6:AF12" si="0">IF(ISNUMBER(AE6),AE6,AVERAGE(AC6:AD6))</f>
        <v>0.84625000000000006</v>
      </c>
      <c r="AH6" s="136"/>
      <c r="AI6" s="187" t="s">
        <v>503</v>
      </c>
      <c r="AJ6" s="549"/>
      <c r="AM6" s="546" t="str">
        <f ca="1">_xll.RtUpdate("IDN",AK7:AK12,AM7,AO7,,RTMODE_RATES)</f>
        <v>Updated at 10:13:26</v>
      </c>
      <c r="AQ6" s="187" t="s">
        <v>174</v>
      </c>
      <c r="AT6" s="152"/>
      <c r="AU6" s="271" t="s">
        <v>112</v>
      </c>
      <c r="AV6" s="549"/>
      <c r="AW6" s="549"/>
      <c r="AX6" s="549"/>
      <c r="AY6" s="573" t="str">
        <f>PPP_string(PPP_Global,BC6)</f>
        <v>FRQ:1m</v>
      </c>
      <c r="AZ6" s="549"/>
      <c r="BA6" s="268"/>
      <c r="BB6" s="268"/>
      <c r="BC6" s="259" t="s">
        <v>268</v>
      </c>
      <c r="BD6" s="269"/>
      <c r="BE6" s="149"/>
      <c r="BF6" s="152"/>
      <c r="BG6" s="271"/>
      <c r="BH6" s="549"/>
      <c r="BI6" s="549"/>
      <c r="BJ6" s="549"/>
      <c r="BK6" s="549"/>
      <c r="BL6" s="549"/>
      <c r="BM6" s="268"/>
      <c r="BN6" s="272"/>
      <c r="BO6" s="272"/>
      <c r="BP6" s="270"/>
      <c r="BQ6" s="303"/>
      <c r="BT6" s="285" t="s">
        <v>101</v>
      </c>
      <c r="BU6" s="188" t="s">
        <v>286</v>
      </c>
      <c r="BV6" s="188" t="s">
        <v>34</v>
      </c>
      <c r="BW6" s="188" t="s">
        <v>33</v>
      </c>
      <c r="BX6" s="188" t="s">
        <v>285</v>
      </c>
    </row>
    <row r="7" spans="5:131">
      <c r="G7" s="828" t="str">
        <f>"/FEI"&amp;$BO$5</f>
        <v>/FEIcm1</v>
      </c>
      <c r="I7" s="547" t="s">
        <v>526</v>
      </c>
      <c r="L7" s="574">
        <v>40805</v>
      </c>
      <c r="O7" s="593" t="s">
        <v>78</v>
      </c>
      <c r="W7" s="251" t="s">
        <v>0</v>
      </c>
      <c r="Y7" s="573" t="str">
        <f t="array" ref="Y7:Y12">"EURIBOR"&amp;W7:W12&amp;"D="</f>
        <v>EURIBOR1MD=</v>
      </c>
      <c r="AC7" s="257">
        <v>1.3360000000000001</v>
      </c>
      <c r="AE7" s="135"/>
      <c r="AF7" s="248">
        <f t="shared" si="0"/>
        <v>1.3360000000000001</v>
      </c>
      <c r="AH7" s="136"/>
      <c r="AI7" s="251" t="s">
        <v>0</v>
      </c>
      <c r="AJ7" s="549"/>
      <c r="AK7" s="573" t="str">
        <f t="array" ref="AK7:AK12">"EURIBOR"&amp;AI7:AI12&amp;"="</f>
        <v>EURIBOR1M=</v>
      </c>
      <c r="AM7" s="573" t="s">
        <v>208</v>
      </c>
      <c r="AO7" s="254">
        <v>1.3360000000000001</v>
      </c>
      <c r="AQ7" s="251" t="s">
        <v>26</v>
      </c>
      <c r="AR7" s="280">
        <f t="shared" ref="AR7:AR12" si="1">AVERAGE(L30:M30)</f>
        <v>1.661</v>
      </c>
      <c r="AT7" s="155"/>
      <c r="AU7" s="156"/>
      <c r="AV7" s="597"/>
      <c r="AW7" s="597"/>
      <c r="AX7" s="597"/>
      <c r="AY7" s="597"/>
      <c r="AZ7" s="597"/>
      <c r="BA7" s="274"/>
      <c r="BB7" s="274"/>
      <c r="BC7" s="274"/>
      <c r="BD7" s="275"/>
      <c r="BE7" s="156"/>
      <c r="BF7" s="155"/>
      <c r="BG7" s="156"/>
      <c r="BH7" s="597"/>
      <c r="BI7" s="597"/>
      <c r="BJ7" s="597"/>
      <c r="BK7" s="597"/>
      <c r="BL7" s="597"/>
      <c r="BM7" s="274"/>
      <c r="BN7" s="274"/>
      <c r="BO7" s="275"/>
      <c r="BP7" s="276"/>
      <c r="BQ7" s="277"/>
      <c r="BT7" s="285" t="s">
        <v>106</v>
      </c>
      <c r="BU7" s="188">
        <f t="array" ref="BU7:BU30">_xll.qIRsynthSCBasisReval(EUR.ZB.DISC,"1V3",_xll.qVectorMake(BP10:BP12,BP15,BP29:BP44))</f>
        <v>7.7000000165177402</v>
      </c>
      <c r="BV7" s="188">
        <f t="array" ref="BV7:BV30">_xll.qIRsynthSCBasisReval(EUR.ZB.DISC,"1V3",_xll.qVectorMake(AF7,BD19:BD20,BD23,BD29:BD44))</f>
        <v>1.6517724688025481E-8</v>
      </c>
      <c r="BW7" s="188">
        <f t="array" ref="BW7:BW30">_xll.qIRsynthSCBasisReval(EUR.ZB.DISC,"3V6",_xll.qVectorMake(AF12,AR29:AR45))</f>
        <v>13.829527966229966</v>
      </c>
      <c r="BX7" s="188">
        <f t="array" ref="BX7:BX30">_xll.qIRsynthSCBasisReval(EUR.ZB.DISC,"3V12",AR50:AR65)</f>
        <v>33.6</v>
      </c>
      <c r="CJ7" s="187" t="s">
        <v>206</v>
      </c>
      <c r="CK7" s="810"/>
      <c r="CL7" s="603"/>
      <c r="CM7" s="603"/>
      <c r="CN7" s="603"/>
      <c r="CO7" s="603"/>
      <c r="CP7" s="603"/>
      <c r="CQ7" s="603"/>
      <c r="CR7" s="603"/>
      <c r="CS7" s="603"/>
      <c r="CT7" s="604"/>
      <c r="CU7" s="604"/>
      <c r="CV7" s="604"/>
      <c r="CW7" s="282"/>
    </row>
    <row r="8" spans="5:131">
      <c r="O8" s="593" t="s">
        <v>78</v>
      </c>
      <c r="W8" s="251" t="s">
        <v>1</v>
      </c>
      <c r="Y8" s="573" t="str">
        <v>EURIBOR2MD=</v>
      </c>
      <c r="AC8" s="257">
        <v>1.4249999999999998</v>
      </c>
      <c r="AE8" s="135"/>
      <c r="AF8" s="248">
        <f t="shared" si="0"/>
        <v>1.4249999999999998</v>
      </c>
      <c r="AH8" s="136"/>
      <c r="AI8" s="251" t="s">
        <v>1</v>
      </c>
      <c r="AJ8" s="549"/>
      <c r="AK8" s="573" t="str">
        <v>EURIBOR2M=</v>
      </c>
      <c r="AO8" s="254">
        <v>1.4249999999999998</v>
      </c>
      <c r="AQ8" s="251" t="s">
        <v>7</v>
      </c>
      <c r="AR8" s="280">
        <f t="shared" si="1"/>
        <v>1.766</v>
      </c>
      <c r="AT8" s="136"/>
      <c r="AV8" s="549"/>
      <c r="AW8" s="549"/>
      <c r="AX8" s="549"/>
      <c r="AY8" s="549"/>
      <c r="AZ8" s="549"/>
      <c r="BF8" s="136"/>
      <c r="BH8" s="549"/>
      <c r="BI8" s="549"/>
      <c r="BJ8" s="549"/>
      <c r="BK8" s="549"/>
      <c r="BL8" s="549"/>
      <c r="BT8" s="285" t="s">
        <v>0</v>
      </c>
      <c r="BU8" s="188">
        <v>7.7000000165177402</v>
      </c>
      <c r="BV8" s="188">
        <v>1.6517724688025481E-8</v>
      </c>
      <c r="BW8" s="188">
        <v>13.829527966229966</v>
      </c>
      <c r="BX8" s="188">
        <v>33.6</v>
      </c>
      <c r="CJ8" s="187" t="s">
        <v>827</v>
      </c>
      <c r="CK8" s="810"/>
      <c r="CL8" s="603" t="str">
        <f ca="1">_xll.RtUpdate("IDN",CL9:CL18,CO9,CT9,,RTMODE_VOLS)</f>
        <v>Updated at 10:13:26</v>
      </c>
      <c r="CM8" s="603" t="str">
        <f ca="1">_xll.RtUpdate("IDN",CM9:CM18,CO9,CU9,,RTMODE_VOLS)</f>
        <v>Updated at 10:13:26</v>
      </c>
      <c r="CN8" s="603"/>
      <c r="CO8" s="603"/>
      <c r="CP8" s="603"/>
      <c r="CQ8" s="603"/>
      <c r="CR8" s="603"/>
      <c r="CS8" s="603"/>
      <c r="CT8" s="604" t="s">
        <v>207</v>
      </c>
      <c r="CU8" s="604" t="s">
        <v>205</v>
      </c>
      <c r="CV8" s="604" t="s">
        <v>209</v>
      </c>
      <c r="CW8" s="282" t="s">
        <v>20</v>
      </c>
    </row>
    <row r="9" spans="5:131">
      <c r="M9" s="594"/>
      <c r="N9" s="594"/>
      <c r="W9" s="251" t="s">
        <v>2</v>
      </c>
      <c r="Y9" s="573" t="str">
        <v>EURIBOR3MD=</v>
      </c>
      <c r="AC9" s="257">
        <v>1.5629999999999999</v>
      </c>
      <c r="AE9" s="135"/>
      <c r="AF9" s="248">
        <f t="shared" si="0"/>
        <v>1.5629999999999999</v>
      </c>
      <c r="AH9" s="136"/>
      <c r="AI9" s="251" t="s">
        <v>2</v>
      </c>
      <c r="AJ9" s="549"/>
      <c r="AK9" s="573" t="str">
        <v>EURIBOR3M=</v>
      </c>
      <c r="AO9" s="254">
        <v>1.5629999999999999</v>
      </c>
      <c r="AQ9" s="251" t="s">
        <v>9</v>
      </c>
      <c r="AR9" s="280">
        <f t="shared" si="1"/>
        <v>2.2895000000000003</v>
      </c>
      <c r="AT9" s="136"/>
      <c r="AU9" s="187" t="s">
        <v>32</v>
      </c>
      <c r="AV9" s="549"/>
      <c r="AX9" s="549"/>
      <c r="AY9" s="544" t="str">
        <f ca="1">_xll.RtUpdate("IDN",AW10:AW15,AY10:AY11,BA10,,RTMODE_RATES)</f>
        <v>Updated at 10:13:26</v>
      </c>
      <c r="AZ9" s="549"/>
      <c r="BF9" s="136"/>
      <c r="BG9" s="187" t="s">
        <v>35</v>
      </c>
      <c r="BH9" s="549"/>
      <c r="BJ9" s="549"/>
      <c r="BK9" s="544" t="str">
        <f ca="1">_xll.RtUpdate("IDN",BI10:BI21,BK10:BK11,BM10,,RTMODE_RATES)</f>
        <v>Updated at 10:13:26</v>
      </c>
      <c r="BL9" s="549"/>
      <c r="BT9" s="285" t="s">
        <v>1</v>
      </c>
      <c r="BU9" s="188">
        <v>10.6999999999988</v>
      </c>
      <c r="BV9" s="188">
        <v>1.6999999999988205</v>
      </c>
      <c r="BW9" s="188">
        <v>13.829527966229966</v>
      </c>
      <c r="BX9" s="188">
        <v>33.6</v>
      </c>
      <c r="CJ9" s="251" t="s">
        <v>25</v>
      </c>
      <c r="CL9" s="573" t="str">
        <f t="array" ref="CL9:CL18">"US"&amp;CJ9:CJ18&amp;"3LSTK=ICAP"</f>
        <v>US1Y3LSTK=ICAP</v>
      </c>
      <c r="CM9" s="573" t="str">
        <f t="array" ref="CM9:CM18">"US"&amp;CJ9:CJ18&amp;"3LATM=ICAP"</f>
        <v>US1Y3LATM=ICAP</v>
      </c>
      <c r="CO9" s="573" t="s">
        <v>208</v>
      </c>
      <c r="CT9" s="254">
        <v>0.45</v>
      </c>
      <c r="CU9" s="254">
        <v>90.710000000000008</v>
      </c>
      <c r="CV9" s="259"/>
      <c r="CW9" s="256">
        <f t="shared" ref="CW9:CW18" si="2">IF(ISNUMBER(CV9),CV9,CU9)</f>
        <v>90.710000000000008</v>
      </c>
    </row>
    <row r="10" spans="5:131">
      <c r="W10" s="251" t="s">
        <v>3</v>
      </c>
      <c r="Y10" s="573" t="str">
        <v>EURIBOR4MD=</v>
      </c>
      <c r="AC10" s="257">
        <v>1.627</v>
      </c>
      <c r="AE10" s="135"/>
      <c r="AF10" s="248">
        <f t="shared" si="0"/>
        <v>1.627</v>
      </c>
      <c r="AH10" s="136"/>
      <c r="AI10" s="251" t="s">
        <v>3</v>
      </c>
      <c r="AJ10" s="549"/>
      <c r="AK10" s="573" t="str">
        <v>EURIBOR4M=</v>
      </c>
      <c r="AO10" s="254">
        <v>1.627</v>
      </c>
      <c r="AQ10" s="251" t="s">
        <v>11</v>
      </c>
      <c r="AR10" s="280">
        <f t="shared" si="1"/>
        <v>2.66</v>
      </c>
      <c r="AT10" s="136"/>
      <c r="AU10" s="251" t="s">
        <v>184</v>
      </c>
      <c r="AV10" s="549"/>
      <c r="AW10" s="595" t="str">
        <f t="array" ref="AW10:AW15">"EUR"&amp;AU10:AU15&amp;"F=ICAP"</f>
        <v>EUR1X4F=ICAP</v>
      </c>
      <c r="AX10" s="549"/>
      <c r="AY10" s="595" t="s">
        <v>43</v>
      </c>
      <c r="AZ10" s="549"/>
      <c r="BA10" s="254">
        <v>1.6320000000000001</v>
      </c>
      <c r="BB10" s="254">
        <v>1.6820000000000002</v>
      </c>
      <c r="BC10" s="259"/>
      <c r="BD10" s="247">
        <f t="shared" ref="BD10:BD15" si="3">IF(ISNUMBER(BC10),BC10,AVERAGE(BA10:BB10))</f>
        <v>1.657</v>
      </c>
      <c r="BF10" s="136"/>
      <c r="BG10" s="251" t="s">
        <v>0</v>
      </c>
      <c r="BH10" s="549"/>
      <c r="BI10" s="595" t="str">
        <f t="shared" ref="BI10:BI21" si="4">"EUREON"&amp;BG10&amp;"=ICAP"</f>
        <v>EUREON1M=ICAP</v>
      </c>
      <c r="BJ10" s="549"/>
      <c r="BK10" s="595" t="s">
        <v>43</v>
      </c>
      <c r="BL10" s="549"/>
      <c r="BM10" s="254">
        <v>1.234</v>
      </c>
      <c r="BN10" s="254">
        <v>1.284</v>
      </c>
      <c r="BO10" s="253"/>
      <c r="BP10" s="256">
        <f t="shared" ref="BP10:BP15" si="5">IF(ISNUMBER(BO10),BO10,(BM10+BN10)/COUNTIF(BM10:BN10,"&lt;&gt;0"))</f>
        <v>1.2589999999999999</v>
      </c>
      <c r="BT10" s="285" t="s">
        <v>2</v>
      </c>
      <c r="BU10" s="188">
        <v>21.599999999995234</v>
      </c>
      <c r="BV10" s="188">
        <v>11.999999999995227</v>
      </c>
      <c r="BW10" s="188">
        <v>13.829527966229966</v>
      </c>
      <c r="BX10" s="188">
        <v>33.6</v>
      </c>
      <c r="CJ10" s="251" t="s">
        <v>26</v>
      </c>
      <c r="CL10" s="573" t="str">
        <v>US2Y3LSTK=ICAP</v>
      </c>
      <c r="CM10" s="573" t="str">
        <v>US2Y3LATM=ICAP</v>
      </c>
      <c r="CT10" s="254">
        <v>0.77999999999999992</v>
      </c>
      <c r="CU10" s="254">
        <v>82.04</v>
      </c>
      <c r="CV10" s="259"/>
      <c r="CW10" s="256">
        <f t="shared" si="2"/>
        <v>82.04</v>
      </c>
    </row>
    <row r="11" spans="5:131">
      <c r="E11" s="547" t="s">
        <v>558</v>
      </c>
      <c r="W11" s="251" t="s">
        <v>4</v>
      </c>
      <c r="Y11" s="573" t="str">
        <v>EURIBOR5MD=</v>
      </c>
      <c r="AC11" s="257">
        <v>1.7129999999999999</v>
      </c>
      <c r="AE11" s="135"/>
      <c r="AF11" s="248">
        <f t="shared" si="0"/>
        <v>1.7129999999999999</v>
      </c>
      <c r="AH11" s="136"/>
      <c r="AI11" s="251" t="s">
        <v>4</v>
      </c>
      <c r="AJ11" s="549"/>
      <c r="AK11" s="573" t="str">
        <v>EURIBOR5M=</v>
      </c>
      <c r="AO11" s="254">
        <v>1.7129999999999999</v>
      </c>
      <c r="AQ11" s="251" t="s">
        <v>14</v>
      </c>
      <c r="AR11" s="280">
        <f t="shared" si="1"/>
        <v>3.0105</v>
      </c>
      <c r="AT11" s="136"/>
      <c r="AU11" s="251" t="s">
        <v>185</v>
      </c>
      <c r="AV11" s="549"/>
      <c r="AW11" s="595" t="str">
        <v>EUR2X5F=ICAP</v>
      </c>
      <c r="AX11" s="549"/>
      <c r="AY11" s="595" t="s">
        <v>44</v>
      </c>
      <c r="AZ11" s="549"/>
      <c r="BA11" s="254">
        <v>1.7029999999999998</v>
      </c>
      <c r="BB11" s="254">
        <v>1.7529999999999999</v>
      </c>
      <c r="BC11" s="259"/>
      <c r="BD11" s="247">
        <f t="shared" si="3"/>
        <v>1.7279999999999998</v>
      </c>
      <c r="BF11" s="136"/>
      <c r="BG11" s="251" t="s">
        <v>1</v>
      </c>
      <c r="BH11" s="549"/>
      <c r="BI11" s="595" t="str">
        <f t="shared" si="4"/>
        <v>EUREON2M=ICAP</v>
      </c>
      <c r="BJ11" s="549"/>
      <c r="BK11" s="595" t="s">
        <v>44</v>
      </c>
      <c r="BL11" s="549"/>
      <c r="BM11" s="254">
        <v>1.2929999999999999</v>
      </c>
      <c r="BN11" s="254">
        <v>1.343</v>
      </c>
      <c r="BO11" s="253"/>
      <c r="BP11" s="256">
        <f t="shared" si="5"/>
        <v>1.3180000000000001</v>
      </c>
      <c r="BT11" s="285" t="s">
        <v>5</v>
      </c>
      <c r="BU11" s="188">
        <v>21.970472033770069</v>
      </c>
      <c r="BV11" s="188">
        <v>10.670472033770061</v>
      </c>
      <c r="BW11" s="188">
        <v>13.829527966229966</v>
      </c>
      <c r="BX11" s="188">
        <v>33.6</v>
      </c>
      <c r="CJ11" s="251" t="s">
        <v>7</v>
      </c>
      <c r="CL11" s="573" t="str">
        <v>US3Y3LSTK=ICAP</v>
      </c>
      <c r="CM11" s="573" t="str">
        <v>US3Y3LATM=ICAP</v>
      </c>
      <c r="CT11" s="254">
        <v>1.23</v>
      </c>
      <c r="CU11" s="254">
        <v>66.599999999999994</v>
      </c>
      <c r="CV11" s="259"/>
      <c r="CW11" s="256">
        <f t="shared" si="2"/>
        <v>66.599999999999994</v>
      </c>
    </row>
    <row r="12" spans="5:131">
      <c r="L12" s="570" t="s">
        <v>523</v>
      </c>
      <c r="Q12" s="570" t="s">
        <v>524</v>
      </c>
      <c r="W12" s="251" t="s">
        <v>5</v>
      </c>
      <c r="Y12" s="573" t="str">
        <v>EURIBOR6MD=</v>
      </c>
      <c r="AC12" s="257">
        <v>1.8029999999999999</v>
      </c>
      <c r="AE12" s="135"/>
      <c r="AF12" s="248">
        <f t="shared" si="0"/>
        <v>1.8029999999999999</v>
      </c>
      <c r="AH12" s="136"/>
      <c r="AI12" s="251" t="s">
        <v>5</v>
      </c>
      <c r="AJ12" s="549"/>
      <c r="AK12" s="573" t="str">
        <v>EURIBOR6M=</v>
      </c>
      <c r="AO12" s="254">
        <v>1.8029999999999999</v>
      </c>
      <c r="AQ12" s="251" t="s">
        <v>19</v>
      </c>
      <c r="AR12" s="280">
        <f t="shared" si="1"/>
        <v>3.6985000000000001</v>
      </c>
      <c r="AT12" s="136"/>
      <c r="AU12" s="251" t="s">
        <v>186</v>
      </c>
      <c r="AV12" s="549"/>
      <c r="AW12" s="595" t="str">
        <v>EUR3X6F=ICAP</v>
      </c>
      <c r="AX12" s="549"/>
      <c r="AY12" s="549"/>
      <c r="AZ12" s="549"/>
      <c r="BA12" s="254">
        <v>1.7809999999999999</v>
      </c>
      <c r="BB12" s="254">
        <v>1.831</v>
      </c>
      <c r="BC12" s="259"/>
      <c r="BD12" s="247">
        <f t="shared" si="3"/>
        <v>1.806</v>
      </c>
      <c r="BF12" s="136"/>
      <c r="BG12" s="251" t="s">
        <v>2</v>
      </c>
      <c r="BH12" s="549"/>
      <c r="BI12" s="595" t="str">
        <f t="shared" si="4"/>
        <v>EUREON3M=ICAP</v>
      </c>
      <c r="BJ12" s="549"/>
      <c r="BK12" s="549"/>
      <c r="BL12" s="549"/>
      <c r="BM12" s="254">
        <v>1.3220000000000001</v>
      </c>
      <c r="BN12" s="254">
        <v>1.3720000000000001</v>
      </c>
      <c r="BO12" s="253"/>
      <c r="BP12" s="256">
        <f t="shared" si="5"/>
        <v>1.347</v>
      </c>
      <c r="BT12" s="285" t="s">
        <v>25</v>
      </c>
      <c r="BU12" s="188">
        <v>25.500000000000004</v>
      </c>
      <c r="BV12" s="188">
        <v>13.6</v>
      </c>
      <c r="BW12" s="188">
        <v>13.4</v>
      </c>
      <c r="BX12" s="188">
        <v>33.6</v>
      </c>
      <c r="CJ12" s="251" t="s">
        <v>8</v>
      </c>
      <c r="CL12" s="573" t="str">
        <v>US4Y3LSTK=ICAP</v>
      </c>
      <c r="CM12" s="573" t="str">
        <v>US4Y3LATM=ICAP</v>
      </c>
      <c r="CT12" s="254">
        <v>1.6800000000000002</v>
      </c>
      <c r="CU12" s="254">
        <v>54.730000000000004</v>
      </c>
      <c r="CV12" s="259"/>
      <c r="CW12" s="256">
        <f t="shared" si="2"/>
        <v>54.730000000000004</v>
      </c>
    </row>
    <row r="13" spans="5:131">
      <c r="E13" s="547" t="s">
        <v>520</v>
      </c>
      <c r="F13" s="547" t="str">
        <f>_xll.qFuturesDateToCode(IF(Q6="LIVE",L6,L7))</f>
        <v>U1</v>
      </c>
      <c r="G13" s="828" t="str">
        <f t="array" ref="G13:G24">IF(Q6="DELAYED","/","") &amp; "FEI" &amp; F13:F24</f>
        <v>/FEIU1</v>
      </c>
      <c r="I13" s="573" t="s">
        <v>45</v>
      </c>
      <c r="K13" s="547" t="str">
        <f ca="1">_xll.RtUpdate("IDN",G13:G24,I13:I16,L13,,RTMODE_RATES)</f>
        <v>Updated at 10:22:53</v>
      </c>
      <c r="L13" s="574">
        <v>40805</v>
      </c>
      <c r="M13" s="581">
        <v>98.23</v>
      </c>
      <c r="N13" s="581">
        <v>98.240000000000009</v>
      </c>
      <c r="O13" s="581">
        <v>98.234999999999999</v>
      </c>
      <c r="Q13" s="574">
        <v>40805</v>
      </c>
      <c r="R13" s="580">
        <v>98.23</v>
      </c>
      <c r="S13" s="580">
        <v>98.240000000000009</v>
      </c>
      <c r="T13" s="580">
        <v>98.234999999999999</v>
      </c>
      <c r="AH13" s="136"/>
      <c r="AJ13" s="549"/>
      <c r="AT13" s="136"/>
      <c r="AU13" s="251" t="s">
        <v>187</v>
      </c>
      <c r="AV13" s="549"/>
      <c r="AW13" s="595" t="str">
        <v>EUR4X7F=ICAP</v>
      </c>
      <c r="AX13" s="549"/>
      <c r="AZ13" s="549"/>
      <c r="BA13" s="254">
        <v>1.8340000000000001</v>
      </c>
      <c r="BB13" s="254">
        <v>1.8840000000000001</v>
      </c>
      <c r="BC13" s="259"/>
      <c r="BD13" s="247">
        <f t="shared" si="3"/>
        <v>1.859</v>
      </c>
      <c r="BF13" s="136"/>
      <c r="BG13" s="251" t="s">
        <v>3</v>
      </c>
      <c r="BH13" s="549"/>
      <c r="BI13" s="595" t="str">
        <f t="shared" si="4"/>
        <v>EUREON4M=ICAP</v>
      </c>
      <c r="BJ13" s="549"/>
      <c r="BK13" s="549"/>
      <c r="BL13" s="549"/>
      <c r="BM13" s="254">
        <v>1.3580000000000001</v>
      </c>
      <c r="BN13" s="254">
        <v>1.4079999999999999</v>
      </c>
      <c r="BO13" s="253"/>
      <c r="BP13" s="256">
        <f t="shared" si="5"/>
        <v>1.383</v>
      </c>
      <c r="BT13" s="285" t="s">
        <v>26</v>
      </c>
      <c r="BU13" s="188">
        <v>26.6</v>
      </c>
      <c r="BV13" s="188">
        <v>13.6</v>
      </c>
      <c r="BW13" s="188">
        <v>13.9</v>
      </c>
      <c r="BX13" s="188">
        <v>31.9</v>
      </c>
      <c r="CJ13" s="251" t="s">
        <v>9</v>
      </c>
      <c r="CL13" s="573" t="str">
        <v>US5Y3LSTK=ICAP</v>
      </c>
      <c r="CM13" s="573" t="str">
        <v>US5Y3LATM=ICAP</v>
      </c>
      <c r="CT13" s="254">
        <v>2.11</v>
      </c>
      <c r="CU13" s="254">
        <v>46.61</v>
      </c>
      <c r="CV13" s="259"/>
      <c r="CW13" s="256">
        <f t="shared" si="2"/>
        <v>46.61</v>
      </c>
    </row>
    <row r="14" spans="5:131">
      <c r="F14" s="547" t="str">
        <f>_xll.qFuturesDateToCode(_xll.qFuturesCodeToDate(F13,Today)+92)</f>
        <v>Z1</v>
      </c>
      <c r="G14" s="828" t="str">
        <v>/FEIZ1</v>
      </c>
      <c r="I14" s="573" t="s">
        <v>43</v>
      </c>
      <c r="L14" s="574">
        <v>40896</v>
      </c>
      <c r="M14" s="581">
        <v>98.06</v>
      </c>
      <c r="N14" s="581">
        <v>98.07</v>
      </c>
      <c r="O14" s="581">
        <v>98.064999999999998</v>
      </c>
      <c r="Q14" s="574">
        <v>40896</v>
      </c>
      <c r="R14" s="580">
        <v>98.06</v>
      </c>
      <c r="S14" s="580">
        <v>98.07</v>
      </c>
      <c r="T14" s="580">
        <v>98.064999999999998</v>
      </c>
      <c r="W14" s="187" t="s">
        <v>500</v>
      </c>
      <c r="AD14" s="258" t="str">
        <f>IF(Q6="DELAYED","DELAYED","")</f>
        <v>DELAYED</v>
      </c>
      <c r="AF14" s="252" t="s">
        <v>20</v>
      </c>
      <c r="AH14" s="136"/>
      <c r="AI14" s="187" t="s">
        <v>122</v>
      </c>
      <c r="AJ14" s="549"/>
      <c r="AQ14" s="281" t="s">
        <v>277</v>
      </c>
      <c r="AR14" s="282" t="s">
        <v>278</v>
      </c>
      <c r="AT14" s="136"/>
      <c r="AU14" s="251" t="s">
        <v>188</v>
      </c>
      <c r="AV14" s="549"/>
      <c r="AW14" s="595" t="str">
        <v>EUR5X8F=ICAP</v>
      </c>
      <c r="AX14" s="549"/>
      <c r="AY14" s="549"/>
      <c r="AZ14" s="549"/>
      <c r="BA14" s="254">
        <v>1.8820000000000001</v>
      </c>
      <c r="BB14" s="254">
        <v>1.9319999999999999</v>
      </c>
      <c r="BC14" s="259"/>
      <c r="BD14" s="247">
        <f t="shared" si="3"/>
        <v>1.907</v>
      </c>
      <c r="BF14" s="136"/>
      <c r="BG14" s="251" t="s">
        <v>4</v>
      </c>
      <c r="BH14" s="549"/>
      <c r="BI14" s="595" t="str">
        <f t="shared" si="4"/>
        <v>EUREON5M=ICAP</v>
      </c>
      <c r="BJ14" s="549"/>
      <c r="BK14" s="549"/>
      <c r="BL14" s="549"/>
      <c r="BM14" s="254">
        <v>1.391</v>
      </c>
      <c r="BN14" s="254">
        <v>1.4409999999999998</v>
      </c>
      <c r="BO14" s="253"/>
      <c r="BP14" s="256">
        <f t="shared" si="5"/>
        <v>1.4159999999999999</v>
      </c>
      <c r="BT14" s="285" t="s">
        <v>7</v>
      </c>
      <c r="BU14" s="188">
        <v>26.4</v>
      </c>
      <c r="BV14" s="188">
        <v>13.5</v>
      </c>
      <c r="BW14" s="188">
        <v>13.8</v>
      </c>
      <c r="BX14" s="188">
        <v>30.3</v>
      </c>
      <c r="CJ14" s="251" t="s">
        <v>10</v>
      </c>
      <c r="CL14" s="573" t="str">
        <v>US6Y3LSTK=ICAP</v>
      </c>
      <c r="CM14" s="573" t="str">
        <v>US6Y3LATM=ICAP</v>
      </c>
      <c r="CT14" s="254">
        <v>2.4699999999999998</v>
      </c>
      <c r="CU14" s="254">
        <v>40.590000000000003</v>
      </c>
      <c r="CV14" s="259"/>
      <c r="CW14" s="256">
        <f t="shared" si="2"/>
        <v>40.590000000000003</v>
      </c>
    </row>
    <row r="15" spans="5:131">
      <c r="F15" s="547" t="str">
        <f>_xll.qFuturesDateToCode(_xll.qFuturesCodeToDate(F14,Today)+92)</f>
        <v>H2</v>
      </c>
      <c r="G15" s="828" t="str">
        <v>/FEIH2</v>
      </c>
      <c r="I15" s="573" t="s">
        <v>44</v>
      </c>
      <c r="L15" s="574">
        <v>40987</v>
      </c>
      <c r="M15" s="581">
        <v>97.965000000000003</v>
      </c>
      <c r="N15" s="581">
        <v>97.974999999999994</v>
      </c>
      <c r="O15" s="581">
        <v>97.97</v>
      </c>
      <c r="Q15" s="574">
        <v>40987</v>
      </c>
      <c r="R15" s="580">
        <v>97.965000000000003</v>
      </c>
      <c r="S15" s="580">
        <v>97.974999999999994</v>
      </c>
      <c r="T15" s="580">
        <v>97.97</v>
      </c>
      <c r="W15" s="251" t="str">
        <f t="array" ref="W15:W26">F13:F24</f>
        <v>U1</v>
      </c>
      <c r="AC15" s="266">
        <f t="array" ref="AC15:AD15">IF(AND(R13&lt;&gt;0,S13&lt;&gt;0),R13:S13,T13)</f>
        <v>98.23</v>
      </c>
      <c r="AD15" s="266">
        <v>98.240000000000009</v>
      </c>
      <c r="AE15" s="135"/>
      <c r="AF15" s="248">
        <f t="shared" ref="AF15:AF26" si="6">IF(ISNUMBER(AE15),AE15,AVERAGEIF(AC15:AD15,"&lt;&gt;0"))</f>
        <v>98.235000000000014</v>
      </c>
      <c r="AH15" s="136"/>
      <c r="AI15" s="251" t="str">
        <f t="shared" ref="AI15:AI26" si="7">W15</f>
        <v>U1</v>
      </c>
      <c r="AJ15" s="549"/>
      <c r="AO15" s="259"/>
      <c r="AP15" s="278">
        <f>IF(ISNUMBER(AO15),AO15,_xll.qFuturesConvexityAdjustment(AF15,Today,Q13,CW23,"EURODOLLAR"))</f>
        <v>1.147760648412266E-2</v>
      </c>
      <c r="AQ15" s="248">
        <f t="shared" ref="AQ15:AQ26" si="8">100-AF15</f>
        <v>1.7649999999999864</v>
      </c>
      <c r="AR15" s="248">
        <f t="shared" ref="AR15:AR26" si="9">AQ15-AP15%</f>
        <v>1.7648852239351451</v>
      </c>
      <c r="AT15" s="136"/>
      <c r="AU15" s="251" t="s">
        <v>189</v>
      </c>
      <c r="AV15" s="549"/>
      <c r="AW15" s="595" t="str">
        <v>EUR6X9F=ICAP</v>
      </c>
      <c r="AX15" s="549"/>
      <c r="AZ15" s="549"/>
      <c r="BA15" s="254">
        <v>1.9169999999999998</v>
      </c>
      <c r="BB15" s="254">
        <v>1.9669999999999999</v>
      </c>
      <c r="BC15" s="259"/>
      <c r="BD15" s="247">
        <f t="shared" si="3"/>
        <v>1.9419999999999997</v>
      </c>
      <c r="BF15" s="136"/>
      <c r="BG15" s="251" t="s">
        <v>5</v>
      </c>
      <c r="BH15" s="549"/>
      <c r="BI15" s="595" t="str">
        <f t="shared" si="4"/>
        <v>EUREON6M=ICAP</v>
      </c>
      <c r="BJ15" s="549"/>
      <c r="BK15" s="549"/>
      <c r="BL15" s="549"/>
      <c r="BM15" s="254">
        <v>1.42</v>
      </c>
      <c r="BN15" s="254">
        <v>1.47</v>
      </c>
      <c r="BO15" s="253"/>
      <c r="BP15" s="256">
        <f t="shared" si="5"/>
        <v>1.4449999999999998</v>
      </c>
      <c r="BT15" s="285" t="s">
        <v>8</v>
      </c>
      <c r="BU15" s="188">
        <v>25.7</v>
      </c>
      <c r="BV15" s="188">
        <v>13.3</v>
      </c>
      <c r="BW15" s="188">
        <v>13.6</v>
      </c>
      <c r="BX15" s="188">
        <v>28.8</v>
      </c>
      <c r="CJ15" s="251" t="s">
        <v>11</v>
      </c>
      <c r="CL15" s="573" t="str">
        <v>US7Y3LSTK=ICAP</v>
      </c>
      <c r="CM15" s="573" t="str">
        <v>US7Y3LATM=ICAP</v>
      </c>
      <c r="CT15" s="254">
        <v>2.75</v>
      </c>
      <c r="CU15" s="254">
        <v>36.92</v>
      </c>
      <c r="CV15" s="259"/>
      <c r="CW15" s="256">
        <f t="shared" si="2"/>
        <v>36.92</v>
      </c>
    </row>
    <row r="16" spans="5:131">
      <c r="F16" s="547" t="str">
        <f>_xll.qFuturesDateToCode(_xll.qFuturesCodeToDate(F15,Today)+92)</f>
        <v>M2</v>
      </c>
      <c r="G16" s="828" t="str">
        <v>/FEIM2</v>
      </c>
      <c r="I16" s="573" t="s">
        <v>522</v>
      </c>
      <c r="L16" s="574">
        <v>41078</v>
      </c>
      <c r="M16" s="581">
        <v>97.88</v>
      </c>
      <c r="N16" s="581">
        <v>97.894999999999996</v>
      </c>
      <c r="O16" s="581">
        <v>97.89</v>
      </c>
      <c r="Q16" s="574">
        <v>41078</v>
      </c>
      <c r="R16" s="580">
        <v>97.88</v>
      </c>
      <c r="S16" s="580">
        <v>97.894999999999996</v>
      </c>
      <c r="T16" s="580">
        <v>97.89</v>
      </c>
      <c r="W16" s="251" t="str">
        <v>Z1</v>
      </c>
      <c r="AC16" s="266">
        <f t="array" ref="AC16:AD16">IF(AND(R14&lt;&gt;0,S14&lt;&gt;0),R14:S14,T14-T13+AF15)</f>
        <v>98.06</v>
      </c>
      <c r="AD16" s="266">
        <v>98.07</v>
      </c>
      <c r="AE16" s="135"/>
      <c r="AF16" s="248">
        <f t="shared" si="6"/>
        <v>98.064999999999998</v>
      </c>
      <c r="AH16" s="136"/>
      <c r="AI16" s="251" t="str">
        <f t="shared" si="7"/>
        <v>Z1</v>
      </c>
      <c r="AJ16" s="549"/>
      <c r="AO16" s="259"/>
      <c r="AP16" s="278">
        <f>IF(ISNUMBER(AO16),AO16,_xll.qFuturesConvexityAdjustment(AF16,Today,Q14,CW24,"EURODOLLAR"))</f>
        <v>7.1554897292691599E-2</v>
      </c>
      <c r="AQ16" s="248">
        <f t="shared" si="8"/>
        <v>1.9350000000000023</v>
      </c>
      <c r="AR16" s="248">
        <f t="shared" si="9"/>
        <v>1.9342844510270754</v>
      </c>
      <c r="AT16" s="136"/>
      <c r="AV16" s="549"/>
      <c r="AW16" s="549"/>
      <c r="AX16" s="549"/>
      <c r="AY16" s="549"/>
      <c r="AZ16" s="549"/>
      <c r="BF16" s="136"/>
      <c r="BG16" s="251" t="s">
        <v>110</v>
      </c>
      <c r="BH16" s="549"/>
      <c r="BI16" s="595" t="str">
        <f t="shared" si="4"/>
        <v>EUREON7M=ICAP</v>
      </c>
      <c r="BJ16" s="549"/>
      <c r="BK16" s="549"/>
      <c r="BL16" s="549"/>
      <c r="BM16" s="254">
        <v>1.4489999999999998</v>
      </c>
      <c r="BN16" s="254">
        <v>1.4989999999999999</v>
      </c>
      <c r="BO16" s="253"/>
      <c r="BP16" s="256">
        <f t="shared" ref="BP16:BP21" si="10">IF(ISNUMBER(BO16),BO16,(BM16+BN16)/COUNTIF(BM16:BN16,"&lt;&gt;0"))</f>
        <v>1.4739999999999998</v>
      </c>
      <c r="BT16" s="285" t="s">
        <v>9</v>
      </c>
      <c r="BU16" s="188">
        <v>24.9</v>
      </c>
      <c r="BV16" s="188">
        <v>13.1</v>
      </c>
      <c r="BW16" s="188">
        <v>13.3</v>
      </c>
      <c r="BX16" s="188">
        <v>27.6</v>
      </c>
      <c r="CJ16" s="251" t="s">
        <v>12</v>
      </c>
      <c r="CL16" s="573" t="str">
        <v>US8Y3LSTK=ICAP</v>
      </c>
      <c r="CM16" s="573" t="str">
        <v>US8Y3LATM=ICAP</v>
      </c>
      <c r="CT16" s="254">
        <v>2.9899999999999998</v>
      </c>
      <c r="CU16" s="254">
        <v>34.260000000000005</v>
      </c>
      <c r="CV16" s="259"/>
      <c r="CW16" s="256">
        <f t="shared" si="2"/>
        <v>34.260000000000005</v>
      </c>
    </row>
    <row r="17" spans="5:101">
      <c r="F17" s="547" t="str">
        <f>_xll.qFuturesDateToCode(_xll.qFuturesCodeToDate(F16,Today)+92)</f>
        <v>U2</v>
      </c>
      <c r="G17" s="828" t="str">
        <v>/FEIU2</v>
      </c>
      <c r="L17" s="574">
        <v>41169</v>
      </c>
      <c r="M17" s="581">
        <v>97.795000000000002</v>
      </c>
      <c r="N17" s="581">
        <v>97.81</v>
      </c>
      <c r="O17" s="581">
        <v>97.81</v>
      </c>
      <c r="Q17" s="574">
        <v>41169</v>
      </c>
      <c r="R17" s="580">
        <v>97.795000000000002</v>
      </c>
      <c r="S17" s="580">
        <v>97.81</v>
      </c>
      <c r="T17" s="580">
        <v>97.81</v>
      </c>
      <c r="W17" s="251" t="str">
        <v>H2</v>
      </c>
      <c r="AC17" s="266">
        <f t="array" ref="AC17:AD17">IF(AND(R15&lt;&gt;0,S15&lt;&gt;0),R15:S15,T15-T14+AF16)</f>
        <v>97.965000000000003</v>
      </c>
      <c r="AD17" s="266">
        <v>97.974999999999994</v>
      </c>
      <c r="AE17" s="135"/>
      <c r="AF17" s="248">
        <f t="shared" si="6"/>
        <v>97.97</v>
      </c>
      <c r="AH17" s="136"/>
      <c r="AI17" s="251" t="str">
        <f t="shared" si="7"/>
        <v>H2</v>
      </c>
      <c r="AJ17" s="549"/>
      <c r="AO17" s="259"/>
      <c r="AP17" s="278">
        <f>IF(ISNUMBER(AO17),AO17,_xll.qFuturesConvexityAdjustment(AF17,Today,Q15,CW25,"EURODOLLAR"))</f>
        <v>0.20872939766554133</v>
      </c>
      <c r="AQ17" s="248">
        <f t="shared" si="8"/>
        <v>2.0300000000000011</v>
      </c>
      <c r="AR17" s="248">
        <f t="shared" si="9"/>
        <v>2.0279127060233457</v>
      </c>
      <c r="AT17" s="136"/>
      <c r="AV17" s="549"/>
      <c r="AW17" s="549"/>
      <c r="AX17" s="549"/>
      <c r="AZ17" s="549"/>
      <c r="BF17" s="136"/>
      <c r="BG17" s="251" t="s">
        <v>111</v>
      </c>
      <c r="BH17" s="549"/>
      <c r="BI17" s="595" t="str">
        <f t="shared" si="4"/>
        <v>EUREON8M=ICAP</v>
      </c>
      <c r="BJ17" s="549"/>
      <c r="BK17" s="549"/>
      <c r="BL17" s="549"/>
      <c r="BM17" s="254">
        <v>1.4769999999999999</v>
      </c>
      <c r="BN17" s="254">
        <v>1.5269999999999999</v>
      </c>
      <c r="BO17" s="253"/>
      <c r="BP17" s="256">
        <f t="shared" si="10"/>
        <v>1.5019999999999998</v>
      </c>
      <c r="BT17" s="285" t="s">
        <v>10</v>
      </c>
      <c r="BU17" s="188">
        <v>23.9</v>
      </c>
      <c r="BV17" s="188">
        <v>12.8</v>
      </c>
      <c r="BW17" s="188">
        <v>12.900000000000002</v>
      </c>
      <c r="BX17" s="188">
        <v>26.4</v>
      </c>
      <c r="CJ17" s="251" t="s">
        <v>13</v>
      </c>
      <c r="CL17" s="573" t="str">
        <v>US9Y3LSTK=ICAP</v>
      </c>
      <c r="CM17" s="573" t="str">
        <v>US9Y3LATM=ICAP</v>
      </c>
      <c r="CT17" s="254">
        <v>3.18</v>
      </c>
      <c r="CU17" s="254">
        <v>32.349999999999994</v>
      </c>
      <c r="CV17" s="259"/>
      <c r="CW17" s="256">
        <f t="shared" si="2"/>
        <v>32.349999999999994</v>
      </c>
    </row>
    <row r="18" spans="5:101">
      <c r="F18" s="547" t="str">
        <f>_xll.qFuturesDateToCode(_xll.qFuturesCodeToDate(F17,Today)+92)</f>
        <v>Z2</v>
      </c>
      <c r="G18" s="828" t="str">
        <v>/FEIZ2</v>
      </c>
      <c r="L18" s="574">
        <v>41260</v>
      </c>
      <c r="M18" s="581">
        <v>97.66</v>
      </c>
      <c r="N18" s="581">
        <v>97.704999999999998</v>
      </c>
      <c r="O18" s="581">
        <v>97.704999999999998</v>
      </c>
      <c r="Q18" s="574">
        <v>41260</v>
      </c>
      <c r="R18" s="580">
        <v>97.66</v>
      </c>
      <c r="S18" s="580">
        <v>97.704999999999998</v>
      </c>
      <c r="T18" s="580">
        <v>97.704999999999998</v>
      </c>
      <c r="W18" s="251" t="str">
        <v>M2</v>
      </c>
      <c r="AC18" s="266">
        <f t="array" ref="AC18:AD18">IF(AND(R16&lt;&gt;0,S16&lt;&gt;0),R16:S16,T16-T15+AF17)</f>
        <v>97.88</v>
      </c>
      <c r="AD18" s="266">
        <v>97.894999999999996</v>
      </c>
      <c r="AE18" s="135"/>
      <c r="AF18" s="248">
        <f t="shared" si="6"/>
        <v>97.887499999999989</v>
      </c>
      <c r="AH18" s="136"/>
      <c r="AI18" s="251" t="str">
        <f t="shared" si="7"/>
        <v>M2</v>
      </c>
      <c r="AJ18" s="549"/>
      <c r="AO18" s="259"/>
      <c r="AP18" s="278">
        <f>IF(ISNUMBER(AO18),AO18,_xll.qFuturesConvexityAdjustment(AF18,Today,Q16,CW26,"EURODOLLAR"))</f>
        <v>0.45895695833304551</v>
      </c>
      <c r="AQ18" s="248">
        <f t="shared" si="8"/>
        <v>2.1125000000000114</v>
      </c>
      <c r="AR18" s="248">
        <f t="shared" si="9"/>
        <v>2.1079104304166809</v>
      </c>
      <c r="AT18" s="136"/>
      <c r="AU18" s="187" t="s">
        <v>37</v>
      </c>
      <c r="AV18" s="549"/>
      <c r="AX18" s="549"/>
      <c r="AY18" s="544" t="str">
        <f ca="1">_xll.RtUpdate("IDN",AW19:AW26,AY19:AY20,BA19,,RTMODE_RATES)</f>
        <v>Updated at 10:13:26</v>
      </c>
      <c r="AZ18" s="549"/>
      <c r="BF18" s="136"/>
      <c r="BG18" s="251" t="s">
        <v>30</v>
      </c>
      <c r="BH18" s="549"/>
      <c r="BI18" s="595" t="str">
        <f t="shared" si="4"/>
        <v>EUREON9M=ICAP</v>
      </c>
      <c r="BJ18" s="549"/>
      <c r="BK18" s="549"/>
      <c r="BL18" s="549"/>
      <c r="BM18" s="254">
        <v>1.5069999999999999</v>
      </c>
      <c r="BN18" s="254">
        <v>1.5569999999999999</v>
      </c>
      <c r="BO18" s="253"/>
      <c r="BP18" s="256">
        <f t="shared" si="10"/>
        <v>1.532</v>
      </c>
      <c r="BT18" s="285" t="s">
        <v>11</v>
      </c>
      <c r="BU18" s="188">
        <v>22.9</v>
      </c>
      <c r="BV18" s="188">
        <v>12.6</v>
      </c>
      <c r="BW18" s="188">
        <v>12.6</v>
      </c>
      <c r="BX18" s="188">
        <v>25.4</v>
      </c>
      <c r="CJ18" s="251" t="s">
        <v>14</v>
      </c>
      <c r="CL18" s="573" t="str">
        <v>US10Y3LSTK=ICAP</v>
      </c>
      <c r="CM18" s="573" t="str">
        <v>US10Y3LATM=ICAP</v>
      </c>
      <c r="CT18" s="254">
        <v>3.3299999999999996</v>
      </c>
      <c r="CU18" s="254">
        <v>30.87</v>
      </c>
      <c r="CV18" s="259"/>
      <c r="CW18" s="256">
        <f t="shared" si="2"/>
        <v>30.87</v>
      </c>
    </row>
    <row r="19" spans="5:101">
      <c r="F19" s="547" t="str">
        <f>_xll.qFuturesDateToCode(_xll.qFuturesCodeToDate(F18,Today)+92)</f>
        <v>H3</v>
      </c>
      <c r="G19" s="828" t="str">
        <v>/FEIH3</v>
      </c>
      <c r="L19" s="574">
        <v>41351</v>
      </c>
      <c r="M19" s="581">
        <v>97.56</v>
      </c>
      <c r="N19" s="581">
        <v>97.63</v>
      </c>
      <c r="O19" s="581">
        <v>97.61999999999999</v>
      </c>
      <c r="Q19" s="574">
        <v>41351</v>
      </c>
      <c r="R19" s="580">
        <v>97.56</v>
      </c>
      <c r="S19" s="580">
        <v>97.63</v>
      </c>
      <c r="T19" s="580">
        <v>97.61999999999999</v>
      </c>
      <c r="W19" s="251" t="str">
        <v>U2</v>
      </c>
      <c r="AC19" s="266">
        <f t="array" ref="AC19:AD19">IF(AND(R17&lt;&gt;0,S17&lt;&gt;0),R17:S17,T17-T16+AF18)</f>
        <v>97.795000000000002</v>
      </c>
      <c r="AD19" s="266">
        <v>97.81</v>
      </c>
      <c r="AE19" s="135"/>
      <c r="AF19" s="248">
        <f t="shared" si="6"/>
        <v>97.802500000000009</v>
      </c>
      <c r="AH19" s="136"/>
      <c r="AI19" s="251" t="str">
        <f t="shared" si="7"/>
        <v>U2</v>
      </c>
      <c r="AJ19" s="549"/>
      <c r="AO19" s="259"/>
      <c r="AP19" s="278">
        <f>IF(ISNUMBER(AO19),AO19,_xll.qFuturesConvexityAdjustment(AF19,Today,Q17,CW27,"EURODOLLAR"))</f>
        <v>0.79833454757811673</v>
      </c>
      <c r="AQ19" s="248">
        <f t="shared" si="8"/>
        <v>2.1974999999999909</v>
      </c>
      <c r="AR19" s="248">
        <f t="shared" si="9"/>
        <v>2.1895166545242097</v>
      </c>
      <c r="AT19" s="136"/>
      <c r="AU19" s="251" t="s">
        <v>190</v>
      </c>
      <c r="AV19" s="549"/>
      <c r="AW19" s="595" t="str">
        <f t="array" ref="AW19:AW26">"EUR"&amp;AU19:AU26&amp;"S=ICAP"</f>
        <v>EUR2X1S=ICAP</v>
      </c>
      <c r="AX19" s="549"/>
      <c r="AY19" s="595" t="s">
        <v>43</v>
      </c>
      <c r="AZ19" s="549"/>
      <c r="BA19" s="254">
        <v>1.383</v>
      </c>
      <c r="BB19" s="254">
        <v>1.4329999999999998</v>
      </c>
      <c r="BC19" s="259"/>
      <c r="BD19" s="247">
        <f t="shared" ref="BD19:BD26" si="11">IF(ISNUMBER(BC19),BC19,AVERAGE(BA19:BB19))</f>
        <v>1.4079999999999999</v>
      </c>
      <c r="BF19" s="136"/>
      <c r="BG19" s="251" t="s">
        <v>505</v>
      </c>
      <c r="BH19" s="549"/>
      <c r="BI19" s="595" t="str">
        <f t="shared" si="4"/>
        <v>EUREON10M=ICAP</v>
      </c>
      <c r="BJ19" s="549"/>
      <c r="BK19" s="549"/>
      <c r="BL19" s="549"/>
      <c r="BM19" s="254">
        <v>1.5289999999999999</v>
      </c>
      <c r="BN19" s="254">
        <v>1.579</v>
      </c>
      <c r="BO19" s="253"/>
      <c r="BP19" s="256">
        <f t="shared" si="10"/>
        <v>1.5539999999999998</v>
      </c>
      <c r="BT19" s="285" t="s">
        <v>12</v>
      </c>
      <c r="BU19" s="188">
        <v>22</v>
      </c>
      <c r="BV19" s="188">
        <v>12.4</v>
      </c>
      <c r="BW19" s="188">
        <v>12.299999999999999</v>
      </c>
      <c r="BX19" s="188">
        <v>24.4</v>
      </c>
    </row>
    <row r="20" spans="5:101">
      <c r="F20" s="547" t="str">
        <f>_xll.qFuturesDateToCode(_xll.qFuturesCodeToDate(F19,Today)+92)</f>
        <v>M3</v>
      </c>
      <c r="G20" s="828" t="str">
        <v>/FEIM3</v>
      </c>
      <c r="L20" s="574">
        <v>41442</v>
      </c>
      <c r="M20" s="581">
        <v>97.490000000000009</v>
      </c>
      <c r="N20" s="581">
        <v>97.524999999999991</v>
      </c>
      <c r="O20" s="581">
        <v>97.515000000000001</v>
      </c>
      <c r="Q20" s="574">
        <v>41442</v>
      </c>
      <c r="R20" s="580">
        <v>97.490000000000009</v>
      </c>
      <c r="S20" s="580">
        <v>97.524999999999991</v>
      </c>
      <c r="T20" s="580">
        <v>97.515000000000001</v>
      </c>
      <c r="W20" s="251" t="str">
        <v>Z2</v>
      </c>
      <c r="AC20" s="266">
        <f t="array" ref="AC20:AD20">IF(AND(R18&lt;&gt;0,S18&lt;&gt;0),R18:S18,T18-T17+AF19)</f>
        <v>97.66</v>
      </c>
      <c r="AD20" s="266">
        <v>97.704999999999998</v>
      </c>
      <c r="AE20" s="135"/>
      <c r="AF20" s="248">
        <f t="shared" si="6"/>
        <v>97.682500000000005</v>
      </c>
      <c r="AH20" s="136"/>
      <c r="AI20" s="251" t="str">
        <f t="shared" si="7"/>
        <v>Z2</v>
      </c>
      <c r="AJ20" s="549"/>
      <c r="AO20" s="259"/>
      <c r="AP20" s="278">
        <f>IF(ISNUMBER(AO20),AO20,_xll.qFuturesConvexityAdjustment(AF20,Today,Q18,CW28,"EURODOLLAR"))</f>
        <v>1.3297518182678658</v>
      </c>
      <c r="AQ20" s="248">
        <f t="shared" si="8"/>
        <v>2.3174999999999955</v>
      </c>
      <c r="AR20" s="248">
        <f t="shared" si="9"/>
        <v>2.3042024818173168</v>
      </c>
      <c r="AT20" s="136"/>
      <c r="AU20" s="251" t="s">
        <v>191</v>
      </c>
      <c r="AV20" s="549"/>
      <c r="AW20" s="595" t="str">
        <v>EUR3X1S=ICAP</v>
      </c>
      <c r="AX20" s="549"/>
      <c r="AY20" s="595" t="s">
        <v>44</v>
      </c>
      <c r="AZ20" s="549"/>
      <c r="BA20" s="254">
        <v>1.4179999999999999</v>
      </c>
      <c r="BB20" s="254">
        <v>1.468</v>
      </c>
      <c r="BC20" s="259"/>
      <c r="BD20" s="247">
        <f t="shared" si="11"/>
        <v>1.4430000000000001</v>
      </c>
      <c r="BF20" s="136"/>
      <c r="BG20" s="251" t="s">
        <v>506</v>
      </c>
      <c r="BH20" s="549"/>
      <c r="BI20" s="595" t="str">
        <f t="shared" si="4"/>
        <v>EUREON11M=ICAP</v>
      </c>
      <c r="BJ20" s="549"/>
      <c r="BK20" s="549"/>
      <c r="BL20" s="549"/>
      <c r="BM20" s="254">
        <v>1.55</v>
      </c>
      <c r="BN20" s="254">
        <v>1.6</v>
      </c>
      <c r="BO20" s="253"/>
      <c r="BP20" s="256">
        <f t="shared" si="10"/>
        <v>1.5750000000000002</v>
      </c>
      <c r="BT20" s="285" t="s">
        <v>13</v>
      </c>
      <c r="BU20" s="188">
        <v>21.100000000000005</v>
      </c>
      <c r="BV20" s="188">
        <v>12.1</v>
      </c>
      <c r="BW20" s="188">
        <v>11.9</v>
      </c>
      <c r="BX20" s="188">
        <v>23.400000000000002</v>
      </c>
    </row>
    <row r="21" spans="5:101">
      <c r="F21" s="547" t="str">
        <f>_xll.qFuturesDateToCode(_xll.qFuturesCodeToDate(F20,Today)+92)</f>
        <v>U3</v>
      </c>
      <c r="G21" s="828" t="str">
        <v>/FEIU3</v>
      </c>
      <c r="L21" s="574">
        <v>41533</v>
      </c>
      <c r="M21" s="581">
        <v>97.334999999999994</v>
      </c>
      <c r="N21" s="581">
        <v>97.4</v>
      </c>
      <c r="O21" s="581">
        <v>97.394999999999996</v>
      </c>
      <c r="Q21" s="574">
        <v>41533</v>
      </c>
      <c r="R21" s="580">
        <v>97.334999999999994</v>
      </c>
      <c r="S21" s="580">
        <v>97.4</v>
      </c>
      <c r="T21" s="580">
        <v>97.394999999999996</v>
      </c>
      <c r="W21" s="251" t="str">
        <v>H3</v>
      </c>
      <c r="AC21" s="266">
        <f t="array" ref="AC21:AD21">IF(AND(R19&lt;&gt;0,S19&lt;&gt;0),R19:S19,T19-T18+AF20)</f>
        <v>97.56</v>
      </c>
      <c r="AD21" s="266">
        <v>97.63</v>
      </c>
      <c r="AE21" s="135"/>
      <c r="AF21" s="248">
        <f t="shared" si="6"/>
        <v>97.594999999999999</v>
      </c>
      <c r="AH21" s="136"/>
      <c r="AI21" s="251" t="str">
        <f t="shared" si="7"/>
        <v>H3</v>
      </c>
      <c r="AJ21" s="549"/>
      <c r="AO21" s="259"/>
      <c r="AP21" s="278">
        <f>IF(ISNUMBER(AO21),AO21,_xll.qFuturesConvexityAdjustment(AF21,Today,Q19,CW29,"EURODOLLAR"))</f>
        <v>1.820779780862436</v>
      </c>
      <c r="AQ21" s="248">
        <f t="shared" si="8"/>
        <v>2.4050000000000011</v>
      </c>
      <c r="AR21" s="248">
        <f t="shared" si="9"/>
        <v>2.3867922021913768</v>
      </c>
      <c r="AT21" s="136"/>
      <c r="AU21" s="251" t="s">
        <v>192</v>
      </c>
      <c r="AV21" s="549"/>
      <c r="AW21" s="595" t="str">
        <v>EUR4X1S=ICAP</v>
      </c>
      <c r="AX21" s="549"/>
      <c r="AY21" s="549"/>
      <c r="AZ21" s="549"/>
      <c r="BA21" s="254">
        <v>1.4609999999999999</v>
      </c>
      <c r="BB21" s="254">
        <v>1.5109999999999999</v>
      </c>
      <c r="BC21" s="259"/>
      <c r="BD21" s="247">
        <f t="shared" si="11"/>
        <v>1.4859999999999998</v>
      </c>
      <c r="BF21" s="136"/>
      <c r="BG21" s="251" t="s">
        <v>25</v>
      </c>
      <c r="BH21" s="549"/>
      <c r="BI21" s="595" t="str">
        <f t="shared" si="4"/>
        <v>EUREON1Y=ICAP</v>
      </c>
      <c r="BJ21" s="549"/>
      <c r="BL21" s="549"/>
      <c r="BM21" s="254">
        <v>1.56</v>
      </c>
      <c r="BN21" s="254">
        <v>1.6300000000000001</v>
      </c>
      <c r="BO21" s="253"/>
      <c r="BP21" s="256">
        <f t="shared" si="10"/>
        <v>1.5950000000000002</v>
      </c>
      <c r="BT21" s="285" t="s">
        <v>14</v>
      </c>
      <c r="BU21" s="188">
        <v>20.399999999999999</v>
      </c>
      <c r="BV21" s="188">
        <v>11.9</v>
      </c>
      <c r="BW21" s="188">
        <v>11.5</v>
      </c>
      <c r="BX21" s="188">
        <v>22.4</v>
      </c>
      <c r="CJ21" s="187" t="s">
        <v>826</v>
      </c>
      <c r="CK21" s="810"/>
      <c r="CL21" s="603"/>
      <c r="CM21" s="603"/>
      <c r="CN21" s="603"/>
      <c r="CO21" s="603"/>
      <c r="CP21" s="603"/>
      <c r="CQ21" s="603"/>
      <c r="CR21" s="603"/>
      <c r="CS21" s="603"/>
      <c r="CT21" s="604"/>
      <c r="CU21" s="604"/>
      <c r="CV21" s="604"/>
      <c r="CW21" s="811" t="str">
        <f>AD14</f>
        <v>DELAYED</v>
      </c>
    </row>
    <row r="22" spans="5:101">
      <c r="F22" s="547" t="str">
        <f>_xll.qFuturesDateToCode(_xll.qFuturesCodeToDate(F21,Today)+92)</f>
        <v>Z3</v>
      </c>
      <c r="G22" s="828" t="str">
        <v>/FEIZ3</v>
      </c>
      <c r="L22" s="574">
        <v>41624</v>
      </c>
      <c r="M22" s="581">
        <v>97.184999999999988</v>
      </c>
      <c r="N22" s="581">
        <v>97.26</v>
      </c>
      <c r="O22" s="581">
        <v>97.254999999999995</v>
      </c>
      <c r="Q22" s="574">
        <v>41624</v>
      </c>
      <c r="R22" s="580">
        <v>97.184999999999988</v>
      </c>
      <c r="S22" s="580">
        <v>97.26</v>
      </c>
      <c r="T22" s="580">
        <v>97.254999999999995</v>
      </c>
      <c r="W22" s="251" t="str">
        <v>M3</v>
      </c>
      <c r="AC22" s="266">
        <f t="array" ref="AC22:AD22">IF(AND(R20&lt;&gt;0,S20&lt;&gt;0),R20:S20,T20-T19+AF21)</f>
        <v>97.490000000000009</v>
      </c>
      <c r="AD22" s="266">
        <v>97.524999999999991</v>
      </c>
      <c r="AE22" s="135"/>
      <c r="AF22" s="248">
        <f t="shared" si="6"/>
        <v>97.507499999999993</v>
      </c>
      <c r="AH22" s="136"/>
      <c r="AI22" s="251" t="str">
        <f t="shared" si="7"/>
        <v>M3</v>
      </c>
      <c r="AJ22" s="549"/>
      <c r="AO22" s="259"/>
      <c r="AP22" s="278">
        <f>IF(ISNUMBER(AO22),AO22,_xll.qFuturesConvexityAdjustment(AF22,Today,Q20,CW30,"EURODOLLAR"))</f>
        <v>2.3108233312474358</v>
      </c>
      <c r="AQ22" s="248">
        <f t="shared" si="8"/>
        <v>2.4925000000000068</v>
      </c>
      <c r="AR22" s="248">
        <f t="shared" si="9"/>
        <v>2.4693917666875325</v>
      </c>
      <c r="AT22" s="136"/>
      <c r="AU22" s="251" t="s">
        <v>193</v>
      </c>
      <c r="AV22" s="549"/>
      <c r="AW22" s="595" t="str">
        <v>EUR5X1S=ICAP</v>
      </c>
      <c r="AX22" s="549"/>
      <c r="AZ22" s="549"/>
      <c r="BA22" s="254">
        <v>1.4989999999999999</v>
      </c>
      <c r="BB22" s="254">
        <v>1.5489999999999999</v>
      </c>
      <c r="BC22" s="259"/>
      <c r="BD22" s="247">
        <f t="shared" si="11"/>
        <v>1.524</v>
      </c>
      <c r="BF22" s="136"/>
      <c r="BH22" s="549"/>
      <c r="BI22" s="549"/>
      <c r="BJ22" s="549"/>
      <c r="BK22" s="549"/>
      <c r="BL22" s="549"/>
      <c r="BT22" s="285" t="s">
        <v>199</v>
      </c>
      <c r="BU22" s="188">
        <v>19.7</v>
      </c>
      <c r="BV22" s="188">
        <v>11.700000000000001</v>
      </c>
      <c r="BW22" s="188">
        <v>11.2</v>
      </c>
      <c r="BX22" s="188">
        <v>21.5</v>
      </c>
      <c r="CJ22" s="187" t="s">
        <v>827</v>
      </c>
      <c r="CK22" s="810"/>
      <c r="CL22" s="603" t="str">
        <f ca="1">_xll.RtUpdate(IF(Q6="DELAYED","dIDN_SELECTFEED","IDN"),CL23:CL34,CO23,CQ23,,RTMODE_VOLS)</f>
        <v>Updated at 10:13:26</v>
      </c>
      <c r="CM22" s="603" t="str">
        <f ca="1">_xll.RtUpdate(IF(Q6="DELAYED","dIDN_SELECTFEED","IDN"),CM23:CM34,CO23,CR23,,RTMODE_VOLS)</f>
        <v>Updated at 10:13:26</v>
      </c>
      <c r="CN22" s="603"/>
      <c r="CO22" s="603"/>
      <c r="CP22" s="603"/>
      <c r="CQ22" s="603"/>
      <c r="CR22" s="603"/>
      <c r="CS22" s="603"/>
      <c r="CT22" s="604" t="s">
        <v>207</v>
      </c>
      <c r="CU22" s="604" t="s">
        <v>817</v>
      </c>
      <c r="CV22" s="604" t="s">
        <v>209</v>
      </c>
      <c r="CW22" s="282" t="s">
        <v>814</v>
      </c>
    </row>
    <row r="23" spans="5:101">
      <c r="F23" s="547" t="str">
        <f>_xll.qFuturesDateToCode(_xll.qFuturesCodeToDate(F22,Today)+92)</f>
        <v>H4</v>
      </c>
      <c r="G23" s="828" t="str">
        <v>/FEIH4</v>
      </c>
      <c r="L23" s="574">
        <v>41715</v>
      </c>
      <c r="M23" s="581">
        <v>96.84</v>
      </c>
      <c r="N23" s="581">
        <v>97.14</v>
      </c>
      <c r="O23" s="581">
        <v>97.14</v>
      </c>
      <c r="Q23" s="574">
        <v>41715</v>
      </c>
      <c r="R23" s="580">
        <v>96.84</v>
      </c>
      <c r="S23" s="580">
        <v>97.14</v>
      </c>
      <c r="T23" s="580">
        <v>97.14</v>
      </c>
      <c r="W23" s="251" t="str">
        <v>U3</v>
      </c>
      <c r="AC23" s="266">
        <f t="array" ref="AC23:AD23">IF(AND(R21&lt;&gt;0,S21&lt;&gt;0),R21:S21,T21-T20+AF22)</f>
        <v>97.334999999999994</v>
      </c>
      <c r="AD23" s="266">
        <v>97.4</v>
      </c>
      <c r="AE23" s="135"/>
      <c r="AF23" s="248">
        <f t="shared" si="6"/>
        <v>97.367500000000007</v>
      </c>
      <c r="AH23" s="136"/>
      <c r="AI23" s="251" t="str">
        <f t="shared" si="7"/>
        <v>U3</v>
      </c>
      <c r="AJ23" s="549"/>
      <c r="AO23" s="259"/>
      <c r="AP23" s="278">
        <f>IF(ISNUMBER(AO23),AO23,_xll.qFuturesConvexityAdjustment(AF23,Today,Q21,CW31,"EURODOLLAR"))</f>
        <v>2.8505772179188149</v>
      </c>
      <c r="AQ23" s="248">
        <f t="shared" si="8"/>
        <v>2.6324999999999932</v>
      </c>
      <c r="AR23" s="248">
        <f t="shared" si="9"/>
        <v>2.603994227820805</v>
      </c>
      <c r="AT23" s="136"/>
      <c r="AU23" s="251" t="s">
        <v>194</v>
      </c>
      <c r="AV23" s="549"/>
      <c r="AW23" s="595" t="str">
        <v>EUR6X1S=ICAP</v>
      </c>
      <c r="AX23" s="549"/>
      <c r="AY23" s="549"/>
      <c r="AZ23" s="549"/>
      <c r="BA23" s="254">
        <v>1.5329999999999999</v>
      </c>
      <c r="BB23" s="254">
        <v>1.583</v>
      </c>
      <c r="BC23" s="259"/>
      <c r="BD23" s="247">
        <f t="shared" si="11"/>
        <v>1.5579999999999998</v>
      </c>
      <c r="BF23" s="136"/>
      <c r="BH23" s="549"/>
      <c r="BI23" s="549"/>
      <c r="BJ23" s="549"/>
      <c r="BK23" s="549"/>
      <c r="BL23" s="549"/>
      <c r="BT23" s="285" t="s">
        <v>15</v>
      </c>
      <c r="BU23" s="188">
        <v>19</v>
      </c>
      <c r="BV23" s="188">
        <v>11.5</v>
      </c>
      <c r="BW23" s="188">
        <v>10.8</v>
      </c>
      <c r="BX23" s="188">
        <v>20.7</v>
      </c>
      <c r="CJ23" s="780" t="str">
        <f t="array" ref="CJ23:CJ34">W15:W26</f>
        <v>U1</v>
      </c>
      <c r="CL23" s="573" t="str">
        <f t="shared" ref="CL23:CL34" si="12">"FEI"&amp;CT23*1000&amp;uFuturesCodeETO("Call",Q13)&amp;RIGHT(CJ23,1)</f>
        <v>FEI98250I1</v>
      </c>
      <c r="CM23" s="573" t="str">
        <f t="shared" ref="CM23:CM34" si="13">"FEI"&amp;CT23*1000&amp;uFuturesCodeETO("Put",Q13)&amp;RIGHT(CJ23,1)</f>
        <v>FEI98250U1</v>
      </c>
      <c r="CO23" s="573" t="s">
        <v>815</v>
      </c>
      <c r="CQ23" s="576">
        <v>22.445999999999998</v>
      </c>
      <c r="CR23" s="576">
        <v>22.445999999999998</v>
      </c>
      <c r="CS23" s="547" t="s">
        <v>78</v>
      </c>
      <c r="CT23" s="128">
        <f t="shared" ref="CT23:CT24" si="14">ROUND(T13/0.125,0)*0.125</f>
        <v>98.25</v>
      </c>
      <c r="CU23" s="254">
        <f t="shared" ref="CU23:CU34" si="15">AVERAGEIF(CQ23:CR23,"&lt;&gt;0")</f>
        <v>22.445999999999998</v>
      </c>
      <c r="CV23" s="259"/>
      <c r="CW23" s="256">
        <f>IF(ISNUMBER(CV23),CV23,    IF(ISERROR(1/CU23),CW24,     CU23*(100-AF15)%))</f>
        <v>0.39617189999999691</v>
      </c>
    </row>
    <row r="24" spans="5:101">
      <c r="F24" s="547" t="str">
        <f>_xll.qFuturesDateToCode(_xll.qFuturesCodeToDate(F23,Today)+92)</f>
        <v>M4</v>
      </c>
      <c r="G24" s="828" t="str">
        <v>/FEIM4</v>
      </c>
      <c r="L24" s="574">
        <v>41806</v>
      </c>
      <c r="M24" s="581">
        <v>96.710000000000008</v>
      </c>
      <c r="N24" s="581">
        <v>97.015000000000001</v>
      </c>
      <c r="O24" s="581">
        <v>97.01</v>
      </c>
      <c r="Q24" s="574">
        <v>41806</v>
      </c>
      <c r="R24" s="580">
        <v>96.710000000000008</v>
      </c>
      <c r="S24" s="580">
        <v>97.015000000000001</v>
      </c>
      <c r="T24" s="580">
        <v>97.01</v>
      </c>
      <c r="W24" s="251" t="str">
        <v>Z3</v>
      </c>
      <c r="AC24" s="266">
        <f t="array" ref="AC24:AD24">IF(AND(R22&lt;&gt;0,S22&lt;&gt;0),R22:S22,T22-T21+AF23)</f>
        <v>97.184999999999988</v>
      </c>
      <c r="AD24" s="266">
        <v>97.26</v>
      </c>
      <c r="AE24" s="135"/>
      <c r="AF24" s="248">
        <f t="shared" si="6"/>
        <v>97.222499999999997</v>
      </c>
      <c r="AH24" s="136"/>
      <c r="AI24" s="251" t="str">
        <f t="shared" si="7"/>
        <v>Z3</v>
      </c>
      <c r="AJ24" s="549"/>
      <c r="AO24" s="259"/>
      <c r="AP24" s="278">
        <f>IF(ISNUMBER(AO24),AO24,_xll.qFuturesConvexityAdjustment(AF24,Today,Q22,CW32,"EURODOLLAR"))</f>
        <v>3.4418505330770177</v>
      </c>
      <c r="AQ24" s="248">
        <f t="shared" si="8"/>
        <v>2.7775000000000034</v>
      </c>
      <c r="AR24" s="248">
        <f t="shared" si="9"/>
        <v>2.7430814946692332</v>
      </c>
      <c r="AT24" s="136"/>
      <c r="AU24" s="251" t="s">
        <v>195</v>
      </c>
      <c r="AV24" s="549"/>
      <c r="AW24" s="595" t="str">
        <v>EUR7X1S=ICAP</v>
      </c>
      <c r="AX24" s="549"/>
      <c r="AY24" s="549"/>
      <c r="AZ24" s="549"/>
      <c r="BA24" s="254">
        <v>1.5649999999999999</v>
      </c>
      <c r="BB24" s="254">
        <v>1.615</v>
      </c>
      <c r="BC24" s="259"/>
      <c r="BD24" s="247">
        <f t="shared" si="11"/>
        <v>1.5899999999999999</v>
      </c>
      <c r="BF24" s="136"/>
      <c r="BH24" s="549"/>
      <c r="BI24" s="549"/>
      <c r="BJ24" s="549"/>
      <c r="BK24" s="549"/>
      <c r="BL24" s="549"/>
      <c r="BT24" s="285" t="s">
        <v>225</v>
      </c>
      <c r="BU24" s="188">
        <v>18.433333333333334</v>
      </c>
      <c r="BV24" s="188">
        <v>11.333333333333334</v>
      </c>
      <c r="BW24" s="188">
        <v>10.466666666666667</v>
      </c>
      <c r="BX24" s="188">
        <v>20.033333333333331</v>
      </c>
      <c r="CJ24" s="780" t="str">
        <v>Z1</v>
      </c>
      <c r="CL24" s="573" t="str">
        <f t="shared" si="12"/>
        <v>FEI98125L1</v>
      </c>
      <c r="CM24" s="573" t="str">
        <f t="shared" si="13"/>
        <v>FEI98125X1</v>
      </c>
      <c r="CQ24" s="576">
        <v>29.753</v>
      </c>
      <c r="CR24" s="576">
        <v>29.753</v>
      </c>
      <c r="CS24" s="547" t="s">
        <v>78</v>
      </c>
      <c r="CT24" s="128">
        <f t="shared" si="14"/>
        <v>98.125</v>
      </c>
      <c r="CU24" s="254">
        <f t="shared" si="15"/>
        <v>29.753</v>
      </c>
      <c r="CV24" s="259"/>
      <c r="CW24" s="256">
        <f>IF(ISNUMBER(CV24),CV24,    IF(ISERROR(1/CU24),CW25,     CU24*(100-AF16)%))</f>
        <v>0.57572055000000066</v>
      </c>
    </row>
    <row r="25" spans="5:101">
      <c r="W25" s="251" t="str">
        <v>H4</v>
      </c>
      <c r="AC25" s="266">
        <f t="array" ref="AC25:AD25">IF(AND(R23&lt;&gt;0,S23&lt;&gt;0),R23:S23,T23-T22+AF24)</f>
        <v>96.84</v>
      </c>
      <c r="AD25" s="266">
        <v>97.14</v>
      </c>
      <c r="AE25" s="135"/>
      <c r="AF25" s="248">
        <f t="shared" si="6"/>
        <v>96.990000000000009</v>
      </c>
      <c r="AH25" s="136"/>
      <c r="AI25" s="251" t="str">
        <f t="shared" si="7"/>
        <v>H4</v>
      </c>
      <c r="AJ25" s="549"/>
      <c r="AO25" s="259"/>
      <c r="AP25" s="278">
        <f>IF(ISNUMBER(AO25),AO25,_xll.qFuturesConvexityAdjustment(AF25,Today,Q23,CW33,"EURODOLLAR"))</f>
        <v>4.0843545297016171</v>
      </c>
      <c r="AQ25" s="248">
        <f t="shared" si="8"/>
        <v>3.0099999999999909</v>
      </c>
      <c r="AR25" s="248">
        <f t="shared" si="9"/>
        <v>2.9691564547029747</v>
      </c>
      <c r="AT25" s="136"/>
      <c r="AU25" s="251" t="s">
        <v>196</v>
      </c>
      <c r="AV25" s="549"/>
      <c r="AW25" s="595" t="str">
        <v>EUR8X1S=ICAP</v>
      </c>
      <c r="AX25" s="549"/>
      <c r="AY25" s="549"/>
      <c r="AZ25" s="549"/>
      <c r="BA25" s="254">
        <v>1.5940000000000001</v>
      </c>
      <c r="BB25" s="254">
        <v>1.6440000000000001</v>
      </c>
      <c r="BC25" s="259"/>
      <c r="BD25" s="247">
        <f t="shared" si="11"/>
        <v>1.6190000000000002</v>
      </c>
      <c r="BF25" s="136"/>
      <c r="BH25" s="549"/>
      <c r="BI25" s="549"/>
      <c r="BJ25" s="549"/>
      <c r="BK25" s="549"/>
      <c r="BL25" s="549"/>
      <c r="BT25" s="285" t="s">
        <v>226</v>
      </c>
      <c r="BU25" s="188">
        <v>17.866666666666667</v>
      </c>
      <c r="BV25" s="188">
        <v>11.166666666666666</v>
      </c>
      <c r="BW25" s="188">
        <v>10.133333333333333</v>
      </c>
      <c r="BX25" s="188">
        <v>19.366666666666667</v>
      </c>
      <c r="CJ25" s="780" t="str">
        <v>H2</v>
      </c>
      <c r="CL25" s="573" t="str">
        <f t="shared" si="12"/>
        <v>FEI98000C2</v>
      </c>
      <c r="CM25" s="573" t="str">
        <f t="shared" si="13"/>
        <v>FEI98000O2</v>
      </c>
      <c r="CQ25" s="576">
        <v>34.830999999999996</v>
      </c>
      <c r="CR25" s="576">
        <v>34.830999999999996</v>
      </c>
      <c r="CS25" s="547" t="s">
        <v>78</v>
      </c>
      <c r="CT25" s="128">
        <f t="shared" ref="CT25:CT34" si="16">ROUND(T15/0.25,0)*0.25</f>
        <v>98</v>
      </c>
      <c r="CU25" s="254">
        <f t="shared" si="15"/>
        <v>34.830999999999996</v>
      </c>
      <c r="CV25" s="259"/>
      <c r="CW25" s="256">
        <f>IF(ISNUMBER(CV25),CV25,    IF(ISERROR(1/CU25),CW26,     CU25*(100-AF17)%))</f>
        <v>0.70706930000000034</v>
      </c>
    </row>
    <row r="26" spans="5:101">
      <c r="H26" s="582" t="s">
        <v>78</v>
      </c>
      <c r="J26" s="582" t="s">
        <v>78</v>
      </c>
      <c r="W26" s="251" t="str">
        <v>M4</v>
      </c>
      <c r="AC26" s="266">
        <f t="array" ref="AC26:AD26">IF(AND(R24&lt;&gt;0,S24&lt;&gt;0),R24:S24,T24-T23+AF25)</f>
        <v>96.710000000000008</v>
      </c>
      <c r="AD26" s="266">
        <v>97.015000000000001</v>
      </c>
      <c r="AE26" s="135"/>
      <c r="AF26" s="248">
        <f t="shared" si="6"/>
        <v>96.862500000000011</v>
      </c>
      <c r="AH26" s="136"/>
      <c r="AI26" s="251" t="str">
        <f t="shared" si="7"/>
        <v>M4</v>
      </c>
      <c r="AJ26" s="549"/>
      <c r="AO26" s="259"/>
      <c r="AP26" s="278">
        <f>IF(ISNUMBER(AO26),AO26,_xll.qFuturesConvexityAdjustment(AF26,Today,Q24,CW34,"EURODOLLAR"))</f>
        <v>4.7751304549748852</v>
      </c>
      <c r="AQ26" s="248">
        <f t="shared" si="8"/>
        <v>3.1374999999999886</v>
      </c>
      <c r="AR26" s="248">
        <f t="shared" si="9"/>
        <v>3.0897486954502398</v>
      </c>
      <c r="AT26" s="136"/>
      <c r="AU26" s="251" t="s">
        <v>197</v>
      </c>
      <c r="AV26" s="549"/>
      <c r="AW26" s="595" t="str">
        <v>EUR9X1S=ICAP</v>
      </c>
      <c r="AX26" s="549"/>
      <c r="AZ26" s="549"/>
      <c r="BA26" s="254">
        <v>1.6260000000000001</v>
      </c>
      <c r="BB26" s="254">
        <v>1.6760000000000002</v>
      </c>
      <c r="BC26" s="259"/>
      <c r="BD26" s="247">
        <f t="shared" si="11"/>
        <v>1.6510000000000002</v>
      </c>
      <c r="BF26" s="136"/>
      <c r="BH26" s="549"/>
      <c r="BI26" s="549"/>
      <c r="BJ26" s="549"/>
      <c r="BK26" s="549"/>
      <c r="BL26" s="549"/>
      <c r="BT26" s="285" t="s">
        <v>16</v>
      </c>
      <c r="BU26" s="188">
        <v>17.3</v>
      </c>
      <c r="BV26" s="188">
        <v>11</v>
      </c>
      <c r="BW26" s="188">
        <v>9.7999999999999989</v>
      </c>
      <c r="BX26" s="188">
        <v>18.7</v>
      </c>
      <c r="CJ26" s="780" t="str">
        <v>M2</v>
      </c>
      <c r="CL26" s="573" t="str">
        <f t="shared" si="12"/>
        <v>FEI98000F2</v>
      </c>
      <c r="CM26" s="573" t="str">
        <f t="shared" si="13"/>
        <v>FEI98000R2</v>
      </c>
      <c r="CQ26" s="576">
        <v>39.626000000000005</v>
      </c>
      <c r="CR26" s="576">
        <v>38.342999999999996</v>
      </c>
      <c r="CS26" s="547" t="s">
        <v>78</v>
      </c>
      <c r="CT26" s="128">
        <f t="shared" si="16"/>
        <v>98</v>
      </c>
      <c r="CU26" s="254">
        <f t="shared" si="15"/>
        <v>38.984499999999997</v>
      </c>
      <c r="CV26" s="259"/>
      <c r="CW26" s="256">
        <f>IF(ISNUMBER(CV26),CV26,    IF(ISERROR(1/CU26),CW27,     CU26*(100-AF18)%))</f>
        <v>0.82354756250000427</v>
      </c>
    </row>
    <row r="27" spans="5:101">
      <c r="AH27" s="136"/>
      <c r="AJ27" s="549"/>
      <c r="AT27" s="136"/>
      <c r="AV27" s="549"/>
      <c r="AW27" s="549"/>
      <c r="AX27" s="549"/>
      <c r="AY27" s="549"/>
      <c r="AZ27" s="549"/>
      <c r="BF27" s="136"/>
      <c r="BH27" s="549"/>
      <c r="BI27" s="549"/>
      <c r="BJ27" s="549"/>
      <c r="BK27" s="549"/>
      <c r="BL27" s="549"/>
      <c r="BT27" s="285" t="s">
        <v>17</v>
      </c>
      <c r="BU27" s="188">
        <v>15.600000000000001</v>
      </c>
      <c r="BV27" s="188">
        <v>10.199999999999999</v>
      </c>
      <c r="BW27" s="188">
        <v>8.6</v>
      </c>
      <c r="BX27" s="188">
        <v>16.3</v>
      </c>
      <c r="CJ27" s="780" t="str">
        <v>U2</v>
      </c>
      <c r="CL27" s="573" t="str">
        <f t="shared" si="12"/>
        <v>FEI97750I2</v>
      </c>
      <c r="CM27" s="573" t="str">
        <f t="shared" si="13"/>
        <v>FEI97750U2</v>
      </c>
      <c r="CQ27" s="576">
        <v>41.345999999999997</v>
      </c>
      <c r="CR27" s="576">
        <v>40.292000000000009</v>
      </c>
      <c r="CS27" s="547" t="s">
        <v>78</v>
      </c>
      <c r="CT27" s="128">
        <f t="shared" si="16"/>
        <v>97.75</v>
      </c>
      <c r="CU27" s="254">
        <f t="shared" si="15"/>
        <v>40.819000000000003</v>
      </c>
      <c r="CV27" s="259"/>
      <c r="CW27" s="256">
        <f t="shared" ref="CW27:CW34" si="17">IF(ISNUMBER(CV27),CV27,    IF(ISERROR(1/CU27),CW26,     CU27*(100-AF19)%))</f>
        <v>0.8969975249999963</v>
      </c>
    </row>
    <row r="28" spans="5:101">
      <c r="E28" s="547" t="s">
        <v>530</v>
      </c>
      <c r="W28" s="187" t="s">
        <v>502</v>
      </c>
      <c r="AA28" s="546" t="str">
        <f ca="1">_xll.RtUpdate("IDN",Y29:Y48,AA29:AA30,AC29,,RTMODE_RATES)</f>
        <v>Updated at 10:29:45</v>
      </c>
      <c r="AH28" s="136"/>
      <c r="AI28" s="187" t="s">
        <v>33</v>
      </c>
      <c r="AJ28" s="549"/>
      <c r="AM28" s="546" t="str">
        <f ca="1">_xll.RtUpdate("IDN",AK29:AK46,AM29:AM30,AO29,,RTMODE_RATES)</f>
        <v>Updated at 10:13:26</v>
      </c>
      <c r="AT28" s="136"/>
      <c r="AU28" s="187" t="s">
        <v>34</v>
      </c>
      <c r="AV28" s="549"/>
      <c r="AX28" s="549"/>
      <c r="AY28" s="544" t="str">
        <f ca="1">_xll.RtUpdate("IDN",AW29:AW44,AY29:AY30,BA29,,RTMODE_RATES)</f>
        <v>Updated at 10:13:26</v>
      </c>
      <c r="AZ28" s="549"/>
      <c r="BF28" s="136"/>
      <c r="BG28" s="187" t="s">
        <v>504</v>
      </c>
      <c r="BH28" s="549"/>
      <c r="BJ28" s="549"/>
      <c r="BK28" s="544" t="str">
        <f ca="1">_xll.RtUpdate("IDN",BI29:BI44,BK29:BK30,BM29,,RTMODE_RATES)</f>
        <v>Updated at 10:13:26</v>
      </c>
      <c r="BL28" s="549"/>
      <c r="BT28" s="285" t="s">
        <v>18</v>
      </c>
      <c r="BU28" s="188">
        <v>14.399999999999999</v>
      </c>
      <c r="BV28" s="188">
        <v>9.5</v>
      </c>
      <c r="BW28" s="188">
        <v>7.6999999999999993</v>
      </c>
      <c r="BX28" s="188">
        <v>14.7</v>
      </c>
      <c r="CJ28" s="780" t="str">
        <v>Z2</v>
      </c>
      <c r="CL28" s="573" t="str">
        <f t="shared" si="12"/>
        <v>FEI97750L2</v>
      </c>
      <c r="CM28" s="573" t="str">
        <f t="shared" si="13"/>
        <v>FEI97750X2</v>
      </c>
      <c r="CQ28" s="576">
        <v>43.094000000000001</v>
      </c>
      <c r="CR28" s="576">
        <v>42.15</v>
      </c>
      <c r="CS28" s="547" t="s">
        <v>78</v>
      </c>
      <c r="CT28" s="128">
        <f t="shared" si="16"/>
        <v>97.75</v>
      </c>
      <c r="CU28" s="254">
        <f t="shared" si="15"/>
        <v>42.622</v>
      </c>
      <c r="CV28" s="259"/>
      <c r="CW28" s="256">
        <f t="shared" si="17"/>
        <v>0.98776484999999814</v>
      </c>
    </row>
    <row r="29" spans="5:101">
      <c r="H29" s="547"/>
      <c r="J29" s="547"/>
      <c r="W29" s="251" t="s">
        <v>25</v>
      </c>
      <c r="Y29" s="573" t="str">
        <f t="shared" ref="Y29:Y38" si="18">"EURAB6E"&amp;W29&amp;"="</f>
        <v>EURAB6E1Y=</v>
      </c>
      <c r="AA29" s="573" t="s">
        <v>44</v>
      </c>
      <c r="AC29" s="257">
        <v>2.0619999999999998</v>
      </c>
      <c r="AD29" s="257">
        <v>2.0419999999999998</v>
      </c>
      <c r="AE29" s="135"/>
      <c r="AF29" s="248">
        <f t="shared" ref="AF29:AF38" si="19">IF(ISNUMBER(AE29),AE29,AVERAGE(AC29:AD29))</f>
        <v>2.0519999999999996</v>
      </c>
      <c r="AH29" s="136"/>
      <c r="AI29" s="251" t="s">
        <v>25</v>
      </c>
      <c r="AJ29" s="549"/>
      <c r="AK29" s="573" t="str">
        <f t="shared" ref="AK29:AK46" si="20">"EUR3E6E"&amp;AI29&amp;"=ICAP"</f>
        <v>EUR3E6E1Y=ICAP</v>
      </c>
      <c r="AM29" s="573" t="s">
        <v>43</v>
      </c>
      <c r="AO29" s="254">
        <v>12.9</v>
      </c>
      <c r="AP29" s="254">
        <v>13.9</v>
      </c>
      <c r="AQ29" s="259"/>
      <c r="AR29" s="256">
        <f t="shared" ref="AR29:AR46" si="21">IF(ISNUMBER(AQ29),AQ29,AVERAGEIF(AO29:AP29,"&lt;&gt;0"))</f>
        <v>13.4</v>
      </c>
      <c r="AT29" s="136"/>
      <c r="AU29" s="251" t="s">
        <v>25</v>
      </c>
      <c r="AV29" s="549"/>
      <c r="AW29" s="595" t="str">
        <f t="shared" ref="AW29:AW44" si="22">"EUR1E3E"&amp;AU29&amp;"=ICAP"</f>
        <v>EUR1E3E1Y=ICAP</v>
      </c>
      <c r="AX29" s="549"/>
      <c r="AY29" s="595" t="s">
        <v>43</v>
      </c>
      <c r="AZ29" s="549"/>
      <c r="BA29" s="254">
        <v>13.6</v>
      </c>
      <c r="BB29" s="254">
        <v>0</v>
      </c>
      <c r="BC29" s="259"/>
      <c r="BD29" s="256">
        <f t="shared" ref="BD29:BD44" si="23">IF(ISNUMBER(BC29),BC29,(BA29+BB29)/COUNTIF(BA29:BB29,"&lt;&gt;0"))</f>
        <v>13.6</v>
      </c>
      <c r="BF29" s="136"/>
      <c r="BG29" s="251" t="s">
        <v>25</v>
      </c>
      <c r="BH29" s="549"/>
      <c r="BI29" s="595" t="str">
        <f t="shared" ref="BI29:BI44" si="24">"EUEONEU3E"&amp;BG29&amp;"=ICAP"</f>
        <v>EUEONEU3E1Y=ICAP</v>
      </c>
      <c r="BJ29" s="549"/>
      <c r="BK29" s="595" t="s">
        <v>43</v>
      </c>
      <c r="BL29" s="549"/>
      <c r="BM29" s="254">
        <v>23</v>
      </c>
      <c r="BN29" s="254">
        <v>28</v>
      </c>
      <c r="BO29" s="253"/>
      <c r="BP29" s="256">
        <f t="shared" ref="BP29:BP44" si="25">IF(ISNUMBER(BO29),BO29,(BM29+BN29)/COUNTIF(BM29:BN29,"&lt;&gt;0"))</f>
        <v>25.5</v>
      </c>
      <c r="BT29" s="285" t="s">
        <v>19</v>
      </c>
      <c r="BU29" s="188">
        <v>13.600000000000001</v>
      </c>
      <c r="BV29" s="188">
        <v>9</v>
      </c>
      <c r="BW29" s="188">
        <v>7.0999999999999988</v>
      </c>
      <c r="BX29" s="188">
        <v>13.6</v>
      </c>
      <c r="CJ29" s="780" t="str">
        <v>H3</v>
      </c>
      <c r="CL29" s="573" t="str">
        <f t="shared" si="12"/>
        <v>FEI97500C3</v>
      </c>
      <c r="CM29" s="573" t="str">
        <f t="shared" si="13"/>
        <v>FEI97500O3</v>
      </c>
      <c r="CQ29" s="576">
        <v>42.58</v>
      </c>
      <c r="CR29" s="576">
        <v>41.353999999999992</v>
      </c>
      <c r="CS29" s="547" t="s">
        <v>78</v>
      </c>
      <c r="CT29" s="128">
        <f t="shared" si="16"/>
        <v>97.5</v>
      </c>
      <c r="CU29" s="254">
        <f t="shared" si="15"/>
        <v>41.966999999999999</v>
      </c>
      <c r="CV29" s="259"/>
      <c r="CW29" s="256">
        <f t="shared" si="17"/>
        <v>1.0093063500000006</v>
      </c>
    </row>
    <row r="30" spans="5:101">
      <c r="G30" s="832" t="str">
        <f t="array" ref="G30:G35">"EU"&amp;AQ7:AQ12&amp;"T=RR"</f>
        <v>EU2YT=RR</v>
      </c>
      <c r="H30" s="547"/>
      <c r="I30" s="595" t="s">
        <v>181</v>
      </c>
      <c r="J30" s="547"/>
      <c r="K30" s="547" t="str">
        <f ca="1">_xll.RtUpdate("IDN",G30:G35,I30:I31,L30,,RTMODE_RATES)</f>
        <v>Updated at 10:13:26</v>
      </c>
      <c r="L30" s="833">
        <v>1.6660000000000001</v>
      </c>
      <c r="M30" s="833">
        <v>1.6560000000000001</v>
      </c>
      <c r="W30" s="251" t="s">
        <v>26</v>
      </c>
      <c r="Y30" s="573" t="str">
        <f t="shared" si="18"/>
        <v>EURAB6E2Y=</v>
      </c>
      <c r="AA30" s="573" t="s">
        <v>43</v>
      </c>
      <c r="AC30" s="257">
        <v>2.2509999999999999</v>
      </c>
      <c r="AD30" s="257">
        <v>2.2210000000000001</v>
      </c>
      <c r="AE30" s="135"/>
      <c r="AF30" s="248">
        <f t="shared" si="19"/>
        <v>2.2359999999999998</v>
      </c>
      <c r="AH30" s="136"/>
      <c r="AI30" s="251" t="s">
        <v>26</v>
      </c>
      <c r="AJ30" s="549"/>
      <c r="AK30" s="573" t="str">
        <f t="shared" si="20"/>
        <v>EUR3E6E2Y=ICAP</v>
      </c>
      <c r="AM30" s="573" t="s">
        <v>44</v>
      </c>
      <c r="AO30" s="254">
        <v>13.4</v>
      </c>
      <c r="AP30" s="254">
        <v>14.4</v>
      </c>
      <c r="AQ30" s="259"/>
      <c r="AR30" s="256">
        <f t="shared" si="21"/>
        <v>13.9</v>
      </c>
      <c r="AT30" s="136"/>
      <c r="AU30" s="251" t="s">
        <v>26</v>
      </c>
      <c r="AV30" s="549"/>
      <c r="AW30" s="595" t="str">
        <f t="shared" si="22"/>
        <v>EUR1E3E2Y=ICAP</v>
      </c>
      <c r="AX30" s="549"/>
      <c r="AY30" s="595" t="s">
        <v>44</v>
      </c>
      <c r="AZ30" s="549"/>
      <c r="BA30" s="254">
        <v>13.6</v>
      </c>
      <c r="BB30" s="254">
        <v>0</v>
      </c>
      <c r="BC30" s="259"/>
      <c r="BD30" s="247">
        <f t="shared" si="23"/>
        <v>13.6</v>
      </c>
      <c r="BF30" s="136"/>
      <c r="BG30" s="251" t="s">
        <v>26</v>
      </c>
      <c r="BH30" s="549"/>
      <c r="BI30" s="595" t="str">
        <f t="shared" si="24"/>
        <v>EUEONEU3E2Y=ICAP</v>
      </c>
      <c r="BJ30" s="549"/>
      <c r="BK30" s="595" t="s">
        <v>44</v>
      </c>
      <c r="BL30" s="549"/>
      <c r="BM30" s="254">
        <v>24.1</v>
      </c>
      <c r="BN30" s="254">
        <v>29.1</v>
      </c>
      <c r="BO30" s="253"/>
      <c r="BP30" s="256">
        <f t="shared" si="25"/>
        <v>26.6</v>
      </c>
      <c r="BT30" s="285" t="s">
        <v>27</v>
      </c>
      <c r="BU30" s="188">
        <v>11.815606068384461</v>
      </c>
      <c r="BV30" s="188">
        <v>7.8191510746661868</v>
      </c>
      <c r="BW30" s="188">
        <v>6.1682447261436124</v>
      </c>
      <c r="BX30" s="188">
        <v>11.815229334584949</v>
      </c>
      <c r="CJ30" s="780" t="str">
        <v>M3</v>
      </c>
      <c r="CL30" s="573" t="str">
        <f t="shared" si="12"/>
        <v>FEI97500F3</v>
      </c>
      <c r="CM30" s="573" t="str">
        <f t="shared" si="13"/>
        <v>FEI97500R3</v>
      </c>
      <c r="CQ30" s="576">
        <v>41.088999999999999</v>
      </c>
      <c r="CR30" s="576">
        <v>39.969000000000001</v>
      </c>
      <c r="CS30" s="547" t="s">
        <v>78</v>
      </c>
      <c r="CT30" s="128">
        <f t="shared" si="16"/>
        <v>97.5</v>
      </c>
      <c r="CU30" s="254">
        <f t="shared" si="15"/>
        <v>40.528999999999996</v>
      </c>
      <c r="CV30" s="259"/>
      <c r="CW30" s="256">
        <f t="shared" si="17"/>
        <v>1.0101853250000028</v>
      </c>
    </row>
    <row r="31" spans="5:101">
      <c r="G31" s="832" t="str">
        <v>EU3YT=RR</v>
      </c>
      <c r="H31" s="547"/>
      <c r="I31" s="595" t="s">
        <v>182</v>
      </c>
      <c r="J31" s="547"/>
      <c r="L31" s="833">
        <v>1.7729999999999999</v>
      </c>
      <c r="M31" s="833">
        <v>1.7589999999999999</v>
      </c>
      <c r="W31" s="251" t="s">
        <v>7</v>
      </c>
      <c r="Y31" s="573" t="str">
        <f t="shared" si="18"/>
        <v>EURAB6E3Y=</v>
      </c>
      <c r="AC31" s="257">
        <v>2.4849999999999999</v>
      </c>
      <c r="AD31" s="257">
        <v>2.4649999999999999</v>
      </c>
      <c r="AE31" s="135"/>
      <c r="AF31" s="248">
        <f t="shared" si="19"/>
        <v>2.4749999999999996</v>
      </c>
      <c r="AH31" s="136"/>
      <c r="AI31" s="251" t="s">
        <v>7</v>
      </c>
      <c r="AJ31" s="549"/>
      <c r="AK31" s="573" t="str">
        <f t="shared" si="20"/>
        <v>EUR3E6E3Y=ICAP</v>
      </c>
      <c r="AO31" s="254">
        <v>13.3</v>
      </c>
      <c r="AP31" s="254">
        <v>14.3</v>
      </c>
      <c r="AQ31" s="259"/>
      <c r="AR31" s="256">
        <f t="shared" si="21"/>
        <v>13.8</v>
      </c>
      <c r="AT31" s="136"/>
      <c r="AU31" s="251" t="s">
        <v>7</v>
      </c>
      <c r="AV31" s="549"/>
      <c r="AW31" s="595" t="str">
        <f t="shared" si="22"/>
        <v>EUR1E3E3Y=ICAP</v>
      </c>
      <c r="AX31" s="549"/>
      <c r="AY31" s="549"/>
      <c r="AZ31" s="549"/>
      <c r="BA31" s="254">
        <v>13.5</v>
      </c>
      <c r="BB31" s="254">
        <v>0</v>
      </c>
      <c r="BC31" s="259"/>
      <c r="BD31" s="247">
        <f t="shared" si="23"/>
        <v>13.5</v>
      </c>
      <c r="BF31" s="136"/>
      <c r="BG31" s="251" t="s">
        <v>7</v>
      </c>
      <c r="BH31" s="549"/>
      <c r="BI31" s="595" t="str">
        <f t="shared" si="24"/>
        <v>EUEONEU3E3Y=ICAP</v>
      </c>
      <c r="BJ31" s="549"/>
      <c r="BK31" s="549"/>
      <c r="BL31" s="549"/>
      <c r="BM31" s="254">
        <v>23.9</v>
      </c>
      <c r="BN31" s="254">
        <v>28.9</v>
      </c>
      <c r="BO31" s="253"/>
      <c r="BP31" s="256">
        <f t="shared" si="25"/>
        <v>26.4</v>
      </c>
      <c r="CJ31" s="780" t="str">
        <v>U3</v>
      </c>
      <c r="CL31" s="573" t="str">
        <f t="shared" si="12"/>
        <v>FEI97500I3</v>
      </c>
      <c r="CM31" s="573" t="str">
        <f t="shared" si="13"/>
        <v>FEI97500U3</v>
      </c>
      <c r="CQ31" s="576" t="s">
        <v>829</v>
      </c>
      <c r="CR31" s="576" t="s">
        <v>829</v>
      </c>
      <c r="CS31" s="547" t="s">
        <v>78</v>
      </c>
      <c r="CT31" s="128">
        <f t="shared" si="16"/>
        <v>97.5</v>
      </c>
      <c r="CU31" s="254" t="e">
        <f t="shared" si="15"/>
        <v>#DIV/0!</v>
      </c>
      <c r="CV31" s="259"/>
      <c r="CW31" s="256">
        <f t="shared" si="17"/>
        <v>1.0101853250000028</v>
      </c>
    </row>
    <row r="32" spans="5:101">
      <c r="G32" s="832" t="str">
        <v>EU5YT=RR</v>
      </c>
      <c r="H32" s="547"/>
      <c r="J32" s="547"/>
      <c r="L32" s="833">
        <v>2.2930000000000001</v>
      </c>
      <c r="M32" s="833">
        <v>2.286</v>
      </c>
      <c r="W32" s="251" t="s">
        <v>8</v>
      </c>
      <c r="Y32" s="573" t="str">
        <f t="shared" si="18"/>
        <v>EURAB6E4Y=</v>
      </c>
      <c r="AC32" s="257">
        <v>2.6840000000000002</v>
      </c>
      <c r="AD32" s="257">
        <v>2.6640000000000001</v>
      </c>
      <c r="AE32" s="135"/>
      <c r="AF32" s="248">
        <f t="shared" si="19"/>
        <v>2.6740000000000004</v>
      </c>
      <c r="AH32" s="136"/>
      <c r="AI32" s="251" t="s">
        <v>8</v>
      </c>
      <c r="AJ32" s="549"/>
      <c r="AK32" s="573" t="str">
        <f t="shared" si="20"/>
        <v>EUR3E6E4Y=ICAP</v>
      </c>
      <c r="AO32" s="254">
        <v>13.1</v>
      </c>
      <c r="AP32" s="254">
        <v>14.1</v>
      </c>
      <c r="AQ32" s="259"/>
      <c r="AR32" s="256">
        <f t="shared" si="21"/>
        <v>13.6</v>
      </c>
      <c r="AT32" s="136"/>
      <c r="AU32" s="251" t="s">
        <v>8</v>
      </c>
      <c r="AV32" s="549"/>
      <c r="AW32" s="595" t="str">
        <f t="shared" si="22"/>
        <v>EUR1E3E4Y=ICAP</v>
      </c>
      <c r="AX32" s="549"/>
      <c r="AZ32" s="549"/>
      <c r="BA32" s="254">
        <v>13.3</v>
      </c>
      <c r="BB32" s="254">
        <v>0</v>
      </c>
      <c r="BC32" s="259"/>
      <c r="BD32" s="247">
        <f t="shared" si="23"/>
        <v>13.3</v>
      </c>
      <c r="BF32" s="136"/>
      <c r="BG32" s="251" t="s">
        <v>8</v>
      </c>
      <c r="BH32" s="549"/>
      <c r="BI32" s="595" t="str">
        <f t="shared" si="24"/>
        <v>EUEONEU3E4Y=ICAP</v>
      </c>
      <c r="BJ32" s="549"/>
      <c r="BK32" s="549"/>
      <c r="BL32" s="549"/>
      <c r="BM32" s="254">
        <v>23.2</v>
      </c>
      <c r="BN32" s="254">
        <v>28.2</v>
      </c>
      <c r="BO32" s="253"/>
      <c r="BP32" s="256">
        <f t="shared" si="25"/>
        <v>25.7</v>
      </c>
      <c r="CJ32" s="780" t="str">
        <v>Z3</v>
      </c>
      <c r="CL32" s="573" t="str">
        <f t="shared" si="12"/>
        <v>FEI97250L3</v>
      </c>
      <c r="CM32" s="573" t="str">
        <f t="shared" si="13"/>
        <v>FEI97250X3</v>
      </c>
      <c r="CQ32" s="576" t="s">
        <v>829</v>
      </c>
      <c r="CR32" s="576" t="s">
        <v>829</v>
      </c>
      <c r="CS32" s="547" t="s">
        <v>78</v>
      </c>
      <c r="CT32" s="128">
        <f t="shared" si="16"/>
        <v>97.25</v>
      </c>
      <c r="CU32" s="254" t="e">
        <f t="shared" si="15"/>
        <v>#DIV/0!</v>
      </c>
      <c r="CV32" s="259"/>
      <c r="CW32" s="256">
        <f t="shared" si="17"/>
        <v>1.0101853250000028</v>
      </c>
    </row>
    <row r="33" spans="5:101">
      <c r="G33" s="832" t="str">
        <v>EU7YT=RR</v>
      </c>
      <c r="H33" s="547"/>
      <c r="J33" s="547"/>
      <c r="L33" s="833">
        <v>2.6640000000000001</v>
      </c>
      <c r="M33" s="833">
        <v>2.6559999999999997</v>
      </c>
      <c r="W33" s="251" t="s">
        <v>9</v>
      </c>
      <c r="Y33" s="573" t="str">
        <f t="shared" si="18"/>
        <v>EURAB6E5Y=</v>
      </c>
      <c r="AC33" s="257">
        <v>2.8809999999999998</v>
      </c>
      <c r="AD33" s="257">
        <v>2.8609999999999998</v>
      </c>
      <c r="AE33" s="135"/>
      <c r="AF33" s="248">
        <f t="shared" si="19"/>
        <v>2.8709999999999996</v>
      </c>
      <c r="AH33" s="136"/>
      <c r="AI33" s="251" t="s">
        <v>9</v>
      </c>
      <c r="AJ33" s="549"/>
      <c r="AK33" s="573" t="str">
        <f t="shared" si="20"/>
        <v>EUR3E6E5Y=ICAP</v>
      </c>
      <c r="AO33" s="254">
        <v>12.8</v>
      </c>
      <c r="AP33" s="254">
        <v>13.8</v>
      </c>
      <c r="AQ33" s="259"/>
      <c r="AR33" s="256">
        <f t="shared" si="21"/>
        <v>13.3</v>
      </c>
      <c r="AT33" s="136"/>
      <c r="AU33" s="251" t="s">
        <v>9</v>
      </c>
      <c r="AV33" s="549"/>
      <c r="AW33" s="595" t="str">
        <f t="shared" si="22"/>
        <v>EUR1E3E5Y=ICAP</v>
      </c>
      <c r="AX33" s="549"/>
      <c r="AY33" s="549"/>
      <c r="AZ33" s="549"/>
      <c r="BA33" s="254">
        <v>13.1</v>
      </c>
      <c r="BB33" s="254">
        <v>0</v>
      </c>
      <c r="BC33" s="259"/>
      <c r="BD33" s="247">
        <f t="shared" si="23"/>
        <v>13.1</v>
      </c>
      <c r="BF33" s="136"/>
      <c r="BG33" s="251" t="s">
        <v>9</v>
      </c>
      <c r="BH33" s="549"/>
      <c r="BI33" s="595" t="str">
        <f t="shared" si="24"/>
        <v>EUEONEU3E5Y=ICAP</v>
      </c>
      <c r="BJ33" s="549"/>
      <c r="BK33" s="549"/>
      <c r="BL33" s="549"/>
      <c r="BM33" s="254">
        <v>22.4</v>
      </c>
      <c r="BN33" s="254">
        <v>27.4</v>
      </c>
      <c r="BO33" s="253"/>
      <c r="BP33" s="256">
        <f t="shared" ref="BP33:BP34" si="26">IF(ISNUMBER(BO33),BO33,(BM33+BN33)/COUNTIF(BM33:BN33,"&lt;&gt;0"))</f>
        <v>24.9</v>
      </c>
      <c r="CJ33" s="780" t="str">
        <v>H4</v>
      </c>
      <c r="CL33" s="573" t="str">
        <f t="shared" si="12"/>
        <v>FEI97250C4</v>
      </c>
      <c r="CM33" s="573" t="str">
        <f t="shared" si="13"/>
        <v>FEI97250O4</v>
      </c>
      <c r="CQ33" s="576" t="s">
        <v>829</v>
      </c>
      <c r="CR33" s="576" t="s">
        <v>829</v>
      </c>
      <c r="CS33" s="547" t="s">
        <v>78</v>
      </c>
      <c r="CT33" s="128">
        <f t="shared" si="16"/>
        <v>97.25</v>
      </c>
      <c r="CU33" s="254" t="e">
        <f t="shared" si="15"/>
        <v>#DIV/0!</v>
      </c>
      <c r="CV33" s="259"/>
      <c r="CW33" s="256">
        <f t="shared" si="17"/>
        <v>1.0101853250000028</v>
      </c>
    </row>
    <row r="34" spans="5:101">
      <c r="G34" s="832" t="str">
        <v>EU10YT=RR</v>
      </c>
      <c r="H34" s="547"/>
      <c r="J34" s="547"/>
      <c r="L34" s="833">
        <v>3.0139999999999998</v>
      </c>
      <c r="M34" s="833">
        <v>3.0070000000000001</v>
      </c>
      <c r="W34" s="251" t="s">
        <v>10</v>
      </c>
      <c r="Y34" s="573" t="str">
        <f t="shared" si="18"/>
        <v>EURAB6E6Y=</v>
      </c>
      <c r="AC34" s="257">
        <v>3.0349999999999997</v>
      </c>
      <c r="AD34" s="257">
        <v>3.0149999999999997</v>
      </c>
      <c r="AE34" s="135"/>
      <c r="AF34" s="248">
        <f t="shared" si="19"/>
        <v>3.0249999999999995</v>
      </c>
      <c r="AH34" s="136"/>
      <c r="AI34" s="251" t="s">
        <v>10</v>
      </c>
      <c r="AJ34" s="549"/>
      <c r="AK34" s="573" t="str">
        <f t="shared" si="20"/>
        <v>EUR3E6E6Y=ICAP</v>
      </c>
      <c r="AO34" s="254">
        <v>12.4</v>
      </c>
      <c r="AP34" s="254">
        <v>13.4</v>
      </c>
      <c r="AQ34" s="259"/>
      <c r="AR34" s="256">
        <f t="shared" si="21"/>
        <v>12.9</v>
      </c>
      <c r="AT34" s="136"/>
      <c r="AU34" s="251" t="s">
        <v>10</v>
      </c>
      <c r="AV34" s="549"/>
      <c r="AW34" s="595" t="str">
        <f t="shared" si="22"/>
        <v>EUR1E3E6Y=ICAP</v>
      </c>
      <c r="AX34" s="549"/>
      <c r="AY34" s="549"/>
      <c r="AZ34" s="549"/>
      <c r="BA34" s="254">
        <v>12.8</v>
      </c>
      <c r="BB34" s="254">
        <v>0</v>
      </c>
      <c r="BC34" s="259"/>
      <c r="BD34" s="247">
        <f t="shared" si="23"/>
        <v>12.8</v>
      </c>
      <c r="BF34" s="136"/>
      <c r="BG34" s="251" t="s">
        <v>10</v>
      </c>
      <c r="BH34" s="549"/>
      <c r="BI34" s="595" t="str">
        <f t="shared" si="24"/>
        <v>EUEONEU3E6Y=ICAP</v>
      </c>
      <c r="BJ34" s="549"/>
      <c r="BK34" s="549"/>
      <c r="BL34" s="549"/>
      <c r="BM34" s="254">
        <v>21.4</v>
      </c>
      <c r="BN34" s="254">
        <v>26.4</v>
      </c>
      <c r="BO34" s="253"/>
      <c r="BP34" s="256">
        <f t="shared" si="26"/>
        <v>23.9</v>
      </c>
      <c r="CJ34" s="780" t="str">
        <v>M4</v>
      </c>
      <c r="CL34" s="573" t="str">
        <f t="shared" si="12"/>
        <v>FEI97000F4</v>
      </c>
      <c r="CM34" s="573" t="str">
        <f t="shared" si="13"/>
        <v>FEI97000R4</v>
      </c>
      <c r="CQ34" s="576" t="s">
        <v>829</v>
      </c>
      <c r="CR34" s="576" t="s">
        <v>829</v>
      </c>
      <c r="CS34" s="547" t="s">
        <v>78</v>
      </c>
      <c r="CT34" s="128">
        <f t="shared" si="16"/>
        <v>97</v>
      </c>
      <c r="CU34" s="254" t="e">
        <f t="shared" si="15"/>
        <v>#DIV/0!</v>
      </c>
      <c r="CV34" s="259"/>
      <c r="CW34" s="256">
        <f t="shared" si="17"/>
        <v>1.0101853250000028</v>
      </c>
    </row>
    <row r="35" spans="5:101">
      <c r="G35" s="832" t="str">
        <v>EU30YT=RR</v>
      </c>
      <c r="H35" s="547"/>
      <c r="J35" s="547"/>
      <c r="L35" s="833">
        <v>3.7</v>
      </c>
      <c r="M35" s="833">
        <v>3.6970000000000001</v>
      </c>
      <c r="W35" s="251" t="s">
        <v>11</v>
      </c>
      <c r="Y35" s="573" t="str">
        <f t="shared" si="18"/>
        <v>EURAB6E7Y=</v>
      </c>
      <c r="AC35" s="257">
        <v>3.1345000000000001</v>
      </c>
      <c r="AD35" s="257">
        <v>3.1045000000000003</v>
      </c>
      <c r="AE35" s="135"/>
      <c r="AF35" s="248">
        <f t="shared" si="19"/>
        <v>3.1195000000000004</v>
      </c>
      <c r="AH35" s="136"/>
      <c r="AI35" s="251" t="s">
        <v>11</v>
      </c>
      <c r="AJ35" s="549"/>
      <c r="AK35" s="573" t="str">
        <f t="shared" si="20"/>
        <v>EUR3E6E7Y=ICAP</v>
      </c>
      <c r="AO35" s="254">
        <v>12.1</v>
      </c>
      <c r="AP35" s="254">
        <v>13.1</v>
      </c>
      <c r="AQ35" s="259"/>
      <c r="AR35" s="256">
        <f t="shared" si="21"/>
        <v>12.6</v>
      </c>
      <c r="AT35" s="136"/>
      <c r="AU35" s="251" t="s">
        <v>11</v>
      </c>
      <c r="AV35" s="549"/>
      <c r="AW35" s="595" t="str">
        <f t="shared" si="22"/>
        <v>EUR1E3E7Y=ICAP</v>
      </c>
      <c r="AX35" s="549"/>
      <c r="AY35" s="549"/>
      <c r="AZ35" s="549"/>
      <c r="BA35" s="254">
        <v>12.6</v>
      </c>
      <c r="BB35" s="254">
        <v>0</v>
      </c>
      <c r="BC35" s="259"/>
      <c r="BD35" s="247">
        <f t="shared" si="23"/>
        <v>12.6</v>
      </c>
      <c r="BF35" s="136"/>
      <c r="BG35" s="251" t="s">
        <v>11</v>
      </c>
      <c r="BH35" s="549"/>
      <c r="BI35" s="595" t="str">
        <f t="shared" si="24"/>
        <v>EUEONEU3E7Y=ICAP</v>
      </c>
      <c r="BJ35" s="549"/>
      <c r="BK35" s="549"/>
      <c r="BL35" s="549"/>
      <c r="BM35" s="254">
        <v>20.399999999999999</v>
      </c>
      <c r="BN35" s="254">
        <v>25.4</v>
      </c>
      <c r="BO35" s="253"/>
      <c r="BP35" s="256">
        <f t="shared" ref="BP35:BP41" si="27">IF(ISNUMBER(BO35),BO35,(BM35+BN35)/COUNTIF(BM35:BN35,"&lt;&gt;0"))</f>
        <v>22.9</v>
      </c>
    </row>
    <row r="36" spans="5:101">
      <c r="W36" s="251" t="s">
        <v>12</v>
      </c>
      <c r="Y36" s="573" t="str">
        <f t="shared" si="18"/>
        <v>EURAB6E8Y=</v>
      </c>
      <c r="AC36" s="257">
        <v>3.2389999999999999</v>
      </c>
      <c r="AD36" s="257">
        <v>3.2090000000000001</v>
      </c>
      <c r="AE36" s="135"/>
      <c r="AF36" s="248">
        <f t="shared" si="19"/>
        <v>3.2240000000000002</v>
      </c>
      <c r="AH36" s="136"/>
      <c r="AI36" s="251" t="s">
        <v>12</v>
      </c>
      <c r="AJ36" s="549"/>
      <c r="AK36" s="573" t="str">
        <f t="shared" si="20"/>
        <v>EUR3E6E8Y=ICAP</v>
      </c>
      <c r="AO36" s="254">
        <v>11.8</v>
      </c>
      <c r="AP36" s="254">
        <v>12.8</v>
      </c>
      <c r="AQ36" s="259"/>
      <c r="AR36" s="256">
        <f t="shared" si="21"/>
        <v>12.3</v>
      </c>
      <c r="AT36" s="136"/>
      <c r="AU36" s="251" t="s">
        <v>12</v>
      </c>
      <c r="AV36" s="549"/>
      <c r="AW36" s="595" t="str">
        <f t="shared" si="22"/>
        <v>EUR1E3E8Y=ICAP</v>
      </c>
      <c r="AX36" s="549"/>
      <c r="AY36" s="549"/>
      <c r="AZ36" s="549"/>
      <c r="BA36" s="254">
        <v>12.4</v>
      </c>
      <c r="BB36" s="254">
        <v>0</v>
      </c>
      <c r="BC36" s="259"/>
      <c r="BD36" s="247">
        <f t="shared" si="23"/>
        <v>12.4</v>
      </c>
      <c r="BF36" s="136"/>
      <c r="BG36" s="251" t="s">
        <v>12</v>
      </c>
      <c r="BH36" s="549"/>
      <c r="BI36" s="595" t="str">
        <f t="shared" si="24"/>
        <v>EUEONEU3E8Y=ICAP</v>
      </c>
      <c r="BJ36" s="549"/>
      <c r="BK36" s="549"/>
      <c r="BL36" s="549"/>
      <c r="BM36" s="254">
        <v>19.5</v>
      </c>
      <c r="BN36" s="254">
        <v>24.5</v>
      </c>
      <c r="BO36" s="253"/>
      <c r="BP36" s="256">
        <f t="shared" si="27"/>
        <v>22</v>
      </c>
      <c r="CJ36" s="6" t="s">
        <v>831</v>
      </c>
    </row>
    <row r="37" spans="5:101">
      <c r="W37" s="251" t="s">
        <v>13</v>
      </c>
      <c r="Y37" s="573" t="str">
        <f t="shared" si="18"/>
        <v>EURAB6E9Y=</v>
      </c>
      <c r="AC37" s="257">
        <v>3.34</v>
      </c>
      <c r="AD37" s="257">
        <v>3.32</v>
      </c>
      <c r="AE37" s="135"/>
      <c r="AF37" s="248">
        <f t="shared" si="19"/>
        <v>3.33</v>
      </c>
      <c r="AH37" s="136"/>
      <c r="AI37" s="251" t="s">
        <v>13</v>
      </c>
      <c r="AJ37" s="549"/>
      <c r="AK37" s="573" t="str">
        <f t="shared" si="20"/>
        <v>EUR3E6E9Y=ICAP</v>
      </c>
      <c r="AO37" s="254">
        <v>11.4</v>
      </c>
      <c r="AP37" s="254">
        <v>12.4</v>
      </c>
      <c r="AQ37" s="259"/>
      <c r="AR37" s="256">
        <f t="shared" si="21"/>
        <v>11.9</v>
      </c>
      <c r="AT37" s="136"/>
      <c r="AU37" s="251" t="s">
        <v>13</v>
      </c>
      <c r="AV37" s="549"/>
      <c r="AW37" s="595" t="str">
        <f t="shared" si="22"/>
        <v>EUR1E3E9Y=ICAP</v>
      </c>
      <c r="AX37" s="549"/>
      <c r="AY37" s="549"/>
      <c r="AZ37" s="549"/>
      <c r="BA37" s="254">
        <v>12.1</v>
      </c>
      <c r="BB37" s="254">
        <v>0</v>
      </c>
      <c r="BC37" s="259"/>
      <c r="BD37" s="247">
        <f t="shared" si="23"/>
        <v>12.1</v>
      </c>
      <c r="BF37" s="136"/>
      <c r="BG37" s="251" t="s">
        <v>13</v>
      </c>
      <c r="BH37" s="549"/>
      <c r="BI37" s="595" t="str">
        <f t="shared" si="24"/>
        <v>EUEONEU3E9Y=ICAP</v>
      </c>
      <c r="BJ37" s="549"/>
      <c r="BK37" s="549"/>
      <c r="BL37" s="549"/>
      <c r="BM37" s="254">
        <v>18.600000000000001</v>
      </c>
      <c r="BN37" s="254">
        <v>23.6</v>
      </c>
      <c r="BO37" s="253"/>
      <c r="BP37" s="256">
        <f t="shared" si="27"/>
        <v>21.1</v>
      </c>
      <c r="CJ37" s="6" t="s">
        <v>825</v>
      </c>
    </row>
    <row r="38" spans="5:101">
      <c r="W38" s="251" t="s">
        <v>14</v>
      </c>
      <c r="Y38" s="573" t="str">
        <f t="shared" si="18"/>
        <v>EURAB6E10Y=</v>
      </c>
      <c r="AC38" s="257">
        <v>3.4189999999999996</v>
      </c>
      <c r="AD38" s="257">
        <v>3.3889999999999998</v>
      </c>
      <c r="AE38" s="135"/>
      <c r="AF38" s="248">
        <f t="shared" si="19"/>
        <v>3.4039999999999999</v>
      </c>
      <c r="AH38" s="136"/>
      <c r="AI38" s="251" t="s">
        <v>14</v>
      </c>
      <c r="AJ38" s="549"/>
      <c r="AK38" s="573" t="str">
        <f t="shared" si="20"/>
        <v>EUR3E6E10Y=ICAP</v>
      </c>
      <c r="AO38" s="254">
        <v>11</v>
      </c>
      <c r="AP38" s="254">
        <v>12</v>
      </c>
      <c r="AQ38" s="259"/>
      <c r="AR38" s="256">
        <f t="shared" si="21"/>
        <v>11.5</v>
      </c>
      <c r="AT38" s="136"/>
      <c r="AU38" s="251" t="s">
        <v>14</v>
      </c>
      <c r="AV38" s="549"/>
      <c r="AW38" s="595" t="str">
        <f t="shared" si="22"/>
        <v>EUR1E3E10Y=ICAP</v>
      </c>
      <c r="AX38" s="549"/>
      <c r="AY38" s="549"/>
      <c r="AZ38" s="549"/>
      <c r="BA38" s="254">
        <v>11.9</v>
      </c>
      <c r="BB38" s="254">
        <v>0</v>
      </c>
      <c r="BC38" s="259"/>
      <c r="BD38" s="247">
        <f t="shared" si="23"/>
        <v>11.9</v>
      </c>
      <c r="BF38" s="136"/>
      <c r="BG38" s="251" t="s">
        <v>14</v>
      </c>
      <c r="BH38" s="549"/>
      <c r="BI38" s="595" t="str">
        <f t="shared" si="24"/>
        <v>EUEONEU3E10Y=ICAP</v>
      </c>
      <c r="BJ38" s="549"/>
      <c r="BK38" s="549"/>
      <c r="BL38" s="549"/>
      <c r="BM38" s="254">
        <v>17.899999999999999</v>
      </c>
      <c r="BN38" s="254">
        <v>22.9</v>
      </c>
      <c r="BO38" s="253"/>
      <c r="BP38" s="256">
        <f t="shared" si="27"/>
        <v>20.399999999999999</v>
      </c>
    </row>
    <row r="39" spans="5:101">
      <c r="W39" s="251" t="s">
        <v>199</v>
      </c>
      <c r="Y39" s="573"/>
      <c r="AC39" s="257"/>
      <c r="AD39" s="257"/>
      <c r="AE39" s="135"/>
      <c r="AF39" s="248">
        <f>IF(ISNUMBER(AE39),AE39,AVERAGE(AF38,AF40))</f>
        <v>3.484</v>
      </c>
      <c r="AH39" s="136"/>
      <c r="AI39" s="251" t="s">
        <v>199</v>
      </c>
      <c r="AJ39" s="549"/>
      <c r="AK39" s="573" t="str">
        <f t="shared" si="20"/>
        <v>EUR3E6E11Y=ICAP</v>
      </c>
      <c r="AO39" s="254">
        <v>10.7</v>
      </c>
      <c r="AP39" s="254">
        <v>11.7</v>
      </c>
      <c r="AQ39" s="259"/>
      <c r="AR39" s="256">
        <f t="shared" si="21"/>
        <v>11.2</v>
      </c>
      <c r="AT39" s="136"/>
      <c r="AU39" s="251" t="s">
        <v>199</v>
      </c>
      <c r="AV39" s="549"/>
      <c r="AW39" s="595" t="str">
        <f t="shared" si="22"/>
        <v>EUR1E3E11Y=ICAP</v>
      </c>
      <c r="AX39" s="549"/>
      <c r="AY39" s="549"/>
      <c r="AZ39" s="549"/>
      <c r="BA39" s="254">
        <v>11.7</v>
      </c>
      <c r="BB39" s="254">
        <v>0</v>
      </c>
      <c r="BC39" s="259"/>
      <c r="BD39" s="247">
        <f t="shared" si="23"/>
        <v>11.7</v>
      </c>
      <c r="BF39" s="136"/>
      <c r="BG39" s="251" t="s">
        <v>199</v>
      </c>
      <c r="BH39" s="549"/>
      <c r="BI39" s="595" t="str">
        <f t="shared" si="24"/>
        <v>EUEONEU3E11Y=ICAP</v>
      </c>
      <c r="BJ39" s="549"/>
      <c r="BK39" s="549"/>
      <c r="BL39" s="549"/>
      <c r="BM39" s="254">
        <v>17.2</v>
      </c>
      <c r="BN39" s="254">
        <v>22.2</v>
      </c>
      <c r="BO39" s="253"/>
      <c r="BP39" s="256">
        <f t="shared" si="27"/>
        <v>19.7</v>
      </c>
    </row>
    <row r="40" spans="5:101">
      <c r="E40" s="547" t="s">
        <v>374</v>
      </c>
      <c r="G40" s="580">
        <v>1</v>
      </c>
      <c r="W40" s="251" t="s">
        <v>15</v>
      </c>
      <c r="Y40" s="573" t="str">
        <f>"EURAB6E"&amp;W40&amp;"="</f>
        <v>EURAB6E12Y=</v>
      </c>
      <c r="AC40" s="257">
        <v>3.5789999999999997</v>
      </c>
      <c r="AD40" s="257">
        <v>3.5489999999999999</v>
      </c>
      <c r="AE40" s="135"/>
      <c r="AF40" s="248">
        <f t="shared" ref="AF40:AF48" si="28">IF(ISNUMBER(AE40),AE40,AVERAGE(AC40:AD40))</f>
        <v>3.5640000000000001</v>
      </c>
      <c r="AH40" s="136"/>
      <c r="AI40" s="251" t="s">
        <v>15</v>
      </c>
      <c r="AJ40" s="549"/>
      <c r="AK40" s="573" t="str">
        <f t="shared" si="20"/>
        <v>EUR3E6E12Y=ICAP</v>
      </c>
      <c r="AO40" s="254">
        <v>10.3</v>
      </c>
      <c r="AP40" s="254">
        <v>11.3</v>
      </c>
      <c r="AQ40" s="259"/>
      <c r="AR40" s="256">
        <f t="shared" si="21"/>
        <v>10.8</v>
      </c>
      <c r="AT40" s="136"/>
      <c r="AU40" s="251" t="s">
        <v>15</v>
      </c>
      <c r="AV40" s="549"/>
      <c r="AW40" s="595" t="str">
        <f t="shared" si="22"/>
        <v>EUR1E3E12Y=ICAP</v>
      </c>
      <c r="AX40" s="549"/>
      <c r="AY40" s="549"/>
      <c r="AZ40" s="549"/>
      <c r="BA40" s="254">
        <v>11.5</v>
      </c>
      <c r="BB40" s="254">
        <v>0</v>
      </c>
      <c r="BC40" s="259"/>
      <c r="BD40" s="247">
        <f t="shared" si="23"/>
        <v>11.5</v>
      </c>
      <c r="BF40" s="136"/>
      <c r="BG40" s="251" t="s">
        <v>15</v>
      </c>
      <c r="BH40" s="549"/>
      <c r="BI40" s="595" t="str">
        <f t="shared" si="24"/>
        <v>EUEONEU3E12Y=ICAP</v>
      </c>
      <c r="BJ40" s="549"/>
      <c r="BK40" s="549"/>
      <c r="BL40" s="549"/>
      <c r="BM40" s="254">
        <v>16.5</v>
      </c>
      <c r="BN40" s="254">
        <v>21.5</v>
      </c>
      <c r="BO40" s="253"/>
      <c r="BP40" s="256">
        <f t="shared" si="27"/>
        <v>19</v>
      </c>
    </row>
    <row r="41" spans="5:101">
      <c r="W41" s="251" t="s">
        <v>225</v>
      </c>
      <c r="Y41" s="573"/>
      <c r="AC41" s="257"/>
      <c r="AD41" s="257"/>
      <c r="AE41" s="135"/>
      <c r="AF41" s="248">
        <f>IF(ISNUMBER(AE41),AE41,(AF43-AF40)/3+AF40)</f>
        <v>3.6213333333333333</v>
      </c>
      <c r="AH41" s="136"/>
      <c r="AI41" s="251" t="s">
        <v>16</v>
      </c>
      <c r="AJ41" s="549"/>
      <c r="AK41" s="573" t="str">
        <f t="shared" si="20"/>
        <v>EUR3E6E15Y=ICAP</v>
      </c>
      <c r="AO41" s="254">
        <v>9.3000000000000007</v>
      </c>
      <c r="AP41" s="254">
        <v>10.3</v>
      </c>
      <c r="AQ41" s="259"/>
      <c r="AR41" s="256">
        <f t="shared" si="21"/>
        <v>9.8000000000000007</v>
      </c>
      <c r="AT41" s="136"/>
      <c r="AU41" s="251" t="s">
        <v>16</v>
      </c>
      <c r="AV41" s="549"/>
      <c r="AW41" s="595" t="str">
        <f t="shared" si="22"/>
        <v>EUR1E3E15Y=ICAP</v>
      </c>
      <c r="AX41" s="549"/>
      <c r="AY41" s="549"/>
      <c r="AZ41" s="549"/>
      <c r="BA41" s="254">
        <v>11</v>
      </c>
      <c r="BB41" s="254">
        <v>0</v>
      </c>
      <c r="BC41" s="259"/>
      <c r="BD41" s="247">
        <f t="shared" si="23"/>
        <v>11</v>
      </c>
      <c r="BF41" s="136"/>
      <c r="BG41" s="251" t="s">
        <v>16</v>
      </c>
      <c r="BH41" s="549"/>
      <c r="BI41" s="595" t="str">
        <f t="shared" si="24"/>
        <v>EUEONEU3E15Y=ICAP</v>
      </c>
      <c r="BJ41" s="549"/>
      <c r="BK41" s="549"/>
      <c r="BL41" s="549"/>
      <c r="BM41" s="254">
        <v>14.8</v>
      </c>
      <c r="BN41" s="254">
        <v>19.8</v>
      </c>
      <c r="BO41" s="253"/>
      <c r="BP41" s="256">
        <f t="shared" si="27"/>
        <v>17.3</v>
      </c>
    </row>
    <row r="42" spans="5:101">
      <c r="E42" s="547" t="s">
        <v>843</v>
      </c>
      <c r="G42" s="829" t="b">
        <v>1</v>
      </c>
      <c r="W42" s="251" t="s">
        <v>226</v>
      </c>
      <c r="Y42" s="573"/>
      <c r="AC42" s="257"/>
      <c r="AD42" s="257"/>
      <c r="AE42" s="135"/>
      <c r="AF42" s="248">
        <f>IF(ISNUMBER(AE42),AE42,AVERAGE(AF41,AF43))</f>
        <v>3.6786666666666665</v>
      </c>
      <c r="AH42" s="136"/>
      <c r="AI42" s="251" t="s">
        <v>17</v>
      </c>
      <c r="AJ42" s="549"/>
      <c r="AK42" s="573" t="str">
        <f t="shared" si="20"/>
        <v>EUR3E6E20Y=ICAP</v>
      </c>
      <c r="AO42" s="254">
        <v>8.1</v>
      </c>
      <c r="AP42" s="254">
        <v>9.1</v>
      </c>
      <c r="AQ42" s="259"/>
      <c r="AR42" s="256">
        <f t="shared" si="21"/>
        <v>8.6</v>
      </c>
      <c r="AT42" s="136"/>
      <c r="AU42" s="251" t="s">
        <v>17</v>
      </c>
      <c r="AV42" s="549"/>
      <c r="AW42" s="595" t="str">
        <f t="shared" si="22"/>
        <v>EUR1E3E20Y=ICAP</v>
      </c>
      <c r="AX42" s="549"/>
      <c r="AY42" s="549"/>
      <c r="AZ42" s="549"/>
      <c r="BA42" s="254">
        <v>10.199999999999999</v>
      </c>
      <c r="BB42" s="254">
        <v>0</v>
      </c>
      <c r="BC42" s="259"/>
      <c r="BD42" s="247">
        <f t="shared" si="23"/>
        <v>10.199999999999999</v>
      </c>
      <c r="BF42" s="136"/>
      <c r="BG42" s="251" t="s">
        <v>17</v>
      </c>
      <c r="BH42" s="549"/>
      <c r="BI42" s="595" t="str">
        <f t="shared" si="24"/>
        <v>EUEONEU3E20Y=ICAP</v>
      </c>
      <c r="BJ42" s="549"/>
      <c r="BK42" s="549"/>
      <c r="BL42" s="549"/>
      <c r="BM42" s="254">
        <v>13.1</v>
      </c>
      <c r="BN42" s="254">
        <v>18.100000000000001</v>
      </c>
      <c r="BO42" s="253"/>
      <c r="BP42" s="256">
        <f t="shared" si="25"/>
        <v>15.600000000000001</v>
      </c>
    </row>
    <row r="43" spans="5:101">
      <c r="W43" s="251" t="s">
        <v>16</v>
      </c>
      <c r="Y43" s="573" t="str">
        <f t="shared" ref="Y43:Y48" si="29">"EURAB6E"&amp;W43&amp;"="</f>
        <v>EURAB6E15Y=</v>
      </c>
      <c r="AC43" s="257">
        <v>3.7509999999999999</v>
      </c>
      <c r="AD43" s="257">
        <v>3.7210000000000001</v>
      </c>
      <c r="AE43" s="135"/>
      <c r="AF43" s="248">
        <f t="shared" si="28"/>
        <v>3.7359999999999998</v>
      </c>
      <c r="AH43" s="136"/>
      <c r="AI43" s="251" t="s">
        <v>18</v>
      </c>
      <c r="AJ43" s="549"/>
      <c r="AK43" s="573" t="str">
        <f t="shared" si="20"/>
        <v>EUR3E6E25Y=ICAP</v>
      </c>
      <c r="AO43" s="254">
        <v>7.2</v>
      </c>
      <c r="AP43" s="254">
        <v>8.1999999999999993</v>
      </c>
      <c r="AQ43" s="259"/>
      <c r="AR43" s="256">
        <f t="shared" si="21"/>
        <v>7.6999999999999993</v>
      </c>
      <c r="AT43" s="136"/>
      <c r="AU43" s="251" t="s">
        <v>18</v>
      </c>
      <c r="AV43" s="549"/>
      <c r="AW43" s="595" t="str">
        <f t="shared" si="22"/>
        <v>EUR1E3E25Y=ICAP</v>
      </c>
      <c r="AX43" s="549"/>
      <c r="AY43" s="549"/>
      <c r="AZ43" s="549"/>
      <c r="BA43" s="254">
        <v>9.5</v>
      </c>
      <c r="BB43" s="254">
        <v>0</v>
      </c>
      <c r="BC43" s="259"/>
      <c r="BD43" s="247">
        <f t="shared" si="23"/>
        <v>9.5</v>
      </c>
      <c r="BF43" s="136"/>
      <c r="BG43" s="251" t="s">
        <v>18</v>
      </c>
      <c r="BH43" s="549"/>
      <c r="BI43" s="595" t="str">
        <f t="shared" si="24"/>
        <v>EUEONEU3E25Y=ICAP</v>
      </c>
      <c r="BJ43" s="549"/>
      <c r="BK43" s="549"/>
      <c r="BL43" s="549"/>
      <c r="BM43" s="254">
        <v>11.9</v>
      </c>
      <c r="BN43" s="254">
        <v>16.899999999999999</v>
      </c>
      <c r="BO43" s="253"/>
      <c r="BP43" s="256">
        <f t="shared" si="25"/>
        <v>14.399999999999999</v>
      </c>
    </row>
    <row r="44" spans="5:101">
      <c r="W44" s="251" t="s">
        <v>17</v>
      </c>
      <c r="Y44" s="573" t="str">
        <f t="shared" si="29"/>
        <v>EURAB6E20Y=</v>
      </c>
      <c r="AC44" s="257">
        <v>3.8609999999999998</v>
      </c>
      <c r="AD44" s="257">
        <v>3.8309999999999995</v>
      </c>
      <c r="AE44" s="135"/>
      <c r="AF44" s="248">
        <f t="shared" si="28"/>
        <v>3.8459999999999996</v>
      </c>
      <c r="AH44" s="136"/>
      <c r="AI44" s="251" t="s">
        <v>19</v>
      </c>
      <c r="AJ44" s="549"/>
      <c r="AK44" s="573" t="str">
        <f t="shared" si="20"/>
        <v>EUR3E6E30Y=ICAP</v>
      </c>
      <c r="AO44" s="254">
        <v>6.6</v>
      </c>
      <c r="AP44" s="254">
        <v>7.6</v>
      </c>
      <c r="AQ44" s="259"/>
      <c r="AR44" s="256">
        <f t="shared" si="21"/>
        <v>7.1</v>
      </c>
      <c r="AT44" s="136"/>
      <c r="AU44" s="251" t="s">
        <v>19</v>
      </c>
      <c r="AV44" s="549"/>
      <c r="AW44" s="595" t="str">
        <f t="shared" si="22"/>
        <v>EUR1E3E30Y=ICAP</v>
      </c>
      <c r="AX44" s="549"/>
      <c r="AZ44" s="549"/>
      <c r="BA44" s="254">
        <v>9</v>
      </c>
      <c r="BB44" s="254">
        <v>0</v>
      </c>
      <c r="BC44" s="259"/>
      <c r="BD44" s="247">
        <f t="shared" si="23"/>
        <v>9</v>
      </c>
      <c r="BF44" s="136"/>
      <c r="BG44" s="251" t="s">
        <v>19</v>
      </c>
      <c r="BH44" s="549"/>
      <c r="BI44" s="595" t="str">
        <f t="shared" si="24"/>
        <v>EUEONEU3E30Y=ICAP</v>
      </c>
      <c r="BJ44" s="549"/>
      <c r="BL44" s="549"/>
      <c r="BM44" s="254">
        <v>11.1</v>
      </c>
      <c r="BN44" s="254">
        <v>16.100000000000001</v>
      </c>
      <c r="BO44" s="253"/>
      <c r="BP44" s="256">
        <f t="shared" si="25"/>
        <v>13.600000000000001</v>
      </c>
    </row>
    <row r="45" spans="5:101">
      <c r="W45" s="251" t="s">
        <v>18</v>
      </c>
      <c r="Y45" s="573" t="str">
        <f t="shared" si="29"/>
        <v>EURAB6E25Y=</v>
      </c>
      <c r="AC45" s="257">
        <v>3.8419999999999996</v>
      </c>
      <c r="AD45" s="257">
        <v>3.8119999999999994</v>
      </c>
      <c r="AE45" s="135"/>
      <c r="AF45" s="248">
        <f t="shared" si="28"/>
        <v>3.8269999999999995</v>
      </c>
      <c r="AH45" s="136"/>
      <c r="AI45" s="251" t="s">
        <v>27</v>
      </c>
      <c r="AJ45" s="549"/>
      <c r="AK45" s="573" t="str">
        <f t="shared" si="20"/>
        <v>EUR3E6E40Y=ICAP</v>
      </c>
      <c r="AO45" s="254">
        <v>5.8</v>
      </c>
      <c r="AP45" s="254">
        <v>6.8</v>
      </c>
      <c r="AQ45" s="135"/>
      <c r="AR45" s="256">
        <f t="shared" si="21"/>
        <v>6.3</v>
      </c>
      <c r="AT45" s="136"/>
      <c r="BH45" s="549"/>
      <c r="BI45" s="549"/>
      <c r="BJ45" s="549"/>
      <c r="BK45" s="549"/>
      <c r="BL45" s="549"/>
    </row>
    <row r="46" spans="5:101">
      <c r="W46" s="251" t="s">
        <v>19</v>
      </c>
      <c r="Y46" s="573" t="str">
        <f t="shared" si="29"/>
        <v>EURAB6E30Y=</v>
      </c>
      <c r="AC46" s="257">
        <v>3.798</v>
      </c>
      <c r="AD46" s="257">
        <v>3.7680000000000002</v>
      </c>
      <c r="AE46" s="135"/>
      <c r="AF46" s="248">
        <f t="shared" si="28"/>
        <v>3.7830000000000004</v>
      </c>
      <c r="AH46" s="136"/>
      <c r="AI46" s="251" t="s">
        <v>198</v>
      </c>
      <c r="AJ46" s="549"/>
      <c r="AK46" s="573" t="str">
        <f t="shared" si="20"/>
        <v>EUR3E6E50Y=ICAP</v>
      </c>
      <c r="AO46" s="254">
        <v>5.3</v>
      </c>
      <c r="AP46" s="254">
        <v>6.3</v>
      </c>
      <c r="AQ46" s="135"/>
      <c r="AR46" s="256">
        <f t="shared" si="21"/>
        <v>5.8</v>
      </c>
      <c r="AT46" s="136"/>
      <c r="AV46" s="549"/>
      <c r="AW46" s="549"/>
      <c r="AX46" s="549"/>
      <c r="AY46" s="549"/>
      <c r="AZ46" s="549"/>
      <c r="BH46" s="549"/>
      <c r="BI46" s="549"/>
      <c r="BJ46" s="549"/>
      <c r="BK46" s="549"/>
      <c r="BL46" s="549"/>
    </row>
    <row r="47" spans="5:101">
      <c r="W47" s="251" t="s">
        <v>27</v>
      </c>
      <c r="Y47" s="573" t="str">
        <f t="shared" si="29"/>
        <v>EURAB6E40Y=</v>
      </c>
      <c r="AC47" s="257">
        <v>3.7519999999999998</v>
      </c>
      <c r="AD47" s="257">
        <v>3.722</v>
      </c>
      <c r="AE47" s="135"/>
      <c r="AF47" s="248">
        <f t="shared" si="28"/>
        <v>3.7370000000000001</v>
      </c>
      <c r="AH47" s="136"/>
      <c r="AJ47" s="549"/>
      <c r="AT47" s="136"/>
      <c r="AV47" s="549"/>
      <c r="AW47" s="549"/>
      <c r="AX47" s="549"/>
      <c r="AY47" s="549"/>
      <c r="AZ47" s="549"/>
      <c r="BH47" s="549"/>
      <c r="BI47" s="549"/>
      <c r="BJ47" s="549"/>
      <c r="BK47" s="549"/>
      <c r="BL47" s="549"/>
    </row>
    <row r="48" spans="5:101">
      <c r="W48" s="251" t="s">
        <v>198</v>
      </c>
      <c r="Y48" s="573" t="str">
        <f t="shared" si="29"/>
        <v>EURAB6E50Y=</v>
      </c>
      <c r="AC48" s="265">
        <v>3.7490000000000001</v>
      </c>
      <c r="AD48" s="265">
        <v>3.7189999999999999</v>
      </c>
      <c r="AE48" s="135"/>
      <c r="AF48" s="248">
        <f t="shared" si="28"/>
        <v>3.734</v>
      </c>
      <c r="AH48" s="136"/>
      <c r="AJ48" s="549"/>
      <c r="AT48" s="136"/>
      <c r="AV48" s="549"/>
      <c r="AW48" s="549"/>
      <c r="AX48" s="549"/>
      <c r="AY48" s="549"/>
      <c r="AZ48" s="549"/>
      <c r="BH48" s="549"/>
      <c r="BI48" s="549"/>
      <c r="BJ48" s="549"/>
      <c r="BK48" s="549"/>
      <c r="BL48" s="549"/>
    </row>
    <row r="49" spans="34:64">
      <c r="AH49" s="136"/>
      <c r="AI49" s="187" t="s">
        <v>285</v>
      </c>
      <c r="AJ49" s="549"/>
      <c r="AM49" s="546" t="str">
        <f ca="1">_xll.RtUpdate("IDN",AK50:AK66,AM50:AM51,AO50)</f>
        <v>Updated at 10:13:26</v>
      </c>
      <c r="AT49" s="136"/>
      <c r="AU49" s="187" t="s">
        <v>532</v>
      </c>
      <c r="AV49" s="549"/>
      <c r="AW49" s="549"/>
      <c r="AX49" s="549"/>
      <c r="AY49" s="549"/>
      <c r="AZ49" s="549"/>
      <c r="BH49" s="549"/>
      <c r="BI49" s="549"/>
      <c r="BJ49" s="549"/>
      <c r="BK49" s="549"/>
      <c r="BL49" s="549"/>
    </row>
    <row r="50" spans="34:64">
      <c r="AH50" s="136"/>
      <c r="AI50" s="251" t="s">
        <v>25</v>
      </c>
      <c r="AJ50" s="549"/>
      <c r="AK50" s="573" t="str">
        <f t="shared" ref="AK50:AK65" si="30">"EUR3E12E"&amp;AI50&amp;"=ICAP"</f>
        <v>EUR3E12E1Y=ICAP</v>
      </c>
      <c r="AM50" s="573" t="s">
        <v>43</v>
      </c>
      <c r="AO50" s="254">
        <v>33.6</v>
      </c>
      <c r="AP50" s="254">
        <v>0</v>
      </c>
      <c r="AQ50" s="135"/>
      <c r="AR50" s="256">
        <f t="shared" ref="AR50:AR65" si="31">IF(ISNUMBER(AQ50),AQ50,AVERAGEIF(AO50:AP50,"&lt;&gt;0"))</f>
        <v>33.6</v>
      </c>
      <c r="AT50" s="136"/>
      <c r="AU50" s="137" t="s">
        <v>287</v>
      </c>
    </row>
    <row r="51" spans="34:64">
      <c r="AH51" s="136"/>
      <c r="AI51" s="251" t="s">
        <v>26</v>
      </c>
      <c r="AJ51" s="549"/>
      <c r="AK51" s="573" t="str">
        <f t="shared" si="30"/>
        <v>EUR3E12E2Y=ICAP</v>
      </c>
      <c r="AM51" s="573" t="s">
        <v>44</v>
      </c>
      <c r="AO51" s="254">
        <v>31.9</v>
      </c>
      <c r="AP51" s="254">
        <v>0</v>
      </c>
      <c r="AQ51" s="135"/>
      <c r="AR51" s="256">
        <f t="shared" si="31"/>
        <v>31.9</v>
      </c>
      <c r="AT51" s="136"/>
      <c r="AU51" s="283" t="s">
        <v>494</v>
      </c>
      <c r="BA51" s="283"/>
      <c r="BC51" s="120" t="str">
        <f>_xll.qIRcurveZeroBankReval(AU51,"EUR",Today,AF6:AF9,AR15:AR26,AI15:AI26,AF32:AF47,AR29:AR45)</f>
        <v>EUR.ZB.DISC|[Swap Pricer 1w.xlsm]EU!$BC$51#1101</v>
      </c>
    </row>
    <row r="52" spans="34:64">
      <c r="AH52" s="136"/>
      <c r="AI52" s="251" t="s">
        <v>7</v>
      </c>
      <c r="AJ52" s="549"/>
      <c r="AK52" s="573" t="str">
        <f t="shared" si="30"/>
        <v>EUR3E12E3Y=ICAP</v>
      </c>
      <c r="AO52" s="254">
        <v>30.3</v>
      </c>
      <c r="AP52" s="254">
        <v>0</v>
      </c>
      <c r="AQ52" s="135"/>
      <c r="AR52" s="256">
        <f t="shared" si="31"/>
        <v>30.3</v>
      </c>
      <c r="AT52" s="136"/>
      <c r="AU52" s="283" t="s">
        <v>495</v>
      </c>
      <c r="BA52" s="283"/>
      <c r="BC52" s="283" t="str">
        <f>_xll.qIRcurveSCBasisReval(AU52,"EUR",EUR.ZB.DISC,"1V3","SYNTHETIC",BU7:BU30)</f>
        <v>EUR.ZB.ON|[Swap Pricer 1w.xlsm]EU!$BC$52#1103</v>
      </c>
    </row>
    <row r="53" spans="34:64">
      <c r="AH53" s="136"/>
      <c r="AI53" s="251" t="s">
        <v>8</v>
      </c>
      <c r="AJ53" s="549"/>
      <c r="AK53" s="573" t="str">
        <f t="shared" si="30"/>
        <v>EUR3E12E4Y=ICAP</v>
      </c>
      <c r="AO53" s="254">
        <v>28.8</v>
      </c>
      <c r="AP53" s="254">
        <v>0</v>
      </c>
      <c r="AQ53" s="135"/>
      <c r="AR53" s="256">
        <f t="shared" si="31"/>
        <v>28.8</v>
      </c>
      <c r="AT53" s="136"/>
      <c r="AU53" s="283" t="s">
        <v>496</v>
      </c>
      <c r="BA53" s="283"/>
      <c r="BC53" s="283" t="str">
        <f>_xll.qIRcurveSCBasisReval(AU53,"EUR",EUR.ZB.DISC,"1V3","SYNTHETIC",BV7:BV30)</f>
        <v>EUR.ZB.1M|[Swap Pricer 1w.xlsm]EU!$BC$53#1106</v>
      </c>
    </row>
    <row r="54" spans="34:64">
      <c r="AH54" s="136"/>
      <c r="AI54" s="251" t="s">
        <v>9</v>
      </c>
      <c r="AJ54" s="549"/>
      <c r="AK54" s="573" t="str">
        <f t="shared" si="30"/>
        <v>EUR3E12E5Y=ICAP</v>
      </c>
      <c r="AO54" s="254">
        <v>27.6</v>
      </c>
      <c r="AP54" s="254">
        <v>0</v>
      </c>
      <c r="AQ54" s="135"/>
      <c r="AR54" s="256">
        <f t="shared" si="31"/>
        <v>27.6</v>
      </c>
      <c r="AT54" s="136"/>
      <c r="AU54" s="283" t="s">
        <v>497</v>
      </c>
      <c r="BA54" s="283"/>
      <c r="BC54" s="283" t="str">
        <f>EUR.ZB.DISC</f>
        <v>EUR.ZB.DISC|[Swap Pricer 1w.xlsm]EU!$BC$51#1101</v>
      </c>
    </row>
    <row r="55" spans="34:64">
      <c r="AH55" s="136"/>
      <c r="AI55" s="251" t="s">
        <v>10</v>
      </c>
      <c r="AJ55" s="549"/>
      <c r="AK55" s="573" t="str">
        <f t="shared" si="30"/>
        <v>EUR3E12E6Y=ICAP</v>
      </c>
      <c r="AO55" s="254">
        <v>26.4</v>
      </c>
      <c r="AP55" s="254">
        <v>0</v>
      </c>
      <c r="AQ55" s="135"/>
      <c r="AR55" s="256">
        <f t="shared" si="31"/>
        <v>26.4</v>
      </c>
      <c r="AT55" s="136"/>
      <c r="AU55" s="283" t="s">
        <v>498</v>
      </c>
      <c r="BA55" s="283"/>
      <c r="BC55" s="283" t="str">
        <f>_xll.qIRcurveSCBasisReval(AU55,"EUR",EUR.ZB.DISC,"3V6","SYNTHETIC",BW7:BW30)</f>
        <v>EUR.ZB.6M|[Swap Pricer 1w.xlsm]EU!$BC$55#1104</v>
      </c>
    </row>
    <row r="56" spans="34:64">
      <c r="AH56" s="136"/>
      <c r="AI56" s="251" t="s">
        <v>11</v>
      </c>
      <c r="AJ56" s="549"/>
      <c r="AK56" s="573" t="str">
        <f t="shared" si="30"/>
        <v>EUR3E12E7Y=ICAP</v>
      </c>
      <c r="AO56" s="254">
        <v>25.4</v>
      </c>
      <c r="AP56" s="254">
        <v>0</v>
      </c>
      <c r="AQ56" s="135"/>
      <c r="AR56" s="256">
        <f t="shared" si="31"/>
        <v>25.4</v>
      </c>
      <c r="AT56" s="136"/>
      <c r="AU56" s="283" t="s">
        <v>499</v>
      </c>
      <c r="BA56" s="283"/>
      <c r="BC56" s="283" t="str">
        <f>_xll.qIRcurveSCBasisReval(AU56,"EUR",EUR.ZB.DISC,"3V12","SYNTHETIC",BX7:BX30)</f>
        <v>EUR.ZB.1Y|[Swap Pricer 1w.xlsm]EU!$BC$56#1105</v>
      </c>
    </row>
    <row r="57" spans="34:64">
      <c r="AH57" s="136"/>
      <c r="AI57" s="251" t="s">
        <v>12</v>
      </c>
      <c r="AJ57" s="549"/>
      <c r="AK57" s="573" t="str">
        <f t="shared" si="30"/>
        <v>EUR3E12E8Y=ICAP</v>
      </c>
      <c r="AO57" s="254">
        <v>24.4</v>
      </c>
      <c r="AP57" s="254">
        <v>0</v>
      </c>
      <c r="AQ57" s="135"/>
      <c r="AR57" s="256">
        <f t="shared" si="31"/>
        <v>24.4</v>
      </c>
      <c r="AT57" s="136"/>
    </row>
    <row r="58" spans="34:64">
      <c r="AH58" s="136"/>
      <c r="AI58" s="251" t="s">
        <v>13</v>
      </c>
      <c r="AJ58" s="549"/>
      <c r="AK58" s="573" t="str">
        <f t="shared" si="30"/>
        <v>EUR3E12E9Y=ICAP</v>
      </c>
      <c r="AO58" s="254">
        <v>23.4</v>
      </c>
      <c r="AP58" s="254">
        <v>0</v>
      </c>
      <c r="AQ58" s="135"/>
      <c r="AR58" s="256">
        <f t="shared" si="31"/>
        <v>23.4</v>
      </c>
      <c r="AT58" s="136"/>
      <c r="AU58" s="540" t="s">
        <v>507</v>
      </c>
    </row>
    <row r="59" spans="34:64">
      <c r="AH59" s="136"/>
      <c r="AI59" s="251" t="s">
        <v>14</v>
      </c>
      <c r="AK59" s="573" t="str">
        <f t="shared" si="30"/>
        <v>EUR3E12E10Y=ICAP</v>
      </c>
      <c r="AO59" s="254">
        <v>22.4</v>
      </c>
      <c r="AP59" s="254">
        <v>0</v>
      </c>
      <c r="AQ59" s="135"/>
      <c r="AR59" s="256">
        <f t="shared" si="31"/>
        <v>22.4</v>
      </c>
      <c r="AT59" s="136"/>
      <c r="AU59" t="s">
        <v>508</v>
      </c>
      <c r="BB59"/>
      <c r="BC59" s="283" t="str">
        <f>_xll.qIRcurveXCBasisReval("EUR.ZBX.DISC",EUR.ZB.DISC,"MARKET",FX!AP32:AP44,USD.ZB.DISC,FxcurveEUR)</f>
        <v>EUR.ZBX.DISC|[Swap Pricer 1w.xlsm]EU!$BC$59#1121</v>
      </c>
    </row>
    <row r="60" spans="34:64">
      <c r="AH60" s="136"/>
      <c r="AI60" s="251" t="s">
        <v>199</v>
      </c>
      <c r="AK60" s="573" t="str">
        <f t="shared" si="30"/>
        <v>EUR3E12E11Y=ICAP</v>
      </c>
      <c r="AO60" s="254">
        <v>21.5</v>
      </c>
      <c r="AP60" s="254">
        <v>0</v>
      </c>
      <c r="AQ60" s="135"/>
      <c r="AR60" s="256">
        <f t="shared" si="31"/>
        <v>21.5</v>
      </c>
      <c r="AT60" s="136"/>
      <c r="AU60" t="s">
        <v>509</v>
      </c>
      <c r="BB60"/>
      <c r="BC60" s="283" t="str">
        <f t="array" ref="BC60:BC64">BC52:BC56</f>
        <v>EUR.ZB.ON|[Swap Pricer 1w.xlsm]EU!$BC$52#1103</v>
      </c>
    </row>
    <row r="61" spans="34:64">
      <c r="AH61" s="136"/>
      <c r="AI61" s="251" t="s">
        <v>15</v>
      </c>
      <c r="AK61" s="573" t="str">
        <f t="shared" si="30"/>
        <v>EUR3E12E12Y=ICAP</v>
      </c>
      <c r="AO61" s="254">
        <v>20.7</v>
      </c>
      <c r="AP61" s="254">
        <v>0</v>
      </c>
      <c r="AQ61" s="135"/>
      <c r="AR61" s="256">
        <f t="shared" si="31"/>
        <v>20.7</v>
      </c>
      <c r="AT61" s="136"/>
      <c r="AU61" t="s">
        <v>510</v>
      </c>
      <c r="BB61"/>
      <c r="BC61" s="283" t="str">
        <v>EUR.ZB.1M|[Swap Pricer 1w.xlsm]EU!$BC$53#1106</v>
      </c>
    </row>
    <row r="62" spans="34:64">
      <c r="AH62" s="136"/>
      <c r="AI62" s="251" t="s">
        <v>16</v>
      </c>
      <c r="AK62" s="573" t="str">
        <f t="shared" si="30"/>
        <v>EUR3E12E15Y=ICAP</v>
      </c>
      <c r="AO62" s="254">
        <v>18.7</v>
      </c>
      <c r="AP62" s="254">
        <v>0</v>
      </c>
      <c r="AQ62" s="135"/>
      <c r="AR62" s="256">
        <f t="shared" si="31"/>
        <v>18.7</v>
      </c>
      <c r="AT62" s="136"/>
      <c r="AU62" t="s">
        <v>511</v>
      </c>
      <c r="BB62"/>
      <c r="BC62" s="283" t="str">
        <v>EUR.ZB.DISC|[Swap Pricer 1w.xlsm]EU!$BC$51#1101</v>
      </c>
    </row>
    <row r="63" spans="34:64">
      <c r="AH63" s="136"/>
      <c r="AI63" s="251" t="s">
        <v>17</v>
      </c>
      <c r="AK63" s="573" t="str">
        <f t="shared" si="30"/>
        <v>EUR3E12E20Y=ICAP</v>
      </c>
      <c r="AO63" s="254">
        <v>16.3</v>
      </c>
      <c r="AP63" s="254">
        <v>0</v>
      </c>
      <c r="AQ63" s="135"/>
      <c r="AR63" s="256">
        <f t="shared" si="31"/>
        <v>16.3</v>
      </c>
      <c r="AT63" s="136"/>
      <c r="AU63" t="s">
        <v>512</v>
      </c>
      <c r="BB63"/>
      <c r="BC63" s="283" t="str">
        <v>EUR.ZB.6M|[Swap Pricer 1w.xlsm]EU!$BC$55#1104</v>
      </c>
    </row>
    <row r="64" spans="34:64">
      <c r="AH64" s="136"/>
      <c r="AI64" s="251" t="s">
        <v>18</v>
      </c>
      <c r="AK64" s="573" t="str">
        <f t="shared" si="30"/>
        <v>EUR3E12E25Y=ICAP</v>
      </c>
      <c r="AO64" s="254">
        <v>14.7</v>
      </c>
      <c r="AP64" s="254">
        <v>0</v>
      </c>
      <c r="AQ64" s="135"/>
      <c r="AR64" s="256">
        <f t="shared" si="31"/>
        <v>14.7</v>
      </c>
      <c r="AT64" s="136"/>
      <c r="AU64" t="s">
        <v>513</v>
      </c>
      <c r="BB64"/>
      <c r="BC64" s="283" t="str">
        <v>EUR.ZB.1Y|[Swap Pricer 1w.xlsm]EU!$BC$56#1105</v>
      </c>
    </row>
    <row r="65" spans="34:46">
      <c r="AH65" s="136"/>
      <c r="AI65" s="251" t="s">
        <v>19</v>
      </c>
      <c r="AK65" s="573" t="str">
        <f t="shared" si="30"/>
        <v>EUR3E12E30Y=ICAP</v>
      </c>
      <c r="AO65" s="254">
        <v>13.6</v>
      </c>
      <c r="AP65" s="254">
        <v>0</v>
      </c>
      <c r="AQ65" s="135"/>
      <c r="AR65" s="256">
        <f t="shared" si="31"/>
        <v>13.6</v>
      </c>
      <c r="AT65" s="136"/>
    </row>
  </sheetData>
  <sheetProtection sheet="1" objects="1" scenarios="1" autoFilter="0" pivotTables="0"/>
  <mergeCells count="1">
    <mergeCell ref="BC4:BD4"/>
  </mergeCells>
  <conditionalFormatting sqref="CV9:CV18 BO29:BO44 BO10:BO21 BC19:BC26 BC10:BC15 BC29:BC44 AQ29:AQ46 AQ50:AQ65 AE15:AE26 AE29:AE48 AE6:AE12">
    <cfRule type="cellIs" dxfId="38" priority="3" operator="notEqual">
      <formula>""</formula>
    </cfRule>
  </conditionalFormatting>
  <conditionalFormatting sqref="CV4 BC6">
    <cfRule type="expression" dxfId="37" priority="2">
      <formula>PPP_Global&lt;&gt;"LOCAL"</formula>
    </cfRule>
  </conditionalFormatting>
  <conditionalFormatting sqref="CU23:CU34">
    <cfRule type="containsErrors" dxfId="36" priority="4">
      <formula>ISERROR(CU23)</formula>
    </cfRule>
  </conditionalFormatting>
  <dataValidations disablePrompts="1" count="1">
    <dataValidation type="list" allowBlank="1" showInputMessage="1" showErrorMessage="1" promptTitle="Reuters Update Frequency" prompt="Throttles the frequency of Reuters updates.  To SNAP more than once, switch to STOP and then back to SNAP again" sqref="CV4 BC6">
      <formula1>"5s,15s,30s,1m,30m,1h,STOP,SNAP"</formula1>
    </dataValidation>
  </dataValidations>
  <pageMargins left="0.7" right="0.7" top="0.75" bottom="0.75" header="0.3" footer="0.3"/>
  <pageSetup paperSize="9"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sheetPr codeName="shtGB">
    <outlinePr showOutlineSymbols="0"/>
  </sheetPr>
  <dimension ref="A1:EA65"/>
  <sheetViews>
    <sheetView showGridLines="0" showRowColHeaders="0" showZeros="0" showOutlineSymbols="0" zoomScaleNormal="100" workbookViewId="0">
      <pane xSplit="3" topLeftCell="D1" activePane="topRight" state="frozen"/>
      <selection pane="topRight" activeCell="V1" sqref="V1"/>
    </sheetView>
  </sheetViews>
  <sheetFormatPr defaultRowHeight="12.75" outlineLevelCol="2"/>
  <cols>
    <col min="1" max="1" width="1.7109375" style="206" customWidth="1"/>
    <col min="2" max="2" width="7.7109375" style="206" customWidth="1"/>
    <col min="3" max="3" width="1.7109375" style="206" customWidth="1"/>
    <col min="4" max="4" width="2.7109375" style="547" hidden="1" customWidth="1" outlineLevel="2"/>
    <col min="5" max="5" width="10" style="547" hidden="1" customWidth="1" outlineLevel="2"/>
    <col min="6" max="6" width="3.5703125" style="547" hidden="1" customWidth="1" outlineLevel="2"/>
    <col min="7" max="7" width="9.5703125" style="582" hidden="1" customWidth="1" outlineLevel="2"/>
    <col min="8" max="8" width="1.7109375" style="582" hidden="1" customWidth="1" outlineLevel="2"/>
    <col min="9" max="9" width="10.5703125" style="547" hidden="1" customWidth="1" outlineLevel="2"/>
    <col min="10" max="10" width="1.7109375" style="582" hidden="1" customWidth="1" outlineLevel="2"/>
    <col min="11" max="11" width="17.85546875" style="547" hidden="1" customWidth="1" outlineLevel="2"/>
    <col min="12" max="12" width="8.42578125" style="570" hidden="1" customWidth="1" outlineLevel="2"/>
    <col min="13" max="13" width="6.7109375" style="593" hidden="1" customWidth="1" outlineLevel="2"/>
    <col min="14" max="14" width="7.5703125" style="593" hidden="1" customWidth="1" outlineLevel="2"/>
    <col min="15" max="15" width="6.7109375" style="593" hidden="1" customWidth="1" outlineLevel="2"/>
    <col min="16" max="16" width="1.7109375" style="582" hidden="1" customWidth="1" outlineLevel="2"/>
    <col min="17" max="17" width="8" style="570" hidden="1" customWidth="1" outlineLevel="2"/>
    <col min="18" max="20" width="6.7109375" style="582" hidden="1" customWidth="1" outlineLevel="2"/>
    <col min="21" max="21" width="2.7109375" style="547" hidden="1" customWidth="1" outlineLevel="2"/>
    <col min="22" max="22" width="3.7109375" customWidth="1" collapsed="1"/>
    <col min="23" max="23" width="3.7109375" customWidth="1"/>
    <col min="24" max="24" width="1.7109375" style="547" hidden="1" customWidth="1" outlineLevel="2"/>
    <col min="25" max="25" width="11.42578125" style="547" hidden="1" customWidth="1" outlineLevel="1"/>
    <col min="26" max="26" width="1.7109375" style="547" hidden="1" customWidth="1" outlineLevel="2"/>
    <col min="27" max="27" width="9.5703125" style="547" hidden="1" customWidth="1" outlineLevel="2"/>
    <col min="28" max="28" width="1.7109375" style="547" hidden="1" customWidth="1" outlineLevel="2"/>
    <col min="29" max="29" width="6.7109375" style="128" customWidth="1" collapsed="1"/>
    <col min="30" max="30" width="6.7109375" style="128" customWidth="1"/>
    <col min="31" max="31" width="6.7109375" style="127" customWidth="1"/>
    <col min="32" max="32" width="6.7109375" style="248" customWidth="1"/>
    <col min="33" max="34" width="2.7109375" customWidth="1"/>
    <col min="35" max="35" width="3.7109375" customWidth="1"/>
    <col min="36" max="36" width="1.7109375" style="547" hidden="1" customWidth="1" outlineLevel="2"/>
    <col min="37" max="37" width="14" style="547" hidden="1" customWidth="1" outlineLevel="1"/>
    <col min="38" max="38" width="1.7109375" style="547" hidden="1" customWidth="1" outlineLevel="2"/>
    <col min="39" max="39" width="9.85546875" style="547" hidden="1" customWidth="1" outlineLevel="2"/>
    <col min="40" max="40" width="1.7109375" style="547" hidden="1" customWidth="1" outlineLevel="2"/>
    <col min="41" max="41" width="6.7109375" style="188" customWidth="1" collapsed="1"/>
    <col min="42" max="42" width="6.7109375" style="188" customWidth="1"/>
    <col min="43" max="43" width="6.7109375" customWidth="1"/>
    <col min="44" max="44" width="6.7109375" style="256" customWidth="1"/>
    <col min="45" max="46" width="2.7109375" customWidth="1"/>
    <col min="47" max="47" width="3.7109375" customWidth="1"/>
    <col min="48" max="48" width="1.7109375" style="547" hidden="1" customWidth="1" outlineLevel="2"/>
    <col min="49" max="49" width="13.140625" style="547" hidden="1" customWidth="1" outlineLevel="1"/>
    <col min="50" max="50" width="1.7109375" style="547" hidden="1" customWidth="1" outlineLevel="2"/>
    <col min="51" max="51" width="6.85546875" style="547" hidden="1" customWidth="1" outlineLevel="2"/>
    <col min="52" max="52" width="1.7109375" style="547" hidden="1" customWidth="1" outlineLevel="2"/>
    <col min="53" max="53" width="6.7109375" style="188" customWidth="1" collapsed="1"/>
    <col min="54" max="55" width="6.7109375" style="188" customWidth="1"/>
    <col min="56" max="56" width="6.7109375" style="247" customWidth="1"/>
    <col min="57" max="58" width="2.7109375" customWidth="1"/>
    <col min="59" max="59" width="3.7109375" customWidth="1"/>
    <col min="60" max="60" width="1.7109375" style="547" hidden="1" customWidth="1" outlineLevel="2"/>
    <col min="61" max="61" width="17.7109375" style="547" hidden="1" customWidth="1" outlineLevel="1"/>
    <col min="62" max="62" width="1.7109375" style="547" hidden="1" customWidth="1" outlineLevel="2"/>
    <col min="63" max="63" width="8.42578125" style="547" hidden="1" customWidth="1" outlineLevel="2"/>
    <col min="64" max="64" width="1.7109375" style="547" hidden="1" customWidth="1" outlineLevel="2"/>
    <col min="65" max="65" width="6.7109375" style="188" customWidth="1" collapsed="1"/>
    <col min="66" max="66" width="6.7109375" style="188" customWidth="1"/>
    <col min="67" max="67" width="6.7109375" style="247" customWidth="1"/>
    <col min="68" max="68" width="6.7109375" style="256" customWidth="1"/>
    <col min="69" max="69" width="2.7109375" customWidth="1"/>
    <col min="70" max="70" width="5.7109375" customWidth="1"/>
    <col min="71" max="71" width="26.5703125" customWidth="1"/>
    <col min="72" max="72" width="7.7109375" style="285" customWidth="1"/>
    <col min="73" max="76" width="7.7109375" style="188" customWidth="1"/>
    <col min="77" max="77" width="5.140625" customWidth="1"/>
    <col min="78" max="78" width="12.5703125" bestFit="1" customWidth="1"/>
    <col min="79" max="79" width="7.7109375" bestFit="1" customWidth="1"/>
    <col min="80" max="80" width="7.42578125" bestFit="1" customWidth="1"/>
    <col min="81" max="81" width="10.7109375" bestFit="1" customWidth="1"/>
    <col min="82" max="82" width="10.42578125" bestFit="1" customWidth="1"/>
    <col min="83" max="86" width="6.28515625" bestFit="1" customWidth="1"/>
    <col min="87" max="88" width="3.7109375" customWidth="1"/>
    <col min="89" max="89" width="1.7109375" style="601" hidden="1" customWidth="1" outlineLevel="2"/>
    <col min="90" max="91" width="14.85546875" style="547" hidden="1" customWidth="1" outlineLevel="1"/>
    <col min="92" max="92" width="1.7109375" style="547" hidden="1" customWidth="1" outlineLevel="2"/>
    <col min="93" max="93" width="9.85546875" style="547" hidden="1" customWidth="1" outlineLevel="2"/>
    <col min="94" max="94" width="1.7109375" style="547" hidden="1" customWidth="1" outlineLevel="2"/>
    <col min="95" max="96" width="6.7109375" style="547" hidden="1" customWidth="1" outlineLevel="2"/>
    <col min="97" max="97" width="1.7109375" style="547" hidden="1" customWidth="1" outlineLevel="2"/>
    <col min="98" max="98" width="7.140625" style="188" customWidth="1" collapsed="1"/>
    <col min="99" max="100" width="7.140625" style="188" customWidth="1"/>
    <col min="101" max="101" width="7.140625" style="256" customWidth="1"/>
    <col min="121" max="121" width="3.7109375" customWidth="1"/>
  </cols>
  <sheetData>
    <row r="1" spans="5:131" ht="0.95" customHeight="1">
      <c r="AN1" s="547" t="s">
        <v>78</v>
      </c>
    </row>
    <row r="2" spans="5:131" ht="24.95" customHeight="1">
      <c r="E2" s="194" t="s">
        <v>529</v>
      </c>
      <c r="F2" s="194"/>
      <c r="G2" s="199"/>
      <c r="H2" s="199"/>
      <c r="I2" s="194"/>
      <c r="J2" s="199"/>
      <c r="K2" s="194"/>
      <c r="L2" s="246"/>
      <c r="M2" s="263"/>
      <c r="N2" s="263"/>
      <c r="O2" s="263"/>
      <c r="P2" s="199"/>
      <c r="Q2" s="246"/>
      <c r="R2" s="199"/>
      <c r="S2" s="199"/>
      <c r="T2" s="199"/>
      <c r="W2" s="46" t="s">
        <v>535</v>
      </c>
      <c r="Y2" s="548" t="s">
        <v>256</v>
      </c>
      <c r="Z2" s="548"/>
      <c r="AA2" s="548"/>
      <c r="AC2" s="48"/>
      <c r="AD2" s="48"/>
      <c r="AE2" s="47"/>
      <c r="AF2" s="245"/>
      <c r="AG2" s="46"/>
      <c r="AH2" s="46"/>
      <c r="AI2" s="46"/>
      <c r="AJ2" s="548"/>
      <c r="AK2" s="548"/>
      <c r="AL2" s="548"/>
      <c r="AM2" s="548"/>
      <c r="AN2" s="548"/>
      <c r="AO2" s="50"/>
      <c r="AP2" s="50"/>
      <c r="AQ2" s="46"/>
      <c r="AR2" s="51"/>
      <c r="AS2" s="46"/>
      <c r="AT2" s="46"/>
      <c r="AU2" s="46"/>
      <c r="AV2" s="548"/>
      <c r="AW2" s="548"/>
      <c r="AX2" s="548"/>
      <c r="AY2" s="548"/>
      <c r="AZ2" s="548"/>
      <c r="BA2" s="50"/>
      <c r="BB2" s="50"/>
      <c r="BC2" s="50"/>
      <c r="BD2" s="249"/>
      <c r="BE2" s="46"/>
      <c r="BF2" s="46"/>
      <c r="BG2" s="46"/>
      <c r="BH2" s="548"/>
      <c r="BI2" s="548"/>
      <c r="BJ2" s="548"/>
      <c r="BK2" s="548"/>
      <c r="BL2" s="548"/>
      <c r="BM2" s="50"/>
      <c r="BN2" s="50"/>
      <c r="BO2" s="249"/>
      <c r="BP2" s="51"/>
      <c r="BQ2" s="46"/>
      <c r="CJ2" s="46" t="s">
        <v>536</v>
      </c>
      <c r="CK2" s="602"/>
      <c r="CL2" s="548"/>
      <c r="CM2" s="548"/>
      <c r="CN2" s="548"/>
      <c r="CO2" s="548"/>
      <c r="CP2" s="548"/>
      <c r="CQ2" s="548"/>
      <c r="CR2" s="548"/>
      <c r="CS2" s="548"/>
      <c r="CT2" s="50"/>
      <c r="CU2" s="50"/>
      <c r="CV2" s="50"/>
      <c r="CW2" s="51"/>
      <c r="CX2" s="46"/>
      <c r="CY2" s="46"/>
      <c r="CZ2" s="46"/>
      <c r="DA2" s="46"/>
      <c r="DB2" s="46"/>
      <c r="DC2" s="46"/>
      <c r="DD2" s="46"/>
      <c r="DE2" s="46"/>
      <c r="DF2" s="46"/>
      <c r="DR2" s="46" t="s">
        <v>537</v>
      </c>
      <c r="DS2" s="46"/>
      <c r="DT2" s="46"/>
      <c r="DU2" s="46"/>
      <c r="DV2" s="46"/>
      <c r="DW2" s="46"/>
      <c r="DX2" s="46"/>
      <c r="DY2" s="46"/>
      <c r="DZ2" s="46"/>
      <c r="EA2" s="46"/>
    </row>
    <row r="3" spans="5:131">
      <c r="AH3" s="250"/>
      <c r="AJ3" s="549"/>
      <c r="AT3" s="154"/>
      <c r="AU3" s="149"/>
      <c r="AV3" s="549"/>
      <c r="AW3" s="549"/>
      <c r="AX3" s="549"/>
      <c r="AY3" s="549"/>
      <c r="AZ3" s="549"/>
      <c r="BA3" s="268"/>
      <c r="BB3" s="268"/>
      <c r="BC3" s="268"/>
      <c r="BD3" s="269"/>
      <c r="BE3" s="149"/>
      <c r="BF3" s="154"/>
      <c r="BG3" s="149"/>
      <c r="BH3" s="94"/>
      <c r="BI3" s="94"/>
      <c r="BJ3" s="94"/>
      <c r="BK3" s="94"/>
      <c r="BL3" s="94"/>
      <c r="BM3" s="268"/>
      <c r="BN3" s="268"/>
      <c r="BO3" s="269"/>
      <c r="BP3" s="270"/>
      <c r="BQ3" s="302"/>
      <c r="CO3" s="603" t="s">
        <v>533</v>
      </c>
    </row>
    <row r="4" spans="5:131">
      <c r="E4" s="547" t="s">
        <v>518</v>
      </c>
      <c r="W4" s="187"/>
      <c r="AH4" s="136"/>
      <c r="AJ4" s="549"/>
      <c r="AT4" s="152"/>
      <c r="AU4" s="271" t="s">
        <v>31</v>
      </c>
      <c r="AV4" s="549"/>
      <c r="AW4" s="549"/>
      <c r="AX4" s="549"/>
      <c r="AY4" s="549"/>
      <c r="AZ4" s="549"/>
      <c r="BA4" s="268"/>
      <c r="BB4" s="268"/>
      <c r="BC4" s="943">
        <f>Today</f>
        <v>40729</v>
      </c>
      <c r="BD4" s="943"/>
      <c r="BE4" s="149"/>
      <c r="BF4" s="152"/>
      <c r="BG4" s="271"/>
      <c r="BH4" s="94"/>
      <c r="BI4" s="94"/>
      <c r="BJ4" s="94"/>
      <c r="BK4" s="94"/>
      <c r="BL4" s="94"/>
      <c r="BM4" s="268"/>
      <c r="BN4" s="268"/>
      <c r="BO4" s="269"/>
      <c r="BP4" s="270"/>
      <c r="BQ4" s="303"/>
      <c r="CJ4" t="s">
        <v>274</v>
      </c>
      <c r="CO4" s="573" t="str">
        <f>PPP_string(PPP_Global,CV4)</f>
        <v>FRQ:30m</v>
      </c>
      <c r="CV4" s="253" t="s">
        <v>359</v>
      </c>
      <c r="DR4" s="137" t="s">
        <v>538</v>
      </c>
    </row>
    <row r="5" spans="5:131">
      <c r="W5" s="187" t="s">
        <v>124</v>
      </c>
      <c r="AA5" s="546" t="str">
        <f ca="1">_xll.RtUpdate("IDN",Y6:Y12,AA6,AC6,,RTMODE_RATES)</f>
        <v>Updated at 10:13:26</v>
      </c>
      <c r="AH5" s="136"/>
      <c r="AJ5" s="549"/>
      <c r="AT5" s="152"/>
      <c r="AU5" s="149"/>
      <c r="AV5" s="549"/>
      <c r="AW5" s="549"/>
      <c r="AX5" s="549"/>
      <c r="AY5" s="197" t="s">
        <v>273</v>
      </c>
      <c r="AZ5" s="549"/>
      <c r="BA5" s="268"/>
      <c r="BB5" s="268"/>
      <c r="BC5" s="268"/>
      <c r="BD5" s="269"/>
      <c r="BE5" s="149"/>
      <c r="BF5" s="152"/>
      <c r="BG5" s="271" t="s">
        <v>637</v>
      </c>
      <c r="BH5" s="94"/>
      <c r="BI5" s="94"/>
      <c r="BJ5" s="94"/>
      <c r="BK5" s="94"/>
      <c r="BL5" s="94"/>
      <c r="BM5" s="268"/>
      <c r="BN5" s="272" t="s">
        <v>599</v>
      </c>
      <c r="BO5" s="259" t="s">
        <v>166</v>
      </c>
      <c r="BP5" s="270"/>
      <c r="BQ5" s="303"/>
      <c r="BT5" s="286" t="s">
        <v>288</v>
      </c>
      <c r="BV5" s="284"/>
    </row>
    <row r="6" spans="5:131">
      <c r="E6" s="547" t="s">
        <v>599</v>
      </c>
      <c r="G6" s="828" t="str">
        <f>"FSS"&amp;$BO$5</f>
        <v>FSScm1</v>
      </c>
      <c r="I6" s="547" t="s">
        <v>515</v>
      </c>
      <c r="K6" s="547" t="str">
        <f ca="1">_xll.RtUpdate("IDN",G6:G7,"EXPIRE DATE",L6,,RTMODE_RATES)</f>
        <v>Updated at 10:13:26</v>
      </c>
      <c r="L6" s="574" t="s">
        <v>501</v>
      </c>
      <c r="M6" s="593" t="s">
        <v>78</v>
      </c>
      <c r="N6" s="809" t="s">
        <v>517</v>
      </c>
      <c r="O6" s="578" t="str">
        <f>IF(ISNUMBER(L6),"LIVE","DELAYED")</f>
        <v>DELAYED</v>
      </c>
      <c r="W6" s="251" t="s">
        <v>6</v>
      </c>
      <c r="Y6" s="573" t="s">
        <v>539</v>
      </c>
      <c r="AA6" s="573" t="s">
        <v>208</v>
      </c>
      <c r="AC6" s="257">
        <v>0.56563000000000008</v>
      </c>
      <c r="AE6" s="135"/>
      <c r="AF6" s="248">
        <f t="shared" ref="AF6:AF12" si="0">IF(ISNUMBER(AE6),AE6,AVERAGE(AC6:AD6))</f>
        <v>0.56563000000000008</v>
      </c>
      <c r="AH6" s="136"/>
      <c r="AI6" s="187" t="s">
        <v>540</v>
      </c>
      <c r="AJ6" s="549"/>
      <c r="AM6" s="546" t="str">
        <f ca="1">_xll.RtUpdate("IDN",AK7:AK12,AM7,AO7,,RTMODE_RATES)</f>
        <v>Updated at 10:13:26</v>
      </c>
      <c r="AQ6" s="187" t="s">
        <v>174</v>
      </c>
      <c r="AT6" s="152"/>
      <c r="AU6" s="271" t="s">
        <v>112</v>
      </c>
      <c r="AV6" s="549"/>
      <c r="AW6" s="549"/>
      <c r="AX6" s="549"/>
      <c r="AY6" s="573" t="str">
        <f>PPP_string(PPP_Global,BC6)</f>
        <v>FRQ:1m</v>
      </c>
      <c r="AZ6" s="549"/>
      <c r="BA6" s="268"/>
      <c r="BB6" s="268"/>
      <c r="BC6" s="259" t="s">
        <v>268</v>
      </c>
      <c r="BD6" s="269"/>
      <c r="BE6" s="149"/>
      <c r="BF6" s="152"/>
      <c r="BG6" s="271"/>
      <c r="BH6" s="94"/>
      <c r="BI6" s="94"/>
      <c r="BJ6" s="94"/>
      <c r="BK6" s="94"/>
      <c r="BL6" s="94"/>
      <c r="BM6" s="268"/>
      <c r="BN6" s="272"/>
      <c r="BO6" s="272"/>
      <c r="BP6" s="270"/>
      <c r="BQ6" s="303"/>
      <c r="BT6" s="285" t="s">
        <v>101</v>
      </c>
      <c r="BU6" s="188" t="s">
        <v>286</v>
      </c>
      <c r="BV6" s="188" t="s">
        <v>34</v>
      </c>
      <c r="BW6" s="188" t="s">
        <v>33</v>
      </c>
      <c r="BX6" s="188" t="s">
        <v>285</v>
      </c>
    </row>
    <row r="7" spans="5:131">
      <c r="G7" s="828" t="str">
        <f>"/FSS"&amp;$BO$5</f>
        <v>/FSScm1</v>
      </c>
      <c r="I7" s="547" t="s">
        <v>516</v>
      </c>
      <c r="L7" s="574">
        <v>40807</v>
      </c>
      <c r="M7" s="593" t="s">
        <v>78</v>
      </c>
      <c r="O7" s="593" t="s">
        <v>78</v>
      </c>
      <c r="P7" s="582" t="s">
        <v>78</v>
      </c>
      <c r="W7" s="251" t="s">
        <v>0</v>
      </c>
      <c r="Y7" s="573" t="str">
        <f t="shared" ref="Y7:Y12" si="1">"GBP"&amp;W7&amp;"FSR="</f>
        <v>GBP1MFSR=</v>
      </c>
      <c r="AC7" s="257">
        <v>0.62812999999999997</v>
      </c>
      <c r="AE7" s="135"/>
      <c r="AF7" s="248">
        <f t="shared" si="0"/>
        <v>0.62812999999999997</v>
      </c>
      <c r="AH7" s="136"/>
      <c r="AI7" s="251" t="s">
        <v>0</v>
      </c>
      <c r="AJ7" s="549"/>
      <c r="AK7" s="573" t="str">
        <f t="shared" ref="AK7:AK12" si="2">"GBP"&amp;AI7&amp;"FSR="</f>
        <v>GBP1MFSR=</v>
      </c>
      <c r="AM7" s="573" t="s">
        <v>208</v>
      </c>
      <c r="AO7" s="254">
        <v>0.62812999999999997</v>
      </c>
      <c r="AQ7" s="251" t="s">
        <v>26</v>
      </c>
      <c r="AR7" s="280">
        <f t="shared" ref="AR7:AR12" si="3">AVERAGE(L32:M32)</f>
        <v>1.661</v>
      </c>
      <c r="AT7" s="155"/>
      <c r="AU7" s="156"/>
      <c r="AV7" s="597"/>
      <c r="AW7" s="597"/>
      <c r="AX7" s="597"/>
      <c r="AY7" s="597"/>
      <c r="AZ7" s="597"/>
      <c r="BA7" s="274"/>
      <c r="BB7" s="274"/>
      <c r="BC7" s="274"/>
      <c r="BD7" s="275"/>
      <c r="BE7" s="156"/>
      <c r="BF7" s="155"/>
      <c r="BG7" s="156"/>
      <c r="BH7" s="104"/>
      <c r="BI7" s="104"/>
      <c r="BJ7" s="104"/>
      <c r="BK7" s="104"/>
      <c r="BL7" s="104"/>
      <c r="BM7" s="274"/>
      <c r="BN7" s="274"/>
      <c r="BO7" s="275"/>
      <c r="BP7" s="276"/>
      <c r="BQ7" s="277"/>
      <c r="BT7" s="285" t="s">
        <v>106</v>
      </c>
      <c r="BU7" s="188">
        <f t="array" ref="BU7:BU28">_xll.qIRsynthSCBasisReval(GBP.ZB.DISC,"1V3",_xll.qVectorMake(BP10:BP12,BP15,BP29:BP45))</f>
        <v>10.313000000012444</v>
      </c>
      <c r="BV7" s="188">
        <f t="array" ref="BV7:BV28">_xll.qIRsynthSCBasisReval(GBP.ZB.DISC,"1V3",_xll.qVectorMake(AF7,BD19:BD20,BD23,BD29:BD45))</f>
        <v>1.2446640940133591E-11</v>
      </c>
      <c r="BW7" s="188">
        <f t="array" ref="BW7:BW28">_xll.qIRsynthSCBasisReval(GBP.ZB.DISC,"3V6",_xll.qVectorMake(AF12,AR29:AR45))</f>
        <v>26.372384146986366</v>
      </c>
      <c r="BX7" s="188">
        <f t="array" ref="BX7:BX28">_xll.qIRsynthSCBasisReval(GBP.ZB.DISC,"3V12",AR49:AR65)</f>
        <v>65</v>
      </c>
      <c r="CJ7" s="187" t="s">
        <v>206</v>
      </c>
    </row>
    <row r="8" spans="5:131">
      <c r="O8" s="593" t="s">
        <v>78</v>
      </c>
      <c r="W8" s="251" t="s">
        <v>1</v>
      </c>
      <c r="Y8" s="573" t="str">
        <f t="shared" si="1"/>
        <v>GBP2MFSR=</v>
      </c>
      <c r="AC8" s="257">
        <v>0.70187999999999995</v>
      </c>
      <c r="AE8" s="135"/>
      <c r="AF8" s="248">
        <f t="shared" si="0"/>
        <v>0.70187999999999995</v>
      </c>
      <c r="AH8" s="136"/>
      <c r="AI8" s="251" t="s">
        <v>1</v>
      </c>
      <c r="AJ8" s="549"/>
      <c r="AK8" s="573" t="str">
        <f t="shared" si="2"/>
        <v>GBP2MFSR=</v>
      </c>
      <c r="AO8" s="254">
        <v>0.70187999999999995</v>
      </c>
      <c r="AQ8" s="251" t="s">
        <v>7</v>
      </c>
      <c r="AR8" s="280">
        <f t="shared" si="3"/>
        <v>1.766</v>
      </c>
      <c r="AT8" s="136"/>
      <c r="AV8" s="549"/>
      <c r="AW8" s="549"/>
      <c r="AX8" s="549"/>
      <c r="AY8" s="549"/>
      <c r="AZ8" s="549"/>
      <c r="BF8" s="136"/>
      <c r="BH8" s="549"/>
      <c r="BI8" s="549"/>
      <c r="BJ8" s="549"/>
      <c r="BK8" s="549"/>
      <c r="BL8" s="549"/>
      <c r="BT8" s="285" t="s">
        <v>0</v>
      </c>
      <c r="BU8" s="188">
        <v>10.313000000012444</v>
      </c>
      <c r="BV8" s="188">
        <v>1.2446640940133591E-11</v>
      </c>
      <c r="BW8" s="188">
        <v>26.372384146986366</v>
      </c>
      <c r="BX8" s="188">
        <v>65</v>
      </c>
      <c r="CL8" s="547" t="str">
        <f ca="1">_xll.RtUpdate("IDN",CL9:CL18,CO9,CT9,,RTMODE_VOLS)</f>
        <v>Updated at 10:13:26</v>
      </c>
      <c r="CM8" s="547" t="str">
        <f ca="1">_xll.RtUpdate("IDN",CM9:CM18,CO9,CU9,,RTMODE_VOLS)</f>
        <v>Updated at 10:13:26</v>
      </c>
      <c r="CT8" s="188" t="s">
        <v>207</v>
      </c>
      <c r="CU8" s="188" t="s">
        <v>205</v>
      </c>
      <c r="CV8" s="188" t="s">
        <v>209</v>
      </c>
      <c r="CW8" s="256" t="s">
        <v>20</v>
      </c>
    </row>
    <row r="9" spans="5:131">
      <c r="M9" s="594"/>
      <c r="N9" s="594"/>
      <c r="W9" s="251" t="s">
        <v>2</v>
      </c>
      <c r="Y9" s="573" t="str">
        <f t="shared" si="1"/>
        <v>GBP3MFSR=</v>
      </c>
      <c r="AC9" s="257">
        <v>0.82563000000000009</v>
      </c>
      <c r="AE9" s="135"/>
      <c r="AF9" s="248">
        <f t="shared" si="0"/>
        <v>0.82563000000000009</v>
      </c>
      <c r="AH9" s="136"/>
      <c r="AI9" s="251" t="s">
        <v>2</v>
      </c>
      <c r="AJ9" s="549"/>
      <c r="AK9" s="573" t="str">
        <f t="shared" si="2"/>
        <v>GBP3MFSR=</v>
      </c>
      <c r="AO9" s="254">
        <v>0.82563000000000009</v>
      </c>
      <c r="AQ9" s="251" t="s">
        <v>9</v>
      </c>
      <c r="AR9" s="280">
        <f t="shared" si="3"/>
        <v>2.2895000000000003</v>
      </c>
      <c r="AT9" s="136"/>
      <c r="AU9" s="187" t="s">
        <v>32</v>
      </c>
      <c r="AV9" s="549"/>
      <c r="AX9" s="549"/>
      <c r="AY9" s="544" t="str">
        <f ca="1">_xll.RtUpdate("IDN",AW10:AW15,AY10:AY11,BA10,,RTMODE_RATES)</f>
        <v>Updated at 10:13:26</v>
      </c>
      <c r="AZ9" s="549"/>
      <c r="BF9" s="136"/>
      <c r="BG9" s="187" t="s">
        <v>35</v>
      </c>
      <c r="BH9" s="549"/>
      <c r="BJ9" s="549"/>
      <c r="BK9" s="544" t="str">
        <f ca="1">_xll.RtUpdate("IDN",BI10:BI21,BK10:BK11,BM10,,RTMODE_RATES)</f>
        <v>Updated at 10:13:26</v>
      </c>
      <c r="BL9" s="549"/>
      <c r="BT9" s="285" t="s">
        <v>1</v>
      </c>
      <c r="BU9" s="188">
        <v>17.187999999987348</v>
      </c>
      <c r="BV9" s="188">
        <v>6.6879999999873521</v>
      </c>
      <c r="BW9" s="188">
        <v>26.372384146986366</v>
      </c>
      <c r="BX9" s="188">
        <v>65</v>
      </c>
      <c r="CJ9" s="251" t="s">
        <v>25</v>
      </c>
      <c r="CL9" s="573" t="str">
        <f t="shared" ref="CL9:CL18" si="4">"GB"&amp;CJ9:CJ18&amp;"3LSTK=ICAP"</f>
        <v>GB1Y3LSTK=ICAP</v>
      </c>
      <c r="CM9" s="573" t="str">
        <f t="shared" ref="CM9:CM18" si="5">"GB"&amp;CJ9:CJ18&amp;"3LATM=ICAP"</f>
        <v>GB1Y3LATM=ICAP</v>
      </c>
      <c r="CO9" s="573" t="s">
        <v>208</v>
      </c>
      <c r="CT9" s="254">
        <v>0.96</v>
      </c>
      <c r="CU9" s="254">
        <v>43.39</v>
      </c>
      <c r="CV9" s="259"/>
      <c r="CW9" s="256">
        <f t="shared" ref="CW9:CW18" si="6">IF(ISNUMBER(CV9),CV9,CU9)</f>
        <v>43.39</v>
      </c>
    </row>
    <row r="10" spans="5:131">
      <c r="W10" s="251" t="s">
        <v>3</v>
      </c>
      <c r="Y10" s="573" t="str">
        <f t="shared" si="1"/>
        <v>GBP4MFSR=</v>
      </c>
      <c r="AC10" s="257">
        <v>0.89812999999999998</v>
      </c>
      <c r="AE10" s="135"/>
      <c r="AF10" s="248">
        <f t="shared" si="0"/>
        <v>0.89812999999999998</v>
      </c>
      <c r="AH10" s="136"/>
      <c r="AI10" s="251" t="s">
        <v>3</v>
      </c>
      <c r="AJ10" s="549"/>
      <c r="AK10" s="573" t="str">
        <f t="shared" si="2"/>
        <v>GBP4MFSR=</v>
      </c>
      <c r="AO10" s="254">
        <v>0.89812999999999998</v>
      </c>
      <c r="AQ10" s="251" t="s">
        <v>11</v>
      </c>
      <c r="AR10" s="280">
        <f t="shared" si="3"/>
        <v>2.66</v>
      </c>
      <c r="AT10" s="136"/>
      <c r="AU10" s="251" t="s">
        <v>184</v>
      </c>
      <c r="AV10" s="549"/>
      <c r="AW10" s="595" t="str">
        <f t="array" ref="AW10:AW15">"GBP"&amp;AU10:AU15&amp;"F=ICAP"</f>
        <v>GBP1X4F=ICAP</v>
      </c>
      <c r="AX10" s="549"/>
      <c r="AY10" s="595" t="s">
        <v>43</v>
      </c>
      <c r="AZ10" s="549"/>
      <c r="BA10" s="254">
        <v>0.82000000000000006</v>
      </c>
      <c r="BB10" s="254">
        <v>0.87000000000000011</v>
      </c>
      <c r="BC10" s="259"/>
      <c r="BD10" s="247">
        <f t="shared" ref="BD10:BD15" si="7">IF(ISNUMBER(BC10),BC10,AVERAGE(BA10:BB10))</f>
        <v>0.84500000000000008</v>
      </c>
      <c r="BF10" s="136"/>
      <c r="BG10" s="251" t="s">
        <v>0</v>
      </c>
      <c r="BH10" s="549"/>
      <c r="BI10" s="595" t="str">
        <f t="shared" ref="BI10:BI21" si="8">"GBP"&amp;BG10&amp;"OIS=ICAP"</f>
        <v>GBP1MOIS=ICAP</v>
      </c>
      <c r="BJ10" s="549"/>
      <c r="BK10" s="595" t="s">
        <v>43</v>
      </c>
      <c r="BL10" s="549"/>
      <c r="BM10" s="254">
        <v>0.505</v>
      </c>
      <c r="BN10" s="254">
        <v>0.54500000000000004</v>
      </c>
      <c r="BO10" s="253"/>
      <c r="BP10" s="256">
        <f t="shared" ref="BP10:BP21" si="9">IF(ISNUMBER(BO10),BO10,(BM10+BN10)/COUNTIF(BM10:BN10,"&lt;&gt;0"))</f>
        <v>0.52500000000000002</v>
      </c>
      <c r="BT10" s="285" t="s">
        <v>2</v>
      </c>
      <c r="BU10" s="188">
        <v>29.06300000000795</v>
      </c>
      <c r="BV10" s="188">
        <v>18.56300000000796</v>
      </c>
      <c r="BW10" s="188">
        <v>26.372384146986366</v>
      </c>
      <c r="BX10" s="188">
        <v>65</v>
      </c>
      <c r="CJ10" s="251" t="s">
        <v>26</v>
      </c>
      <c r="CL10" s="573" t="str">
        <f t="shared" si="4"/>
        <v>GB2Y3LSTK=ICAP</v>
      </c>
      <c r="CM10" s="573" t="str">
        <f t="shared" si="5"/>
        <v>GB2Y3LATM=ICAP</v>
      </c>
      <c r="CT10" s="254">
        <v>1.25</v>
      </c>
      <c r="CU10" s="254">
        <v>52.53</v>
      </c>
      <c r="CV10" s="259"/>
      <c r="CW10" s="256">
        <f t="shared" si="6"/>
        <v>52.53</v>
      </c>
    </row>
    <row r="11" spans="5:131">
      <c r="E11" s="547" t="s">
        <v>519</v>
      </c>
      <c r="W11" s="251" t="s">
        <v>4</v>
      </c>
      <c r="Y11" s="573" t="str">
        <f t="shared" si="1"/>
        <v>GBP5MFSR=</v>
      </c>
      <c r="AC11" s="257">
        <v>1.0024999999999999</v>
      </c>
      <c r="AE11" s="135"/>
      <c r="AF11" s="248">
        <f t="shared" si="0"/>
        <v>1.0024999999999999</v>
      </c>
      <c r="AH11" s="136"/>
      <c r="AI11" s="251" t="s">
        <v>4</v>
      </c>
      <c r="AJ11" s="549"/>
      <c r="AK11" s="573" t="str">
        <f t="shared" si="2"/>
        <v>GBP5MFSR=</v>
      </c>
      <c r="AO11" s="254">
        <v>1.0024999999999999</v>
      </c>
      <c r="AQ11" s="251" t="s">
        <v>14</v>
      </c>
      <c r="AR11" s="280">
        <f t="shared" si="3"/>
        <v>3.0105</v>
      </c>
      <c r="AT11" s="136"/>
      <c r="AU11" s="251" t="s">
        <v>185</v>
      </c>
      <c r="AV11" s="549"/>
      <c r="AW11" s="595" t="str">
        <v>GBP2X5F=ICAP</v>
      </c>
      <c r="AX11" s="549"/>
      <c r="AY11" s="595" t="s">
        <v>44</v>
      </c>
      <c r="AZ11" s="549"/>
      <c r="BA11" s="254">
        <v>0.84500000000000008</v>
      </c>
      <c r="BB11" s="254">
        <v>0.89500000000000002</v>
      </c>
      <c r="BC11" s="259"/>
      <c r="BD11" s="247">
        <f t="shared" si="7"/>
        <v>0.87000000000000011</v>
      </c>
      <c r="BF11" s="136"/>
      <c r="BG11" s="251" t="s">
        <v>1</v>
      </c>
      <c r="BH11" s="549"/>
      <c r="BI11" s="595" t="str">
        <f t="shared" si="8"/>
        <v>GBP2MOIS=ICAP</v>
      </c>
      <c r="BJ11" s="549"/>
      <c r="BK11" s="595" t="s">
        <v>44</v>
      </c>
      <c r="BL11" s="549"/>
      <c r="BM11" s="254">
        <v>0.51</v>
      </c>
      <c r="BN11" s="254">
        <v>0.55000000000000004</v>
      </c>
      <c r="BO11" s="253"/>
      <c r="BP11" s="256">
        <f t="shared" si="9"/>
        <v>0.53</v>
      </c>
      <c r="BT11" s="285" t="s">
        <v>5</v>
      </c>
      <c r="BU11" s="188">
        <v>28.81561585301365</v>
      </c>
      <c r="BV11" s="188">
        <v>17.565615853013639</v>
      </c>
      <c r="BW11" s="188">
        <v>26.372384146986366</v>
      </c>
      <c r="BX11" s="188">
        <v>65</v>
      </c>
      <c r="CJ11" s="251" t="s">
        <v>7</v>
      </c>
      <c r="CL11" s="573" t="str">
        <f t="shared" si="4"/>
        <v>GB3Y3LSTK=ICAP</v>
      </c>
      <c r="CM11" s="573" t="str">
        <f t="shared" si="5"/>
        <v>GB3Y3LATM=ICAP</v>
      </c>
      <c r="CT11" s="254">
        <v>1.6500000000000001</v>
      </c>
      <c r="CU11" s="254">
        <v>49.1</v>
      </c>
      <c r="CV11" s="259"/>
      <c r="CW11" s="256">
        <f t="shared" si="6"/>
        <v>49.1</v>
      </c>
    </row>
    <row r="12" spans="5:131">
      <c r="L12" s="570" t="s">
        <v>523</v>
      </c>
      <c r="Q12" s="570" t="s">
        <v>524</v>
      </c>
      <c r="W12" s="251" t="s">
        <v>5</v>
      </c>
      <c r="Y12" s="573" t="str">
        <f t="shared" si="1"/>
        <v>GBP6MFSR=</v>
      </c>
      <c r="AC12" s="257">
        <v>1.1043800000000001</v>
      </c>
      <c r="AE12" s="135"/>
      <c r="AF12" s="248">
        <f t="shared" si="0"/>
        <v>1.1043800000000001</v>
      </c>
      <c r="AH12" s="136"/>
      <c r="AI12" s="251" t="s">
        <v>5</v>
      </c>
      <c r="AJ12" s="549"/>
      <c r="AK12" s="573" t="str">
        <f t="shared" si="2"/>
        <v>GBP6MFSR=</v>
      </c>
      <c r="AO12" s="254">
        <v>1.1043800000000001</v>
      </c>
      <c r="AQ12" s="251" t="s">
        <v>19</v>
      </c>
      <c r="AR12" s="280">
        <f t="shared" si="3"/>
        <v>3.6985000000000001</v>
      </c>
      <c r="AT12" s="136"/>
      <c r="AU12" s="251" t="s">
        <v>186</v>
      </c>
      <c r="AV12" s="549"/>
      <c r="AW12" s="595" t="str">
        <v>GBP3X6F=ICAP</v>
      </c>
      <c r="AX12" s="549"/>
      <c r="AY12" s="549"/>
      <c r="AZ12" s="549"/>
      <c r="BA12" s="254">
        <v>0.8650000000000001</v>
      </c>
      <c r="BB12" s="254">
        <v>0.91500000000000004</v>
      </c>
      <c r="BC12" s="259"/>
      <c r="BD12" s="247">
        <f t="shared" si="7"/>
        <v>0.89000000000000012</v>
      </c>
      <c r="BF12" s="136"/>
      <c r="BG12" s="251" t="s">
        <v>2</v>
      </c>
      <c r="BH12" s="549"/>
      <c r="BI12" s="595" t="str">
        <f t="shared" si="8"/>
        <v>GBP3MOIS=ICAP</v>
      </c>
      <c r="BJ12" s="549"/>
      <c r="BK12" s="549"/>
      <c r="BL12" s="549"/>
      <c r="BM12" s="254">
        <v>0.51500000000000001</v>
      </c>
      <c r="BN12" s="254">
        <v>0.55500000000000005</v>
      </c>
      <c r="BO12" s="253"/>
      <c r="BP12" s="256">
        <f t="shared" si="9"/>
        <v>0.53500000000000003</v>
      </c>
      <c r="BT12" s="285" t="s">
        <v>25</v>
      </c>
      <c r="BU12" s="188">
        <v>31.5</v>
      </c>
      <c r="BV12" s="188">
        <v>19.5</v>
      </c>
      <c r="BW12" s="188">
        <v>24.25</v>
      </c>
      <c r="BX12" s="188">
        <v>65</v>
      </c>
      <c r="CJ12" s="251" t="s">
        <v>8</v>
      </c>
      <c r="CL12" s="573" t="str">
        <f t="shared" si="4"/>
        <v>GB4Y3LSTK=ICAP</v>
      </c>
      <c r="CM12" s="573" t="str">
        <f t="shared" si="5"/>
        <v>GB4Y3LATM=ICAP</v>
      </c>
      <c r="CT12" s="254">
        <v>2.0099999999999998</v>
      </c>
      <c r="CU12" s="254">
        <v>42.97</v>
      </c>
      <c r="CV12" s="259"/>
      <c r="CW12" s="256">
        <f t="shared" si="6"/>
        <v>42.97</v>
      </c>
    </row>
    <row r="13" spans="5:131">
      <c r="E13" s="547" t="s">
        <v>599</v>
      </c>
      <c r="F13" s="547" t="str">
        <f>_xll.qFuturesDateToCode(IF(O6="LIVE",L6,L7))</f>
        <v>U1</v>
      </c>
      <c r="G13" s="828" t="str">
        <f t="array" ref="G13:G24">IF(O6="DELAYED","/","") &amp; "FSS" &amp; F13:F24</f>
        <v>/FSSU1</v>
      </c>
      <c r="I13" s="573" t="s">
        <v>45</v>
      </c>
      <c r="K13" s="547" t="str">
        <f ca="1">_xll.RtUpdate("IDN",G13:G24,I13:I16,L13,,RTMODE_RATES)</f>
        <v>Updated at 10:13:26</v>
      </c>
      <c r="L13" s="574">
        <v>40807</v>
      </c>
      <c r="M13" s="581">
        <v>0</v>
      </c>
      <c r="N13" s="581">
        <v>0</v>
      </c>
      <c r="O13" s="581">
        <v>99.11</v>
      </c>
      <c r="Q13" s="574">
        <v>40807</v>
      </c>
      <c r="R13" s="580"/>
      <c r="S13" s="580"/>
      <c r="T13" s="580">
        <v>99.11</v>
      </c>
      <c r="AH13" s="136"/>
      <c r="AJ13" s="549"/>
      <c r="AT13" s="136"/>
      <c r="AU13" s="251" t="s">
        <v>187</v>
      </c>
      <c r="AV13" s="549"/>
      <c r="AW13" s="595" t="str">
        <v>GBP4X7F=ICAP</v>
      </c>
      <c r="AX13" s="549"/>
      <c r="AZ13" s="549"/>
      <c r="BA13" s="254">
        <v>0.87500000000000011</v>
      </c>
      <c r="BB13" s="254">
        <v>0.92500000000000004</v>
      </c>
      <c r="BC13" s="259"/>
      <c r="BD13" s="247">
        <f t="shared" si="7"/>
        <v>0.90000000000000013</v>
      </c>
      <c r="BF13" s="136"/>
      <c r="BG13" s="251" t="s">
        <v>3</v>
      </c>
      <c r="BH13" s="549"/>
      <c r="BI13" s="595" t="str">
        <f t="shared" si="8"/>
        <v>GBP4MOIS=ICAP</v>
      </c>
      <c r="BJ13" s="549"/>
      <c r="BK13" s="549"/>
      <c r="BL13" s="549"/>
      <c r="BM13" s="254">
        <v>0.51749999999999996</v>
      </c>
      <c r="BN13" s="254">
        <v>0.5575</v>
      </c>
      <c r="BO13" s="253"/>
      <c r="BP13" s="256">
        <f t="shared" si="9"/>
        <v>0.53749999999999998</v>
      </c>
      <c r="BT13" s="285" t="s">
        <v>26</v>
      </c>
      <c r="BU13" s="188">
        <v>31.75</v>
      </c>
      <c r="BV13" s="188">
        <v>19.750000000000004</v>
      </c>
      <c r="BW13" s="188">
        <v>23.75</v>
      </c>
      <c r="BX13" s="188">
        <v>57.999999999999993</v>
      </c>
      <c r="CJ13" s="251" t="s">
        <v>9</v>
      </c>
      <c r="CL13" s="573" t="str">
        <f t="shared" si="4"/>
        <v>GB5Y3LSTK=ICAP</v>
      </c>
      <c r="CM13" s="573" t="str">
        <f t="shared" si="5"/>
        <v>GB5Y3LATM=ICAP</v>
      </c>
      <c r="CT13" s="254">
        <v>2.3299999999999996</v>
      </c>
      <c r="CU13" s="254">
        <v>37.86</v>
      </c>
      <c r="CV13" s="259"/>
      <c r="CW13" s="256">
        <f t="shared" si="6"/>
        <v>37.86</v>
      </c>
    </row>
    <row r="14" spans="5:131">
      <c r="F14" s="547" t="str">
        <f>_xll.qFuturesDateToCode(_xll.qFuturesCodeToDate(F13,Today)+92)</f>
        <v>Z1</v>
      </c>
      <c r="G14" s="828" t="str">
        <v>/FSSZ1</v>
      </c>
      <c r="I14" s="573" t="s">
        <v>43</v>
      </c>
      <c r="L14" s="574">
        <v>40898</v>
      </c>
      <c r="M14" s="581">
        <v>0</v>
      </c>
      <c r="N14" s="581">
        <v>0</v>
      </c>
      <c r="O14" s="581">
        <v>99.06</v>
      </c>
      <c r="Q14" s="574">
        <v>40898</v>
      </c>
      <c r="R14" s="580"/>
      <c r="S14" s="580"/>
      <c r="T14" s="580">
        <v>99.06</v>
      </c>
      <c r="W14" s="187" t="s">
        <v>598</v>
      </c>
      <c r="AD14" s="258" t="str">
        <f>IF(O6="DELAYED","DELAYED","")</f>
        <v>DELAYED</v>
      </c>
      <c r="AF14" s="252" t="s">
        <v>20</v>
      </c>
      <c r="AH14" s="136"/>
      <c r="AI14" s="187" t="s">
        <v>531</v>
      </c>
      <c r="AJ14" s="549"/>
      <c r="AQ14" s="281" t="s">
        <v>610</v>
      </c>
      <c r="AR14" s="282" t="s">
        <v>278</v>
      </c>
      <c r="AT14" s="136"/>
      <c r="AU14" s="251" t="s">
        <v>188</v>
      </c>
      <c r="AV14" s="549"/>
      <c r="AW14" s="595" t="str">
        <v>GBP5X8F=ICAP</v>
      </c>
      <c r="AX14" s="549"/>
      <c r="AY14" s="549"/>
      <c r="AZ14" s="549"/>
      <c r="BA14" s="254">
        <v>0.9</v>
      </c>
      <c r="BB14" s="254">
        <v>0.95000000000000007</v>
      </c>
      <c r="BC14" s="259"/>
      <c r="BD14" s="247">
        <f t="shared" si="7"/>
        <v>0.92500000000000004</v>
      </c>
      <c r="BF14" s="136"/>
      <c r="BG14" s="251" t="s">
        <v>4</v>
      </c>
      <c r="BH14" s="549"/>
      <c r="BI14" s="595" t="str">
        <f t="shared" si="8"/>
        <v>GBP5MOIS=ICAP</v>
      </c>
      <c r="BJ14" s="549"/>
      <c r="BK14" s="549"/>
      <c r="BL14" s="549"/>
      <c r="BM14" s="254">
        <v>0.52500000000000002</v>
      </c>
      <c r="BN14" s="254">
        <v>0.56500000000000006</v>
      </c>
      <c r="BO14" s="253"/>
      <c r="BP14" s="256">
        <f t="shared" si="9"/>
        <v>0.54500000000000004</v>
      </c>
      <c r="BT14" s="285" t="s">
        <v>7</v>
      </c>
      <c r="BU14" s="188">
        <v>31.5</v>
      </c>
      <c r="BV14" s="188">
        <v>19.5</v>
      </c>
      <c r="BW14" s="188">
        <v>23.75</v>
      </c>
      <c r="BX14" s="188">
        <v>53.25</v>
      </c>
      <c r="CJ14" s="251" t="s">
        <v>10</v>
      </c>
      <c r="CL14" s="573" t="str">
        <f t="shared" si="4"/>
        <v>GB6Y3LSTK=ICAP</v>
      </c>
      <c r="CM14" s="573" t="str">
        <f t="shared" si="5"/>
        <v>GB6Y3LATM=ICAP</v>
      </c>
      <c r="CT14" s="254">
        <v>2.61</v>
      </c>
      <c r="CU14" s="254">
        <v>33.92</v>
      </c>
      <c r="CV14" s="259"/>
      <c r="CW14" s="256">
        <f t="shared" si="6"/>
        <v>33.92</v>
      </c>
    </row>
    <row r="15" spans="5:131">
      <c r="F15" s="547" t="str">
        <f>_xll.qFuturesDateToCode(_xll.qFuturesCodeToDate(F14,Today)+92)</f>
        <v>H2</v>
      </c>
      <c r="G15" s="828" t="str">
        <v>/FSSH2</v>
      </c>
      <c r="I15" s="573" t="s">
        <v>44</v>
      </c>
      <c r="L15" s="574">
        <v>40989</v>
      </c>
      <c r="M15" s="581">
        <v>0</v>
      </c>
      <c r="N15" s="581">
        <v>0</v>
      </c>
      <c r="O15" s="581">
        <v>98.98</v>
      </c>
      <c r="Q15" s="574">
        <v>40989</v>
      </c>
      <c r="R15" s="580"/>
      <c r="S15" s="580"/>
      <c r="T15" s="580">
        <v>98.98</v>
      </c>
      <c r="W15" s="251" t="str">
        <f t="array" ref="W15:W26">F13:F24</f>
        <v>U1</v>
      </c>
      <c r="AC15" s="266">
        <f t="array" ref="AC15:AD15">IF(AND(R13&lt;&gt;0,S13&lt;&gt;0),R13:S13,T13)</f>
        <v>99.11</v>
      </c>
      <c r="AD15" s="266">
        <v>99.11</v>
      </c>
      <c r="AE15" s="135"/>
      <c r="AF15" s="248">
        <f t="shared" ref="AF15:AF26" si="10">IF(ISNUMBER(AE15),AE15,AVERAGEIF(AC15:AD15,"&lt;&gt;0"))</f>
        <v>99.11</v>
      </c>
      <c r="AH15" s="136"/>
      <c r="AI15" s="251" t="str">
        <f t="shared" ref="AI15:AI26" si="11">W15</f>
        <v>U1</v>
      </c>
      <c r="AJ15" s="549"/>
      <c r="AO15" s="259"/>
      <c r="AP15" s="278">
        <f>IF(ISNUMBER(AO15),AO15,_xll.qFuturesConvexityAdjustment(AF15,Today,Q13,CW23,"Eurodollar"))</f>
        <v>6.2137502542247702E-3</v>
      </c>
      <c r="AQ15" s="248">
        <f t="shared" ref="AQ15:AQ26" si="12">100-AF15</f>
        <v>0.89000000000000057</v>
      </c>
      <c r="AR15" s="248">
        <f t="shared" ref="AR15:AR26" si="13">AQ15-AP15%</f>
        <v>0.88993786249745832</v>
      </c>
      <c r="AT15" s="136"/>
      <c r="AU15" s="251" t="s">
        <v>189</v>
      </c>
      <c r="AV15" s="549"/>
      <c r="AW15" s="595" t="str">
        <v>GBP6X9F=ICAP</v>
      </c>
      <c r="AX15" s="549"/>
      <c r="AZ15" s="549"/>
      <c r="BA15" s="254">
        <v>0.91500000000000004</v>
      </c>
      <c r="BB15" s="254">
        <v>0.96499999999999997</v>
      </c>
      <c r="BC15" s="259"/>
      <c r="BD15" s="247">
        <f t="shared" si="7"/>
        <v>0.94</v>
      </c>
      <c r="BF15" s="136"/>
      <c r="BG15" s="251" t="s">
        <v>5</v>
      </c>
      <c r="BH15" s="549"/>
      <c r="BI15" s="595" t="str">
        <f t="shared" si="8"/>
        <v>GBP6MOIS=ICAP</v>
      </c>
      <c r="BJ15" s="549"/>
      <c r="BK15" s="549"/>
      <c r="BL15" s="549"/>
      <c r="BM15" s="254">
        <v>0.53249999999999997</v>
      </c>
      <c r="BN15" s="254">
        <v>0.57250000000000001</v>
      </c>
      <c r="BO15" s="253"/>
      <c r="BP15" s="256">
        <f t="shared" si="9"/>
        <v>0.55249999999999999</v>
      </c>
      <c r="BT15" s="285" t="s">
        <v>8</v>
      </c>
      <c r="BU15" s="188">
        <v>31</v>
      </c>
      <c r="BV15" s="188">
        <v>19</v>
      </c>
      <c r="BW15" s="188">
        <v>23.5</v>
      </c>
      <c r="BX15" s="188">
        <v>50.25</v>
      </c>
      <c r="CJ15" s="251" t="s">
        <v>11</v>
      </c>
      <c r="CL15" s="573" t="str">
        <f t="shared" si="4"/>
        <v>GB7Y3LSTK=ICAP</v>
      </c>
      <c r="CM15" s="573" t="str">
        <f t="shared" si="5"/>
        <v>GB7Y3LATM=ICAP</v>
      </c>
      <c r="CT15" s="254">
        <v>2.8499999999999996</v>
      </c>
      <c r="CU15" s="254">
        <v>30.810000000000002</v>
      </c>
      <c r="CV15" s="259"/>
      <c r="CW15" s="256">
        <f t="shared" si="6"/>
        <v>30.810000000000002</v>
      </c>
    </row>
    <row r="16" spans="5:131">
      <c r="F16" s="547" t="str">
        <f>_xll.qFuturesDateToCode(_xll.qFuturesCodeToDate(F15,Today)+92)</f>
        <v>M2</v>
      </c>
      <c r="G16" s="828" t="str">
        <v>/FSSM2</v>
      </c>
      <c r="I16" s="573" t="s">
        <v>522</v>
      </c>
      <c r="L16" s="574">
        <v>41080</v>
      </c>
      <c r="M16" s="581">
        <v>0</v>
      </c>
      <c r="N16" s="581">
        <v>0</v>
      </c>
      <c r="O16" s="581">
        <v>98.85</v>
      </c>
      <c r="Q16" s="574">
        <v>41080</v>
      </c>
      <c r="R16" s="580"/>
      <c r="S16" s="580"/>
      <c r="T16" s="580">
        <v>98.85</v>
      </c>
      <c r="W16" s="251" t="str">
        <v>Z1</v>
      </c>
      <c r="AC16" s="266">
        <f t="array" ref="AC16:AD16">IF(AND(R14&lt;&gt;0,S14&lt;&gt;0),R14:S14,T14-T13+AF15)</f>
        <v>99.06</v>
      </c>
      <c r="AD16" s="266">
        <v>99.06</v>
      </c>
      <c r="AE16" s="135"/>
      <c r="AF16" s="248">
        <f t="shared" si="10"/>
        <v>99.06</v>
      </c>
      <c r="AH16" s="136"/>
      <c r="AI16" s="251" t="str">
        <f t="shared" si="11"/>
        <v>Z1</v>
      </c>
      <c r="AJ16" s="549"/>
      <c r="AO16" s="259"/>
      <c r="AP16" s="278">
        <f>IF(ISNUMBER(AO16),AO16,_xll.qFuturesConvexityAdjustment(AF16,Today,Q14,CW24,"Eurodollar"))</f>
        <v>2.889901768694525E-2</v>
      </c>
      <c r="AQ16" s="248">
        <f t="shared" si="12"/>
        <v>0.93999999999999773</v>
      </c>
      <c r="AR16" s="248">
        <f t="shared" si="13"/>
        <v>0.93971100982312827</v>
      </c>
      <c r="AT16" s="136"/>
      <c r="AV16" s="549"/>
      <c r="AW16" s="549"/>
      <c r="AX16" s="549"/>
      <c r="AY16" s="549"/>
      <c r="AZ16" s="549"/>
      <c r="BF16" s="136"/>
      <c r="BG16" s="251" t="s">
        <v>110</v>
      </c>
      <c r="BH16" s="549"/>
      <c r="BI16" s="595" t="str">
        <f t="shared" si="8"/>
        <v>GBP7MOIS=ICAP</v>
      </c>
      <c r="BJ16" s="549"/>
      <c r="BK16" s="549"/>
      <c r="BL16" s="549"/>
      <c r="BM16" s="254">
        <v>0.54</v>
      </c>
      <c r="BN16" s="254">
        <v>0.57999999999999996</v>
      </c>
      <c r="BO16" s="253"/>
      <c r="BP16" s="256">
        <f t="shared" si="9"/>
        <v>0.56000000000000005</v>
      </c>
      <c r="BT16" s="285" t="s">
        <v>9</v>
      </c>
      <c r="BU16" s="188">
        <v>28.999999999999996</v>
      </c>
      <c r="BV16" s="188">
        <v>18.5</v>
      </c>
      <c r="BW16" s="188">
        <v>23.249999999999996</v>
      </c>
      <c r="BX16" s="188">
        <v>48.25</v>
      </c>
      <c r="CJ16" s="251" t="s">
        <v>12</v>
      </c>
      <c r="CL16" s="573" t="str">
        <f t="shared" si="4"/>
        <v>GB8Y3LSTK=ICAP</v>
      </c>
      <c r="CM16" s="573" t="str">
        <f t="shared" si="5"/>
        <v>GB8Y3LATM=ICAP</v>
      </c>
      <c r="CT16" s="254">
        <v>3.07</v>
      </c>
      <c r="CU16" s="254">
        <v>28.29</v>
      </c>
      <c r="CV16" s="259"/>
      <c r="CW16" s="256">
        <f t="shared" si="6"/>
        <v>28.29</v>
      </c>
    </row>
    <row r="17" spans="5:101">
      <c r="F17" s="547" t="str">
        <f>_xll.qFuturesDateToCode(_xll.qFuturesCodeToDate(F16,Today)+92)</f>
        <v>U2</v>
      </c>
      <c r="G17" s="828" t="str">
        <v>/FSSU2</v>
      </c>
      <c r="L17" s="574">
        <v>41171</v>
      </c>
      <c r="M17" s="581">
        <v>0</v>
      </c>
      <c r="N17" s="581">
        <v>0</v>
      </c>
      <c r="O17" s="581">
        <v>98.669999999999987</v>
      </c>
      <c r="Q17" s="574">
        <v>41171</v>
      </c>
      <c r="R17" s="580"/>
      <c r="S17" s="580"/>
      <c r="T17" s="580">
        <v>98.669999999999987</v>
      </c>
      <c r="W17" s="251" t="str">
        <v>H2</v>
      </c>
      <c r="AC17" s="266">
        <f t="array" ref="AC17:AD17">IF(AND(R15&lt;&gt;0,S15&lt;&gt;0),R15:S15,T15-T14+AF16)</f>
        <v>98.98</v>
      </c>
      <c r="AD17" s="266">
        <v>98.98</v>
      </c>
      <c r="AE17" s="135"/>
      <c r="AF17" s="248">
        <f t="shared" si="10"/>
        <v>98.98</v>
      </c>
      <c r="AH17" s="136"/>
      <c r="AI17" s="251" t="str">
        <f t="shared" si="11"/>
        <v>H2</v>
      </c>
      <c r="AJ17" s="549"/>
      <c r="AO17" s="259"/>
      <c r="AP17" s="278">
        <f>IF(ISNUMBER(AO17),AO17,_xll.qFuturesConvexityAdjustment(AF17,Today,Q15,CW25,"Eurodollar"))</f>
        <v>8.5987722303149106E-2</v>
      </c>
      <c r="AQ17" s="248">
        <f t="shared" si="12"/>
        <v>1.019999999999996</v>
      </c>
      <c r="AR17" s="248">
        <f t="shared" si="13"/>
        <v>1.0191401227769645</v>
      </c>
      <c r="AT17" s="136"/>
      <c r="AV17" s="549"/>
      <c r="AW17" s="549"/>
      <c r="AX17" s="549"/>
      <c r="AY17" s="549"/>
      <c r="AZ17" s="549"/>
      <c r="BF17" s="136"/>
      <c r="BG17" s="251" t="s">
        <v>111</v>
      </c>
      <c r="BH17" s="549"/>
      <c r="BI17" s="595" t="str">
        <f t="shared" si="8"/>
        <v>GBP8MOIS=ICAP</v>
      </c>
      <c r="BJ17" s="549"/>
      <c r="BK17" s="549"/>
      <c r="BL17" s="549"/>
      <c r="BM17" s="254">
        <v>0.55000000000000004</v>
      </c>
      <c r="BN17" s="254">
        <v>0.59</v>
      </c>
      <c r="BO17" s="253"/>
      <c r="BP17" s="256">
        <f t="shared" si="9"/>
        <v>0.57000000000000006</v>
      </c>
      <c r="BT17" s="285" t="s">
        <v>10</v>
      </c>
      <c r="BU17" s="188">
        <v>27</v>
      </c>
      <c r="BV17" s="188">
        <v>17.5</v>
      </c>
      <c r="BW17" s="188">
        <v>23</v>
      </c>
      <c r="BX17" s="188">
        <v>46.25</v>
      </c>
      <c r="CJ17" s="251" t="s">
        <v>13</v>
      </c>
      <c r="CL17" s="573" t="str">
        <f t="shared" si="4"/>
        <v>GB9Y3LSTK=ICAP</v>
      </c>
      <c r="CM17" s="573" t="str">
        <f t="shared" si="5"/>
        <v>GB9Y3LATM=ICAP</v>
      </c>
      <c r="CT17" s="254">
        <v>3.25</v>
      </c>
      <c r="CU17" s="254">
        <v>26.27</v>
      </c>
      <c r="CV17" s="259"/>
      <c r="CW17" s="256">
        <f t="shared" si="6"/>
        <v>26.27</v>
      </c>
    </row>
    <row r="18" spans="5:101">
      <c r="F18" s="547" t="str">
        <f>_xll.qFuturesDateToCode(_xll.qFuturesCodeToDate(F17,Today)+92)</f>
        <v>Z2</v>
      </c>
      <c r="G18" s="828" t="str">
        <v>/FSSZ2</v>
      </c>
      <c r="L18" s="574">
        <v>41262</v>
      </c>
      <c r="M18" s="581">
        <v>0</v>
      </c>
      <c r="N18" s="581">
        <v>0</v>
      </c>
      <c r="O18" s="581">
        <v>98.43</v>
      </c>
      <c r="Q18" s="574">
        <v>41262</v>
      </c>
      <c r="R18" s="580"/>
      <c r="S18" s="580"/>
      <c r="T18" s="580">
        <v>98.43</v>
      </c>
      <c r="W18" s="251" t="str">
        <v>M2</v>
      </c>
      <c r="AC18" s="266">
        <f t="array" ref="AC18:AD18">IF(AND(R16&lt;&gt;0,S16&lt;&gt;0),R16:S16,T16-T15+AF17)</f>
        <v>98.85</v>
      </c>
      <c r="AD18" s="266">
        <v>98.85</v>
      </c>
      <c r="AE18" s="135"/>
      <c r="AF18" s="248">
        <f t="shared" si="10"/>
        <v>98.85</v>
      </c>
      <c r="AH18" s="136"/>
      <c r="AI18" s="251" t="str">
        <f t="shared" si="11"/>
        <v>M2</v>
      </c>
      <c r="AJ18" s="549"/>
      <c r="AO18" s="259"/>
      <c r="AP18" s="278">
        <f>IF(ISNUMBER(AO18),AO18,_xll.qFuturesConvexityAdjustment(AF18,Today,Q16,CW26,"Eurodollar"))</f>
        <v>0.25404939828606032</v>
      </c>
      <c r="AQ18" s="248">
        <f t="shared" si="12"/>
        <v>1.1500000000000057</v>
      </c>
      <c r="AR18" s="248">
        <f t="shared" si="13"/>
        <v>1.1474595060171451</v>
      </c>
      <c r="AT18" s="136"/>
      <c r="AU18" s="187" t="s">
        <v>37</v>
      </c>
      <c r="AV18" s="549"/>
      <c r="AX18" s="549"/>
      <c r="AY18" s="544" t="str">
        <f ca="1">_xll.RtUpdate("IDN",AW19:AW26,AY19:AY20,BA19,,RTMODE_RATES)</f>
        <v>Updated at 10:13:26</v>
      </c>
      <c r="AZ18" s="549"/>
      <c r="BF18" s="136"/>
      <c r="BG18" s="251" t="s">
        <v>30</v>
      </c>
      <c r="BH18" s="549"/>
      <c r="BI18" s="595" t="str">
        <f t="shared" si="8"/>
        <v>GBP9MOIS=ICAP</v>
      </c>
      <c r="BJ18" s="549"/>
      <c r="BK18" s="549"/>
      <c r="BL18" s="549"/>
      <c r="BM18" s="254">
        <v>0.55500000000000005</v>
      </c>
      <c r="BN18" s="254">
        <v>0.59499999999999997</v>
      </c>
      <c r="BO18" s="253"/>
      <c r="BP18" s="256">
        <f t="shared" si="9"/>
        <v>0.57499999999999996</v>
      </c>
      <c r="BT18" s="285" t="s">
        <v>11</v>
      </c>
      <c r="BU18" s="188">
        <v>25.75</v>
      </c>
      <c r="BV18" s="188">
        <v>16.5</v>
      </c>
      <c r="BW18" s="188">
        <v>22.25</v>
      </c>
      <c r="BX18" s="188">
        <v>44.25</v>
      </c>
      <c r="CJ18" s="251" t="s">
        <v>14</v>
      </c>
      <c r="CL18" s="573" t="str">
        <f t="shared" si="4"/>
        <v>GB10Y3LSTK=ICAP</v>
      </c>
      <c r="CM18" s="573" t="str">
        <f t="shared" si="5"/>
        <v>GB10Y3LATM=ICAP</v>
      </c>
      <c r="CT18" s="254">
        <v>3.4</v>
      </c>
      <c r="CU18" s="254">
        <v>24.67</v>
      </c>
      <c r="CV18" s="259"/>
      <c r="CW18" s="256">
        <f t="shared" si="6"/>
        <v>24.67</v>
      </c>
    </row>
    <row r="19" spans="5:101">
      <c r="F19" s="547" t="str">
        <f>_xll.qFuturesDateToCode(_xll.qFuturesCodeToDate(F18,Today)+92)</f>
        <v>H3</v>
      </c>
      <c r="G19" s="828" t="str">
        <v>/FSSH3</v>
      </c>
      <c r="L19" s="574">
        <v>41353</v>
      </c>
      <c r="M19" s="581">
        <v>0</v>
      </c>
      <c r="N19" s="581">
        <v>0</v>
      </c>
      <c r="O19" s="581">
        <v>98.22</v>
      </c>
      <c r="Q19" s="574">
        <v>41353</v>
      </c>
      <c r="R19" s="580"/>
      <c r="S19" s="580"/>
      <c r="T19" s="580">
        <v>98.22</v>
      </c>
      <c r="W19" s="251" t="str">
        <v>U2</v>
      </c>
      <c r="AC19" s="266">
        <f t="array" ref="AC19:AD19">IF(AND(R17&lt;&gt;0,S17&lt;&gt;0),R17:S17,T17-T16+AF18)</f>
        <v>98.669999999999987</v>
      </c>
      <c r="AD19" s="266">
        <v>98.669999999999987</v>
      </c>
      <c r="AE19" s="135"/>
      <c r="AF19" s="248">
        <f t="shared" si="10"/>
        <v>98.669999999999987</v>
      </c>
      <c r="AH19" s="136"/>
      <c r="AI19" s="251" t="str">
        <f t="shared" si="11"/>
        <v>U2</v>
      </c>
      <c r="AJ19" s="549"/>
      <c r="AO19" s="259"/>
      <c r="AP19" s="278">
        <f>IF(ISNUMBER(AO19),AO19,_xll.qFuturesConvexityAdjustment(AF19,Today,Q17,CW27,"Eurodollar"))</f>
        <v>0.57676497175800368</v>
      </c>
      <c r="AQ19" s="248">
        <f t="shared" si="12"/>
        <v>1.3300000000000125</v>
      </c>
      <c r="AR19" s="248">
        <f t="shared" si="13"/>
        <v>1.3242323502824325</v>
      </c>
      <c r="AT19" s="136"/>
      <c r="AU19" s="251" t="s">
        <v>190</v>
      </c>
      <c r="AV19" s="549"/>
      <c r="AW19" s="595" t="str">
        <f t="array" ref="AW19:AW26">"GBP"&amp;AU19:AU26&amp;"S=ICAP"</f>
        <v>GBP2X1S=ICAP</v>
      </c>
      <c r="AX19" s="549"/>
      <c r="AY19" s="595" t="s">
        <v>43</v>
      </c>
      <c r="AZ19" s="549"/>
      <c r="BA19" s="254">
        <v>0.58499999999999996</v>
      </c>
      <c r="BB19" s="254">
        <v>0.68499999999999994</v>
      </c>
      <c r="BC19" s="259"/>
      <c r="BD19" s="247">
        <f t="shared" ref="BD19:BD26" si="14">IF(ISNUMBER(BC19),BC19,AVERAGE(BA19:BB19))</f>
        <v>0.63500000000000001</v>
      </c>
      <c r="BF19" s="136"/>
      <c r="BG19" s="251" t="s">
        <v>505</v>
      </c>
      <c r="BH19" s="549"/>
      <c r="BI19" s="595" t="str">
        <f t="shared" si="8"/>
        <v>GBP10MOIS=ICAP</v>
      </c>
      <c r="BJ19" s="549"/>
      <c r="BK19" s="549"/>
      <c r="BL19" s="549"/>
      <c r="BM19" s="254">
        <v>0.56500000000000006</v>
      </c>
      <c r="BN19" s="254">
        <v>0.60499999999999998</v>
      </c>
      <c r="BO19" s="253"/>
      <c r="BP19" s="256">
        <f t="shared" si="9"/>
        <v>0.58499999999999996</v>
      </c>
      <c r="BT19" s="285" t="s">
        <v>12</v>
      </c>
      <c r="BU19" s="188">
        <v>24.5</v>
      </c>
      <c r="BV19" s="188">
        <v>14.499999999999998</v>
      </c>
      <c r="BW19" s="188">
        <v>21.25</v>
      </c>
      <c r="BX19" s="188">
        <v>42.249999999999993</v>
      </c>
    </row>
    <row r="20" spans="5:101">
      <c r="F20" s="547" t="str">
        <f>_xll.qFuturesDateToCode(_xll.qFuturesCodeToDate(F19,Today)+92)</f>
        <v>M3</v>
      </c>
      <c r="G20" s="828" t="str">
        <v>/FSSM3</v>
      </c>
      <c r="L20" s="574">
        <v>41444</v>
      </c>
      <c r="M20" s="581">
        <v>0</v>
      </c>
      <c r="N20" s="581">
        <v>0</v>
      </c>
      <c r="O20" s="581">
        <v>97.990000000000009</v>
      </c>
      <c r="Q20" s="574">
        <v>41444</v>
      </c>
      <c r="R20" s="580"/>
      <c r="S20" s="580"/>
      <c r="T20" s="580">
        <v>97.990000000000009</v>
      </c>
      <c r="W20" s="251" t="str">
        <v>Z2</v>
      </c>
      <c r="AC20" s="266">
        <f t="array" ref="AC20:AD20">IF(AND(R18&lt;&gt;0,S18&lt;&gt;0),R18:S18,T18-T17+AF19)</f>
        <v>98.43</v>
      </c>
      <c r="AD20" s="266">
        <v>98.43</v>
      </c>
      <c r="AE20" s="135"/>
      <c r="AF20" s="248">
        <f t="shared" si="10"/>
        <v>98.43</v>
      </c>
      <c r="AH20" s="136"/>
      <c r="AI20" s="251" t="str">
        <f t="shared" si="11"/>
        <v>Z2</v>
      </c>
      <c r="AJ20" s="549"/>
      <c r="AO20" s="259"/>
      <c r="AP20" s="278">
        <f>IF(ISNUMBER(AO20),AO20,_xll.qFuturesConvexityAdjustment(AF20,Today,Q18,CW28,"Eurodollar"))</f>
        <v>1.0718043747637296</v>
      </c>
      <c r="AQ20" s="248">
        <f t="shared" si="12"/>
        <v>1.5699999999999932</v>
      </c>
      <c r="AR20" s="248">
        <f t="shared" si="13"/>
        <v>1.5592819562523559</v>
      </c>
      <c r="AT20" s="136"/>
      <c r="AU20" s="251" t="s">
        <v>191</v>
      </c>
      <c r="AV20" s="549"/>
      <c r="AW20" s="595" t="str">
        <v>GBP3X1S=ICAP</v>
      </c>
      <c r="AX20" s="549"/>
      <c r="AY20" s="595" t="s">
        <v>44</v>
      </c>
      <c r="AZ20" s="549"/>
      <c r="BA20" s="254">
        <v>0.59</v>
      </c>
      <c r="BB20" s="254">
        <v>0.69</v>
      </c>
      <c r="BC20" s="259"/>
      <c r="BD20" s="247">
        <f t="shared" si="14"/>
        <v>0.6399999999999999</v>
      </c>
      <c r="BF20" s="136"/>
      <c r="BG20" s="251" t="s">
        <v>506</v>
      </c>
      <c r="BH20" s="549"/>
      <c r="BI20" s="595" t="str">
        <f t="shared" si="8"/>
        <v>GBP11MOIS=ICAP</v>
      </c>
      <c r="BJ20" s="549"/>
      <c r="BK20" s="549"/>
      <c r="BL20" s="549"/>
      <c r="BM20" s="254">
        <v>0.57999999999999996</v>
      </c>
      <c r="BN20" s="254">
        <v>0.62</v>
      </c>
      <c r="BO20" s="253"/>
      <c r="BP20" s="256">
        <f t="shared" si="9"/>
        <v>0.6</v>
      </c>
      <c r="BT20" s="285" t="s">
        <v>13</v>
      </c>
      <c r="BU20" s="188">
        <v>23.5</v>
      </c>
      <c r="BV20" s="188">
        <v>13.5</v>
      </c>
      <c r="BW20" s="188">
        <v>20.25</v>
      </c>
      <c r="BX20" s="188">
        <v>40</v>
      </c>
    </row>
    <row r="21" spans="5:101">
      <c r="F21" s="547" t="str">
        <f>_xll.qFuturesDateToCode(_xll.qFuturesCodeToDate(F20,Today)+92)</f>
        <v>U3</v>
      </c>
      <c r="G21" s="828" t="str">
        <v>/FSSU3</v>
      </c>
      <c r="L21" s="574">
        <v>41535</v>
      </c>
      <c r="M21" s="581">
        <v>0</v>
      </c>
      <c r="N21" s="581">
        <v>0</v>
      </c>
      <c r="O21" s="581">
        <v>97.77</v>
      </c>
      <c r="Q21" s="574">
        <v>41535</v>
      </c>
      <c r="R21" s="580"/>
      <c r="S21" s="580"/>
      <c r="T21" s="580">
        <v>97.77</v>
      </c>
      <c r="W21" s="251" t="str">
        <v>H3</v>
      </c>
      <c r="AC21" s="266">
        <f t="array" ref="AC21:AD21">IF(AND(R19&lt;&gt;0,S19&lt;&gt;0),R19:S19,T19-T18+AF20)</f>
        <v>98.22</v>
      </c>
      <c r="AD21" s="266">
        <v>98.22</v>
      </c>
      <c r="AE21" s="135"/>
      <c r="AF21" s="248">
        <f t="shared" si="10"/>
        <v>98.22</v>
      </c>
      <c r="AH21" s="136"/>
      <c r="AI21" s="251" t="str">
        <f t="shared" si="11"/>
        <v>H3</v>
      </c>
      <c r="AJ21" s="549"/>
      <c r="AO21" s="259"/>
      <c r="AP21" s="278">
        <f>IF(ISNUMBER(AO21),AO21,_xll.qFuturesConvexityAdjustment(AF21,Today,Q19,CW29,"Eurodollar"))</f>
        <v>1.7240999879004404</v>
      </c>
      <c r="AQ21" s="248">
        <f t="shared" si="12"/>
        <v>1.7800000000000011</v>
      </c>
      <c r="AR21" s="248">
        <f t="shared" si="13"/>
        <v>1.7627590001209967</v>
      </c>
      <c r="AT21" s="136"/>
      <c r="AU21" s="251" t="s">
        <v>192</v>
      </c>
      <c r="AV21" s="549"/>
      <c r="AW21" s="595" t="str">
        <v>GBP4X1S=ICAP</v>
      </c>
      <c r="AX21" s="549"/>
      <c r="AY21" s="549"/>
      <c r="AZ21" s="549"/>
      <c r="BA21" s="254">
        <v>0.59499999999999997</v>
      </c>
      <c r="BB21" s="254">
        <v>0.69499999999999995</v>
      </c>
      <c r="BC21" s="259"/>
      <c r="BD21" s="247">
        <f t="shared" si="14"/>
        <v>0.64500000000000002</v>
      </c>
      <c r="BF21" s="136"/>
      <c r="BG21" s="251" t="s">
        <v>25</v>
      </c>
      <c r="BH21" s="549"/>
      <c r="BI21" s="595" t="str">
        <f t="shared" si="8"/>
        <v>GBP1YOIS=ICAP</v>
      </c>
      <c r="BJ21" s="549"/>
      <c r="BL21" s="549"/>
      <c r="BM21" s="254">
        <v>0.59</v>
      </c>
      <c r="BN21" s="254">
        <v>0.63</v>
      </c>
      <c r="BO21" s="253"/>
      <c r="BP21" s="256">
        <f t="shared" si="9"/>
        <v>0.61</v>
      </c>
      <c r="BT21" s="285" t="s">
        <v>14</v>
      </c>
      <c r="BU21" s="188">
        <v>22.5</v>
      </c>
      <c r="BV21" s="188">
        <v>12.750000000000002</v>
      </c>
      <c r="BW21" s="188">
        <v>19.25</v>
      </c>
      <c r="BX21" s="188">
        <v>38</v>
      </c>
      <c r="CJ21" s="187" t="s">
        <v>834</v>
      </c>
      <c r="CK21" s="810"/>
      <c r="CL21" s="603"/>
      <c r="CM21" s="603"/>
      <c r="CN21" s="603"/>
      <c r="CO21" s="603"/>
      <c r="CP21" s="603"/>
      <c r="CQ21" s="603"/>
      <c r="CR21" s="603"/>
      <c r="CS21" s="603"/>
      <c r="CT21" s="604"/>
      <c r="CU21" s="604"/>
      <c r="CV21" s="604"/>
      <c r="CW21" s="811" t="str">
        <f>AD14</f>
        <v>DELAYED</v>
      </c>
    </row>
    <row r="22" spans="5:101">
      <c r="F22" s="547" t="str">
        <f>_xll.qFuturesDateToCode(_xll.qFuturesCodeToDate(F21,Today)+92)</f>
        <v>Z3</v>
      </c>
      <c r="G22" s="828" t="str">
        <v>/FSSZ3</v>
      </c>
      <c r="L22" s="574">
        <v>41626</v>
      </c>
      <c r="M22" s="581">
        <v>0</v>
      </c>
      <c r="N22" s="581">
        <v>0</v>
      </c>
      <c r="O22" s="581">
        <v>97.54</v>
      </c>
      <c r="Q22" s="574">
        <v>41626</v>
      </c>
      <c r="R22" s="580"/>
      <c r="S22" s="580"/>
      <c r="T22" s="580">
        <v>97.54</v>
      </c>
      <c r="W22" s="251" t="str">
        <v>M3</v>
      </c>
      <c r="AC22" s="266">
        <f t="array" ref="AC22:AD22">IF(AND(R20&lt;&gt;0,S20&lt;&gt;0),R20:S20,T20-T19+AF21)</f>
        <v>97.990000000000009</v>
      </c>
      <c r="AD22" s="266">
        <v>97.990000000000009</v>
      </c>
      <c r="AE22" s="135"/>
      <c r="AF22" s="248">
        <f t="shared" si="10"/>
        <v>97.990000000000009</v>
      </c>
      <c r="AH22" s="136"/>
      <c r="AI22" s="251" t="str">
        <f t="shared" si="11"/>
        <v>M3</v>
      </c>
      <c r="AJ22" s="549"/>
      <c r="AO22" s="259"/>
      <c r="AP22" s="278">
        <f>IF(ISNUMBER(AO22),AO22,_xll.qFuturesConvexityAdjustment(AF22,Today,Q20,CW30,"Eurodollar"))</f>
        <v>2.5459742954071274</v>
      </c>
      <c r="AQ22" s="248">
        <f t="shared" si="12"/>
        <v>2.0099999999999909</v>
      </c>
      <c r="AR22" s="248">
        <f t="shared" si="13"/>
        <v>1.9845402570459196</v>
      </c>
      <c r="AT22" s="136"/>
      <c r="AU22" s="251" t="s">
        <v>193</v>
      </c>
      <c r="AV22" s="549"/>
      <c r="AW22" s="595" t="str">
        <v>GBP5X1S=ICAP</v>
      </c>
      <c r="AX22" s="549"/>
      <c r="AZ22" s="549"/>
      <c r="BA22" s="254">
        <v>0.60499999999999998</v>
      </c>
      <c r="BB22" s="254">
        <v>0.70499999999999996</v>
      </c>
      <c r="BC22" s="259"/>
      <c r="BD22" s="247">
        <f t="shared" si="14"/>
        <v>0.65500000000000003</v>
      </c>
      <c r="BF22" s="136"/>
      <c r="BH22" s="549"/>
      <c r="BI22" s="549"/>
      <c r="BJ22" s="549"/>
      <c r="BK22" s="549"/>
      <c r="BL22" s="549"/>
      <c r="BT22" s="285" t="s">
        <v>15</v>
      </c>
      <c r="BU22" s="188">
        <v>21</v>
      </c>
      <c r="BV22" s="188">
        <v>11</v>
      </c>
      <c r="BW22" s="188">
        <v>17.25</v>
      </c>
      <c r="BX22" s="188">
        <v>34.75</v>
      </c>
      <c r="CJ22" s="187" t="s">
        <v>827</v>
      </c>
      <c r="CK22" s="810"/>
      <c r="CL22" s="603" t="str">
        <f ca="1">_xll.RtUpdate(IF(O6="DELAYED","dIDN_SELECTFEED","IDN"),CL23:CL34,CO23,CQ23,,RTMODE_VOLS)</f>
        <v>Updated at 10:13:26</v>
      </c>
      <c r="CM22" s="603" t="str">
        <f ca="1">_xll.RtUpdate(IF(O6="DELAYED","dIDN_SELECTFEED","IDN"),CM23:CM34,CO23,CR23,,RTMODE_VOLS)</f>
        <v>Updated at 10:13:26</v>
      </c>
      <c r="CN22" s="603"/>
      <c r="CO22" s="603"/>
      <c r="CP22" s="603"/>
      <c r="CQ22" s="603"/>
      <c r="CR22" s="603"/>
      <c r="CS22" s="603"/>
      <c r="CT22" s="604" t="s">
        <v>207</v>
      </c>
      <c r="CU22" s="604" t="s">
        <v>817</v>
      </c>
      <c r="CV22" s="604" t="s">
        <v>209</v>
      </c>
      <c r="CW22" s="282" t="s">
        <v>814</v>
      </c>
    </row>
    <row r="23" spans="5:101">
      <c r="F23" s="547" t="str">
        <f>_xll.qFuturesDateToCode(_xll.qFuturesCodeToDate(F22,Today)+92)</f>
        <v>H4</v>
      </c>
      <c r="G23" s="828" t="str">
        <v>/FSSH4</v>
      </c>
      <c r="L23" s="574">
        <v>41717</v>
      </c>
      <c r="M23" s="581">
        <v>0</v>
      </c>
      <c r="N23" s="581">
        <v>0</v>
      </c>
      <c r="O23" s="581">
        <v>97.35</v>
      </c>
      <c r="Q23" s="574">
        <v>41717</v>
      </c>
      <c r="R23" s="580"/>
      <c r="S23" s="580"/>
      <c r="T23" s="580">
        <v>97.35</v>
      </c>
      <c r="W23" s="251" t="str">
        <v>U3</v>
      </c>
      <c r="AC23" s="266">
        <f t="array" ref="AC23:AD23">IF(AND(R21&lt;&gt;0,S21&lt;&gt;0),R21:S21,T21-T20+AF22)</f>
        <v>97.77</v>
      </c>
      <c r="AD23" s="266">
        <v>97.77</v>
      </c>
      <c r="AE23" s="135"/>
      <c r="AF23" s="248">
        <f t="shared" si="10"/>
        <v>97.77</v>
      </c>
      <c r="AH23" s="136"/>
      <c r="AI23" s="251" t="str">
        <f t="shared" si="11"/>
        <v>U3</v>
      </c>
      <c r="AJ23" s="549"/>
      <c r="AO23" s="259"/>
      <c r="AP23" s="278">
        <f>IF(ISNUMBER(AO23),AO23,_xll.qFuturesConvexityAdjustment(AF23,Today,Q21,CW31,"Eurodollar"))</f>
        <v>3.1396375531181686</v>
      </c>
      <c r="AQ23" s="248">
        <f t="shared" si="12"/>
        <v>2.230000000000004</v>
      </c>
      <c r="AR23" s="248">
        <f t="shared" si="13"/>
        <v>2.1986036244688223</v>
      </c>
      <c r="AT23" s="136"/>
      <c r="AU23" s="251" t="s">
        <v>194</v>
      </c>
      <c r="AV23" s="549"/>
      <c r="AW23" s="595" t="str">
        <v>GBP6X1S=ICAP</v>
      </c>
      <c r="AX23" s="549"/>
      <c r="AY23" s="549"/>
      <c r="AZ23" s="549"/>
      <c r="BA23" s="254">
        <v>0.61499999999999999</v>
      </c>
      <c r="BB23" s="254">
        <v>0.71499999999999997</v>
      </c>
      <c r="BC23" s="259"/>
      <c r="BD23" s="247">
        <f t="shared" si="14"/>
        <v>0.66500000000000004</v>
      </c>
      <c r="BF23" s="136"/>
      <c r="BH23" s="549"/>
      <c r="BI23" s="549"/>
      <c r="BJ23" s="549"/>
      <c r="BK23" s="549"/>
      <c r="BL23" s="549"/>
      <c r="BT23" s="285" t="s">
        <v>16</v>
      </c>
      <c r="BU23" s="188">
        <v>20</v>
      </c>
      <c r="BV23" s="188">
        <v>9.5</v>
      </c>
      <c r="BW23" s="188">
        <v>15</v>
      </c>
      <c r="BX23" s="188">
        <v>30.500000000000004</v>
      </c>
      <c r="CJ23" t="str">
        <f t="array" ref="CJ23:CJ34">W15:W26</f>
        <v>U1</v>
      </c>
      <c r="CL23" s="573" t="str">
        <f t="shared" ref="CL23:CL34" si="15">"FSS"&amp;CT23*1000&amp;uFuturesCodeETO("Call",Q13)&amp;RIGHT(CJ23,1)</f>
        <v>FSS99125I1</v>
      </c>
      <c r="CM23" s="573" t="str">
        <f t="shared" ref="CM23:CM34" si="16">"FSS"&amp;CT23*1000&amp;uFuturesCodeETO("Put",Q13)&amp;RIGHT(CJ23,1)</f>
        <v>FSS99125U1</v>
      </c>
      <c r="CO23" s="573" t="s">
        <v>815</v>
      </c>
      <c r="CQ23" s="279">
        <v>29.161999999999999</v>
      </c>
      <c r="CR23" s="279">
        <v>35.323999999999998</v>
      </c>
      <c r="CS23" s="547" t="s">
        <v>78</v>
      </c>
      <c r="CT23" s="188">
        <f t="shared" ref="CT23" si="17">ROUND(T13/0.125,0)*0.125</f>
        <v>99.125</v>
      </c>
      <c r="CU23" s="254">
        <f t="shared" ref="CU23:CU34" si="18">AVERAGEIF(CQ23:CR23,"&lt;&gt;0")</f>
        <v>32.242999999999995</v>
      </c>
      <c r="CV23" s="259"/>
      <c r="CW23" s="256">
        <f>IF(ISNUMBER(CV23),CV23,    IF(ISERROR(1/CU23),CW24,     CU23*(100-AF15)%))</f>
        <v>0.28696270000000013</v>
      </c>
    </row>
    <row r="24" spans="5:101">
      <c r="F24" s="547" t="str">
        <f>_xll.qFuturesDateToCode(_xll.qFuturesCodeToDate(F23,Today)+92)</f>
        <v>M4</v>
      </c>
      <c r="G24" s="828" t="str">
        <v>/FSSM4</v>
      </c>
      <c r="L24" s="574">
        <v>41808</v>
      </c>
      <c r="M24" s="581">
        <v>0</v>
      </c>
      <c r="N24" s="581">
        <v>0</v>
      </c>
      <c r="O24" s="581">
        <v>97.149999999999991</v>
      </c>
      <c r="Q24" s="574">
        <v>41808</v>
      </c>
      <c r="R24" s="580"/>
      <c r="S24" s="580"/>
      <c r="T24" s="580">
        <v>97.149999999999991</v>
      </c>
      <c r="W24" s="251" t="str">
        <v>Z3</v>
      </c>
      <c r="AC24" s="266">
        <f t="array" ref="AC24:AD24">IF(AND(R22&lt;&gt;0,S22&lt;&gt;0),R22:S22,T22-T21+AF23)</f>
        <v>97.54</v>
      </c>
      <c r="AD24" s="266">
        <v>97.54</v>
      </c>
      <c r="AE24" s="135"/>
      <c r="AF24" s="248">
        <f t="shared" si="10"/>
        <v>97.54</v>
      </c>
      <c r="AH24" s="136"/>
      <c r="AI24" s="251" t="str">
        <f t="shared" si="11"/>
        <v>Z3</v>
      </c>
      <c r="AJ24" s="549"/>
      <c r="AO24" s="259"/>
      <c r="AP24" s="278">
        <f>IF(ISNUMBER(AO24),AO24,_xll.qFuturesConvexityAdjustment(AF24,Today,Q22,CW32,"Eurodollar"))</f>
        <v>3.7900633861029487</v>
      </c>
      <c r="AQ24" s="248">
        <f t="shared" si="12"/>
        <v>2.4599999999999937</v>
      </c>
      <c r="AR24" s="248">
        <f t="shared" si="13"/>
        <v>2.4220993661389643</v>
      </c>
      <c r="AT24" s="136"/>
      <c r="AU24" s="251" t="s">
        <v>195</v>
      </c>
      <c r="AV24" s="549"/>
      <c r="AW24" s="595" t="str">
        <v>GBP7X1S=ICAP</v>
      </c>
      <c r="AX24" s="549"/>
      <c r="AY24" s="549"/>
      <c r="AZ24" s="549"/>
      <c r="BA24" s="254">
        <v>0.625</v>
      </c>
      <c r="BB24" s="254">
        <v>0.72499999999999998</v>
      </c>
      <c r="BC24" s="259"/>
      <c r="BD24" s="247">
        <f t="shared" si="14"/>
        <v>0.67500000000000004</v>
      </c>
      <c r="BF24" s="136"/>
      <c r="BH24" s="549"/>
      <c r="BI24" s="549"/>
      <c r="BJ24" s="549"/>
      <c r="BK24" s="549"/>
      <c r="BL24" s="549"/>
      <c r="BT24" s="285" t="s">
        <v>17</v>
      </c>
      <c r="BU24" s="188">
        <v>18.5</v>
      </c>
      <c r="BV24" s="188">
        <v>8</v>
      </c>
      <c r="BW24" s="188">
        <v>12.5</v>
      </c>
      <c r="BX24" s="188">
        <v>26.25</v>
      </c>
      <c r="CJ24" t="str">
        <v>Z1</v>
      </c>
      <c r="CL24" s="573" t="str">
        <f t="shared" si="15"/>
        <v>FSS99000L1</v>
      </c>
      <c r="CM24" s="573" t="str">
        <f t="shared" si="16"/>
        <v>FSS99000X1</v>
      </c>
      <c r="CQ24" s="279">
        <v>36.637</v>
      </c>
      <c r="CR24" s="279">
        <v>40.628000000000007</v>
      </c>
      <c r="CS24" s="547" t="s">
        <v>78</v>
      </c>
      <c r="CT24" s="188">
        <f t="shared" ref="CT24" si="19">ROUND(T14/0.125,0)*0.125</f>
        <v>99</v>
      </c>
      <c r="CU24" s="254">
        <f t="shared" si="18"/>
        <v>38.632500000000007</v>
      </c>
      <c r="CV24" s="259"/>
      <c r="CW24" s="256">
        <f>IF(ISNUMBER(CV24),CV24,    IF(ISERROR(1/CU24),CW25,     CU24*(100-AF16)%))</f>
        <v>0.36314549999999923</v>
      </c>
    </row>
    <row r="25" spans="5:101">
      <c r="W25" s="251" t="str">
        <v>H4</v>
      </c>
      <c r="AC25" s="266">
        <f t="array" ref="AC25:AD25">IF(AND(R23&lt;&gt;0,S23&lt;&gt;0),R23:S23,T23-T22+AF24)</f>
        <v>97.35</v>
      </c>
      <c r="AD25" s="266">
        <v>97.35</v>
      </c>
      <c r="AE25" s="135"/>
      <c r="AF25" s="248">
        <f t="shared" si="10"/>
        <v>97.35</v>
      </c>
      <c r="AH25" s="136"/>
      <c r="AI25" s="251" t="str">
        <f t="shared" si="11"/>
        <v>H4</v>
      </c>
      <c r="AJ25" s="549"/>
      <c r="AO25" s="259"/>
      <c r="AP25" s="278">
        <f>IF(ISNUMBER(AO25),AO25,_xll.qFuturesConvexityAdjustment(AF25,Today,Q23,CW33,"Eurodollar"))</f>
        <v>4.4955194813519395</v>
      </c>
      <c r="AQ25" s="248">
        <f t="shared" si="12"/>
        <v>2.6500000000000057</v>
      </c>
      <c r="AR25" s="248">
        <f t="shared" si="13"/>
        <v>2.6050448051864863</v>
      </c>
      <c r="AT25" s="136"/>
      <c r="AU25" s="251" t="s">
        <v>196</v>
      </c>
      <c r="AV25" s="549"/>
      <c r="AW25" s="595" t="str">
        <v>GBP8X1S=ICAP</v>
      </c>
      <c r="AX25" s="549"/>
      <c r="AY25" s="549"/>
      <c r="AZ25" s="549"/>
      <c r="BA25" s="254">
        <v>0.63</v>
      </c>
      <c r="BB25" s="254">
        <v>0.73</v>
      </c>
      <c r="BC25" s="259"/>
      <c r="BD25" s="247">
        <f t="shared" si="14"/>
        <v>0.67999999999999994</v>
      </c>
      <c r="BF25" s="136"/>
      <c r="BH25" s="549"/>
      <c r="BI25" s="549"/>
      <c r="BJ25" s="549"/>
      <c r="BK25" s="549"/>
      <c r="BL25" s="549"/>
      <c r="BT25" s="285" t="s">
        <v>18</v>
      </c>
      <c r="BU25" s="188">
        <v>17.5</v>
      </c>
      <c r="BV25" s="188">
        <v>7.2499999999999991</v>
      </c>
      <c r="BW25" s="188">
        <v>11.25</v>
      </c>
      <c r="BX25" s="188">
        <v>23.75</v>
      </c>
      <c r="CJ25" t="str">
        <v>H2</v>
      </c>
      <c r="CL25" s="573" t="str">
        <f t="shared" si="15"/>
        <v>FSS99000C2</v>
      </c>
      <c r="CM25" s="573" t="str">
        <f t="shared" si="16"/>
        <v>FSS99000O2</v>
      </c>
      <c r="CQ25" s="279">
        <v>44.28</v>
      </c>
      <c r="CR25" s="279">
        <v>44.28</v>
      </c>
      <c r="CS25" s="547" t="s">
        <v>78</v>
      </c>
      <c r="CT25" s="188">
        <f t="shared" ref="CT25:CT34" si="20">ROUND(T15/0.25,0)*0.25</f>
        <v>99</v>
      </c>
      <c r="CU25" s="254">
        <f t="shared" si="18"/>
        <v>44.28</v>
      </c>
      <c r="CV25" s="259"/>
      <c r="CW25" s="256">
        <f>IF(ISNUMBER(CV25),CV25,    IF(ISERROR(1/CU25),CW26,     CU25*(100-AF17)%))</f>
        <v>0.45165599999999828</v>
      </c>
    </row>
    <row r="26" spans="5:101">
      <c r="H26" s="582" t="s">
        <v>78</v>
      </c>
      <c r="J26" s="582" t="s">
        <v>78</v>
      </c>
      <c r="W26" s="251" t="str">
        <v>M4</v>
      </c>
      <c r="AC26" s="266">
        <f t="array" ref="AC26:AD26">IF(AND(R24&lt;&gt;0,S24&lt;&gt;0),R24:S24,T24-T23+AF25)</f>
        <v>97.149999999999991</v>
      </c>
      <c r="AD26" s="266">
        <v>97.149999999999991</v>
      </c>
      <c r="AE26" s="135"/>
      <c r="AF26" s="248">
        <f t="shared" si="10"/>
        <v>97.149999999999991</v>
      </c>
      <c r="AH26" s="136"/>
      <c r="AI26" s="251" t="str">
        <f t="shared" si="11"/>
        <v>M4</v>
      </c>
      <c r="AJ26" s="549"/>
      <c r="AO26" s="259"/>
      <c r="AP26" s="278">
        <f>IF(ISNUMBER(AO26),AO26,_xll.qFuturesConvexityAdjustment(AF26,Today,Q24,CW34,"Eurodollar"))</f>
        <v>5.255230073750683</v>
      </c>
      <c r="AQ26" s="248">
        <f t="shared" si="12"/>
        <v>2.8500000000000085</v>
      </c>
      <c r="AR26" s="248">
        <f t="shared" si="13"/>
        <v>2.7974476992625017</v>
      </c>
      <c r="AT26" s="136"/>
      <c r="AU26" s="251" t="s">
        <v>197</v>
      </c>
      <c r="AV26" s="549"/>
      <c r="AW26" s="595" t="str">
        <v>GBP9X1S=ICAP</v>
      </c>
      <c r="AX26" s="549"/>
      <c r="AZ26" s="549"/>
      <c r="BA26" s="254">
        <v>0.64</v>
      </c>
      <c r="BB26" s="254">
        <v>0.74</v>
      </c>
      <c r="BC26" s="259"/>
      <c r="BD26" s="247">
        <f t="shared" si="14"/>
        <v>0.69</v>
      </c>
      <c r="BF26" s="136"/>
      <c r="BH26" s="549"/>
      <c r="BI26" s="549"/>
      <c r="BJ26" s="549"/>
      <c r="BK26" s="549"/>
      <c r="BL26" s="549"/>
      <c r="BT26" s="285" t="s">
        <v>19</v>
      </c>
      <c r="BU26" s="188">
        <v>17</v>
      </c>
      <c r="BV26" s="188">
        <v>6.75</v>
      </c>
      <c r="BW26" s="188">
        <v>10.5</v>
      </c>
      <c r="BX26" s="188">
        <v>22.25</v>
      </c>
      <c r="CJ26" t="str">
        <v>M2</v>
      </c>
      <c r="CL26" s="573" t="str">
        <f t="shared" si="15"/>
        <v>FSS98750F2</v>
      </c>
      <c r="CM26" s="573" t="str">
        <f t="shared" si="16"/>
        <v>FSS98750R2</v>
      </c>
      <c r="CQ26" s="279">
        <v>54.205000000000005</v>
      </c>
      <c r="CR26" s="279">
        <v>51.986999999999995</v>
      </c>
      <c r="CS26" s="547" t="s">
        <v>78</v>
      </c>
      <c r="CT26" s="188">
        <f t="shared" si="20"/>
        <v>98.75</v>
      </c>
      <c r="CU26" s="254">
        <f t="shared" si="18"/>
        <v>53.096000000000004</v>
      </c>
      <c r="CV26" s="259"/>
      <c r="CW26" s="256">
        <f>IF(ISNUMBER(CV26),CV26,    IF(ISERROR(1/CU26),CW27,     CU26*(100-AF18)%))</f>
        <v>0.61060400000000303</v>
      </c>
    </row>
    <row r="27" spans="5:101">
      <c r="AH27" s="136"/>
      <c r="AJ27" s="549"/>
      <c r="AT27" s="136"/>
      <c r="AV27" s="549"/>
      <c r="AW27" s="549"/>
      <c r="AX27" s="549"/>
      <c r="AY27" s="549"/>
      <c r="AZ27" s="549"/>
      <c r="BF27" s="136"/>
      <c r="BH27" s="549"/>
      <c r="BI27" s="549"/>
      <c r="BJ27" s="549"/>
      <c r="BK27" s="549"/>
      <c r="BL27" s="549"/>
      <c r="BT27" s="285" t="s">
        <v>27</v>
      </c>
      <c r="BU27" s="188">
        <v>17</v>
      </c>
      <c r="BV27" s="188">
        <v>5.9999999999999991</v>
      </c>
      <c r="BW27" s="188">
        <v>9.25</v>
      </c>
      <c r="BX27" s="188">
        <v>20</v>
      </c>
      <c r="CJ27" t="str">
        <v>U2</v>
      </c>
      <c r="CL27" s="573" t="str">
        <f t="shared" si="15"/>
        <v>FSS98750I2</v>
      </c>
      <c r="CM27" s="573" t="str">
        <f t="shared" si="16"/>
        <v>FSS98750U2</v>
      </c>
      <c r="CQ27" s="279">
        <v>57.17</v>
      </c>
      <c r="CR27" s="279">
        <v>57.17</v>
      </c>
      <c r="CS27" s="547" t="s">
        <v>78</v>
      </c>
      <c r="CT27" s="188">
        <f t="shared" si="20"/>
        <v>98.75</v>
      </c>
      <c r="CU27" s="254">
        <f t="shared" si="18"/>
        <v>57.17</v>
      </c>
      <c r="CV27" s="259"/>
      <c r="CW27" s="256">
        <f t="shared" ref="CW27:CW34" si="21">IF(ISNUMBER(CV27),CV27,    IF(ISERROR(1/CU27),CW26,     CU27*(100-AF19)%))</f>
        <v>0.76036100000000717</v>
      </c>
    </row>
    <row r="28" spans="5:101">
      <c r="W28" s="187" t="s">
        <v>555</v>
      </c>
      <c r="AA28" s="546" t="str">
        <f ca="1">_xll.RtUpdate("IDN",Y29:Y45,AA29:AA30,AC29,,RTMODE_RATES)</f>
        <v>Updated at 10:13:26</v>
      </c>
      <c r="AH28" s="136"/>
      <c r="AI28" s="187" t="s">
        <v>33</v>
      </c>
      <c r="AJ28" s="549"/>
      <c r="AM28" s="546" t="str">
        <f ca="1">_xll.RtUpdate("IDN",AK29:AK45,AM29:AM30,AO29,,RTMODE_RATES)</f>
        <v>Updated at 10:13:26</v>
      </c>
      <c r="AT28" s="136"/>
      <c r="AU28" s="187" t="s">
        <v>34</v>
      </c>
      <c r="AV28" s="549"/>
      <c r="AX28" s="549"/>
      <c r="AY28" s="544" t="str">
        <f ca="1">_xll.RtUpdate("IDN",AW29:AW45,AY29:AY30,BA29,,RTMODE_RATES)</f>
        <v>Updated at 10:13:26</v>
      </c>
      <c r="AZ28" s="549"/>
      <c r="BF28" s="136"/>
      <c r="BG28" s="187" t="s">
        <v>556</v>
      </c>
      <c r="BH28" s="549"/>
      <c r="BJ28" s="549"/>
      <c r="BK28" s="544" t="str">
        <f ca="1">_xll.RtUpdate("IDN",BI29:BI43,BK29:BK30,BM29,,RTMODE_RATES)</f>
        <v>Updated at 10:13:26</v>
      </c>
      <c r="BL28" s="549"/>
      <c r="BT28" s="285" t="s">
        <v>198</v>
      </c>
      <c r="BU28" s="188">
        <v>17</v>
      </c>
      <c r="BV28" s="188">
        <v>5.5</v>
      </c>
      <c r="BW28" s="188">
        <v>8.5</v>
      </c>
      <c r="BX28" s="188">
        <v>19</v>
      </c>
      <c r="CJ28" t="str">
        <v>Z2</v>
      </c>
      <c r="CL28" s="573" t="str">
        <f t="shared" si="15"/>
        <v>FSS98500L2</v>
      </c>
      <c r="CM28" s="573" t="str">
        <f t="shared" si="16"/>
        <v>FSS98500X2</v>
      </c>
      <c r="CQ28" s="279">
        <v>56.355999999999995</v>
      </c>
      <c r="CR28" s="279">
        <v>56.355999999999995</v>
      </c>
      <c r="CS28" s="547" t="s">
        <v>78</v>
      </c>
      <c r="CT28" s="188">
        <f t="shared" si="20"/>
        <v>98.5</v>
      </c>
      <c r="CU28" s="254">
        <f t="shared" si="18"/>
        <v>56.355999999999995</v>
      </c>
      <c r="CV28" s="259"/>
      <c r="CW28" s="256">
        <f t="shared" si="21"/>
        <v>0.88478919999999617</v>
      </c>
    </row>
    <row r="29" spans="5:101">
      <c r="W29" s="251" t="s">
        <v>25</v>
      </c>
      <c r="Y29" s="573" t="str">
        <f>"GBPAM3L"&amp;W29&amp;"="</f>
        <v>GBPAM3L1Y=</v>
      </c>
      <c r="AA29" s="573" t="s">
        <v>44</v>
      </c>
      <c r="AC29" s="257">
        <v>0.94100000000000006</v>
      </c>
      <c r="AD29" s="257">
        <v>0.92100000000000004</v>
      </c>
      <c r="AE29" s="135"/>
      <c r="AF29" s="248">
        <f t="shared" ref="AF29:AF38" si="22">IF(ISNUMBER(AE29),AE29,AVERAGE(AC29:AD29))</f>
        <v>0.93100000000000005</v>
      </c>
      <c r="AH29" s="136"/>
      <c r="AI29" s="251" t="s">
        <v>25</v>
      </c>
      <c r="AJ29" s="549"/>
      <c r="AK29" s="573" t="str">
        <f t="shared" ref="AK29:AK45" si="23">"GBP3L6L"&amp;AI29&amp;"=ICAP"</f>
        <v>GBP3L6L1Y=ICAP</v>
      </c>
      <c r="AM29" s="573" t="s">
        <v>43</v>
      </c>
      <c r="AO29" s="254">
        <v>21.75</v>
      </c>
      <c r="AP29" s="254">
        <v>26.75</v>
      </c>
      <c r="AQ29" s="135"/>
      <c r="AR29" s="256">
        <f t="shared" ref="AR29:AR45" si="24">IF(ISNUMBER(AQ29),AQ29,AVERAGEIF(AO29:AP29,"&lt;&gt;0"))</f>
        <v>24.25</v>
      </c>
      <c r="AT29" s="136"/>
      <c r="AU29" s="251" t="s">
        <v>25</v>
      </c>
      <c r="AV29" s="549"/>
      <c r="AW29" s="595" t="str">
        <f t="shared" ref="AW29:AW43" si="25">"GBP1L3L"&amp;AU29&amp;"=ICAP"</f>
        <v>GBP1L3L1Y=ICAP</v>
      </c>
      <c r="AX29" s="549"/>
      <c r="AY29" s="595" t="s">
        <v>43</v>
      </c>
      <c r="AZ29" s="549"/>
      <c r="BA29" s="254">
        <v>17</v>
      </c>
      <c r="BB29" s="254">
        <v>22</v>
      </c>
      <c r="BC29" s="259"/>
      <c r="BD29" s="256">
        <f t="shared" ref="BD29:BD43" si="26">IF(ISNUMBER(BC29),BC29,(BA29+BB29)/COUNTIF(BA29:BB29,"&lt;&gt;0"))</f>
        <v>19.5</v>
      </c>
      <c r="BF29" s="136"/>
      <c r="BG29" s="251" t="s">
        <v>25</v>
      </c>
      <c r="BH29" s="549"/>
      <c r="BI29" s="595" t="str">
        <f t="shared" ref="BI29:BI43" si="27">"GBPSO3L"&amp;BG29&amp;"=ICAP"</f>
        <v>GBPSO3L1Y=ICAP</v>
      </c>
      <c r="BJ29" s="549"/>
      <c r="BK29" s="595" t="s">
        <v>43</v>
      </c>
      <c r="BL29" s="549"/>
      <c r="BM29" s="254">
        <v>31.5</v>
      </c>
      <c r="BN29" s="254">
        <v>0</v>
      </c>
      <c r="BO29" s="253"/>
      <c r="BP29" s="256">
        <f t="shared" ref="BP29:BP43" si="28">IF(ISNUMBER(BO29),BO29,AVERAGEIF(BM29:BN29,"&lt;&gt;0"))</f>
        <v>31.5</v>
      </c>
      <c r="CJ29" t="str">
        <v>H3</v>
      </c>
      <c r="CL29" s="573" t="str">
        <f t="shared" si="15"/>
        <v>FSS98250C3</v>
      </c>
      <c r="CM29" s="573" t="str">
        <f t="shared" si="16"/>
        <v>FSS98250O3</v>
      </c>
      <c r="CQ29" s="279">
        <v>54.485999999999997</v>
      </c>
      <c r="CR29" s="279">
        <v>55.648000000000003</v>
      </c>
      <c r="CS29" s="547" t="s">
        <v>78</v>
      </c>
      <c r="CT29" s="188">
        <f t="shared" si="20"/>
        <v>98.25</v>
      </c>
      <c r="CU29" s="254">
        <f t="shared" si="18"/>
        <v>55.067</v>
      </c>
      <c r="CV29" s="259"/>
      <c r="CW29" s="256">
        <f t="shared" si="21"/>
        <v>0.98019260000000052</v>
      </c>
    </row>
    <row r="30" spans="5:101">
      <c r="E30" s="547" t="s">
        <v>530</v>
      </c>
      <c r="W30" s="251" t="s">
        <v>26</v>
      </c>
      <c r="Y30" s="573" t="str">
        <f t="shared" ref="Y30:Y45" si="29">"GBPSB6L"&amp;W30&amp;"="</f>
        <v>GBPSB6L2Y=</v>
      </c>
      <c r="AA30" s="573" t="s">
        <v>43</v>
      </c>
      <c r="AC30" s="257">
        <v>1.4429999999999998</v>
      </c>
      <c r="AD30" s="257">
        <v>1.4329999999999998</v>
      </c>
      <c r="AE30" s="135"/>
      <c r="AF30" s="248">
        <f t="shared" si="22"/>
        <v>1.4379999999999997</v>
      </c>
      <c r="AH30" s="136"/>
      <c r="AI30" s="251" t="s">
        <v>26</v>
      </c>
      <c r="AJ30" s="549"/>
      <c r="AK30" s="573" t="str">
        <f t="shared" si="23"/>
        <v>GBP3L6L2Y=ICAP</v>
      </c>
      <c r="AM30" s="573" t="s">
        <v>44</v>
      </c>
      <c r="AO30" s="254">
        <v>21.75</v>
      </c>
      <c r="AP30" s="254">
        <v>25.75</v>
      </c>
      <c r="AQ30" s="135"/>
      <c r="AR30" s="256">
        <f t="shared" si="24"/>
        <v>23.75</v>
      </c>
      <c r="AT30" s="136"/>
      <c r="AU30" s="251" t="s">
        <v>26</v>
      </c>
      <c r="AV30" s="549"/>
      <c r="AW30" s="595" t="str">
        <f t="shared" si="25"/>
        <v>GBP1L3L2Y=ICAP</v>
      </c>
      <c r="AX30" s="549"/>
      <c r="AY30" s="595" t="s">
        <v>44</v>
      </c>
      <c r="AZ30" s="549"/>
      <c r="BA30" s="254">
        <v>17.75</v>
      </c>
      <c r="BB30" s="254">
        <v>21.75</v>
      </c>
      <c r="BC30" s="259"/>
      <c r="BD30" s="247">
        <f t="shared" si="26"/>
        <v>19.75</v>
      </c>
      <c r="BF30" s="136"/>
      <c r="BG30" s="251" t="s">
        <v>26</v>
      </c>
      <c r="BH30" s="549"/>
      <c r="BI30" s="595" t="str">
        <f t="shared" si="27"/>
        <v>GBPSO3L2Y=ICAP</v>
      </c>
      <c r="BJ30" s="549"/>
      <c r="BK30" s="595" t="s">
        <v>44</v>
      </c>
      <c r="BL30" s="549"/>
      <c r="BM30" s="254">
        <v>31.75</v>
      </c>
      <c r="BN30" s="254">
        <v>0</v>
      </c>
      <c r="BO30" s="253"/>
      <c r="BP30" s="256">
        <f t="shared" si="28"/>
        <v>31.75</v>
      </c>
      <c r="CJ30" t="str">
        <v>M3</v>
      </c>
      <c r="CL30" s="573" t="str">
        <f t="shared" si="15"/>
        <v>FSS98000F3</v>
      </c>
      <c r="CM30" s="573" t="str">
        <f t="shared" si="16"/>
        <v>FSS98000R3</v>
      </c>
      <c r="CQ30" s="279">
        <v>52.177</v>
      </c>
      <c r="CR30" s="279">
        <v>53.136000000000003</v>
      </c>
      <c r="CS30" s="547" t="s">
        <v>78</v>
      </c>
      <c r="CT30" s="188">
        <f t="shared" si="20"/>
        <v>98</v>
      </c>
      <c r="CU30" s="254">
        <f t="shared" si="18"/>
        <v>52.656500000000001</v>
      </c>
      <c r="CV30" s="259"/>
      <c r="CW30" s="256">
        <f t="shared" si="21"/>
        <v>1.0583956499999954</v>
      </c>
    </row>
    <row r="31" spans="5:101">
      <c r="H31" s="547"/>
      <c r="J31" s="547"/>
      <c r="L31" s="547"/>
      <c r="W31" s="251" t="s">
        <v>7</v>
      </c>
      <c r="Y31" s="573" t="str">
        <f t="shared" si="29"/>
        <v>GBPSB6L3Y=</v>
      </c>
      <c r="AC31" s="257">
        <v>1.8180000000000001</v>
      </c>
      <c r="AD31" s="257">
        <v>1.8080000000000001</v>
      </c>
      <c r="AE31" s="135"/>
      <c r="AF31" s="248">
        <f t="shared" si="22"/>
        <v>1.8130000000000002</v>
      </c>
      <c r="AH31" s="136"/>
      <c r="AI31" s="251" t="s">
        <v>7</v>
      </c>
      <c r="AJ31" s="549"/>
      <c r="AK31" s="573" t="str">
        <f t="shared" si="23"/>
        <v>GBP3L6L3Y=ICAP</v>
      </c>
      <c r="AO31" s="254">
        <v>21.75</v>
      </c>
      <c r="AP31" s="254">
        <v>25.75</v>
      </c>
      <c r="AQ31" s="135"/>
      <c r="AR31" s="256">
        <f t="shared" si="24"/>
        <v>23.75</v>
      </c>
      <c r="AT31" s="136"/>
      <c r="AU31" s="251" t="s">
        <v>7</v>
      </c>
      <c r="AV31" s="549"/>
      <c r="AW31" s="595" t="str">
        <f t="shared" si="25"/>
        <v>GBP1L3L3Y=ICAP</v>
      </c>
      <c r="AX31" s="549"/>
      <c r="AY31" s="549"/>
      <c r="AZ31" s="549"/>
      <c r="BA31" s="254">
        <v>17.5</v>
      </c>
      <c r="BB31" s="254">
        <v>21.5</v>
      </c>
      <c r="BC31" s="259"/>
      <c r="BD31" s="247">
        <f t="shared" si="26"/>
        <v>19.5</v>
      </c>
      <c r="BF31" s="136"/>
      <c r="BG31" s="251" t="s">
        <v>7</v>
      </c>
      <c r="BH31" s="549"/>
      <c r="BI31" s="595" t="str">
        <f t="shared" si="27"/>
        <v>GBPSO3L3Y=ICAP</v>
      </c>
      <c r="BJ31" s="549"/>
      <c r="BK31" s="549"/>
      <c r="BL31" s="549"/>
      <c r="BM31" s="254">
        <v>31.5</v>
      </c>
      <c r="BN31" s="254">
        <v>0</v>
      </c>
      <c r="BO31" s="253"/>
      <c r="BP31" s="256">
        <f t="shared" si="28"/>
        <v>31.5</v>
      </c>
      <c r="CJ31" t="str">
        <v>U3</v>
      </c>
      <c r="CL31" s="573" t="str">
        <f t="shared" si="15"/>
        <v>FSS97750I3</v>
      </c>
      <c r="CM31" s="573" t="str">
        <f t="shared" si="16"/>
        <v>FSS97750U3</v>
      </c>
      <c r="CQ31" s="279" t="s">
        <v>829</v>
      </c>
      <c r="CR31" s="279" t="s">
        <v>829</v>
      </c>
      <c r="CS31" s="547" t="s">
        <v>78</v>
      </c>
      <c r="CT31" s="188">
        <f t="shared" si="20"/>
        <v>97.75</v>
      </c>
      <c r="CU31" s="254" t="e">
        <f t="shared" si="18"/>
        <v>#DIV/0!</v>
      </c>
      <c r="CV31" s="259"/>
      <c r="CW31" s="256">
        <f t="shared" si="21"/>
        <v>1.0583956499999954</v>
      </c>
    </row>
    <row r="32" spans="5:101">
      <c r="G32" s="832" t="str">
        <f t="array" ref="G32:G37">"EU"&amp;AQ7:AQ12&amp;"T=RR"</f>
        <v>EU2YT=RR</v>
      </c>
      <c r="H32" s="547"/>
      <c r="I32" s="595" t="s">
        <v>181</v>
      </c>
      <c r="J32" s="547"/>
      <c r="K32" s="547" t="str">
        <f ca="1">_xll.RtUpdate("IDN",G32:G37,I32:I33,L32,,RTMODE_RATES)</f>
        <v>Updated at 10:13:26</v>
      </c>
      <c r="L32" s="576">
        <v>1.6660000000000001</v>
      </c>
      <c r="M32" s="576">
        <v>1.6560000000000001</v>
      </c>
      <c r="W32" s="251" t="s">
        <v>8</v>
      </c>
      <c r="Y32" s="573" t="str">
        <f t="shared" si="29"/>
        <v>GBPSB6L4Y=</v>
      </c>
      <c r="AC32" s="257">
        <v>2.1800000000000002</v>
      </c>
      <c r="AD32" s="257">
        <v>2.17</v>
      </c>
      <c r="AE32" s="135"/>
      <c r="AF32" s="248">
        <f t="shared" si="22"/>
        <v>2.1749999999999998</v>
      </c>
      <c r="AH32" s="136"/>
      <c r="AI32" s="251" t="s">
        <v>8</v>
      </c>
      <c r="AJ32" s="549"/>
      <c r="AK32" s="573" t="str">
        <f t="shared" si="23"/>
        <v>GBP3L6L4Y=ICAP</v>
      </c>
      <c r="AO32" s="254">
        <v>21.5</v>
      </c>
      <c r="AP32" s="254">
        <v>25.5</v>
      </c>
      <c r="AQ32" s="135"/>
      <c r="AR32" s="256">
        <f t="shared" si="24"/>
        <v>23.5</v>
      </c>
      <c r="AT32" s="136"/>
      <c r="AU32" s="251" t="s">
        <v>8</v>
      </c>
      <c r="AV32" s="549"/>
      <c r="AW32" s="595" t="str">
        <f t="shared" si="25"/>
        <v>GBP1L3L4Y=ICAP</v>
      </c>
      <c r="AX32" s="549"/>
      <c r="AZ32" s="549"/>
      <c r="BA32" s="254">
        <v>17</v>
      </c>
      <c r="BB32" s="254">
        <v>21</v>
      </c>
      <c r="BC32" s="259"/>
      <c r="BD32" s="247">
        <f t="shared" si="26"/>
        <v>19</v>
      </c>
      <c r="BF32" s="136"/>
      <c r="BG32" s="251" t="s">
        <v>8</v>
      </c>
      <c r="BH32" s="549"/>
      <c r="BI32" s="595" t="str">
        <f t="shared" si="27"/>
        <v>GBPSO3L4Y=ICAP</v>
      </c>
      <c r="BJ32" s="549"/>
      <c r="BK32" s="549"/>
      <c r="BL32" s="549"/>
      <c r="BM32" s="254">
        <v>31</v>
      </c>
      <c r="BN32" s="254">
        <v>0</v>
      </c>
      <c r="BO32" s="253"/>
      <c r="BP32" s="256">
        <f t="shared" si="28"/>
        <v>31</v>
      </c>
      <c r="CJ32" t="str">
        <v>Z3</v>
      </c>
      <c r="CL32" s="573" t="str">
        <f t="shared" si="15"/>
        <v>FSS97500L3</v>
      </c>
      <c r="CM32" s="573" t="str">
        <f t="shared" si="16"/>
        <v>FSS97500X3</v>
      </c>
      <c r="CQ32" s="279" t="s">
        <v>829</v>
      </c>
      <c r="CR32" s="279" t="s">
        <v>829</v>
      </c>
      <c r="CS32" s="547" t="s">
        <v>78</v>
      </c>
      <c r="CT32" s="188">
        <f t="shared" si="20"/>
        <v>97.5</v>
      </c>
      <c r="CU32" s="254" t="e">
        <f t="shared" si="18"/>
        <v>#DIV/0!</v>
      </c>
      <c r="CV32" s="259"/>
      <c r="CW32" s="256">
        <f t="shared" si="21"/>
        <v>1.0583956499999954</v>
      </c>
    </row>
    <row r="33" spans="5:101">
      <c r="G33" s="832" t="str">
        <v>EU3YT=RR</v>
      </c>
      <c r="H33" s="547"/>
      <c r="I33" s="595" t="s">
        <v>182</v>
      </c>
      <c r="J33" s="547"/>
      <c r="L33" s="576">
        <v>1.7729999999999999</v>
      </c>
      <c r="M33" s="576">
        <v>1.7589999999999999</v>
      </c>
      <c r="W33" s="251" t="s">
        <v>9</v>
      </c>
      <c r="Y33" s="573" t="str">
        <f t="shared" si="29"/>
        <v>GBPSB6L5Y=</v>
      </c>
      <c r="AC33" s="257">
        <v>2.4949999999999997</v>
      </c>
      <c r="AD33" s="257">
        <v>2.4849999999999999</v>
      </c>
      <c r="AE33" s="135"/>
      <c r="AF33" s="248">
        <f t="shared" si="22"/>
        <v>2.4899999999999998</v>
      </c>
      <c r="AH33" s="136"/>
      <c r="AI33" s="251" t="s">
        <v>9</v>
      </c>
      <c r="AJ33" s="549"/>
      <c r="AK33" s="573" t="str">
        <f t="shared" si="23"/>
        <v>GBP3L6L5Y=ICAP</v>
      </c>
      <c r="AO33" s="254">
        <v>21.25</v>
      </c>
      <c r="AP33" s="254">
        <v>25.25</v>
      </c>
      <c r="AQ33" s="135"/>
      <c r="AR33" s="256">
        <f t="shared" si="24"/>
        <v>23.25</v>
      </c>
      <c r="AT33" s="136"/>
      <c r="AU33" s="251" t="s">
        <v>9</v>
      </c>
      <c r="AV33" s="549"/>
      <c r="AW33" s="595" t="str">
        <f t="shared" si="25"/>
        <v>GBP1L3L5Y=ICAP</v>
      </c>
      <c r="AX33" s="549"/>
      <c r="AY33" s="549"/>
      <c r="AZ33" s="549"/>
      <c r="BA33" s="254">
        <v>16.5</v>
      </c>
      <c r="BB33" s="254">
        <v>20.5</v>
      </c>
      <c r="BC33" s="259"/>
      <c r="BD33" s="247">
        <f t="shared" si="26"/>
        <v>18.5</v>
      </c>
      <c r="BF33" s="136"/>
      <c r="BG33" s="251" t="s">
        <v>9</v>
      </c>
      <c r="BH33" s="549"/>
      <c r="BI33" s="595" t="str">
        <f t="shared" si="27"/>
        <v>GBPSO3L5Y=ICAP</v>
      </c>
      <c r="BJ33" s="549"/>
      <c r="BK33" s="549"/>
      <c r="BL33" s="549"/>
      <c r="BM33" s="254">
        <v>29</v>
      </c>
      <c r="BN33" s="254">
        <v>0</v>
      </c>
      <c r="BO33" s="253"/>
      <c r="BP33" s="256">
        <f t="shared" si="28"/>
        <v>29</v>
      </c>
      <c r="CJ33" t="str">
        <v>H4</v>
      </c>
      <c r="CL33" s="573" t="str">
        <f t="shared" si="15"/>
        <v>FSS97250C4</v>
      </c>
      <c r="CM33" s="573" t="str">
        <f t="shared" si="16"/>
        <v>FSS97250O4</v>
      </c>
      <c r="CQ33" s="279" t="s">
        <v>829</v>
      </c>
      <c r="CR33" s="279" t="s">
        <v>829</v>
      </c>
      <c r="CS33" s="547" t="s">
        <v>78</v>
      </c>
      <c r="CT33" s="188">
        <f t="shared" si="20"/>
        <v>97.25</v>
      </c>
      <c r="CU33" s="254" t="e">
        <f t="shared" si="18"/>
        <v>#DIV/0!</v>
      </c>
      <c r="CV33" s="259"/>
      <c r="CW33" s="256">
        <f t="shared" si="21"/>
        <v>1.0583956499999954</v>
      </c>
    </row>
    <row r="34" spans="5:101">
      <c r="G34" s="832" t="str">
        <v>EU5YT=RR</v>
      </c>
      <c r="H34" s="547"/>
      <c r="J34" s="547"/>
      <c r="L34" s="576">
        <v>2.2930000000000001</v>
      </c>
      <c r="M34" s="576">
        <v>2.286</v>
      </c>
      <c r="W34" s="251" t="s">
        <v>10</v>
      </c>
      <c r="Y34" s="573" t="str">
        <f t="shared" si="29"/>
        <v>GBPSB6L6Y=</v>
      </c>
      <c r="AC34" s="257">
        <v>2.7719999999999998</v>
      </c>
      <c r="AD34" s="257">
        <v>2.762</v>
      </c>
      <c r="AE34" s="135"/>
      <c r="AF34" s="248">
        <f t="shared" si="22"/>
        <v>2.7669999999999999</v>
      </c>
      <c r="AH34" s="136"/>
      <c r="AI34" s="251" t="s">
        <v>10</v>
      </c>
      <c r="AJ34" s="549"/>
      <c r="AK34" s="573" t="str">
        <f t="shared" si="23"/>
        <v>GBP3L6L6Y=ICAP</v>
      </c>
      <c r="AO34" s="254">
        <v>21.5</v>
      </c>
      <c r="AP34" s="254">
        <v>24.5</v>
      </c>
      <c r="AQ34" s="135"/>
      <c r="AR34" s="256">
        <f t="shared" si="24"/>
        <v>23</v>
      </c>
      <c r="AT34" s="136"/>
      <c r="AU34" s="251" t="s">
        <v>10</v>
      </c>
      <c r="AV34" s="549"/>
      <c r="AW34" s="595" t="str">
        <f t="shared" si="25"/>
        <v>GBP1L3L6Y=ICAP</v>
      </c>
      <c r="AX34" s="549"/>
      <c r="AY34" s="549"/>
      <c r="AZ34" s="549"/>
      <c r="BA34" s="254">
        <v>15.5</v>
      </c>
      <c r="BB34" s="254">
        <v>19.5</v>
      </c>
      <c r="BC34" s="259"/>
      <c r="BD34" s="247">
        <f t="shared" si="26"/>
        <v>17.5</v>
      </c>
      <c r="BF34" s="136"/>
      <c r="BG34" s="251" t="s">
        <v>10</v>
      </c>
      <c r="BH34" s="549"/>
      <c r="BI34" s="595" t="str">
        <f t="shared" si="27"/>
        <v>GBPSO3L6Y=ICAP</v>
      </c>
      <c r="BJ34" s="549"/>
      <c r="BK34" s="549"/>
      <c r="BL34" s="549"/>
      <c r="BM34" s="254">
        <v>27</v>
      </c>
      <c r="BN34" s="254">
        <v>0</v>
      </c>
      <c r="BO34" s="253"/>
      <c r="BP34" s="256">
        <f t="shared" si="28"/>
        <v>27</v>
      </c>
      <c r="CJ34" t="str">
        <v>M4</v>
      </c>
      <c r="CL34" s="573" t="str">
        <f t="shared" si="15"/>
        <v>FSS97250F4</v>
      </c>
      <c r="CM34" s="573" t="str">
        <f t="shared" si="16"/>
        <v>FSS97250R4</v>
      </c>
      <c r="CQ34" s="279" t="s">
        <v>829</v>
      </c>
      <c r="CR34" s="279" t="s">
        <v>829</v>
      </c>
      <c r="CS34" s="547" t="s">
        <v>78</v>
      </c>
      <c r="CT34" s="188">
        <f t="shared" si="20"/>
        <v>97.25</v>
      </c>
      <c r="CU34" s="254" t="e">
        <f t="shared" si="18"/>
        <v>#DIV/0!</v>
      </c>
      <c r="CV34" s="259"/>
      <c r="CW34" s="256">
        <f t="shared" si="21"/>
        <v>1.0583956499999954</v>
      </c>
    </row>
    <row r="35" spans="5:101">
      <c r="G35" s="832" t="str">
        <v>EU7YT=RR</v>
      </c>
      <c r="H35" s="547"/>
      <c r="J35" s="547"/>
      <c r="L35" s="576">
        <v>2.6640000000000001</v>
      </c>
      <c r="M35" s="576">
        <v>2.6559999999999997</v>
      </c>
      <c r="W35" s="251" t="s">
        <v>11</v>
      </c>
      <c r="Y35" s="573" t="str">
        <f t="shared" si="29"/>
        <v>GBPSB6L7Y=</v>
      </c>
      <c r="AC35" s="257">
        <v>3.0089999999999999</v>
      </c>
      <c r="AD35" s="257">
        <v>2.9989999999999997</v>
      </c>
      <c r="AE35" s="135"/>
      <c r="AF35" s="248">
        <f t="shared" si="22"/>
        <v>3.0039999999999996</v>
      </c>
      <c r="AH35" s="136"/>
      <c r="AI35" s="251" t="s">
        <v>11</v>
      </c>
      <c r="AJ35" s="549"/>
      <c r="AK35" s="573" t="str">
        <f t="shared" si="23"/>
        <v>GBP3L6L7Y=ICAP</v>
      </c>
      <c r="AO35" s="254">
        <v>20.75</v>
      </c>
      <c r="AP35" s="254">
        <v>23.75</v>
      </c>
      <c r="AQ35" s="135"/>
      <c r="AR35" s="256">
        <f t="shared" si="24"/>
        <v>22.25</v>
      </c>
      <c r="AT35" s="136"/>
      <c r="AU35" s="251" t="s">
        <v>11</v>
      </c>
      <c r="AV35" s="549"/>
      <c r="AW35" s="595" t="str">
        <f t="shared" si="25"/>
        <v>GBP1L3L7Y=ICAP</v>
      </c>
      <c r="AX35" s="549"/>
      <c r="AY35" s="549"/>
      <c r="AZ35" s="549"/>
      <c r="BA35" s="254">
        <v>14.5</v>
      </c>
      <c r="BB35" s="254">
        <v>18.5</v>
      </c>
      <c r="BC35" s="259"/>
      <c r="BD35" s="247">
        <f t="shared" si="26"/>
        <v>16.5</v>
      </c>
      <c r="BF35" s="136"/>
      <c r="BG35" s="251" t="s">
        <v>11</v>
      </c>
      <c r="BH35" s="549"/>
      <c r="BI35" s="595" t="str">
        <f t="shared" si="27"/>
        <v>GBPSO3L7Y=ICAP</v>
      </c>
      <c r="BJ35" s="549"/>
      <c r="BK35" s="549"/>
      <c r="BL35" s="549"/>
      <c r="BM35" s="254">
        <v>25.75</v>
      </c>
      <c r="BN35" s="254">
        <v>0</v>
      </c>
      <c r="BO35" s="253"/>
      <c r="BP35" s="256">
        <f t="shared" si="28"/>
        <v>25.75</v>
      </c>
    </row>
    <row r="36" spans="5:101">
      <c r="G36" s="832" t="str">
        <v>EU10YT=RR</v>
      </c>
      <c r="H36" s="547"/>
      <c r="J36" s="547"/>
      <c r="L36" s="576">
        <v>3.0139999999999998</v>
      </c>
      <c r="M36" s="576">
        <v>3.0070000000000001</v>
      </c>
      <c r="W36" s="251" t="s">
        <v>12</v>
      </c>
      <c r="Y36" s="573" t="str">
        <f t="shared" si="29"/>
        <v>GBPSB6L8Y=</v>
      </c>
      <c r="AC36" s="257">
        <v>3.2149999999999999</v>
      </c>
      <c r="AD36" s="257">
        <v>3.2050000000000001</v>
      </c>
      <c r="AE36" s="135"/>
      <c r="AF36" s="248">
        <f t="shared" si="22"/>
        <v>3.21</v>
      </c>
      <c r="AH36" s="136"/>
      <c r="AI36" s="251" t="s">
        <v>12</v>
      </c>
      <c r="AJ36" s="549"/>
      <c r="AK36" s="573" t="str">
        <f t="shared" si="23"/>
        <v>GBP3L6L8Y=ICAP</v>
      </c>
      <c r="AO36" s="254">
        <v>19.75</v>
      </c>
      <c r="AP36" s="254">
        <v>22.75</v>
      </c>
      <c r="AQ36" s="135"/>
      <c r="AR36" s="256">
        <f t="shared" si="24"/>
        <v>21.25</v>
      </c>
      <c r="AT36" s="136"/>
      <c r="AU36" s="251" t="s">
        <v>12</v>
      </c>
      <c r="AV36" s="549"/>
      <c r="AW36" s="595" t="str">
        <f t="shared" si="25"/>
        <v>GBP1L3L8Y=ICAP</v>
      </c>
      <c r="AX36" s="549"/>
      <c r="AY36" s="549"/>
      <c r="AZ36" s="549"/>
      <c r="BA36" s="254">
        <v>12.5</v>
      </c>
      <c r="BB36" s="254">
        <v>16.5</v>
      </c>
      <c r="BC36" s="259"/>
      <c r="BD36" s="247">
        <f t="shared" si="26"/>
        <v>14.5</v>
      </c>
      <c r="BF36" s="136"/>
      <c r="BG36" s="251" t="s">
        <v>12</v>
      </c>
      <c r="BH36" s="549"/>
      <c r="BI36" s="595" t="str">
        <f t="shared" si="27"/>
        <v>GBPSO3L8Y=ICAP</v>
      </c>
      <c r="BJ36" s="549"/>
      <c r="BK36" s="549"/>
      <c r="BL36" s="549"/>
      <c r="BM36" s="254">
        <v>24.5</v>
      </c>
      <c r="BN36" s="254">
        <v>0</v>
      </c>
      <c r="BO36" s="253"/>
      <c r="BP36" s="256">
        <f t="shared" si="28"/>
        <v>24.5</v>
      </c>
      <c r="CJ36" s="6" t="s">
        <v>831</v>
      </c>
    </row>
    <row r="37" spans="5:101">
      <c r="G37" s="832" t="str">
        <v>EU30YT=RR</v>
      </c>
      <c r="H37" s="547"/>
      <c r="J37" s="547"/>
      <c r="L37" s="576">
        <v>3.7</v>
      </c>
      <c r="M37" s="576">
        <v>3.6970000000000001</v>
      </c>
      <c r="W37" s="251" t="s">
        <v>13</v>
      </c>
      <c r="Y37" s="573" t="str">
        <f t="shared" si="29"/>
        <v>GBPSB6L9Y=</v>
      </c>
      <c r="AC37" s="257">
        <v>3.3889999999999998</v>
      </c>
      <c r="AD37" s="257">
        <v>3.3789999999999996</v>
      </c>
      <c r="AE37" s="135"/>
      <c r="AF37" s="248">
        <f t="shared" si="22"/>
        <v>3.3839999999999995</v>
      </c>
      <c r="AH37" s="136"/>
      <c r="AI37" s="251" t="s">
        <v>13</v>
      </c>
      <c r="AJ37" s="549"/>
      <c r="AK37" s="573" t="str">
        <f t="shared" si="23"/>
        <v>GBP3L6L9Y=ICAP</v>
      </c>
      <c r="AO37" s="254">
        <v>18.75</v>
      </c>
      <c r="AP37" s="254">
        <v>21.75</v>
      </c>
      <c r="AQ37" s="135"/>
      <c r="AR37" s="256">
        <f t="shared" si="24"/>
        <v>20.25</v>
      </c>
      <c r="AT37" s="136"/>
      <c r="AU37" s="251" t="s">
        <v>13</v>
      </c>
      <c r="AV37" s="549"/>
      <c r="AW37" s="595" t="str">
        <f t="shared" si="25"/>
        <v>GBP1L3L9Y=ICAP</v>
      </c>
      <c r="AX37" s="549"/>
      <c r="AY37" s="549"/>
      <c r="AZ37" s="549"/>
      <c r="BA37" s="254">
        <v>11.5</v>
      </c>
      <c r="BB37" s="254">
        <v>15.5</v>
      </c>
      <c r="BC37" s="259"/>
      <c r="BD37" s="247">
        <f t="shared" si="26"/>
        <v>13.5</v>
      </c>
      <c r="BF37" s="136"/>
      <c r="BG37" s="251" t="s">
        <v>13</v>
      </c>
      <c r="BH37" s="549"/>
      <c r="BI37" s="595" t="str">
        <f t="shared" si="27"/>
        <v>GBPSO3L9Y=ICAP</v>
      </c>
      <c r="BJ37" s="549"/>
      <c r="BK37" s="549"/>
      <c r="BL37" s="549"/>
      <c r="BM37" s="254">
        <v>23.5</v>
      </c>
      <c r="BN37" s="254">
        <v>0</v>
      </c>
      <c r="BO37" s="253"/>
      <c r="BP37" s="256">
        <f t="shared" si="28"/>
        <v>23.5</v>
      </c>
      <c r="CJ37" s="6" t="s">
        <v>825</v>
      </c>
    </row>
    <row r="38" spans="5:101">
      <c r="W38" s="251" t="s">
        <v>14</v>
      </c>
      <c r="Y38" s="573" t="str">
        <f>"GBPSB6L"&amp;W38&amp;"="</f>
        <v>GBPSB6L10Y=</v>
      </c>
      <c r="AC38" s="257">
        <v>3.5329999999999999</v>
      </c>
      <c r="AD38" s="257">
        <v>3.5230000000000001</v>
      </c>
      <c r="AE38" s="135"/>
      <c r="AF38" s="248">
        <f t="shared" si="22"/>
        <v>3.528</v>
      </c>
      <c r="AH38" s="136"/>
      <c r="AI38" s="251" t="s">
        <v>14</v>
      </c>
      <c r="AJ38" s="549"/>
      <c r="AK38" s="573" t="str">
        <f t="shared" si="23"/>
        <v>GBP3L6L10Y=ICAP</v>
      </c>
      <c r="AO38" s="254">
        <v>17.75</v>
      </c>
      <c r="AP38" s="254">
        <v>20.75</v>
      </c>
      <c r="AQ38" s="135"/>
      <c r="AR38" s="256">
        <f t="shared" si="24"/>
        <v>19.25</v>
      </c>
      <c r="AT38" s="136"/>
      <c r="AU38" s="251" t="s">
        <v>14</v>
      </c>
      <c r="AV38" s="549"/>
      <c r="AW38" s="595" t="str">
        <f t="shared" si="25"/>
        <v>GBP1L3L10Y=ICAP</v>
      </c>
      <c r="AX38" s="549"/>
      <c r="AY38" s="549"/>
      <c r="AZ38" s="549"/>
      <c r="BA38" s="254">
        <v>10.75</v>
      </c>
      <c r="BB38" s="254">
        <v>14.75</v>
      </c>
      <c r="BC38" s="259"/>
      <c r="BD38" s="247">
        <f t="shared" si="26"/>
        <v>12.75</v>
      </c>
      <c r="BF38" s="136"/>
      <c r="BG38" s="251" t="s">
        <v>14</v>
      </c>
      <c r="BH38" s="549"/>
      <c r="BI38" s="595" t="str">
        <f t="shared" si="27"/>
        <v>GBPSO3L10Y=ICAP</v>
      </c>
      <c r="BJ38" s="549"/>
      <c r="BK38" s="549"/>
      <c r="BL38" s="549"/>
      <c r="BM38" s="254">
        <v>22.5</v>
      </c>
      <c r="BN38" s="254">
        <v>0</v>
      </c>
      <c r="BO38" s="253"/>
      <c r="BP38" s="256">
        <f t="shared" si="28"/>
        <v>22.5</v>
      </c>
    </row>
    <row r="39" spans="5:101">
      <c r="W39" s="251" t="s">
        <v>15</v>
      </c>
      <c r="Y39" s="573" t="str">
        <f t="shared" si="29"/>
        <v>GBPSB6L12Y=</v>
      </c>
      <c r="AC39" s="257">
        <v>3.75</v>
      </c>
      <c r="AD39" s="257">
        <v>3.7349999999999999</v>
      </c>
      <c r="AE39" s="135"/>
      <c r="AF39" s="248">
        <f t="shared" ref="AF39:AF45" si="30">IF(ISNUMBER(AE39),AE39,AVERAGE(AC39:AD39))</f>
        <v>3.7424999999999997</v>
      </c>
      <c r="AH39" s="136"/>
      <c r="AI39" s="251" t="s">
        <v>15</v>
      </c>
      <c r="AJ39" s="549"/>
      <c r="AK39" s="573" t="str">
        <f t="shared" si="23"/>
        <v>GBP3L6L12Y=ICAP</v>
      </c>
      <c r="AO39" s="254">
        <v>15.75</v>
      </c>
      <c r="AP39" s="254">
        <v>18.75</v>
      </c>
      <c r="AQ39" s="135"/>
      <c r="AR39" s="256">
        <f t="shared" si="24"/>
        <v>17.25</v>
      </c>
      <c r="AT39" s="136"/>
      <c r="AU39" s="251" t="s">
        <v>15</v>
      </c>
      <c r="AV39" s="549"/>
      <c r="AW39" s="595" t="str">
        <f t="shared" si="25"/>
        <v>GBP1L3L12Y=ICAP</v>
      </c>
      <c r="AX39" s="549"/>
      <c r="AY39" s="549"/>
      <c r="AZ39" s="549"/>
      <c r="BA39" s="254">
        <v>9</v>
      </c>
      <c r="BB39" s="254">
        <v>13</v>
      </c>
      <c r="BC39" s="259"/>
      <c r="BD39" s="247">
        <f t="shared" si="26"/>
        <v>11</v>
      </c>
      <c r="BF39" s="136"/>
      <c r="BG39" s="251" t="s">
        <v>15</v>
      </c>
      <c r="BH39" s="549"/>
      <c r="BI39" s="595" t="str">
        <f t="shared" si="27"/>
        <v>GBPSO3L12Y=ICAP</v>
      </c>
      <c r="BJ39" s="549"/>
      <c r="BK39" s="549"/>
      <c r="BL39" s="549"/>
      <c r="BM39" s="254">
        <v>21</v>
      </c>
      <c r="BN39" s="254">
        <v>0</v>
      </c>
      <c r="BO39" s="253"/>
      <c r="BP39" s="256">
        <f t="shared" si="28"/>
        <v>21</v>
      </c>
    </row>
    <row r="40" spans="5:101">
      <c r="E40" s="547" t="s">
        <v>374</v>
      </c>
      <c r="G40" s="580">
        <v>1</v>
      </c>
      <c r="W40" s="251" t="s">
        <v>16</v>
      </c>
      <c r="Y40" s="573" t="str">
        <f t="shared" si="29"/>
        <v>GBPSB6L15Y=</v>
      </c>
      <c r="AC40" s="257">
        <v>3.9449999999999998</v>
      </c>
      <c r="AD40" s="257">
        <v>3.9299999999999997</v>
      </c>
      <c r="AE40" s="135"/>
      <c r="AF40" s="248">
        <f t="shared" si="30"/>
        <v>3.9375</v>
      </c>
      <c r="AH40" s="136"/>
      <c r="AI40" s="251" t="s">
        <v>16</v>
      </c>
      <c r="AJ40" s="549"/>
      <c r="AK40" s="573" t="str">
        <f t="shared" si="23"/>
        <v>GBP3L6L15Y=ICAP</v>
      </c>
      <c r="AO40" s="254">
        <v>13.5</v>
      </c>
      <c r="AP40" s="254">
        <v>16.5</v>
      </c>
      <c r="AQ40" s="135"/>
      <c r="AR40" s="256">
        <f t="shared" si="24"/>
        <v>15</v>
      </c>
      <c r="AT40" s="136"/>
      <c r="AU40" s="251" t="s">
        <v>16</v>
      </c>
      <c r="AV40" s="549"/>
      <c r="AW40" s="595" t="str">
        <f t="shared" si="25"/>
        <v>GBP1L3L15Y=ICAP</v>
      </c>
      <c r="AX40" s="549"/>
      <c r="AY40" s="549"/>
      <c r="AZ40" s="549"/>
      <c r="BA40" s="254">
        <v>7.5</v>
      </c>
      <c r="BB40" s="254">
        <v>11.5</v>
      </c>
      <c r="BC40" s="259"/>
      <c r="BD40" s="247">
        <f t="shared" si="26"/>
        <v>9.5</v>
      </c>
      <c r="BF40" s="136"/>
      <c r="BG40" s="251" t="s">
        <v>16</v>
      </c>
      <c r="BH40" s="549"/>
      <c r="BI40" s="595" t="str">
        <f t="shared" si="27"/>
        <v>GBPSO3L15Y=ICAP</v>
      </c>
      <c r="BJ40" s="549"/>
      <c r="BK40" s="549"/>
      <c r="BL40" s="549"/>
      <c r="BM40" s="254">
        <v>20</v>
      </c>
      <c r="BN40" s="254">
        <v>0</v>
      </c>
      <c r="BO40" s="253"/>
      <c r="BP40" s="256">
        <f t="shared" si="28"/>
        <v>20</v>
      </c>
    </row>
    <row r="41" spans="5:101">
      <c r="W41" s="251" t="s">
        <v>17</v>
      </c>
      <c r="Y41" s="573" t="str">
        <f t="shared" si="29"/>
        <v>GBPSB6L20Y=</v>
      </c>
      <c r="AC41" s="257">
        <v>4.05</v>
      </c>
      <c r="AD41" s="257">
        <v>4.0350000000000001</v>
      </c>
      <c r="AE41" s="135"/>
      <c r="AF41" s="248">
        <f t="shared" si="30"/>
        <v>4.0425000000000004</v>
      </c>
      <c r="AH41" s="136"/>
      <c r="AI41" s="251" t="s">
        <v>17</v>
      </c>
      <c r="AJ41" s="549"/>
      <c r="AK41" s="573" t="str">
        <f t="shared" si="23"/>
        <v>GBP3L6L20Y=ICAP</v>
      </c>
      <c r="AO41" s="254">
        <v>11</v>
      </c>
      <c r="AP41" s="254">
        <v>14</v>
      </c>
      <c r="AQ41" s="135"/>
      <c r="AR41" s="256">
        <f t="shared" si="24"/>
        <v>12.5</v>
      </c>
      <c r="AT41" s="136"/>
      <c r="AU41" s="251" t="s">
        <v>17</v>
      </c>
      <c r="AV41" s="549"/>
      <c r="AW41" s="595" t="str">
        <f t="shared" si="25"/>
        <v>GBP1L3L20Y=ICAP</v>
      </c>
      <c r="AX41" s="549"/>
      <c r="AY41" s="549"/>
      <c r="AZ41" s="549"/>
      <c r="BA41" s="254">
        <v>6</v>
      </c>
      <c r="BB41" s="254">
        <v>10</v>
      </c>
      <c r="BC41" s="259"/>
      <c r="BD41" s="247">
        <f t="shared" si="26"/>
        <v>8</v>
      </c>
      <c r="BF41" s="136"/>
      <c r="BG41" s="251" t="s">
        <v>17</v>
      </c>
      <c r="BH41" s="549"/>
      <c r="BI41" s="595" t="str">
        <f t="shared" si="27"/>
        <v>GBPSO3L20Y=ICAP</v>
      </c>
      <c r="BJ41" s="549"/>
      <c r="BK41" s="549"/>
      <c r="BL41" s="549"/>
      <c r="BM41" s="254">
        <v>18.5</v>
      </c>
      <c r="BN41" s="254">
        <v>0</v>
      </c>
      <c r="BO41" s="253"/>
      <c r="BP41" s="256">
        <f t="shared" si="28"/>
        <v>18.5</v>
      </c>
    </row>
    <row r="42" spans="5:101">
      <c r="E42" s="547" t="s">
        <v>843</v>
      </c>
      <c r="G42" s="829" t="b">
        <v>1</v>
      </c>
      <c r="W42" s="251" t="s">
        <v>18</v>
      </c>
      <c r="Y42" s="573" t="str">
        <f t="shared" si="29"/>
        <v>GBPSB6L25Y=</v>
      </c>
      <c r="AC42" s="257">
        <v>4.0830000000000002</v>
      </c>
      <c r="AD42" s="257">
        <v>4.0679999999999996</v>
      </c>
      <c r="AE42" s="135"/>
      <c r="AF42" s="248">
        <f t="shared" si="30"/>
        <v>4.0754999999999999</v>
      </c>
      <c r="AH42" s="136"/>
      <c r="AI42" s="251" t="s">
        <v>18</v>
      </c>
      <c r="AJ42" s="549"/>
      <c r="AK42" s="573" t="str">
        <f t="shared" si="23"/>
        <v>GBP3L6L25Y=ICAP</v>
      </c>
      <c r="AO42" s="254">
        <v>9.75</v>
      </c>
      <c r="AP42" s="254">
        <v>12.75</v>
      </c>
      <c r="AQ42" s="135"/>
      <c r="AR42" s="256">
        <f t="shared" si="24"/>
        <v>11.25</v>
      </c>
      <c r="AT42" s="136"/>
      <c r="AU42" s="251" t="s">
        <v>18</v>
      </c>
      <c r="AV42" s="549"/>
      <c r="AW42" s="595" t="str">
        <f t="shared" si="25"/>
        <v>GBP1L3L25Y=ICAP</v>
      </c>
      <c r="AX42" s="549"/>
      <c r="AY42" s="549"/>
      <c r="AZ42" s="549"/>
      <c r="BA42" s="254">
        <v>5.25</v>
      </c>
      <c r="BB42" s="254">
        <v>9.25</v>
      </c>
      <c r="BC42" s="259"/>
      <c r="BD42" s="247">
        <f t="shared" si="26"/>
        <v>7.25</v>
      </c>
      <c r="BF42" s="136"/>
      <c r="BG42" s="251" t="s">
        <v>18</v>
      </c>
      <c r="BH42" s="549"/>
      <c r="BI42" s="595" t="str">
        <f t="shared" si="27"/>
        <v>GBPSO3L25Y=ICAP</v>
      </c>
      <c r="BJ42" s="549"/>
      <c r="BK42" s="549"/>
      <c r="BL42" s="549"/>
      <c r="BM42" s="254">
        <v>17.5</v>
      </c>
      <c r="BN42" s="254">
        <v>0</v>
      </c>
      <c r="BO42" s="253"/>
      <c r="BP42" s="256">
        <f t="shared" si="28"/>
        <v>17.5</v>
      </c>
    </row>
    <row r="43" spans="5:101">
      <c r="W43" s="251" t="s">
        <v>19</v>
      </c>
      <c r="Y43" s="573" t="str">
        <f t="shared" si="29"/>
        <v>GBPSB6L30Y=</v>
      </c>
      <c r="AC43" s="257">
        <v>4.0730000000000004</v>
      </c>
      <c r="AD43" s="257">
        <v>4.0579999999999998</v>
      </c>
      <c r="AE43" s="135"/>
      <c r="AF43" s="248">
        <f t="shared" si="30"/>
        <v>4.0655000000000001</v>
      </c>
      <c r="AH43" s="136"/>
      <c r="AI43" s="251" t="s">
        <v>19</v>
      </c>
      <c r="AJ43" s="549"/>
      <c r="AK43" s="573" t="str">
        <f t="shared" si="23"/>
        <v>GBP3L6L30Y=ICAP</v>
      </c>
      <c r="AO43" s="254">
        <v>9</v>
      </c>
      <c r="AP43" s="254">
        <v>12</v>
      </c>
      <c r="AQ43" s="135"/>
      <c r="AR43" s="256">
        <f t="shared" si="24"/>
        <v>10.5</v>
      </c>
      <c r="AT43" s="136"/>
      <c r="AU43" s="251" t="s">
        <v>19</v>
      </c>
      <c r="AV43" s="549"/>
      <c r="AW43" s="595" t="str">
        <f t="shared" si="25"/>
        <v>GBP1L3L30Y=ICAP</v>
      </c>
      <c r="AX43" s="549"/>
      <c r="AZ43" s="549"/>
      <c r="BA43" s="254">
        <v>4.75</v>
      </c>
      <c r="BB43" s="254">
        <v>8.75</v>
      </c>
      <c r="BC43" s="259"/>
      <c r="BD43" s="247">
        <f t="shared" si="26"/>
        <v>6.75</v>
      </c>
      <c r="BF43" s="136"/>
      <c r="BG43" s="251" t="s">
        <v>19</v>
      </c>
      <c r="BH43" s="549"/>
      <c r="BI43" s="595" t="str">
        <f t="shared" si="27"/>
        <v>GBPSO3L30Y=ICAP</v>
      </c>
      <c r="BJ43" s="549"/>
      <c r="BL43" s="549"/>
      <c r="BM43" s="254">
        <v>17</v>
      </c>
      <c r="BN43" s="254">
        <v>0</v>
      </c>
      <c r="BO43" s="253"/>
      <c r="BP43" s="256">
        <f t="shared" si="28"/>
        <v>17</v>
      </c>
    </row>
    <row r="44" spans="5:101">
      <c r="W44" s="251" t="s">
        <v>27</v>
      </c>
      <c r="Y44" s="573" t="str">
        <f t="shared" si="29"/>
        <v>GBPSB6L40Y=</v>
      </c>
      <c r="AC44" s="257">
        <v>4.1169999999999991</v>
      </c>
      <c r="AD44" s="257">
        <v>3.9470000000000001</v>
      </c>
      <c r="AE44" s="135"/>
      <c r="AF44" s="248">
        <f t="shared" si="30"/>
        <v>4.032</v>
      </c>
      <c r="AH44" s="136"/>
      <c r="AI44" s="251" t="s">
        <v>27</v>
      </c>
      <c r="AJ44" s="549"/>
      <c r="AK44" s="573" t="str">
        <f t="shared" si="23"/>
        <v>GBP3L6L40Y=ICAP</v>
      </c>
      <c r="AO44" s="254">
        <v>7.75</v>
      </c>
      <c r="AP44" s="254">
        <v>10.75</v>
      </c>
      <c r="AQ44" s="135"/>
      <c r="AR44" s="256">
        <f t="shared" si="24"/>
        <v>9.25</v>
      </c>
      <c r="AT44" s="136"/>
      <c r="AU44" s="251" t="s">
        <v>27</v>
      </c>
      <c r="AV44" s="549"/>
      <c r="AW44" s="595" t="str">
        <f t="shared" ref="AW44:AW45" si="31">"GBP1L3L"&amp;AU44&amp;"=ICAP"</f>
        <v>GBP1L3L40Y=ICAP</v>
      </c>
      <c r="AX44" s="549"/>
      <c r="AZ44" s="549"/>
      <c r="BA44" s="254">
        <v>4</v>
      </c>
      <c r="BB44" s="254">
        <v>8</v>
      </c>
      <c r="BC44" s="259"/>
      <c r="BD44" s="247">
        <f t="shared" ref="BD44:BD45" si="32">IF(ISNUMBER(BC44),BC44,(BA44+BB44)/COUNTIF(BA44:BB44,"&lt;&gt;0"))</f>
        <v>6</v>
      </c>
      <c r="BF44" s="136"/>
      <c r="BG44" s="251" t="s">
        <v>27</v>
      </c>
      <c r="BH44" s="549"/>
      <c r="BI44" s="595" t="str">
        <f t="shared" ref="BI44:BI45" si="33">"GBPSO3L"&amp;BG44&amp;"=ICAP"</f>
        <v>GBPSO3L40Y=ICAP</v>
      </c>
      <c r="BJ44" s="549"/>
      <c r="BL44" s="549"/>
      <c r="BM44" s="608"/>
      <c r="BN44" s="254"/>
      <c r="BO44" s="253"/>
      <c r="BP44" s="256">
        <f t="shared" ref="BP44:BP45" si="34">IF(ISNUMBER(BO44),BO44,BP43)</f>
        <v>17</v>
      </c>
    </row>
    <row r="45" spans="5:101">
      <c r="W45" s="251" t="s">
        <v>198</v>
      </c>
      <c r="Y45" s="573" t="str">
        <f t="shared" si="29"/>
        <v>GBPSB6L50Y=</v>
      </c>
      <c r="AC45" s="265">
        <v>4.0949999999999998</v>
      </c>
      <c r="AD45" s="265">
        <v>3.9249999999999998</v>
      </c>
      <c r="AE45" s="135"/>
      <c r="AF45" s="248">
        <f t="shared" si="30"/>
        <v>4.01</v>
      </c>
      <c r="AH45" s="136"/>
      <c r="AI45" s="251" t="s">
        <v>198</v>
      </c>
      <c r="AJ45" s="549"/>
      <c r="AK45" s="573" t="str">
        <f t="shared" si="23"/>
        <v>GBP3L6L50Y=ICAP</v>
      </c>
      <c r="AO45" s="254">
        <v>6.5</v>
      </c>
      <c r="AP45" s="254">
        <v>10.5</v>
      </c>
      <c r="AQ45" s="135"/>
      <c r="AR45" s="256">
        <f t="shared" si="24"/>
        <v>8.5</v>
      </c>
      <c r="AT45" s="136"/>
      <c r="AU45" s="251" t="s">
        <v>198</v>
      </c>
      <c r="AV45" s="549"/>
      <c r="AW45" s="595" t="str">
        <f t="shared" si="31"/>
        <v>GBP1L3L50Y=ICAP</v>
      </c>
      <c r="AX45" s="549"/>
      <c r="AZ45" s="549"/>
      <c r="BA45" s="254">
        <v>3</v>
      </c>
      <c r="BB45" s="254">
        <v>8</v>
      </c>
      <c r="BC45" s="259"/>
      <c r="BD45" s="247">
        <f t="shared" si="32"/>
        <v>5.5</v>
      </c>
      <c r="BF45" s="136"/>
      <c r="BG45" s="251" t="s">
        <v>198</v>
      </c>
      <c r="BH45" s="549"/>
      <c r="BI45" s="595" t="str">
        <f t="shared" si="33"/>
        <v>GBPSO3L50Y=ICAP</v>
      </c>
      <c r="BJ45" s="549"/>
      <c r="BL45" s="549"/>
      <c r="BM45" s="608"/>
      <c r="BN45" s="254"/>
      <c r="BO45" s="253"/>
      <c r="BP45" s="256">
        <f t="shared" si="34"/>
        <v>17</v>
      </c>
    </row>
    <row r="46" spans="5:101">
      <c r="AH46" s="136"/>
      <c r="AJ46" s="549"/>
      <c r="AT46" s="136"/>
      <c r="AV46" s="549"/>
      <c r="AW46" s="549"/>
      <c r="AX46" s="549"/>
      <c r="AY46" s="549"/>
      <c r="AZ46" s="549"/>
      <c r="BH46" s="549"/>
      <c r="BI46" s="549"/>
      <c r="BJ46" s="549"/>
      <c r="BK46" s="549"/>
      <c r="BL46" s="549"/>
    </row>
    <row r="47" spans="5:101">
      <c r="AH47" s="136"/>
      <c r="AJ47" s="549"/>
      <c r="AT47" s="136"/>
      <c r="AV47" s="549"/>
      <c r="AW47" s="549"/>
      <c r="AX47" s="549"/>
      <c r="AY47" s="549"/>
      <c r="AZ47" s="549"/>
      <c r="BH47" s="549"/>
      <c r="BI47" s="549"/>
      <c r="BJ47" s="549"/>
      <c r="BK47" s="549"/>
      <c r="BL47" s="549"/>
    </row>
    <row r="48" spans="5:101">
      <c r="AH48" s="136"/>
      <c r="AI48" s="187" t="s">
        <v>285</v>
      </c>
      <c r="AJ48" s="549"/>
      <c r="AM48" s="546" t="str">
        <f ca="1">_xll.RtUpdate("IDN",AK49:AK65,AM49:AM50,AO49,,RTMODE_RATES)</f>
        <v>Updated at 10:13:26</v>
      </c>
      <c r="AT48" s="136"/>
      <c r="AU48" s="187" t="s">
        <v>532</v>
      </c>
      <c r="AV48" s="549"/>
      <c r="AW48" s="549"/>
      <c r="AX48" s="549"/>
      <c r="AY48" s="549"/>
      <c r="AZ48" s="549"/>
      <c r="BH48" s="549"/>
      <c r="BI48" s="549"/>
      <c r="BJ48" s="549"/>
      <c r="BK48" s="549"/>
      <c r="BL48" s="549"/>
    </row>
    <row r="49" spans="34:55">
      <c r="AH49" s="136"/>
      <c r="AI49" s="251" t="s">
        <v>25</v>
      </c>
      <c r="AJ49" s="549"/>
      <c r="AK49" s="573" t="str">
        <f t="shared" ref="AK49:AK63" si="35">"GBP3L12L"&amp;AI49&amp;"=ICAP"</f>
        <v>GBP3L12L1Y=ICAP</v>
      </c>
      <c r="AM49" s="573" t="s">
        <v>43</v>
      </c>
      <c r="AO49" s="254">
        <v>59</v>
      </c>
      <c r="AP49" s="254">
        <v>71</v>
      </c>
      <c r="AQ49" s="135"/>
      <c r="AR49" s="256">
        <f t="shared" ref="AR49:AR63" si="36">IF(ISNUMBER(AQ49),AQ49,AVERAGEIF(AO49:AP49,"&lt;&gt;0"))</f>
        <v>65</v>
      </c>
      <c r="AT49" s="136"/>
      <c r="AU49" s="137" t="s">
        <v>287</v>
      </c>
    </row>
    <row r="50" spans="34:55">
      <c r="AH50" s="136"/>
      <c r="AI50" s="251" t="s">
        <v>26</v>
      </c>
      <c r="AJ50" s="549"/>
      <c r="AK50" s="573" t="str">
        <f t="shared" si="35"/>
        <v>GBP3L12L2Y=ICAP</v>
      </c>
      <c r="AM50" s="573" t="s">
        <v>44</v>
      </c>
      <c r="AO50" s="254">
        <v>52</v>
      </c>
      <c r="AP50" s="254">
        <v>64</v>
      </c>
      <c r="AQ50" s="135"/>
      <c r="AR50" s="256">
        <f t="shared" si="36"/>
        <v>58</v>
      </c>
      <c r="AT50" s="136"/>
      <c r="AU50" s="283" t="s">
        <v>541</v>
      </c>
      <c r="BA50" s="283"/>
      <c r="BC50" s="120" t="str">
        <f>_xll.qIRcurveZeroBankReval(AU50,"GBP",Today,AF6:AF9,AR15:AR22,AI15:AI22,AF31:AF45,AR29:AR45)</f>
        <v>GBP.ZB.DISC|[Swap Pricer 1w.xlsm]GB!$BC$50#468</v>
      </c>
    </row>
    <row r="51" spans="34:55">
      <c r="AH51" s="136"/>
      <c r="AI51" s="251" t="s">
        <v>7</v>
      </c>
      <c r="AJ51" s="549"/>
      <c r="AK51" s="573" t="str">
        <f t="shared" si="35"/>
        <v>GBP3L12L3Y=ICAP</v>
      </c>
      <c r="AO51" s="254">
        <v>47.25</v>
      </c>
      <c r="AP51" s="254">
        <v>59.25</v>
      </c>
      <c r="AQ51" s="135"/>
      <c r="AR51" s="256">
        <f t="shared" si="36"/>
        <v>53.25</v>
      </c>
      <c r="AT51" s="136"/>
      <c r="AU51" s="283" t="s">
        <v>542</v>
      </c>
      <c r="BA51" s="283"/>
      <c r="BC51" s="283" t="str">
        <f>_xll.qIRcurveSCBasisReval(AU51,"GBP",GBP.ZB.DISC,"1V3","SYNTHETIC",BV7:BV28)</f>
        <v>GBP.ZB.ON|[Swap Pricer 1w.xlsm]GB!$BC$51#478</v>
      </c>
    </row>
    <row r="52" spans="34:55">
      <c r="AH52" s="136"/>
      <c r="AI52" s="251" t="s">
        <v>8</v>
      </c>
      <c r="AJ52" s="549"/>
      <c r="AK52" s="573" t="str">
        <f t="shared" si="35"/>
        <v>GBP3L12L4Y=ICAP</v>
      </c>
      <c r="AO52" s="254">
        <v>44.25</v>
      </c>
      <c r="AP52" s="254">
        <v>56.25</v>
      </c>
      <c r="AQ52" s="135"/>
      <c r="AR52" s="256">
        <f t="shared" si="36"/>
        <v>50.25</v>
      </c>
      <c r="AT52" s="136"/>
      <c r="AU52" s="283" t="s">
        <v>543</v>
      </c>
      <c r="BA52" s="283"/>
      <c r="BC52" s="283" t="str">
        <f>_xll.qIRcurveSCBasisReval(AU52,"GBP",GBP.ZB.DISC,"1V3","SYNTHETIC",BV7:BV28)</f>
        <v>GBP.ZB.1M|[Swap Pricer 1w.xlsm]GB!$BC$52#477</v>
      </c>
    </row>
    <row r="53" spans="34:55">
      <c r="AH53" s="136"/>
      <c r="AI53" s="251" t="s">
        <v>9</v>
      </c>
      <c r="AJ53" s="549"/>
      <c r="AK53" s="573" t="str">
        <f t="shared" si="35"/>
        <v>GBP3L12L5Y=ICAP</v>
      </c>
      <c r="AO53" s="254">
        <v>42.25</v>
      </c>
      <c r="AP53" s="254">
        <v>54.25</v>
      </c>
      <c r="AQ53" s="135"/>
      <c r="AR53" s="256">
        <f t="shared" si="36"/>
        <v>48.25</v>
      </c>
      <c r="AT53" s="136"/>
      <c r="AU53" s="283" t="s">
        <v>544</v>
      </c>
      <c r="BA53" s="283"/>
      <c r="BC53" s="283" t="str">
        <f>GBP.ZB.DISC</f>
        <v>GBP.ZB.DISC|[Swap Pricer 1w.xlsm]GB!$BC$50#468</v>
      </c>
    </row>
    <row r="54" spans="34:55">
      <c r="AH54" s="136"/>
      <c r="AI54" s="251" t="s">
        <v>10</v>
      </c>
      <c r="AJ54" s="549"/>
      <c r="AK54" s="573" t="str">
        <f t="shared" si="35"/>
        <v>GBP3L12L6Y=ICAP</v>
      </c>
      <c r="AO54" s="254">
        <v>40.25</v>
      </c>
      <c r="AP54" s="254">
        <v>52.25</v>
      </c>
      <c r="AQ54" s="135"/>
      <c r="AR54" s="256">
        <f t="shared" si="36"/>
        <v>46.25</v>
      </c>
      <c r="AT54" s="136"/>
      <c r="AU54" s="283" t="s">
        <v>545</v>
      </c>
      <c r="BA54" s="283"/>
      <c r="BC54" s="283" t="str">
        <f>_xll.qIRcurveSCBasisReval(AU54,"GBP",GBP.ZB.DISC,"3V6","SYNTHETIC",BW7:BW28)</f>
        <v>GBP.ZB.6M|[Swap Pricer 1w.xlsm]GB!$BC$54#475</v>
      </c>
    </row>
    <row r="55" spans="34:55">
      <c r="AH55" s="136"/>
      <c r="AI55" s="251" t="s">
        <v>11</v>
      </c>
      <c r="AJ55" s="549"/>
      <c r="AK55" s="573" t="str">
        <f t="shared" si="35"/>
        <v>GBP3L12L7Y=ICAP</v>
      </c>
      <c r="AO55" s="254">
        <v>38.25</v>
      </c>
      <c r="AP55" s="254">
        <v>50.25</v>
      </c>
      <c r="AQ55" s="135"/>
      <c r="AR55" s="256">
        <f t="shared" si="36"/>
        <v>44.25</v>
      </c>
      <c r="AT55" s="136"/>
      <c r="AU55" s="283" t="s">
        <v>546</v>
      </c>
      <c r="BA55" s="283"/>
      <c r="BC55" s="283" t="str">
        <f>_xll.qIRcurveSCBasisReval(AU55,"GBP",GBP.ZB.DISC,"3V12","SYNTHETIC",BX7:BX28)</f>
        <v>GBP.ZB.1Y|[Swap Pricer 1w.xlsm]GB!$BC$55#476</v>
      </c>
    </row>
    <row r="56" spans="34:55">
      <c r="AH56" s="136"/>
      <c r="AI56" s="251" t="s">
        <v>12</v>
      </c>
      <c r="AJ56" s="549"/>
      <c r="AK56" s="573" t="str">
        <f t="shared" si="35"/>
        <v>GBP3L12L8Y=ICAP</v>
      </c>
      <c r="AO56" s="254">
        <v>36.25</v>
      </c>
      <c r="AP56" s="254">
        <v>48.25</v>
      </c>
      <c r="AQ56" s="135"/>
      <c r="AR56" s="256">
        <f t="shared" si="36"/>
        <v>42.25</v>
      </c>
      <c r="AT56" s="136"/>
    </row>
    <row r="57" spans="34:55">
      <c r="AH57" s="136"/>
      <c r="AI57" s="251" t="s">
        <v>13</v>
      </c>
      <c r="AJ57" s="549"/>
      <c r="AK57" s="573" t="str">
        <f t="shared" si="35"/>
        <v>GBP3L12L9Y=ICAP</v>
      </c>
      <c r="AO57" s="254">
        <v>34</v>
      </c>
      <c r="AP57" s="254">
        <v>46</v>
      </c>
      <c r="AQ57" s="135"/>
      <c r="AR57" s="256">
        <f t="shared" si="36"/>
        <v>40</v>
      </c>
      <c r="AT57" s="136"/>
      <c r="AU57" s="540" t="s">
        <v>507</v>
      </c>
    </row>
    <row r="58" spans="34:55">
      <c r="AH58" s="136"/>
      <c r="AI58" s="251" t="s">
        <v>14</v>
      </c>
      <c r="AK58" s="573" t="str">
        <f t="shared" si="35"/>
        <v>GBP3L12L10Y=ICAP</v>
      </c>
      <c r="AO58" s="254">
        <v>32</v>
      </c>
      <c r="AP58" s="254">
        <v>44</v>
      </c>
      <c r="AQ58" s="135"/>
      <c r="AR58" s="256">
        <f t="shared" si="36"/>
        <v>38</v>
      </c>
      <c r="AT58" s="136"/>
      <c r="AU58" t="s">
        <v>547</v>
      </c>
      <c r="BC58" s="283" t="str">
        <f>_xll.qIRcurveXCBasisReval("GBP.ZBX.DISC",GBP.ZB.DISC,"MARKET",FX!AI32:AI43,USD.ZB.DISC,FxcurveGBP)</f>
        <v>GBP.ZBX.DISC|[Swap Pricer 1w.xlsm]GB!$BC$58#1122</v>
      </c>
    </row>
    <row r="59" spans="34:55">
      <c r="AH59" s="136"/>
      <c r="AI59" s="251" t="s">
        <v>15</v>
      </c>
      <c r="AK59" s="573" t="str">
        <f t="shared" si="35"/>
        <v>GBP3L12L12Y=ICAP</v>
      </c>
      <c r="AO59" s="254">
        <v>28.75</v>
      </c>
      <c r="AP59" s="254">
        <v>40.75</v>
      </c>
      <c r="AQ59" s="135"/>
      <c r="AR59" s="256">
        <f t="shared" si="36"/>
        <v>34.75</v>
      </c>
      <c r="AT59" s="136"/>
      <c r="AU59" t="s">
        <v>548</v>
      </c>
      <c r="BC59" s="283" t="str">
        <f t="array" ref="BC59:BC63">BC51:BC55</f>
        <v>GBP.ZB.ON|[Swap Pricer 1w.xlsm]GB!$BC$51#478</v>
      </c>
    </row>
    <row r="60" spans="34:55">
      <c r="AH60" s="136"/>
      <c r="AI60" s="251" t="s">
        <v>16</v>
      </c>
      <c r="AK60" s="573" t="str">
        <f t="shared" si="35"/>
        <v>GBP3L12L15Y=ICAP</v>
      </c>
      <c r="AO60" s="254">
        <v>24.5</v>
      </c>
      <c r="AP60" s="254">
        <v>36.5</v>
      </c>
      <c r="AQ60" s="135"/>
      <c r="AR60" s="256">
        <f t="shared" si="36"/>
        <v>30.5</v>
      </c>
      <c r="AT60" s="136"/>
      <c r="AU60" t="s">
        <v>549</v>
      </c>
      <c r="BC60" s="283" t="str">
        <v>GBP.ZB.1M|[Swap Pricer 1w.xlsm]GB!$BC$52#477</v>
      </c>
    </row>
    <row r="61" spans="34:55">
      <c r="AH61" s="136"/>
      <c r="AI61" s="251" t="s">
        <v>17</v>
      </c>
      <c r="AK61" s="573" t="str">
        <f t="shared" si="35"/>
        <v>GBP3L12L20Y=ICAP</v>
      </c>
      <c r="AO61" s="254">
        <v>20.25</v>
      </c>
      <c r="AP61" s="254">
        <v>32.25</v>
      </c>
      <c r="AQ61" s="135"/>
      <c r="AR61" s="256">
        <f t="shared" si="36"/>
        <v>26.25</v>
      </c>
      <c r="AT61" s="136"/>
      <c r="AU61" t="s">
        <v>550</v>
      </c>
      <c r="BC61" s="283" t="str">
        <v>GBP.ZB.DISC|[Swap Pricer 1w.xlsm]GB!$BC$50#468</v>
      </c>
    </row>
    <row r="62" spans="34:55">
      <c r="AH62" s="136"/>
      <c r="AI62" s="251" t="s">
        <v>18</v>
      </c>
      <c r="AK62" s="573" t="str">
        <f t="shared" si="35"/>
        <v>GBP3L12L25Y=ICAP</v>
      </c>
      <c r="AO62" s="254">
        <v>17.75</v>
      </c>
      <c r="AP62" s="254">
        <v>29.75</v>
      </c>
      <c r="AQ62" s="135"/>
      <c r="AR62" s="256">
        <f t="shared" si="36"/>
        <v>23.75</v>
      </c>
      <c r="AT62" s="136"/>
      <c r="AU62" t="s">
        <v>551</v>
      </c>
      <c r="BC62" s="283" t="str">
        <v>GBP.ZB.6M|[Swap Pricer 1w.xlsm]GB!$BC$54#475</v>
      </c>
    </row>
    <row r="63" spans="34:55">
      <c r="AH63" s="136"/>
      <c r="AI63" s="251" t="s">
        <v>19</v>
      </c>
      <c r="AK63" s="573" t="str">
        <f t="shared" si="35"/>
        <v>GBP3L12L30Y=ICAP</v>
      </c>
      <c r="AO63" s="254">
        <v>16.25</v>
      </c>
      <c r="AP63" s="254">
        <v>28.25</v>
      </c>
      <c r="AQ63" s="135"/>
      <c r="AR63" s="256">
        <f t="shared" si="36"/>
        <v>22.25</v>
      </c>
      <c r="AT63" s="136"/>
      <c r="AU63" t="s">
        <v>552</v>
      </c>
      <c r="BC63" s="283" t="str">
        <v>GBP.ZB.1Y|[Swap Pricer 1w.xlsm]GB!$BC$55#476</v>
      </c>
    </row>
    <row r="64" spans="34:55">
      <c r="AH64" s="136"/>
      <c r="AI64" s="251" t="s">
        <v>27</v>
      </c>
      <c r="AK64" s="573" t="str">
        <f t="shared" ref="AK64:AK65" si="37">"GBP3L12L"&amp;AI64&amp;"=ICAP"</f>
        <v>GBP3L12L40Y=ICAP</v>
      </c>
      <c r="AO64" s="254">
        <v>14</v>
      </c>
      <c r="AP64" s="254">
        <v>26</v>
      </c>
      <c r="AQ64" s="135"/>
      <c r="AR64" s="256">
        <f t="shared" ref="AR64:AR65" si="38">IF(ISNUMBER(AQ64),AQ64,AVERAGEIF(AO64:AP64,"&lt;&gt;0"))</f>
        <v>20</v>
      </c>
      <c r="AT64" s="136"/>
    </row>
    <row r="65" spans="34:46">
      <c r="AH65" s="136"/>
      <c r="AI65" s="251" t="s">
        <v>198</v>
      </c>
      <c r="AK65" s="573" t="str">
        <f t="shared" si="37"/>
        <v>GBP3L12L50Y=ICAP</v>
      </c>
      <c r="AO65" s="254">
        <v>12</v>
      </c>
      <c r="AP65" s="254">
        <v>26</v>
      </c>
      <c r="AQ65" s="135"/>
      <c r="AR65" s="256">
        <f t="shared" si="38"/>
        <v>19</v>
      </c>
      <c r="AT65" s="136"/>
    </row>
  </sheetData>
  <sheetProtection sheet="1" objects="1" scenarios="1" autoFilter="0" pivotTables="0"/>
  <mergeCells count="1">
    <mergeCell ref="BC4:BD4"/>
  </mergeCells>
  <conditionalFormatting sqref="CV9:CV18 BO10:BO21 BC19:BC26 BC10:BC15 AQ29:AQ45 AE15:AE26 AE29:AE45 AE6:AE12 BC29:BC45 BO29:BO45 AQ49:AQ65">
    <cfRule type="cellIs" dxfId="35" priority="5" operator="notEqual">
      <formula>""</formula>
    </cfRule>
  </conditionalFormatting>
  <conditionalFormatting sqref="CV4 BC6">
    <cfRule type="expression" dxfId="34" priority="4">
      <formula>PPP_Global&lt;&gt;"LOCAL"</formula>
    </cfRule>
  </conditionalFormatting>
  <conditionalFormatting sqref="CU23:CU34">
    <cfRule type="containsErrors" dxfId="33" priority="1">
      <formula>ISERROR(CU23)</formula>
    </cfRule>
  </conditionalFormatting>
  <dataValidations disablePrompts="1" count="1">
    <dataValidation type="list" allowBlank="1" showInputMessage="1" showErrorMessage="1" promptTitle="Reuters Update Frequency" prompt="Throttles the frequency of Reuters updates.  To SNAP more than once, switch to STOP and then back to SNAP again" sqref="CV4 BC6">
      <formula1>"5s,15s,30s,1m,30m,1h,STOP,SNAP"</formula1>
    </dataValidation>
  </dataValidations>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shtNZ">
    <outlinePr showOutlineSymbols="0"/>
  </sheetPr>
  <dimension ref="A1:DR55"/>
  <sheetViews>
    <sheetView showGridLines="0" showRowColHeaders="0" showZeros="0" showOutlineSymbols="0" zoomScaleNormal="100" workbookViewId="0">
      <pane xSplit="3" topLeftCell="D1" activePane="topRight" state="frozen"/>
      <selection pane="topRight" activeCell="V1" sqref="V1"/>
    </sheetView>
  </sheetViews>
  <sheetFormatPr defaultRowHeight="12.75" outlineLevelCol="2"/>
  <cols>
    <col min="1" max="1" width="1.7109375" style="206" customWidth="1"/>
    <col min="2" max="2" width="7.7109375" style="206" customWidth="1"/>
    <col min="3" max="3" width="1.7109375" style="206" customWidth="1"/>
    <col min="4" max="4" width="2.7109375" style="547" hidden="1" customWidth="1" outlineLevel="2"/>
    <col min="5" max="5" width="10" style="547" hidden="1" customWidth="1" outlineLevel="2"/>
    <col min="6" max="6" width="3.5703125" style="547" hidden="1" customWidth="1" outlineLevel="2"/>
    <col min="7" max="7" width="10.85546875" style="582" hidden="1" customWidth="1" outlineLevel="2"/>
    <col min="8" max="8" width="1.7109375" style="582" hidden="1" customWidth="1" outlineLevel="2"/>
    <col min="9" max="9" width="10.5703125" style="547" hidden="1" customWidth="1" outlineLevel="2"/>
    <col min="10" max="10" width="1.7109375" style="582" hidden="1" customWidth="1" outlineLevel="2"/>
    <col min="11" max="11" width="17.85546875" style="547" hidden="1" customWidth="1" outlineLevel="2"/>
    <col min="12" max="12" width="8.42578125" style="570" hidden="1" customWidth="1" outlineLevel="2"/>
    <col min="13" max="15" width="6.7109375" style="593" hidden="1" customWidth="1" outlineLevel="2"/>
    <col min="16" max="16" width="1.7109375" style="582" hidden="1" customWidth="1" outlineLevel="2"/>
    <col min="17" max="17" width="8" style="570" hidden="1" customWidth="1" outlineLevel="2"/>
    <col min="18" max="20" width="6.7109375" style="582" hidden="1" customWidth="1" outlineLevel="2"/>
    <col min="21" max="21" width="2.7109375" style="547" hidden="1" customWidth="1" outlineLevel="2"/>
    <col min="22" max="22" width="3.7109375" customWidth="1" collapsed="1"/>
    <col min="23" max="23" width="3.7109375" customWidth="1"/>
    <col min="24" max="24" width="1.7109375" style="547" hidden="1" customWidth="1" outlineLevel="2"/>
    <col min="25" max="25" width="14.7109375" style="547" hidden="1" customWidth="1" outlineLevel="1"/>
    <col min="26" max="26" width="1.7109375" style="547" hidden="1" customWidth="1" outlineLevel="2"/>
    <col min="27" max="27" width="12.7109375" style="547" hidden="1" customWidth="1" outlineLevel="2"/>
    <col min="28" max="28" width="1.7109375" style="547" hidden="1" customWidth="1" outlineLevel="2"/>
    <col min="29" max="29" width="6.7109375" style="128" customWidth="1" collapsed="1"/>
    <col min="30" max="30" width="6.7109375" style="128" customWidth="1"/>
    <col min="31" max="31" width="6.7109375" style="127" customWidth="1"/>
    <col min="32" max="32" width="6.7109375" style="248" customWidth="1"/>
    <col min="33" max="34" width="2.7109375" customWidth="1"/>
    <col min="35" max="35" width="3.7109375" customWidth="1"/>
    <col min="36" max="36" width="1.7109375" style="547" hidden="1" customWidth="1" outlineLevel="2"/>
    <col min="37" max="37" width="12.5703125" style="547" hidden="1" customWidth="1" outlineLevel="1"/>
    <col min="38" max="38" width="1.7109375" style="547" hidden="1" customWidth="1" outlineLevel="2"/>
    <col min="39" max="39" width="9.85546875" style="547" hidden="1" customWidth="1" outlineLevel="2"/>
    <col min="40" max="40" width="1.7109375" style="547" hidden="1" customWidth="1" outlineLevel="2"/>
    <col min="41" max="41" width="6.7109375" style="188" customWidth="1" collapsed="1"/>
    <col min="42" max="42" width="6.7109375" style="188" customWidth="1"/>
    <col min="43" max="43" width="6.7109375" customWidth="1"/>
    <col min="44" max="44" width="6.7109375" style="256" customWidth="1"/>
    <col min="45" max="46" width="2.7109375" customWidth="1"/>
    <col min="47" max="47" width="3.7109375" customWidth="1"/>
    <col min="48" max="48" width="1.7109375" style="207" hidden="1" customWidth="1" outlineLevel="2"/>
    <col min="49" max="49" width="15.28515625" style="207" hidden="1" customWidth="1" outlineLevel="1"/>
    <col min="50" max="50" width="1.7109375" style="207" hidden="1" customWidth="1" outlineLevel="2"/>
    <col min="51" max="51" width="8" style="207" hidden="1" customWidth="1" outlineLevel="2"/>
    <col min="52" max="52" width="1.7109375" style="207" hidden="1" customWidth="1" outlineLevel="2"/>
    <col min="53" max="53" width="6.7109375" style="188" customWidth="1" collapsed="1"/>
    <col min="54" max="55" width="6.7109375" style="188" customWidth="1"/>
    <col min="56" max="56" width="6.7109375" style="247" customWidth="1"/>
    <col min="57" max="58" width="2.7109375" customWidth="1"/>
    <col min="59" max="59" width="3.7109375" customWidth="1"/>
    <col min="60" max="60" width="1.7109375" style="547" hidden="1" customWidth="1" outlineLevel="2"/>
    <col min="61" max="61" width="17.7109375" style="547" hidden="1" customWidth="1" outlineLevel="1"/>
    <col min="62" max="62" width="1.7109375" style="547" hidden="1" customWidth="1" outlineLevel="2"/>
    <col min="63" max="63" width="8.42578125" style="547" hidden="1" customWidth="1" outlineLevel="2"/>
    <col min="64" max="64" width="1.7109375" style="547" hidden="1" customWidth="1" outlineLevel="2"/>
    <col min="65" max="65" width="6.7109375" style="188" customWidth="1" collapsed="1"/>
    <col min="66" max="66" width="6.7109375" style="188" customWidth="1"/>
    <col min="67" max="67" width="6.7109375" style="247" customWidth="1"/>
    <col min="68" max="68" width="6.7109375" style="256" customWidth="1"/>
    <col min="69" max="69" width="2.7109375" customWidth="1"/>
    <col min="70" max="70" width="5.7109375" customWidth="1"/>
    <col min="71" max="71" width="26.5703125" customWidth="1"/>
    <col min="72" max="72" width="5.140625" customWidth="1"/>
    <col min="73" max="73" width="12.85546875" bestFit="1" customWidth="1"/>
    <col min="74" max="74" width="8" bestFit="1" customWidth="1"/>
    <col min="75" max="75" width="7.7109375" bestFit="1" customWidth="1"/>
    <col min="76" max="76" width="11" bestFit="1" customWidth="1"/>
    <col min="77" max="77" width="10.7109375" bestFit="1" customWidth="1"/>
    <col min="78" max="80" width="7.28515625" bestFit="1" customWidth="1"/>
    <col min="81" max="81" width="7.140625" bestFit="1" customWidth="1"/>
    <col min="82" max="83" width="3.7109375" customWidth="1"/>
    <col min="84" max="84" width="3.5703125" style="601" hidden="1" customWidth="1" outlineLevel="2"/>
    <col min="85" max="85" width="14.85546875" style="547" hidden="1" customWidth="1" outlineLevel="2"/>
    <col min="86" max="86" width="1.7109375" style="547" hidden="1" customWidth="1" outlineLevel="2"/>
    <col min="87" max="87" width="9.85546875" style="547" hidden="1" customWidth="1" outlineLevel="2"/>
    <col min="88" max="88" width="1.7109375" style="547" hidden="1" customWidth="1" outlineLevel="2"/>
    <col min="89" max="89" width="7.140625" style="188" customWidth="1" collapsed="1"/>
    <col min="90" max="91" width="7.140625" style="188" customWidth="1"/>
    <col min="92" max="92" width="7.140625" style="256" customWidth="1"/>
    <col min="112" max="112" width="3.7109375" customWidth="1"/>
  </cols>
  <sheetData>
    <row r="1" spans="5:122" ht="0.95" customHeight="1">
      <c r="AN1" s="547" t="s">
        <v>78</v>
      </c>
    </row>
    <row r="2" spans="5:122" ht="24.95" customHeight="1">
      <c r="E2" s="222" t="s">
        <v>529</v>
      </c>
      <c r="F2" s="194"/>
      <c r="G2" s="199"/>
      <c r="H2" s="199"/>
      <c r="I2" s="194"/>
      <c r="J2" s="199"/>
      <c r="K2" s="194"/>
      <c r="L2" s="246"/>
      <c r="M2" s="263"/>
      <c r="N2" s="263"/>
      <c r="O2" s="263"/>
      <c r="P2" s="199"/>
      <c r="Q2" s="246"/>
      <c r="R2" s="199"/>
      <c r="S2" s="199"/>
      <c r="T2" s="199"/>
      <c r="W2" s="46" t="s">
        <v>579</v>
      </c>
      <c r="Y2" s="548" t="s">
        <v>256</v>
      </c>
      <c r="Z2" s="548"/>
      <c r="AA2" s="548"/>
      <c r="AC2" s="48"/>
      <c r="AD2" s="48"/>
      <c r="AE2" s="47"/>
      <c r="AF2" s="245"/>
      <c r="AG2" s="46"/>
      <c r="AH2" s="609" t="s">
        <v>620</v>
      </c>
      <c r="AI2" s="46"/>
      <c r="AJ2" s="548"/>
      <c r="AK2" s="548"/>
      <c r="AL2" s="548"/>
      <c r="AM2" s="548"/>
      <c r="AN2" s="548"/>
      <c r="AO2" s="50"/>
      <c r="AP2" s="50"/>
      <c r="AQ2" s="46"/>
      <c r="AR2" s="51"/>
      <c r="AS2" s="46"/>
      <c r="AT2" s="46"/>
      <c r="AU2" s="46"/>
      <c r="AV2" s="194"/>
      <c r="AW2" s="194"/>
      <c r="AX2" s="194"/>
      <c r="AY2" s="194"/>
      <c r="AZ2" s="194"/>
      <c r="BA2" s="50"/>
      <c r="BB2" s="50"/>
      <c r="BC2" s="50"/>
      <c r="BD2" s="249"/>
      <c r="BE2" s="46"/>
      <c r="BF2" s="46"/>
      <c r="BG2" s="46"/>
      <c r="BH2" s="548"/>
      <c r="BI2" s="548"/>
      <c r="BJ2" s="548"/>
      <c r="BK2" s="548"/>
      <c r="BL2" s="548"/>
      <c r="BM2" s="50"/>
      <c r="BN2" s="50"/>
      <c r="BO2" s="249"/>
      <c r="BP2" s="51"/>
      <c r="BQ2" s="46"/>
      <c r="CE2" s="46" t="s">
        <v>580</v>
      </c>
      <c r="CF2" s="602"/>
      <c r="CG2" s="548"/>
      <c r="CH2" s="548"/>
      <c r="CI2" s="548"/>
      <c r="CJ2" s="548"/>
      <c r="CK2" s="50"/>
      <c r="CL2" s="50"/>
      <c r="CM2" s="50"/>
      <c r="CN2" s="51"/>
      <c r="CO2" s="46"/>
      <c r="CP2" s="46"/>
      <c r="CQ2" s="46"/>
      <c r="CR2" s="46"/>
      <c r="CS2" s="46"/>
      <c r="CT2" s="46"/>
      <c r="CU2" s="46"/>
      <c r="CV2" s="46"/>
      <c r="CW2" s="46"/>
      <c r="DI2" s="46" t="s">
        <v>581</v>
      </c>
      <c r="DJ2" s="46"/>
      <c r="DK2" s="46"/>
      <c r="DL2" s="46"/>
      <c r="DM2" s="46"/>
      <c r="DN2" s="46"/>
      <c r="DO2" s="46"/>
      <c r="DP2" s="46"/>
      <c r="DQ2" s="46"/>
      <c r="DR2" s="46"/>
    </row>
    <row r="3" spans="5:122">
      <c r="AH3" s="250"/>
      <c r="AJ3" s="549"/>
      <c r="AT3" s="154"/>
      <c r="AU3" s="149"/>
      <c r="AV3" s="261"/>
      <c r="AW3" s="261"/>
      <c r="AX3" s="261"/>
      <c r="AY3" s="261"/>
      <c r="AZ3" s="261"/>
      <c r="BA3" s="268"/>
      <c r="BB3" s="268"/>
      <c r="BC3" s="268"/>
      <c r="BD3" s="269"/>
      <c r="BE3" s="607"/>
      <c r="BF3" s="607"/>
      <c r="BG3" s="149"/>
      <c r="BH3" s="94"/>
      <c r="BI3" s="94"/>
      <c r="BJ3" s="94"/>
      <c r="BK3" s="94"/>
      <c r="BL3" s="94"/>
      <c r="BM3" s="268"/>
      <c r="BN3" s="268"/>
      <c r="BO3" s="269"/>
      <c r="BP3" s="270"/>
      <c r="BQ3" s="302"/>
    </row>
    <row r="4" spans="5:122">
      <c r="E4" s="547" t="s">
        <v>518</v>
      </c>
      <c r="W4" s="187" t="s">
        <v>611</v>
      </c>
      <c r="AA4" s="546" t="str">
        <f ca="1">_xll.RtUpdate("IDN",Y5:Y11,AA5,AC5,,RTMODE_RATES)</f>
        <v>Updated at 10:13:26</v>
      </c>
      <c r="AH4" s="136"/>
      <c r="AJ4" s="549"/>
      <c r="AT4" s="152"/>
      <c r="AU4" s="271" t="s">
        <v>31</v>
      </c>
      <c r="AV4" s="261"/>
      <c r="AW4" s="261"/>
      <c r="AX4" s="261"/>
      <c r="AY4" s="261"/>
      <c r="AZ4" s="261"/>
      <c r="BA4" s="268"/>
      <c r="BB4" s="268"/>
      <c r="BC4" s="943">
        <f>Today</f>
        <v>40729</v>
      </c>
      <c r="BD4" s="943"/>
      <c r="BE4" s="267"/>
      <c r="BF4" s="267"/>
      <c r="BG4" s="271"/>
      <c r="BH4" s="94"/>
      <c r="BI4" s="94"/>
      <c r="BJ4" s="94"/>
      <c r="BK4" s="94"/>
      <c r="BL4" s="94"/>
      <c r="BM4" s="268"/>
      <c r="BN4" s="268"/>
      <c r="BO4" s="268"/>
      <c r="BP4" s="270"/>
      <c r="BQ4" s="303"/>
      <c r="CE4" t="s">
        <v>274</v>
      </c>
      <c r="CG4" s="603" t="s">
        <v>533</v>
      </c>
      <c r="CI4" s="573" t="str">
        <f>PPP_string(PPP_Global,CM4)</f>
        <v>FRQ:30m</v>
      </c>
      <c r="CM4" s="253" t="s">
        <v>359</v>
      </c>
      <c r="DI4" s="137" t="s">
        <v>582</v>
      </c>
    </row>
    <row r="5" spans="5:122">
      <c r="W5" s="251" t="s">
        <v>6</v>
      </c>
      <c r="Y5" s="573" t="s">
        <v>601</v>
      </c>
      <c r="AA5" s="573" t="s">
        <v>208</v>
      </c>
      <c r="AC5" s="257">
        <v>2.5</v>
      </c>
      <c r="AE5" s="135"/>
      <c r="AF5" s="248">
        <f t="shared" ref="AF5:AF11" si="0">IF(ISNUMBER(AE5),AE5,AVERAGE(AC5:AD5))</f>
        <v>2.5</v>
      </c>
      <c r="AH5" s="136"/>
      <c r="AI5" s="187" t="s">
        <v>612</v>
      </c>
      <c r="AJ5" s="549"/>
      <c r="AM5" s="546" t="str">
        <f ca="1">_xll.RtUpdate("IDN",AK6:AK11,AM6,AO6,,RTMODE_RATES)</f>
        <v>Updated at 10:13:26</v>
      </c>
      <c r="AQ5" s="452" t="s">
        <v>613</v>
      </c>
      <c r="AR5" s="282"/>
      <c r="AT5" s="152"/>
      <c r="AU5" s="149"/>
      <c r="AV5" s="261"/>
      <c r="AW5" s="261"/>
      <c r="AX5" s="261"/>
      <c r="AY5" s="236" t="s">
        <v>273</v>
      </c>
      <c r="AZ5" s="261"/>
      <c r="BA5" s="268"/>
      <c r="BB5" s="268"/>
      <c r="BC5" s="268"/>
      <c r="BD5" s="269"/>
      <c r="BE5" s="267"/>
      <c r="BF5" s="267"/>
      <c r="BG5" s="271"/>
      <c r="BH5" s="94"/>
      <c r="BI5" s="94"/>
      <c r="BJ5" s="94"/>
      <c r="BK5" s="94"/>
      <c r="BL5" s="94"/>
      <c r="BM5" s="268"/>
      <c r="BN5" s="268"/>
      <c r="BO5" s="268"/>
      <c r="BP5" s="270"/>
      <c r="BQ5" s="303"/>
    </row>
    <row r="6" spans="5:122">
      <c r="E6" s="547" t="s">
        <v>595</v>
      </c>
      <c r="G6" s="828" t="str">
        <f>"NBB"&amp;$BO$6</f>
        <v>NBBc1</v>
      </c>
      <c r="I6" s="547" t="s">
        <v>515</v>
      </c>
      <c r="K6" s="547" t="str">
        <f ca="1">_xll.RtUpdate("IDN",G6:G7,"EXPIRE DATE",L6,,RTMODE_RATES)</f>
        <v>Updated at 10:13:26</v>
      </c>
      <c r="L6" s="574" t="s">
        <v>888</v>
      </c>
      <c r="M6" s="593" t="s">
        <v>554</v>
      </c>
      <c r="O6" s="578" t="str">
        <f>IF(ISNUMBER(L6),"LIVE","DELAYED")</f>
        <v>DELAYED</v>
      </c>
      <c r="W6" s="251" t="s">
        <v>0</v>
      </c>
      <c r="Y6" s="573" t="str">
        <f t="shared" ref="Y6:Y11" si="1">"NZD"&amp;W6&amp;"FSR="</f>
        <v>NZD1MFSR=</v>
      </c>
      <c r="AC6" s="257">
        <v>2.6549999999999998</v>
      </c>
      <c r="AE6" s="135"/>
      <c r="AF6" s="248">
        <f t="shared" si="0"/>
        <v>2.6549999999999998</v>
      </c>
      <c r="AH6" s="136"/>
      <c r="AI6" s="251" t="s">
        <v>0</v>
      </c>
      <c r="AJ6" s="549"/>
      <c r="AK6" s="573" t="str">
        <f t="shared" ref="AK6:AK11" si="2">"NZ"&amp;AI6&amp;"BBFIX="</f>
        <v>NZ1MBBFIX=</v>
      </c>
      <c r="AM6" s="573" t="s">
        <v>208</v>
      </c>
      <c r="AO6" s="596">
        <v>2.66</v>
      </c>
      <c r="AQ6" s="605" t="s">
        <v>614</v>
      </c>
      <c r="AR6" s="606">
        <v>4.0449999999999999</v>
      </c>
      <c r="AT6" s="152"/>
      <c r="AU6" s="271" t="s">
        <v>112</v>
      </c>
      <c r="AV6" s="261"/>
      <c r="AW6" s="261"/>
      <c r="AX6" s="261"/>
      <c r="AY6" s="148" t="str">
        <f>PPP_string(PPP_Global,BC6)</f>
        <v>FRQ:1m</v>
      </c>
      <c r="AZ6" s="261"/>
      <c r="BA6" s="268"/>
      <c r="BB6" s="268"/>
      <c r="BC6" s="259" t="s">
        <v>268</v>
      </c>
      <c r="BD6" s="269"/>
      <c r="BE6" s="267"/>
      <c r="BF6" s="267"/>
      <c r="BG6" s="271" t="s">
        <v>637</v>
      </c>
      <c r="BH6" s="94"/>
      <c r="BI6" s="94"/>
      <c r="BJ6" s="94"/>
      <c r="BK6" s="94"/>
      <c r="BL6" s="94"/>
      <c r="BM6" s="268"/>
      <c r="BN6" s="272" t="s">
        <v>596</v>
      </c>
      <c r="BO6" s="259" t="s">
        <v>108</v>
      </c>
      <c r="BP6" s="270"/>
      <c r="BQ6" s="303"/>
    </row>
    <row r="7" spans="5:122">
      <c r="G7" s="828" t="str">
        <f>"/NBB"&amp;$BO$6</f>
        <v>/NBBc1</v>
      </c>
      <c r="I7" s="547" t="s">
        <v>516</v>
      </c>
      <c r="L7" s="574">
        <v>40800</v>
      </c>
      <c r="O7" s="593" t="s">
        <v>78</v>
      </c>
      <c r="P7" s="582" t="s">
        <v>78</v>
      </c>
      <c r="W7" s="251" t="s">
        <v>1</v>
      </c>
      <c r="Y7" s="573" t="str">
        <f t="shared" si="1"/>
        <v>NZD2MFSR=</v>
      </c>
      <c r="AC7" s="257">
        <v>2.6975000000000002</v>
      </c>
      <c r="AE7" s="135"/>
      <c r="AF7" s="248">
        <f t="shared" si="0"/>
        <v>2.6975000000000002</v>
      </c>
      <c r="AH7" s="136"/>
      <c r="AI7" s="251" t="s">
        <v>1</v>
      </c>
      <c r="AJ7" s="549"/>
      <c r="AK7" s="573" t="str">
        <f t="shared" si="2"/>
        <v>NZ2MBBFIX=</v>
      </c>
      <c r="AO7" s="596">
        <v>2.7</v>
      </c>
      <c r="AQ7" s="605" t="s">
        <v>615</v>
      </c>
      <c r="AR7" s="606">
        <v>4.74</v>
      </c>
      <c r="AT7" s="155"/>
      <c r="AU7" s="156"/>
      <c r="AV7" s="273"/>
      <c r="AW7" s="273"/>
      <c r="AX7" s="273"/>
      <c r="AY7" s="273"/>
      <c r="AZ7" s="273"/>
      <c r="BA7" s="274"/>
      <c r="BB7" s="274"/>
      <c r="BC7" s="274"/>
      <c r="BD7" s="275"/>
      <c r="BE7" s="156"/>
      <c r="BF7" s="156"/>
      <c r="BG7" s="156"/>
      <c r="BH7" s="104"/>
      <c r="BI7" s="104"/>
      <c r="BJ7" s="104"/>
      <c r="BK7" s="104"/>
      <c r="BL7" s="104"/>
      <c r="BM7" s="274"/>
      <c r="BN7" s="274"/>
      <c r="BO7" s="275"/>
      <c r="BP7" s="276"/>
      <c r="BQ7" s="277"/>
      <c r="CE7" s="187" t="s">
        <v>206</v>
      </c>
    </row>
    <row r="8" spans="5:122">
      <c r="O8" s="593" t="s">
        <v>78</v>
      </c>
      <c r="W8" s="251" t="s">
        <v>2</v>
      </c>
      <c r="Y8" s="573" t="str">
        <f t="shared" si="1"/>
        <v>NZD3MFSR=</v>
      </c>
      <c r="AC8" s="257">
        <v>2.7349999999999999</v>
      </c>
      <c r="AE8" s="135"/>
      <c r="AF8" s="248">
        <f t="shared" si="0"/>
        <v>2.7349999999999999</v>
      </c>
      <c r="AH8" s="136"/>
      <c r="AI8" s="251" t="s">
        <v>2</v>
      </c>
      <c r="AJ8" s="549"/>
      <c r="AK8" s="573" t="str">
        <f t="shared" si="2"/>
        <v>NZ3MBBFIX=</v>
      </c>
      <c r="AO8" s="596">
        <v>2.71</v>
      </c>
      <c r="AQ8" s="605" t="s">
        <v>616</v>
      </c>
      <c r="AR8" s="606">
        <v>4.96</v>
      </c>
      <c r="AT8" s="136"/>
      <c r="AV8" s="261"/>
      <c r="AW8" s="261"/>
      <c r="AX8" s="261"/>
      <c r="AY8" s="261"/>
      <c r="AZ8" s="261"/>
      <c r="BF8" s="136"/>
      <c r="BH8" s="549"/>
      <c r="BI8" s="549"/>
      <c r="BJ8" s="549"/>
      <c r="BK8" s="549"/>
      <c r="BL8" s="549"/>
      <c r="CG8" s="547" t="str">
        <f ca="1">_xll.RtUpdate("IDN",CG9:CG15,CI9:CI10,CK9,,RTMODE_VOLS)</f>
        <v>Updated at 10:13:26</v>
      </c>
      <c r="CK8" s="604" t="s">
        <v>207</v>
      </c>
      <c r="CL8" s="604" t="s">
        <v>205</v>
      </c>
      <c r="CM8" s="604" t="s">
        <v>209</v>
      </c>
      <c r="CN8" s="282" t="s">
        <v>20</v>
      </c>
    </row>
    <row r="9" spans="5:122">
      <c r="M9" s="594"/>
      <c r="N9" s="594"/>
      <c r="W9" s="251" t="s">
        <v>3</v>
      </c>
      <c r="Y9" s="573" t="str">
        <f t="shared" si="1"/>
        <v>NZD4MFSR=</v>
      </c>
      <c r="AC9" s="257">
        <v>2.7800000000000002</v>
      </c>
      <c r="AE9" s="135"/>
      <c r="AF9" s="248">
        <f t="shared" si="0"/>
        <v>2.7800000000000002</v>
      </c>
      <c r="AH9" s="136"/>
      <c r="AI9" s="251" t="s">
        <v>3</v>
      </c>
      <c r="AJ9" s="549"/>
      <c r="AK9" s="573" t="str">
        <f t="shared" si="2"/>
        <v>NZ4MBBFIX=</v>
      </c>
      <c r="AO9" s="596">
        <v>2.71143</v>
      </c>
      <c r="AQ9" s="605" t="s">
        <v>617</v>
      </c>
      <c r="AR9" s="606">
        <v>5.1599999999999993</v>
      </c>
      <c r="AT9" s="136"/>
      <c r="AU9" s="187" t="s">
        <v>32</v>
      </c>
      <c r="AV9" s="261"/>
      <c r="AX9" s="261"/>
      <c r="AY9" s="543" t="str">
        <f ca="1">_xll.RtUpdate("IDN",AW10:AW15,AY10:AY11,BA10,,RTMODE_RATES)</f>
        <v>Updated at 10:13:26</v>
      </c>
      <c r="AZ9" s="261"/>
      <c r="BF9" s="136"/>
      <c r="BG9" s="187" t="s">
        <v>35</v>
      </c>
      <c r="BH9" s="549"/>
      <c r="BJ9" s="549"/>
      <c r="BK9" s="544" t="str">
        <f ca="1">_xll.RtUpdate("IDN",BI10:BI21,BK10:BK11,BM10,,RTMODE_RATES)</f>
        <v>Updated at 10:13:26</v>
      </c>
      <c r="BL9" s="549"/>
      <c r="CE9" s="251" t="s">
        <v>25</v>
      </c>
      <c r="CF9" s="601">
        <v>1</v>
      </c>
      <c r="CG9" s="573" t="str">
        <f t="shared" ref="CG9:CG15" si="3">"NZ"&amp;CE9&amp;"CATM=ICAA"</f>
        <v>NZ1YCATM=ICAA</v>
      </c>
      <c r="CI9" s="573" t="s">
        <v>81</v>
      </c>
      <c r="CK9" s="254">
        <v>2.92</v>
      </c>
      <c r="CL9" s="254">
        <v>17.87</v>
      </c>
      <c r="CM9" s="259"/>
      <c r="CN9" s="256">
        <f t="shared" ref="CN9:CN15" si="4">IF(ISNUMBER(CM9),CM9,CL9)</f>
        <v>17.87</v>
      </c>
    </row>
    <row r="10" spans="5:122">
      <c r="W10" s="251" t="s">
        <v>4</v>
      </c>
      <c r="Y10" s="573" t="str">
        <f t="shared" si="1"/>
        <v>NZD5MFSR=</v>
      </c>
      <c r="AC10" s="257">
        <v>2.8524999999999996</v>
      </c>
      <c r="AE10" s="135"/>
      <c r="AF10" s="248">
        <f t="shared" si="0"/>
        <v>2.8524999999999996</v>
      </c>
      <c r="AH10" s="136"/>
      <c r="AI10" s="251" t="s">
        <v>4</v>
      </c>
      <c r="AJ10" s="549"/>
      <c r="AK10" s="573" t="str">
        <f t="shared" si="2"/>
        <v>NZ5MBBFIX=</v>
      </c>
      <c r="AO10" s="596">
        <v>2.72</v>
      </c>
      <c r="AQ10" s="605" t="s">
        <v>618</v>
      </c>
      <c r="AR10" s="606">
        <v>0</v>
      </c>
      <c r="AT10" s="136"/>
      <c r="AU10" s="251" t="s">
        <v>184</v>
      </c>
      <c r="AV10" s="261"/>
      <c r="AW10" s="262" t="str">
        <f t="shared" ref="AW10:AW15" si="5">"NZD"&amp;AU10&amp;"F=ICAA"</f>
        <v>NZD1X4F=ICAA</v>
      </c>
      <c r="AX10" s="261"/>
      <c r="AY10" s="262" t="s">
        <v>43</v>
      </c>
      <c r="AZ10" s="261"/>
      <c r="BA10" s="254">
        <v>2.62</v>
      </c>
      <c r="BB10" s="254">
        <v>2.72</v>
      </c>
      <c r="BC10" s="259"/>
      <c r="BD10" s="247">
        <f t="shared" ref="BD10:BD15" si="6">IF(ISNUMBER(BC10),BC10,AVERAGE(BA10:BB10))</f>
        <v>2.67</v>
      </c>
      <c r="BF10" s="136"/>
      <c r="BG10" s="251" t="s">
        <v>0</v>
      </c>
      <c r="BH10" s="549"/>
      <c r="BI10" s="595" t="str">
        <f t="shared" ref="BI10:BI21" si="7">"NZD"&amp;BG10&amp;"OIS=ICAP"</f>
        <v>NZD1MOIS=ICAP</v>
      </c>
      <c r="BJ10" s="549"/>
      <c r="BK10" s="595" t="s">
        <v>43</v>
      </c>
      <c r="BL10" s="549"/>
      <c r="BM10" s="254">
        <v>2.4949999999999997</v>
      </c>
      <c r="BN10" s="254">
        <v>2.5049999999999999</v>
      </c>
      <c r="BO10" s="253"/>
      <c r="BP10" s="256">
        <f t="shared" ref="BP10:BP21" si="8">IF(ISNUMBER(BO10),BO10,(BM10+BN10)/COUNTIF(BM10:BN10,"&lt;&gt;0"))</f>
        <v>2.5</v>
      </c>
      <c r="CE10" s="251" t="s">
        <v>26</v>
      </c>
      <c r="CF10" s="601">
        <v>2</v>
      </c>
      <c r="CG10" s="573" t="str">
        <f t="shared" si="3"/>
        <v>NZ2YCATM=ICAA</v>
      </c>
      <c r="CI10" s="573" t="s">
        <v>121</v>
      </c>
      <c r="CK10" s="254">
        <v>3.4</v>
      </c>
      <c r="CL10" s="254">
        <v>23.91</v>
      </c>
      <c r="CM10" s="259"/>
      <c r="CN10" s="256">
        <f t="shared" si="4"/>
        <v>23.91</v>
      </c>
    </row>
    <row r="11" spans="5:122">
      <c r="E11" s="547" t="s">
        <v>519</v>
      </c>
      <c r="W11" s="251" t="s">
        <v>5</v>
      </c>
      <c r="Y11" s="573" t="str">
        <f t="shared" si="1"/>
        <v>NZD6MFSR=</v>
      </c>
      <c r="AC11" s="257">
        <v>2.9149999999999996</v>
      </c>
      <c r="AE11" s="135"/>
      <c r="AF11" s="248">
        <f t="shared" si="0"/>
        <v>2.9149999999999996</v>
      </c>
      <c r="AH11" s="136"/>
      <c r="AI11" s="251" t="s">
        <v>5</v>
      </c>
      <c r="AJ11" s="549"/>
      <c r="AK11" s="573" t="str">
        <f t="shared" si="2"/>
        <v>NZ6MBBFIX=</v>
      </c>
      <c r="AO11" s="596">
        <v>2.72</v>
      </c>
      <c r="AQ11" s="600"/>
      <c r="AR11" s="280"/>
      <c r="AT11" s="136"/>
      <c r="AU11" s="251" t="s">
        <v>185</v>
      </c>
      <c r="AV11" s="261"/>
      <c r="AW11" s="262" t="str">
        <f t="shared" si="5"/>
        <v>NZD2X5F=ICAA</v>
      </c>
      <c r="AX11" s="261"/>
      <c r="AY11" s="262" t="s">
        <v>44</v>
      </c>
      <c r="AZ11" s="261"/>
      <c r="BA11" s="254">
        <v>2.63</v>
      </c>
      <c r="BB11" s="254">
        <v>2.73</v>
      </c>
      <c r="BC11" s="259"/>
      <c r="BD11" s="247">
        <f t="shared" si="6"/>
        <v>2.6799999999999997</v>
      </c>
      <c r="BF11" s="136"/>
      <c r="BG11" s="251" t="s">
        <v>1</v>
      </c>
      <c r="BH11" s="549"/>
      <c r="BI11" s="595" t="str">
        <f t="shared" si="7"/>
        <v>NZD2MOIS=ICAP</v>
      </c>
      <c r="BJ11" s="549"/>
      <c r="BK11" s="595" t="s">
        <v>44</v>
      </c>
      <c r="BL11" s="549"/>
      <c r="BM11" s="254">
        <v>2.4949999999999997</v>
      </c>
      <c r="BN11" s="254">
        <v>2.5049999999999999</v>
      </c>
      <c r="BO11" s="253"/>
      <c r="BP11" s="256">
        <f t="shared" si="8"/>
        <v>2.5</v>
      </c>
      <c r="CE11" s="251" t="s">
        <v>7</v>
      </c>
      <c r="CF11" s="601">
        <v>3</v>
      </c>
      <c r="CG11" s="573" t="str">
        <f t="shared" si="3"/>
        <v>NZ3YCATM=ICAA</v>
      </c>
      <c r="CK11" s="254">
        <v>3.82</v>
      </c>
      <c r="CL11" s="254">
        <v>22.67</v>
      </c>
      <c r="CM11" s="259"/>
      <c r="CN11" s="256">
        <f t="shared" si="4"/>
        <v>22.67</v>
      </c>
    </row>
    <row r="12" spans="5:122">
      <c r="L12" s="570" t="s">
        <v>523</v>
      </c>
      <c r="Q12" s="570" t="s">
        <v>524</v>
      </c>
      <c r="AH12" s="136"/>
      <c r="AT12" s="136"/>
      <c r="AU12" s="251" t="s">
        <v>186</v>
      </c>
      <c r="AV12" s="261"/>
      <c r="AW12" s="262" t="str">
        <f t="shared" si="5"/>
        <v>NZD3X6F=ICAA</v>
      </c>
      <c r="AX12" s="261"/>
      <c r="AY12" s="261"/>
      <c r="AZ12" s="261"/>
      <c r="BA12" s="254">
        <v>2.69</v>
      </c>
      <c r="BB12" s="254">
        <v>2.79</v>
      </c>
      <c r="BC12" s="259"/>
      <c r="BD12" s="247">
        <f t="shared" si="6"/>
        <v>2.74</v>
      </c>
      <c r="BF12" s="136"/>
      <c r="BG12" s="251" t="s">
        <v>2</v>
      </c>
      <c r="BH12" s="549"/>
      <c r="BI12" s="595" t="str">
        <f t="shared" si="7"/>
        <v>NZD3MOIS=ICAP</v>
      </c>
      <c r="BJ12" s="549"/>
      <c r="BK12" s="549"/>
      <c r="BL12" s="549"/>
      <c r="BM12" s="254">
        <v>2.5</v>
      </c>
      <c r="BN12" s="254">
        <v>2.5129999999999999</v>
      </c>
      <c r="BO12" s="253"/>
      <c r="BP12" s="256">
        <f t="shared" si="8"/>
        <v>2.5065</v>
      </c>
      <c r="CE12" s="251" t="s">
        <v>8</v>
      </c>
      <c r="CF12" s="601">
        <v>4</v>
      </c>
      <c r="CG12" s="573" t="str">
        <f t="shared" si="3"/>
        <v>NZ4YCATM=ICAA</v>
      </c>
      <c r="CK12" s="254">
        <v>4.1499999999999995</v>
      </c>
      <c r="CL12" s="254">
        <v>21.04</v>
      </c>
      <c r="CM12" s="259"/>
      <c r="CN12" s="256">
        <f t="shared" si="4"/>
        <v>21.04</v>
      </c>
    </row>
    <row r="13" spans="5:122">
      <c r="E13" s="547" t="s">
        <v>596</v>
      </c>
      <c r="F13" s="547" t="str">
        <f>_xll.qFuturesDateToCode(IF(O6="LIVE",L6,L7))</f>
        <v>U1</v>
      </c>
      <c r="G13" s="828" t="str">
        <f t="array" ref="G13:G16">IF($O$6="DELAYED","/","") &amp; "NBB" &amp; F13:F16</f>
        <v>/NBBU1</v>
      </c>
      <c r="I13" s="573" t="s">
        <v>45</v>
      </c>
      <c r="K13" s="547" t="str">
        <f ca="1">_xll.RtUpdate("IDN",G13:G16,I13:I16,L13,,RTMODE_RATES)</f>
        <v>Updated at 10:20:11</v>
      </c>
      <c r="L13" s="574">
        <v>40800</v>
      </c>
      <c r="M13" s="581">
        <v>97.31</v>
      </c>
      <c r="N13" s="581">
        <v>97.32</v>
      </c>
      <c r="O13" s="581">
        <v>97.31</v>
      </c>
      <c r="Q13" s="574">
        <v>40800</v>
      </c>
      <c r="R13" s="580">
        <v>97.31</v>
      </c>
      <c r="S13" s="580">
        <v>97.32</v>
      </c>
      <c r="T13" s="580">
        <v>97.31</v>
      </c>
      <c r="AH13" s="136"/>
      <c r="AJ13" s="549"/>
      <c r="AT13" s="136"/>
      <c r="AU13" s="251" t="s">
        <v>187</v>
      </c>
      <c r="AV13" s="261"/>
      <c r="AW13" s="262" t="str">
        <f t="shared" si="5"/>
        <v>NZD4X7F=ICAA</v>
      </c>
      <c r="AX13" s="261"/>
      <c r="AZ13" s="261"/>
      <c r="BA13" s="254">
        <v>2.77</v>
      </c>
      <c r="BB13" s="254">
        <v>2.8699999999999997</v>
      </c>
      <c r="BC13" s="259"/>
      <c r="BD13" s="247">
        <f t="shared" si="6"/>
        <v>2.82</v>
      </c>
      <c r="BF13" s="136"/>
      <c r="BG13" s="251" t="s">
        <v>3</v>
      </c>
      <c r="BH13" s="549"/>
      <c r="BI13" s="595" t="str">
        <f t="shared" si="7"/>
        <v>NZD4MOIS=ICAP</v>
      </c>
      <c r="BJ13" s="549"/>
      <c r="BK13" s="549"/>
      <c r="BL13" s="549"/>
      <c r="BM13" s="254">
        <v>2.4979999999999998</v>
      </c>
      <c r="BN13" s="254">
        <v>2.5119999999999996</v>
      </c>
      <c r="BO13" s="253"/>
      <c r="BP13" s="256">
        <f t="shared" si="8"/>
        <v>2.5049999999999999</v>
      </c>
      <c r="CE13" s="251" t="s">
        <v>9</v>
      </c>
      <c r="CF13" s="601">
        <v>5</v>
      </c>
      <c r="CG13" s="573" t="str">
        <f t="shared" si="3"/>
        <v>NZ5YCATM=ICAA</v>
      </c>
      <c r="CK13" s="254">
        <v>4.4400000000000004</v>
      </c>
      <c r="CL13" s="254">
        <v>19.57</v>
      </c>
      <c r="CM13" s="259"/>
      <c r="CN13" s="256">
        <f t="shared" si="4"/>
        <v>19.57</v>
      </c>
    </row>
    <row r="14" spans="5:122">
      <c r="F14" s="547" t="str">
        <f>_xll.qFuturesDateToCode(_xll.qFuturesCodeToDate(F13,Today)+92)</f>
        <v>Z1</v>
      </c>
      <c r="G14" s="828" t="str">
        <v>/NBBZ1</v>
      </c>
      <c r="I14" s="573" t="s">
        <v>43</v>
      </c>
      <c r="L14" s="574">
        <v>40891</v>
      </c>
      <c r="M14" s="581">
        <v>97.09</v>
      </c>
      <c r="N14" s="581">
        <v>97.1</v>
      </c>
      <c r="O14" s="581">
        <v>97.1</v>
      </c>
      <c r="Q14" s="574">
        <v>40891</v>
      </c>
      <c r="R14" s="580">
        <v>97.09</v>
      </c>
      <c r="S14" s="580">
        <v>97.1</v>
      </c>
      <c r="T14" s="580">
        <v>97.1</v>
      </c>
      <c r="W14" s="187" t="s">
        <v>597</v>
      </c>
      <c r="AD14" s="258" t="str">
        <f>IF(O6="DELAYED","DELAYED","")</f>
        <v>DELAYED</v>
      </c>
      <c r="AF14" s="252" t="s">
        <v>20</v>
      </c>
      <c r="AH14" s="136"/>
      <c r="AI14" s="187" t="s">
        <v>531</v>
      </c>
      <c r="AJ14" s="549"/>
      <c r="AQ14" s="281" t="s">
        <v>277</v>
      </c>
      <c r="AR14" s="282" t="s">
        <v>278</v>
      </c>
      <c r="AT14" s="136"/>
      <c r="AU14" s="251" t="s">
        <v>188</v>
      </c>
      <c r="AV14" s="261"/>
      <c r="AW14" s="262" t="str">
        <f t="shared" si="5"/>
        <v>NZD5X8F=ICAA</v>
      </c>
      <c r="AX14" s="261"/>
      <c r="AY14" s="261"/>
      <c r="AZ14" s="261"/>
      <c r="BA14" s="254">
        <v>2.84</v>
      </c>
      <c r="BB14" s="254">
        <v>2.94</v>
      </c>
      <c r="BC14" s="259"/>
      <c r="BD14" s="247">
        <f t="shared" si="6"/>
        <v>2.8899999999999997</v>
      </c>
      <c r="BF14" s="136"/>
      <c r="BG14" s="251" t="s">
        <v>4</v>
      </c>
      <c r="BH14" s="549"/>
      <c r="BI14" s="595" t="str">
        <f t="shared" si="7"/>
        <v>NZD5MOIS=ICAP</v>
      </c>
      <c r="BJ14" s="549"/>
      <c r="BK14" s="549"/>
      <c r="BL14" s="549"/>
      <c r="BM14" s="254">
        <v>2.5049999999999999</v>
      </c>
      <c r="BN14" s="254">
        <v>2.5149999999999997</v>
      </c>
      <c r="BO14" s="253"/>
      <c r="BP14" s="256">
        <f t="shared" si="8"/>
        <v>2.5099999999999998</v>
      </c>
      <c r="CE14" s="251" t="s">
        <v>11</v>
      </c>
      <c r="CF14" s="601">
        <v>7</v>
      </c>
      <c r="CG14" s="573" t="str">
        <f t="shared" si="3"/>
        <v>NZ7YCATM=ICAA</v>
      </c>
      <c r="CK14" s="254">
        <v>4.8599999999999994</v>
      </c>
      <c r="CL14" s="254">
        <v>17.350000000000001</v>
      </c>
      <c r="CM14" s="259"/>
      <c r="CN14" s="256">
        <f t="shared" si="4"/>
        <v>17.350000000000001</v>
      </c>
    </row>
    <row r="15" spans="5:122">
      <c r="F15" s="547" t="str">
        <f>_xll.qFuturesDateToCode(_xll.qFuturesCodeToDate(F14,Today)+92)</f>
        <v>H2</v>
      </c>
      <c r="G15" s="828" t="str">
        <v>/NBBH2</v>
      </c>
      <c r="I15" s="573" t="s">
        <v>44</v>
      </c>
      <c r="L15" s="574">
        <v>40982</v>
      </c>
      <c r="M15" s="581">
        <v>96.79</v>
      </c>
      <c r="N15" s="581">
        <v>96.8</v>
      </c>
      <c r="O15" s="581">
        <v>96.8</v>
      </c>
      <c r="Q15" s="574">
        <v>40982</v>
      </c>
      <c r="R15" s="580">
        <v>96.79</v>
      </c>
      <c r="S15" s="580">
        <v>96.8</v>
      </c>
      <c r="T15" s="580">
        <v>96.8</v>
      </c>
      <c r="W15" s="251" t="str">
        <f t="array" ref="W15:W18">F13:F16</f>
        <v>U1</v>
      </c>
      <c r="AC15" s="266">
        <f t="array" ref="AC15:AD15">IF(AND(R13&lt;&gt;0,S13&lt;&gt;0),R13:S13,T13)</f>
        <v>97.31</v>
      </c>
      <c r="AD15" s="266">
        <v>97.32</v>
      </c>
      <c r="AE15" s="135"/>
      <c r="AF15" s="248">
        <f t="shared" ref="AF15:AF18" si="9">IF(ISNUMBER(AE15),AE15,AVERAGEIF(AC15:AD15,"&lt;&gt;0"))</f>
        <v>97.314999999999998</v>
      </c>
      <c r="AH15" s="136"/>
      <c r="AI15" s="251" t="str">
        <f>W15</f>
        <v>U1</v>
      </c>
      <c r="AJ15" s="549"/>
      <c r="AO15" s="259"/>
      <c r="AP15" s="278">
        <f>IF(ISNUMBER(AO15),AO15,_xll.qFuturesConvexityAdjustment(AF15,Today,Q13,$CN$9*AQ15%,"SFE"))</f>
        <v>4.3429353642654434E-3</v>
      </c>
      <c r="AQ15" s="248">
        <f t="shared" ref="AQ15:AQ18" si="10">100-AF15</f>
        <v>2.6850000000000023</v>
      </c>
      <c r="AR15" s="248">
        <f t="shared" ref="AR15:AR18" si="11">AQ15-AP15%</f>
        <v>2.6849565706463596</v>
      </c>
      <c r="AT15" s="136"/>
      <c r="AU15" s="251" t="s">
        <v>189</v>
      </c>
      <c r="AV15" s="261"/>
      <c r="AW15" s="262" t="str">
        <f t="shared" si="5"/>
        <v>NZD6X9F=ICAA</v>
      </c>
      <c r="AX15" s="261"/>
      <c r="AZ15" s="261"/>
      <c r="BA15" s="254">
        <v>2.9299999999999997</v>
      </c>
      <c r="BB15" s="254">
        <v>3.03</v>
      </c>
      <c r="BC15" s="259"/>
      <c r="BD15" s="247">
        <f t="shared" si="6"/>
        <v>2.9799999999999995</v>
      </c>
      <c r="BF15" s="136"/>
      <c r="BG15" s="251" t="s">
        <v>5</v>
      </c>
      <c r="BH15" s="549"/>
      <c r="BI15" s="595" t="str">
        <f t="shared" si="7"/>
        <v>NZD6MOIS=ICAP</v>
      </c>
      <c r="BJ15" s="549"/>
      <c r="BK15" s="549"/>
      <c r="BL15" s="549"/>
      <c r="BM15" s="254">
        <v>2.5369999999999999</v>
      </c>
      <c r="BN15" s="254">
        <v>2.5549999999999997</v>
      </c>
      <c r="BO15" s="253"/>
      <c r="BP15" s="256">
        <f t="shared" si="8"/>
        <v>2.5459999999999998</v>
      </c>
      <c r="CE15" s="251" t="s">
        <v>14</v>
      </c>
      <c r="CF15" s="601">
        <v>10</v>
      </c>
      <c r="CG15" s="573" t="str">
        <f t="shared" si="3"/>
        <v>NZ10YCATM=ICAA</v>
      </c>
      <c r="CK15" s="254">
        <v>5.22</v>
      </c>
      <c r="CL15" s="254">
        <v>15.55</v>
      </c>
      <c r="CM15" s="259"/>
      <c r="CN15" s="256">
        <f t="shared" si="4"/>
        <v>15.55</v>
      </c>
    </row>
    <row r="16" spans="5:122">
      <c r="F16" s="547" t="str">
        <f>_xll.qFuturesDateToCode(_xll.qFuturesCodeToDate(F15,Today)+92)</f>
        <v>M2</v>
      </c>
      <c r="G16" s="828" t="str">
        <v>/NBBM2</v>
      </c>
      <c r="I16" s="573" t="s">
        <v>522</v>
      </c>
      <c r="L16" s="574">
        <v>41073</v>
      </c>
      <c r="M16" s="581">
        <v>96.5</v>
      </c>
      <c r="N16" s="581">
        <v>96.53</v>
      </c>
      <c r="O16" s="581">
        <v>96.52</v>
      </c>
      <c r="Q16" s="574">
        <v>41073</v>
      </c>
      <c r="R16" s="580">
        <v>96.5</v>
      </c>
      <c r="S16" s="580">
        <v>96.53</v>
      </c>
      <c r="T16" s="580">
        <v>96.52</v>
      </c>
      <c r="W16" s="251" t="str">
        <v>Z1</v>
      </c>
      <c r="AC16" s="266">
        <f t="array" ref="AC16:AD16">IF(AND(R14&lt;&gt;0,S14&lt;&gt;0),R14:S14,T14-T13+AF15)</f>
        <v>97.09</v>
      </c>
      <c r="AD16" s="266">
        <v>97.1</v>
      </c>
      <c r="AE16" s="135"/>
      <c r="AF16" s="248">
        <f t="shared" si="9"/>
        <v>97.094999999999999</v>
      </c>
      <c r="AH16" s="136"/>
      <c r="AI16" s="251" t="str">
        <f t="shared" ref="AI16:AI18" si="12">W16</f>
        <v>Z1</v>
      </c>
      <c r="AJ16" s="549"/>
      <c r="AO16" s="259"/>
      <c r="AP16" s="278">
        <f>IF(ISNUMBER(AO16),AO16,_xll.qFuturesConvexityAdjustment(AF16,Today,Q14,$CN$9*AQ16%,"SFE"))</f>
        <v>2.6284176576352181E-2</v>
      </c>
      <c r="AQ16" s="248">
        <f t="shared" si="10"/>
        <v>2.9050000000000011</v>
      </c>
      <c r="AR16" s="248">
        <f t="shared" si="11"/>
        <v>2.9047371582342376</v>
      </c>
      <c r="AT16" s="136"/>
      <c r="BF16" s="136"/>
      <c r="BG16" s="251" t="s">
        <v>110</v>
      </c>
      <c r="BH16" s="549"/>
      <c r="BI16" s="595" t="str">
        <f t="shared" si="7"/>
        <v>NZD7MOIS=ICAP</v>
      </c>
      <c r="BJ16" s="549"/>
      <c r="BK16" s="549"/>
      <c r="BL16" s="549"/>
      <c r="BM16" s="254">
        <v>2.5449999999999999</v>
      </c>
      <c r="BN16" s="254">
        <v>2.5749999999999997</v>
      </c>
      <c r="BO16" s="253"/>
      <c r="BP16" s="256">
        <f t="shared" si="8"/>
        <v>2.5599999999999996</v>
      </c>
    </row>
    <row r="17" spans="5:68">
      <c r="W17" s="251" t="str">
        <v>H2</v>
      </c>
      <c r="AC17" s="266">
        <f t="array" ref="AC17:AD17">IF(AND(R15&lt;&gt;0,S15&lt;&gt;0),R15:S15,T15-T14+AF16)</f>
        <v>96.79</v>
      </c>
      <c r="AD17" s="266">
        <v>96.8</v>
      </c>
      <c r="AE17" s="135"/>
      <c r="AF17" s="248">
        <f t="shared" si="9"/>
        <v>96.795000000000002</v>
      </c>
      <c r="AH17" s="136"/>
      <c r="AI17" s="251" t="str">
        <f t="shared" si="12"/>
        <v>H2</v>
      </c>
      <c r="AJ17" s="549"/>
      <c r="AO17" s="259"/>
      <c r="AP17" s="278">
        <f>IF(ISNUMBER(AO17),AO17,_xll.qFuturesConvexityAdjustment(AF17,Today,Q15,$CN$9*AQ17%,"SFE"))</f>
        <v>7.7509173915046858E-2</v>
      </c>
      <c r="AQ17" s="248">
        <f t="shared" si="10"/>
        <v>3.2049999999999983</v>
      </c>
      <c r="AR17" s="248">
        <f t="shared" si="11"/>
        <v>3.2042249082608478</v>
      </c>
      <c r="AT17" s="136"/>
      <c r="BF17" s="136"/>
      <c r="BG17" s="251" t="s">
        <v>111</v>
      </c>
      <c r="BH17" s="549"/>
      <c r="BI17" s="595" t="str">
        <f t="shared" si="7"/>
        <v>NZD8MOIS=ICAP</v>
      </c>
      <c r="BJ17" s="549"/>
      <c r="BK17" s="549"/>
      <c r="BL17" s="549"/>
      <c r="BM17" s="254">
        <v>2.58</v>
      </c>
      <c r="BN17" s="254">
        <v>2.61</v>
      </c>
      <c r="BO17" s="253"/>
      <c r="BP17" s="256">
        <f t="shared" si="8"/>
        <v>2.5949999999999998</v>
      </c>
    </row>
    <row r="18" spans="5:68">
      <c r="W18" s="251" t="str">
        <v>M2</v>
      </c>
      <c r="AC18" s="266">
        <f t="array" ref="AC18:AD18">IF(AND(R16&lt;&gt;0,S16&lt;&gt;0),R16:S16,T16-T15+AF17)</f>
        <v>96.5</v>
      </c>
      <c r="AD18" s="266">
        <v>96.53</v>
      </c>
      <c r="AE18" s="135"/>
      <c r="AF18" s="248">
        <f t="shared" si="9"/>
        <v>96.515000000000001</v>
      </c>
      <c r="AH18" s="136"/>
      <c r="AI18" s="251" t="str">
        <f t="shared" si="12"/>
        <v>M2</v>
      </c>
      <c r="AJ18" s="549"/>
      <c r="AO18" s="259"/>
      <c r="AP18" s="278">
        <f>IF(ISNUMBER(AO18),AO18,_xll.qFuturesConvexityAdjustment(AF18,Today,Q16,$CN$9*AQ18%,"SFE"))</f>
        <v>0.16828462620046558</v>
      </c>
      <c r="AQ18" s="248">
        <f t="shared" si="10"/>
        <v>3.4849999999999994</v>
      </c>
      <c r="AR18" s="248">
        <f t="shared" si="11"/>
        <v>3.4833171537379948</v>
      </c>
      <c r="AT18" s="136"/>
      <c r="BF18" s="136"/>
      <c r="BG18" s="251" t="s">
        <v>30</v>
      </c>
      <c r="BH18" s="549"/>
      <c r="BI18" s="595" t="str">
        <f t="shared" si="7"/>
        <v>NZD9MOIS=ICAP</v>
      </c>
      <c r="BJ18" s="549"/>
      <c r="BK18" s="549"/>
      <c r="BL18" s="549"/>
      <c r="BM18" s="254">
        <v>2.6319999999999997</v>
      </c>
      <c r="BN18" s="254">
        <v>2.657</v>
      </c>
      <c r="BO18" s="253"/>
      <c r="BP18" s="256">
        <f t="shared" si="8"/>
        <v>2.6444999999999999</v>
      </c>
    </row>
    <row r="19" spans="5:68">
      <c r="E19" s="547" t="s">
        <v>619</v>
      </c>
      <c r="AH19" s="136"/>
      <c r="AJ19" s="549"/>
      <c r="AT19" s="136"/>
      <c r="AV19" s="261"/>
      <c r="AW19" s="261"/>
      <c r="AX19" s="261"/>
      <c r="AY19" s="261"/>
      <c r="AZ19" s="261"/>
      <c r="BF19" s="136"/>
      <c r="BG19" s="251" t="s">
        <v>505</v>
      </c>
      <c r="BH19" s="549"/>
      <c r="BI19" s="595" t="str">
        <f t="shared" si="7"/>
        <v>NZD10MOIS=ICAP</v>
      </c>
      <c r="BJ19" s="549"/>
      <c r="BK19" s="549"/>
      <c r="BL19" s="549"/>
      <c r="BM19" s="254">
        <v>2.66</v>
      </c>
      <c r="BN19" s="254">
        <v>2.69</v>
      </c>
      <c r="BO19" s="253"/>
      <c r="BP19" s="256">
        <f t="shared" si="8"/>
        <v>2.6749999999999998</v>
      </c>
    </row>
    <row r="20" spans="5:68">
      <c r="G20" s="828" t="str">
        <f t="shared" ref="G20:G24" si="13">"NZG"&amp;AQ6&amp;"=ICAA"</f>
        <v>NZG1111=ICAA</v>
      </c>
      <c r="I20" s="573" t="s">
        <v>81</v>
      </c>
      <c r="K20" s="547" t="str">
        <f ca="1">_xll.RtUpdate("IDN",G20:G24,I20,AR6,,RTMODE_RATES)</f>
        <v>Updated at 10:13:26</v>
      </c>
      <c r="AH20" s="136"/>
      <c r="AT20" s="136"/>
      <c r="AV20" s="261"/>
      <c r="AW20" s="261"/>
      <c r="AX20" s="261"/>
      <c r="AY20" s="261"/>
      <c r="AZ20" s="261"/>
      <c r="BF20" s="136"/>
      <c r="BG20" s="251" t="s">
        <v>506</v>
      </c>
      <c r="BH20" s="549"/>
      <c r="BI20" s="595" t="str">
        <f t="shared" si="7"/>
        <v>NZD11MOIS=ICAP</v>
      </c>
      <c r="BJ20" s="549"/>
      <c r="BK20" s="549"/>
      <c r="BL20" s="549"/>
      <c r="BM20" s="254">
        <v>2.7050000000000001</v>
      </c>
      <c r="BN20" s="254">
        <v>2.7349999999999999</v>
      </c>
      <c r="BO20" s="253"/>
      <c r="BP20" s="256">
        <f t="shared" si="8"/>
        <v>2.7199999999999998</v>
      </c>
    </row>
    <row r="21" spans="5:68">
      <c r="G21" s="828" t="str">
        <f t="shared" si="13"/>
        <v>NZG0413=ICAA</v>
      </c>
      <c r="W21" s="187" t="s">
        <v>600</v>
      </c>
      <c r="AA21" s="546" t="str">
        <f ca="1">_xll.RtUpdate("IDN",Y22:Y34,AA22:AA23,AC22,,RTMODE_RATES)</f>
        <v>Updated at 10:13:26</v>
      </c>
      <c r="AH21" s="136"/>
      <c r="AI21" s="187" t="s">
        <v>621</v>
      </c>
      <c r="AJ21" s="549"/>
      <c r="AK21" s="547" t="s">
        <v>602</v>
      </c>
      <c r="AM21" s="546" t="str">
        <f ca="1">_xll.RtUpdate("IDN",AK21,AK22:AK28,AM22,,"LAY:VER " &amp; RTMODE_RATES)</f>
        <v>Updated at 10:13:26</v>
      </c>
      <c r="AT21" s="136"/>
      <c r="AU21" s="187" t="s">
        <v>622</v>
      </c>
      <c r="AV21" s="261"/>
      <c r="AW21" s="207" t="s">
        <v>602</v>
      </c>
      <c r="AX21" s="261"/>
      <c r="AY21" s="545" t="str">
        <f ca="1">_xll.RtUpdate("IDN",AW21,AW22:AW28,AY22,,"LAY:VER " &amp; RTMODE_RATES)</f>
        <v>Updated at 10:13:26</v>
      </c>
      <c r="AZ21" s="261"/>
      <c r="BF21" s="136"/>
      <c r="BG21" s="251" t="s">
        <v>25</v>
      </c>
      <c r="BH21" s="549"/>
      <c r="BI21" s="595" t="str">
        <f t="shared" si="7"/>
        <v>NZD1YOIS=ICAP</v>
      </c>
      <c r="BJ21" s="549"/>
      <c r="BL21" s="549"/>
      <c r="BM21" s="254">
        <v>2.75</v>
      </c>
      <c r="BN21" s="254">
        <v>2.7800000000000002</v>
      </c>
      <c r="BO21" s="253"/>
      <c r="BP21" s="256">
        <f t="shared" si="8"/>
        <v>2.7650000000000001</v>
      </c>
    </row>
    <row r="22" spans="5:68">
      <c r="G22" s="828" t="str">
        <f t="shared" si="13"/>
        <v>NZG0415=ICAA</v>
      </c>
      <c r="W22" s="251" t="s">
        <v>25</v>
      </c>
      <c r="Y22" s="573" t="str">
        <f t="shared" ref="Y22:Y34" si="14">"NZDSM3NB"&amp;W22&amp;"=ICAA"</f>
        <v>NZDSM3NB1Y=ICAA</v>
      </c>
      <c r="AA22" s="573" t="s">
        <v>44</v>
      </c>
      <c r="AC22" s="257">
        <v>2.9699999999999998</v>
      </c>
      <c r="AD22" s="257">
        <v>2.8899999999999997</v>
      </c>
      <c r="AE22" s="135"/>
      <c r="AF22" s="248">
        <f t="shared" ref="AF22:AF31" si="15">IF(ISNUMBER(AE22),AE22,AVERAGE(AC22:AD22))</f>
        <v>2.9299999999999997</v>
      </c>
      <c r="AH22" s="136"/>
      <c r="AI22" s="251" t="s">
        <v>25</v>
      </c>
      <c r="AJ22" s="549"/>
      <c r="AK22" s="573" t="s">
        <v>85</v>
      </c>
      <c r="AM22" s="580" t="s">
        <v>603</v>
      </c>
      <c r="AN22" s="547" t="str">
        <f t="array" ref="AN22:AN28">""</f>
        <v/>
      </c>
      <c r="AO22" s="599">
        <f t="shared" ref="AO22:AO28" si="16">MID(AM22,25,8)+0</f>
        <v>6</v>
      </c>
      <c r="AP22" s="599">
        <f t="shared" ref="AP22:AP28" si="17">MID(AM22,38,8)+0</f>
        <v>-2</v>
      </c>
      <c r="AQ22" s="135"/>
      <c r="AR22" s="256">
        <f t="shared" ref="AR22:AR28" si="18">IF(ISNUMBER(AQ22),AQ22,AVERAGE(AO22:AP22))</f>
        <v>2</v>
      </c>
      <c r="AT22" s="136"/>
      <c r="AU22" s="251" t="s">
        <v>25</v>
      </c>
      <c r="AV22" s="261"/>
      <c r="AW22" s="148" t="s">
        <v>85</v>
      </c>
      <c r="AX22" s="261"/>
      <c r="AY22" s="203" t="s">
        <v>603</v>
      </c>
      <c r="AZ22" s="261" t="str">
        <f t="array" ref="AZ22:AZ28">""</f>
        <v/>
      </c>
      <c r="BA22" s="599">
        <f t="shared" ref="BA22:BA28" si="19">MID(AY22,53,8)+0</f>
        <v>8</v>
      </c>
      <c r="BB22" s="599">
        <f t="shared" ref="BB22:BB28" si="20">MID(AY22,64,8)+0</f>
        <v>0</v>
      </c>
      <c r="BC22" s="259"/>
      <c r="BD22" s="256">
        <f t="shared" ref="BD22:BD28" si="21">IF(ISNUMBER(BC22),BC22,AVERAGE(BA22:BB22))</f>
        <v>4</v>
      </c>
      <c r="BF22" s="136"/>
    </row>
    <row r="23" spans="5:68">
      <c r="G23" s="828" t="str">
        <f t="shared" si="13"/>
        <v>NZG1217=ICAA</v>
      </c>
      <c r="W23" s="251" t="s">
        <v>26</v>
      </c>
      <c r="Y23" s="573" t="str">
        <f t="shared" si="14"/>
        <v>NZDSM3NB2Y=ICAA</v>
      </c>
      <c r="AA23" s="573" t="s">
        <v>43</v>
      </c>
      <c r="AC23" s="257">
        <v>3.4499999999999997</v>
      </c>
      <c r="AD23" s="257">
        <v>3.3699999999999997</v>
      </c>
      <c r="AE23" s="135"/>
      <c r="AF23" s="248">
        <f t="shared" si="15"/>
        <v>3.4099999999999997</v>
      </c>
      <c r="AH23" s="136"/>
      <c r="AI23" s="251" t="s">
        <v>26</v>
      </c>
      <c r="AJ23" s="549"/>
      <c r="AK23" s="573" t="s">
        <v>86</v>
      </c>
      <c r="AM23" s="580" t="s">
        <v>604</v>
      </c>
      <c r="AN23" s="547" t="str">
        <v/>
      </c>
      <c r="AO23" s="599">
        <f t="shared" si="16"/>
        <v>6</v>
      </c>
      <c r="AP23" s="599">
        <f t="shared" si="17"/>
        <v>-2</v>
      </c>
      <c r="AQ23" s="135"/>
      <c r="AR23" s="256">
        <f t="shared" si="18"/>
        <v>2</v>
      </c>
      <c r="AT23" s="136"/>
      <c r="AU23" s="251" t="s">
        <v>26</v>
      </c>
      <c r="AV23" s="261"/>
      <c r="AW23" s="148" t="s">
        <v>86</v>
      </c>
      <c r="AX23" s="261"/>
      <c r="AY23" s="203" t="s">
        <v>604</v>
      </c>
      <c r="AZ23" s="261" t="str">
        <v/>
      </c>
      <c r="BA23" s="599">
        <f t="shared" si="19"/>
        <v>8</v>
      </c>
      <c r="BB23" s="599">
        <f t="shared" si="20"/>
        <v>0</v>
      </c>
      <c r="BC23" s="259"/>
      <c r="BD23" s="256">
        <f t="shared" si="21"/>
        <v>4</v>
      </c>
      <c r="BF23" s="136"/>
    </row>
    <row r="24" spans="5:68">
      <c r="G24" s="828" t="str">
        <f t="shared" si="13"/>
        <v>NZG0216=ICAA</v>
      </c>
      <c r="W24" s="251" t="s">
        <v>7</v>
      </c>
      <c r="Y24" s="573" t="str">
        <f t="shared" si="14"/>
        <v>NZDSM3NB3Y=ICAA</v>
      </c>
      <c r="AC24" s="257">
        <v>3.8749999999999996</v>
      </c>
      <c r="AD24" s="257">
        <v>3.7949999999999999</v>
      </c>
      <c r="AE24" s="135"/>
      <c r="AF24" s="248">
        <f t="shared" si="15"/>
        <v>3.835</v>
      </c>
      <c r="AH24" s="136"/>
      <c r="AI24" s="251" t="s">
        <v>7</v>
      </c>
      <c r="AJ24" s="549"/>
      <c r="AK24" s="573" t="s">
        <v>87</v>
      </c>
      <c r="AM24" s="580" t="s">
        <v>605</v>
      </c>
      <c r="AN24" s="547" t="str">
        <v/>
      </c>
      <c r="AO24" s="599">
        <f t="shared" si="16"/>
        <v>6</v>
      </c>
      <c r="AP24" s="599">
        <f t="shared" si="17"/>
        <v>-2</v>
      </c>
      <c r="AQ24" s="135"/>
      <c r="AR24" s="256">
        <f t="shared" si="18"/>
        <v>2</v>
      </c>
      <c r="AT24" s="136"/>
      <c r="AU24" s="251" t="s">
        <v>7</v>
      </c>
      <c r="AV24" s="261"/>
      <c r="AW24" s="148" t="s">
        <v>87</v>
      </c>
      <c r="AX24" s="261"/>
      <c r="AY24" s="203" t="s">
        <v>605</v>
      </c>
      <c r="AZ24" s="261" t="str">
        <v/>
      </c>
      <c r="BA24" s="599">
        <f t="shared" si="19"/>
        <v>8</v>
      </c>
      <c r="BB24" s="599">
        <f t="shared" si="20"/>
        <v>0</v>
      </c>
      <c r="BC24" s="259"/>
      <c r="BD24" s="256">
        <f t="shared" si="21"/>
        <v>4</v>
      </c>
      <c r="BF24" s="136"/>
    </row>
    <row r="25" spans="5:68">
      <c r="W25" s="251" t="s">
        <v>8</v>
      </c>
      <c r="Y25" s="573" t="str">
        <f t="shared" si="14"/>
        <v>NZDSM3NB4Y=ICAA</v>
      </c>
      <c r="AC25" s="257">
        <v>4.2149999999999999</v>
      </c>
      <c r="AD25" s="257">
        <v>4.1349999999999998</v>
      </c>
      <c r="AE25" s="135"/>
      <c r="AF25" s="248">
        <f t="shared" si="15"/>
        <v>4.1749999999999998</v>
      </c>
      <c r="AH25" s="136"/>
      <c r="AI25" s="251" t="s">
        <v>8</v>
      </c>
      <c r="AJ25" s="549"/>
      <c r="AK25" s="573" t="s">
        <v>88</v>
      </c>
      <c r="AM25" s="580" t="s">
        <v>606</v>
      </c>
      <c r="AN25" s="547" t="str">
        <v/>
      </c>
      <c r="AO25" s="599">
        <f t="shared" si="16"/>
        <v>6</v>
      </c>
      <c r="AP25" s="599">
        <f t="shared" si="17"/>
        <v>-2</v>
      </c>
      <c r="AQ25" s="135"/>
      <c r="AR25" s="256">
        <f t="shared" si="18"/>
        <v>2</v>
      </c>
      <c r="AT25" s="136"/>
      <c r="AU25" s="251" t="s">
        <v>8</v>
      </c>
      <c r="AV25" s="261"/>
      <c r="AW25" s="148" t="s">
        <v>88</v>
      </c>
      <c r="AX25" s="261"/>
      <c r="AY25" s="264" t="s">
        <v>606</v>
      </c>
      <c r="AZ25" s="261" t="str">
        <v/>
      </c>
      <c r="BA25" s="599">
        <f t="shared" si="19"/>
        <v>8</v>
      </c>
      <c r="BB25" s="599">
        <f t="shared" si="20"/>
        <v>0</v>
      </c>
      <c r="BC25" s="259"/>
      <c r="BD25" s="256">
        <f t="shared" si="21"/>
        <v>4</v>
      </c>
      <c r="BF25" s="136"/>
    </row>
    <row r="26" spans="5:68">
      <c r="W26" s="251" t="s">
        <v>9</v>
      </c>
      <c r="Y26" s="573" t="str">
        <f t="shared" si="14"/>
        <v>NZDSM3NB5Y=ICAA</v>
      </c>
      <c r="AC26" s="257">
        <v>4.5049999999999999</v>
      </c>
      <c r="AD26" s="257">
        <v>4.4249999999999998</v>
      </c>
      <c r="AE26" s="135"/>
      <c r="AF26" s="248">
        <f t="shared" si="15"/>
        <v>4.4649999999999999</v>
      </c>
      <c r="AH26" s="136"/>
      <c r="AI26" s="251" t="s">
        <v>9</v>
      </c>
      <c r="AJ26" s="549"/>
      <c r="AK26" s="573" t="s">
        <v>89</v>
      </c>
      <c r="AM26" s="580" t="s">
        <v>607</v>
      </c>
      <c r="AN26" s="547" t="str">
        <v/>
      </c>
      <c r="AO26" s="599">
        <f t="shared" si="16"/>
        <v>6</v>
      </c>
      <c r="AP26" s="599">
        <f t="shared" si="17"/>
        <v>-2</v>
      </c>
      <c r="AQ26" s="135"/>
      <c r="AR26" s="256">
        <f t="shared" si="18"/>
        <v>2</v>
      </c>
      <c r="AT26" s="136"/>
      <c r="AU26" s="251" t="s">
        <v>9</v>
      </c>
      <c r="AV26" s="261"/>
      <c r="AW26" s="148" t="s">
        <v>89</v>
      </c>
      <c r="AX26" s="261"/>
      <c r="AY26" s="203" t="s">
        <v>607</v>
      </c>
      <c r="AZ26" s="261" t="str">
        <v/>
      </c>
      <c r="BA26" s="599">
        <f t="shared" si="19"/>
        <v>8</v>
      </c>
      <c r="BB26" s="599">
        <f t="shared" si="20"/>
        <v>0</v>
      </c>
      <c r="BC26" s="259"/>
      <c r="BD26" s="256">
        <f t="shared" si="21"/>
        <v>4</v>
      </c>
      <c r="BF26" s="136"/>
    </row>
    <row r="27" spans="5:68">
      <c r="W27" s="251" t="s">
        <v>10</v>
      </c>
      <c r="Y27" s="573" t="str">
        <f t="shared" si="14"/>
        <v>NZDSM3NB6Y=ICAA</v>
      </c>
      <c r="AC27" s="257">
        <v>4.7374999999999998</v>
      </c>
      <c r="AD27" s="257">
        <v>4.6574999999999989</v>
      </c>
      <c r="AE27" s="135"/>
      <c r="AF27" s="248">
        <f t="shared" si="15"/>
        <v>4.6974999999999998</v>
      </c>
      <c r="AH27" s="136"/>
      <c r="AI27" s="251" t="s">
        <v>11</v>
      </c>
      <c r="AJ27" s="549"/>
      <c r="AK27" s="573" t="s">
        <v>90</v>
      </c>
      <c r="AM27" s="580" t="s">
        <v>608</v>
      </c>
      <c r="AN27" s="547" t="str">
        <v/>
      </c>
      <c r="AO27" s="599">
        <f t="shared" si="16"/>
        <v>6</v>
      </c>
      <c r="AP27" s="599">
        <f t="shared" si="17"/>
        <v>-2</v>
      </c>
      <c r="AQ27" s="135"/>
      <c r="AR27" s="256">
        <f t="shared" si="18"/>
        <v>2</v>
      </c>
      <c r="AT27" s="136"/>
      <c r="AU27" s="251" t="s">
        <v>11</v>
      </c>
      <c r="AV27" s="261"/>
      <c r="AW27" s="148" t="s">
        <v>90</v>
      </c>
      <c r="AX27" s="261"/>
      <c r="AY27" s="203" t="s">
        <v>608</v>
      </c>
      <c r="AZ27" s="261" t="str">
        <v/>
      </c>
      <c r="BA27" s="599">
        <f t="shared" si="19"/>
        <v>8</v>
      </c>
      <c r="BB27" s="599">
        <f t="shared" si="20"/>
        <v>0</v>
      </c>
      <c r="BC27" s="259"/>
      <c r="BD27" s="256">
        <f t="shared" si="21"/>
        <v>4</v>
      </c>
      <c r="BF27" s="136"/>
    </row>
    <row r="28" spans="5:68">
      <c r="E28" s="547" t="s">
        <v>374</v>
      </c>
      <c r="G28" s="580">
        <v>1</v>
      </c>
      <c r="W28" s="251" t="s">
        <v>11</v>
      </c>
      <c r="Y28" s="573" t="str">
        <f t="shared" si="14"/>
        <v>NZDSM3NB7Y=ICAA</v>
      </c>
      <c r="AC28" s="257">
        <v>4.9249999999999998</v>
      </c>
      <c r="AD28" s="257">
        <v>4.8449999999999998</v>
      </c>
      <c r="AE28" s="135"/>
      <c r="AF28" s="248">
        <f t="shared" si="15"/>
        <v>4.8849999999999998</v>
      </c>
      <c r="AH28" s="136"/>
      <c r="AI28" s="251" t="s">
        <v>14</v>
      </c>
      <c r="AJ28" s="549"/>
      <c r="AK28" s="573" t="s">
        <v>91</v>
      </c>
      <c r="AM28" s="580" t="s">
        <v>609</v>
      </c>
      <c r="AN28" s="547" t="str">
        <v/>
      </c>
      <c r="AO28" s="599">
        <f t="shared" si="16"/>
        <v>6</v>
      </c>
      <c r="AP28" s="599">
        <f t="shared" si="17"/>
        <v>-2</v>
      </c>
      <c r="AQ28" s="135"/>
      <c r="AR28" s="256">
        <f t="shared" si="18"/>
        <v>2</v>
      </c>
      <c r="AT28" s="136"/>
      <c r="AU28" s="251" t="s">
        <v>14</v>
      </c>
      <c r="AV28" s="261"/>
      <c r="AW28" s="148" t="s">
        <v>91</v>
      </c>
      <c r="AX28" s="261"/>
      <c r="AY28" s="203" t="s">
        <v>609</v>
      </c>
      <c r="AZ28" s="261" t="str">
        <v/>
      </c>
      <c r="BA28" s="599">
        <f t="shared" si="19"/>
        <v>8</v>
      </c>
      <c r="BB28" s="599">
        <f t="shared" si="20"/>
        <v>0</v>
      </c>
      <c r="BC28" s="259"/>
      <c r="BD28" s="256">
        <f t="shared" si="21"/>
        <v>4</v>
      </c>
      <c r="BF28" s="136"/>
    </row>
    <row r="29" spans="5:68">
      <c r="W29" s="251" t="s">
        <v>12</v>
      </c>
      <c r="Y29" s="573" t="str">
        <f t="shared" si="14"/>
        <v>NZDSM3NB8Y=ICAA</v>
      </c>
      <c r="AC29" s="257">
        <v>5.08</v>
      </c>
      <c r="AD29" s="257">
        <v>5</v>
      </c>
      <c r="AE29" s="135"/>
      <c r="AF29" s="248">
        <f t="shared" si="15"/>
        <v>5.04</v>
      </c>
      <c r="AH29" s="136"/>
      <c r="AT29" s="136"/>
      <c r="BF29" s="136"/>
    </row>
    <row r="30" spans="5:68">
      <c r="E30" s="547" t="s">
        <v>843</v>
      </c>
      <c r="G30" s="829" t="b">
        <v>1</v>
      </c>
      <c r="W30" s="251" t="s">
        <v>13</v>
      </c>
      <c r="Y30" s="573" t="str">
        <f t="shared" si="14"/>
        <v>NZDSM3NB9Y=ICAA</v>
      </c>
      <c r="AC30" s="257">
        <v>5.1949999999999994</v>
      </c>
      <c r="AD30" s="257">
        <v>5.1149999999999993</v>
      </c>
      <c r="AE30" s="135"/>
      <c r="AF30" s="248">
        <f t="shared" si="15"/>
        <v>5.1549999999999994</v>
      </c>
      <c r="AH30" s="136"/>
      <c r="AT30" s="136"/>
    </row>
    <row r="31" spans="5:68">
      <c r="W31" s="251" t="s">
        <v>14</v>
      </c>
      <c r="Y31" s="573" t="str">
        <f t="shared" si="14"/>
        <v>NZDSM3NB10Y=ICAA</v>
      </c>
      <c r="AC31" s="257">
        <v>5.2949999999999999</v>
      </c>
      <c r="AD31" s="257">
        <v>5.2149999999999999</v>
      </c>
      <c r="AE31" s="135"/>
      <c r="AF31" s="248">
        <f t="shared" si="15"/>
        <v>5.2549999999999999</v>
      </c>
      <c r="AH31" s="136"/>
      <c r="AT31" s="136"/>
    </row>
    <row r="32" spans="5:68">
      <c r="W32" s="251" t="s">
        <v>15</v>
      </c>
      <c r="Y32" s="573" t="str">
        <f t="shared" si="14"/>
        <v>NZDSM3NB12Y=ICAA</v>
      </c>
      <c r="AC32" s="257">
        <v>5.4350000000000005</v>
      </c>
      <c r="AD32" s="257">
        <v>5.3549999999999995</v>
      </c>
      <c r="AE32" s="135"/>
      <c r="AF32" s="248">
        <f t="shared" ref="AF32:AF34" si="22">IF(ISNUMBER(AE32),AE32,AVERAGE(AC32:AD32))</f>
        <v>5.3949999999999996</v>
      </c>
      <c r="AH32" s="136"/>
      <c r="AT32" s="136"/>
    </row>
    <row r="33" spans="23:64">
      <c r="W33" s="251" t="s">
        <v>16</v>
      </c>
      <c r="Y33" s="573" t="str">
        <f t="shared" si="14"/>
        <v>NZDSM3NB15Y=ICAA</v>
      </c>
      <c r="AC33" s="257">
        <v>5.4874999999999998</v>
      </c>
      <c r="AD33" s="257">
        <v>5.4074999999999998</v>
      </c>
      <c r="AE33" s="135"/>
      <c r="AF33" s="248">
        <f t="shared" si="22"/>
        <v>5.4474999999999998</v>
      </c>
      <c r="AH33" s="136"/>
      <c r="AT33" s="136"/>
    </row>
    <row r="34" spans="23:64">
      <c r="W34" s="251" t="s">
        <v>17</v>
      </c>
      <c r="Y34" s="573" t="str">
        <f t="shared" si="14"/>
        <v>NZDSM3NB20Y=ICAA</v>
      </c>
      <c r="AC34" s="257">
        <v>5.53</v>
      </c>
      <c r="AD34" s="257">
        <v>5.45</v>
      </c>
      <c r="AE34" s="135"/>
      <c r="AF34" s="248">
        <f t="shared" si="22"/>
        <v>5.49</v>
      </c>
      <c r="AH34" s="136"/>
      <c r="AT34" s="136"/>
      <c r="BH34" s="549"/>
      <c r="BI34" s="549"/>
      <c r="BJ34" s="549"/>
      <c r="BK34" s="549"/>
      <c r="BL34" s="549"/>
    </row>
    <row r="35" spans="23:64">
      <c r="AT35" s="136"/>
      <c r="BH35" s="549"/>
      <c r="BI35" s="549"/>
      <c r="BJ35" s="549"/>
      <c r="BK35" s="549"/>
      <c r="BL35" s="549"/>
    </row>
    <row r="36" spans="23:64">
      <c r="AT36" s="136"/>
      <c r="BH36" s="549"/>
      <c r="BI36" s="549"/>
      <c r="BJ36" s="549"/>
      <c r="BK36" s="549"/>
      <c r="BL36" s="549"/>
    </row>
    <row r="37" spans="23:64">
      <c r="AT37" s="136"/>
      <c r="AV37" s="261"/>
      <c r="AW37" s="261"/>
      <c r="AX37" s="261"/>
      <c r="AY37" s="261"/>
      <c r="AZ37" s="261"/>
      <c r="BH37" s="549"/>
      <c r="BI37" s="549"/>
      <c r="BJ37" s="549"/>
      <c r="BK37" s="549"/>
      <c r="BL37" s="549"/>
    </row>
    <row r="38" spans="23:64">
      <c r="AT38" s="136"/>
      <c r="AV38" s="261"/>
      <c r="AW38" s="261"/>
      <c r="AX38" s="261"/>
      <c r="AY38" s="261"/>
      <c r="AZ38" s="261"/>
      <c r="BH38" s="549"/>
      <c r="BI38" s="549"/>
      <c r="BJ38" s="549"/>
      <c r="BK38" s="549"/>
      <c r="BL38" s="549"/>
    </row>
    <row r="39" spans="23:64">
      <c r="AT39" s="136"/>
      <c r="AV39" s="261"/>
      <c r="AW39" s="261"/>
      <c r="AX39" s="261"/>
      <c r="AY39" s="261"/>
      <c r="AZ39" s="261"/>
      <c r="BH39" s="549"/>
      <c r="BI39" s="549"/>
      <c r="BJ39" s="549"/>
      <c r="BK39" s="549"/>
      <c r="BL39" s="549"/>
    </row>
    <row r="40" spans="23:64">
      <c r="AT40" s="136"/>
      <c r="AU40" s="187" t="s">
        <v>532</v>
      </c>
      <c r="AV40" s="261"/>
      <c r="AW40" s="261"/>
      <c r="AX40" s="261"/>
      <c r="AY40" s="261"/>
      <c r="AZ40" s="261"/>
      <c r="BH40" s="549"/>
      <c r="BI40" s="549"/>
      <c r="BJ40" s="549"/>
      <c r="BK40" s="549"/>
      <c r="BL40" s="549"/>
    </row>
    <row r="41" spans="23:64">
      <c r="AT41" s="136"/>
      <c r="AU41" s="137" t="s">
        <v>287</v>
      </c>
      <c r="BH41" s="549"/>
      <c r="BI41" s="549"/>
      <c r="BJ41" s="549"/>
      <c r="BK41" s="549"/>
      <c r="BL41" s="549"/>
    </row>
    <row r="42" spans="23:64">
      <c r="AT42" s="136"/>
      <c r="AU42" s="283" t="s">
        <v>583</v>
      </c>
      <c r="BA42" s="283"/>
      <c r="BC42" s="120" t="str">
        <f>_xll.qIRcurveZeroBankReval(AU42,"NZD",Today,AF5:AF8,AR15:AR18,AI15:AI18,_xll.qVectorMake(AF23:AF26,AF28,AF31,AF33:AF34))</f>
        <v>NZD.ZB.DISC|[Swap Pricer 1w.xlsm]NZ!$BC$42#764</v>
      </c>
      <c r="BH42" s="549"/>
      <c r="BI42" s="549"/>
      <c r="BJ42" s="549"/>
      <c r="BK42" s="549"/>
      <c r="BL42" s="549"/>
    </row>
    <row r="43" spans="23:64">
      <c r="AT43" s="136"/>
      <c r="AU43" s="283" t="s">
        <v>584</v>
      </c>
      <c r="BA43" s="283"/>
      <c r="BC43" s="283" t="str">
        <f>NZD.ZB.DISC</f>
        <v>NZD.ZB.DISC|[Swap Pricer 1w.xlsm]NZ!$BC$42#764</v>
      </c>
      <c r="BH43" s="549"/>
      <c r="BI43" s="549"/>
      <c r="BJ43" s="549"/>
      <c r="BK43" s="549"/>
      <c r="BL43" s="549"/>
    </row>
    <row r="44" spans="23:64">
      <c r="AT44" s="136"/>
      <c r="AU44" s="283" t="s">
        <v>585</v>
      </c>
      <c r="BA44" s="283"/>
      <c r="BC44" s="283" t="str">
        <f>NZD.ZB.DISC</f>
        <v>NZD.ZB.DISC|[Swap Pricer 1w.xlsm]NZ!$BC$42#764</v>
      </c>
      <c r="BH44" s="549"/>
      <c r="BI44" s="549"/>
      <c r="BJ44" s="549"/>
      <c r="BK44" s="549"/>
      <c r="BL44" s="549"/>
    </row>
    <row r="45" spans="23:64">
      <c r="AT45" s="136"/>
      <c r="AU45" s="283" t="s">
        <v>586</v>
      </c>
      <c r="BA45" s="283"/>
      <c r="BC45" s="283" t="str">
        <f>NZD.ZB.DISC</f>
        <v>NZD.ZB.DISC|[Swap Pricer 1w.xlsm]NZ!$BC$42#764</v>
      </c>
      <c r="BH45" s="549"/>
      <c r="BI45" s="549"/>
      <c r="BJ45" s="549"/>
      <c r="BK45" s="549"/>
      <c r="BL45" s="549"/>
    </row>
    <row r="46" spans="23:64">
      <c r="AT46" s="136"/>
      <c r="AU46" s="283" t="s">
        <v>587</v>
      </c>
      <c r="BA46" s="283"/>
      <c r="BC46" s="283" t="str">
        <f>NZD.ZB.DISC</f>
        <v>NZD.ZB.DISC|[Swap Pricer 1w.xlsm]NZ!$BC$42#764</v>
      </c>
      <c r="BH46" s="549"/>
      <c r="BI46" s="549"/>
      <c r="BJ46" s="549"/>
      <c r="BK46" s="549"/>
      <c r="BL46" s="549"/>
    </row>
    <row r="47" spans="23:64">
      <c r="AT47" s="136"/>
      <c r="AU47" s="283" t="s">
        <v>588</v>
      </c>
      <c r="BA47" s="283"/>
      <c r="BC47" s="283" t="str">
        <f>NZD.ZB.DISC</f>
        <v>NZD.ZB.DISC|[Swap Pricer 1w.xlsm]NZ!$BC$42#764</v>
      </c>
      <c r="BH47" s="549"/>
      <c r="BI47" s="549"/>
      <c r="BJ47" s="549"/>
      <c r="BK47" s="549"/>
      <c r="BL47" s="549"/>
    </row>
    <row r="48" spans="23:64">
      <c r="AT48" s="136"/>
      <c r="BH48" s="549"/>
      <c r="BI48" s="549"/>
      <c r="BJ48" s="549"/>
      <c r="BK48" s="549"/>
      <c r="BL48" s="549"/>
    </row>
    <row r="49" spans="46:55">
      <c r="AT49" s="136"/>
      <c r="AU49" s="540" t="s">
        <v>507</v>
      </c>
    </row>
    <row r="50" spans="46:55">
      <c r="AT50" s="136"/>
      <c r="AU50" t="s">
        <v>589</v>
      </c>
      <c r="BC50" s="283" t="str">
        <f>_xll.qIRcurveXCBasisReval("NZD.ZBX.DISC",NZD.ZB.DISC,"MARKET",FX!AW32:AW40,USD.ZB.DISC,FxcurveNZD)</f>
        <v>NZD.ZBX.DISC|[Swap Pricer 1w.xlsm]NZ!$BC$50#1123</v>
      </c>
    </row>
    <row r="51" spans="46:55">
      <c r="AT51" s="136"/>
      <c r="AU51" t="s">
        <v>590</v>
      </c>
      <c r="BC51" s="283" t="str">
        <f t="array" ref="BC51:BC55">BC43:BC47</f>
        <v>NZD.ZB.DISC|[Swap Pricer 1w.xlsm]NZ!$BC$42#764</v>
      </c>
    </row>
    <row r="52" spans="46:55">
      <c r="AT52" s="136"/>
      <c r="AU52" t="s">
        <v>591</v>
      </c>
      <c r="BC52" s="283" t="str">
        <v>NZD.ZB.DISC|[Swap Pricer 1w.xlsm]NZ!$BC$42#764</v>
      </c>
    </row>
    <row r="53" spans="46:55">
      <c r="AT53" s="136"/>
      <c r="AU53" t="s">
        <v>592</v>
      </c>
      <c r="BC53" s="283" t="str">
        <v>NZD.ZB.DISC|[Swap Pricer 1w.xlsm]NZ!$BC$42#764</v>
      </c>
    </row>
    <row r="54" spans="46:55">
      <c r="AT54" s="136"/>
      <c r="AU54" t="s">
        <v>593</v>
      </c>
      <c r="BC54" s="283" t="str">
        <v>NZD.ZB.DISC|[Swap Pricer 1w.xlsm]NZ!$BC$42#764</v>
      </c>
    </row>
    <row r="55" spans="46:55">
      <c r="AT55" s="136"/>
      <c r="AU55" t="s">
        <v>594</v>
      </c>
      <c r="BC55" s="283" t="str">
        <v>NZD.ZB.DISC|[Swap Pricer 1w.xlsm]NZ!$BC$42#764</v>
      </c>
    </row>
  </sheetData>
  <sheetProtection sheet="1" objects="1" scenarios="1" autoFilter="0" pivotTables="0"/>
  <mergeCells count="1">
    <mergeCell ref="BC4:BD4"/>
  </mergeCells>
  <conditionalFormatting sqref="CM9:CM15 BO10:BO21 BC22:BC28 AQ22:AQ28 AE22:AE34 AE5:AE11 BC10:BC15 AE15:AE18">
    <cfRule type="cellIs" dxfId="32" priority="2" operator="notEqual">
      <formula>""</formula>
    </cfRule>
  </conditionalFormatting>
  <conditionalFormatting sqref="CM4 BC6">
    <cfRule type="expression" dxfId="31" priority="1">
      <formula>PPP_Global&lt;&gt;"LOCAL"</formula>
    </cfRule>
  </conditionalFormatting>
  <dataValidations disablePrompts="1" count="1">
    <dataValidation type="list" allowBlank="1" showInputMessage="1" showErrorMessage="1" promptTitle="Reuters Update Frequency" prompt="Throttles the frequency of Reuters updates.  To SNAP more than once, switch to STOP and then back to SNAP again" sqref="CM4 BC6">
      <formula1>"5s,15s,30s,1m,30m,1h,STOP,SNAP"</formula1>
    </dataValidation>
  </dataValidations>
  <pageMargins left="0.7" right="0.7" top="0.75" bottom="0.75" header="0.3" footer="0.3"/>
  <pageSetup paperSize="9" orientation="portrait" horizontalDpi="300" verticalDpi="300" r:id="rId1"/>
  <legacyDrawing r:id="rId2"/>
</worksheet>
</file>

<file path=xl/worksheets/sheet8.xml><?xml version="1.0" encoding="utf-8"?>
<worksheet xmlns="http://schemas.openxmlformats.org/spreadsheetml/2006/main" xmlns:r="http://schemas.openxmlformats.org/officeDocument/2006/relationships">
  <sheetPr codeName="shtHS">
    <outlinePr showOutlineSymbols="0"/>
  </sheetPr>
  <dimension ref="A1:BI313"/>
  <sheetViews>
    <sheetView showGridLines="0" showRowColHeaders="0" showOutlineSymbols="0" workbookViewId="0">
      <pane xSplit="3" topLeftCell="D1" activePane="topRight" state="frozen"/>
      <selection pane="topRight" activeCell="H1" sqref="H1"/>
    </sheetView>
  </sheetViews>
  <sheetFormatPr defaultRowHeight="12.75" outlineLevelCol="1"/>
  <cols>
    <col min="1" max="1" width="1.7109375" style="838" customWidth="1"/>
    <col min="2" max="2" width="7.7109375" style="838" customWidth="1"/>
    <col min="3" max="3" width="1.7109375" style="838" customWidth="1"/>
    <col min="4" max="4" width="1.7109375" style="547" hidden="1" customWidth="1" outlineLevel="1"/>
    <col min="5" max="5" width="11.140625" style="547" hidden="1" customWidth="1" outlineLevel="1"/>
    <col min="6" max="6" width="9.140625" style="547" hidden="1" customWidth="1" outlineLevel="1"/>
    <col min="7" max="7" width="1.7109375" style="547" hidden="1" customWidth="1" outlineLevel="1"/>
    <col min="8" max="8" width="3.7109375" style="839" customWidth="1" collapsed="1"/>
    <col min="9" max="9" width="9.7109375" style="840" customWidth="1"/>
    <col min="10" max="10" width="9.28515625" style="775" bestFit="1" customWidth="1"/>
    <col min="11" max="11" width="9.140625" style="839"/>
    <col min="12" max="12" width="9.7109375" style="840" customWidth="1"/>
    <col min="13" max="19" width="7.7109375" style="841" customWidth="1"/>
    <col min="20" max="20" width="7.7109375" style="842" customWidth="1"/>
    <col min="21" max="21" width="9.140625" style="839"/>
    <col min="22" max="22" width="9.7109375" style="840" customWidth="1"/>
    <col min="23" max="30" width="7.7109375" style="842" customWidth="1"/>
    <col min="31" max="31" width="9.140625" style="839"/>
    <col min="32" max="32" width="9.7109375" style="840" customWidth="1"/>
    <col min="33" max="40" width="7.7109375" style="842" customWidth="1"/>
    <col min="41" max="41" width="9.140625" style="839"/>
    <col min="42" max="42" width="9.7109375" style="843" customWidth="1"/>
    <col min="43" max="50" width="7.7109375" style="842" customWidth="1"/>
    <col min="51" max="51" width="9.140625" style="839"/>
    <col min="52" max="52" width="9.7109375" style="840" customWidth="1"/>
    <col min="53" max="60" width="7.7109375" style="842" customWidth="1"/>
    <col min="61" max="16384" width="9.140625" style="839"/>
  </cols>
  <sheetData>
    <row r="1" spans="1:61" ht="0.95" customHeight="1"/>
    <row r="2" spans="1:61" ht="24.95" customHeight="1">
      <c r="I2" s="46" t="s">
        <v>375</v>
      </c>
      <c r="J2" s="845"/>
      <c r="K2" s="844"/>
      <c r="L2" s="846"/>
      <c r="M2" s="847"/>
      <c r="N2" s="847"/>
      <c r="O2" s="847"/>
      <c r="P2" s="847"/>
      <c r="Q2" s="847"/>
      <c r="R2" s="847"/>
      <c r="S2" s="847"/>
      <c r="T2" s="847"/>
      <c r="U2" s="847"/>
      <c r="V2" s="846"/>
      <c r="W2" s="847"/>
      <c r="X2" s="847"/>
      <c r="Y2" s="847"/>
      <c r="Z2" s="847"/>
      <c r="AA2" s="847"/>
      <c r="AB2" s="847"/>
      <c r="AC2" s="847"/>
      <c r="AD2" s="847"/>
      <c r="AE2" s="847"/>
      <c r="AF2" s="846"/>
      <c r="AG2" s="847"/>
      <c r="AH2" s="847"/>
      <c r="AI2" s="847"/>
      <c r="AJ2" s="847"/>
      <c r="AK2" s="847"/>
      <c r="AL2" s="847"/>
      <c r="AM2" s="847"/>
      <c r="AN2" s="847"/>
      <c r="AO2" s="847"/>
      <c r="AP2" s="848"/>
      <c r="AQ2" s="847"/>
      <c r="AR2" s="847"/>
      <c r="AS2" s="847"/>
      <c r="AT2" s="847"/>
      <c r="AU2" s="847"/>
      <c r="AV2" s="847"/>
      <c r="AW2" s="847"/>
      <c r="AX2" s="847"/>
      <c r="AY2" s="847"/>
      <c r="AZ2" s="846"/>
      <c r="BA2" s="847"/>
      <c r="BB2" s="847"/>
      <c r="BC2" s="847"/>
      <c r="BD2" s="847"/>
      <c r="BE2" s="847"/>
      <c r="BF2" s="847"/>
      <c r="BG2" s="847"/>
      <c r="BH2" s="847"/>
      <c r="BI2" s="847"/>
    </row>
    <row r="4" spans="1:61">
      <c r="E4" s="547" t="s">
        <v>843</v>
      </c>
      <c r="F4" s="866" t="b">
        <v>1</v>
      </c>
      <c r="I4" s="840" t="s">
        <v>690</v>
      </c>
    </row>
    <row r="6" spans="1:61">
      <c r="I6" s="840" t="s">
        <v>376</v>
      </c>
      <c r="L6" s="840" t="s">
        <v>685</v>
      </c>
      <c r="V6" s="840" t="s">
        <v>686</v>
      </c>
      <c r="AF6" s="840" t="s">
        <v>687</v>
      </c>
      <c r="AP6" s="843" t="s">
        <v>688</v>
      </c>
      <c r="AZ6" s="840" t="s">
        <v>689</v>
      </c>
    </row>
    <row r="8" spans="1:61">
      <c r="I8" s="840" t="str">
        <f ca="1">_xll.DeHistory(J11,"CVALUE",I9:J9,I13,,"EVENTS:20 SERVICE:IDN INTERVAL:M ","CTU:CHANGED LAY:HOR  SORT:ASC SOURCE:DBU RECALL:AUTO HEADER:NO DT:AD RECALL:1H")</f>
        <v>Fully retrieved at 10:13:26</v>
      </c>
      <c r="L8" s="849" t="str">
        <f ca="1">_xll.DeHistory(M11:T11,"LAST TRADE",L9:M9,L14,,"EVENTS:300 SERVICE:IDN INTERVAL:D ","CTU:CHANGED LAY:HOR  SORT:DESC SOURCE:DBU HEADER:NO TSREPEAT:NO RECALL:1H")</f>
        <v>Fully retrieved at 10:13:26</v>
      </c>
      <c r="M8" s="850"/>
      <c r="N8" s="851"/>
      <c r="P8" s="852" t="str">
        <f ca="1">_xll.RtUpdate("IDN",M11,"PRIMACT_1",M13)</f>
        <v>Updated at 10:13:26</v>
      </c>
      <c r="Q8" s="853"/>
      <c r="R8" s="853"/>
      <c r="V8" s="849" t="str">
        <f ca="1">_xll.DeHistory(W11:AD11,"LAST TRADE",V9:W9,V14,,"EVENTS:300 SERVICE:IDN INTERVAL:D ","CTU:CHANGED LAY:HOR  SORT:DESC SOURCE:DBU HEADER:NO TSREPEAT:NO RECALL:1H")</f>
        <v>Fully retrieved at 10:13:26</v>
      </c>
      <c r="W8" s="854"/>
      <c r="X8" s="854"/>
      <c r="Z8" s="852" t="str">
        <f ca="1">_xll.RtUpdate("IDN",W11:AD11,"LAST",W13,,"LAY:VER")</f>
        <v>Updated at 10:13:26</v>
      </c>
      <c r="AA8" s="855"/>
      <c r="AB8" s="855"/>
      <c r="AF8" s="849" t="str">
        <f ca="1">_xll.DeHistory(AG11:AN11,"LAST TRADE",AF9:AG9,AF14,,"EVENTS:300 SERVICE:IDN INTERVAL:D ","CTU:CHANGED LAY:HOR  SORT:DESC SOURCE:DBU HEADER:NO TSREPEAT:NO RECALL:1H")</f>
        <v>Fully retrieved at 10:13:26</v>
      </c>
      <c r="AG8" s="854"/>
      <c r="AH8" s="854"/>
      <c r="AJ8" s="852" t="str">
        <f ca="1">_xll.RtUpdate("IDN",AG11:AN11,"LAST",AG13,,"LAY:VER")</f>
        <v>Updated at 10:13:26</v>
      </c>
      <c r="AK8" s="855"/>
      <c r="AL8" s="855"/>
      <c r="AP8" s="849" t="str">
        <f ca="1">_xll.DeHistory(AQ11:AX11,"LAST TRADE",AP9:AQ9,AP14,,"EVENTS:300 SERVICE:IDN INTERVAL:D ","CTU:CHANGED LAY:HOR  SORT:DESC SOURCE:DBU HEADER:NO TSREPEAT:NO RECALL:1H")</f>
        <v>Fully retrieved at 10:13:26</v>
      </c>
      <c r="AQ8" s="854"/>
      <c r="AR8" s="854"/>
      <c r="AT8" s="852" t="str">
        <f ca="1">_xll.RtUpdate("IDN",AQ11:AX11,"LAST",AQ13,,"LAY:VER")</f>
        <v>Updated at 10:13:26</v>
      </c>
      <c r="AU8" s="855"/>
      <c r="AV8" s="855"/>
      <c r="AZ8" s="849" t="str">
        <f ca="1">_xll.DeHistory(BA11:BH11,"LAST TRADE",AZ9:BA9,AZ14,,"EVENTS:300 SERVICE:IDN INTERVAL:D ","CTU:CHANGED LAY:HOR  SORT:DESC SOURCE:DBU HEADER:NO TSREPEAT:NO RECALL:1H")</f>
        <v>Fully retrieved at 10:13:26</v>
      </c>
      <c r="BA8" s="854"/>
      <c r="BB8" s="854"/>
      <c r="BD8" s="852" t="str">
        <f ca="1">_xll.RtUpdate("IDN",BA11:BH11,"PRIMACT_1",BA13,,"LAY:VER")</f>
        <v>Updated at 10:13:26</v>
      </c>
      <c r="BE8" s="855"/>
      <c r="BF8" s="855"/>
    </row>
    <row r="9" spans="1:61">
      <c r="I9" s="840" t="s">
        <v>473</v>
      </c>
      <c r="J9" s="775" t="s">
        <v>476</v>
      </c>
      <c r="L9" s="856" t="s">
        <v>473</v>
      </c>
      <c r="M9" s="851" t="s">
        <v>474</v>
      </c>
      <c r="N9" s="851"/>
      <c r="P9" s="852" t="str">
        <f ca="1">_xll.RtUpdate("IDN",N11:T11,"LAST",N13,,"LAY:VER")</f>
        <v>Updated at 10:13:57</v>
      </c>
      <c r="Q9" s="853"/>
      <c r="R9" s="853"/>
      <c r="V9" s="856" t="s">
        <v>473</v>
      </c>
      <c r="W9" s="851" t="s">
        <v>474</v>
      </c>
      <c r="X9" s="854"/>
      <c r="Z9" s="852"/>
      <c r="AA9" s="855"/>
      <c r="AB9" s="855"/>
      <c r="AF9" s="856" t="s">
        <v>473</v>
      </c>
      <c r="AG9" s="851" t="s">
        <v>474</v>
      </c>
      <c r="AH9" s="854"/>
      <c r="AJ9" s="852"/>
      <c r="AK9" s="855"/>
      <c r="AL9" s="855"/>
      <c r="AP9" s="856" t="s">
        <v>473</v>
      </c>
      <c r="AQ9" s="851" t="s">
        <v>474</v>
      </c>
      <c r="AR9" s="854"/>
      <c r="AT9" s="852"/>
      <c r="AU9" s="855"/>
      <c r="AV9" s="855"/>
      <c r="AZ9" s="856" t="s">
        <v>473</v>
      </c>
      <c r="BA9" s="851" t="s">
        <v>474</v>
      </c>
      <c r="BB9" s="854"/>
      <c r="BD9" s="852"/>
      <c r="BE9" s="855"/>
      <c r="BF9" s="855"/>
    </row>
    <row r="10" spans="1:61">
      <c r="AZ10" s="843"/>
    </row>
    <row r="11" spans="1:61" s="747" customFormat="1">
      <c r="A11" s="857"/>
      <c r="B11" s="857"/>
      <c r="C11" s="857"/>
      <c r="D11" s="834"/>
      <c r="E11" s="834"/>
      <c r="F11" s="834"/>
      <c r="G11" s="834"/>
      <c r="I11" s="858"/>
      <c r="J11" s="472" t="s">
        <v>692</v>
      </c>
      <c r="L11" s="859"/>
      <c r="M11" s="860" t="s">
        <v>726</v>
      </c>
      <c r="N11" s="860" t="s">
        <v>694</v>
      </c>
      <c r="O11" s="860" t="s">
        <v>695</v>
      </c>
      <c r="P11" s="860" t="s">
        <v>696</v>
      </c>
      <c r="Q11" s="860" t="s">
        <v>697</v>
      </c>
      <c r="R11" s="860" t="s">
        <v>698</v>
      </c>
      <c r="S11" s="860" t="s">
        <v>699</v>
      </c>
      <c r="T11" s="860" t="s">
        <v>700</v>
      </c>
      <c r="V11" s="859"/>
      <c r="W11" s="860" t="s">
        <v>167</v>
      </c>
      <c r="X11" s="860" t="s">
        <v>168</v>
      </c>
      <c r="Y11" s="860" t="s">
        <v>169</v>
      </c>
      <c r="Z11" s="860" t="s">
        <v>170</v>
      </c>
      <c r="AA11" s="860" t="s">
        <v>171</v>
      </c>
      <c r="AB11" s="860" t="s">
        <v>172</v>
      </c>
      <c r="AC11" s="860" t="s">
        <v>173</v>
      </c>
      <c r="AD11" s="860" t="s">
        <v>701</v>
      </c>
      <c r="AF11" s="859"/>
      <c r="AG11" s="860" t="s">
        <v>493</v>
      </c>
      <c r="AH11" s="860" t="s">
        <v>709</v>
      </c>
      <c r="AI11" s="860" t="s">
        <v>710</v>
      </c>
      <c r="AJ11" s="860" t="s">
        <v>711</v>
      </c>
      <c r="AK11" s="860" t="s">
        <v>712</v>
      </c>
      <c r="AL11" s="860" t="s">
        <v>713</v>
      </c>
      <c r="AM11" s="860" t="s">
        <v>714</v>
      </c>
      <c r="AN11" s="860" t="s">
        <v>715</v>
      </c>
      <c r="AP11" s="859"/>
      <c r="AQ11" s="860" t="s">
        <v>539</v>
      </c>
      <c r="AR11" s="860" t="s">
        <v>702</v>
      </c>
      <c r="AS11" s="860" t="s">
        <v>703</v>
      </c>
      <c r="AT11" s="860" t="s">
        <v>704</v>
      </c>
      <c r="AU11" s="860" t="s">
        <v>705</v>
      </c>
      <c r="AV11" s="860" t="s">
        <v>706</v>
      </c>
      <c r="AW11" s="860" t="s">
        <v>707</v>
      </c>
      <c r="AX11" s="860" t="s">
        <v>708</v>
      </c>
      <c r="AZ11" s="859"/>
      <c r="BA11" s="860" t="s">
        <v>601</v>
      </c>
      <c r="BB11" s="860" t="s">
        <v>716</v>
      </c>
      <c r="BC11" s="860" t="s">
        <v>717</v>
      </c>
      <c r="BD11" s="860" t="s">
        <v>718</v>
      </c>
      <c r="BE11" s="860" t="s">
        <v>719</v>
      </c>
      <c r="BF11" s="860" t="s">
        <v>720</v>
      </c>
      <c r="BG11" s="860" t="s">
        <v>721</v>
      </c>
      <c r="BH11" s="860" t="s">
        <v>721</v>
      </c>
    </row>
    <row r="12" spans="1:61">
      <c r="J12" s="775" t="s">
        <v>693</v>
      </c>
      <c r="L12" s="840" t="s">
        <v>475</v>
      </c>
      <c r="M12" s="841" t="s">
        <v>6</v>
      </c>
      <c r="N12" s="841" t="s">
        <v>0</v>
      </c>
      <c r="O12" s="841" t="s">
        <v>1</v>
      </c>
      <c r="P12" s="841" t="s">
        <v>2</v>
      </c>
      <c r="Q12" s="841" t="s">
        <v>3</v>
      </c>
      <c r="R12" s="841" t="s">
        <v>4</v>
      </c>
      <c r="S12" s="841" t="s">
        <v>5</v>
      </c>
      <c r="T12" s="841" t="s">
        <v>373</v>
      </c>
      <c r="V12" s="840" t="s">
        <v>475</v>
      </c>
      <c r="W12" s="841" t="s">
        <v>6</v>
      </c>
      <c r="X12" s="841" t="s">
        <v>0</v>
      </c>
      <c r="Y12" s="841" t="s">
        <v>1</v>
      </c>
      <c r="Z12" s="841" t="s">
        <v>2</v>
      </c>
      <c r="AA12" s="841" t="s">
        <v>3</v>
      </c>
      <c r="AB12" s="841" t="s">
        <v>4</v>
      </c>
      <c r="AC12" s="841" t="s">
        <v>5</v>
      </c>
      <c r="AD12" s="841" t="s">
        <v>373</v>
      </c>
      <c r="AF12" s="840" t="s">
        <v>475</v>
      </c>
      <c r="AG12" s="841" t="s">
        <v>6</v>
      </c>
      <c r="AH12" s="841" t="s">
        <v>0</v>
      </c>
      <c r="AI12" s="841" t="s">
        <v>1</v>
      </c>
      <c r="AJ12" s="841" t="s">
        <v>2</v>
      </c>
      <c r="AK12" s="841" t="s">
        <v>3</v>
      </c>
      <c r="AL12" s="841" t="s">
        <v>4</v>
      </c>
      <c r="AM12" s="841" t="s">
        <v>5</v>
      </c>
      <c r="AN12" s="841" t="s">
        <v>373</v>
      </c>
      <c r="AP12" s="840" t="s">
        <v>475</v>
      </c>
      <c r="AQ12" s="841" t="s">
        <v>6</v>
      </c>
      <c r="AR12" s="841" t="s">
        <v>0</v>
      </c>
      <c r="AS12" s="841" t="s">
        <v>1</v>
      </c>
      <c r="AT12" s="841" t="s">
        <v>2</v>
      </c>
      <c r="AU12" s="841" t="s">
        <v>3</v>
      </c>
      <c r="AV12" s="841" t="s">
        <v>4</v>
      </c>
      <c r="AW12" s="841" t="s">
        <v>5</v>
      </c>
      <c r="AX12" s="841" t="s">
        <v>373</v>
      </c>
      <c r="AZ12" s="840" t="s">
        <v>475</v>
      </c>
      <c r="BA12" s="841" t="s">
        <v>6</v>
      </c>
      <c r="BB12" s="841" t="s">
        <v>0</v>
      </c>
      <c r="BC12" s="841" t="s">
        <v>1</v>
      </c>
      <c r="BD12" s="841" t="s">
        <v>2</v>
      </c>
      <c r="BE12" s="841" t="s">
        <v>3</v>
      </c>
      <c r="BF12" s="841" t="s">
        <v>4</v>
      </c>
      <c r="BG12" s="841" t="s">
        <v>5</v>
      </c>
      <c r="BH12" s="841" t="s">
        <v>373</v>
      </c>
    </row>
    <row r="13" spans="1:61">
      <c r="I13" s="861">
        <v>38898</v>
      </c>
      <c r="J13" s="862">
        <v>154.300003</v>
      </c>
      <c r="L13" s="863">
        <f>Today</f>
        <v>40729</v>
      </c>
      <c r="M13" s="864">
        <v>4.75</v>
      </c>
      <c r="N13" s="864">
        <v>4.8383000000000003</v>
      </c>
      <c r="O13" s="864">
        <v>4.9300000000000006</v>
      </c>
      <c r="P13" s="864">
        <v>4.95</v>
      </c>
      <c r="Q13" s="864">
        <v>4.9750000000000005</v>
      </c>
      <c r="R13" s="864">
        <v>4.9967000000000006</v>
      </c>
      <c r="S13" s="864">
        <v>5.0133000000000001</v>
      </c>
      <c r="T13" s="864">
        <v>5.0152000000000001</v>
      </c>
      <c r="V13" s="863">
        <f>Today</f>
        <v>40729</v>
      </c>
      <c r="W13" s="864">
        <v>0.1255</v>
      </c>
      <c r="X13" s="864">
        <v>0.18504999999999999</v>
      </c>
      <c r="Y13" s="864">
        <v>0.21675000000000003</v>
      </c>
      <c r="Z13" s="864">
        <v>0.24575000000000002</v>
      </c>
      <c r="AA13" s="864">
        <v>0.28725000000000001</v>
      </c>
      <c r="AB13" s="864">
        <v>0.34279999999999999</v>
      </c>
      <c r="AC13" s="864">
        <v>0.39724999999999999</v>
      </c>
      <c r="AD13" s="864">
        <v>0.73449999999999993</v>
      </c>
      <c r="AF13" s="863">
        <f>Today</f>
        <v>40729</v>
      </c>
      <c r="AG13" s="864">
        <v>0.84625000000000006</v>
      </c>
      <c r="AH13" s="864">
        <v>1.2943800000000001</v>
      </c>
      <c r="AI13" s="864">
        <v>1.3712500000000001</v>
      </c>
      <c r="AJ13" s="864">
        <v>1.5062500000000001</v>
      </c>
      <c r="AK13" s="864">
        <v>1.5774999999999999</v>
      </c>
      <c r="AL13" s="864">
        <v>1.6662500000000002</v>
      </c>
      <c r="AM13" s="864">
        <v>1.7674999999999998</v>
      </c>
      <c r="AN13" s="864">
        <v>2.1531300000000004</v>
      </c>
      <c r="AP13" s="863">
        <f>Today</f>
        <v>40729</v>
      </c>
      <c r="AQ13" s="864">
        <v>0.56563000000000008</v>
      </c>
      <c r="AR13" s="864">
        <v>0.62812999999999997</v>
      </c>
      <c r="AS13" s="864">
        <v>0.70187999999999995</v>
      </c>
      <c r="AT13" s="864">
        <v>0.82563000000000009</v>
      </c>
      <c r="AU13" s="864">
        <v>0.89812999999999998</v>
      </c>
      <c r="AV13" s="864">
        <v>1.0024999999999999</v>
      </c>
      <c r="AW13" s="864">
        <v>1.1043800000000001</v>
      </c>
      <c r="AX13" s="864">
        <v>1.5787500000000001</v>
      </c>
      <c r="AZ13" s="863">
        <f>Today</f>
        <v>40729</v>
      </c>
      <c r="BA13" s="864">
        <v>2.5</v>
      </c>
      <c r="BB13" s="864">
        <v>2.66</v>
      </c>
      <c r="BC13" s="864">
        <v>2.7</v>
      </c>
      <c r="BD13" s="864">
        <v>2.71</v>
      </c>
      <c r="BE13" s="864">
        <v>2.71143</v>
      </c>
      <c r="BF13" s="864">
        <v>2.72</v>
      </c>
      <c r="BG13" s="864">
        <v>2.72</v>
      </c>
      <c r="BH13" s="864">
        <v>2.72</v>
      </c>
    </row>
    <row r="14" spans="1:61">
      <c r="I14" s="861">
        <v>38990</v>
      </c>
      <c r="J14" s="862">
        <v>155.699997</v>
      </c>
      <c r="L14" s="861">
        <v>40728</v>
      </c>
      <c r="M14" s="865" t="s">
        <v>722</v>
      </c>
      <c r="N14" s="865">
        <v>4.82</v>
      </c>
      <c r="O14" s="865">
        <v>4.9400000000000004</v>
      </c>
      <c r="P14" s="865">
        <v>4.9683000000000002</v>
      </c>
      <c r="Q14" s="865">
        <v>4.9932999999999996</v>
      </c>
      <c r="R14" s="865">
        <v>5.0149999999999997</v>
      </c>
      <c r="S14" s="865">
        <v>5.04</v>
      </c>
      <c r="T14" s="865">
        <v>5.0639000000000003</v>
      </c>
      <c r="V14" s="861">
        <v>40728</v>
      </c>
      <c r="W14" s="865" t="s">
        <v>722</v>
      </c>
      <c r="X14" s="865" t="s">
        <v>722</v>
      </c>
      <c r="Y14" s="865" t="s">
        <v>722</v>
      </c>
      <c r="Z14" s="865" t="s">
        <v>722</v>
      </c>
      <c r="AA14" s="865" t="s">
        <v>722</v>
      </c>
      <c r="AB14" s="865" t="s">
        <v>722</v>
      </c>
      <c r="AC14" s="865" t="s">
        <v>722</v>
      </c>
      <c r="AD14" s="865">
        <v>0.73450000000000004</v>
      </c>
      <c r="AF14" s="861">
        <v>40728</v>
      </c>
      <c r="AG14" s="865">
        <v>0.84624999999999995</v>
      </c>
      <c r="AH14" s="865">
        <v>1.2943800000000001</v>
      </c>
      <c r="AI14" s="865">
        <v>1.3712500000000001</v>
      </c>
      <c r="AJ14" s="865">
        <v>1.5062500000000001</v>
      </c>
      <c r="AK14" s="865">
        <v>1.5774999999999999</v>
      </c>
      <c r="AL14" s="865">
        <v>1.66625</v>
      </c>
      <c r="AM14" s="865">
        <v>1.7675000000000001</v>
      </c>
      <c r="AN14" s="865">
        <v>2.15313</v>
      </c>
      <c r="AP14" s="861">
        <v>40728</v>
      </c>
      <c r="AQ14" s="865">
        <v>0.56562999999999997</v>
      </c>
      <c r="AR14" s="865" t="s">
        <v>722</v>
      </c>
      <c r="AS14" s="865" t="s">
        <v>722</v>
      </c>
      <c r="AT14" s="865" t="s">
        <v>722</v>
      </c>
      <c r="AU14" s="865" t="s">
        <v>722</v>
      </c>
      <c r="AV14" s="865" t="s">
        <v>722</v>
      </c>
      <c r="AW14" s="865" t="s">
        <v>722</v>
      </c>
      <c r="AX14" s="865">
        <v>1.5787500000000001</v>
      </c>
      <c r="AZ14" s="861">
        <v>40728</v>
      </c>
      <c r="BA14" s="865">
        <v>2.5</v>
      </c>
      <c r="BB14" s="865">
        <v>2.61</v>
      </c>
      <c r="BC14" s="865">
        <v>2.65</v>
      </c>
      <c r="BD14" s="865">
        <v>2.6462500000000002</v>
      </c>
      <c r="BE14" s="865">
        <v>2.66</v>
      </c>
      <c r="BF14" s="865" t="s">
        <v>722</v>
      </c>
      <c r="BG14" s="865">
        <v>2.67</v>
      </c>
      <c r="BH14" s="865">
        <v>2.67</v>
      </c>
    </row>
    <row r="15" spans="1:61">
      <c r="I15" s="861">
        <v>39082</v>
      </c>
      <c r="J15" s="862">
        <v>155.5</v>
      </c>
      <c r="L15" s="861">
        <v>40725</v>
      </c>
      <c r="M15" s="865">
        <v>4.75</v>
      </c>
      <c r="N15" s="865">
        <v>4.8282999999999996</v>
      </c>
      <c r="O15" s="865">
        <v>4.95</v>
      </c>
      <c r="P15" s="865">
        <v>4.9767000000000001</v>
      </c>
      <c r="Q15" s="865">
        <v>4.9983000000000004</v>
      </c>
      <c r="R15" s="865">
        <v>5.0183</v>
      </c>
      <c r="S15" s="865">
        <v>5.0449999999999999</v>
      </c>
      <c r="T15" s="865">
        <v>5.0284000000000004</v>
      </c>
      <c r="V15" s="861">
        <v>40725</v>
      </c>
      <c r="W15" s="865">
        <v>0.1255</v>
      </c>
      <c r="X15" s="865">
        <v>0.18504999999999999</v>
      </c>
      <c r="Y15" s="865">
        <v>0.21675</v>
      </c>
      <c r="Z15" s="865">
        <v>0.24575</v>
      </c>
      <c r="AA15" s="865">
        <v>0.28725000000000001</v>
      </c>
      <c r="AB15" s="865">
        <v>0.34279999999999999</v>
      </c>
      <c r="AC15" s="865">
        <v>0.39724999999999999</v>
      </c>
      <c r="AD15" s="865">
        <v>0.73399999999999999</v>
      </c>
      <c r="AF15" s="861">
        <v>40725</v>
      </c>
      <c r="AG15" s="865">
        <v>0.9</v>
      </c>
      <c r="AH15" s="865">
        <v>1.2906299999999999</v>
      </c>
      <c r="AI15" s="865">
        <v>1.36313</v>
      </c>
      <c r="AJ15" s="865">
        <v>1.49813</v>
      </c>
      <c r="AK15" s="865">
        <v>1.57063</v>
      </c>
      <c r="AL15" s="865">
        <v>1.6606300000000001</v>
      </c>
      <c r="AM15" s="865">
        <v>1.7645</v>
      </c>
      <c r="AN15" s="865">
        <v>2.1475</v>
      </c>
      <c r="AP15" s="861">
        <v>40725</v>
      </c>
      <c r="AQ15" s="865">
        <v>0.56813000000000002</v>
      </c>
      <c r="AR15" s="865">
        <v>0.62812999999999997</v>
      </c>
      <c r="AS15" s="865">
        <v>0.70187999999999995</v>
      </c>
      <c r="AT15" s="865">
        <v>0.82562999999999998</v>
      </c>
      <c r="AU15" s="865">
        <v>0.89812999999999998</v>
      </c>
      <c r="AV15" s="865">
        <v>1.0024999999999999</v>
      </c>
      <c r="AW15" s="865">
        <v>1.1043799999999999</v>
      </c>
      <c r="AX15" s="865">
        <v>1.5787500000000001</v>
      </c>
      <c r="AZ15" s="861">
        <v>40727</v>
      </c>
      <c r="BA15" s="865">
        <v>2.5</v>
      </c>
      <c r="BB15" s="865" t="s">
        <v>722</v>
      </c>
      <c r="BC15" s="865" t="s">
        <v>722</v>
      </c>
      <c r="BD15" s="865" t="s">
        <v>722</v>
      </c>
      <c r="BE15" s="865" t="s">
        <v>722</v>
      </c>
      <c r="BF15" s="865" t="s">
        <v>722</v>
      </c>
      <c r="BG15" s="865" t="s">
        <v>722</v>
      </c>
      <c r="BH15" s="865" t="s">
        <v>722</v>
      </c>
    </row>
    <row r="16" spans="1:61">
      <c r="I16" s="861">
        <v>39172</v>
      </c>
      <c r="J16" s="862">
        <v>155.60000600000001</v>
      </c>
      <c r="L16" s="861">
        <v>40724</v>
      </c>
      <c r="M16" s="865">
        <v>4.75</v>
      </c>
      <c r="N16" s="865">
        <v>4.9132999999999996</v>
      </c>
      <c r="O16" s="865">
        <v>4.9417</v>
      </c>
      <c r="P16" s="865">
        <v>5.0332999999999997</v>
      </c>
      <c r="Q16" s="865">
        <v>5.04</v>
      </c>
      <c r="R16" s="865">
        <v>5.0517000000000003</v>
      </c>
      <c r="S16" s="865">
        <v>5.07</v>
      </c>
      <c r="T16" s="865">
        <v>5.0087999999999999</v>
      </c>
      <c r="V16" s="861">
        <v>40724</v>
      </c>
      <c r="W16" s="865">
        <v>0.128</v>
      </c>
      <c r="X16" s="865">
        <v>0.18554999999999999</v>
      </c>
      <c r="Y16" s="865">
        <v>0.21725</v>
      </c>
      <c r="Z16" s="865">
        <v>0.24575</v>
      </c>
      <c r="AA16" s="865">
        <v>0.28725000000000001</v>
      </c>
      <c r="AB16" s="865">
        <v>0.34289999999999998</v>
      </c>
      <c r="AC16" s="865">
        <v>0.39774999999999999</v>
      </c>
      <c r="AD16" s="865">
        <v>0.73350000000000004</v>
      </c>
      <c r="AF16" s="861">
        <v>40724</v>
      </c>
      <c r="AG16" s="865">
        <v>1.78</v>
      </c>
      <c r="AH16" s="865">
        <v>1.28125</v>
      </c>
      <c r="AI16" s="865">
        <v>1.3568800000000001</v>
      </c>
      <c r="AJ16" s="865">
        <v>1.4906299999999999</v>
      </c>
      <c r="AK16" s="865">
        <v>1.56063</v>
      </c>
      <c r="AL16" s="865">
        <v>1.6512500000000001</v>
      </c>
      <c r="AM16" s="865">
        <v>1.75813</v>
      </c>
      <c r="AN16" s="865">
        <v>2.1375000000000002</v>
      </c>
      <c r="AP16" s="861">
        <v>40724</v>
      </c>
      <c r="AQ16" s="865">
        <v>0.67125000000000001</v>
      </c>
      <c r="AR16" s="865">
        <v>0.63093999999999995</v>
      </c>
      <c r="AS16" s="865">
        <v>0.70187999999999995</v>
      </c>
      <c r="AT16" s="865">
        <v>0.82562999999999998</v>
      </c>
      <c r="AU16" s="865">
        <v>0.89812999999999998</v>
      </c>
      <c r="AV16" s="865">
        <v>1.0024999999999999</v>
      </c>
      <c r="AW16" s="865">
        <v>1.1043799999999999</v>
      </c>
      <c r="AX16" s="865">
        <v>1.5787500000000001</v>
      </c>
      <c r="AZ16" s="861">
        <v>40725</v>
      </c>
      <c r="BA16" s="865">
        <v>2.5</v>
      </c>
      <c r="BB16" s="865">
        <v>2.6122200000000002</v>
      </c>
      <c r="BC16" s="865">
        <v>2.6511100000000001</v>
      </c>
      <c r="BD16" s="865">
        <v>2.68</v>
      </c>
      <c r="BE16" s="865">
        <v>2.66222</v>
      </c>
      <c r="BF16" s="865">
        <v>2.6711100000000001</v>
      </c>
      <c r="BG16" s="865">
        <v>2.6711100000000001</v>
      </c>
      <c r="BH16" s="865">
        <v>2.6711100000000001</v>
      </c>
    </row>
    <row r="17" spans="9:60">
      <c r="I17" s="861">
        <v>39263</v>
      </c>
      <c r="J17" s="862">
        <v>157.5</v>
      </c>
      <c r="L17" s="861">
        <v>40723</v>
      </c>
      <c r="M17" s="865">
        <v>4.75</v>
      </c>
      <c r="N17" s="865">
        <v>4.915</v>
      </c>
      <c r="O17" s="865">
        <v>4.9349999999999996</v>
      </c>
      <c r="P17" s="865">
        <v>5</v>
      </c>
      <c r="Q17" s="865">
        <v>5.03</v>
      </c>
      <c r="R17" s="865">
        <v>5.0467000000000004</v>
      </c>
      <c r="S17" s="865">
        <v>5.0732999999999997</v>
      </c>
      <c r="T17" s="865">
        <v>4.9934000000000003</v>
      </c>
      <c r="V17" s="861">
        <v>40723</v>
      </c>
      <c r="W17" s="865">
        <v>0.1255</v>
      </c>
      <c r="X17" s="865">
        <v>0.18554999999999999</v>
      </c>
      <c r="Y17" s="865">
        <v>0.21725</v>
      </c>
      <c r="Z17" s="865">
        <v>0.24575</v>
      </c>
      <c r="AA17" s="865">
        <v>0.28725000000000001</v>
      </c>
      <c r="AB17" s="865">
        <v>0.34289999999999998</v>
      </c>
      <c r="AC17" s="865">
        <v>0.40024999999999999</v>
      </c>
      <c r="AD17" s="865">
        <v>0.73499999999999999</v>
      </c>
      <c r="AF17" s="861">
        <v>40723</v>
      </c>
      <c r="AG17" s="865">
        <v>0.92500000000000004</v>
      </c>
      <c r="AH17" s="865">
        <v>1.2725</v>
      </c>
      <c r="AI17" s="865">
        <v>1.3525</v>
      </c>
      <c r="AJ17" s="865">
        <v>1.4793799999999999</v>
      </c>
      <c r="AK17" s="865">
        <v>1.55</v>
      </c>
      <c r="AL17" s="865">
        <v>1.6412500000000001</v>
      </c>
      <c r="AM17" s="865">
        <v>1.7451300000000001</v>
      </c>
      <c r="AN17" s="865">
        <v>2.1256300000000001</v>
      </c>
      <c r="AP17" s="861">
        <v>40723</v>
      </c>
      <c r="AQ17" s="865">
        <v>0.56688000000000005</v>
      </c>
      <c r="AR17" s="865">
        <v>0.62938000000000005</v>
      </c>
      <c r="AS17" s="865">
        <v>0.70187999999999995</v>
      </c>
      <c r="AT17" s="865">
        <v>0.82562999999999998</v>
      </c>
      <c r="AU17" s="865">
        <v>0.89812999999999998</v>
      </c>
      <c r="AV17" s="865">
        <v>1.0024999999999999</v>
      </c>
      <c r="AW17" s="865">
        <v>1.1043799999999999</v>
      </c>
      <c r="AX17" s="865">
        <v>1.5787500000000001</v>
      </c>
      <c r="AZ17" s="861">
        <v>40724</v>
      </c>
      <c r="BA17" s="865">
        <v>2.5</v>
      </c>
      <c r="BB17" s="865">
        <v>2.62</v>
      </c>
      <c r="BC17" s="865">
        <v>2.66</v>
      </c>
      <c r="BD17" s="865">
        <v>2.67</v>
      </c>
      <c r="BE17" s="865">
        <v>2.6637499999999998</v>
      </c>
      <c r="BF17" s="865">
        <v>2.67</v>
      </c>
      <c r="BG17" s="865">
        <v>2.67</v>
      </c>
      <c r="BH17" s="865">
        <v>2.67</v>
      </c>
    </row>
    <row r="18" spans="9:60">
      <c r="I18" s="861">
        <v>39355</v>
      </c>
      <c r="J18" s="862">
        <v>158.60000600000001</v>
      </c>
      <c r="L18" s="861">
        <v>40722</v>
      </c>
      <c r="M18" s="865">
        <v>4.75</v>
      </c>
      <c r="N18" s="865">
        <v>4.9032999999999998</v>
      </c>
      <c r="O18" s="865">
        <v>4.9249999999999998</v>
      </c>
      <c r="P18" s="865">
        <v>5</v>
      </c>
      <c r="Q18" s="865">
        <v>5.0199999999999996</v>
      </c>
      <c r="R18" s="865">
        <v>5.03</v>
      </c>
      <c r="S18" s="865">
        <v>5.04</v>
      </c>
      <c r="T18" s="865">
        <v>4.9524999999999997</v>
      </c>
      <c r="V18" s="861">
        <v>40722</v>
      </c>
      <c r="W18" s="865">
        <v>0.1265</v>
      </c>
      <c r="X18" s="865">
        <v>0.18554999999999999</v>
      </c>
      <c r="Y18" s="865">
        <v>0.21725</v>
      </c>
      <c r="Z18" s="865">
        <v>0.24575</v>
      </c>
      <c r="AA18" s="865">
        <v>0.28825000000000001</v>
      </c>
      <c r="AB18" s="865">
        <v>0.34425</v>
      </c>
      <c r="AC18" s="865">
        <v>0.40075</v>
      </c>
      <c r="AD18" s="865">
        <v>0.73499999999999999</v>
      </c>
      <c r="AF18" s="861">
        <v>40722</v>
      </c>
      <c r="AG18" s="865">
        <v>0.83313000000000004</v>
      </c>
      <c r="AH18" s="865">
        <v>1.2706299999999999</v>
      </c>
      <c r="AI18" s="865">
        <v>1.3481300000000001</v>
      </c>
      <c r="AJ18" s="865">
        <v>1.4724999999999999</v>
      </c>
      <c r="AK18" s="865">
        <v>1.5418799999999999</v>
      </c>
      <c r="AL18" s="865">
        <v>1.635</v>
      </c>
      <c r="AM18" s="865">
        <v>1.7370000000000001</v>
      </c>
      <c r="AN18" s="865">
        <v>2.1187499999999999</v>
      </c>
      <c r="AP18" s="861">
        <v>40722</v>
      </c>
      <c r="AQ18" s="865">
        <v>0.56562999999999997</v>
      </c>
      <c r="AR18" s="865">
        <v>0.62875000000000003</v>
      </c>
      <c r="AS18" s="865">
        <v>0.70125000000000004</v>
      </c>
      <c r="AT18" s="865">
        <v>0.82499999999999996</v>
      </c>
      <c r="AU18" s="865">
        <v>0.89624999999999999</v>
      </c>
      <c r="AV18" s="865">
        <v>1.0006299999999999</v>
      </c>
      <c r="AW18" s="865">
        <v>1.1025</v>
      </c>
      <c r="AX18" s="865">
        <v>1.5762499999999999</v>
      </c>
      <c r="AZ18" s="861">
        <v>40723</v>
      </c>
      <c r="BA18" s="865">
        <v>2.5</v>
      </c>
      <c r="BB18" s="865">
        <v>2.5912500000000001</v>
      </c>
      <c r="BC18" s="865">
        <v>2.67</v>
      </c>
      <c r="BD18" s="865">
        <v>2.69</v>
      </c>
      <c r="BE18" s="865">
        <v>2.6612499999999999</v>
      </c>
      <c r="BF18" s="865">
        <v>2.67</v>
      </c>
      <c r="BG18" s="865">
        <v>2.6612499999999999</v>
      </c>
      <c r="BH18" s="865">
        <v>2.6612499999999999</v>
      </c>
    </row>
    <row r="19" spans="9:60">
      <c r="I19" s="861">
        <v>39447</v>
      </c>
      <c r="J19" s="862">
        <v>160.10000600000001</v>
      </c>
      <c r="L19" s="861">
        <v>40721</v>
      </c>
      <c r="M19" s="865">
        <v>4.75</v>
      </c>
      <c r="N19" s="865">
        <v>4.8899999999999997</v>
      </c>
      <c r="O19" s="865">
        <v>4.9183000000000003</v>
      </c>
      <c r="P19" s="865">
        <v>5.03</v>
      </c>
      <c r="Q19" s="865">
        <v>5.0416999999999996</v>
      </c>
      <c r="R19" s="865">
        <v>5.0599999999999996</v>
      </c>
      <c r="S19" s="865">
        <v>5.08</v>
      </c>
      <c r="T19" s="865">
        <v>4.9656000000000002</v>
      </c>
      <c r="V19" s="861">
        <v>40721</v>
      </c>
      <c r="W19" s="865">
        <v>0.1265</v>
      </c>
      <c r="X19" s="865">
        <v>0.18554999999999999</v>
      </c>
      <c r="Y19" s="865">
        <v>0.21725</v>
      </c>
      <c r="Z19" s="865">
        <v>0.24575</v>
      </c>
      <c r="AA19" s="865">
        <v>0.28925000000000001</v>
      </c>
      <c r="AB19" s="865">
        <v>0.34425</v>
      </c>
      <c r="AC19" s="865">
        <v>0.40275</v>
      </c>
      <c r="AD19" s="865">
        <v>0.73250000000000004</v>
      </c>
      <c r="AF19" s="861">
        <v>40721</v>
      </c>
      <c r="AG19" s="865">
        <v>0.83250000000000002</v>
      </c>
      <c r="AH19" s="865">
        <v>1.27</v>
      </c>
      <c r="AI19" s="865">
        <v>1.3425</v>
      </c>
      <c r="AJ19" s="865">
        <v>1.4675</v>
      </c>
      <c r="AK19" s="865">
        <v>1.5375000000000001</v>
      </c>
      <c r="AL19" s="865">
        <v>1.63188</v>
      </c>
      <c r="AM19" s="865">
        <v>1.73</v>
      </c>
      <c r="AN19" s="865">
        <v>2.11625</v>
      </c>
      <c r="AP19" s="861">
        <v>40721</v>
      </c>
      <c r="AQ19" s="865">
        <v>0.56562999999999997</v>
      </c>
      <c r="AR19" s="865">
        <v>0.62749999999999995</v>
      </c>
      <c r="AS19" s="865">
        <v>0.70125000000000004</v>
      </c>
      <c r="AT19" s="865">
        <v>0.82499999999999996</v>
      </c>
      <c r="AU19" s="865">
        <v>0.89624999999999999</v>
      </c>
      <c r="AV19" s="865">
        <v>1.0006299999999999</v>
      </c>
      <c r="AW19" s="865">
        <v>1.1025</v>
      </c>
      <c r="AX19" s="865">
        <v>1.5762499999999999</v>
      </c>
      <c r="AZ19" s="861">
        <v>40722</v>
      </c>
      <c r="BA19" s="865">
        <v>2.5</v>
      </c>
      <c r="BB19" s="865">
        <v>2.59111</v>
      </c>
      <c r="BC19" s="865">
        <v>2.67</v>
      </c>
      <c r="BD19" s="865">
        <v>2.6855600000000002</v>
      </c>
      <c r="BE19" s="865">
        <v>2.66</v>
      </c>
      <c r="BF19" s="865">
        <v>2.66778</v>
      </c>
      <c r="BG19" s="865">
        <v>2.66</v>
      </c>
      <c r="BH19" s="865">
        <v>2.66</v>
      </c>
    </row>
    <row r="20" spans="9:60">
      <c r="I20" s="861">
        <v>39538</v>
      </c>
      <c r="J20" s="862">
        <v>162.199997</v>
      </c>
      <c r="L20" s="861">
        <v>40718</v>
      </c>
      <c r="M20" s="865">
        <v>4.75</v>
      </c>
      <c r="N20" s="865">
        <v>4.8899999999999997</v>
      </c>
      <c r="O20" s="865">
        <v>4.9116999999999997</v>
      </c>
      <c r="P20" s="865">
        <v>5.0183</v>
      </c>
      <c r="Q20" s="865">
        <v>5.0366999999999997</v>
      </c>
      <c r="R20" s="865">
        <v>5.0599999999999996</v>
      </c>
      <c r="S20" s="865">
        <v>5.09</v>
      </c>
      <c r="T20" s="865">
        <v>5.0069999999999997</v>
      </c>
      <c r="V20" s="861">
        <v>40718</v>
      </c>
      <c r="W20" s="865">
        <v>0.1275</v>
      </c>
      <c r="X20" s="865">
        <v>0.18554999999999999</v>
      </c>
      <c r="Y20" s="865">
        <v>0.2175</v>
      </c>
      <c r="Z20" s="865">
        <v>0.24625</v>
      </c>
      <c r="AA20" s="865">
        <v>0.28675</v>
      </c>
      <c r="AB20" s="865">
        <v>0.34205000000000002</v>
      </c>
      <c r="AC20" s="865">
        <v>0.39674999999999999</v>
      </c>
      <c r="AD20" s="865">
        <v>0.72875000000000001</v>
      </c>
      <c r="AF20" s="861">
        <v>40718</v>
      </c>
      <c r="AG20" s="865">
        <v>0.875</v>
      </c>
      <c r="AH20" s="865">
        <v>1.27</v>
      </c>
      <c r="AI20" s="865">
        <v>1.3412500000000001</v>
      </c>
      <c r="AJ20" s="865">
        <v>1.4718800000000001</v>
      </c>
      <c r="AK20" s="865">
        <v>1.5375000000000001</v>
      </c>
      <c r="AL20" s="865">
        <v>1.63188</v>
      </c>
      <c r="AM20" s="865">
        <v>1.7324999999999999</v>
      </c>
      <c r="AN20" s="865">
        <v>2.11625</v>
      </c>
      <c r="AP20" s="861">
        <v>40718</v>
      </c>
      <c r="AQ20" s="865">
        <v>0.56562999999999997</v>
      </c>
      <c r="AR20" s="865">
        <v>0.62749999999999995</v>
      </c>
      <c r="AS20" s="865">
        <v>0.70125000000000004</v>
      </c>
      <c r="AT20" s="865">
        <v>0.82499999999999996</v>
      </c>
      <c r="AU20" s="865">
        <v>0.89624999999999999</v>
      </c>
      <c r="AV20" s="865">
        <v>1.0006299999999999</v>
      </c>
      <c r="AW20" s="865">
        <v>1.1025</v>
      </c>
      <c r="AX20" s="865">
        <v>1.5762499999999999</v>
      </c>
      <c r="AZ20" s="861">
        <v>40721</v>
      </c>
      <c r="BA20" s="865">
        <v>2.5</v>
      </c>
      <c r="BB20" s="865">
        <v>2.59</v>
      </c>
      <c r="BC20" s="865">
        <v>2.65</v>
      </c>
      <c r="BD20" s="865">
        <v>2.6675</v>
      </c>
      <c r="BE20" s="865">
        <v>2.66</v>
      </c>
      <c r="BF20" s="865">
        <v>2.6675</v>
      </c>
      <c r="BG20" s="865">
        <v>2.6612499999999999</v>
      </c>
      <c r="BH20" s="865">
        <v>2.6612499999999999</v>
      </c>
    </row>
    <row r="21" spans="9:60">
      <c r="I21" s="861">
        <v>39629</v>
      </c>
      <c r="J21" s="862">
        <v>164.60000600000001</v>
      </c>
      <c r="L21" s="861">
        <v>40717</v>
      </c>
      <c r="M21" s="865">
        <v>4.75</v>
      </c>
      <c r="N21" s="865">
        <v>4.8783000000000003</v>
      </c>
      <c r="O21" s="865">
        <v>4.9116999999999997</v>
      </c>
      <c r="P21" s="865">
        <v>5.0282999999999998</v>
      </c>
      <c r="Q21" s="865">
        <v>5.0350000000000001</v>
      </c>
      <c r="R21" s="865">
        <v>5.05</v>
      </c>
      <c r="S21" s="865">
        <v>5.08</v>
      </c>
      <c r="T21" s="865">
        <v>5.0148999999999999</v>
      </c>
      <c r="V21" s="861">
        <v>40717</v>
      </c>
      <c r="W21" s="865">
        <v>0.1265</v>
      </c>
      <c r="X21" s="865">
        <v>0.18579999999999999</v>
      </c>
      <c r="Y21" s="865">
        <v>0.2175</v>
      </c>
      <c r="Z21" s="865">
        <v>0.2465</v>
      </c>
      <c r="AA21" s="865">
        <v>0.28675</v>
      </c>
      <c r="AB21" s="865">
        <v>0.34205000000000002</v>
      </c>
      <c r="AC21" s="865">
        <v>0.39574999999999999</v>
      </c>
      <c r="AD21" s="865">
        <v>0.72724999999999995</v>
      </c>
      <c r="AF21" s="861">
        <v>40717</v>
      </c>
      <c r="AG21" s="865">
        <v>0.92500000000000004</v>
      </c>
      <c r="AH21" s="865">
        <v>1.27</v>
      </c>
      <c r="AI21" s="865">
        <v>1.3412500000000001</v>
      </c>
      <c r="AJ21" s="865">
        <v>1.4693799999999999</v>
      </c>
      <c r="AK21" s="865">
        <v>1.5356300000000001</v>
      </c>
      <c r="AL21" s="865">
        <v>1.63063</v>
      </c>
      <c r="AM21" s="865">
        <v>1.7293799999999999</v>
      </c>
      <c r="AN21" s="865">
        <v>2.1181299999999998</v>
      </c>
      <c r="AP21" s="861">
        <v>40717</v>
      </c>
      <c r="AQ21" s="865">
        <v>0.56562999999999997</v>
      </c>
      <c r="AR21" s="865">
        <v>0.62749999999999995</v>
      </c>
      <c r="AS21" s="865">
        <v>0.70125000000000004</v>
      </c>
      <c r="AT21" s="865">
        <v>0.82499999999999996</v>
      </c>
      <c r="AU21" s="865">
        <v>0.89624999999999999</v>
      </c>
      <c r="AV21" s="865">
        <v>1.0006299999999999</v>
      </c>
      <c r="AW21" s="865">
        <v>1.1025</v>
      </c>
      <c r="AX21" s="865">
        <v>1.5762499999999999</v>
      </c>
      <c r="AZ21" s="861">
        <v>40720</v>
      </c>
      <c r="BA21" s="865">
        <v>2.5</v>
      </c>
      <c r="BB21" s="865" t="s">
        <v>722</v>
      </c>
      <c r="BC21" s="865" t="s">
        <v>722</v>
      </c>
      <c r="BD21" s="865" t="s">
        <v>722</v>
      </c>
      <c r="BE21" s="865" t="s">
        <v>722</v>
      </c>
      <c r="BF21" s="865" t="s">
        <v>722</v>
      </c>
      <c r="BG21" s="865" t="s">
        <v>722</v>
      </c>
      <c r="BH21" s="865" t="s">
        <v>722</v>
      </c>
    </row>
    <row r="22" spans="9:60">
      <c r="I22" s="861">
        <v>39721</v>
      </c>
      <c r="J22" s="862">
        <v>166.5</v>
      </c>
      <c r="L22" s="861">
        <v>40716</v>
      </c>
      <c r="M22" s="865">
        <v>4.75</v>
      </c>
      <c r="N22" s="865">
        <v>4.8766999999999996</v>
      </c>
      <c r="O22" s="865">
        <v>4.9000000000000004</v>
      </c>
      <c r="P22" s="865">
        <v>4.9817</v>
      </c>
      <c r="Q22" s="865">
        <v>5.0133000000000001</v>
      </c>
      <c r="R22" s="865">
        <v>5.04</v>
      </c>
      <c r="S22" s="865">
        <v>5.0732999999999997</v>
      </c>
      <c r="T22" s="865">
        <v>5.0232999999999999</v>
      </c>
      <c r="V22" s="861">
        <v>40716</v>
      </c>
      <c r="W22" s="865">
        <v>0.1275</v>
      </c>
      <c r="X22" s="865">
        <v>0.18579999999999999</v>
      </c>
      <c r="Y22" s="865">
        <v>0.2175</v>
      </c>
      <c r="Z22" s="865">
        <v>0.2455</v>
      </c>
      <c r="AA22" s="865">
        <v>0.28575</v>
      </c>
      <c r="AB22" s="865">
        <v>0.34205000000000002</v>
      </c>
      <c r="AC22" s="865">
        <v>0.39474999999999999</v>
      </c>
      <c r="AD22" s="865">
        <v>0.72624999999999995</v>
      </c>
      <c r="AF22" s="861">
        <v>40716</v>
      </c>
      <c r="AG22" s="865">
        <v>1.0874999999999999</v>
      </c>
      <c r="AH22" s="865">
        <v>1.2725</v>
      </c>
      <c r="AI22" s="865">
        <v>1.3412500000000001</v>
      </c>
      <c r="AJ22" s="865">
        <v>1.4681299999999999</v>
      </c>
      <c r="AK22" s="865">
        <v>1.5356300000000001</v>
      </c>
      <c r="AL22" s="865">
        <v>1.6281300000000001</v>
      </c>
      <c r="AM22" s="865">
        <v>1.72688</v>
      </c>
      <c r="AN22" s="865">
        <v>2.1181299999999998</v>
      </c>
      <c r="AP22" s="861">
        <v>40716</v>
      </c>
      <c r="AQ22" s="865">
        <v>0.56688000000000005</v>
      </c>
      <c r="AR22" s="865">
        <v>0.62749999999999995</v>
      </c>
      <c r="AS22" s="865">
        <v>0.70125000000000004</v>
      </c>
      <c r="AT22" s="865">
        <v>0.82499999999999996</v>
      </c>
      <c r="AU22" s="865">
        <v>0.89500000000000002</v>
      </c>
      <c r="AV22" s="865">
        <v>0.99938000000000005</v>
      </c>
      <c r="AW22" s="865">
        <v>1.1012500000000001</v>
      </c>
      <c r="AX22" s="865">
        <v>1.575</v>
      </c>
      <c r="AZ22" s="861">
        <v>40718</v>
      </c>
      <c r="BA22" s="865">
        <v>2.5</v>
      </c>
      <c r="BB22" s="865">
        <v>2.59</v>
      </c>
      <c r="BC22" s="865">
        <v>2.62222</v>
      </c>
      <c r="BD22" s="865">
        <v>2.6466699999999999</v>
      </c>
      <c r="BE22" s="865">
        <v>2.6611099999999999</v>
      </c>
      <c r="BF22" s="865">
        <v>2.66778</v>
      </c>
      <c r="BG22" s="865">
        <v>2.66</v>
      </c>
      <c r="BH22" s="865">
        <v>2.66</v>
      </c>
    </row>
    <row r="23" spans="9:60">
      <c r="I23" s="861">
        <v>39813</v>
      </c>
      <c r="J23" s="862">
        <v>166</v>
      </c>
      <c r="L23" s="861">
        <v>40715</v>
      </c>
      <c r="M23" s="865">
        <v>4.75</v>
      </c>
      <c r="N23" s="865">
        <v>4.8682999999999996</v>
      </c>
      <c r="O23" s="865">
        <v>4.9000000000000004</v>
      </c>
      <c r="P23" s="865">
        <v>4.99</v>
      </c>
      <c r="Q23" s="865">
        <v>5.0199999999999996</v>
      </c>
      <c r="R23" s="865">
        <v>5.05</v>
      </c>
      <c r="S23" s="865">
        <v>5.0867000000000004</v>
      </c>
      <c r="T23" s="865">
        <v>5.0603999999999996</v>
      </c>
      <c r="V23" s="861">
        <v>40715</v>
      </c>
      <c r="W23" s="865">
        <v>0.1275</v>
      </c>
      <c r="X23" s="865">
        <v>0.18579999999999999</v>
      </c>
      <c r="Y23" s="865">
        <v>0.2175</v>
      </c>
      <c r="Z23" s="865">
        <v>0.2455</v>
      </c>
      <c r="AA23" s="865">
        <v>0.28675</v>
      </c>
      <c r="AB23" s="865">
        <v>0.34215000000000001</v>
      </c>
      <c r="AC23" s="865">
        <v>0.39474999999999999</v>
      </c>
      <c r="AD23" s="865">
        <v>0.72775000000000001</v>
      </c>
      <c r="AF23" s="861">
        <v>40715</v>
      </c>
      <c r="AG23" s="865">
        <v>1.2849999999999999</v>
      </c>
      <c r="AH23" s="865">
        <v>1.2787500000000001</v>
      </c>
      <c r="AI23" s="865">
        <v>1.34</v>
      </c>
      <c r="AJ23" s="865">
        <v>1.46563</v>
      </c>
      <c r="AK23" s="865">
        <v>1.53688</v>
      </c>
      <c r="AL23" s="865">
        <v>1.6256299999999999</v>
      </c>
      <c r="AM23" s="865">
        <v>1.7238800000000001</v>
      </c>
      <c r="AN23" s="865">
        <v>2.1187499999999999</v>
      </c>
      <c r="AP23" s="861">
        <v>40715</v>
      </c>
      <c r="AQ23" s="865">
        <v>0.56688000000000005</v>
      </c>
      <c r="AR23" s="865">
        <v>0.62749999999999995</v>
      </c>
      <c r="AS23" s="865">
        <v>0.70125000000000004</v>
      </c>
      <c r="AT23" s="865">
        <v>0.82499999999999996</v>
      </c>
      <c r="AU23" s="865">
        <v>0.89500000000000002</v>
      </c>
      <c r="AV23" s="865">
        <v>1</v>
      </c>
      <c r="AW23" s="865">
        <v>1.10188</v>
      </c>
      <c r="AX23" s="865">
        <v>1.5768800000000001</v>
      </c>
      <c r="AZ23" s="861">
        <v>40717</v>
      </c>
      <c r="BA23" s="865">
        <v>2.5</v>
      </c>
      <c r="BB23" s="865">
        <v>2.59</v>
      </c>
      <c r="BC23" s="865">
        <v>2.6188899999999999</v>
      </c>
      <c r="BD23" s="865">
        <v>2.63</v>
      </c>
      <c r="BE23" s="865">
        <v>2.66</v>
      </c>
      <c r="BF23" s="865">
        <v>2.6666699999999999</v>
      </c>
      <c r="BG23" s="865">
        <v>2.66</v>
      </c>
      <c r="BH23" s="865">
        <v>2.66</v>
      </c>
    </row>
    <row r="24" spans="9:60">
      <c r="I24" s="861">
        <v>39903</v>
      </c>
      <c r="J24" s="862">
        <v>166.199997</v>
      </c>
      <c r="L24" s="861">
        <v>40714</v>
      </c>
      <c r="M24" s="865">
        <v>4.75</v>
      </c>
      <c r="N24" s="865">
        <v>4.8499999999999996</v>
      </c>
      <c r="O24" s="865">
        <v>4.8949999999999996</v>
      </c>
      <c r="P24" s="865">
        <v>4.9932999999999996</v>
      </c>
      <c r="Q24" s="865">
        <v>5.0167000000000002</v>
      </c>
      <c r="R24" s="865">
        <v>5.04</v>
      </c>
      <c r="S24" s="865">
        <v>5.0867000000000004</v>
      </c>
      <c r="T24" s="865">
        <v>5.0651000000000002</v>
      </c>
      <c r="V24" s="861">
        <v>40714</v>
      </c>
      <c r="W24" s="865">
        <v>0.128</v>
      </c>
      <c r="X24" s="865">
        <v>0.18579999999999999</v>
      </c>
      <c r="Y24" s="865">
        <v>0.2175</v>
      </c>
      <c r="Z24" s="865">
        <v>0.2465</v>
      </c>
      <c r="AA24" s="865">
        <v>0.28775000000000001</v>
      </c>
      <c r="AB24" s="865">
        <v>0.34275</v>
      </c>
      <c r="AC24" s="865">
        <v>0.39474999999999999</v>
      </c>
      <c r="AD24" s="865">
        <v>0.72775000000000001</v>
      </c>
      <c r="AF24" s="861">
        <v>40714</v>
      </c>
      <c r="AG24" s="865">
        <v>1.3087500000000001</v>
      </c>
      <c r="AH24" s="865">
        <v>1.2787500000000001</v>
      </c>
      <c r="AI24" s="865">
        <v>1.335</v>
      </c>
      <c r="AJ24" s="865">
        <v>1.4593799999999999</v>
      </c>
      <c r="AK24" s="865">
        <v>1.53125</v>
      </c>
      <c r="AL24" s="865">
        <v>1.62063</v>
      </c>
      <c r="AM24" s="865">
        <v>1.7201299999999999</v>
      </c>
      <c r="AN24" s="865">
        <v>2.1168800000000001</v>
      </c>
      <c r="AP24" s="861">
        <v>40714</v>
      </c>
      <c r="AQ24" s="865">
        <v>0.56688000000000005</v>
      </c>
      <c r="AR24" s="865">
        <v>0.62749999999999995</v>
      </c>
      <c r="AS24" s="865">
        <v>0.70125000000000004</v>
      </c>
      <c r="AT24" s="865">
        <v>0.82499999999999996</v>
      </c>
      <c r="AU24" s="865">
        <v>0.89500000000000002</v>
      </c>
      <c r="AV24" s="865">
        <v>1</v>
      </c>
      <c r="AW24" s="865">
        <v>1.10188</v>
      </c>
      <c r="AX24" s="865">
        <v>1.5768800000000001</v>
      </c>
      <c r="AZ24" s="861">
        <v>40716</v>
      </c>
      <c r="BA24" s="865">
        <v>2.5</v>
      </c>
      <c r="BB24" s="865">
        <v>2.5855600000000001</v>
      </c>
      <c r="BC24" s="865">
        <v>2.62</v>
      </c>
      <c r="BD24" s="865">
        <v>2.6255600000000001</v>
      </c>
      <c r="BE24" s="865">
        <v>2.65889</v>
      </c>
      <c r="BF24" s="865">
        <v>2.6666699999999999</v>
      </c>
      <c r="BG24" s="865">
        <v>2.66</v>
      </c>
      <c r="BH24" s="865">
        <v>2.66</v>
      </c>
    </row>
    <row r="25" spans="9:60">
      <c r="I25" s="861">
        <v>39994</v>
      </c>
      <c r="J25" s="862">
        <v>167</v>
      </c>
      <c r="L25" s="861">
        <v>40711</v>
      </c>
      <c r="M25" s="865">
        <v>4.75</v>
      </c>
      <c r="N25" s="865">
        <v>4.8467000000000002</v>
      </c>
      <c r="O25" s="865">
        <v>4.8933</v>
      </c>
      <c r="P25" s="865">
        <v>4.9866999999999999</v>
      </c>
      <c r="Q25" s="865">
        <v>5.0167000000000002</v>
      </c>
      <c r="R25" s="865">
        <v>5.04</v>
      </c>
      <c r="S25" s="865">
        <v>5.0917000000000003</v>
      </c>
      <c r="T25" s="865">
        <v>5.0603999999999996</v>
      </c>
      <c r="V25" s="861">
        <v>40711</v>
      </c>
      <c r="W25" s="865">
        <v>0.128</v>
      </c>
      <c r="X25" s="865">
        <v>0.18579999999999999</v>
      </c>
      <c r="Y25" s="865">
        <v>0.2175</v>
      </c>
      <c r="Z25" s="865">
        <v>0.2465</v>
      </c>
      <c r="AA25" s="865">
        <v>0.28775000000000001</v>
      </c>
      <c r="AB25" s="865">
        <v>0.34275</v>
      </c>
      <c r="AC25" s="865">
        <v>0.39500000000000002</v>
      </c>
      <c r="AD25" s="865">
        <v>0.72775000000000001</v>
      </c>
      <c r="AF25" s="861">
        <v>40711</v>
      </c>
      <c r="AG25" s="865">
        <v>1.2925</v>
      </c>
      <c r="AH25" s="865">
        <v>1.27688</v>
      </c>
      <c r="AI25" s="865">
        <v>1.3274999999999999</v>
      </c>
      <c r="AJ25" s="865">
        <v>1.45</v>
      </c>
      <c r="AK25" s="865">
        <v>1.5249999999999999</v>
      </c>
      <c r="AL25" s="865">
        <v>1.615</v>
      </c>
      <c r="AM25" s="865">
        <v>1.71513</v>
      </c>
      <c r="AN25" s="865">
        <v>2.1156299999999999</v>
      </c>
      <c r="AP25" s="861">
        <v>40711</v>
      </c>
      <c r="AQ25" s="865">
        <v>0.56688000000000005</v>
      </c>
      <c r="AR25" s="865">
        <v>0.62749999999999995</v>
      </c>
      <c r="AS25" s="865">
        <v>0.70125000000000004</v>
      </c>
      <c r="AT25" s="865">
        <v>0.82499999999999996</v>
      </c>
      <c r="AU25" s="865">
        <v>0.89563000000000004</v>
      </c>
      <c r="AV25" s="865">
        <v>1.0006299999999999</v>
      </c>
      <c r="AW25" s="865">
        <v>1.1025</v>
      </c>
      <c r="AX25" s="865">
        <v>1.5768800000000001</v>
      </c>
      <c r="AZ25" s="861">
        <v>40715</v>
      </c>
      <c r="BA25" s="865">
        <v>2.5</v>
      </c>
      <c r="BB25" s="865">
        <v>2.58</v>
      </c>
      <c r="BC25" s="865">
        <v>2.62</v>
      </c>
      <c r="BD25" s="865">
        <v>2.6475</v>
      </c>
      <c r="BE25" s="865">
        <v>2.66</v>
      </c>
      <c r="BF25" s="865">
        <v>2.6675</v>
      </c>
      <c r="BG25" s="865">
        <v>2.66</v>
      </c>
      <c r="BH25" s="865">
        <v>2.66</v>
      </c>
    </row>
    <row r="26" spans="9:60">
      <c r="I26" s="861">
        <v>40086</v>
      </c>
      <c r="J26" s="862">
        <v>168.60000600000001</v>
      </c>
      <c r="L26" s="861">
        <v>40710</v>
      </c>
      <c r="M26" s="865">
        <v>4.75</v>
      </c>
      <c r="N26" s="865">
        <v>4.83</v>
      </c>
      <c r="O26" s="865">
        <v>4.8982999999999999</v>
      </c>
      <c r="P26" s="865">
        <v>4.9767000000000001</v>
      </c>
      <c r="Q26" s="865">
        <v>5.0133000000000001</v>
      </c>
      <c r="R26" s="865">
        <v>5.0517000000000003</v>
      </c>
      <c r="S26" s="865">
        <v>5.085</v>
      </c>
      <c r="T26" s="865">
        <v>5.0951000000000004</v>
      </c>
      <c r="V26" s="861">
        <v>40710</v>
      </c>
      <c r="W26" s="865">
        <v>0.128</v>
      </c>
      <c r="X26" s="865">
        <v>0.18579999999999999</v>
      </c>
      <c r="Y26" s="865">
        <v>0.2175</v>
      </c>
      <c r="Z26" s="865">
        <v>0.2465</v>
      </c>
      <c r="AA26" s="865">
        <v>0.28675</v>
      </c>
      <c r="AB26" s="865">
        <v>0.34275</v>
      </c>
      <c r="AC26" s="865">
        <v>0.39500000000000002</v>
      </c>
      <c r="AD26" s="865">
        <v>0.72724999999999995</v>
      </c>
      <c r="AF26" s="861">
        <v>40710</v>
      </c>
      <c r="AG26" s="865">
        <v>1.2575000000000001</v>
      </c>
      <c r="AH26" s="865">
        <v>1.2606299999999999</v>
      </c>
      <c r="AI26" s="865">
        <v>1.31375</v>
      </c>
      <c r="AJ26" s="865">
        <v>1.4375</v>
      </c>
      <c r="AK26" s="865">
        <v>1.5137499999999999</v>
      </c>
      <c r="AL26" s="865">
        <v>1.60625</v>
      </c>
      <c r="AM26" s="865">
        <v>1.70438</v>
      </c>
      <c r="AN26" s="865">
        <v>2.11375</v>
      </c>
      <c r="AP26" s="861">
        <v>40710</v>
      </c>
      <c r="AQ26" s="865">
        <v>0.56688000000000005</v>
      </c>
      <c r="AR26" s="865">
        <v>0.62749999999999995</v>
      </c>
      <c r="AS26" s="865">
        <v>0.70125000000000004</v>
      </c>
      <c r="AT26" s="865">
        <v>0.82499999999999996</v>
      </c>
      <c r="AU26" s="865">
        <v>0.89563000000000004</v>
      </c>
      <c r="AV26" s="865">
        <v>1.0006299999999999</v>
      </c>
      <c r="AW26" s="865">
        <v>1.1025</v>
      </c>
      <c r="AX26" s="865">
        <v>1.5762499999999999</v>
      </c>
      <c r="AZ26" s="861">
        <v>40714</v>
      </c>
      <c r="BA26" s="865">
        <v>2.5</v>
      </c>
      <c r="BB26" s="865">
        <v>2.6</v>
      </c>
      <c r="BC26" s="865">
        <v>2.62</v>
      </c>
      <c r="BD26" s="865">
        <v>2.63</v>
      </c>
      <c r="BE26" s="865">
        <v>2.6555599999999999</v>
      </c>
      <c r="BF26" s="865">
        <v>2.6633300000000002</v>
      </c>
      <c r="BG26" s="865">
        <v>2.64</v>
      </c>
      <c r="BH26" s="865">
        <v>2.64</v>
      </c>
    </row>
    <row r="27" spans="9:60">
      <c r="I27" s="861">
        <v>40178</v>
      </c>
      <c r="J27" s="862">
        <v>169.5</v>
      </c>
      <c r="L27" s="861">
        <v>40709</v>
      </c>
      <c r="M27" s="865">
        <v>4.75</v>
      </c>
      <c r="N27" s="865">
        <v>4.82</v>
      </c>
      <c r="O27" s="865">
        <v>4.91</v>
      </c>
      <c r="P27" s="865">
        <v>5.0217000000000001</v>
      </c>
      <c r="Q27" s="865">
        <v>5.0599999999999996</v>
      </c>
      <c r="R27" s="865">
        <v>5.0999999999999996</v>
      </c>
      <c r="S27" s="865">
        <v>5.1417000000000002</v>
      </c>
      <c r="T27" s="865">
        <v>5.1162000000000001</v>
      </c>
      <c r="V27" s="861">
        <v>40709</v>
      </c>
      <c r="W27" s="865">
        <v>0.1285</v>
      </c>
      <c r="X27" s="865">
        <v>0.18529999999999999</v>
      </c>
      <c r="Y27" s="865">
        <v>0.217</v>
      </c>
      <c r="Z27" s="865">
        <v>0.245</v>
      </c>
      <c r="AA27" s="865">
        <v>0.28525</v>
      </c>
      <c r="AB27" s="865">
        <v>0.34075</v>
      </c>
      <c r="AC27" s="865">
        <v>0.39324999999999999</v>
      </c>
      <c r="AD27" s="865">
        <v>0.72124999999999995</v>
      </c>
      <c r="AF27" s="861">
        <v>40709</v>
      </c>
      <c r="AG27" s="865">
        <v>1.2112499999999999</v>
      </c>
      <c r="AH27" s="865">
        <v>1.2450000000000001</v>
      </c>
      <c r="AI27" s="865">
        <v>1.3025</v>
      </c>
      <c r="AJ27" s="865">
        <v>1.42875</v>
      </c>
      <c r="AK27" s="865">
        <v>1.5024999999999999</v>
      </c>
      <c r="AL27" s="865">
        <v>1.5974999999999999</v>
      </c>
      <c r="AM27" s="865">
        <v>1.7001299999999999</v>
      </c>
      <c r="AN27" s="865">
        <v>2.11375</v>
      </c>
      <c r="AP27" s="861">
        <v>40709</v>
      </c>
      <c r="AQ27" s="865">
        <v>0.56688000000000005</v>
      </c>
      <c r="AR27" s="865">
        <v>0.62438000000000005</v>
      </c>
      <c r="AS27" s="865">
        <v>0.69938</v>
      </c>
      <c r="AT27" s="865">
        <v>0.82438</v>
      </c>
      <c r="AU27" s="865">
        <v>0.89500000000000002</v>
      </c>
      <c r="AV27" s="865">
        <v>0.99938000000000005</v>
      </c>
      <c r="AW27" s="865">
        <v>1.1012500000000001</v>
      </c>
      <c r="AX27" s="865">
        <v>1.5762499999999999</v>
      </c>
      <c r="AZ27" s="861">
        <v>40713</v>
      </c>
      <c r="BA27" s="865">
        <v>2.5</v>
      </c>
      <c r="BB27" s="865" t="s">
        <v>722</v>
      </c>
      <c r="BC27" s="865" t="s">
        <v>722</v>
      </c>
      <c r="BD27" s="865" t="s">
        <v>722</v>
      </c>
      <c r="BE27" s="865" t="s">
        <v>722</v>
      </c>
      <c r="BF27" s="865" t="s">
        <v>722</v>
      </c>
      <c r="BG27" s="865" t="s">
        <v>722</v>
      </c>
      <c r="BH27" s="865" t="s">
        <v>722</v>
      </c>
    </row>
    <row r="28" spans="9:60">
      <c r="I28" s="861">
        <v>40268</v>
      </c>
      <c r="J28" s="862">
        <v>171</v>
      </c>
      <c r="L28" s="861">
        <v>40708</v>
      </c>
      <c r="M28" s="865">
        <v>4.75</v>
      </c>
      <c r="N28" s="865">
        <v>4.8099999999999996</v>
      </c>
      <c r="O28" s="865">
        <v>4.9082999999999997</v>
      </c>
      <c r="P28" s="865">
        <v>5.0067000000000004</v>
      </c>
      <c r="Q28" s="865">
        <v>5.04</v>
      </c>
      <c r="R28" s="865">
        <v>5.0750000000000002</v>
      </c>
      <c r="S28" s="865">
        <v>5.0999999999999996</v>
      </c>
      <c r="T28" s="865">
        <v>5.0891000000000002</v>
      </c>
      <c r="V28" s="861">
        <v>40708</v>
      </c>
      <c r="W28" s="865">
        <v>0.1275</v>
      </c>
      <c r="X28" s="865">
        <v>0.18554999999999999</v>
      </c>
      <c r="Y28" s="865">
        <v>0.21725</v>
      </c>
      <c r="Z28" s="865">
        <v>0.24525</v>
      </c>
      <c r="AA28" s="865">
        <v>0.28549999999999998</v>
      </c>
      <c r="AB28" s="865">
        <v>0.34100000000000003</v>
      </c>
      <c r="AC28" s="865">
        <v>0.39350000000000002</v>
      </c>
      <c r="AD28" s="865">
        <v>0.72024999999999995</v>
      </c>
      <c r="AF28" s="861">
        <v>40708</v>
      </c>
      <c r="AG28" s="865">
        <v>1.2725</v>
      </c>
      <c r="AH28" s="865">
        <v>1.2362500000000001</v>
      </c>
      <c r="AI28" s="865">
        <v>1.2962499999999999</v>
      </c>
      <c r="AJ28" s="865">
        <v>1.42188</v>
      </c>
      <c r="AK28" s="865">
        <v>1.49563</v>
      </c>
      <c r="AL28" s="865">
        <v>1.5925</v>
      </c>
      <c r="AM28" s="865">
        <v>1.6919999999999999</v>
      </c>
      <c r="AN28" s="865">
        <v>2.11063</v>
      </c>
      <c r="AP28" s="861">
        <v>40708</v>
      </c>
      <c r="AQ28" s="865">
        <v>0.56688000000000005</v>
      </c>
      <c r="AR28" s="865">
        <v>0.62438000000000005</v>
      </c>
      <c r="AS28" s="865">
        <v>0.69938</v>
      </c>
      <c r="AT28" s="865">
        <v>0.82438</v>
      </c>
      <c r="AU28" s="865">
        <v>0.89500000000000002</v>
      </c>
      <c r="AV28" s="865">
        <v>0.99938000000000005</v>
      </c>
      <c r="AW28" s="865">
        <v>1.1012500000000001</v>
      </c>
      <c r="AX28" s="865">
        <v>1.5762499999999999</v>
      </c>
      <c r="AZ28" s="861">
        <v>40711</v>
      </c>
      <c r="BA28" s="865">
        <v>2.5</v>
      </c>
      <c r="BB28" s="865">
        <v>2.62778</v>
      </c>
      <c r="BC28" s="865">
        <v>2.62</v>
      </c>
      <c r="BD28" s="865">
        <v>2.6688900000000002</v>
      </c>
      <c r="BE28" s="865">
        <v>2.66</v>
      </c>
      <c r="BF28" s="865">
        <v>2.67</v>
      </c>
      <c r="BG28" s="865">
        <v>2.6711100000000001</v>
      </c>
      <c r="BH28" s="865">
        <v>2.6711100000000001</v>
      </c>
    </row>
    <row r="29" spans="9:60">
      <c r="I29" s="861">
        <v>40359</v>
      </c>
      <c r="J29" s="862">
        <v>172.10000600000001</v>
      </c>
      <c r="L29" s="861">
        <v>40704</v>
      </c>
      <c r="M29" s="865">
        <v>4.75</v>
      </c>
      <c r="N29" s="865">
        <v>4.8099999999999996</v>
      </c>
      <c r="O29" s="865">
        <v>4.9000000000000004</v>
      </c>
      <c r="P29" s="865">
        <v>5.0117000000000003</v>
      </c>
      <c r="Q29" s="865">
        <v>5.04</v>
      </c>
      <c r="R29" s="865">
        <v>5.0782999999999996</v>
      </c>
      <c r="S29" s="865">
        <v>5.1100000000000003</v>
      </c>
      <c r="T29" s="865">
        <v>5.0990000000000002</v>
      </c>
      <c r="V29" s="861">
        <v>40707</v>
      </c>
      <c r="W29" s="865">
        <v>0.127</v>
      </c>
      <c r="X29" s="865">
        <v>0.18704999999999999</v>
      </c>
      <c r="Y29" s="865">
        <v>0.21875</v>
      </c>
      <c r="Z29" s="865">
        <v>0.247</v>
      </c>
      <c r="AA29" s="865">
        <v>0.28675</v>
      </c>
      <c r="AB29" s="865">
        <v>0.34150000000000003</v>
      </c>
      <c r="AC29" s="865">
        <v>0.39450000000000002</v>
      </c>
      <c r="AD29" s="865">
        <v>0.72024999999999995</v>
      </c>
      <c r="AF29" s="861">
        <v>40707</v>
      </c>
      <c r="AG29" s="865">
        <v>1.4612499999999999</v>
      </c>
      <c r="AH29" s="865">
        <v>1.2337499999999999</v>
      </c>
      <c r="AI29" s="865">
        <v>1.2925</v>
      </c>
      <c r="AJ29" s="865">
        <v>1.4181299999999999</v>
      </c>
      <c r="AK29" s="865">
        <v>1.4918800000000001</v>
      </c>
      <c r="AL29" s="865">
        <v>1.59</v>
      </c>
      <c r="AM29" s="865">
        <v>1.69075</v>
      </c>
      <c r="AN29" s="865">
        <v>2.1118800000000002</v>
      </c>
      <c r="AP29" s="861">
        <v>40707</v>
      </c>
      <c r="AQ29" s="865">
        <v>0.56938</v>
      </c>
      <c r="AR29" s="865">
        <v>0.62438000000000005</v>
      </c>
      <c r="AS29" s="865">
        <v>0.69938</v>
      </c>
      <c r="AT29" s="865">
        <v>0.82438</v>
      </c>
      <c r="AU29" s="865">
        <v>0.89500000000000002</v>
      </c>
      <c r="AV29" s="865">
        <v>0.99938000000000005</v>
      </c>
      <c r="AW29" s="865">
        <v>1.1012500000000001</v>
      </c>
      <c r="AX29" s="865">
        <v>1.5762499999999999</v>
      </c>
      <c r="AZ29" s="861">
        <v>40710</v>
      </c>
      <c r="BA29" s="865">
        <v>2.5</v>
      </c>
      <c r="BB29" s="865">
        <v>2.61</v>
      </c>
      <c r="BC29" s="865">
        <v>2.62222</v>
      </c>
      <c r="BD29" s="865">
        <v>2.6566700000000001</v>
      </c>
      <c r="BE29" s="865">
        <v>2.66</v>
      </c>
      <c r="BF29" s="865">
        <v>2.67</v>
      </c>
      <c r="BG29" s="865">
        <v>2.67</v>
      </c>
      <c r="BH29" s="865">
        <v>2.67</v>
      </c>
    </row>
    <row r="30" spans="9:60">
      <c r="I30" s="861">
        <v>40451</v>
      </c>
      <c r="J30" s="862">
        <v>173.300003</v>
      </c>
      <c r="L30" s="861">
        <v>40703</v>
      </c>
      <c r="M30" s="865">
        <v>4.75</v>
      </c>
      <c r="N30" s="865">
        <v>4.8099999999999996</v>
      </c>
      <c r="O30" s="865">
        <v>4.9132999999999996</v>
      </c>
      <c r="P30" s="865">
        <v>5.0149999999999997</v>
      </c>
      <c r="Q30" s="865">
        <v>5.0583</v>
      </c>
      <c r="R30" s="865">
        <v>5.1067</v>
      </c>
      <c r="S30" s="865">
        <v>5.1582999999999997</v>
      </c>
      <c r="T30" s="865">
        <v>5.1631</v>
      </c>
      <c r="V30" s="861">
        <v>40704</v>
      </c>
      <c r="W30" s="865">
        <v>0.127</v>
      </c>
      <c r="X30" s="865">
        <v>0.18855</v>
      </c>
      <c r="Y30" s="865">
        <v>0.22025</v>
      </c>
      <c r="Z30" s="865">
        <v>0.2485</v>
      </c>
      <c r="AA30" s="865">
        <v>0.28825000000000001</v>
      </c>
      <c r="AB30" s="865">
        <v>0.34375</v>
      </c>
      <c r="AC30" s="865">
        <v>0.39674999999999999</v>
      </c>
      <c r="AD30" s="865">
        <v>0.72250000000000003</v>
      </c>
      <c r="AF30" s="861">
        <v>40704</v>
      </c>
      <c r="AG30" s="865">
        <v>1.7075</v>
      </c>
      <c r="AH30" s="865">
        <v>1.2237499999999999</v>
      </c>
      <c r="AI30" s="865">
        <v>1.2831300000000001</v>
      </c>
      <c r="AJ30" s="865">
        <v>1.41313</v>
      </c>
      <c r="AK30" s="865">
        <v>1.4906299999999999</v>
      </c>
      <c r="AL30" s="865">
        <v>1.59</v>
      </c>
      <c r="AM30" s="865">
        <v>1.6895</v>
      </c>
      <c r="AN30" s="865">
        <v>2.1150000000000002</v>
      </c>
      <c r="AP30" s="861">
        <v>40704</v>
      </c>
      <c r="AQ30" s="865">
        <v>0.56938</v>
      </c>
      <c r="AR30" s="865">
        <v>0.62438000000000005</v>
      </c>
      <c r="AS30" s="865">
        <v>0.69813000000000003</v>
      </c>
      <c r="AT30" s="865">
        <v>0.82438</v>
      </c>
      <c r="AU30" s="865">
        <v>0.89500000000000002</v>
      </c>
      <c r="AV30" s="865">
        <v>0.99938000000000005</v>
      </c>
      <c r="AW30" s="865">
        <v>1.1012500000000001</v>
      </c>
      <c r="AX30" s="865">
        <v>1.5768800000000001</v>
      </c>
      <c r="AZ30" s="861">
        <v>40709</v>
      </c>
      <c r="BA30" s="865">
        <v>2.5</v>
      </c>
      <c r="BB30" s="865">
        <v>2.61</v>
      </c>
      <c r="BC30" s="865">
        <v>2.61</v>
      </c>
      <c r="BD30" s="865">
        <v>2.67</v>
      </c>
      <c r="BE30" s="865">
        <v>2.6555599999999999</v>
      </c>
      <c r="BF30" s="865">
        <v>2.66</v>
      </c>
      <c r="BG30" s="865">
        <v>2.67</v>
      </c>
      <c r="BH30" s="865">
        <v>2.67</v>
      </c>
    </row>
    <row r="31" spans="9:60">
      <c r="I31" s="861">
        <v>40543</v>
      </c>
      <c r="J31" s="862">
        <v>174</v>
      </c>
      <c r="L31" s="861">
        <v>40702</v>
      </c>
      <c r="M31" s="865">
        <v>4.75</v>
      </c>
      <c r="N31" s="865">
        <v>4.8232999999999997</v>
      </c>
      <c r="O31" s="865">
        <v>4.92</v>
      </c>
      <c r="P31" s="865">
        <v>5</v>
      </c>
      <c r="Q31" s="865">
        <v>5.0517000000000003</v>
      </c>
      <c r="R31" s="865">
        <v>5.1050000000000004</v>
      </c>
      <c r="S31" s="865">
        <v>5.16</v>
      </c>
      <c r="T31" s="865">
        <v>5.1718999999999999</v>
      </c>
      <c r="V31" s="861">
        <v>40703</v>
      </c>
      <c r="W31" s="865">
        <v>0.127</v>
      </c>
      <c r="X31" s="865">
        <v>0.18955</v>
      </c>
      <c r="Y31" s="865">
        <v>0.22125</v>
      </c>
      <c r="Z31" s="865">
        <v>0.2495</v>
      </c>
      <c r="AA31" s="865">
        <v>0.28825000000000001</v>
      </c>
      <c r="AB31" s="865">
        <v>0.34375</v>
      </c>
      <c r="AC31" s="865">
        <v>0.39674999999999999</v>
      </c>
      <c r="AD31" s="865">
        <v>0.72250000000000003</v>
      </c>
      <c r="AF31" s="861">
        <v>40703</v>
      </c>
      <c r="AG31" s="865">
        <v>1.36</v>
      </c>
      <c r="AH31" s="865">
        <v>1.21563</v>
      </c>
      <c r="AI31" s="865">
        <v>1.2743800000000001</v>
      </c>
      <c r="AJ31" s="865">
        <v>1.4068799999999999</v>
      </c>
      <c r="AK31" s="865">
        <v>1.48813</v>
      </c>
      <c r="AL31" s="865">
        <v>1.5874999999999999</v>
      </c>
      <c r="AM31" s="865">
        <v>1.6888799999999999</v>
      </c>
      <c r="AN31" s="865">
        <v>2.1168800000000001</v>
      </c>
      <c r="AP31" s="861">
        <v>40703</v>
      </c>
      <c r="AQ31" s="865">
        <v>0.56938</v>
      </c>
      <c r="AR31" s="865">
        <v>0.62438000000000005</v>
      </c>
      <c r="AS31" s="865">
        <v>0.69938</v>
      </c>
      <c r="AT31" s="865">
        <v>0.82438</v>
      </c>
      <c r="AU31" s="865">
        <v>0.89624999999999999</v>
      </c>
      <c r="AV31" s="865">
        <v>1.0006299999999999</v>
      </c>
      <c r="AW31" s="865">
        <v>1.1031299999999999</v>
      </c>
      <c r="AX31" s="865">
        <v>1.57938</v>
      </c>
      <c r="AZ31" s="861">
        <v>40708</v>
      </c>
      <c r="BA31" s="865">
        <v>2.5</v>
      </c>
      <c r="BB31" s="865">
        <v>2.61</v>
      </c>
      <c r="BC31" s="865">
        <v>2.61</v>
      </c>
      <c r="BD31" s="865">
        <v>2.6425000000000001</v>
      </c>
      <c r="BE31" s="865">
        <v>2.65</v>
      </c>
      <c r="BF31" s="865">
        <v>2.66</v>
      </c>
      <c r="BG31" s="865">
        <v>2.67</v>
      </c>
      <c r="BH31" s="865">
        <v>2.67</v>
      </c>
    </row>
    <row r="32" spans="9:60">
      <c r="I32" s="861">
        <v>40633</v>
      </c>
      <c r="J32" s="862">
        <v>176.699997</v>
      </c>
      <c r="L32" s="861">
        <v>40701</v>
      </c>
      <c r="M32" s="865">
        <v>4.75</v>
      </c>
      <c r="N32" s="865">
        <v>4.84</v>
      </c>
      <c r="O32" s="865">
        <v>4.9333</v>
      </c>
      <c r="P32" s="865">
        <v>5.03</v>
      </c>
      <c r="Q32" s="865">
        <v>5.08</v>
      </c>
      <c r="R32" s="865">
        <v>5.1383000000000001</v>
      </c>
      <c r="S32" s="865">
        <v>5.1932999999999998</v>
      </c>
      <c r="T32" s="865">
        <v>5.2392000000000003</v>
      </c>
      <c r="V32" s="861">
        <v>40702</v>
      </c>
      <c r="W32" s="865">
        <v>0.1265</v>
      </c>
      <c r="X32" s="865">
        <v>0.18955</v>
      </c>
      <c r="Y32" s="865">
        <v>0.22225</v>
      </c>
      <c r="Z32" s="865">
        <v>0.25024999999999997</v>
      </c>
      <c r="AA32" s="865">
        <v>0.29049999999999998</v>
      </c>
      <c r="AB32" s="865">
        <v>0.34599999999999997</v>
      </c>
      <c r="AC32" s="865">
        <v>0.39774999999999999</v>
      </c>
      <c r="AD32" s="865">
        <v>0.72175</v>
      </c>
      <c r="AF32" s="861">
        <v>40702</v>
      </c>
      <c r="AG32" s="865">
        <v>1.0787500000000001</v>
      </c>
      <c r="AH32" s="865">
        <v>1.1937500000000001</v>
      </c>
      <c r="AI32" s="865">
        <v>1.2625</v>
      </c>
      <c r="AJ32" s="865">
        <v>1.40063</v>
      </c>
      <c r="AK32" s="865">
        <v>1.48125</v>
      </c>
      <c r="AL32" s="865">
        <v>1.58125</v>
      </c>
      <c r="AM32" s="865">
        <v>1.6845000000000001</v>
      </c>
      <c r="AN32" s="865">
        <v>2.1143800000000001</v>
      </c>
      <c r="AP32" s="861">
        <v>40702</v>
      </c>
      <c r="AQ32" s="865">
        <v>0.57062999999999997</v>
      </c>
      <c r="AR32" s="865">
        <v>0.62438000000000005</v>
      </c>
      <c r="AS32" s="865">
        <v>0.69938</v>
      </c>
      <c r="AT32" s="865">
        <v>0.82438</v>
      </c>
      <c r="AU32" s="865">
        <v>0.89624999999999999</v>
      </c>
      <c r="AV32" s="865">
        <v>1.0006299999999999</v>
      </c>
      <c r="AW32" s="865">
        <v>1.1043799999999999</v>
      </c>
      <c r="AX32" s="865">
        <v>1.58</v>
      </c>
      <c r="AZ32" s="861">
        <v>40707</v>
      </c>
      <c r="BA32" s="865">
        <v>2.5</v>
      </c>
      <c r="BB32" s="865">
        <v>2.61</v>
      </c>
      <c r="BC32" s="865">
        <v>2.6112500000000001</v>
      </c>
      <c r="BD32" s="865">
        <v>2.63375</v>
      </c>
      <c r="BE32" s="865">
        <v>2.68</v>
      </c>
      <c r="BF32" s="865">
        <v>2.69</v>
      </c>
      <c r="BG32" s="865">
        <v>2.6912500000000001</v>
      </c>
      <c r="BH32" s="865">
        <v>2.6912500000000001</v>
      </c>
    </row>
    <row r="33" spans="12:60">
      <c r="L33" s="861">
        <v>40700</v>
      </c>
      <c r="M33" s="865">
        <v>4.75</v>
      </c>
      <c r="N33" s="865">
        <v>4.84</v>
      </c>
      <c r="O33" s="865">
        <v>4.9333</v>
      </c>
      <c r="P33" s="865">
        <v>5.0199999999999996</v>
      </c>
      <c r="Q33" s="865">
        <v>5.07</v>
      </c>
      <c r="R33" s="865">
        <v>5.1367000000000003</v>
      </c>
      <c r="S33" s="865">
        <v>5.2066999999999997</v>
      </c>
      <c r="T33" s="865">
        <v>5.2271000000000001</v>
      </c>
      <c r="V33" s="861">
        <v>40701</v>
      </c>
      <c r="W33" s="865">
        <v>0.1265</v>
      </c>
      <c r="X33" s="865">
        <v>0.18955</v>
      </c>
      <c r="Y33" s="865">
        <v>0.22225</v>
      </c>
      <c r="Z33" s="865">
        <v>0.25174999999999997</v>
      </c>
      <c r="AA33" s="865">
        <v>0.29249999999999998</v>
      </c>
      <c r="AB33" s="865">
        <v>0.34825</v>
      </c>
      <c r="AC33" s="865">
        <v>0.4</v>
      </c>
      <c r="AD33" s="865">
        <v>0.72499999999999998</v>
      </c>
      <c r="AF33" s="861">
        <v>40701</v>
      </c>
      <c r="AG33" s="865">
        <v>0.89375000000000004</v>
      </c>
      <c r="AH33" s="865">
        <v>1.18188</v>
      </c>
      <c r="AI33" s="865">
        <v>1.24875</v>
      </c>
      <c r="AJ33" s="865">
        <v>1.39</v>
      </c>
      <c r="AK33" s="865">
        <v>1.4731300000000001</v>
      </c>
      <c r="AL33" s="865">
        <v>1.57375</v>
      </c>
      <c r="AM33" s="865">
        <v>1.6745000000000001</v>
      </c>
      <c r="AN33" s="865">
        <v>2.1087500000000001</v>
      </c>
      <c r="AP33" s="861">
        <v>40701</v>
      </c>
      <c r="AQ33" s="865">
        <v>0.56813000000000002</v>
      </c>
      <c r="AR33" s="865">
        <v>0.625</v>
      </c>
      <c r="AS33" s="865">
        <v>0.7</v>
      </c>
      <c r="AT33" s="865">
        <v>0.82499999999999996</v>
      </c>
      <c r="AU33" s="865">
        <v>0.89688000000000001</v>
      </c>
      <c r="AV33" s="865">
        <v>1.0024999999999999</v>
      </c>
      <c r="AW33" s="865">
        <v>1.105</v>
      </c>
      <c r="AX33" s="865">
        <v>1.58188</v>
      </c>
      <c r="AZ33" s="861">
        <v>40706</v>
      </c>
      <c r="BA33" s="865">
        <v>2.5</v>
      </c>
      <c r="BB33" s="865" t="s">
        <v>722</v>
      </c>
      <c r="BC33" s="865" t="s">
        <v>722</v>
      </c>
      <c r="BD33" s="865" t="s">
        <v>722</v>
      </c>
      <c r="BE33" s="865" t="s">
        <v>722</v>
      </c>
      <c r="BF33" s="865" t="s">
        <v>722</v>
      </c>
      <c r="BG33" s="865" t="s">
        <v>722</v>
      </c>
      <c r="BH33" s="865" t="s">
        <v>722</v>
      </c>
    </row>
    <row r="34" spans="12:60">
      <c r="L34" s="861">
        <v>40697</v>
      </c>
      <c r="M34" s="865">
        <v>4.75</v>
      </c>
      <c r="N34" s="865">
        <v>4.84</v>
      </c>
      <c r="O34" s="865">
        <v>4.9267000000000003</v>
      </c>
      <c r="P34" s="865">
        <v>5.0083000000000002</v>
      </c>
      <c r="Q34" s="865">
        <v>5.0632999999999999</v>
      </c>
      <c r="R34" s="865">
        <v>5.1166999999999998</v>
      </c>
      <c r="S34" s="865">
        <v>5.1683000000000003</v>
      </c>
      <c r="T34" s="865">
        <v>5.2050999999999998</v>
      </c>
      <c r="V34" s="861">
        <v>40700</v>
      </c>
      <c r="W34" s="865">
        <v>0.126</v>
      </c>
      <c r="X34" s="865">
        <v>0.18955</v>
      </c>
      <c r="Y34" s="865">
        <v>0.2225</v>
      </c>
      <c r="Z34" s="865">
        <v>0.25174999999999997</v>
      </c>
      <c r="AA34" s="865">
        <v>0.29349999999999998</v>
      </c>
      <c r="AB34" s="865">
        <v>0.34925</v>
      </c>
      <c r="AC34" s="865">
        <v>0.40100000000000002</v>
      </c>
      <c r="AD34" s="865">
        <v>0.72499999999999998</v>
      </c>
      <c r="AF34" s="861">
        <v>40700</v>
      </c>
      <c r="AG34" s="865">
        <v>0.89249999999999996</v>
      </c>
      <c r="AH34" s="865">
        <v>1.17875</v>
      </c>
      <c r="AI34" s="865">
        <v>1.24438</v>
      </c>
      <c r="AJ34" s="865">
        <v>1.38313</v>
      </c>
      <c r="AK34" s="865">
        <v>1.46688</v>
      </c>
      <c r="AL34" s="865">
        <v>1.56938</v>
      </c>
      <c r="AM34" s="865">
        <v>1.6701299999999999</v>
      </c>
      <c r="AN34" s="865">
        <v>2.1068799999999999</v>
      </c>
      <c r="AP34" s="861">
        <v>40700</v>
      </c>
      <c r="AQ34" s="865">
        <v>0.56813000000000002</v>
      </c>
      <c r="AR34" s="865">
        <v>0.625</v>
      </c>
      <c r="AS34" s="865">
        <v>0.7</v>
      </c>
      <c r="AT34" s="865">
        <v>0.82625000000000004</v>
      </c>
      <c r="AU34" s="865">
        <v>0.89688000000000001</v>
      </c>
      <c r="AV34" s="865">
        <v>1.0024999999999999</v>
      </c>
      <c r="AW34" s="865">
        <v>1.105</v>
      </c>
      <c r="AX34" s="865">
        <v>1.5825</v>
      </c>
      <c r="AZ34" s="861">
        <v>40704</v>
      </c>
      <c r="BA34" s="865">
        <v>2.5</v>
      </c>
      <c r="BB34" s="865">
        <v>2.61</v>
      </c>
      <c r="BC34" s="865">
        <v>2.61</v>
      </c>
      <c r="BD34" s="865">
        <v>2.63571</v>
      </c>
      <c r="BE34" s="865">
        <v>2.6771400000000001</v>
      </c>
      <c r="BF34" s="865">
        <v>2.6885699999999999</v>
      </c>
      <c r="BG34" s="865">
        <v>2.69143</v>
      </c>
      <c r="BH34" s="865">
        <v>2.69143</v>
      </c>
    </row>
    <row r="35" spans="12:60">
      <c r="L35" s="861">
        <v>40696</v>
      </c>
      <c r="M35" s="865">
        <v>4.75</v>
      </c>
      <c r="N35" s="865">
        <v>4.84</v>
      </c>
      <c r="O35" s="865">
        <v>4.92</v>
      </c>
      <c r="P35" s="865">
        <v>5.0033000000000003</v>
      </c>
      <c r="Q35" s="865">
        <v>5.0533000000000001</v>
      </c>
      <c r="R35" s="865">
        <v>5.1032999999999999</v>
      </c>
      <c r="S35" s="865">
        <v>5.15</v>
      </c>
      <c r="T35" s="865">
        <v>5.1818999999999997</v>
      </c>
      <c r="V35" s="861">
        <v>40697</v>
      </c>
      <c r="W35" s="865">
        <v>0.1265</v>
      </c>
      <c r="X35" s="865">
        <v>0.1898</v>
      </c>
      <c r="Y35" s="865">
        <v>0.22325</v>
      </c>
      <c r="Z35" s="865">
        <v>0.252</v>
      </c>
      <c r="AA35" s="865">
        <v>0.29375000000000001</v>
      </c>
      <c r="AB35" s="865">
        <v>0.34949999999999998</v>
      </c>
      <c r="AC35" s="865">
        <v>0.40100000000000002</v>
      </c>
      <c r="AD35" s="865">
        <v>0.72724999999999995</v>
      </c>
      <c r="AF35" s="861">
        <v>40697</v>
      </c>
      <c r="AG35" s="865">
        <v>0.89500000000000002</v>
      </c>
      <c r="AH35" s="865">
        <v>1.17875</v>
      </c>
      <c r="AI35" s="865">
        <v>1.2437499999999999</v>
      </c>
      <c r="AJ35" s="865">
        <v>1.38313</v>
      </c>
      <c r="AK35" s="865">
        <v>1.4662500000000001</v>
      </c>
      <c r="AL35" s="865">
        <v>1.5662499999999999</v>
      </c>
      <c r="AM35" s="865">
        <v>1.66825</v>
      </c>
      <c r="AN35" s="865">
        <v>2.1062500000000002</v>
      </c>
      <c r="AP35" s="861">
        <v>40697</v>
      </c>
      <c r="AQ35" s="865">
        <v>0.56938</v>
      </c>
      <c r="AR35" s="865">
        <v>0.625</v>
      </c>
      <c r="AS35" s="865">
        <v>0.7</v>
      </c>
      <c r="AT35" s="865">
        <v>0.82625000000000004</v>
      </c>
      <c r="AU35" s="865">
        <v>0.89688000000000001</v>
      </c>
      <c r="AV35" s="865">
        <v>1.0024999999999999</v>
      </c>
      <c r="AW35" s="865">
        <v>1.105</v>
      </c>
      <c r="AX35" s="865">
        <v>1.5825</v>
      </c>
      <c r="AZ35" s="861">
        <v>40703</v>
      </c>
      <c r="BA35" s="865">
        <v>2.5</v>
      </c>
      <c r="BB35" s="865">
        <v>2.61</v>
      </c>
      <c r="BC35" s="865">
        <v>2.62</v>
      </c>
      <c r="BD35" s="865">
        <v>2.6355599999999999</v>
      </c>
      <c r="BE35" s="865">
        <v>2.67889</v>
      </c>
      <c r="BF35" s="865">
        <v>2.6888899999999998</v>
      </c>
      <c r="BG35" s="865">
        <v>2.7</v>
      </c>
      <c r="BH35" s="865">
        <v>2.7</v>
      </c>
    </row>
    <row r="36" spans="12:60">
      <c r="L36" s="861">
        <v>40695</v>
      </c>
      <c r="M36" s="865">
        <v>4.75</v>
      </c>
      <c r="N36" s="865">
        <v>4.8232999999999997</v>
      </c>
      <c r="O36" s="865">
        <v>4.92</v>
      </c>
      <c r="P36" s="865">
        <v>4.99</v>
      </c>
      <c r="Q36" s="865">
        <v>5.04</v>
      </c>
      <c r="R36" s="865">
        <v>5.0883000000000003</v>
      </c>
      <c r="S36" s="865">
        <v>5.14</v>
      </c>
      <c r="T36" s="865">
        <v>5.1478999999999999</v>
      </c>
      <c r="V36" s="861">
        <v>40696</v>
      </c>
      <c r="W36" s="865">
        <v>0.1265</v>
      </c>
      <c r="X36" s="865">
        <v>0.19017999999999999</v>
      </c>
      <c r="Y36" s="865">
        <v>0.22338</v>
      </c>
      <c r="Z36" s="865">
        <v>0.252</v>
      </c>
      <c r="AA36" s="865">
        <v>0.29375000000000001</v>
      </c>
      <c r="AB36" s="865">
        <v>0.34975000000000001</v>
      </c>
      <c r="AC36" s="865">
        <v>0.40138000000000001</v>
      </c>
      <c r="AD36" s="865">
        <v>0.72724999999999995</v>
      </c>
      <c r="AF36" s="861">
        <v>40696</v>
      </c>
      <c r="AG36" s="865">
        <v>0.87250000000000005</v>
      </c>
      <c r="AH36" s="865">
        <v>1.17875</v>
      </c>
      <c r="AI36" s="865">
        <v>1.2424999999999999</v>
      </c>
      <c r="AJ36" s="865">
        <v>1.38313</v>
      </c>
      <c r="AK36" s="865">
        <v>1.4662500000000001</v>
      </c>
      <c r="AL36" s="865">
        <v>1.5625</v>
      </c>
      <c r="AM36" s="865">
        <v>1.6668799999999999</v>
      </c>
      <c r="AN36" s="865">
        <v>2.1062500000000002</v>
      </c>
      <c r="AP36" s="861">
        <v>40696</v>
      </c>
      <c r="AQ36" s="865">
        <v>0.56688000000000005</v>
      </c>
      <c r="AR36" s="865">
        <v>0.625</v>
      </c>
      <c r="AS36" s="865">
        <v>0.7</v>
      </c>
      <c r="AT36" s="865">
        <v>0.82625000000000004</v>
      </c>
      <c r="AU36" s="865">
        <v>0.89688000000000001</v>
      </c>
      <c r="AV36" s="865">
        <v>1.0024999999999999</v>
      </c>
      <c r="AW36" s="865">
        <v>1.105</v>
      </c>
      <c r="AX36" s="865">
        <v>1.5825</v>
      </c>
      <c r="AZ36" s="861">
        <v>40702</v>
      </c>
      <c r="BA36" s="865">
        <v>2.5</v>
      </c>
      <c r="BB36" s="865">
        <v>2.61</v>
      </c>
      <c r="BC36" s="865">
        <v>2.62</v>
      </c>
      <c r="BD36" s="865">
        <v>2.63</v>
      </c>
      <c r="BE36" s="865">
        <v>2.6687500000000002</v>
      </c>
      <c r="BF36" s="865">
        <v>2.6687500000000002</v>
      </c>
      <c r="BG36" s="865">
        <v>2.6687500000000002</v>
      </c>
      <c r="BH36" s="865">
        <v>2.6687500000000002</v>
      </c>
    </row>
    <row r="37" spans="12:60">
      <c r="L37" s="861">
        <v>40694</v>
      </c>
      <c r="M37" s="865">
        <v>4.75</v>
      </c>
      <c r="N37" s="865">
        <v>4.83</v>
      </c>
      <c r="O37" s="865">
        <v>4.9400000000000004</v>
      </c>
      <c r="P37" s="865">
        <v>5.0232999999999999</v>
      </c>
      <c r="Q37" s="865">
        <v>5.07</v>
      </c>
      <c r="R37" s="865">
        <v>5.1166999999999998</v>
      </c>
      <c r="S37" s="865">
        <v>5.165</v>
      </c>
      <c r="T37" s="865">
        <v>5.1543999999999999</v>
      </c>
      <c r="V37" s="861">
        <v>40695</v>
      </c>
      <c r="W37" s="865">
        <v>0.127</v>
      </c>
      <c r="X37" s="865">
        <v>0.19042999999999999</v>
      </c>
      <c r="Y37" s="865">
        <v>0.22363</v>
      </c>
      <c r="Z37" s="865">
        <v>0.25287999999999999</v>
      </c>
      <c r="AA37" s="865">
        <v>0.29463</v>
      </c>
      <c r="AB37" s="865">
        <v>0.35013</v>
      </c>
      <c r="AC37" s="865">
        <v>0.40262999999999999</v>
      </c>
      <c r="AD37" s="865">
        <v>0.72950000000000004</v>
      </c>
      <c r="AF37" s="861">
        <v>40695</v>
      </c>
      <c r="AG37" s="865">
        <v>0.84499999999999997</v>
      </c>
      <c r="AH37" s="865">
        <v>1.18</v>
      </c>
      <c r="AI37" s="865">
        <v>1.2393799999999999</v>
      </c>
      <c r="AJ37" s="865">
        <v>1.38188</v>
      </c>
      <c r="AK37" s="865">
        <v>1.4650000000000001</v>
      </c>
      <c r="AL37" s="865">
        <v>1.56125</v>
      </c>
      <c r="AM37" s="865">
        <v>1.6645000000000001</v>
      </c>
      <c r="AN37" s="865">
        <v>2.1062500000000002</v>
      </c>
      <c r="AP37" s="861">
        <v>40695</v>
      </c>
      <c r="AQ37" s="865">
        <v>0.56813000000000002</v>
      </c>
      <c r="AR37" s="865">
        <v>0.625</v>
      </c>
      <c r="AS37" s="865">
        <v>0.7</v>
      </c>
      <c r="AT37" s="865">
        <v>0.82625000000000004</v>
      </c>
      <c r="AU37" s="865">
        <v>0.89688000000000001</v>
      </c>
      <c r="AV37" s="865">
        <v>1.0024999999999999</v>
      </c>
      <c r="AW37" s="865">
        <v>1.1074999999999999</v>
      </c>
      <c r="AX37" s="865">
        <v>1.585</v>
      </c>
      <c r="AZ37" s="861">
        <v>40701</v>
      </c>
      <c r="BA37" s="865">
        <v>2.5</v>
      </c>
      <c r="BB37" s="865">
        <v>2.61</v>
      </c>
      <c r="BC37" s="865">
        <v>2.61111</v>
      </c>
      <c r="BD37" s="865">
        <v>2.6333299999999999</v>
      </c>
      <c r="BE37" s="865">
        <v>2.67</v>
      </c>
      <c r="BF37" s="865">
        <v>2.67</v>
      </c>
      <c r="BG37" s="865">
        <v>2.67</v>
      </c>
      <c r="BH37" s="865">
        <v>2.67</v>
      </c>
    </row>
    <row r="38" spans="12:60">
      <c r="L38" s="861">
        <v>40693</v>
      </c>
      <c r="M38" s="865">
        <v>4.75</v>
      </c>
      <c r="N38" s="865">
        <v>4.83</v>
      </c>
      <c r="O38" s="865">
        <v>4.9400000000000004</v>
      </c>
      <c r="P38" s="865">
        <v>5.0366999999999997</v>
      </c>
      <c r="Q38" s="865">
        <v>5.0782999999999996</v>
      </c>
      <c r="R38" s="865">
        <v>5.12</v>
      </c>
      <c r="S38" s="865">
        <v>5.17</v>
      </c>
      <c r="T38" s="865">
        <v>5.1727999999999996</v>
      </c>
      <c r="V38" s="861">
        <v>40694</v>
      </c>
      <c r="W38" s="865">
        <v>0.128</v>
      </c>
      <c r="X38" s="865">
        <v>0.19042999999999999</v>
      </c>
      <c r="Y38" s="865">
        <v>0.22413</v>
      </c>
      <c r="Z38" s="865">
        <v>0.25287999999999999</v>
      </c>
      <c r="AA38" s="865">
        <v>0.29463</v>
      </c>
      <c r="AB38" s="865">
        <v>0.35013</v>
      </c>
      <c r="AC38" s="865">
        <v>0.40312999999999999</v>
      </c>
      <c r="AD38" s="865">
        <v>0.72950000000000004</v>
      </c>
      <c r="AF38" s="861">
        <v>40694</v>
      </c>
      <c r="AG38" s="865">
        <v>0.91</v>
      </c>
      <c r="AH38" s="865">
        <v>1.1812499999999999</v>
      </c>
      <c r="AI38" s="865">
        <v>1.2393799999999999</v>
      </c>
      <c r="AJ38" s="865">
        <v>1.38188</v>
      </c>
      <c r="AK38" s="865">
        <v>1.4662500000000001</v>
      </c>
      <c r="AL38" s="865">
        <v>1.5587500000000001</v>
      </c>
      <c r="AM38" s="865">
        <v>1.6657500000000001</v>
      </c>
      <c r="AN38" s="865">
        <v>2.1062500000000002</v>
      </c>
      <c r="AP38" s="861">
        <v>40694</v>
      </c>
      <c r="AQ38" s="865">
        <v>0.56813000000000002</v>
      </c>
      <c r="AR38" s="865">
        <v>0.625</v>
      </c>
      <c r="AS38" s="865">
        <v>0.7</v>
      </c>
      <c r="AT38" s="865">
        <v>0.82625000000000004</v>
      </c>
      <c r="AU38" s="865">
        <v>0.89688000000000001</v>
      </c>
      <c r="AV38" s="865">
        <v>1.0024999999999999</v>
      </c>
      <c r="AW38" s="865">
        <v>1.1074999999999999</v>
      </c>
      <c r="AX38" s="865">
        <v>1.585</v>
      </c>
      <c r="AZ38" s="861">
        <v>40697</v>
      </c>
      <c r="BA38" s="865">
        <v>2.5</v>
      </c>
      <c r="BB38" s="865">
        <v>2.61</v>
      </c>
      <c r="BC38" s="865">
        <v>2.62</v>
      </c>
      <c r="BD38" s="865">
        <v>2.6488900000000002</v>
      </c>
      <c r="BE38" s="865">
        <v>2.67</v>
      </c>
      <c r="BF38" s="865">
        <v>2.67</v>
      </c>
      <c r="BG38" s="865">
        <v>2.67</v>
      </c>
      <c r="BH38" s="865">
        <v>2.67</v>
      </c>
    </row>
    <row r="39" spans="12:60">
      <c r="L39" s="861">
        <v>40690</v>
      </c>
      <c r="M39" s="865">
        <v>4.75</v>
      </c>
      <c r="N39" s="865">
        <v>4.83</v>
      </c>
      <c r="O39" s="865">
        <v>4.9400000000000004</v>
      </c>
      <c r="P39" s="865">
        <v>5.03</v>
      </c>
      <c r="Q39" s="865">
        <v>5.0732999999999997</v>
      </c>
      <c r="R39" s="865">
        <v>5.1150000000000002</v>
      </c>
      <c r="S39" s="865">
        <v>5.1683000000000003</v>
      </c>
      <c r="T39" s="865">
        <v>5.1844999999999999</v>
      </c>
      <c r="V39" s="861">
        <v>40690</v>
      </c>
      <c r="W39" s="865">
        <v>0.127</v>
      </c>
      <c r="X39" s="865">
        <v>0.19103000000000001</v>
      </c>
      <c r="Y39" s="865">
        <v>0.22413</v>
      </c>
      <c r="Z39" s="865">
        <v>0.25387999999999999</v>
      </c>
      <c r="AA39" s="865">
        <v>0.29463</v>
      </c>
      <c r="AB39" s="865">
        <v>0.35013</v>
      </c>
      <c r="AC39" s="865">
        <v>0.40262999999999999</v>
      </c>
      <c r="AD39" s="865">
        <v>0.72950000000000004</v>
      </c>
      <c r="AF39" s="861">
        <v>40693</v>
      </c>
      <c r="AG39" s="865">
        <v>0.86375000000000002</v>
      </c>
      <c r="AH39" s="865">
        <v>1.1812499999999999</v>
      </c>
      <c r="AI39" s="865">
        <v>1.2337499999999999</v>
      </c>
      <c r="AJ39" s="865">
        <v>1.38</v>
      </c>
      <c r="AK39" s="865">
        <v>1.4637500000000001</v>
      </c>
      <c r="AL39" s="865">
        <v>1.55375</v>
      </c>
      <c r="AM39" s="865">
        <v>1.66313</v>
      </c>
      <c r="AN39" s="865">
        <v>2.1012499999999998</v>
      </c>
      <c r="AP39" s="861">
        <v>40690</v>
      </c>
      <c r="AQ39" s="865">
        <v>0.56562999999999997</v>
      </c>
      <c r="AR39" s="865">
        <v>0.625</v>
      </c>
      <c r="AS39" s="865">
        <v>0.7</v>
      </c>
      <c r="AT39" s="865">
        <v>0.82625000000000004</v>
      </c>
      <c r="AU39" s="865">
        <v>0.89624999999999999</v>
      </c>
      <c r="AV39" s="865">
        <v>1.0018800000000001</v>
      </c>
      <c r="AW39" s="865">
        <v>1.1068800000000001</v>
      </c>
      <c r="AX39" s="865">
        <v>1.5843799999999999</v>
      </c>
      <c r="AZ39" s="861">
        <v>40696</v>
      </c>
      <c r="BA39" s="865">
        <v>2.5</v>
      </c>
      <c r="BB39" s="865">
        <v>2.61</v>
      </c>
      <c r="BC39" s="865">
        <v>2.62</v>
      </c>
      <c r="BD39" s="865">
        <v>2.6544400000000001</v>
      </c>
      <c r="BE39" s="865">
        <v>2.6688900000000002</v>
      </c>
      <c r="BF39" s="865">
        <v>2.67</v>
      </c>
      <c r="BG39" s="865">
        <v>2.67</v>
      </c>
      <c r="BH39" s="865">
        <v>2.67</v>
      </c>
    </row>
    <row r="40" spans="12:60">
      <c r="L40" s="861">
        <v>40689</v>
      </c>
      <c r="M40" s="865">
        <v>4.75</v>
      </c>
      <c r="N40" s="865">
        <v>4.8282999999999996</v>
      </c>
      <c r="O40" s="865">
        <v>4.9333</v>
      </c>
      <c r="P40" s="865">
        <v>5.0199999999999996</v>
      </c>
      <c r="Q40" s="865">
        <v>5.07</v>
      </c>
      <c r="R40" s="865">
        <v>5.1150000000000002</v>
      </c>
      <c r="S40" s="865">
        <v>5.18</v>
      </c>
      <c r="T40" s="865">
        <v>5.1809000000000003</v>
      </c>
      <c r="V40" s="861">
        <v>40689</v>
      </c>
      <c r="W40" s="865">
        <v>0.129</v>
      </c>
      <c r="X40" s="865">
        <v>0.19125</v>
      </c>
      <c r="Y40" s="865">
        <v>0.22425</v>
      </c>
      <c r="Z40" s="865">
        <v>0.254</v>
      </c>
      <c r="AA40" s="865">
        <v>0.29475000000000001</v>
      </c>
      <c r="AB40" s="865">
        <v>0.35025000000000001</v>
      </c>
      <c r="AC40" s="865">
        <v>0.40375</v>
      </c>
      <c r="AD40" s="865">
        <v>0.73124999999999996</v>
      </c>
      <c r="AF40" s="861">
        <v>40690</v>
      </c>
      <c r="AG40" s="865">
        <v>0.9325</v>
      </c>
      <c r="AH40" s="865">
        <v>1.18313</v>
      </c>
      <c r="AI40" s="865">
        <v>1.2337499999999999</v>
      </c>
      <c r="AJ40" s="865">
        <v>1.3793800000000001</v>
      </c>
      <c r="AK40" s="865">
        <v>1.4650000000000001</v>
      </c>
      <c r="AL40" s="865">
        <v>1.5525</v>
      </c>
      <c r="AM40" s="865">
        <v>1.66438</v>
      </c>
      <c r="AN40" s="865">
        <v>2.105</v>
      </c>
      <c r="AP40" s="861">
        <v>40689</v>
      </c>
      <c r="AQ40" s="865">
        <v>0.56437999999999999</v>
      </c>
      <c r="AR40" s="865">
        <v>0.625</v>
      </c>
      <c r="AS40" s="865">
        <v>0.7</v>
      </c>
      <c r="AT40" s="865">
        <v>0.82625000000000004</v>
      </c>
      <c r="AU40" s="865">
        <v>0.89749999999999996</v>
      </c>
      <c r="AV40" s="865">
        <v>1.0031300000000001</v>
      </c>
      <c r="AW40" s="865">
        <v>1.1068800000000001</v>
      </c>
      <c r="AX40" s="865">
        <v>1.5856300000000001</v>
      </c>
      <c r="AZ40" s="861">
        <v>40695</v>
      </c>
      <c r="BA40" s="865">
        <v>2.5</v>
      </c>
      <c r="BB40" s="865">
        <v>2.61</v>
      </c>
      <c r="BC40" s="865">
        <v>2.6211099999999998</v>
      </c>
      <c r="BD40" s="865">
        <v>2.67</v>
      </c>
      <c r="BE40" s="865">
        <v>2.67</v>
      </c>
      <c r="BF40" s="865">
        <v>2.67</v>
      </c>
      <c r="BG40" s="865">
        <v>2.67</v>
      </c>
      <c r="BH40" s="865">
        <v>2.67</v>
      </c>
    </row>
    <row r="41" spans="12:60">
      <c r="L41" s="861">
        <v>40688</v>
      </c>
      <c r="M41" s="865">
        <v>4.75</v>
      </c>
      <c r="N41" s="865">
        <v>4.8216999999999999</v>
      </c>
      <c r="O41" s="865">
        <v>4.9400000000000004</v>
      </c>
      <c r="P41" s="865">
        <v>5.0183</v>
      </c>
      <c r="Q41" s="865">
        <v>5.07</v>
      </c>
      <c r="R41" s="865">
        <v>5.1166999999999998</v>
      </c>
      <c r="S41" s="865">
        <v>5.18</v>
      </c>
      <c r="T41" s="865">
        <v>5.1874000000000002</v>
      </c>
      <c r="V41" s="861">
        <v>40688</v>
      </c>
      <c r="W41" s="865">
        <v>0.129</v>
      </c>
      <c r="X41" s="865">
        <v>0.19234999999999999</v>
      </c>
      <c r="Y41" s="865">
        <v>0.22475000000000001</v>
      </c>
      <c r="Z41" s="865">
        <v>0.2545</v>
      </c>
      <c r="AA41" s="865">
        <v>0.29525000000000001</v>
      </c>
      <c r="AB41" s="865">
        <v>0.35025000000000001</v>
      </c>
      <c r="AC41" s="865">
        <v>0.40375</v>
      </c>
      <c r="AD41" s="865">
        <v>0.73124999999999996</v>
      </c>
      <c r="AF41" s="861">
        <v>40689</v>
      </c>
      <c r="AG41" s="865">
        <v>1.0549999999999999</v>
      </c>
      <c r="AH41" s="865">
        <v>1.18875</v>
      </c>
      <c r="AI41" s="865">
        <v>1.23563</v>
      </c>
      <c r="AJ41" s="865">
        <v>1.3812500000000001</v>
      </c>
      <c r="AK41" s="865">
        <v>1.4681299999999999</v>
      </c>
      <c r="AL41" s="865">
        <v>1.5556300000000001</v>
      </c>
      <c r="AM41" s="865">
        <v>1.66825</v>
      </c>
      <c r="AN41" s="865">
        <v>2.1093799999999998</v>
      </c>
      <c r="AP41" s="861">
        <v>40688</v>
      </c>
      <c r="AQ41" s="865">
        <v>0.56437999999999999</v>
      </c>
      <c r="AR41" s="865">
        <v>0.625</v>
      </c>
      <c r="AS41" s="865">
        <v>0.7</v>
      </c>
      <c r="AT41" s="865">
        <v>0.82625000000000004</v>
      </c>
      <c r="AU41" s="865">
        <v>0.89749999999999996</v>
      </c>
      <c r="AV41" s="865">
        <v>1.0031300000000001</v>
      </c>
      <c r="AW41" s="865">
        <v>1.1068800000000001</v>
      </c>
      <c r="AX41" s="865">
        <v>1.5856300000000001</v>
      </c>
      <c r="AZ41" s="861">
        <v>40694</v>
      </c>
      <c r="BA41" s="865">
        <v>2.5</v>
      </c>
      <c r="BB41" s="865">
        <v>2.5977800000000002</v>
      </c>
      <c r="BC41" s="865">
        <v>2.61</v>
      </c>
      <c r="BD41" s="865">
        <v>2.69</v>
      </c>
      <c r="BE41" s="865">
        <v>2.65</v>
      </c>
      <c r="BF41" s="865">
        <v>2.65</v>
      </c>
      <c r="BG41" s="865">
        <v>2.6511100000000001</v>
      </c>
      <c r="BH41" s="865">
        <v>2.6511100000000001</v>
      </c>
    </row>
    <row r="42" spans="12:60">
      <c r="L42" s="861">
        <v>40687</v>
      </c>
      <c r="M42" s="865">
        <v>4.75</v>
      </c>
      <c r="N42" s="865">
        <v>4.8216999999999999</v>
      </c>
      <c r="O42" s="865">
        <v>4.9217000000000004</v>
      </c>
      <c r="P42" s="865">
        <v>4.99</v>
      </c>
      <c r="Q42" s="865">
        <v>5.0682999999999998</v>
      </c>
      <c r="R42" s="865">
        <v>5.1132999999999997</v>
      </c>
      <c r="S42" s="865">
        <v>5.17</v>
      </c>
      <c r="T42" s="865">
        <v>5.1790000000000003</v>
      </c>
      <c r="V42" s="861">
        <v>40687</v>
      </c>
      <c r="W42" s="865">
        <v>0.129</v>
      </c>
      <c r="X42" s="865">
        <v>0.19270000000000001</v>
      </c>
      <c r="Y42" s="865">
        <v>0.22600000000000001</v>
      </c>
      <c r="Z42" s="865">
        <v>0.255</v>
      </c>
      <c r="AA42" s="865">
        <v>0.29575000000000001</v>
      </c>
      <c r="AB42" s="865">
        <v>0.35199999999999998</v>
      </c>
      <c r="AC42" s="865">
        <v>0.40450000000000003</v>
      </c>
      <c r="AD42" s="865">
        <v>0.73175000000000001</v>
      </c>
      <c r="AF42" s="861">
        <v>40688</v>
      </c>
      <c r="AG42" s="865">
        <v>1.1387499999999999</v>
      </c>
      <c r="AH42" s="865">
        <v>1.1950000000000001</v>
      </c>
      <c r="AI42" s="865">
        <v>1.24</v>
      </c>
      <c r="AJ42" s="865">
        <v>1.3843799999999999</v>
      </c>
      <c r="AK42" s="865">
        <v>1.4681299999999999</v>
      </c>
      <c r="AL42" s="865">
        <v>1.5562499999999999</v>
      </c>
      <c r="AM42" s="865">
        <v>1.6695</v>
      </c>
      <c r="AN42" s="865">
        <v>2.1112500000000001</v>
      </c>
      <c r="AP42" s="861">
        <v>40687</v>
      </c>
      <c r="AQ42" s="865">
        <v>0.56499999999999995</v>
      </c>
      <c r="AR42" s="865">
        <v>0.625</v>
      </c>
      <c r="AS42" s="865">
        <v>0.7</v>
      </c>
      <c r="AT42" s="865">
        <v>0.82625000000000004</v>
      </c>
      <c r="AU42" s="865">
        <v>0.89749999999999996</v>
      </c>
      <c r="AV42" s="865">
        <v>1.0031300000000001</v>
      </c>
      <c r="AW42" s="865">
        <v>1.1074999999999999</v>
      </c>
      <c r="AX42" s="865">
        <v>1.58656</v>
      </c>
      <c r="AZ42" s="861">
        <v>40693</v>
      </c>
      <c r="BA42" s="865">
        <v>2.5</v>
      </c>
      <c r="BB42" s="865">
        <v>2.6133299999999999</v>
      </c>
      <c r="BC42" s="865">
        <v>2.61111</v>
      </c>
      <c r="BD42" s="865">
        <v>2.6777799999999998</v>
      </c>
      <c r="BE42" s="865">
        <v>2.6511100000000001</v>
      </c>
      <c r="BF42" s="865">
        <v>2.6511100000000001</v>
      </c>
      <c r="BG42" s="865">
        <v>2.6511100000000001</v>
      </c>
      <c r="BH42" s="865">
        <v>2.6511100000000001</v>
      </c>
    </row>
    <row r="43" spans="12:60">
      <c r="L43" s="861">
        <v>40686</v>
      </c>
      <c r="M43" s="865">
        <v>4.75</v>
      </c>
      <c r="N43" s="865">
        <v>4.82</v>
      </c>
      <c r="O43" s="865">
        <v>4.9283000000000001</v>
      </c>
      <c r="P43" s="865">
        <v>4.9916999999999998</v>
      </c>
      <c r="Q43" s="865">
        <v>5.0632999999999999</v>
      </c>
      <c r="R43" s="865">
        <v>5.1166999999999998</v>
      </c>
      <c r="S43" s="865">
        <v>5.1717000000000004</v>
      </c>
      <c r="T43" s="865">
        <v>5.2011000000000003</v>
      </c>
      <c r="V43" s="861">
        <v>40686</v>
      </c>
      <c r="W43" s="865">
        <v>0.13</v>
      </c>
      <c r="X43" s="865">
        <v>0.19400000000000001</v>
      </c>
      <c r="Y43" s="865">
        <v>0.22700000000000001</v>
      </c>
      <c r="Z43" s="865">
        <v>0.25674999999999998</v>
      </c>
      <c r="AA43" s="865">
        <v>0.29649999999999999</v>
      </c>
      <c r="AB43" s="865">
        <v>0.35249999999999998</v>
      </c>
      <c r="AC43" s="865">
        <v>0.40550000000000003</v>
      </c>
      <c r="AD43" s="865">
        <v>0.73050000000000004</v>
      </c>
      <c r="AF43" s="861">
        <v>40687</v>
      </c>
      <c r="AG43" s="865">
        <v>1.1475</v>
      </c>
      <c r="AH43" s="865">
        <v>1.19625</v>
      </c>
      <c r="AI43" s="865">
        <v>1.24</v>
      </c>
      <c r="AJ43" s="865">
        <v>1.38313</v>
      </c>
      <c r="AK43" s="865">
        <v>1.4693799999999999</v>
      </c>
      <c r="AL43" s="865">
        <v>1.5575000000000001</v>
      </c>
      <c r="AM43" s="865">
        <v>1.6719999999999999</v>
      </c>
      <c r="AN43" s="865">
        <v>2.11625</v>
      </c>
      <c r="AP43" s="861">
        <v>40686</v>
      </c>
      <c r="AQ43" s="865">
        <v>0.56499999999999995</v>
      </c>
      <c r="AR43" s="865">
        <v>0.625</v>
      </c>
      <c r="AS43" s="865">
        <v>0.69938</v>
      </c>
      <c r="AT43" s="865">
        <v>0.82438</v>
      </c>
      <c r="AU43" s="865">
        <v>0.89688000000000001</v>
      </c>
      <c r="AV43" s="865">
        <v>1.0018800000000001</v>
      </c>
      <c r="AW43" s="865">
        <v>1.1074999999999999</v>
      </c>
      <c r="AX43" s="865">
        <v>1.58531</v>
      </c>
      <c r="AZ43" s="861">
        <v>40692</v>
      </c>
      <c r="BA43" s="865">
        <v>2.5</v>
      </c>
      <c r="BB43" s="865" t="s">
        <v>722</v>
      </c>
      <c r="BC43" s="865" t="s">
        <v>722</v>
      </c>
      <c r="BD43" s="865" t="s">
        <v>722</v>
      </c>
      <c r="BE43" s="865" t="s">
        <v>722</v>
      </c>
      <c r="BF43" s="865" t="s">
        <v>722</v>
      </c>
      <c r="BG43" s="865" t="s">
        <v>722</v>
      </c>
      <c r="BH43" s="865" t="s">
        <v>722</v>
      </c>
    </row>
    <row r="44" spans="12:60">
      <c r="L44" s="861">
        <v>40683</v>
      </c>
      <c r="M44" s="865">
        <v>4.75</v>
      </c>
      <c r="N44" s="865">
        <v>4.82</v>
      </c>
      <c r="O44" s="865">
        <v>4.9317000000000002</v>
      </c>
      <c r="P44" s="865">
        <v>5</v>
      </c>
      <c r="Q44" s="865">
        <v>5.07</v>
      </c>
      <c r="R44" s="865">
        <v>5.12</v>
      </c>
      <c r="S44" s="865">
        <v>5.17</v>
      </c>
      <c r="T44" s="865">
        <v>5.2274000000000003</v>
      </c>
      <c r="V44" s="861">
        <v>40683</v>
      </c>
      <c r="W44" s="865">
        <v>0.13</v>
      </c>
      <c r="X44" s="865">
        <v>0.19475000000000001</v>
      </c>
      <c r="Y44" s="865">
        <v>0.22775000000000001</v>
      </c>
      <c r="Z44" s="865">
        <v>0.25750000000000001</v>
      </c>
      <c r="AA44" s="865">
        <v>0.29725000000000001</v>
      </c>
      <c r="AB44" s="865">
        <v>0.35375000000000001</v>
      </c>
      <c r="AC44" s="865">
        <v>0.40725</v>
      </c>
      <c r="AD44" s="865">
        <v>0.73299999999999998</v>
      </c>
      <c r="AF44" s="861">
        <v>40686</v>
      </c>
      <c r="AG44" s="865">
        <v>1.1487499999999999</v>
      </c>
      <c r="AH44" s="865">
        <v>1.19625</v>
      </c>
      <c r="AI44" s="865">
        <v>1.24</v>
      </c>
      <c r="AJ44" s="865">
        <v>1.38375</v>
      </c>
      <c r="AK44" s="865">
        <v>1.4681299999999999</v>
      </c>
      <c r="AL44" s="865">
        <v>1.5575000000000001</v>
      </c>
      <c r="AM44" s="865">
        <v>1.6726300000000001</v>
      </c>
      <c r="AN44" s="865">
        <v>2.11938</v>
      </c>
      <c r="AP44" s="861">
        <v>40683</v>
      </c>
      <c r="AQ44" s="865">
        <v>0.56899999999999995</v>
      </c>
      <c r="AR44" s="865">
        <v>0.625</v>
      </c>
      <c r="AS44" s="865">
        <v>0.69938</v>
      </c>
      <c r="AT44" s="865">
        <v>0.82438</v>
      </c>
      <c r="AU44" s="865">
        <v>0.89688000000000001</v>
      </c>
      <c r="AV44" s="865">
        <v>1.0018800000000001</v>
      </c>
      <c r="AW44" s="865">
        <v>1.10938</v>
      </c>
      <c r="AX44" s="865">
        <v>1.5871900000000001</v>
      </c>
      <c r="AZ44" s="861">
        <v>40690</v>
      </c>
      <c r="BA44" s="865">
        <v>2.5</v>
      </c>
      <c r="BB44" s="865">
        <v>2.6177800000000002</v>
      </c>
      <c r="BC44" s="865">
        <v>2.6177800000000002</v>
      </c>
      <c r="BD44" s="865">
        <v>2.6766700000000001</v>
      </c>
      <c r="BE44" s="865">
        <v>2.6488900000000002</v>
      </c>
      <c r="BF44" s="865">
        <v>2.6411099999999998</v>
      </c>
      <c r="BG44" s="865">
        <v>2.6411099999999998</v>
      </c>
      <c r="BH44" s="865">
        <v>2.6411099999999998</v>
      </c>
    </row>
    <row r="45" spans="12:60">
      <c r="L45" s="861">
        <v>40682</v>
      </c>
      <c r="M45" s="865">
        <v>4.75</v>
      </c>
      <c r="N45" s="865">
        <v>4.82</v>
      </c>
      <c r="O45" s="865">
        <v>4.93</v>
      </c>
      <c r="P45" s="865">
        <v>5.0167000000000002</v>
      </c>
      <c r="Q45" s="865">
        <v>5.0667</v>
      </c>
      <c r="R45" s="865">
        <v>5.12</v>
      </c>
      <c r="S45" s="865">
        <v>5.17</v>
      </c>
      <c r="T45" s="865">
        <v>5.2266000000000004</v>
      </c>
      <c r="V45" s="861">
        <v>40682</v>
      </c>
      <c r="W45" s="865">
        <v>0.13025</v>
      </c>
      <c r="X45" s="865">
        <v>0.19525000000000001</v>
      </c>
      <c r="Y45" s="865">
        <v>0.22825000000000001</v>
      </c>
      <c r="Z45" s="865">
        <v>0.25850000000000001</v>
      </c>
      <c r="AA45" s="865">
        <v>0.29925000000000002</v>
      </c>
      <c r="AB45" s="865">
        <v>0.35525000000000001</v>
      </c>
      <c r="AC45" s="865">
        <v>0.40875</v>
      </c>
      <c r="AD45" s="865">
        <v>0.73699999999999999</v>
      </c>
      <c r="AF45" s="861">
        <v>40683</v>
      </c>
      <c r="AG45" s="865">
        <v>1.1512500000000001</v>
      </c>
      <c r="AH45" s="865">
        <v>1.1950000000000001</v>
      </c>
      <c r="AI45" s="865">
        <v>1.24125</v>
      </c>
      <c r="AJ45" s="865">
        <v>1.38625</v>
      </c>
      <c r="AK45" s="865">
        <v>1.4706300000000001</v>
      </c>
      <c r="AL45" s="865">
        <v>1.56</v>
      </c>
      <c r="AM45" s="865">
        <v>1.67638</v>
      </c>
      <c r="AN45" s="865">
        <v>2.1262500000000002</v>
      </c>
      <c r="AP45" s="861">
        <v>40682</v>
      </c>
      <c r="AQ45" s="865">
        <v>0.57025000000000003</v>
      </c>
      <c r="AR45" s="865">
        <v>0.625</v>
      </c>
      <c r="AS45" s="865">
        <v>0.69938</v>
      </c>
      <c r="AT45" s="865">
        <v>0.82313000000000003</v>
      </c>
      <c r="AU45" s="865">
        <v>0.89563000000000004</v>
      </c>
      <c r="AV45" s="865">
        <v>1.0018800000000001</v>
      </c>
      <c r="AW45" s="865">
        <v>1.10938</v>
      </c>
      <c r="AX45" s="865">
        <v>1.5878099999999999</v>
      </c>
      <c r="AZ45" s="861">
        <v>40689</v>
      </c>
      <c r="BA45" s="865">
        <v>2.5</v>
      </c>
      <c r="BB45" s="865">
        <v>2.61</v>
      </c>
      <c r="BC45" s="865">
        <v>2.62</v>
      </c>
      <c r="BD45" s="865">
        <v>2.6511100000000001</v>
      </c>
      <c r="BE45" s="865">
        <v>2.65</v>
      </c>
      <c r="BF45" s="865">
        <v>2.64222</v>
      </c>
      <c r="BG45" s="865">
        <v>2.64222</v>
      </c>
      <c r="BH45" s="865">
        <v>2.64222</v>
      </c>
    </row>
    <row r="46" spans="12:60">
      <c r="L46" s="861">
        <v>40681</v>
      </c>
      <c r="M46" s="865">
        <v>4.75</v>
      </c>
      <c r="N46" s="865">
        <v>4.8099999999999996</v>
      </c>
      <c r="O46" s="865">
        <v>4.92</v>
      </c>
      <c r="P46" s="865">
        <v>4.99</v>
      </c>
      <c r="Q46" s="865">
        <v>5.0583</v>
      </c>
      <c r="R46" s="865">
        <v>5.1233000000000004</v>
      </c>
      <c r="S46" s="865">
        <v>5.18</v>
      </c>
      <c r="T46" s="865">
        <v>5.2552000000000003</v>
      </c>
      <c r="V46" s="861">
        <v>40681</v>
      </c>
      <c r="W46" s="865">
        <v>0.1305</v>
      </c>
      <c r="X46" s="865">
        <v>0.19575000000000001</v>
      </c>
      <c r="Y46" s="865">
        <v>0.22900000000000001</v>
      </c>
      <c r="Z46" s="865">
        <v>0.26</v>
      </c>
      <c r="AA46" s="865">
        <v>0.29975000000000002</v>
      </c>
      <c r="AB46" s="865">
        <v>0.35625000000000001</v>
      </c>
      <c r="AC46" s="865">
        <v>0.41</v>
      </c>
      <c r="AD46" s="865">
        <v>0.73475000000000001</v>
      </c>
      <c r="AF46" s="861">
        <v>40682</v>
      </c>
      <c r="AG46" s="865">
        <v>1.1487499999999999</v>
      </c>
      <c r="AH46" s="865">
        <v>1.1950000000000001</v>
      </c>
      <c r="AI46" s="865">
        <v>1.2424999999999999</v>
      </c>
      <c r="AJ46" s="865">
        <v>1.3843799999999999</v>
      </c>
      <c r="AK46" s="865">
        <v>1.4693799999999999</v>
      </c>
      <c r="AL46" s="865">
        <v>1.5575000000000001</v>
      </c>
      <c r="AM46" s="865">
        <v>1.67513</v>
      </c>
      <c r="AN46" s="865">
        <v>2.1237499999999998</v>
      </c>
      <c r="AP46" s="861">
        <v>40681</v>
      </c>
      <c r="AQ46" s="865">
        <v>0.57150000000000001</v>
      </c>
      <c r="AR46" s="865">
        <v>0.62438000000000005</v>
      </c>
      <c r="AS46" s="865">
        <v>0.69874999999999998</v>
      </c>
      <c r="AT46" s="865">
        <v>0.82250000000000001</v>
      </c>
      <c r="AU46" s="865">
        <v>0.89500000000000002</v>
      </c>
      <c r="AV46" s="865">
        <v>1.00125</v>
      </c>
      <c r="AW46" s="865">
        <v>1.1087499999999999</v>
      </c>
      <c r="AX46" s="865">
        <v>1.58656</v>
      </c>
      <c r="AZ46" s="861">
        <v>40688</v>
      </c>
      <c r="BA46" s="865">
        <v>2.5</v>
      </c>
      <c r="BB46" s="865">
        <v>2.5988899999999999</v>
      </c>
      <c r="BC46" s="865">
        <v>2.6088900000000002</v>
      </c>
      <c r="BD46" s="865">
        <v>2.67</v>
      </c>
      <c r="BE46" s="865">
        <v>2.6355599999999999</v>
      </c>
      <c r="BF46" s="865">
        <v>2.64</v>
      </c>
      <c r="BG46" s="865">
        <v>2.6411099999999998</v>
      </c>
      <c r="BH46" s="865">
        <v>2.6411099999999998</v>
      </c>
    </row>
    <row r="47" spans="12:60">
      <c r="L47" s="861">
        <v>40680</v>
      </c>
      <c r="M47" s="865">
        <v>4.75</v>
      </c>
      <c r="N47" s="865">
        <v>4.8099999999999996</v>
      </c>
      <c r="O47" s="865">
        <v>4.8883000000000001</v>
      </c>
      <c r="P47" s="865">
        <v>4.9832999999999998</v>
      </c>
      <c r="Q47" s="865">
        <v>5.05</v>
      </c>
      <c r="R47" s="865">
        <v>5.1032999999999999</v>
      </c>
      <c r="S47" s="865">
        <v>5.18</v>
      </c>
      <c r="T47" s="865">
        <v>5.2313999999999998</v>
      </c>
      <c r="V47" s="861">
        <v>40680</v>
      </c>
      <c r="W47" s="865">
        <v>0.1305</v>
      </c>
      <c r="X47" s="865">
        <v>0.19700000000000001</v>
      </c>
      <c r="Y47" s="865">
        <v>0.23050000000000001</v>
      </c>
      <c r="Z47" s="865">
        <v>0.25974999999999998</v>
      </c>
      <c r="AA47" s="865">
        <v>0.30125000000000002</v>
      </c>
      <c r="AB47" s="865">
        <v>0.35825000000000001</v>
      </c>
      <c r="AC47" s="865">
        <v>0.41199999999999998</v>
      </c>
      <c r="AD47" s="865">
        <v>0.73550000000000004</v>
      </c>
      <c r="AF47" s="861">
        <v>40681</v>
      </c>
      <c r="AG47" s="865">
        <v>1.1325000000000001</v>
      </c>
      <c r="AH47" s="865">
        <v>1.1912499999999999</v>
      </c>
      <c r="AI47" s="865">
        <v>1.23563</v>
      </c>
      <c r="AJ47" s="865">
        <v>1.3787499999999999</v>
      </c>
      <c r="AK47" s="865">
        <v>1.4650000000000001</v>
      </c>
      <c r="AL47" s="865">
        <v>1.55375</v>
      </c>
      <c r="AM47" s="865">
        <v>1.6681299999999999</v>
      </c>
      <c r="AN47" s="865">
        <v>2.12</v>
      </c>
      <c r="AP47" s="861">
        <v>40680</v>
      </c>
      <c r="AQ47" s="865">
        <v>0.57150000000000001</v>
      </c>
      <c r="AR47" s="865">
        <v>0.62438000000000005</v>
      </c>
      <c r="AS47" s="865">
        <v>0.69874999999999998</v>
      </c>
      <c r="AT47" s="865">
        <v>0.82250000000000001</v>
      </c>
      <c r="AU47" s="865">
        <v>0.89500000000000002</v>
      </c>
      <c r="AV47" s="865">
        <v>1.00125</v>
      </c>
      <c r="AW47" s="865">
        <v>1.1087499999999999</v>
      </c>
      <c r="AX47" s="865">
        <v>1.58656</v>
      </c>
      <c r="AZ47" s="861">
        <v>40687</v>
      </c>
      <c r="BA47" s="865">
        <v>2.5</v>
      </c>
      <c r="BB47" s="865">
        <v>2.59</v>
      </c>
      <c r="BC47" s="865">
        <v>2.6</v>
      </c>
      <c r="BD47" s="865">
        <v>2.6355599999999999</v>
      </c>
      <c r="BE47" s="865">
        <v>2.6322199999999998</v>
      </c>
      <c r="BF47" s="865">
        <v>2.64</v>
      </c>
      <c r="BG47" s="865">
        <v>2.64</v>
      </c>
      <c r="BH47" s="865">
        <v>2.64</v>
      </c>
    </row>
    <row r="48" spans="12:60">
      <c r="L48" s="861">
        <v>40679</v>
      </c>
      <c r="M48" s="865">
        <v>4.75</v>
      </c>
      <c r="N48" s="865">
        <v>4.8033000000000001</v>
      </c>
      <c r="O48" s="865">
        <v>4.8883000000000001</v>
      </c>
      <c r="P48" s="865">
        <v>4.9733000000000001</v>
      </c>
      <c r="Q48" s="865">
        <v>5.0316999999999998</v>
      </c>
      <c r="R48" s="865">
        <v>5.0867000000000004</v>
      </c>
      <c r="S48" s="865">
        <v>5.14</v>
      </c>
      <c r="T48" s="865">
        <v>5.2104999999999997</v>
      </c>
      <c r="V48" s="861">
        <v>40679</v>
      </c>
      <c r="W48" s="865">
        <v>0.13150000000000001</v>
      </c>
      <c r="X48" s="865">
        <v>0.19700000000000001</v>
      </c>
      <c r="Y48" s="865">
        <v>0.23050000000000001</v>
      </c>
      <c r="Z48" s="865">
        <v>0.26050000000000001</v>
      </c>
      <c r="AA48" s="865">
        <v>0.30199999999999999</v>
      </c>
      <c r="AB48" s="865">
        <v>0.35899999999999999</v>
      </c>
      <c r="AC48" s="865">
        <v>0.41249999999999998</v>
      </c>
      <c r="AD48" s="865">
        <v>0.73550000000000004</v>
      </c>
      <c r="AF48" s="861">
        <v>40680</v>
      </c>
      <c r="AG48" s="865">
        <v>1.10375</v>
      </c>
      <c r="AH48" s="865">
        <v>1.1868799999999999</v>
      </c>
      <c r="AI48" s="865">
        <v>1.2350000000000001</v>
      </c>
      <c r="AJ48" s="865">
        <v>1.3781300000000001</v>
      </c>
      <c r="AK48" s="865">
        <v>1.46438</v>
      </c>
      <c r="AL48" s="865">
        <v>1.5518799999999999</v>
      </c>
      <c r="AM48" s="865">
        <v>1.665</v>
      </c>
      <c r="AN48" s="865">
        <v>2.11625</v>
      </c>
      <c r="AP48" s="861">
        <v>40679</v>
      </c>
      <c r="AQ48" s="865">
        <v>0.57150000000000001</v>
      </c>
      <c r="AR48" s="865">
        <v>0.62438000000000005</v>
      </c>
      <c r="AS48" s="865">
        <v>0.69874999999999998</v>
      </c>
      <c r="AT48" s="865">
        <v>0.82188000000000005</v>
      </c>
      <c r="AU48" s="865">
        <v>0.89437999999999995</v>
      </c>
      <c r="AV48" s="865">
        <v>1.0006299999999999</v>
      </c>
      <c r="AW48" s="865">
        <v>1.1081300000000001</v>
      </c>
      <c r="AX48" s="865">
        <v>1.58531</v>
      </c>
      <c r="AZ48" s="861">
        <v>40686</v>
      </c>
      <c r="BA48" s="865">
        <v>2.5</v>
      </c>
      <c r="BB48" s="865">
        <v>2.57429</v>
      </c>
      <c r="BC48" s="865">
        <v>2.6014300000000001</v>
      </c>
      <c r="BD48" s="865">
        <v>2.63429</v>
      </c>
      <c r="BE48" s="865">
        <v>2.6314299999999999</v>
      </c>
      <c r="BF48" s="865">
        <v>2.64</v>
      </c>
      <c r="BG48" s="865">
        <v>2.64</v>
      </c>
      <c r="BH48" s="865">
        <v>2.64</v>
      </c>
    </row>
    <row r="49" spans="12:60">
      <c r="L49" s="861">
        <v>40676</v>
      </c>
      <c r="M49" s="865">
        <v>4.75</v>
      </c>
      <c r="N49" s="865">
        <v>4.8099999999999996</v>
      </c>
      <c r="O49" s="865">
        <v>4.92</v>
      </c>
      <c r="P49" s="865">
        <v>5.04</v>
      </c>
      <c r="Q49" s="865">
        <v>5.0833000000000004</v>
      </c>
      <c r="R49" s="865">
        <v>5.1349999999999998</v>
      </c>
      <c r="S49" s="865">
        <v>5.2</v>
      </c>
      <c r="T49" s="865">
        <v>5.234</v>
      </c>
      <c r="V49" s="861">
        <v>40676</v>
      </c>
      <c r="W49" s="865">
        <v>0.13150000000000001</v>
      </c>
      <c r="X49" s="865">
        <v>0.1971</v>
      </c>
      <c r="Y49" s="865">
        <v>0.23075000000000001</v>
      </c>
      <c r="Z49" s="865">
        <v>0.26050000000000001</v>
      </c>
      <c r="AA49" s="865">
        <v>0.30225000000000002</v>
      </c>
      <c r="AB49" s="865">
        <v>0.36149999999999999</v>
      </c>
      <c r="AC49" s="865">
        <v>0.41499999999999998</v>
      </c>
      <c r="AD49" s="865">
        <v>0.73799999999999999</v>
      </c>
      <c r="AF49" s="861">
        <v>40679</v>
      </c>
      <c r="AG49" s="865">
        <v>1.0987499999999999</v>
      </c>
      <c r="AH49" s="865">
        <v>1.1875</v>
      </c>
      <c r="AI49" s="865">
        <v>1.23438</v>
      </c>
      <c r="AJ49" s="865">
        <v>1.3774999999999999</v>
      </c>
      <c r="AK49" s="865">
        <v>1.4624999999999999</v>
      </c>
      <c r="AL49" s="865">
        <v>1.55125</v>
      </c>
      <c r="AM49" s="865">
        <v>1.6656299999999999</v>
      </c>
      <c r="AN49" s="865">
        <v>2.1150000000000002</v>
      </c>
      <c r="AP49" s="861">
        <v>40676</v>
      </c>
      <c r="AQ49" s="865">
        <v>0.57462999999999997</v>
      </c>
      <c r="AR49" s="865">
        <v>0.62438000000000005</v>
      </c>
      <c r="AS49" s="865">
        <v>0.7</v>
      </c>
      <c r="AT49" s="865">
        <v>0.82188000000000005</v>
      </c>
      <c r="AU49" s="865">
        <v>0.89437999999999995</v>
      </c>
      <c r="AV49" s="865">
        <v>1.0006299999999999</v>
      </c>
      <c r="AW49" s="865">
        <v>1.1081300000000001</v>
      </c>
      <c r="AX49" s="865">
        <v>1.58531</v>
      </c>
      <c r="AZ49" s="861">
        <v>40685</v>
      </c>
      <c r="BA49" s="865">
        <v>2.5</v>
      </c>
      <c r="BB49" s="865" t="s">
        <v>722</v>
      </c>
      <c r="BC49" s="865" t="s">
        <v>722</v>
      </c>
      <c r="BD49" s="865" t="s">
        <v>722</v>
      </c>
      <c r="BE49" s="865" t="s">
        <v>722</v>
      </c>
      <c r="BF49" s="865" t="s">
        <v>722</v>
      </c>
      <c r="BG49" s="865" t="s">
        <v>722</v>
      </c>
      <c r="BH49" s="865" t="s">
        <v>722</v>
      </c>
    </row>
    <row r="50" spans="12:60">
      <c r="L50" s="861">
        <v>40675</v>
      </c>
      <c r="M50" s="865">
        <v>4.75</v>
      </c>
      <c r="N50" s="865">
        <v>4.8150000000000004</v>
      </c>
      <c r="O50" s="865">
        <v>4.8982999999999999</v>
      </c>
      <c r="P50" s="865">
        <v>5.0599999999999996</v>
      </c>
      <c r="Q50" s="865">
        <v>5.0949999999999998</v>
      </c>
      <c r="R50" s="865">
        <v>5.1449999999999996</v>
      </c>
      <c r="S50" s="865">
        <v>5.2117000000000004</v>
      </c>
      <c r="T50" s="865">
        <v>5.2732999999999999</v>
      </c>
      <c r="V50" s="861">
        <v>40675</v>
      </c>
      <c r="W50" s="865">
        <v>0.13150000000000001</v>
      </c>
      <c r="X50" s="865">
        <v>0.19800000000000001</v>
      </c>
      <c r="Y50" s="865">
        <v>0.23100000000000001</v>
      </c>
      <c r="Z50" s="865">
        <v>0.26074999999999998</v>
      </c>
      <c r="AA50" s="865">
        <v>0.30349999999999999</v>
      </c>
      <c r="AB50" s="865">
        <v>0.36325000000000002</v>
      </c>
      <c r="AC50" s="865">
        <v>0.41699999999999998</v>
      </c>
      <c r="AD50" s="865">
        <v>0.73799999999999999</v>
      </c>
      <c r="AF50" s="861">
        <v>40676</v>
      </c>
      <c r="AG50" s="865">
        <v>1.07125</v>
      </c>
      <c r="AH50" s="865">
        <v>1.1850000000000001</v>
      </c>
      <c r="AI50" s="865">
        <v>1.23438</v>
      </c>
      <c r="AJ50" s="865">
        <v>1.3743799999999999</v>
      </c>
      <c r="AK50" s="865">
        <v>1.4581299999999999</v>
      </c>
      <c r="AL50" s="865">
        <v>1.5475000000000001</v>
      </c>
      <c r="AM50" s="865">
        <v>1.6625000000000001</v>
      </c>
      <c r="AN50" s="865">
        <v>2.1124999999999998</v>
      </c>
      <c r="AP50" s="861">
        <v>40675</v>
      </c>
      <c r="AQ50" s="865">
        <v>0.57462999999999997</v>
      </c>
      <c r="AR50" s="865">
        <v>0.62438000000000005</v>
      </c>
      <c r="AS50" s="865">
        <v>0.7</v>
      </c>
      <c r="AT50" s="865">
        <v>0.82188000000000005</v>
      </c>
      <c r="AU50" s="865">
        <v>0.89437999999999995</v>
      </c>
      <c r="AV50" s="865">
        <v>1.0006299999999999</v>
      </c>
      <c r="AW50" s="865">
        <v>1.10938</v>
      </c>
      <c r="AX50" s="865">
        <v>1.58656</v>
      </c>
      <c r="AZ50" s="861">
        <v>40683</v>
      </c>
      <c r="BA50" s="865">
        <v>2.5</v>
      </c>
      <c r="BB50" s="865">
        <v>2.59</v>
      </c>
      <c r="BC50" s="865">
        <v>2.62</v>
      </c>
      <c r="BD50" s="865">
        <v>2.65889</v>
      </c>
      <c r="BE50" s="865">
        <v>2.6333299999999999</v>
      </c>
      <c r="BF50" s="865">
        <v>2.64</v>
      </c>
      <c r="BG50" s="865">
        <v>2.64</v>
      </c>
      <c r="BH50" s="865">
        <v>2.64</v>
      </c>
    </row>
    <row r="51" spans="12:60">
      <c r="L51" s="861">
        <v>40674</v>
      </c>
      <c r="M51" s="865">
        <v>4.75</v>
      </c>
      <c r="N51" s="865">
        <v>4.8099999999999996</v>
      </c>
      <c r="O51" s="865">
        <v>4.8867000000000003</v>
      </c>
      <c r="P51" s="865">
        <v>5.0250000000000004</v>
      </c>
      <c r="Q51" s="865">
        <v>5.0816999999999997</v>
      </c>
      <c r="R51" s="865">
        <v>5.1433</v>
      </c>
      <c r="S51" s="865">
        <v>5.21</v>
      </c>
      <c r="T51" s="865">
        <v>5.2961999999999998</v>
      </c>
      <c r="V51" s="861">
        <v>40674</v>
      </c>
      <c r="W51" s="865">
        <v>0.13200000000000001</v>
      </c>
      <c r="X51" s="865">
        <v>0.19875000000000001</v>
      </c>
      <c r="Y51" s="865">
        <v>0.23200000000000001</v>
      </c>
      <c r="Z51" s="865">
        <v>0.26224999999999998</v>
      </c>
      <c r="AA51" s="865">
        <v>0.30563000000000001</v>
      </c>
      <c r="AB51" s="865">
        <v>0.36599999999999999</v>
      </c>
      <c r="AC51" s="865">
        <v>0.42049999999999998</v>
      </c>
      <c r="AD51" s="865">
        <v>0.74250000000000005</v>
      </c>
      <c r="AF51" s="861">
        <v>40675</v>
      </c>
      <c r="AG51" s="865">
        <v>1.0175000000000001</v>
      </c>
      <c r="AH51" s="865">
        <v>1.1850000000000001</v>
      </c>
      <c r="AI51" s="865">
        <v>1.2350000000000001</v>
      </c>
      <c r="AJ51" s="865">
        <v>1.37313</v>
      </c>
      <c r="AK51" s="865">
        <v>1.45563</v>
      </c>
      <c r="AL51" s="865">
        <v>1.5449999999999999</v>
      </c>
      <c r="AM51" s="865">
        <v>1.65625</v>
      </c>
      <c r="AN51" s="865">
        <v>2.1087500000000001</v>
      </c>
      <c r="AP51" s="861">
        <v>40674</v>
      </c>
      <c r="AQ51" s="865">
        <v>0.57462999999999997</v>
      </c>
      <c r="AR51" s="865">
        <v>0.62563000000000002</v>
      </c>
      <c r="AS51" s="865">
        <v>0.7</v>
      </c>
      <c r="AT51" s="865">
        <v>0.82250000000000001</v>
      </c>
      <c r="AU51" s="865">
        <v>0.89500000000000002</v>
      </c>
      <c r="AV51" s="865">
        <v>1.00125</v>
      </c>
      <c r="AW51" s="865">
        <v>1.1112500000000001</v>
      </c>
      <c r="AX51" s="865">
        <v>1.5890599999999999</v>
      </c>
      <c r="AZ51" s="861">
        <v>40682</v>
      </c>
      <c r="BA51" s="865">
        <v>2.5</v>
      </c>
      <c r="BB51" s="865">
        <v>2.6</v>
      </c>
      <c r="BC51" s="865">
        <v>2.62</v>
      </c>
      <c r="BD51" s="865">
        <v>2.64</v>
      </c>
      <c r="BE51" s="865">
        <v>2.6344400000000001</v>
      </c>
      <c r="BF51" s="865">
        <v>2.64</v>
      </c>
      <c r="BG51" s="865">
        <v>2.64</v>
      </c>
      <c r="BH51" s="865">
        <v>2.64</v>
      </c>
    </row>
    <row r="52" spans="12:60">
      <c r="L52" s="861">
        <v>40673</v>
      </c>
      <c r="M52" s="865">
        <v>4.75</v>
      </c>
      <c r="N52" s="865">
        <v>4.8099999999999996</v>
      </c>
      <c r="O52" s="865">
        <v>4.9132999999999996</v>
      </c>
      <c r="P52" s="865">
        <v>5.04</v>
      </c>
      <c r="Q52" s="865">
        <v>5.0816999999999997</v>
      </c>
      <c r="R52" s="865">
        <v>5.1367000000000003</v>
      </c>
      <c r="S52" s="865">
        <v>5.1982999999999997</v>
      </c>
      <c r="T52" s="865">
        <v>5.2835000000000001</v>
      </c>
      <c r="V52" s="861">
        <v>40673</v>
      </c>
      <c r="W52" s="865">
        <v>0.13225000000000001</v>
      </c>
      <c r="X52" s="865">
        <v>0.20025000000000001</v>
      </c>
      <c r="Y52" s="865">
        <v>0.23375000000000001</v>
      </c>
      <c r="Z52" s="865">
        <v>0.26400000000000001</v>
      </c>
      <c r="AA52" s="865">
        <v>0.30687999999999999</v>
      </c>
      <c r="AB52" s="865">
        <v>0.36699999999999999</v>
      </c>
      <c r="AC52" s="865">
        <v>0.42125000000000001</v>
      </c>
      <c r="AD52" s="865">
        <v>0.74350000000000005</v>
      </c>
      <c r="AF52" s="861">
        <v>40674</v>
      </c>
      <c r="AG52" s="865">
        <v>1.0024999999999999</v>
      </c>
      <c r="AH52" s="865">
        <v>1.1912499999999999</v>
      </c>
      <c r="AI52" s="865">
        <v>1.23875</v>
      </c>
      <c r="AJ52" s="865">
        <v>1.3768800000000001</v>
      </c>
      <c r="AK52" s="865">
        <v>1.4593799999999999</v>
      </c>
      <c r="AL52" s="865">
        <v>1.54813</v>
      </c>
      <c r="AM52" s="865">
        <v>1.6595</v>
      </c>
      <c r="AN52" s="865">
        <v>2.1150000000000002</v>
      </c>
      <c r="AP52" s="861">
        <v>40673</v>
      </c>
      <c r="AQ52" s="865">
        <v>0.57587999999999995</v>
      </c>
      <c r="AR52" s="865">
        <v>0.62563000000000002</v>
      </c>
      <c r="AS52" s="865">
        <v>0.7</v>
      </c>
      <c r="AT52" s="865">
        <v>0.82188000000000005</v>
      </c>
      <c r="AU52" s="865">
        <v>0.89437999999999995</v>
      </c>
      <c r="AV52" s="865">
        <v>1.0006299999999999</v>
      </c>
      <c r="AW52" s="865">
        <v>1.10938</v>
      </c>
      <c r="AX52" s="865">
        <v>1.58344</v>
      </c>
      <c r="AZ52" s="861">
        <v>40681</v>
      </c>
      <c r="BA52" s="865">
        <v>2.5</v>
      </c>
      <c r="BB52" s="865">
        <v>2.5944400000000001</v>
      </c>
      <c r="BC52" s="865">
        <v>2.62</v>
      </c>
      <c r="BD52" s="865">
        <v>2.65</v>
      </c>
      <c r="BE52" s="865">
        <v>2.6344400000000001</v>
      </c>
      <c r="BF52" s="865">
        <v>2.6411099999999998</v>
      </c>
      <c r="BG52" s="865">
        <v>2.6411099999999998</v>
      </c>
      <c r="BH52" s="865">
        <v>2.6411099999999998</v>
      </c>
    </row>
    <row r="53" spans="12:60">
      <c r="L53" s="861">
        <v>40672</v>
      </c>
      <c r="M53" s="865">
        <v>4.75</v>
      </c>
      <c r="N53" s="865">
        <v>4.8099999999999996</v>
      </c>
      <c r="O53" s="865">
        <v>4.9233000000000002</v>
      </c>
      <c r="P53" s="865">
        <v>5.0416999999999996</v>
      </c>
      <c r="Q53" s="865">
        <v>5.0933000000000002</v>
      </c>
      <c r="R53" s="865">
        <v>5.15</v>
      </c>
      <c r="S53" s="865">
        <v>5.22</v>
      </c>
      <c r="T53" s="865">
        <v>5.3098000000000001</v>
      </c>
      <c r="V53" s="861">
        <v>40672</v>
      </c>
      <c r="W53" s="865">
        <v>0.13225000000000001</v>
      </c>
      <c r="X53" s="865">
        <v>0.20185</v>
      </c>
      <c r="Y53" s="865">
        <v>0.23574999999999999</v>
      </c>
      <c r="Z53" s="865">
        <v>0.26574999999999999</v>
      </c>
      <c r="AA53" s="865">
        <v>0.309</v>
      </c>
      <c r="AB53" s="865">
        <v>0.36899999999999999</v>
      </c>
      <c r="AC53" s="865">
        <v>0.42325000000000002</v>
      </c>
      <c r="AD53" s="865">
        <v>0.74650000000000005</v>
      </c>
      <c r="AF53" s="861">
        <v>40673</v>
      </c>
      <c r="AG53" s="865">
        <v>1.05</v>
      </c>
      <c r="AH53" s="865">
        <v>1.2012499999999999</v>
      </c>
      <c r="AI53" s="865">
        <v>1.24688</v>
      </c>
      <c r="AJ53" s="865">
        <v>1.38063</v>
      </c>
      <c r="AK53" s="865">
        <v>1.46</v>
      </c>
      <c r="AL53" s="865">
        <v>1.5487500000000001</v>
      </c>
      <c r="AM53" s="865">
        <v>1.6657500000000001</v>
      </c>
      <c r="AN53" s="865">
        <v>2.11625</v>
      </c>
      <c r="AP53" s="861">
        <v>40672</v>
      </c>
      <c r="AQ53" s="865">
        <v>0.57587999999999995</v>
      </c>
      <c r="AR53" s="865">
        <v>0.62563000000000002</v>
      </c>
      <c r="AS53" s="865">
        <v>0.7</v>
      </c>
      <c r="AT53" s="865">
        <v>0.82188000000000005</v>
      </c>
      <c r="AU53" s="865">
        <v>0.89437999999999995</v>
      </c>
      <c r="AV53" s="865">
        <v>1.0018800000000001</v>
      </c>
      <c r="AW53" s="865">
        <v>1.11063</v>
      </c>
      <c r="AX53" s="865">
        <v>1.58344</v>
      </c>
      <c r="AZ53" s="861">
        <v>40680</v>
      </c>
      <c r="BA53" s="865">
        <v>2.5</v>
      </c>
      <c r="BB53" s="865">
        <v>2.58</v>
      </c>
      <c r="BC53" s="865">
        <v>2.63</v>
      </c>
      <c r="BD53" s="865">
        <v>2.64</v>
      </c>
      <c r="BE53" s="865">
        <v>2.64</v>
      </c>
      <c r="BF53" s="865">
        <v>2.64</v>
      </c>
      <c r="BG53" s="865">
        <v>2.64</v>
      </c>
      <c r="BH53" s="865">
        <v>2.64</v>
      </c>
    </row>
    <row r="54" spans="12:60">
      <c r="L54" s="861">
        <v>40669</v>
      </c>
      <c r="M54" s="865">
        <v>4.75</v>
      </c>
      <c r="N54" s="865">
        <v>4.8049999999999997</v>
      </c>
      <c r="O54" s="865">
        <v>4.8783000000000003</v>
      </c>
      <c r="P54" s="865">
        <v>4.9800000000000004</v>
      </c>
      <c r="Q54" s="865">
        <v>5.0083000000000002</v>
      </c>
      <c r="R54" s="865">
        <v>5.0583</v>
      </c>
      <c r="S54" s="865">
        <v>5.12</v>
      </c>
      <c r="T54" s="865">
        <v>5.1795</v>
      </c>
      <c r="V54" s="861">
        <v>40669</v>
      </c>
      <c r="W54" s="865">
        <v>0.13225000000000001</v>
      </c>
      <c r="X54" s="865">
        <v>0.20385</v>
      </c>
      <c r="Y54" s="865">
        <v>0.23699999999999999</v>
      </c>
      <c r="Z54" s="865">
        <v>0.26700000000000002</v>
      </c>
      <c r="AA54" s="865">
        <v>0.31025000000000003</v>
      </c>
      <c r="AB54" s="865">
        <v>0.37025000000000002</v>
      </c>
      <c r="AC54" s="865">
        <v>0.42499999999999999</v>
      </c>
      <c r="AD54" s="865">
        <v>0.749</v>
      </c>
      <c r="AF54" s="861">
        <v>40672</v>
      </c>
      <c r="AG54" s="865">
        <v>0.6</v>
      </c>
      <c r="AH54" s="865">
        <v>1.2075</v>
      </c>
      <c r="AI54" s="865">
        <v>1.24688</v>
      </c>
      <c r="AJ54" s="865">
        <v>1.3774999999999999</v>
      </c>
      <c r="AK54" s="865">
        <v>1.4618800000000001</v>
      </c>
      <c r="AL54" s="865">
        <v>1.54938</v>
      </c>
      <c r="AM54" s="865">
        <v>1.6645000000000001</v>
      </c>
      <c r="AN54" s="865">
        <v>2.11625</v>
      </c>
      <c r="AP54" s="861">
        <v>40669</v>
      </c>
      <c r="AQ54" s="865">
        <v>0.57587999999999995</v>
      </c>
      <c r="AR54" s="865">
        <v>0.62563000000000002</v>
      </c>
      <c r="AS54" s="865">
        <v>0.7</v>
      </c>
      <c r="AT54" s="865">
        <v>0.82188000000000005</v>
      </c>
      <c r="AU54" s="865">
        <v>0.89437999999999995</v>
      </c>
      <c r="AV54" s="865">
        <v>1.0018800000000001</v>
      </c>
      <c r="AW54" s="865">
        <v>1.11063</v>
      </c>
      <c r="AX54" s="865">
        <v>1.58344</v>
      </c>
      <c r="AZ54" s="861">
        <v>40679</v>
      </c>
      <c r="BA54" s="865">
        <v>2.5</v>
      </c>
      <c r="BB54" s="865">
        <v>2.58</v>
      </c>
      <c r="BC54" s="865">
        <v>2.65</v>
      </c>
      <c r="BD54" s="865">
        <v>2.65</v>
      </c>
      <c r="BE54" s="865">
        <v>2.6411099999999998</v>
      </c>
      <c r="BF54" s="865">
        <v>2.6411099999999998</v>
      </c>
      <c r="BG54" s="865">
        <v>2.6411099999999998</v>
      </c>
      <c r="BH54" s="865">
        <v>2.6411099999999998</v>
      </c>
    </row>
    <row r="55" spans="12:60">
      <c r="L55" s="861">
        <v>40668</v>
      </c>
      <c r="M55" s="865">
        <v>4.75</v>
      </c>
      <c r="N55" s="865">
        <v>4.8099999999999996</v>
      </c>
      <c r="O55" s="865">
        <v>4.87</v>
      </c>
      <c r="P55" s="865">
        <v>4.95</v>
      </c>
      <c r="Q55" s="865">
        <v>5.0016999999999996</v>
      </c>
      <c r="R55" s="865">
        <v>5.0583</v>
      </c>
      <c r="S55" s="865">
        <v>5.12</v>
      </c>
      <c r="T55" s="865">
        <v>5.2102000000000004</v>
      </c>
      <c r="V55" s="861">
        <v>40668</v>
      </c>
      <c r="W55" s="865">
        <v>0.13150000000000001</v>
      </c>
      <c r="X55" s="865">
        <v>0.20619999999999999</v>
      </c>
      <c r="Y55" s="865">
        <v>0.23824999999999999</v>
      </c>
      <c r="Z55" s="865">
        <v>0.26824999999999999</v>
      </c>
      <c r="AA55" s="865">
        <v>0.31225000000000003</v>
      </c>
      <c r="AB55" s="865">
        <v>0.37275000000000003</v>
      </c>
      <c r="AC55" s="865">
        <v>0.42699999999999999</v>
      </c>
      <c r="AD55" s="865">
        <v>0.752</v>
      </c>
      <c r="AF55" s="861">
        <v>40669</v>
      </c>
      <c r="AG55" s="865">
        <v>0.61250000000000004</v>
      </c>
      <c r="AH55" s="865">
        <v>1.2006300000000001</v>
      </c>
      <c r="AI55" s="865">
        <v>1.24</v>
      </c>
      <c r="AJ55" s="865">
        <v>1.37063</v>
      </c>
      <c r="AK55" s="865">
        <v>1.45313</v>
      </c>
      <c r="AL55" s="865">
        <v>1.5475000000000001</v>
      </c>
      <c r="AM55" s="865">
        <v>1.65513</v>
      </c>
      <c r="AN55" s="865">
        <v>2.1181299999999998</v>
      </c>
      <c r="AP55" s="861">
        <v>40668</v>
      </c>
      <c r="AQ55" s="865">
        <v>0.57713000000000003</v>
      </c>
      <c r="AR55" s="865">
        <v>0.62563000000000002</v>
      </c>
      <c r="AS55" s="865">
        <v>0.7</v>
      </c>
      <c r="AT55" s="865">
        <v>0.82188000000000005</v>
      </c>
      <c r="AU55" s="865">
        <v>0.89437999999999995</v>
      </c>
      <c r="AV55" s="865">
        <v>1.0018800000000001</v>
      </c>
      <c r="AW55" s="865">
        <v>1.11188</v>
      </c>
      <c r="AX55" s="865">
        <v>1.58344</v>
      </c>
      <c r="AZ55" s="861">
        <v>40676</v>
      </c>
      <c r="BA55" s="865">
        <v>2.5</v>
      </c>
      <c r="BB55" s="865">
        <v>2.58</v>
      </c>
      <c r="BC55" s="865">
        <v>2.64778</v>
      </c>
      <c r="BD55" s="865">
        <v>2.69</v>
      </c>
      <c r="BE55" s="865">
        <v>2.6455600000000001</v>
      </c>
      <c r="BF55" s="865">
        <v>2.6455600000000001</v>
      </c>
      <c r="BG55" s="865">
        <v>2.6455600000000001</v>
      </c>
      <c r="BH55" s="865">
        <v>2.6455600000000001</v>
      </c>
    </row>
    <row r="56" spans="12:60">
      <c r="L56" s="861">
        <v>40667</v>
      </c>
      <c r="M56" s="865">
        <v>4.75</v>
      </c>
      <c r="N56" s="865">
        <v>4.82</v>
      </c>
      <c r="O56" s="865">
        <v>4.8682999999999996</v>
      </c>
      <c r="P56" s="865">
        <v>4.9400000000000004</v>
      </c>
      <c r="Q56" s="865">
        <v>4.9882999999999997</v>
      </c>
      <c r="R56" s="865">
        <v>5.04</v>
      </c>
      <c r="S56" s="865">
        <v>5.12</v>
      </c>
      <c r="T56" s="865">
        <v>5.1931000000000003</v>
      </c>
      <c r="V56" s="861">
        <v>40667</v>
      </c>
      <c r="W56" s="865">
        <v>0.13350000000000001</v>
      </c>
      <c r="X56" s="865">
        <v>0.20899999999999999</v>
      </c>
      <c r="Y56" s="865">
        <v>0.23974999999999999</v>
      </c>
      <c r="Z56" s="865">
        <v>0.27024999999999999</v>
      </c>
      <c r="AA56" s="865">
        <v>0.31424999999999997</v>
      </c>
      <c r="AB56" s="865">
        <v>0.37524999999999997</v>
      </c>
      <c r="AC56" s="865">
        <v>0.42849999999999999</v>
      </c>
      <c r="AD56" s="865">
        <v>0.75624999999999998</v>
      </c>
      <c r="AF56" s="861">
        <v>40668</v>
      </c>
      <c r="AG56" s="865">
        <v>0.88</v>
      </c>
      <c r="AH56" s="865">
        <v>1.20313</v>
      </c>
      <c r="AI56" s="865">
        <v>1.2450000000000001</v>
      </c>
      <c r="AJ56" s="865">
        <v>1.3793800000000001</v>
      </c>
      <c r="AK56" s="865">
        <v>1.46688</v>
      </c>
      <c r="AL56" s="865">
        <v>1.56</v>
      </c>
      <c r="AM56" s="865">
        <v>1.66825</v>
      </c>
      <c r="AN56" s="865">
        <v>2.13313</v>
      </c>
      <c r="AP56" s="861">
        <v>40667</v>
      </c>
      <c r="AQ56" s="865">
        <v>0.57838000000000001</v>
      </c>
      <c r="AR56" s="865">
        <v>0.62563000000000002</v>
      </c>
      <c r="AS56" s="865">
        <v>0.7</v>
      </c>
      <c r="AT56" s="865">
        <v>0.82188000000000005</v>
      </c>
      <c r="AU56" s="865">
        <v>0.89488000000000001</v>
      </c>
      <c r="AV56" s="865">
        <v>1.0018800000000001</v>
      </c>
      <c r="AW56" s="865">
        <v>1.11313</v>
      </c>
      <c r="AX56" s="865">
        <v>1.58344</v>
      </c>
      <c r="AZ56" s="861">
        <v>40675</v>
      </c>
      <c r="BA56" s="865">
        <v>2.5</v>
      </c>
      <c r="BB56" s="865">
        <v>2.58</v>
      </c>
      <c r="BC56" s="865">
        <v>2.6462500000000002</v>
      </c>
      <c r="BD56" s="865">
        <v>2.6887500000000002</v>
      </c>
      <c r="BE56" s="865">
        <v>2.6487500000000002</v>
      </c>
      <c r="BF56" s="865">
        <v>2.6487500000000002</v>
      </c>
      <c r="BG56" s="865">
        <v>2.6487500000000002</v>
      </c>
      <c r="BH56" s="865">
        <v>2.6487500000000002</v>
      </c>
    </row>
    <row r="57" spans="12:60">
      <c r="L57" s="861">
        <v>40666</v>
      </c>
      <c r="M57" s="865">
        <v>4.75</v>
      </c>
      <c r="N57" s="865">
        <v>4.82</v>
      </c>
      <c r="O57" s="865">
        <v>4.88</v>
      </c>
      <c r="P57" s="865">
        <v>4.96</v>
      </c>
      <c r="Q57" s="865">
        <v>4.9916999999999998</v>
      </c>
      <c r="R57" s="865">
        <v>5.0483000000000002</v>
      </c>
      <c r="S57" s="865">
        <v>5.1233000000000004</v>
      </c>
      <c r="T57" s="865">
        <v>5.1938000000000004</v>
      </c>
      <c r="V57" s="861">
        <v>40666</v>
      </c>
      <c r="W57" s="865">
        <v>0.13400000000000001</v>
      </c>
      <c r="X57" s="865">
        <v>0.20949999999999999</v>
      </c>
      <c r="Y57" s="865">
        <v>0.24124999999999999</v>
      </c>
      <c r="Z57" s="865">
        <v>0.27224999999999999</v>
      </c>
      <c r="AA57" s="865">
        <v>0.31587999999999999</v>
      </c>
      <c r="AB57" s="865">
        <v>0.37724999999999997</v>
      </c>
      <c r="AC57" s="865">
        <v>0.43025000000000002</v>
      </c>
      <c r="AD57" s="865">
        <v>0.75775000000000003</v>
      </c>
      <c r="AF57" s="861">
        <v>40667</v>
      </c>
      <c r="AG57" s="865">
        <v>1.0762499999999999</v>
      </c>
      <c r="AH57" s="865">
        <v>1.1993799999999999</v>
      </c>
      <c r="AI57" s="865">
        <v>1.23438</v>
      </c>
      <c r="AJ57" s="865">
        <v>1.36625</v>
      </c>
      <c r="AK57" s="865">
        <v>1.4518800000000001</v>
      </c>
      <c r="AL57" s="865">
        <v>1.5462499999999999</v>
      </c>
      <c r="AM57" s="865">
        <v>1.6557500000000001</v>
      </c>
      <c r="AN57" s="865">
        <v>2.1181299999999998</v>
      </c>
      <c r="AP57" s="861">
        <v>40666</v>
      </c>
      <c r="AQ57" s="865">
        <v>0.58087999999999995</v>
      </c>
      <c r="AR57" s="865">
        <v>0.62563000000000002</v>
      </c>
      <c r="AS57" s="865">
        <v>0.7</v>
      </c>
      <c r="AT57" s="865">
        <v>0.82188000000000005</v>
      </c>
      <c r="AU57" s="865">
        <v>0.89488000000000001</v>
      </c>
      <c r="AV57" s="865">
        <v>1.0031300000000001</v>
      </c>
      <c r="AW57" s="865">
        <v>1.115</v>
      </c>
      <c r="AX57" s="865">
        <v>1.58656</v>
      </c>
      <c r="AZ57" s="861">
        <v>40674</v>
      </c>
      <c r="BA57" s="865">
        <v>2.5</v>
      </c>
      <c r="BB57" s="865">
        <v>2.58</v>
      </c>
      <c r="BC57" s="865">
        <v>2.64778</v>
      </c>
      <c r="BD57" s="865">
        <v>2.67889</v>
      </c>
      <c r="BE57" s="865">
        <v>2.6444399999999999</v>
      </c>
      <c r="BF57" s="865">
        <v>2.6444399999999999</v>
      </c>
      <c r="BG57" s="865">
        <v>2.6444399999999999</v>
      </c>
      <c r="BH57" s="865">
        <v>2.6444399999999999</v>
      </c>
    </row>
    <row r="58" spans="12:60">
      <c r="L58" s="861">
        <v>40665</v>
      </c>
      <c r="M58" s="865">
        <v>4.75</v>
      </c>
      <c r="N58" s="865">
        <v>4.8282999999999996</v>
      </c>
      <c r="O58" s="865">
        <v>4.8666999999999998</v>
      </c>
      <c r="P58" s="865">
        <v>4.92</v>
      </c>
      <c r="Q58" s="865">
        <v>4.9767000000000001</v>
      </c>
      <c r="R58" s="865">
        <v>5.0232999999999999</v>
      </c>
      <c r="S58" s="865">
        <v>5.0999999999999996</v>
      </c>
      <c r="T58" s="865">
        <v>5.1750999999999996</v>
      </c>
      <c r="V58" s="861">
        <v>40661</v>
      </c>
      <c r="W58" s="865">
        <v>0.13375000000000001</v>
      </c>
      <c r="X58" s="865">
        <v>0.21024999999999999</v>
      </c>
      <c r="Y58" s="865">
        <v>0.24224999999999999</v>
      </c>
      <c r="Z58" s="865">
        <v>0.27300000000000002</v>
      </c>
      <c r="AA58" s="865">
        <v>0.31624999999999998</v>
      </c>
      <c r="AB58" s="865">
        <v>0.37774999999999997</v>
      </c>
      <c r="AC58" s="865">
        <v>0.43049999999999999</v>
      </c>
      <c r="AD58" s="865">
        <v>0.76100000000000001</v>
      </c>
      <c r="AF58" s="861">
        <v>40666</v>
      </c>
      <c r="AG58" s="865">
        <v>1.3075000000000001</v>
      </c>
      <c r="AH58" s="865">
        <v>1.1993799999999999</v>
      </c>
      <c r="AI58" s="865">
        <v>1.23125</v>
      </c>
      <c r="AJ58" s="865">
        <v>1.35625</v>
      </c>
      <c r="AK58" s="865">
        <v>1.4437500000000001</v>
      </c>
      <c r="AL58" s="865">
        <v>1.53688</v>
      </c>
      <c r="AM58" s="865">
        <v>1.64625</v>
      </c>
      <c r="AN58" s="865">
        <v>2.1037499999999998</v>
      </c>
      <c r="AP58" s="861">
        <v>40661</v>
      </c>
      <c r="AQ58" s="865">
        <v>0.58087999999999995</v>
      </c>
      <c r="AR58" s="865">
        <v>0.62375000000000003</v>
      </c>
      <c r="AS58" s="865">
        <v>0.70062999999999998</v>
      </c>
      <c r="AT58" s="865">
        <v>0.82188000000000005</v>
      </c>
      <c r="AU58" s="865">
        <v>0.89612999999999998</v>
      </c>
      <c r="AV58" s="865">
        <v>1.0043800000000001</v>
      </c>
      <c r="AW58" s="865">
        <v>1.11625</v>
      </c>
      <c r="AX58" s="865">
        <v>1.5915600000000001</v>
      </c>
      <c r="AZ58" s="861">
        <v>40673</v>
      </c>
      <c r="BA58" s="865">
        <v>2.5</v>
      </c>
      <c r="BB58" s="865">
        <v>2.58</v>
      </c>
      <c r="BC58" s="865">
        <v>2.6466699999999999</v>
      </c>
      <c r="BD58" s="865">
        <v>2.6644399999999999</v>
      </c>
      <c r="BE58" s="865">
        <v>2.64222</v>
      </c>
      <c r="BF58" s="865">
        <v>2.64222</v>
      </c>
      <c r="BG58" s="865">
        <v>2.64222</v>
      </c>
      <c r="BH58" s="865">
        <v>2.64222</v>
      </c>
    </row>
    <row r="59" spans="12:60">
      <c r="L59" s="861">
        <v>40662</v>
      </c>
      <c r="M59" s="865">
        <v>4.75</v>
      </c>
      <c r="N59" s="865">
        <v>4.8266999999999998</v>
      </c>
      <c r="O59" s="865">
        <v>4.8600000000000003</v>
      </c>
      <c r="P59" s="865">
        <v>4.92</v>
      </c>
      <c r="Q59" s="865">
        <v>4.9717000000000002</v>
      </c>
      <c r="R59" s="865">
        <v>5.0266999999999999</v>
      </c>
      <c r="S59" s="865">
        <v>5.0732999999999997</v>
      </c>
      <c r="T59" s="865">
        <v>5.1368999999999998</v>
      </c>
      <c r="V59" s="861">
        <v>40660</v>
      </c>
      <c r="W59" s="865">
        <v>0.13475000000000001</v>
      </c>
      <c r="X59" s="865">
        <v>0.21049999999999999</v>
      </c>
      <c r="Y59" s="865">
        <v>0.24224999999999999</v>
      </c>
      <c r="Z59" s="865">
        <v>0.27324999999999999</v>
      </c>
      <c r="AA59" s="865">
        <v>0.31863000000000002</v>
      </c>
      <c r="AB59" s="865">
        <v>0.37974999999999998</v>
      </c>
      <c r="AC59" s="865">
        <v>0.43175000000000002</v>
      </c>
      <c r="AD59" s="865">
        <v>0.76249999999999996</v>
      </c>
      <c r="AF59" s="861">
        <v>40665</v>
      </c>
      <c r="AG59" s="865">
        <v>1.3162499999999999</v>
      </c>
      <c r="AH59" s="865">
        <v>1.1912499999999999</v>
      </c>
      <c r="AI59" s="865">
        <v>1.2281299999999999</v>
      </c>
      <c r="AJ59" s="865">
        <v>1.3512500000000001</v>
      </c>
      <c r="AK59" s="865">
        <v>1.44</v>
      </c>
      <c r="AL59" s="865">
        <v>1.53</v>
      </c>
      <c r="AM59" s="865">
        <v>1.6412500000000001</v>
      </c>
      <c r="AN59" s="865">
        <v>2.1025</v>
      </c>
      <c r="AP59" s="861">
        <v>40660</v>
      </c>
      <c r="AQ59" s="865">
        <v>0.57587999999999995</v>
      </c>
      <c r="AR59" s="865">
        <v>0.62375000000000003</v>
      </c>
      <c r="AS59" s="865">
        <v>0.70062999999999998</v>
      </c>
      <c r="AT59" s="865">
        <v>0.82188000000000005</v>
      </c>
      <c r="AU59" s="865">
        <v>0.89563000000000004</v>
      </c>
      <c r="AV59" s="865">
        <v>1.0043800000000001</v>
      </c>
      <c r="AW59" s="865">
        <v>1.1168800000000001</v>
      </c>
      <c r="AX59" s="865">
        <v>1.59375</v>
      </c>
      <c r="AZ59" s="861">
        <v>40672</v>
      </c>
      <c r="BA59" s="865">
        <v>2.5</v>
      </c>
      <c r="BB59" s="865">
        <v>2.5811099999999998</v>
      </c>
      <c r="BC59" s="865">
        <v>2.6466699999999999</v>
      </c>
      <c r="BD59" s="865">
        <v>2.66778</v>
      </c>
      <c r="BE59" s="865">
        <v>2.64222</v>
      </c>
      <c r="BF59" s="865">
        <v>2.64222</v>
      </c>
      <c r="BG59" s="865">
        <v>2.64222</v>
      </c>
      <c r="BH59" s="865">
        <v>2.64222</v>
      </c>
    </row>
    <row r="60" spans="12:60">
      <c r="L60" s="861">
        <v>40661</v>
      </c>
      <c r="M60" s="865">
        <v>4.75</v>
      </c>
      <c r="N60" s="865">
        <v>4.8</v>
      </c>
      <c r="O60" s="865">
        <v>4.8600000000000003</v>
      </c>
      <c r="P60" s="865">
        <v>4.92</v>
      </c>
      <c r="Q60" s="865">
        <v>4.9683000000000002</v>
      </c>
      <c r="R60" s="865">
        <v>5.0067000000000004</v>
      </c>
      <c r="S60" s="865">
        <v>5.04</v>
      </c>
      <c r="T60" s="865">
        <v>5.1680999999999999</v>
      </c>
      <c r="V60" s="861">
        <v>40659</v>
      </c>
      <c r="W60" s="865">
        <v>0.13500000000000001</v>
      </c>
      <c r="X60" s="865">
        <v>0.21135000000000001</v>
      </c>
      <c r="Y60" s="865">
        <v>0.24224999999999999</v>
      </c>
      <c r="Z60" s="865">
        <v>0.27274999999999999</v>
      </c>
      <c r="AA60" s="865">
        <v>0.31924999999999998</v>
      </c>
      <c r="AB60" s="865">
        <v>0.3805</v>
      </c>
      <c r="AC60" s="865">
        <v>0.43225000000000002</v>
      </c>
      <c r="AD60" s="865">
        <v>0.76200000000000001</v>
      </c>
      <c r="AF60" s="861">
        <v>40662</v>
      </c>
      <c r="AG60" s="865">
        <v>1.4337500000000001</v>
      </c>
      <c r="AH60" s="865">
        <v>1.18875</v>
      </c>
      <c r="AI60" s="865">
        <v>1.2237499999999999</v>
      </c>
      <c r="AJ60" s="865">
        <v>1.345</v>
      </c>
      <c r="AK60" s="865">
        <v>1.4337500000000001</v>
      </c>
      <c r="AL60" s="865">
        <v>1.5237499999999999</v>
      </c>
      <c r="AM60" s="865">
        <v>1.635</v>
      </c>
      <c r="AN60" s="865">
        <v>2.0968800000000001</v>
      </c>
      <c r="AP60" s="861">
        <v>40659</v>
      </c>
      <c r="AQ60" s="865">
        <v>0.57399999999999995</v>
      </c>
      <c r="AR60" s="865">
        <v>0.62250000000000005</v>
      </c>
      <c r="AS60" s="865">
        <v>0.69813000000000003</v>
      </c>
      <c r="AT60" s="865">
        <v>0.81938</v>
      </c>
      <c r="AU60" s="865">
        <v>0.89500000000000002</v>
      </c>
      <c r="AV60" s="865">
        <v>1.0024999999999999</v>
      </c>
      <c r="AW60" s="865">
        <v>1.115</v>
      </c>
      <c r="AX60" s="865">
        <v>1.58813</v>
      </c>
      <c r="AZ60" s="861">
        <v>40669</v>
      </c>
      <c r="BA60" s="865">
        <v>2.5</v>
      </c>
      <c r="BB60" s="865">
        <v>2.59</v>
      </c>
      <c r="BC60" s="865">
        <v>2.6488900000000002</v>
      </c>
      <c r="BD60" s="865">
        <v>2.6377799999999998</v>
      </c>
      <c r="BE60" s="865">
        <v>2.6411099999999998</v>
      </c>
      <c r="BF60" s="865">
        <v>2.6411099999999998</v>
      </c>
      <c r="BG60" s="865">
        <v>2.6411099999999998</v>
      </c>
      <c r="BH60" s="865">
        <v>2.6411099999999998</v>
      </c>
    </row>
    <row r="61" spans="12:60">
      <c r="L61" s="861">
        <v>40660</v>
      </c>
      <c r="M61" s="865">
        <v>4.75</v>
      </c>
      <c r="N61" s="865">
        <v>4.8</v>
      </c>
      <c r="O61" s="865">
        <v>4.8499999999999996</v>
      </c>
      <c r="P61" s="865">
        <v>4.8899999999999997</v>
      </c>
      <c r="Q61" s="865">
        <v>4.9283000000000001</v>
      </c>
      <c r="R61" s="865">
        <v>4.9767000000000001</v>
      </c>
      <c r="S61" s="865">
        <v>5.0049999999999999</v>
      </c>
      <c r="T61" s="865">
        <v>5.0872999999999999</v>
      </c>
      <c r="V61" s="861">
        <v>40654</v>
      </c>
      <c r="W61" s="865">
        <v>0.13550000000000001</v>
      </c>
      <c r="X61" s="865">
        <v>0.21260000000000001</v>
      </c>
      <c r="Y61" s="865">
        <v>0.24324999999999999</v>
      </c>
      <c r="Z61" s="865">
        <v>0.27374999999999999</v>
      </c>
      <c r="AA61" s="865">
        <v>0.32074999999999998</v>
      </c>
      <c r="AB61" s="865">
        <v>0.38274999999999998</v>
      </c>
      <c r="AC61" s="865">
        <v>0.43325000000000002</v>
      </c>
      <c r="AD61" s="865">
        <v>0.76200000000000001</v>
      </c>
      <c r="AF61" s="861">
        <v>40661</v>
      </c>
      <c r="AG61" s="865">
        <v>1.2875000000000001</v>
      </c>
      <c r="AH61" s="865">
        <v>1.18</v>
      </c>
      <c r="AI61" s="865">
        <v>1.2150000000000001</v>
      </c>
      <c r="AJ61" s="865">
        <v>1.3387500000000001</v>
      </c>
      <c r="AK61" s="865">
        <v>1.42563</v>
      </c>
      <c r="AL61" s="865">
        <v>1.5162500000000001</v>
      </c>
      <c r="AM61" s="865">
        <v>1.63063</v>
      </c>
      <c r="AN61" s="865">
        <v>2.0931299999999999</v>
      </c>
      <c r="AP61" s="861">
        <v>40654</v>
      </c>
      <c r="AQ61" s="865">
        <v>0.57213000000000003</v>
      </c>
      <c r="AR61" s="865">
        <v>0.62250000000000005</v>
      </c>
      <c r="AS61" s="865">
        <v>0.69813000000000003</v>
      </c>
      <c r="AT61" s="865">
        <v>0.81938</v>
      </c>
      <c r="AU61" s="865">
        <v>0.89500000000000002</v>
      </c>
      <c r="AV61" s="865">
        <v>1.0024999999999999</v>
      </c>
      <c r="AW61" s="865">
        <v>1.11625</v>
      </c>
      <c r="AX61" s="865">
        <v>1.59063</v>
      </c>
      <c r="AZ61" s="861">
        <v>40668</v>
      </c>
      <c r="BA61" s="865">
        <v>2.5</v>
      </c>
      <c r="BB61" s="865">
        <v>2.59</v>
      </c>
      <c r="BC61" s="865">
        <v>2.65</v>
      </c>
      <c r="BD61" s="865">
        <v>2.6566700000000001</v>
      </c>
      <c r="BE61" s="865">
        <v>2.6411099999999998</v>
      </c>
      <c r="BF61" s="865">
        <v>2.6411099999999998</v>
      </c>
      <c r="BG61" s="865">
        <v>2.64222</v>
      </c>
      <c r="BH61" s="865">
        <v>2.64222</v>
      </c>
    </row>
    <row r="62" spans="12:60">
      <c r="L62" s="861">
        <v>40654</v>
      </c>
      <c r="M62" s="865">
        <v>4.75</v>
      </c>
      <c r="N62" s="865">
        <v>4.79</v>
      </c>
      <c r="O62" s="865">
        <v>4.8499999999999996</v>
      </c>
      <c r="P62" s="865">
        <v>4.9000000000000004</v>
      </c>
      <c r="Q62" s="865">
        <v>4.9249999999999998</v>
      </c>
      <c r="R62" s="865">
        <v>4.96</v>
      </c>
      <c r="S62" s="865">
        <v>5</v>
      </c>
      <c r="T62" s="865">
        <v>5.0923999999999996</v>
      </c>
      <c r="V62" s="861">
        <v>40653</v>
      </c>
      <c r="W62" s="865">
        <v>0.13350000000000001</v>
      </c>
      <c r="X62" s="865">
        <v>0.21260000000000001</v>
      </c>
      <c r="Y62" s="865">
        <v>0.24324999999999999</v>
      </c>
      <c r="Z62" s="865">
        <v>0.27374999999999999</v>
      </c>
      <c r="AA62" s="865">
        <v>0.32074999999999998</v>
      </c>
      <c r="AB62" s="865">
        <v>0.38300000000000001</v>
      </c>
      <c r="AC62" s="865">
        <v>0.43325000000000002</v>
      </c>
      <c r="AD62" s="865">
        <v>0.76300000000000001</v>
      </c>
      <c r="AF62" s="861">
        <v>40660</v>
      </c>
      <c r="AG62" s="865">
        <v>1.2762500000000001</v>
      </c>
      <c r="AH62" s="865">
        <v>1.16625</v>
      </c>
      <c r="AI62" s="865">
        <v>1.2006300000000001</v>
      </c>
      <c r="AJ62" s="865">
        <v>1.32813</v>
      </c>
      <c r="AK62" s="865">
        <v>1.4175</v>
      </c>
      <c r="AL62" s="865">
        <v>1.51125</v>
      </c>
      <c r="AM62" s="865">
        <v>1.62188</v>
      </c>
      <c r="AN62" s="865">
        <v>2.0837500000000002</v>
      </c>
      <c r="AP62" s="861">
        <v>40653</v>
      </c>
      <c r="AQ62" s="865">
        <v>0.56688000000000005</v>
      </c>
      <c r="AR62" s="865">
        <v>0.62250000000000005</v>
      </c>
      <c r="AS62" s="865">
        <v>0.69813000000000003</v>
      </c>
      <c r="AT62" s="865">
        <v>0.81938</v>
      </c>
      <c r="AU62" s="865">
        <v>0.89500000000000002</v>
      </c>
      <c r="AV62" s="865">
        <v>1.0024999999999999</v>
      </c>
      <c r="AW62" s="865">
        <v>1.11625</v>
      </c>
      <c r="AX62" s="865">
        <v>1.59063</v>
      </c>
      <c r="AZ62" s="861">
        <v>40667</v>
      </c>
      <c r="BA62" s="865">
        <v>2.5</v>
      </c>
      <c r="BB62" s="865">
        <v>2.58</v>
      </c>
      <c r="BC62" s="865">
        <v>2.65</v>
      </c>
      <c r="BD62" s="865">
        <v>2.65</v>
      </c>
      <c r="BE62" s="865">
        <v>2.6411099999999998</v>
      </c>
      <c r="BF62" s="865">
        <v>2.6411099999999998</v>
      </c>
      <c r="BG62" s="865">
        <v>2.6411099999999998</v>
      </c>
      <c r="BH62" s="865">
        <v>2.6411099999999998</v>
      </c>
    </row>
    <row r="63" spans="12:60">
      <c r="L63" s="861">
        <v>40653</v>
      </c>
      <c r="M63" s="865">
        <v>4.75</v>
      </c>
      <c r="N63" s="865">
        <v>4.79</v>
      </c>
      <c r="O63" s="865">
        <v>4.84</v>
      </c>
      <c r="P63" s="865">
        <v>4.84</v>
      </c>
      <c r="Q63" s="865">
        <v>4.9000000000000004</v>
      </c>
      <c r="R63" s="865">
        <v>4.9516999999999998</v>
      </c>
      <c r="S63" s="865">
        <v>4.9932999999999996</v>
      </c>
      <c r="T63" s="865">
        <v>5.0723000000000003</v>
      </c>
      <c r="V63" s="861">
        <v>40652</v>
      </c>
      <c r="W63" s="865">
        <v>0.13350000000000001</v>
      </c>
      <c r="X63" s="865">
        <v>0.21260000000000001</v>
      </c>
      <c r="Y63" s="865">
        <v>0.24324999999999999</v>
      </c>
      <c r="Z63" s="865">
        <v>0.27374999999999999</v>
      </c>
      <c r="AA63" s="865">
        <v>0.32074999999999998</v>
      </c>
      <c r="AB63" s="865">
        <v>0.38300000000000001</v>
      </c>
      <c r="AC63" s="865">
        <v>0.43375000000000002</v>
      </c>
      <c r="AD63" s="865">
        <v>0.76249999999999996</v>
      </c>
      <c r="AF63" s="861">
        <v>40659</v>
      </c>
      <c r="AG63" s="865">
        <v>1.2825</v>
      </c>
      <c r="AH63" s="865">
        <v>1.1512500000000001</v>
      </c>
      <c r="AI63" s="865">
        <v>1.1868799999999999</v>
      </c>
      <c r="AJ63" s="865">
        <v>1.32125</v>
      </c>
      <c r="AK63" s="865">
        <v>1.415</v>
      </c>
      <c r="AL63" s="865">
        <v>1.51</v>
      </c>
      <c r="AM63" s="865">
        <v>1.6156299999999999</v>
      </c>
      <c r="AN63" s="865">
        <v>2.0825</v>
      </c>
      <c r="AP63" s="861">
        <v>40652</v>
      </c>
      <c r="AQ63" s="865">
        <v>0.56688000000000005</v>
      </c>
      <c r="AR63" s="865">
        <v>0.62250000000000005</v>
      </c>
      <c r="AS63" s="865">
        <v>0.69813000000000003</v>
      </c>
      <c r="AT63" s="865">
        <v>0.81938</v>
      </c>
      <c r="AU63" s="865">
        <v>0.89500000000000002</v>
      </c>
      <c r="AV63" s="865">
        <v>1.0024999999999999</v>
      </c>
      <c r="AW63" s="865">
        <v>1.11625</v>
      </c>
      <c r="AX63" s="865">
        <v>1.59063</v>
      </c>
      <c r="AZ63" s="861">
        <v>40666</v>
      </c>
      <c r="BA63" s="865">
        <v>2.5</v>
      </c>
      <c r="BB63" s="865">
        <v>2.58</v>
      </c>
      <c r="BC63" s="865">
        <v>2.6488900000000002</v>
      </c>
      <c r="BD63" s="865">
        <v>2.67</v>
      </c>
      <c r="BE63" s="865">
        <v>2.6411099999999998</v>
      </c>
      <c r="BF63" s="865">
        <v>2.6411099999999998</v>
      </c>
      <c r="BG63" s="865">
        <v>2.6411099999999998</v>
      </c>
      <c r="BH63" s="865">
        <v>2.6411099999999998</v>
      </c>
    </row>
    <row r="64" spans="12:60">
      <c r="L64" s="861">
        <v>40652</v>
      </c>
      <c r="M64" s="865">
        <v>4.75</v>
      </c>
      <c r="N64" s="865">
        <v>4.79</v>
      </c>
      <c r="O64" s="865">
        <v>4.8417000000000003</v>
      </c>
      <c r="P64" s="865">
        <v>4.8600000000000003</v>
      </c>
      <c r="Q64" s="865">
        <v>4.9132999999999996</v>
      </c>
      <c r="R64" s="865">
        <v>4.96</v>
      </c>
      <c r="S64" s="865">
        <v>4.9966999999999997</v>
      </c>
      <c r="T64" s="865">
        <v>5.0620000000000003</v>
      </c>
      <c r="V64" s="861">
        <v>40651</v>
      </c>
      <c r="W64" s="865">
        <v>0.13450000000000001</v>
      </c>
      <c r="X64" s="865">
        <v>0.21295</v>
      </c>
      <c r="Y64" s="865">
        <v>0.24349999999999999</v>
      </c>
      <c r="Z64" s="865">
        <v>0.27400000000000002</v>
      </c>
      <c r="AA64" s="865">
        <v>0.32100000000000001</v>
      </c>
      <c r="AB64" s="865">
        <v>0.38424999999999998</v>
      </c>
      <c r="AC64" s="865">
        <v>0.435</v>
      </c>
      <c r="AD64" s="865">
        <v>0.76275000000000004</v>
      </c>
      <c r="AF64" s="861">
        <v>40654</v>
      </c>
      <c r="AG64" s="865">
        <v>1.4225000000000001</v>
      </c>
      <c r="AH64" s="865">
        <v>1.1375</v>
      </c>
      <c r="AI64" s="865">
        <v>1.1775</v>
      </c>
      <c r="AJ64" s="865">
        <v>1.3174999999999999</v>
      </c>
      <c r="AK64" s="865">
        <v>1.4112499999999999</v>
      </c>
      <c r="AL64" s="865">
        <v>1.5062500000000001</v>
      </c>
      <c r="AM64" s="865">
        <v>1.6174999999999999</v>
      </c>
      <c r="AN64" s="865">
        <v>2.08</v>
      </c>
      <c r="AP64" s="861">
        <v>40651</v>
      </c>
      <c r="AQ64" s="865">
        <v>0.56688000000000005</v>
      </c>
      <c r="AR64" s="865">
        <v>0.62250000000000005</v>
      </c>
      <c r="AS64" s="865">
        <v>0.69813000000000003</v>
      </c>
      <c r="AT64" s="865">
        <v>0.81938</v>
      </c>
      <c r="AU64" s="865">
        <v>0.89500000000000002</v>
      </c>
      <c r="AV64" s="865">
        <v>1.0024999999999999</v>
      </c>
      <c r="AW64" s="865">
        <v>1.11625</v>
      </c>
      <c r="AX64" s="865">
        <v>1.59063</v>
      </c>
      <c r="AZ64" s="861">
        <v>40665</v>
      </c>
      <c r="BA64" s="865">
        <v>2.5</v>
      </c>
      <c r="BB64" s="865">
        <v>2.5788899999999999</v>
      </c>
      <c r="BC64" s="865">
        <v>2.64778</v>
      </c>
      <c r="BD64" s="865">
        <v>2.64</v>
      </c>
      <c r="BE64" s="865">
        <v>2.64</v>
      </c>
      <c r="BF64" s="865">
        <v>2.6411099999999998</v>
      </c>
      <c r="BG64" s="865">
        <v>2.6411099999999998</v>
      </c>
      <c r="BH64" s="865">
        <v>2.6411099999999998</v>
      </c>
    </row>
    <row r="65" spans="12:60">
      <c r="L65" s="861">
        <v>40651</v>
      </c>
      <c r="M65" s="865">
        <v>4.75</v>
      </c>
      <c r="N65" s="865">
        <v>4.78</v>
      </c>
      <c r="O65" s="865">
        <v>4.8433000000000002</v>
      </c>
      <c r="P65" s="865">
        <v>4.8682999999999996</v>
      </c>
      <c r="Q65" s="865">
        <v>4.9183000000000003</v>
      </c>
      <c r="R65" s="865">
        <v>4.9667000000000003</v>
      </c>
      <c r="S65" s="865">
        <v>5.01</v>
      </c>
      <c r="T65" s="865">
        <v>5.0975999999999999</v>
      </c>
      <c r="V65" s="861">
        <v>40648</v>
      </c>
      <c r="W65" s="865">
        <v>0.13650000000000001</v>
      </c>
      <c r="X65" s="865">
        <v>0.21375</v>
      </c>
      <c r="Y65" s="865">
        <v>0.24349999999999999</v>
      </c>
      <c r="Z65" s="865">
        <v>0.27474999999999999</v>
      </c>
      <c r="AA65" s="865">
        <v>0.32200000000000001</v>
      </c>
      <c r="AB65" s="865">
        <v>0.38524999999999998</v>
      </c>
      <c r="AC65" s="865">
        <v>0.437</v>
      </c>
      <c r="AD65" s="865">
        <v>0.76500000000000001</v>
      </c>
      <c r="AF65" s="861">
        <v>40653</v>
      </c>
      <c r="AG65" s="865">
        <v>1.21875</v>
      </c>
      <c r="AH65" s="865">
        <v>1.1274999999999999</v>
      </c>
      <c r="AI65" s="865">
        <v>1.16625</v>
      </c>
      <c r="AJ65" s="865">
        <v>1.3031299999999999</v>
      </c>
      <c r="AK65" s="865">
        <v>1.395</v>
      </c>
      <c r="AL65" s="865">
        <v>1.4937499999999999</v>
      </c>
      <c r="AM65" s="865">
        <v>1.6031299999999999</v>
      </c>
      <c r="AN65" s="865">
        <v>2.0724999999999998</v>
      </c>
      <c r="AP65" s="861">
        <v>40648</v>
      </c>
      <c r="AQ65" s="865">
        <v>0.56688000000000005</v>
      </c>
      <c r="AR65" s="865">
        <v>0.62250000000000005</v>
      </c>
      <c r="AS65" s="865">
        <v>0.69813000000000003</v>
      </c>
      <c r="AT65" s="865">
        <v>0.81938</v>
      </c>
      <c r="AU65" s="865">
        <v>0.89500000000000002</v>
      </c>
      <c r="AV65" s="865">
        <v>1.0024999999999999</v>
      </c>
      <c r="AW65" s="865">
        <v>1.11625</v>
      </c>
      <c r="AX65" s="865">
        <v>1.5912500000000001</v>
      </c>
      <c r="AZ65" s="861">
        <v>40662</v>
      </c>
      <c r="BA65" s="865">
        <v>2.5</v>
      </c>
      <c r="BB65" s="865">
        <v>2.5649999999999999</v>
      </c>
      <c r="BC65" s="865">
        <v>2.63</v>
      </c>
      <c r="BD65" s="865">
        <v>2.67625</v>
      </c>
      <c r="BE65" s="865">
        <v>2.6437499999999998</v>
      </c>
      <c r="BF65" s="865">
        <v>2.6437499999999998</v>
      </c>
      <c r="BG65" s="865">
        <v>2.6437499999999998</v>
      </c>
      <c r="BH65" s="865">
        <v>2.6437499999999998</v>
      </c>
    </row>
    <row r="66" spans="12:60">
      <c r="L66" s="861">
        <v>40648</v>
      </c>
      <c r="M66" s="865">
        <v>4.75</v>
      </c>
      <c r="N66" s="865">
        <v>4.8</v>
      </c>
      <c r="O66" s="865">
        <v>4.875</v>
      </c>
      <c r="P66" s="865">
        <v>4.92</v>
      </c>
      <c r="Q66" s="865">
        <v>4.9550000000000001</v>
      </c>
      <c r="R66" s="865">
        <v>4.9950000000000001</v>
      </c>
      <c r="S66" s="865">
        <v>5.04</v>
      </c>
      <c r="T66" s="865">
        <v>5.1131000000000002</v>
      </c>
      <c r="V66" s="861">
        <v>40647</v>
      </c>
      <c r="W66" s="865">
        <v>0.13800000000000001</v>
      </c>
      <c r="X66" s="865">
        <v>0.21584999999999999</v>
      </c>
      <c r="Y66" s="865">
        <v>0.245</v>
      </c>
      <c r="Z66" s="865">
        <v>0.27550000000000002</v>
      </c>
      <c r="AA66" s="865">
        <v>0.32300000000000001</v>
      </c>
      <c r="AB66" s="865">
        <v>0.38624999999999998</v>
      </c>
      <c r="AC66" s="865">
        <v>0.4385</v>
      </c>
      <c r="AD66" s="865">
        <v>0.76500000000000001</v>
      </c>
      <c r="AF66" s="861">
        <v>40652</v>
      </c>
      <c r="AG66" s="865">
        <v>1.0962499999999999</v>
      </c>
      <c r="AH66" s="865">
        <v>1.1074999999999999</v>
      </c>
      <c r="AI66" s="865">
        <v>1.15313</v>
      </c>
      <c r="AJ66" s="865">
        <v>1.29125</v>
      </c>
      <c r="AK66" s="865">
        <v>1.3843799999999999</v>
      </c>
      <c r="AL66" s="865">
        <v>1.4775</v>
      </c>
      <c r="AM66" s="865">
        <v>1.59188</v>
      </c>
      <c r="AN66" s="865">
        <v>2.0656300000000001</v>
      </c>
      <c r="AP66" s="861">
        <v>40647</v>
      </c>
      <c r="AQ66" s="865">
        <v>0.56688000000000005</v>
      </c>
      <c r="AR66" s="865">
        <v>0.62250000000000005</v>
      </c>
      <c r="AS66" s="865">
        <v>0.69813000000000003</v>
      </c>
      <c r="AT66" s="865">
        <v>0.81938</v>
      </c>
      <c r="AU66" s="865">
        <v>0.89500000000000002</v>
      </c>
      <c r="AV66" s="865">
        <v>1.0024999999999999</v>
      </c>
      <c r="AW66" s="865">
        <v>1.11625</v>
      </c>
      <c r="AX66" s="865">
        <v>1.5912500000000001</v>
      </c>
      <c r="AZ66" s="861">
        <v>40661</v>
      </c>
      <c r="BA66" s="865">
        <v>2.5</v>
      </c>
      <c r="BB66" s="865">
        <v>2.5499999999999998</v>
      </c>
      <c r="BC66" s="865">
        <v>2.63</v>
      </c>
      <c r="BD66" s="865">
        <v>2.65</v>
      </c>
      <c r="BE66" s="865">
        <v>2.6411099999999998</v>
      </c>
      <c r="BF66" s="865">
        <v>2.6411099999999998</v>
      </c>
      <c r="BG66" s="865">
        <v>2.6411099999999998</v>
      </c>
      <c r="BH66" s="865">
        <v>2.6411099999999998</v>
      </c>
    </row>
    <row r="67" spans="12:60">
      <c r="L67" s="861">
        <v>40647</v>
      </c>
      <c r="M67" s="865">
        <v>4.75</v>
      </c>
      <c r="N67" s="865">
        <v>4.79</v>
      </c>
      <c r="O67" s="865">
        <v>4.87</v>
      </c>
      <c r="P67" s="865">
        <v>4.9249999999999998</v>
      </c>
      <c r="Q67" s="865">
        <v>4.9583000000000004</v>
      </c>
      <c r="R67" s="865">
        <v>4.9866999999999999</v>
      </c>
      <c r="S67" s="865">
        <v>5.0350000000000001</v>
      </c>
      <c r="T67" s="865">
        <v>5.1139000000000001</v>
      </c>
      <c r="V67" s="861">
        <v>40646</v>
      </c>
      <c r="W67" s="865">
        <v>0.14050000000000001</v>
      </c>
      <c r="X67" s="865">
        <v>0.21875</v>
      </c>
      <c r="Y67" s="865">
        <v>0.249</v>
      </c>
      <c r="Z67" s="865">
        <v>0.27800000000000002</v>
      </c>
      <c r="AA67" s="865">
        <v>0.32650000000000001</v>
      </c>
      <c r="AB67" s="865">
        <v>0.38874999999999998</v>
      </c>
      <c r="AC67" s="865">
        <v>0.4415</v>
      </c>
      <c r="AD67" s="865">
        <v>0.77149999999999996</v>
      </c>
      <c r="AF67" s="861">
        <v>40651</v>
      </c>
      <c r="AG67" s="865">
        <v>1.0900000000000001</v>
      </c>
      <c r="AH67" s="865">
        <v>1.1025</v>
      </c>
      <c r="AI67" s="865">
        <v>1.14625</v>
      </c>
      <c r="AJ67" s="865">
        <v>1.28688</v>
      </c>
      <c r="AK67" s="865">
        <v>1.3793800000000001</v>
      </c>
      <c r="AL67" s="865">
        <v>1.4718800000000001</v>
      </c>
      <c r="AM67" s="865">
        <v>1.5868800000000001</v>
      </c>
      <c r="AN67" s="865">
        <v>2.0618799999999999</v>
      </c>
      <c r="AP67" s="861">
        <v>40646</v>
      </c>
      <c r="AQ67" s="865">
        <v>0.56688000000000005</v>
      </c>
      <c r="AR67" s="865">
        <v>0.62250000000000005</v>
      </c>
      <c r="AS67" s="865">
        <v>0.69813000000000003</v>
      </c>
      <c r="AT67" s="865">
        <v>0.81938</v>
      </c>
      <c r="AU67" s="865">
        <v>0.89875000000000005</v>
      </c>
      <c r="AV67" s="865">
        <v>1.0062500000000001</v>
      </c>
      <c r="AW67" s="865">
        <v>1.12063</v>
      </c>
      <c r="AX67" s="865">
        <v>1.595</v>
      </c>
      <c r="AZ67" s="861">
        <v>40660</v>
      </c>
      <c r="BA67" s="865">
        <v>2.5</v>
      </c>
      <c r="BB67" s="865">
        <v>2.5499999999999998</v>
      </c>
      <c r="BC67" s="865">
        <v>2.63</v>
      </c>
      <c r="BD67" s="865">
        <v>2.65</v>
      </c>
      <c r="BE67" s="865">
        <v>2.6412499999999999</v>
      </c>
      <c r="BF67" s="865">
        <v>2.6412499999999999</v>
      </c>
      <c r="BG67" s="865">
        <v>2.6412499999999999</v>
      </c>
      <c r="BH67" s="865">
        <v>2.6412499999999999</v>
      </c>
    </row>
    <row r="68" spans="12:60">
      <c r="L68" s="861">
        <v>40646</v>
      </c>
      <c r="M68" s="865">
        <v>4.75</v>
      </c>
      <c r="N68" s="865">
        <v>4.79</v>
      </c>
      <c r="O68" s="865">
        <v>4.8600000000000003</v>
      </c>
      <c r="P68" s="865">
        <v>4.9317000000000002</v>
      </c>
      <c r="Q68" s="865">
        <v>4.96</v>
      </c>
      <c r="R68" s="865">
        <v>4.9916999999999998</v>
      </c>
      <c r="S68" s="865">
        <v>5.04</v>
      </c>
      <c r="T68" s="865">
        <v>5.1029999999999998</v>
      </c>
      <c r="V68" s="861">
        <v>40645</v>
      </c>
      <c r="W68" s="865">
        <v>0.14399999999999999</v>
      </c>
      <c r="X68" s="865">
        <v>0.22109999999999999</v>
      </c>
      <c r="Y68" s="865">
        <v>0.25174999999999997</v>
      </c>
      <c r="Z68" s="865">
        <v>0.28075</v>
      </c>
      <c r="AA68" s="865">
        <v>0.32724999999999999</v>
      </c>
      <c r="AB68" s="865">
        <v>0.38950000000000001</v>
      </c>
      <c r="AC68" s="865">
        <v>0.4425</v>
      </c>
      <c r="AD68" s="865">
        <v>0.77249999999999996</v>
      </c>
      <c r="AF68" s="861">
        <v>40648</v>
      </c>
      <c r="AG68" s="865">
        <v>1.0887500000000001</v>
      </c>
      <c r="AH68" s="865">
        <v>1.09938</v>
      </c>
      <c r="AI68" s="865">
        <v>1.14375</v>
      </c>
      <c r="AJ68" s="865">
        <v>1.28125</v>
      </c>
      <c r="AK68" s="865">
        <v>1.37313</v>
      </c>
      <c r="AL68" s="865">
        <v>1.4681299999999999</v>
      </c>
      <c r="AM68" s="865">
        <v>1.58375</v>
      </c>
      <c r="AN68" s="865">
        <v>2.0550000000000002</v>
      </c>
      <c r="AP68" s="861">
        <v>40645</v>
      </c>
      <c r="AQ68" s="865">
        <v>0.56813000000000002</v>
      </c>
      <c r="AR68" s="865">
        <v>0.62375000000000003</v>
      </c>
      <c r="AS68" s="865">
        <v>0.69938</v>
      </c>
      <c r="AT68" s="865">
        <v>0.81938</v>
      </c>
      <c r="AU68" s="865">
        <v>0.90125</v>
      </c>
      <c r="AV68" s="865">
        <v>1.0075000000000001</v>
      </c>
      <c r="AW68" s="865">
        <v>1.1212500000000001</v>
      </c>
      <c r="AX68" s="865">
        <v>1.5968800000000001</v>
      </c>
      <c r="AZ68" s="861">
        <v>40659</v>
      </c>
      <c r="BA68" s="865">
        <v>2.5</v>
      </c>
      <c r="BB68" s="865">
        <v>2.5499999999999998</v>
      </c>
      <c r="BC68" s="865">
        <v>2.63</v>
      </c>
      <c r="BD68" s="865">
        <v>2.6412499999999999</v>
      </c>
      <c r="BE68" s="865">
        <v>2.64</v>
      </c>
      <c r="BF68" s="865">
        <v>2.64</v>
      </c>
      <c r="BG68" s="865">
        <v>2.64</v>
      </c>
      <c r="BH68" s="865">
        <v>2.64</v>
      </c>
    </row>
    <row r="69" spans="12:60">
      <c r="L69" s="861">
        <v>40645</v>
      </c>
      <c r="M69" s="865">
        <v>4.75</v>
      </c>
      <c r="N69" s="865">
        <v>4.79</v>
      </c>
      <c r="O69" s="865">
        <v>4.8567</v>
      </c>
      <c r="P69" s="865">
        <v>4.9000000000000004</v>
      </c>
      <c r="Q69" s="865">
        <v>4.9417</v>
      </c>
      <c r="R69" s="865">
        <v>4.9800000000000004</v>
      </c>
      <c r="S69" s="865">
        <v>5.0250000000000004</v>
      </c>
      <c r="T69" s="865">
        <v>5.1201999999999996</v>
      </c>
      <c r="V69" s="861">
        <v>40644</v>
      </c>
      <c r="W69" s="865">
        <v>0.15075</v>
      </c>
      <c r="X69" s="865">
        <v>0.2238</v>
      </c>
      <c r="Y69" s="865">
        <v>0.25374999999999998</v>
      </c>
      <c r="Z69" s="865">
        <v>0.28275</v>
      </c>
      <c r="AA69" s="865">
        <v>0.32874999999999999</v>
      </c>
      <c r="AB69" s="865">
        <v>0.39024999999999999</v>
      </c>
      <c r="AC69" s="865">
        <v>0.44450000000000001</v>
      </c>
      <c r="AD69" s="865">
        <v>0.77400000000000002</v>
      </c>
      <c r="AF69" s="861">
        <v>40647</v>
      </c>
      <c r="AG69" s="865">
        <v>1.085</v>
      </c>
      <c r="AH69" s="865">
        <v>1.09375</v>
      </c>
      <c r="AI69" s="865">
        <v>1.1412500000000001</v>
      </c>
      <c r="AJ69" s="865">
        <v>1.27688</v>
      </c>
      <c r="AK69" s="865">
        <v>1.3668800000000001</v>
      </c>
      <c r="AL69" s="865">
        <v>1.4624999999999999</v>
      </c>
      <c r="AM69" s="865">
        <v>1.5774999999999999</v>
      </c>
      <c r="AN69" s="865">
        <v>2.05125</v>
      </c>
      <c r="AP69" s="861">
        <v>40644</v>
      </c>
      <c r="AQ69" s="865">
        <v>0.56813000000000002</v>
      </c>
      <c r="AR69" s="865">
        <v>0.625</v>
      </c>
      <c r="AS69" s="865">
        <v>0.70062999999999998</v>
      </c>
      <c r="AT69" s="865">
        <v>0.82374999999999998</v>
      </c>
      <c r="AU69" s="865">
        <v>0.90937999999999997</v>
      </c>
      <c r="AV69" s="865">
        <v>1.01688</v>
      </c>
      <c r="AW69" s="865">
        <v>1.13375</v>
      </c>
      <c r="AX69" s="865">
        <v>1.61313</v>
      </c>
      <c r="AZ69" s="861">
        <v>40654</v>
      </c>
      <c r="BA69" s="865">
        <v>2.5</v>
      </c>
      <c r="BB69" s="865">
        <v>2.55111</v>
      </c>
      <c r="BC69" s="865">
        <v>2.63</v>
      </c>
      <c r="BD69" s="865">
        <v>2.6488900000000002</v>
      </c>
      <c r="BE69" s="865">
        <v>2.6411099999999998</v>
      </c>
      <c r="BF69" s="865">
        <v>2.64</v>
      </c>
      <c r="BG69" s="865">
        <v>2.64</v>
      </c>
      <c r="BH69" s="865">
        <v>2.64</v>
      </c>
    </row>
    <row r="70" spans="12:60">
      <c r="L70" s="861">
        <v>40644</v>
      </c>
      <c r="M70" s="865">
        <v>4.75</v>
      </c>
      <c r="N70" s="865">
        <v>4.78</v>
      </c>
      <c r="O70" s="865">
        <v>4.875</v>
      </c>
      <c r="P70" s="865">
        <v>4.9000000000000004</v>
      </c>
      <c r="Q70" s="865">
        <v>4.9482999999999997</v>
      </c>
      <c r="R70" s="865">
        <v>4.9832999999999998</v>
      </c>
      <c r="S70" s="865">
        <v>5.0350000000000001</v>
      </c>
      <c r="T70" s="865">
        <v>5.1536</v>
      </c>
      <c r="V70" s="861">
        <v>40641</v>
      </c>
      <c r="W70" s="865">
        <v>0.15475</v>
      </c>
      <c r="X70" s="865">
        <v>0.22650000000000001</v>
      </c>
      <c r="Y70" s="865">
        <v>0.25600000000000001</v>
      </c>
      <c r="Z70" s="865">
        <v>0.28525</v>
      </c>
      <c r="AA70" s="865">
        <v>0.33150000000000002</v>
      </c>
      <c r="AB70" s="865">
        <v>0.39300000000000002</v>
      </c>
      <c r="AC70" s="865">
        <v>0.44750000000000001</v>
      </c>
      <c r="AD70" s="865">
        <v>0.77725</v>
      </c>
      <c r="AF70" s="861">
        <v>40646</v>
      </c>
      <c r="AG70" s="865">
        <v>1.09063</v>
      </c>
      <c r="AH70" s="865">
        <v>1.0874999999999999</v>
      </c>
      <c r="AI70" s="865">
        <v>1.1368799999999999</v>
      </c>
      <c r="AJ70" s="865">
        <v>1.2731300000000001</v>
      </c>
      <c r="AK70" s="865">
        <v>1.365</v>
      </c>
      <c r="AL70" s="865">
        <v>1.4581299999999999</v>
      </c>
      <c r="AM70" s="865">
        <v>1.5725</v>
      </c>
      <c r="AN70" s="865">
        <v>2.04813</v>
      </c>
      <c r="AP70" s="861">
        <v>40641</v>
      </c>
      <c r="AQ70" s="865">
        <v>0.56688000000000005</v>
      </c>
      <c r="AR70" s="865">
        <v>0.625</v>
      </c>
      <c r="AS70" s="865">
        <v>0.70062999999999998</v>
      </c>
      <c r="AT70" s="865">
        <v>0.82374999999999998</v>
      </c>
      <c r="AU70" s="865">
        <v>0.90937999999999997</v>
      </c>
      <c r="AV70" s="865">
        <v>1.01688</v>
      </c>
      <c r="AW70" s="865">
        <v>1.13375</v>
      </c>
      <c r="AX70" s="865">
        <v>1.61313</v>
      </c>
      <c r="AZ70" s="861">
        <v>40653</v>
      </c>
      <c r="BA70" s="865">
        <v>2.5</v>
      </c>
      <c r="BB70" s="865">
        <v>2.56</v>
      </c>
      <c r="BC70" s="865">
        <v>2.63</v>
      </c>
      <c r="BD70" s="865">
        <v>2.6462500000000002</v>
      </c>
      <c r="BE70" s="865">
        <v>2.6412499999999999</v>
      </c>
      <c r="BF70" s="865">
        <v>2.6412499999999999</v>
      </c>
      <c r="BG70" s="865">
        <v>2.6412499999999999</v>
      </c>
      <c r="BH70" s="865">
        <v>2.6412499999999999</v>
      </c>
    </row>
    <row r="71" spans="12:60">
      <c r="L71" s="861">
        <v>40641</v>
      </c>
      <c r="M71" s="865">
        <v>4.75</v>
      </c>
      <c r="N71" s="865">
        <v>4.79</v>
      </c>
      <c r="O71" s="865">
        <v>4.8666999999999998</v>
      </c>
      <c r="P71" s="865">
        <v>4.92</v>
      </c>
      <c r="Q71" s="865">
        <v>4.9550000000000001</v>
      </c>
      <c r="R71" s="865">
        <v>4.9882999999999997</v>
      </c>
      <c r="S71" s="865">
        <v>5.03</v>
      </c>
      <c r="T71" s="865">
        <v>5.1285999999999996</v>
      </c>
      <c r="V71" s="861">
        <v>40640</v>
      </c>
      <c r="W71" s="865">
        <v>0.157</v>
      </c>
      <c r="X71" s="865">
        <v>0.23138</v>
      </c>
      <c r="Y71" s="865">
        <v>0.26150000000000001</v>
      </c>
      <c r="Z71" s="865">
        <v>0.28949999999999998</v>
      </c>
      <c r="AA71" s="865">
        <v>0.33374999999999999</v>
      </c>
      <c r="AB71" s="865">
        <v>0.39624999999999999</v>
      </c>
      <c r="AC71" s="865">
        <v>0.45088</v>
      </c>
      <c r="AD71" s="865">
        <v>0.77775000000000005</v>
      </c>
      <c r="AF71" s="861">
        <v>40645</v>
      </c>
      <c r="AG71" s="865">
        <v>0.82499999999999996</v>
      </c>
      <c r="AH71" s="865">
        <v>1.0787500000000001</v>
      </c>
      <c r="AI71" s="865">
        <v>1.1299999999999999</v>
      </c>
      <c r="AJ71" s="865">
        <v>1.2625</v>
      </c>
      <c r="AK71" s="865">
        <v>1.3556299999999999</v>
      </c>
      <c r="AL71" s="865">
        <v>1.4518800000000001</v>
      </c>
      <c r="AM71" s="865">
        <v>1.5631299999999999</v>
      </c>
      <c r="AN71" s="865">
        <v>2.0387499999999998</v>
      </c>
      <c r="AP71" s="861">
        <v>40640</v>
      </c>
      <c r="AQ71" s="865">
        <v>0.56562999999999997</v>
      </c>
      <c r="AR71" s="865">
        <v>0.62624999999999997</v>
      </c>
      <c r="AS71" s="865">
        <v>0.70187999999999995</v>
      </c>
      <c r="AT71" s="865">
        <v>0.82374999999999998</v>
      </c>
      <c r="AU71" s="865">
        <v>0.90812999999999999</v>
      </c>
      <c r="AV71" s="865">
        <v>1.01563</v>
      </c>
      <c r="AW71" s="865">
        <v>1.13375</v>
      </c>
      <c r="AX71" s="865">
        <v>1.61188</v>
      </c>
      <c r="AZ71" s="861">
        <v>40652</v>
      </c>
      <c r="BA71" s="865">
        <v>2.5</v>
      </c>
      <c r="BB71" s="865">
        <v>2.58</v>
      </c>
      <c r="BC71" s="865">
        <v>2.63</v>
      </c>
      <c r="BD71" s="865">
        <v>2.63</v>
      </c>
      <c r="BE71" s="865">
        <v>2.64</v>
      </c>
      <c r="BF71" s="865">
        <v>2.6414300000000002</v>
      </c>
      <c r="BG71" s="865">
        <v>2.6414300000000002</v>
      </c>
      <c r="BH71" s="865">
        <v>2.6414300000000002</v>
      </c>
    </row>
    <row r="72" spans="12:60">
      <c r="L72" s="861">
        <v>40640</v>
      </c>
      <c r="M72" s="865">
        <v>4.75</v>
      </c>
      <c r="N72" s="865">
        <v>4.7949999999999999</v>
      </c>
      <c r="O72" s="865">
        <v>4.8600000000000003</v>
      </c>
      <c r="P72" s="865">
        <v>4.91</v>
      </c>
      <c r="Q72" s="865">
        <v>4.9466999999999999</v>
      </c>
      <c r="R72" s="865">
        <v>4.9832999999999998</v>
      </c>
      <c r="S72" s="865">
        <v>5.03</v>
      </c>
      <c r="T72" s="865">
        <v>5.0707000000000004</v>
      </c>
      <c r="V72" s="861">
        <v>40639</v>
      </c>
      <c r="W72" s="865">
        <v>0.1628</v>
      </c>
      <c r="X72" s="865">
        <v>0.23350000000000001</v>
      </c>
      <c r="Y72" s="865">
        <v>0.26474999999999999</v>
      </c>
      <c r="Z72" s="865">
        <v>0.29263</v>
      </c>
      <c r="AA72" s="865">
        <v>0.33750000000000002</v>
      </c>
      <c r="AB72" s="865">
        <v>0.39800000000000002</v>
      </c>
      <c r="AC72" s="865">
        <v>0.45450000000000002</v>
      </c>
      <c r="AD72" s="865">
        <v>0.77825</v>
      </c>
      <c r="AF72" s="861">
        <v>40644</v>
      </c>
      <c r="AG72" s="865">
        <v>0.51624999999999999</v>
      </c>
      <c r="AH72" s="865">
        <v>1.0656300000000001</v>
      </c>
      <c r="AI72" s="865">
        <v>1.12313</v>
      </c>
      <c r="AJ72" s="865">
        <v>1.2549999999999999</v>
      </c>
      <c r="AK72" s="865">
        <v>1.345</v>
      </c>
      <c r="AL72" s="865">
        <v>1.44563</v>
      </c>
      <c r="AM72" s="865">
        <v>1.55938</v>
      </c>
      <c r="AN72" s="865">
        <v>2.03125</v>
      </c>
      <c r="AP72" s="861">
        <v>40639</v>
      </c>
      <c r="AQ72" s="865">
        <v>0.56562999999999997</v>
      </c>
      <c r="AR72" s="865">
        <v>0.62624999999999997</v>
      </c>
      <c r="AS72" s="865">
        <v>0.70187999999999995</v>
      </c>
      <c r="AT72" s="865">
        <v>0.82374999999999998</v>
      </c>
      <c r="AU72" s="865">
        <v>0.90812999999999999</v>
      </c>
      <c r="AV72" s="865">
        <v>1.01563</v>
      </c>
      <c r="AW72" s="865">
        <v>1.13375</v>
      </c>
      <c r="AX72" s="865">
        <v>1.61188</v>
      </c>
      <c r="AZ72" s="861">
        <v>40651</v>
      </c>
      <c r="BA72" s="865">
        <v>2.5</v>
      </c>
      <c r="BB72" s="865">
        <v>2.58</v>
      </c>
      <c r="BC72" s="865">
        <v>2.63</v>
      </c>
      <c r="BD72" s="865">
        <v>2.64778</v>
      </c>
      <c r="BE72" s="865">
        <v>2.6411099999999998</v>
      </c>
      <c r="BF72" s="865">
        <v>2.6411099999999998</v>
      </c>
      <c r="BG72" s="865">
        <v>2.6433300000000002</v>
      </c>
      <c r="BH72" s="865">
        <v>2.6433300000000002</v>
      </c>
    </row>
    <row r="73" spans="12:60">
      <c r="L73" s="861">
        <v>40639</v>
      </c>
      <c r="M73" s="865">
        <v>4.75</v>
      </c>
      <c r="N73" s="865">
        <v>4.8</v>
      </c>
      <c r="O73" s="865">
        <v>4.8517000000000001</v>
      </c>
      <c r="P73" s="865">
        <v>4.8949999999999996</v>
      </c>
      <c r="Q73" s="865">
        <v>4.93</v>
      </c>
      <c r="R73" s="865">
        <v>4.9633000000000003</v>
      </c>
      <c r="S73" s="865">
        <v>4.9950000000000001</v>
      </c>
      <c r="T73" s="865">
        <v>5.0637999999999996</v>
      </c>
      <c r="V73" s="861">
        <v>40638</v>
      </c>
      <c r="W73" s="865">
        <v>0.16969999999999999</v>
      </c>
      <c r="X73" s="865">
        <v>0.23549999999999999</v>
      </c>
      <c r="Y73" s="865">
        <v>0.26624999999999999</v>
      </c>
      <c r="Z73" s="865">
        <v>0.29375000000000001</v>
      </c>
      <c r="AA73" s="865">
        <v>0.33950000000000002</v>
      </c>
      <c r="AB73" s="865">
        <v>0.40100000000000002</v>
      </c>
      <c r="AC73" s="865">
        <v>0.45650000000000002</v>
      </c>
      <c r="AD73" s="865">
        <v>0.77775000000000005</v>
      </c>
      <c r="AF73" s="861">
        <v>40641</v>
      </c>
      <c r="AG73" s="865">
        <v>0.51312999999999998</v>
      </c>
      <c r="AH73" s="865">
        <v>1.03</v>
      </c>
      <c r="AI73" s="865">
        <v>1.1100000000000001</v>
      </c>
      <c r="AJ73" s="865">
        <v>1.2431300000000001</v>
      </c>
      <c r="AK73" s="865">
        <v>1.3374999999999999</v>
      </c>
      <c r="AL73" s="865">
        <v>1.43563</v>
      </c>
      <c r="AM73" s="865">
        <v>1.55688</v>
      </c>
      <c r="AN73" s="865">
        <v>2.0137499999999999</v>
      </c>
      <c r="AP73" s="861">
        <v>40638</v>
      </c>
      <c r="AQ73" s="865">
        <v>0.56562999999999997</v>
      </c>
      <c r="AR73" s="865">
        <v>0.62624999999999997</v>
      </c>
      <c r="AS73" s="865">
        <v>0.70187999999999995</v>
      </c>
      <c r="AT73" s="865">
        <v>0.82374999999999998</v>
      </c>
      <c r="AU73" s="865">
        <v>0.90749999999999997</v>
      </c>
      <c r="AV73" s="865">
        <v>1.01563</v>
      </c>
      <c r="AW73" s="865">
        <v>1.13375</v>
      </c>
      <c r="AX73" s="865">
        <v>1.6125</v>
      </c>
      <c r="AZ73" s="861">
        <v>40648</v>
      </c>
      <c r="BA73" s="865">
        <v>2.5</v>
      </c>
      <c r="BB73" s="865">
        <v>2.57111</v>
      </c>
      <c r="BC73" s="865">
        <v>2.63</v>
      </c>
      <c r="BD73" s="865">
        <v>2.6688900000000002</v>
      </c>
      <c r="BE73" s="865">
        <v>2.6411099999999998</v>
      </c>
      <c r="BF73" s="865">
        <v>2.6411099999999998</v>
      </c>
      <c r="BG73" s="865">
        <v>2.6411099999999998</v>
      </c>
      <c r="BH73" s="865">
        <v>2.6411099999999998</v>
      </c>
    </row>
    <row r="74" spans="12:60">
      <c r="L74" s="861">
        <v>40638</v>
      </c>
      <c r="M74" s="865">
        <v>4.75</v>
      </c>
      <c r="N74" s="865">
        <v>4.8083</v>
      </c>
      <c r="O74" s="865">
        <v>4.8532999999999999</v>
      </c>
      <c r="P74" s="865">
        <v>4.9000000000000004</v>
      </c>
      <c r="Q74" s="865">
        <v>4.93</v>
      </c>
      <c r="R74" s="865">
        <v>4.9667000000000003</v>
      </c>
      <c r="S74" s="865">
        <v>4.9966999999999997</v>
      </c>
      <c r="T74" s="865">
        <v>5.0643000000000002</v>
      </c>
      <c r="V74" s="861">
        <v>40637</v>
      </c>
      <c r="W74" s="865">
        <v>0.1782</v>
      </c>
      <c r="X74" s="865">
        <v>0.2399</v>
      </c>
      <c r="Y74" s="865">
        <v>0.27024999999999999</v>
      </c>
      <c r="Z74" s="865">
        <v>0.29675000000000001</v>
      </c>
      <c r="AA74" s="865">
        <v>0.34100000000000003</v>
      </c>
      <c r="AB74" s="865">
        <v>0.40300000000000002</v>
      </c>
      <c r="AC74" s="865">
        <v>0.45874999999999999</v>
      </c>
      <c r="AD74" s="865">
        <v>0.78100000000000003</v>
      </c>
      <c r="AF74" s="861">
        <v>40640</v>
      </c>
      <c r="AG74" s="865">
        <v>0.51937999999999995</v>
      </c>
      <c r="AH74" s="865">
        <v>0.98250000000000004</v>
      </c>
      <c r="AI74" s="865">
        <v>1.085</v>
      </c>
      <c r="AJ74" s="865">
        <v>1.22875</v>
      </c>
      <c r="AK74" s="865">
        <v>1.3256300000000001</v>
      </c>
      <c r="AL74" s="865">
        <v>1.42313</v>
      </c>
      <c r="AM74" s="865">
        <v>1.54</v>
      </c>
      <c r="AN74" s="865">
        <v>1.9918800000000001</v>
      </c>
      <c r="AP74" s="861">
        <v>40637</v>
      </c>
      <c r="AQ74" s="865">
        <v>0.56313000000000002</v>
      </c>
      <c r="AR74" s="865">
        <v>0.62187999999999999</v>
      </c>
      <c r="AS74" s="865">
        <v>0.69750000000000001</v>
      </c>
      <c r="AT74" s="865">
        <v>0.82188000000000005</v>
      </c>
      <c r="AU74" s="865">
        <v>0.90375000000000005</v>
      </c>
      <c r="AV74" s="865">
        <v>1.01125</v>
      </c>
      <c r="AW74" s="865">
        <v>1.1287499999999999</v>
      </c>
      <c r="AX74" s="865">
        <v>1.6056299999999999</v>
      </c>
      <c r="AZ74" s="861">
        <v>40647</v>
      </c>
      <c r="BA74" s="865">
        <v>2.5</v>
      </c>
      <c r="BB74" s="865">
        <v>2.57667</v>
      </c>
      <c r="BC74" s="865">
        <v>2.63</v>
      </c>
      <c r="BD74" s="865">
        <v>2.6644399999999999</v>
      </c>
      <c r="BE74" s="865">
        <v>2.6411099999999998</v>
      </c>
      <c r="BF74" s="865">
        <v>2.6411099999999998</v>
      </c>
      <c r="BG74" s="865">
        <v>2.6411099999999998</v>
      </c>
      <c r="BH74" s="865">
        <v>2.6411099999999998</v>
      </c>
    </row>
    <row r="75" spans="12:60">
      <c r="L75" s="861">
        <v>40637</v>
      </c>
      <c r="M75" s="865">
        <v>4.75</v>
      </c>
      <c r="N75" s="865">
        <v>4.8216999999999999</v>
      </c>
      <c r="O75" s="865">
        <v>4.8532999999999999</v>
      </c>
      <c r="P75" s="865">
        <v>4.8899999999999997</v>
      </c>
      <c r="Q75" s="865">
        <v>4.93</v>
      </c>
      <c r="R75" s="865">
        <v>4.9683000000000002</v>
      </c>
      <c r="S75" s="865">
        <v>5</v>
      </c>
      <c r="T75" s="865">
        <v>5.0701000000000001</v>
      </c>
      <c r="V75" s="861">
        <v>40634</v>
      </c>
      <c r="W75" s="865">
        <v>0.184</v>
      </c>
      <c r="X75" s="865">
        <v>0.24295</v>
      </c>
      <c r="Y75" s="865">
        <v>0.27250000000000002</v>
      </c>
      <c r="Z75" s="865">
        <v>0.30099999999999999</v>
      </c>
      <c r="AA75" s="865">
        <v>0.34525</v>
      </c>
      <c r="AB75" s="865">
        <v>0.40475</v>
      </c>
      <c r="AC75" s="865">
        <v>0.45950000000000002</v>
      </c>
      <c r="AD75" s="865">
        <v>0.78525</v>
      </c>
      <c r="AF75" s="861">
        <v>40639</v>
      </c>
      <c r="AG75" s="865">
        <v>0.54374999999999996</v>
      </c>
      <c r="AH75" s="865">
        <v>0.96</v>
      </c>
      <c r="AI75" s="865">
        <v>1.0743799999999999</v>
      </c>
      <c r="AJ75" s="865">
        <v>1.2193799999999999</v>
      </c>
      <c r="AK75" s="865">
        <v>1.3149999999999999</v>
      </c>
      <c r="AL75" s="865">
        <v>1.4125000000000001</v>
      </c>
      <c r="AM75" s="865">
        <v>1.5325</v>
      </c>
      <c r="AN75" s="865">
        <v>1.9831300000000001</v>
      </c>
      <c r="AP75" s="861">
        <v>40634</v>
      </c>
      <c r="AQ75" s="865">
        <v>0.56188000000000005</v>
      </c>
      <c r="AR75" s="865">
        <v>0.62063000000000001</v>
      </c>
      <c r="AS75" s="865">
        <v>0.69625000000000004</v>
      </c>
      <c r="AT75" s="865">
        <v>0.82062999999999997</v>
      </c>
      <c r="AU75" s="865">
        <v>0.90188000000000001</v>
      </c>
      <c r="AV75" s="865">
        <v>1.0093799999999999</v>
      </c>
      <c r="AW75" s="865">
        <v>1.1281300000000001</v>
      </c>
      <c r="AX75" s="865">
        <v>1.6025</v>
      </c>
      <c r="AZ75" s="861">
        <v>40646</v>
      </c>
      <c r="BA75" s="865">
        <v>2.5</v>
      </c>
      <c r="BB75" s="865">
        <v>2.56</v>
      </c>
      <c r="BC75" s="865">
        <v>2.62</v>
      </c>
      <c r="BD75" s="865">
        <v>2.65</v>
      </c>
      <c r="BE75" s="865">
        <v>2.6411099999999998</v>
      </c>
      <c r="BF75" s="865">
        <v>2.6411099999999998</v>
      </c>
      <c r="BG75" s="865">
        <v>2.64222</v>
      </c>
      <c r="BH75" s="865">
        <v>2.64222</v>
      </c>
    </row>
    <row r="76" spans="12:60">
      <c r="L76" s="861">
        <v>40634</v>
      </c>
      <c r="M76" s="865">
        <v>4.75</v>
      </c>
      <c r="N76" s="865">
        <v>4.8099999999999996</v>
      </c>
      <c r="O76" s="865">
        <v>4.84</v>
      </c>
      <c r="P76" s="865">
        <v>4.8883000000000001</v>
      </c>
      <c r="Q76" s="865">
        <v>4.9333</v>
      </c>
      <c r="R76" s="865">
        <v>4.97</v>
      </c>
      <c r="S76" s="865">
        <v>5.0033000000000003</v>
      </c>
      <c r="T76" s="865">
        <v>5.0759999999999996</v>
      </c>
      <c r="V76" s="861">
        <v>40633</v>
      </c>
      <c r="W76" s="865">
        <v>0.1845</v>
      </c>
      <c r="X76" s="865">
        <v>0.24345</v>
      </c>
      <c r="Y76" s="865">
        <v>0.27400000000000002</v>
      </c>
      <c r="Z76" s="865">
        <v>0.30299999999999999</v>
      </c>
      <c r="AA76" s="865">
        <v>0.34549999999999997</v>
      </c>
      <c r="AB76" s="865">
        <v>0.40500000000000003</v>
      </c>
      <c r="AC76" s="865">
        <v>0.45950000000000002</v>
      </c>
      <c r="AD76" s="865">
        <v>0.78249999999999997</v>
      </c>
      <c r="AF76" s="861">
        <v>40638</v>
      </c>
      <c r="AG76" s="865">
        <v>0.54562999999999995</v>
      </c>
      <c r="AH76" s="865">
        <v>0.94499999999999995</v>
      </c>
      <c r="AI76" s="865">
        <v>1.0631299999999999</v>
      </c>
      <c r="AJ76" s="865">
        <v>1.2075</v>
      </c>
      <c r="AK76" s="865">
        <v>1.30688</v>
      </c>
      <c r="AL76" s="865">
        <v>1.40313</v>
      </c>
      <c r="AM76" s="865">
        <v>1.5218799999999999</v>
      </c>
      <c r="AN76" s="865">
        <v>1.97563</v>
      </c>
      <c r="AP76" s="861">
        <v>40633</v>
      </c>
      <c r="AQ76" s="865">
        <v>0.56062999999999996</v>
      </c>
      <c r="AR76" s="865">
        <v>0.62063000000000001</v>
      </c>
      <c r="AS76" s="865">
        <v>0.69374999999999998</v>
      </c>
      <c r="AT76" s="865">
        <v>0.81813000000000002</v>
      </c>
      <c r="AU76" s="865">
        <v>0.90063000000000004</v>
      </c>
      <c r="AV76" s="865">
        <v>1.00813</v>
      </c>
      <c r="AW76" s="865">
        <v>1.1268800000000001</v>
      </c>
      <c r="AX76" s="865">
        <v>1.5987499999999999</v>
      </c>
      <c r="AZ76" s="861">
        <v>40645</v>
      </c>
      <c r="BA76" s="865">
        <v>2.5</v>
      </c>
      <c r="BB76" s="865">
        <v>2.56</v>
      </c>
      <c r="BC76" s="865">
        <v>2.62</v>
      </c>
      <c r="BD76" s="865">
        <v>2.6487500000000002</v>
      </c>
      <c r="BE76" s="865">
        <v>2.6412499999999999</v>
      </c>
      <c r="BF76" s="865">
        <v>2.6412499999999999</v>
      </c>
      <c r="BG76" s="865">
        <v>2.6412499999999999</v>
      </c>
      <c r="BH76" s="865">
        <v>2.6412499999999999</v>
      </c>
    </row>
    <row r="77" spans="12:60">
      <c r="L77" s="861">
        <v>40633</v>
      </c>
      <c r="M77" s="865">
        <v>4.75</v>
      </c>
      <c r="N77" s="865">
        <v>4.8600000000000003</v>
      </c>
      <c r="O77" s="865">
        <v>4.8733000000000004</v>
      </c>
      <c r="P77" s="865">
        <v>4.9317000000000002</v>
      </c>
      <c r="Q77" s="865">
        <v>4.9550000000000001</v>
      </c>
      <c r="R77" s="865">
        <v>4.9800000000000004</v>
      </c>
      <c r="S77" s="865">
        <v>5.0117000000000003</v>
      </c>
      <c r="T77" s="865">
        <v>5.0563000000000002</v>
      </c>
      <c r="V77" s="861">
        <v>40632</v>
      </c>
      <c r="W77" s="865">
        <v>0.1855</v>
      </c>
      <c r="X77" s="865">
        <v>0.24379999999999999</v>
      </c>
      <c r="Y77" s="865">
        <v>0.27575</v>
      </c>
      <c r="Z77" s="865">
        <v>0.30449999999999999</v>
      </c>
      <c r="AA77" s="865">
        <v>0.34649999999999997</v>
      </c>
      <c r="AB77" s="865">
        <v>0.40600000000000003</v>
      </c>
      <c r="AC77" s="865">
        <v>0.46050000000000002</v>
      </c>
      <c r="AD77" s="865">
        <v>0.78200000000000003</v>
      </c>
      <c r="AF77" s="861">
        <v>40637</v>
      </c>
      <c r="AG77" s="865">
        <v>0.55125000000000002</v>
      </c>
      <c r="AH77" s="865">
        <v>0.93625000000000003</v>
      </c>
      <c r="AI77" s="865">
        <v>1.0587500000000001</v>
      </c>
      <c r="AJ77" s="865">
        <v>1.20313</v>
      </c>
      <c r="AK77" s="865">
        <v>1.2987500000000001</v>
      </c>
      <c r="AL77" s="865">
        <v>1.3975</v>
      </c>
      <c r="AM77" s="865">
        <v>1.51688</v>
      </c>
      <c r="AN77" s="865">
        <v>1.9706300000000001</v>
      </c>
      <c r="AP77" s="861">
        <v>40632</v>
      </c>
      <c r="AQ77" s="865">
        <v>0.55937999999999999</v>
      </c>
      <c r="AR77" s="865">
        <v>0.61875000000000002</v>
      </c>
      <c r="AS77" s="865">
        <v>0.69188000000000005</v>
      </c>
      <c r="AT77" s="865">
        <v>0.81625000000000003</v>
      </c>
      <c r="AU77" s="865">
        <v>0.9</v>
      </c>
      <c r="AV77" s="865">
        <v>1.0062500000000001</v>
      </c>
      <c r="AW77" s="865">
        <v>1.125</v>
      </c>
      <c r="AX77" s="865">
        <v>1.5968800000000001</v>
      </c>
      <c r="AZ77" s="861">
        <v>40644</v>
      </c>
      <c r="BA77" s="865">
        <v>2.5</v>
      </c>
      <c r="BB77" s="865">
        <v>2.56</v>
      </c>
      <c r="BC77" s="865">
        <v>2.62</v>
      </c>
      <c r="BD77" s="865">
        <v>2.6333299999999999</v>
      </c>
      <c r="BE77" s="865">
        <v>2.64</v>
      </c>
      <c r="BF77" s="865">
        <v>2.64</v>
      </c>
      <c r="BG77" s="865">
        <v>2.64</v>
      </c>
      <c r="BH77" s="865">
        <v>2.64</v>
      </c>
    </row>
    <row r="78" spans="12:60">
      <c r="L78" s="861">
        <v>40632</v>
      </c>
      <c r="M78" s="865">
        <v>4.75</v>
      </c>
      <c r="N78" s="865">
        <v>4.82</v>
      </c>
      <c r="O78" s="865">
        <v>4.8499999999999996</v>
      </c>
      <c r="P78" s="865">
        <v>4.92</v>
      </c>
      <c r="Q78" s="865">
        <v>4.95</v>
      </c>
      <c r="R78" s="865">
        <v>4.9800000000000004</v>
      </c>
      <c r="S78" s="865">
        <v>5.0199999999999996</v>
      </c>
      <c r="T78" s="865">
        <v>5.0481999999999996</v>
      </c>
      <c r="V78" s="861">
        <v>40631</v>
      </c>
      <c r="W78" s="865">
        <v>0.189</v>
      </c>
      <c r="X78" s="865">
        <v>0.24615000000000001</v>
      </c>
      <c r="Y78" s="865">
        <v>0.28000000000000003</v>
      </c>
      <c r="Z78" s="865">
        <v>0.307</v>
      </c>
      <c r="AA78" s="865">
        <v>0.34775</v>
      </c>
      <c r="AB78" s="865">
        <v>0.40600000000000003</v>
      </c>
      <c r="AC78" s="865">
        <v>0.46050000000000002</v>
      </c>
      <c r="AD78" s="865">
        <v>0.77949999999999997</v>
      </c>
      <c r="AF78" s="861">
        <v>40634</v>
      </c>
      <c r="AG78" s="865">
        <v>0.56874999999999998</v>
      </c>
      <c r="AH78" s="865">
        <v>0.92500000000000004</v>
      </c>
      <c r="AI78" s="865">
        <v>1.05063</v>
      </c>
      <c r="AJ78" s="865">
        <v>1.19</v>
      </c>
      <c r="AK78" s="865">
        <v>1.28688</v>
      </c>
      <c r="AL78" s="865">
        <v>1.3881300000000001</v>
      </c>
      <c r="AM78" s="865">
        <v>1.51125</v>
      </c>
      <c r="AN78" s="865">
        <v>1.9612499999999999</v>
      </c>
      <c r="AP78" s="861">
        <v>40631</v>
      </c>
      <c r="AQ78" s="865">
        <v>0.55937999999999999</v>
      </c>
      <c r="AR78" s="865">
        <v>0.61875000000000002</v>
      </c>
      <c r="AS78" s="865">
        <v>0.69188000000000005</v>
      </c>
      <c r="AT78" s="865">
        <v>0.81625000000000003</v>
      </c>
      <c r="AU78" s="865">
        <v>0.89875000000000005</v>
      </c>
      <c r="AV78" s="865">
        <v>1.0037499999999999</v>
      </c>
      <c r="AW78" s="865">
        <v>1.12375</v>
      </c>
      <c r="AX78" s="865">
        <v>1.5962499999999999</v>
      </c>
      <c r="AZ78" s="861">
        <v>40641</v>
      </c>
      <c r="BA78" s="865">
        <v>2.5</v>
      </c>
      <c r="BB78" s="865">
        <v>2.56</v>
      </c>
      <c r="BC78" s="865">
        <v>2.6211099999999998</v>
      </c>
      <c r="BD78" s="865">
        <v>2.65</v>
      </c>
      <c r="BE78" s="865">
        <v>2.64</v>
      </c>
      <c r="BF78" s="865">
        <v>2.64</v>
      </c>
      <c r="BG78" s="865">
        <v>2.64</v>
      </c>
      <c r="BH78" s="865">
        <v>2.64</v>
      </c>
    </row>
    <row r="79" spans="12:60">
      <c r="L79" s="861">
        <v>40631</v>
      </c>
      <c r="M79" s="865">
        <v>4.75</v>
      </c>
      <c r="N79" s="865">
        <v>4.82</v>
      </c>
      <c r="O79" s="865">
        <v>4.8499999999999996</v>
      </c>
      <c r="P79" s="865">
        <v>4.91</v>
      </c>
      <c r="Q79" s="865">
        <v>4.95</v>
      </c>
      <c r="R79" s="865">
        <v>4.9800000000000004</v>
      </c>
      <c r="S79" s="865">
        <v>5.01</v>
      </c>
      <c r="T79" s="865">
        <v>5.0837000000000003</v>
      </c>
      <c r="V79" s="861">
        <v>40630</v>
      </c>
      <c r="W79" s="865">
        <v>0.192</v>
      </c>
      <c r="X79" s="865">
        <v>0.24765000000000001</v>
      </c>
      <c r="Y79" s="865">
        <v>0.28050000000000003</v>
      </c>
      <c r="Z79" s="865">
        <v>0.307</v>
      </c>
      <c r="AA79" s="865">
        <v>0.34775</v>
      </c>
      <c r="AB79" s="865">
        <v>0.40600000000000003</v>
      </c>
      <c r="AC79" s="865">
        <v>0.46050000000000002</v>
      </c>
      <c r="AD79" s="865">
        <v>0.77949999999999997</v>
      </c>
      <c r="AF79" s="861">
        <v>40633</v>
      </c>
      <c r="AG79" s="865">
        <v>0.86063000000000001</v>
      </c>
      <c r="AH79" s="865">
        <v>0.91625000000000001</v>
      </c>
      <c r="AI79" s="865">
        <v>1.0375000000000001</v>
      </c>
      <c r="AJ79" s="865">
        <v>1.18</v>
      </c>
      <c r="AK79" s="865">
        <v>1.27563</v>
      </c>
      <c r="AL79" s="865">
        <v>1.3781300000000001</v>
      </c>
      <c r="AM79" s="865">
        <v>1.5006299999999999</v>
      </c>
      <c r="AN79" s="865">
        <v>1.9475</v>
      </c>
      <c r="AP79" s="861">
        <v>40630</v>
      </c>
      <c r="AQ79" s="865">
        <v>0.55937999999999999</v>
      </c>
      <c r="AR79" s="865">
        <v>0.61750000000000005</v>
      </c>
      <c r="AS79" s="865">
        <v>0.69188000000000005</v>
      </c>
      <c r="AT79" s="865">
        <v>0.81625000000000003</v>
      </c>
      <c r="AU79" s="865">
        <v>0.89875000000000005</v>
      </c>
      <c r="AV79" s="865">
        <v>1.0037499999999999</v>
      </c>
      <c r="AW79" s="865">
        <v>1.12375</v>
      </c>
      <c r="AX79" s="865">
        <v>1.5962499999999999</v>
      </c>
      <c r="AZ79" s="861">
        <v>40640</v>
      </c>
      <c r="BA79" s="865">
        <v>2.5</v>
      </c>
      <c r="BB79" s="865">
        <v>2.56</v>
      </c>
      <c r="BC79" s="865">
        <v>2.63</v>
      </c>
      <c r="BD79" s="865">
        <v>2.64</v>
      </c>
      <c r="BE79" s="865">
        <v>2.64</v>
      </c>
      <c r="BF79" s="865">
        <v>2.64</v>
      </c>
      <c r="BG79" s="865">
        <v>2.64</v>
      </c>
      <c r="BH79" s="865">
        <v>2.64</v>
      </c>
    </row>
    <row r="80" spans="12:60">
      <c r="L80" s="861">
        <v>40630</v>
      </c>
      <c r="M80" s="865">
        <v>4.75</v>
      </c>
      <c r="N80" s="865">
        <v>4.8216999999999999</v>
      </c>
      <c r="O80" s="865">
        <v>4.8532999999999999</v>
      </c>
      <c r="P80" s="865">
        <v>4.9283000000000001</v>
      </c>
      <c r="Q80" s="865">
        <v>4.95</v>
      </c>
      <c r="R80" s="865">
        <v>4.9800000000000004</v>
      </c>
      <c r="S80" s="865">
        <v>5.01</v>
      </c>
      <c r="T80" s="865">
        <v>5.0834999999999999</v>
      </c>
      <c r="V80" s="861">
        <v>40627</v>
      </c>
      <c r="W80" s="865">
        <v>0.19400000000000001</v>
      </c>
      <c r="X80" s="865">
        <v>0.24825</v>
      </c>
      <c r="Y80" s="865">
        <v>0.28149999999999997</v>
      </c>
      <c r="Z80" s="865">
        <v>0.3075</v>
      </c>
      <c r="AA80" s="865">
        <v>0.34875</v>
      </c>
      <c r="AB80" s="865">
        <v>0.40699999999999997</v>
      </c>
      <c r="AC80" s="865">
        <v>0.46</v>
      </c>
      <c r="AD80" s="865">
        <v>0.77649999999999997</v>
      </c>
      <c r="AF80" s="861">
        <v>40632</v>
      </c>
      <c r="AG80" s="865">
        <v>0.54562999999999995</v>
      </c>
      <c r="AH80" s="865">
        <v>0.90500000000000003</v>
      </c>
      <c r="AI80" s="865">
        <v>1.03</v>
      </c>
      <c r="AJ80" s="865">
        <v>1.175</v>
      </c>
      <c r="AK80" s="865">
        <v>1.2706299999999999</v>
      </c>
      <c r="AL80" s="865">
        <v>1.37188</v>
      </c>
      <c r="AM80" s="865">
        <v>1.4924999999999999</v>
      </c>
      <c r="AN80" s="865">
        <v>1.9393800000000001</v>
      </c>
      <c r="AP80" s="861">
        <v>40627</v>
      </c>
      <c r="AQ80" s="865">
        <v>0.55813000000000001</v>
      </c>
      <c r="AR80" s="865">
        <v>0.61750000000000005</v>
      </c>
      <c r="AS80" s="865">
        <v>0.69125000000000003</v>
      </c>
      <c r="AT80" s="865">
        <v>0.81562999999999997</v>
      </c>
      <c r="AU80" s="865">
        <v>0.89812999999999998</v>
      </c>
      <c r="AV80" s="865">
        <v>1.0031300000000001</v>
      </c>
      <c r="AW80" s="865">
        <v>1.12313</v>
      </c>
      <c r="AX80" s="865">
        <v>1.595</v>
      </c>
      <c r="AZ80" s="861">
        <v>40639</v>
      </c>
      <c r="BA80" s="865">
        <v>2.5</v>
      </c>
      <c r="BB80" s="865">
        <v>2.56</v>
      </c>
      <c r="BC80" s="865">
        <v>2.63</v>
      </c>
      <c r="BD80" s="865">
        <v>2.64778</v>
      </c>
      <c r="BE80" s="865">
        <v>2.6411099999999998</v>
      </c>
      <c r="BF80" s="865">
        <v>2.6411099999999998</v>
      </c>
      <c r="BG80" s="865">
        <v>2.6411099999999998</v>
      </c>
      <c r="BH80" s="865">
        <v>2.6411099999999998</v>
      </c>
    </row>
    <row r="81" spans="12:60">
      <c r="L81" s="861">
        <v>40627</v>
      </c>
      <c r="M81" s="865">
        <v>4.75</v>
      </c>
      <c r="N81" s="865">
        <v>4.8099999999999996</v>
      </c>
      <c r="O81" s="865">
        <v>4.8483000000000001</v>
      </c>
      <c r="P81" s="865">
        <v>4.9000000000000004</v>
      </c>
      <c r="Q81" s="865">
        <v>4.93</v>
      </c>
      <c r="R81" s="865">
        <v>4.9649999999999999</v>
      </c>
      <c r="S81" s="865">
        <v>5.0083000000000002</v>
      </c>
      <c r="T81" s="865">
        <v>5.0503999999999998</v>
      </c>
      <c r="V81" s="861">
        <v>40626</v>
      </c>
      <c r="W81" s="865">
        <v>0.19550000000000001</v>
      </c>
      <c r="X81" s="865">
        <v>0.24825</v>
      </c>
      <c r="Y81" s="865">
        <v>0.28149999999999997</v>
      </c>
      <c r="Z81" s="865">
        <v>0.3085</v>
      </c>
      <c r="AA81" s="865">
        <v>0.34975000000000001</v>
      </c>
      <c r="AB81" s="865">
        <v>0.40699999999999997</v>
      </c>
      <c r="AC81" s="865">
        <v>0.46</v>
      </c>
      <c r="AD81" s="865">
        <v>0.77549999999999997</v>
      </c>
      <c r="AF81" s="861">
        <v>40631</v>
      </c>
      <c r="AG81" s="865">
        <v>0.55625000000000002</v>
      </c>
      <c r="AH81" s="865">
        <v>0.89812999999999998</v>
      </c>
      <c r="AI81" s="865">
        <v>1.0218799999999999</v>
      </c>
      <c r="AJ81" s="865">
        <v>1.1675</v>
      </c>
      <c r="AK81" s="865">
        <v>1.2631300000000001</v>
      </c>
      <c r="AL81" s="865">
        <v>1.3643799999999999</v>
      </c>
      <c r="AM81" s="865">
        <v>1.4850000000000001</v>
      </c>
      <c r="AN81" s="865">
        <v>1.93188</v>
      </c>
      <c r="AP81" s="861">
        <v>40626</v>
      </c>
      <c r="AQ81" s="865">
        <v>0.55813000000000001</v>
      </c>
      <c r="AR81" s="865">
        <v>0.61750000000000005</v>
      </c>
      <c r="AS81" s="865">
        <v>0.69125000000000003</v>
      </c>
      <c r="AT81" s="865">
        <v>0.81562999999999997</v>
      </c>
      <c r="AU81" s="865">
        <v>0.89812999999999998</v>
      </c>
      <c r="AV81" s="865">
        <v>1.0031300000000001</v>
      </c>
      <c r="AW81" s="865">
        <v>1.12313</v>
      </c>
      <c r="AX81" s="865">
        <v>1.595</v>
      </c>
      <c r="AZ81" s="861">
        <v>40638</v>
      </c>
      <c r="BA81" s="865">
        <v>2.5</v>
      </c>
      <c r="BB81" s="865">
        <v>2.56</v>
      </c>
      <c r="BC81" s="865">
        <v>2.6266699999999998</v>
      </c>
      <c r="BD81" s="865">
        <v>2.6211099999999998</v>
      </c>
      <c r="BE81" s="865">
        <v>2.6355599999999999</v>
      </c>
      <c r="BF81" s="865">
        <v>2.63889</v>
      </c>
      <c r="BG81" s="865">
        <v>2.63889</v>
      </c>
      <c r="BH81" s="865">
        <v>2.63889</v>
      </c>
    </row>
    <row r="82" spans="12:60">
      <c r="L82" s="861">
        <v>40626</v>
      </c>
      <c r="M82" s="865">
        <v>4.75</v>
      </c>
      <c r="N82" s="865">
        <v>4.8099999999999996</v>
      </c>
      <c r="O82" s="865">
        <v>4.84</v>
      </c>
      <c r="P82" s="865">
        <v>4.8733000000000004</v>
      </c>
      <c r="Q82" s="865">
        <v>4.9217000000000004</v>
      </c>
      <c r="R82" s="865">
        <v>4.9617000000000004</v>
      </c>
      <c r="S82" s="865">
        <v>5</v>
      </c>
      <c r="T82" s="865">
        <v>5.0486000000000004</v>
      </c>
      <c r="V82" s="861">
        <v>40625</v>
      </c>
      <c r="W82" s="865">
        <v>0.19950000000000001</v>
      </c>
      <c r="X82" s="865">
        <v>0.2495</v>
      </c>
      <c r="Y82" s="865">
        <v>0.28149999999999997</v>
      </c>
      <c r="Z82" s="865">
        <v>0.308</v>
      </c>
      <c r="AA82" s="865">
        <v>0.34949999999999998</v>
      </c>
      <c r="AB82" s="865">
        <v>0.40699999999999997</v>
      </c>
      <c r="AC82" s="865">
        <v>0.46</v>
      </c>
      <c r="AD82" s="865">
        <v>0.77449999999999997</v>
      </c>
      <c r="AF82" s="861">
        <v>40630</v>
      </c>
      <c r="AG82" s="865">
        <v>0.58125000000000004</v>
      </c>
      <c r="AH82" s="865">
        <v>0.88312999999999997</v>
      </c>
      <c r="AI82" s="865">
        <v>1.0149999999999999</v>
      </c>
      <c r="AJ82" s="865">
        <v>1.1599999999999999</v>
      </c>
      <c r="AK82" s="865">
        <v>1.2549999999999999</v>
      </c>
      <c r="AL82" s="865">
        <v>1.3574999999999999</v>
      </c>
      <c r="AM82" s="865">
        <v>1.4781299999999999</v>
      </c>
      <c r="AN82" s="865">
        <v>1.9237500000000001</v>
      </c>
      <c r="AP82" s="861">
        <v>40625</v>
      </c>
      <c r="AQ82" s="865">
        <v>0.55813000000000001</v>
      </c>
      <c r="AR82" s="865">
        <v>0.61750000000000005</v>
      </c>
      <c r="AS82" s="865">
        <v>0.69125000000000003</v>
      </c>
      <c r="AT82" s="865">
        <v>0.81437999999999999</v>
      </c>
      <c r="AU82" s="865">
        <v>0.89688000000000001</v>
      </c>
      <c r="AV82" s="865">
        <v>1.0031300000000001</v>
      </c>
      <c r="AW82" s="865">
        <v>1.12313</v>
      </c>
      <c r="AX82" s="865">
        <v>1.595</v>
      </c>
      <c r="AZ82" s="861">
        <v>40637</v>
      </c>
      <c r="BA82" s="865">
        <v>2.5</v>
      </c>
      <c r="BB82" s="865">
        <v>2.56</v>
      </c>
      <c r="BC82" s="865">
        <v>2.63</v>
      </c>
      <c r="BD82" s="865">
        <v>2.63</v>
      </c>
      <c r="BE82" s="865">
        <v>2.6375000000000002</v>
      </c>
      <c r="BF82" s="865">
        <v>2.6387499999999999</v>
      </c>
      <c r="BG82" s="865">
        <v>2.6387499999999999</v>
      </c>
      <c r="BH82" s="865">
        <v>2.6387499999999999</v>
      </c>
    </row>
    <row r="83" spans="12:60">
      <c r="L83" s="861">
        <v>40625</v>
      </c>
      <c r="M83" s="865">
        <v>4.75</v>
      </c>
      <c r="N83" s="865">
        <v>4.8099999999999996</v>
      </c>
      <c r="O83" s="865">
        <v>4.84</v>
      </c>
      <c r="P83" s="865">
        <v>4.8817000000000004</v>
      </c>
      <c r="Q83" s="865">
        <v>4.915</v>
      </c>
      <c r="R83" s="865">
        <v>4.9566999999999997</v>
      </c>
      <c r="S83" s="865">
        <v>5</v>
      </c>
      <c r="T83" s="865">
        <v>5.0445000000000002</v>
      </c>
      <c r="V83" s="861">
        <v>40624</v>
      </c>
      <c r="W83" s="865">
        <v>0.20250000000000001</v>
      </c>
      <c r="X83" s="865">
        <v>0.252</v>
      </c>
      <c r="Y83" s="865">
        <v>0.28249999999999997</v>
      </c>
      <c r="Z83" s="865">
        <v>0.309</v>
      </c>
      <c r="AA83" s="865">
        <v>0.34949999999999998</v>
      </c>
      <c r="AB83" s="865">
        <v>0.40699999999999997</v>
      </c>
      <c r="AC83" s="865">
        <v>0.46</v>
      </c>
      <c r="AD83" s="865">
        <v>0.77449999999999997</v>
      </c>
      <c r="AF83" s="861">
        <v>40627</v>
      </c>
      <c r="AG83" s="865">
        <v>0.60124999999999995</v>
      </c>
      <c r="AH83" s="865">
        <v>0.87187999999999999</v>
      </c>
      <c r="AI83" s="865">
        <v>1.00813</v>
      </c>
      <c r="AJ83" s="865">
        <v>1.1525000000000001</v>
      </c>
      <c r="AK83" s="865">
        <v>1.2475000000000001</v>
      </c>
      <c r="AL83" s="865">
        <v>1.35</v>
      </c>
      <c r="AM83" s="865">
        <v>1.4724999999999999</v>
      </c>
      <c r="AN83" s="865">
        <v>1.915</v>
      </c>
      <c r="AP83" s="861">
        <v>40624</v>
      </c>
      <c r="AQ83" s="865">
        <v>0.55688000000000004</v>
      </c>
      <c r="AR83" s="865">
        <v>0.61750000000000005</v>
      </c>
      <c r="AS83" s="865">
        <v>0.69125000000000003</v>
      </c>
      <c r="AT83" s="865">
        <v>0.81374999999999997</v>
      </c>
      <c r="AU83" s="865">
        <v>0.89624999999999999</v>
      </c>
      <c r="AV83" s="865">
        <v>1.0024999999999999</v>
      </c>
      <c r="AW83" s="865">
        <v>1.12188</v>
      </c>
      <c r="AX83" s="865">
        <v>1.595</v>
      </c>
      <c r="AZ83" s="861">
        <v>40634</v>
      </c>
      <c r="BA83" s="865">
        <v>2.5</v>
      </c>
      <c r="BB83" s="865">
        <v>2.54</v>
      </c>
      <c r="BC83" s="865">
        <v>2.62778</v>
      </c>
      <c r="BD83" s="865">
        <v>2.6233300000000002</v>
      </c>
      <c r="BE83" s="865">
        <v>2.63</v>
      </c>
      <c r="BF83" s="865">
        <v>2.63</v>
      </c>
      <c r="BG83" s="865">
        <v>2.63</v>
      </c>
      <c r="BH83" s="865">
        <v>2.63</v>
      </c>
    </row>
    <row r="84" spans="12:60">
      <c r="L84" s="861">
        <v>40624</v>
      </c>
      <c r="M84" s="865">
        <v>4.75</v>
      </c>
      <c r="N84" s="865">
        <v>4.8099999999999996</v>
      </c>
      <c r="O84" s="865">
        <v>4.84</v>
      </c>
      <c r="P84" s="865">
        <v>4.8733000000000004</v>
      </c>
      <c r="Q84" s="865">
        <v>4.9016999999999999</v>
      </c>
      <c r="R84" s="865">
        <v>4.9482999999999997</v>
      </c>
      <c r="S84" s="865">
        <v>5</v>
      </c>
      <c r="T84" s="865">
        <v>5.0529999999999999</v>
      </c>
      <c r="V84" s="861">
        <v>40623</v>
      </c>
      <c r="W84" s="865">
        <v>0.20449999999999999</v>
      </c>
      <c r="X84" s="865">
        <v>0.2525</v>
      </c>
      <c r="Y84" s="865">
        <v>0.28299999999999997</v>
      </c>
      <c r="Z84" s="865">
        <v>0.309</v>
      </c>
      <c r="AA84" s="865">
        <v>0.34949999999999998</v>
      </c>
      <c r="AB84" s="865">
        <v>0.40699999999999997</v>
      </c>
      <c r="AC84" s="865">
        <v>0.46</v>
      </c>
      <c r="AD84" s="865">
        <v>0.77200000000000002</v>
      </c>
      <c r="AF84" s="861">
        <v>40626</v>
      </c>
      <c r="AG84" s="865">
        <v>0.63500000000000001</v>
      </c>
      <c r="AH84" s="865">
        <v>0.86624999999999996</v>
      </c>
      <c r="AI84" s="865">
        <v>1.0043800000000001</v>
      </c>
      <c r="AJ84" s="865">
        <v>1.14375</v>
      </c>
      <c r="AK84" s="865">
        <v>1.23875</v>
      </c>
      <c r="AL84" s="865">
        <v>1.3412500000000001</v>
      </c>
      <c r="AM84" s="865">
        <v>1.46313</v>
      </c>
      <c r="AN84" s="865">
        <v>1.90625</v>
      </c>
      <c r="AP84" s="861">
        <v>40623</v>
      </c>
      <c r="AQ84" s="865">
        <v>0.55688000000000004</v>
      </c>
      <c r="AR84" s="865">
        <v>0.61438000000000004</v>
      </c>
      <c r="AS84" s="865">
        <v>0.68374999999999997</v>
      </c>
      <c r="AT84" s="865">
        <v>0.80562999999999996</v>
      </c>
      <c r="AU84" s="865">
        <v>0.88812999999999998</v>
      </c>
      <c r="AV84" s="865">
        <v>0.99312999999999996</v>
      </c>
      <c r="AW84" s="865">
        <v>1.1087499999999999</v>
      </c>
      <c r="AX84" s="865">
        <v>1.58125</v>
      </c>
      <c r="AZ84" s="861">
        <v>40633</v>
      </c>
      <c r="BA84" s="865">
        <v>2.5</v>
      </c>
      <c r="BB84" s="865">
        <v>2.5299999999999998</v>
      </c>
      <c r="BC84" s="865">
        <v>2.61</v>
      </c>
      <c r="BD84" s="865">
        <v>2.63</v>
      </c>
      <c r="BE84" s="865">
        <v>2.63</v>
      </c>
      <c r="BF84" s="865">
        <v>2.63</v>
      </c>
      <c r="BG84" s="865">
        <v>2.63</v>
      </c>
      <c r="BH84" s="865">
        <v>2.63</v>
      </c>
    </row>
    <row r="85" spans="12:60">
      <c r="L85" s="861">
        <v>40623</v>
      </c>
      <c r="M85" s="865">
        <v>4.75</v>
      </c>
      <c r="N85" s="865">
        <v>4.8099999999999996</v>
      </c>
      <c r="O85" s="865">
        <v>4.83</v>
      </c>
      <c r="P85" s="865">
        <v>4.84</v>
      </c>
      <c r="Q85" s="865">
        <v>4.8783000000000003</v>
      </c>
      <c r="R85" s="865">
        <v>4.9249999999999998</v>
      </c>
      <c r="S85" s="865">
        <v>4.96</v>
      </c>
      <c r="T85" s="865">
        <v>5.0106000000000002</v>
      </c>
      <c r="V85" s="861">
        <v>40620</v>
      </c>
      <c r="W85" s="865">
        <v>0.20549999999999999</v>
      </c>
      <c r="X85" s="865">
        <v>0.2535</v>
      </c>
      <c r="Y85" s="865">
        <v>0.28399999999999997</v>
      </c>
      <c r="Z85" s="865">
        <v>0.309</v>
      </c>
      <c r="AA85" s="865">
        <v>0.35049999999999998</v>
      </c>
      <c r="AB85" s="865">
        <v>0.40799999999999997</v>
      </c>
      <c r="AC85" s="865">
        <v>0.46</v>
      </c>
      <c r="AD85" s="865">
        <v>0.77049999999999996</v>
      </c>
      <c r="AF85" s="861">
        <v>40625</v>
      </c>
      <c r="AG85" s="865">
        <v>0.64375000000000004</v>
      </c>
      <c r="AH85" s="865">
        <v>0.85875000000000001</v>
      </c>
      <c r="AI85" s="865">
        <v>0.99750000000000005</v>
      </c>
      <c r="AJ85" s="865">
        <v>1.14063</v>
      </c>
      <c r="AK85" s="865">
        <v>1.23813</v>
      </c>
      <c r="AL85" s="865">
        <v>1.3387500000000001</v>
      </c>
      <c r="AM85" s="865">
        <v>1.46</v>
      </c>
      <c r="AN85" s="865">
        <v>1.9012500000000001</v>
      </c>
      <c r="AP85" s="861">
        <v>40620</v>
      </c>
      <c r="AQ85" s="865">
        <v>0.55688000000000004</v>
      </c>
      <c r="AR85" s="865">
        <v>0.61438000000000004</v>
      </c>
      <c r="AS85" s="865">
        <v>0.68374999999999997</v>
      </c>
      <c r="AT85" s="865">
        <v>0.80562999999999996</v>
      </c>
      <c r="AU85" s="865">
        <v>0.88812999999999998</v>
      </c>
      <c r="AV85" s="865">
        <v>0.99312999999999996</v>
      </c>
      <c r="AW85" s="865">
        <v>1.1087499999999999</v>
      </c>
      <c r="AX85" s="865">
        <v>1.57938</v>
      </c>
      <c r="AZ85" s="861">
        <v>40632</v>
      </c>
      <c r="BA85" s="865">
        <v>2.5</v>
      </c>
      <c r="BB85" s="865">
        <v>2.5299999999999998</v>
      </c>
      <c r="BC85" s="865">
        <v>2.61</v>
      </c>
      <c r="BD85" s="865">
        <v>2.61</v>
      </c>
      <c r="BE85" s="865">
        <v>2.63</v>
      </c>
      <c r="BF85" s="865">
        <v>2.63</v>
      </c>
      <c r="BG85" s="865">
        <v>2.63</v>
      </c>
      <c r="BH85" s="865">
        <v>2.63</v>
      </c>
    </row>
    <row r="86" spans="12:60">
      <c r="L86" s="861">
        <v>40620</v>
      </c>
      <c r="M86" s="865">
        <v>4.75</v>
      </c>
      <c r="N86" s="865">
        <v>4.8132999999999999</v>
      </c>
      <c r="O86" s="865">
        <v>4.8316999999999997</v>
      </c>
      <c r="P86" s="865">
        <v>4.8550000000000004</v>
      </c>
      <c r="Q86" s="865">
        <v>4.8833000000000002</v>
      </c>
      <c r="R86" s="865">
        <v>4.92</v>
      </c>
      <c r="S86" s="865">
        <v>4.9683000000000002</v>
      </c>
      <c r="T86" s="865">
        <v>4.9861000000000004</v>
      </c>
      <c r="V86" s="861">
        <v>40619</v>
      </c>
      <c r="W86" s="865">
        <v>0.20649999999999999</v>
      </c>
      <c r="X86" s="865">
        <v>0.2535</v>
      </c>
      <c r="Y86" s="865">
        <v>0.28349999999999997</v>
      </c>
      <c r="Z86" s="865">
        <v>0.309</v>
      </c>
      <c r="AA86" s="865">
        <v>0.35049999999999998</v>
      </c>
      <c r="AB86" s="865">
        <v>0.40799999999999997</v>
      </c>
      <c r="AC86" s="865">
        <v>0.46</v>
      </c>
      <c r="AD86" s="865">
        <v>0.77249999999999996</v>
      </c>
      <c r="AF86" s="861">
        <v>40624</v>
      </c>
      <c r="AG86" s="865">
        <v>0.64375000000000004</v>
      </c>
      <c r="AH86" s="865">
        <v>0.85338000000000003</v>
      </c>
      <c r="AI86" s="865">
        <v>0.99250000000000005</v>
      </c>
      <c r="AJ86" s="865">
        <v>1.13625</v>
      </c>
      <c r="AK86" s="865">
        <v>1.2350000000000001</v>
      </c>
      <c r="AL86" s="865">
        <v>1.3362499999999999</v>
      </c>
      <c r="AM86" s="865">
        <v>1.45563</v>
      </c>
      <c r="AN86" s="865">
        <v>1.8993800000000001</v>
      </c>
      <c r="AP86" s="861">
        <v>40619</v>
      </c>
      <c r="AQ86" s="865">
        <v>0.55688000000000004</v>
      </c>
      <c r="AR86" s="865">
        <v>0.61312999999999995</v>
      </c>
      <c r="AS86" s="865">
        <v>0.68374999999999997</v>
      </c>
      <c r="AT86" s="865">
        <v>0.80562999999999996</v>
      </c>
      <c r="AU86" s="865">
        <v>0.88812999999999998</v>
      </c>
      <c r="AV86" s="865">
        <v>0.99312999999999996</v>
      </c>
      <c r="AW86" s="865">
        <v>1.1087499999999999</v>
      </c>
      <c r="AX86" s="865">
        <v>1.5831299999999999</v>
      </c>
      <c r="AZ86" s="861">
        <v>40631</v>
      </c>
      <c r="BA86" s="865">
        <v>2.5</v>
      </c>
      <c r="BB86" s="865">
        <v>2.5299999999999998</v>
      </c>
      <c r="BC86" s="865">
        <v>2.61</v>
      </c>
      <c r="BD86" s="865">
        <v>2.63</v>
      </c>
      <c r="BE86" s="865">
        <v>2.63</v>
      </c>
      <c r="BF86" s="865">
        <v>2.63</v>
      </c>
      <c r="BG86" s="865">
        <v>2.63</v>
      </c>
      <c r="BH86" s="865">
        <v>2.63</v>
      </c>
    </row>
    <row r="87" spans="12:60">
      <c r="L87" s="861">
        <v>40619</v>
      </c>
      <c r="M87" s="865">
        <v>4.75</v>
      </c>
      <c r="N87" s="865">
        <v>4.8</v>
      </c>
      <c r="O87" s="865">
        <v>4.82</v>
      </c>
      <c r="P87" s="865">
        <v>4.8367000000000004</v>
      </c>
      <c r="Q87" s="865">
        <v>4.8499999999999996</v>
      </c>
      <c r="R87" s="865">
        <v>4.8666999999999998</v>
      </c>
      <c r="S87" s="865">
        <v>4.875</v>
      </c>
      <c r="T87" s="865">
        <v>4.9027000000000003</v>
      </c>
      <c r="V87" s="861">
        <v>40618</v>
      </c>
      <c r="W87" s="865">
        <v>0.21149999999999999</v>
      </c>
      <c r="X87" s="865">
        <v>0.2535</v>
      </c>
      <c r="Y87" s="865">
        <v>0.28349999999999997</v>
      </c>
      <c r="Z87" s="865">
        <v>0.309</v>
      </c>
      <c r="AA87" s="865">
        <v>0.35049999999999998</v>
      </c>
      <c r="AB87" s="865">
        <v>0.4078</v>
      </c>
      <c r="AC87" s="865">
        <v>0.46</v>
      </c>
      <c r="AD87" s="865">
        <v>0.77149999999999996</v>
      </c>
      <c r="AF87" s="861">
        <v>40623</v>
      </c>
      <c r="AG87" s="865">
        <v>0.65125</v>
      </c>
      <c r="AH87" s="865">
        <v>0.84775</v>
      </c>
      <c r="AI87" s="865">
        <v>0.98750000000000004</v>
      </c>
      <c r="AJ87" s="865">
        <v>1.1268800000000001</v>
      </c>
      <c r="AK87" s="865">
        <v>1.2250000000000001</v>
      </c>
      <c r="AL87" s="865">
        <v>1.3243799999999999</v>
      </c>
      <c r="AM87" s="865">
        <v>1.44313</v>
      </c>
      <c r="AN87" s="865">
        <v>1.8825000000000001</v>
      </c>
      <c r="AP87" s="861">
        <v>40618</v>
      </c>
      <c r="AQ87" s="865">
        <v>0.55688000000000004</v>
      </c>
      <c r="AR87" s="865">
        <v>0.61312999999999995</v>
      </c>
      <c r="AS87" s="865">
        <v>0.68374999999999997</v>
      </c>
      <c r="AT87" s="865">
        <v>0.80562999999999996</v>
      </c>
      <c r="AU87" s="865">
        <v>0.88812999999999998</v>
      </c>
      <c r="AV87" s="865">
        <v>0.99312999999999996</v>
      </c>
      <c r="AW87" s="865">
        <v>1.1074999999999999</v>
      </c>
      <c r="AX87" s="865">
        <v>1.58063</v>
      </c>
      <c r="AZ87" s="861">
        <v>40630</v>
      </c>
      <c r="BA87" s="865">
        <v>2.5</v>
      </c>
      <c r="BB87" s="865">
        <v>2.5299999999999998</v>
      </c>
      <c r="BC87" s="865">
        <v>2.61</v>
      </c>
      <c r="BD87" s="865">
        <v>2.6288900000000002</v>
      </c>
      <c r="BE87" s="865">
        <v>2.63</v>
      </c>
      <c r="BF87" s="865">
        <v>2.63</v>
      </c>
      <c r="BG87" s="865">
        <v>2.63</v>
      </c>
      <c r="BH87" s="865">
        <v>2.63</v>
      </c>
    </row>
    <row r="88" spans="12:60">
      <c r="L88" s="861">
        <v>40618</v>
      </c>
      <c r="M88" s="865">
        <v>4.75</v>
      </c>
      <c r="N88" s="865">
        <v>4.8099999999999996</v>
      </c>
      <c r="O88" s="865">
        <v>4.84</v>
      </c>
      <c r="P88" s="865">
        <v>4.8499999999999996</v>
      </c>
      <c r="Q88" s="865">
        <v>4.8817000000000004</v>
      </c>
      <c r="R88" s="865">
        <v>4.9050000000000002</v>
      </c>
      <c r="S88" s="865">
        <v>4.93</v>
      </c>
      <c r="T88" s="865">
        <v>4.9707999999999997</v>
      </c>
      <c r="V88" s="861">
        <v>40617</v>
      </c>
      <c r="W88" s="865">
        <v>0.21149999999999999</v>
      </c>
      <c r="X88" s="865">
        <v>0.2535</v>
      </c>
      <c r="Y88" s="865">
        <v>0.28349999999999997</v>
      </c>
      <c r="Z88" s="865">
        <v>0.309</v>
      </c>
      <c r="AA88" s="865">
        <v>0.35049999999999998</v>
      </c>
      <c r="AB88" s="865">
        <v>0.4078</v>
      </c>
      <c r="AC88" s="865">
        <v>0.46</v>
      </c>
      <c r="AD88" s="865">
        <v>0.76849999999999996</v>
      </c>
      <c r="AF88" s="861">
        <v>40620</v>
      </c>
      <c r="AG88" s="865">
        <v>0.65</v>
      </c>
      <c r="AH88" s="865">
        <v>0.84499999999999997</v>
      </c>
      <c r="AI88" s="865">
        <v>0.98312999999999995</v>
      </c>
      <c r="AJ88" s="865">
        <v>1.1225000000000001</v>
      </c>
      <c r="AK88" s="865">
        <v>1.2175</v>
      </c>
      <c r="AL88" s="865">
        <v>1.3149999999999999</v>
      </c>
      <c r="AM88" s="865">
        <v>1.43563</v>
      </c>
      <c r="AN88" s="865">
        <v>1.8725000000000001</v>
      </c>
      <c r="AP88" s="861">
        <v>40617</v>
      </c>
      <c r="AQ88" s="865">
        <v>0.55688000000000004</v>
      </c>
      <c r="AR88" s="865">
        <v>0.61312999999999995</v>
      </c>
      <c r="AS88" s="865">
        <v>0.68374999999999997</v>
      </c>
      <c r="AT88" s="865">
        <v>0.80562999999999996</v>
      </c>
      <c r="AU88" s="865">
        <v>0.88812999999999998</v>
      </c>
      <c r="AV88" s="865">
        <v>0.99312999999999996</v>
      </c>
      <c r="AW88" s="865">
        <v>1.1074999999999999</v>
      </c>
      <c r="AX88" s="865">
        <v>1.5768800000000001</v>
      </c>
      <c r="AZ88" s="861">
        <v>40627</v>
      </c>
      <c r="BA88" s="865">
        <v>2.5</v>
      </c>
      <c r="BB88" s="865">
        <v>2.5325000000000002</v>
      </c>
      <c r="BC88" s="865">
        <v>2.6124999999999998</v>
      </c>
      <c r="BD88" s="865">
        <v>2.6</v>
      </c>
      <c r="BE88" s="865">
        <v>2.6287500000000001</v>
      </c>
      <c r="BF88" s="865">
        <v>2.63</v>
      </c>
      <c r="BG88" s="865">
        <v>2.6312500000000001</v>
      </c>
      <c r="BH88" s="865">
        <v>2.6312500000000001</v>
      </c>
    </row>
    <row r="89" spans="12:60">
      <c r="L89" s="861">
        <v>40617</v>
      </c>
      <c r="M89" s="865">
        <v>4.75</v>
      </c>
      <c r="N89" s="865">
        <v>4.8449999999999998</v>
      </c>
      <c r="O89" s="865">
        <v>4.87</v>
      </c>
      <c r="P89" s="865">
        <v>4.9400000000000004</v>
      </c>
      <c r="Q89" s="865">
        <v>4.9950000000000001</v>
      </c>
      <c r="R89" s="865">
        <v>5.0332999999999997</v>
      </c>
      <c r="S89" s="865">
        <v>5.0682999999999998</v>
      </c>
      <c r="T89" s="865">
        <v>5.0865</v>
      </c>
      <c r="V89" s="861">
        <v>40616</v>
      </c>
      <c r="W89" s="865">
        <v>0.2135</v>
      </c>
      <c r="X89" s="865">
        <v>0.2535</v>
      </c>
      <c r="Y89" s="865">
        <v>0.28349999999999997</v>
      </c>
      <c r="Z89" s="865">
        <v>0.309</v>
      </c>
      <c r="AA89" s="865">
        <v>0.35049999999999998</v>
      </c>
      <c r="AB89" s="865">
        <v>0.4083</v>
      </c>
      <c r="AC89" s="865">
        <v>0.46100000000000002</v>
      </c>
      <c r="AD89" s="865">
        <v>0.77749999999999997</v>
      </c>
      <c r="AF89" s="861">
        <v>40619</v>
      </c>
      <c r="AG89" s="865">
        <v>0.64624999999999999</v>
      </c>
      <c r="AH89" s="865">
        <v>0.84499999999999997</v>
      </c>
      <c r="AI89" s="865">
        <v>0.98063</v>
      </c>
      <c r="AJ89" s="865">
        <v>1.1212500000000001</v>
      </c>
      <c r="AK89" s="865">
        <v>1.21438</v>
      </c>
      <c r="AL89" s="865">
        <v>1.3143800000000001</v>
      </c>
      <c r="AM89" s="865">
        <v>1.4350000000000001</v>
      </c>
      <c r="AN89" s="865">
        <v>1.86625</v>
      </c>
      <c r="AP89" s="861">
        <v>40616</v>
      </c>
      <c r="AQ89" s="865">
        <v>0.55625000000000002</v>
      </c>
      <c r="AR89" s="865">
        <v>0.61312999999999995</v>
      </c>
      <c r="AS89" s="865">
        <v>0.68374999999999997</v>
      </c>
      <c r="AT89" s="865">
        <v>0.80688000000000004</v>
      </c>
      <c r="AU89" s="865">
        <v>0.88937999999999995</v>
      </c>
      <c r="AV89" s="865">
        <v>0.99438000000000004</v>
      </c>
      <c r="AW89" s="865">
        <v>1.11188</v>
      </c>
      <c r="AX89" s="865">
        <v>1.5843799999999999</v>
      </c>
      <c r="AZ89" s="861">
        <v>40626</v>
      </c>
      <c r="BA89" s="865">
        <v>2.5</v>
      </c>
      <c r="BB89" s="865">
        <v>2.5299999999999998</v>
      </c>
      <c r="BC89" s="865">
        <v>2.6177800000000002</v>
      </c>
      <c r="BD89" s="865">
        <v>2.6133299999999999</v>
      </c>
      <c r="BE89" s="865">
        <v>2.63</v>
      </c>
      <c r="BF89" s="865">
        <v>2.63</v>
      </c>
      <c r="BG89" s="865">
        <v>2.63</v>
      </c>
      <c r="BH89" s="865">
        <v>2.63</v>
      </c>
    </row>
    <row r="90" spans="12:60">
      <c r="L90" s="861">
        <v>40616</v>
      </c>
      <c r="M90" s="865">
        <v>4.75</v>
      </c>
      <c r="N90" s="865">
        <v>4.82</v>
      </c>
      <c r="O90" s="865">
        <v>4.8733000000000004</v>
      </c>
      <c r="P90" s="865">
        <v>4.9633000000000003</v>
      </c>
      <c r="Q90" s="865">
        <v>5.0167000000000002</v>
      </c>
      <c r="R90" s="865">
        <v>5.0583</v>
      </c>
      <c r="S90" s="865">
        <v>5.0949999999999998</v>
      </c>
      <c r="T90" s="865">
        <v>5.1367000000000003</v>
      </c>
      <c r="V90" s="861">
        <v>40613</v>
      </c>
      <c r="W90" s="865">
        <v>0.2155</v>
      </c>
      <c r="X90" s="865">
        <v>0.255</v>
      </c>
      <c r="Y90" s="865">
        <v>0.28399999999999997</v>
      </c>
      <c r="Z90" s="865">
        <v>0.3095</v>
      </c>
      <c r="AA90" s="865">
        <v>0.35</v>
      </c>
      <c r="AB90" s="865">
        <v>0.40849999999999997</v>
      </c>
      <c r="AC90" s="865">
        <v>0.46100000000000002</v>
      </c>
      <c r="AD90" s="865">
        <v>0.78</v>
      </c>
      <c r="AF90" s="861">
        <v>40618</v>
      </c>
      <c r="AG90" s="865">
        <v>0.65625</v>
      </c>
      <c r="AH90" s="865">
        <v>0.84624999999999995</v>
      </c>
      <c r="AI90" s="865">
        <v>0.97813000000000005</v>
      </c>
      <c r="AJ90" s="865">
        <v>1.1200000000000001</v>
      </c>
      <c r="AK90" s="865">
        <v>1.21313</v>
      </c>
      <c r="AL90" s="865">
        <v>1.31375</v>
      </c>
      <c r="AM90" s="865">
        <v>1.4350000000000001</v>
      </c>
      <c r="AN90" s="865">
        <v>1.8712500000000001</v>
      </c>
      <c r="AP90" s="861">
        <v>40613</v>
      </c>
      <c r="AQ90" s="865">
        <v>0.55625000000000002</v>
      </c>
      <c r="AR90" s="865">
        <v>0.61312999999999995</v>
      </c>
      <c r="AS90" s="865">
        <v>0.68313000000000001</v>
      </c>
      <c r="AT90" s="865">
        <v>0.80625000000000002</v>
      </c>
      <c r="AU90" s="865">
        <v>0.88875000000000004</v>
      </c>
      <c r="AV90" s="865">
        <v>0.99375000000000002</v>
      </c>
      <c r="AW90" s="865">
        <v>1.1112500000000001</v>
      </c>
      <c r="AX90" s="865">
        <v>1.58375</v>
      </c>
      <c r="AZ90" s="861">
        <v>40625</v>
      </c>
      <c r="BA90" s="865">
        <v>2.5</v>
      </c>
      <c r="BB90" s="865">
        <v>2.53111</v>
      </c>
      <c r="BC90" s="865">
        <v>2.6133299999999999</v>
      </c>
      <c r="BD90" s="865">
        <v>2.59</v>
      </c>
      <c r="BE90" s="865">
        <v>2.63</v>
      </c>
      <c r="BF90" s="865">
        <v>2.63</v>
      </c>
      <c r="BG90" s="865">
        <v>2.63</v>
      </c>
      <c r="BH90" s="865">
        <v>2.63</v>
      </c>
    </row>
    <row r="91" spans="12:60">
      <c r="L91" s="861">
        <v>40613</v>
      </c>
      <c r="M91" s="865">
        <v>4.75</v>
      </c>
      <c r="N91" s="865">
        <v>4.83</v>
      </c>
      <c r="O91" s="865">
        <v>4.8600000000000003</v>
      </c>
      <c r="P91" s="865">
        <v>4.9983000000000004</v>
      </c>
      <c r="Q91" s="865">
        <v>5.0266999999999999</v>
      </c>
      <c r="R91" s="865">
        <v>5.07</v>
      </c>
      <c r="S91" s="865">
        <v>5.12</v>
      </c>
      <c r="T91" s="865">
        <v>5.1600999999999999</v>
      </c>
      <c r="V91" s="861">
        <v>40612</v>
      </c>
      <c r="W91" s="865">
        <v>0.216</v>
      </c>
      <c r="X91" s="865">
        <v>0.2555</v>
      </c>
      <c r="Y91" s="865">
        <v>0.28399999999999997</v>
      </c>
      <c r="Z91" s="865">
        <v>0.3095</v>
      </c>
      <c r="AA91" s="865">
        <v>0.35</v>
      </c>
      <c r="AB91" s="865">
        <v>0.40849999999999997</v>
      </c>
      <c r="AC91" s="865">
        <v>0.46150000000000002</v>
      </c>
      <c r="AD91" s="865">
        <v>0.78549999999999998</v>
      </c>
      <c r="AF91" s="861">
        <v>40617</v>
      </c>
      <c r="AG91" s="865">
        <v>0.66874999999999996</v>
      </c>
      <c r="AH91" s="865">
        <v>0.84750000000000003</v>
      </c>
      <c r="AI91" s="865">
        <v>0.97938000000000003</v>
      </c>
      <c r="AJ91" s="865">
        <v>1.1200000000000001</v>
      </c>
      <c r="AK91" s="865">
        <v>1.2118800000000001</v>
      </c>
      <c r="AL91" s="865">
        <v>1.30938</v>
      </c>
      <c r="AM91" s="865">
        <v>1.4312499999999999</v>
      </c>
      <c r="AN91" s="865">
        <v>1.865</v>
      </c>
      <c r="AP91" s="861">
        <v>40612</v>
      </c>
      <c r="AQ91" s="865">
        <v>0.55625000000000002</v>
      </c>
      <c r="AR91" s="865">
        <v>0.61312999999999995</v>
      </c>
      <c r="AS91" s="865">
        <v>0.68437999999999999</v>
      </c>
      <c r="AT91" s="865">
        <v>0.80813000000000001</v>
      </c>
      <c r="AU91" s="865">
        <v>0.89063000000000003</v>
      </c>
      <c r="AV91" s="865">
        <v>0.99563000000000001</v>
      </c>
      <c r="AW91" s="865">
        <v>1.11375</v>
      </c>
      <c r="AX91" s="865">
        <v>1.5868800000000001</v>
      </c>
      <c r="AZ91" s="861">
        <v>40624</v>
      </c>
      <c r="BA91" s="865">
        <v>2.5</v>
      </c>
      <c r="BB91" s="865">
        <v>2.54</v>
      </c>
      <c r="BC91" s="865">
        <v>2.6188899999999999</v>
      </c>
      <c r="BD91" s="865">
        <v>2.6177800000000002</v>
      </c>
      <c r="BE91" s="865">
        <v>2.6288900000000002</v>
      </c>
      <c r="BF91" s="865">
        <v>2.63</v>
      </c>
      <c r="BG91" s="865">
        <v>2.63</v>
      </c>
      <c r="BH91" s="865">
        <v>2.63</v>
      </c>
    </row>
    <row r="92" spans="12:60">
      <c r="L92" s="861">
        <v>40612</v>
      </c>
      <c r="M92" s="865">
        <v>4.75</v>
      </c>
      <c r="N92" s="865">
        <v>4.84</v>
      </c>
      <c r="O92" s="865">
        <v>4.8682999999999996</v>
      </c>
      <c r="P92" s="865">
        <v>4.97</v>
      </c>
      <c r="Q92" s="865">
        <v>5.0117000000000003</v>
      </c>
      <c r="R92" s="865">
        <v>5.0682999999999998</v>
      </c>
      <c r="S92" s="865">
        <v>5.12</v>
      </c>
      <c r="T92" s="865">
        <v>5.1913999999999998</v>
      </c>
      <c r="V92" s="861">
        <v>40611</v>
      </c>
      <c r="W92" s="865">
        <v>0.2175</v>
      </c>
      <c r="X92" s="865">
        <v>0.25800000000000001</v>
      </c>
      <c r="Y92" s="865">
        <v>0.28599999999999998</v>
      </c>
      <c r="Z92" s="865">
        <v>0.3095</v>
      </c>
      <c r="AA92" s="865">
        <v>0.35049999999999998</v>
      </c>
      <c r="AB92" s="865">
        <v>0.40849999999999997</v>
      </c>
      <c r="AC92" s="865">
        <v>0.46150000000000002</v>
      </c>
      <c r="AD92" s="865">
        <v>0.78549999999999998</v>
      </c>
      <c r="AF92" s="861">
        <v>40616</v>
      </c>
      <c r="AG92" s="865">
        <v>0.69</v>
      </c>
      <c r="AH92" s="865">
        <v>0.85063</v>
      </c>
      <c r="AI92" s="865">
        <v>0.98250000000000004</v>
      </c>
      <c r="AJ92" s="865">
        <v>1.12625</v>
      </c>
      <c r="AK92" s="865">
        <v>1.2218800000000001</v>
      </c>
      <c r="AL92" s="865">
        <v>1.3218799999999999</v>
      </c>
      <c r="AM92" s="865">
        <v>1.4437500000000001</v>
      </c>
      <c r="AN92" s="865">
        <v>1.8887499999999999</v>
      </c>
      <c r="AP92" s="861">
        <v>40611</v>
      </c>
      <c r="AQ92" s="865">
        <v>0.55625000000000002</v>
      </c>
      <c r="AR92" s="865">
        <v>0.61312999999999995</v>
      </c>
      <c r="AS92" s="865">
        <v>0.68437999999999999</v>
      </c>
      <c r="AT92" s="865">
        <v>0.80813000000000001</v>
      </c>
      <c r="AU92" s="865">
        <v>0.89063000000000003</v>
      </c>
      <c r="AV92" s="865">
        <v>0.99563000000000001</v>
      </c>
      <c r="AW92" s="865">
        <v>1.11375</v>
      </c>
      <c r="AX92" s="865">
        <v>1.5868800000000001</v>
      </c>
      <c r="AZ92" s="861">
        <v>40623</v>
      </c>
      <c r="BA92" s="865">
        <v>2.5</v>
      </c>
      <c r="BB92" s="865">
        <v>2.54</v>
      </c>
      <c r="BC92" s="865">
        <v>2.60778</v>
      </c>
      <c r="BD92" s="865">
        <v>2.6011099999999998</v>
      </c>
      <c r="BE92" s="865">
        <v>2.63</v>
      </c>
      <c r="BF92" s="865">
        <v>2.63</v>
      </c>
      <c r="BG92" s="865">
        <v>2.63</v>
      </c>
      <c r="BH92" s="865">
        <v>2.63</v>
      </c>
    </row>
    <row r="93" spans="12:60">
      <c r="L93" s="861">
        <v>40611</v>
      </c>
      <c r="M93" s="865">
        <v>4.75</v>
      </c>
      <c r="N93" s="865">
        <v>4.8383000000000003</v>
      </c>
      <c r="O93" s="865">
        <v>4.8483000000000001</v>
      </c>
      <c r="P93" s="865">
        <v>4.96</v>
      </c>
      <c r="Q93" s="865">
        <v>5.01</v>
      </c>
      <c r="R93" s="865">
        <v>5.0667</v>
      </c>
      <c r="S93" s="865">
        <v>5.1116999999999999</v>
      </c>
      <c r="T93" s="865">
        <v>5.2046999999999999</v>
      </c>
      <c r="V93" s="861">
        <v>40610</v>
      </c>
      <c r="W93" s="865">
        <v>0.2195</v>
      </c>
      <c r="X93" s="865">
        <v>0.25800000000000001</v>
      </c>
      <c r="Y93" s="865">
        <v>0.28599999999999998</v>
      </c>
      <c r="Z93" s="865">
        <v>0.3095</v>
      </c>
      <c r="AA93" s="865">
        <v>0.35049999999999998</v>
      </c>
      <c r="AB93" s="865">
        <v>0.40849999999999997</v>
      </c>
      <c r="AC93" s="865">
        <v>0.46150000000000002</v>
      </c>
      <c r="AD93" s="865">
        <v>0.78449999999999998</v>
      </c>
      <c r="AF93" s="861">
        <v>40613</v>
      </c>
      <c r="AG93" s="865">
        <v>0.73</v>
      </c>
      <c r="AH93" s="865">
        <v>0.85050000000000003</v>
      </c>
      <c r="AI93" s="865">
        <v>0.98124999999999996</v>
      </c>
      <c r="AJ93" s="865">
        <v>1.1256299999999999</v>
      </c>
      <c r="AK93" s="865">
        <v>1.2193799999999999</v>
      </c>
      <c r="AL93" s="865">
        <v>1.32063</v>
      </c>
      <c r="AM93" s="865">
        <v>1.4437500000000001</v>
      </c>
      <c r="AN93" s="865">
        <v>1.88625</v>
      </c>
      <c r="AP93" s="861">
        <v>40610</v>
      </c>
      <c r="AQ93" s="865">
        <v>0.55625000000000002</v>
      </c>
      <c r="AR93" s="865">
        <v>0.61187999999999998</v>
      </c>
      <c r="AS93" s="865">
        <v>0.68374999999999997</v>
      </c>
      <c r="AT93" s="865">
        <v>0.8075</v>
      </c>
      <c r="AU93" s="865">
        <v>0.89</v>
      </c>
      <c r="AV93" s="865">
        <v>0.99563000000000001</v>
      </c>
      <c r="AW93" s="865">
        <v>1.11375</v>
      </c>
      <c r="AX93" s="865">
        <v>1.585</v>
      </c>
      <c r="AZ93" s="861">
        <v>40620</v>
      </c>
      <c r="BA93" s="865">
        <v>2.5</v>
      </c>
      <c r="BB93" s="865">
        <v>2.6044399999999999</v>
      </c>
      <c r="BC93" s="865">
        <v>2.6088900000000002</v>
      </c>
      <c r="BD93" s="865">
        <v>2.6</v>
      </c>
      <c r="BE93" s="865">
        <v>2.6255600000000001</v>
      </c>
      <c r="BF93" s="865">
        <v>2.6322199999999998</v>
      </c>
      <c r="BG93" s="865">
        <v>2.6311100000000001</v>
      </c>
      <c r="BH93" s="865">
        <v>2.6311100000000001</v>
      </c>
    </row>
    <row r="94" spans="12:60">
      <c r="L94" s="861">
        <v>40610</v>
      </c>
      <c r="M94" s="865">
        <v>4.75</v>
      </c>
      <c r="N94" s="865">
        <v>4.8232999999999997</v>
      </c>
      <c r="O94" s="865">
        <v>4.8532999999999999</v>
      </c>
      <c r="P94" s="865">
        <v>4.95</v>
      </c>
      <c r="Q94" s="865">
        <v>5.0149999999999997</v>
      </c>
      <c r="R94" s="865">
        <v>5.0682999999999998</v>
      </c>
      <c r="S94" s="865">
        <v>5.1283000000000003</v>
      </c>
      <c r="T94" s="865">
        <v>5.2046999999999999</v>
      </c>
      <c r="V94" s="861">
        <v>40609</v>
      </c>
      <c r="W94" s="865">
        <v>0.2205</v>
      </c>
      <c r="X94" s="865">
        <v>0.25900000000000001</v>
      </c>
      <c r="Y94" s="865">
        <v>0.28599999999999998</v>
      </c>
      <c r="Z94" s="865">
        <v>0.3095</v>
      </c>
      <c r="AA94" s="865">
        <v>0.35049999999999998</v>
      </c>
      <c r="AB94" s="865">
        <v>0.40849999999999997</v>
      </c>
      <c r="AC94" s="865">
        <v>0.46250000000000002</v>
      </c>
      <c r="AD94" s="865">
        <v>0.78649999999999998</v>
      </c>
      <c r="AF94" s="861">
        <v>40612</v>
      </c>
      <c r="AG94" s="865">
        <v>0.75124999999999997</v>
      </c>
      <c r="AH94" s="865">
        <v>0.85738000000000003</v>
      </c>
      <c r="AI94" s="865">
        <v>0.98250000000000004</v>
      </c>
      <c r="AJ94" s="865">
        <v>1.1281300000000001</v>
      </c>
      <c r="AK94" s="865">
        <v>1.22</v>
      </c>
      <c r="AL94" s="865">
        <v>1.3218799999999999</v>
      </c>
      <c r="AM94" s="865">
        <v>1.4437500000000001</v>
      </c>
      <c r="AN94" s="865">
        <v>1.89188</v>
      </c>
      <c r="AP94" s="861">
        <v>40609</v>
      </c>
      <c r="AQ94" s="865">
        <v>0.55625000000000002</v>
      </c>
      <c r="AR94" s="865">
        <v>0.61250000000000004</v>
      </c>
      <c r="AS94" s="865">
        <v>0.68313000000000001</v>
      </c>
      <c r="AT94" s="865">
        <v>0.80625000000000002</v>
      </c>
      <c r="AU94" s="865">
        <v>0.88875000000000004</v>
      </c>
      <c r="AV94" s="865">
        <v>0.99563000000000001</v>
      </c>
      <c r="AW94" s="865">
        <v>1.1125</v>
      </c>
      <c r="AX94" s="865">
        <v>1.585</v>
      </c>
      <c r="AZ94" s="861">
        <v>40619</v>
      </c>
      <c r="BA94" s="865">
        <v>2.5</v>
      </c>
      <c r="BB94" s="865">
        <v>2.6</v>
      </c>
      <c r="BC94" s="865">
        <v>2.6088900000000002</v>
      </c>
      <c r="BD94" s="865">
        <v>2.6</v>
      </c>
      <c r="BE94" s="865">
        <v>2.65333</v>
      </c>
      <c r="BF94" s="865">
        <v>2.6544400000000001</v>
      </c>
      <c r="BG94" s="865">
        <v>2.6555599999999999</v>
      </c>
      <c r="BH94" s="865">
        <v>2.6555599999999999</v>
      </c>
    </row>
    <row r="95" spans="12:60">
      <c r="L95" s="861">
        <v>40609</v>
      </c>
      <c r="M95" s="865">
        <v>4.75</v>
      </c>
      <c r="N95" s="865">
        <v>4.82</v>
      </c>
      <c r="O95" s="865">
        <v>4.88</v>
      </c>
      <c r="P95" s="865">
        <v>4.9800000000000004</v>
      </c>
      <c r="Q95" s="865">
        <v>5.0282999999999998</v>
      </c>
      <c r="R95" s="865">
        <v>5.07</v>
      </c>
      <c r="S95" s="865">
        <v>5.12</v>
      </c>
      <c r="T95" s="865">
        <v>5.2152000000000003</v>
      </c>
      <c r="V95" s="861">
        <v>40606</v>
      </c>
      <c r="W95" s="865">
        <v>0.2215</v>
      </c>
      <c r="X95" s="865">
        <v>0.26</v>
      </c>
      <c r="Y95" s="865">
        <v>0.28599999999999998</v>
      </c>
      <c r="Z95" s="865">
        <v>0.3095</v>
      </c>
      <c r="AA95" s="865">
        <v>0.35049999999999998</v>
      </c>
      <c r="AB95" s="865">
        <v>0.40849999999999997</v>
      </c>
      <c r="AC95" s="865">
        <v>0.46250000000000002</v>
      </c>
      <c r="AD95" s="865">
        <v>0.79200000000000004</v>
      </c>
      <c r="AF95" s="861">
        <v>40611</v>
      </c>
      <c r="AG95" s="865">
        <v>0.8</v>
      </c>
      <c r="AH95" s="865">
        <v>0.86299999999999999</v>
      </c>
      <c r="AI95" s="865">
        <v>0.98124999999999996</v>
      </c>
      <c r="AJ95" s="865">
        <v>1.1293800000000001</v>
      </c>
      <c r="AK95" s="865">
        <v>1.2206300000000001</v>
      </c>
      <c r="AL95" s="865">
        <v>1.32</v>
      </c>
      <c r="AM95" s="865">
        <v>1.44</v>
      </c>
      <c r="AN95" s="865">
        <v>1.8887499999999999</v>
      </c>
      <c r="AP95" s="861">
        <v>40606</v>
      </c>
      <c r="AQ95" s="865">
        <v>0.55625000000000002</v>
      </c>
      <c r="AR95" s="865">
        <v>0.61250000000000004</v>
      </c>
      <c r="AS95" s="865">
        <v>0.68313000000000001</v>
      </c>
      <c r="AT95" s="865">
        <v>0.80500000000000005</v>
      </c>
      <c r="AU95" s="865">
        <v>0.88749999999999996</v>
      </c>
      <c r="AV95" s="865">
        <v>0.99312999999999996</v>
      </c>
      <c r="AW95" s="865">
        <v>1.11063</v>
      </c>
      <c r="AX95" s="865">
        <v>1.58375</v>
      </c>
      <c r="AZ95" s="861">
        <v>40618</v>
      </c>
      <c r="BA95" s="865">
        <v>2.5</v>
      </c>
      <c r="BB95" s="865">
        <v>2.6188899999999999</v>
      </c>
      <c r="BC95" s="865">
        <v>2.62778</v>
      </c>
      <c r="BD95" s="865">
        <v>2.5655600000000001</v>
      </c>
      <c r="BE95" s="865">
        <v>2.6566700000000001</v>
      </c>
      <c r="BF95" s="865">
        <v>2.6577799999999998</v>
      </c>
      <c r="BG95" s="865">
        <v>2.65889</v>
      </c>
      <c r="BH95" s="865">
        <v>2.65889</v>
      </c>
    </row>
    <row r="96" spans="12:60">
      <c r="L96" s="861">
        <v>40606</v>
      </c>
      <c r="M96" s="865">
        <v>4.75</v>
      </c>
      <c r="N96" s="865">
        <v>4.8266999999999998</v>
      </c>
      <c r="O96" s="865">
        <v>4.8817000000000004</v>
      </c>
      <c r="P96" s="865">
        <v>4.9800000000000004</v>
      </c>
      <c r="Q96" s="865">
        <v>5.0316999999999998</v>
      </c>
      <c r="R96" s="865">
        <v>5.0732999999999997</v>
      </c>
      <c r="S96" s="865">
        <v>5.14</v>
      </c>
      <c r="T96" s="865">
        <v>5.2257999999999996</v>
      </c>
      <c r="V96" s="861">
        <v>40605</v>
      </c>
      <c r="W96" s="865">
        <v>0.2215</v>
      </c>
      <c r="X96" s="865">
        <v>0.26</v>
      </c>
      <c r="Y96" s="865">
        <v>0.28599999999999998</v>
      </c>
      <c r="Z96" s="865">
        <v>0.3095</v>
      </c>
      <c r="AA96" s="865">
        <v>0.35049999999999998</v>
      </c>
      <c r="AB96" s="865">
        <v>0.40849999999999997</v>
      </c>
      <c r="AC96" s="865">
        <v>0.46150000000000002</v>
      </c>
      <c r="AD96" s="865">
        <v>0.78725000000000001</v>
      </c>
      <c r="AF96" s="861">
        <v>40610</v>
      </c>
      <c r="AG96" s="865">
        <v>0.82499999999999996</v>
      </c>
      <c r="AH96" s="865">
        <v>0.86438000000000004</v>
      </c>
      <c r="AI96" s="865">
        <v>0.98</v>
      </c>
      <c r="AJ96" s="865">
        <v>1.1293800000000001</v>
      </c>
      <c r="AK96" s="865">
        <v>1.2231300000000001</v>
      </c>
      <c r="AL96" s="865">
        <v>1.3218799999999999</v>
      </c>
      <c r="AM96" s="865">
        <v>1.44</v>
      </c>
      <c r="AN96" s="865">
        <v>1.8843799999999999</v>
      </c>
      <c r="AP96" s="861">
        <v>40605</v>
      </c>
      <c r="AQ96" s="865">
        <v>0.55625000000000002</v>
      </c>
      <c r="AR96" s="865">
        <v>0.61124999999999996</v>
      </c>
      <c r="AS96" s="865">
        <v>0.6825</v>
      </c>
      <c r="AT96" s="865">
        <v>0.80249999999999999</v>
      </c>
      <c r="AU96" s="865">
        <v>0.88438000000000005</v>
      </c>
      <c r="AV96" s="865">
        <v>0.99187999999999998</v>
      </c>
      <c r="AW96" s="865">
        <v>1.1087499999999999</v>
      </c>
      <c r="AX96" s="865">
        <v>1.5762499999999999</v>
      </c>
      <c r="AZ96" s="861">
        <v>40617</v>
      </c>
      <c r="BA96" s="865">
        <v>2.5</v>
      </c>
      <c r="BB96" s="865">
        <v>2.61</v>
      </c>
      <c r="BC96" s="865">
        <v>2.6411099999999998</v>
      </c>
      <c r="BD96" s="865">
        <v>2.69333</v>
      </c>
      <c r="BE96" s="865">
        <v>2.6711100000000001</v>
      </c>
      <c r="BF96" s="865">
        <v>2.69</v>
      </c>
      <c r="BG96" s="865">
        <v>2.71</v>
      </c>
      <c r="BH96" s="865">
        <v>2.71</v>
      </c>
    </row>
    <row r="97" spans="12:60">
      <c r="L97" s="861">
        <v>40605</v>
      </c>
      <c r="M97" s="865">
        <v>4.75</v>
      </c>
      <c r="N97" s="865">
        <v>4.8383000000000003</v>
      </c>
      <c r="O97" s="865">
        <v>4.8766999999999996</v>
      </c>
      <c r="P97" s="865">
        <v>4.9400000000000004</v>
      </c>
      <c r="Q97" s="865">
        <v>4.9950000000000001</v>
      </c>
      <c r="R97" s="865">
        <v>5.0467000000000004</v>
      </c>
      <c r="S97" s="865">
        <v>5.1100000000000003</v>
      </c>
      <c r="T97" s="865">
        <v>5.2012</v>
      </c>
      <c r="V97" s="861">
        <v>40604</v>
      </c>
      <c r="W97" s="865">
        <v>0.2235</v>
      </c>
      <c r="X97" s="865">
        <v>0.26</v>
      </c>
      <c r="Y97" s="865">
        <v>0.28599999999999998</v>
      </c>
      <c r="Z97" s="865">
        <v>0.3095</v>
      </c>
      <c r="AA97" s="865">
        <v>0.35049999999999998</v>
      </c>
      <c r="AB97" s="865">
        <v>0.40849999999999997</v>
      </c>
      <c r="AC97" s="865">
        <v>0.46150000000000002</v>
      </c>
      <c r="AD97" s="865">
        <v>0.78625</v>
      </c>
      <c r="AF97" s="861">
        <v>40609</v>
      </c>
      <c r="AG97" s="865">
        <v>0.45374999999999999</v>
      </c>
      <c r="AH97" s="865">
        <v>0.85812999999999995</v>
      </c>
      <c r="AI97" s="865">
        <v>0.97750000000000004</v>
      </c>
      <c r="AJ97" s="865">
        <v>1.1243799999999999</v>
      </c>
      <c r="AK97" s="865">
        <v>1.2193799999999999</v>
      </c>
      <c r="AL97" s="865">
        <v>1.31813</v>
      </c>
      <c r="AM97" s="865">
        <v>1.43438</v>
      </c>
      <c r="AN97" s="865">
        <v>1.8756299999999999</v>
      </c>
      <c r="AP97" s="861">
        <v>40604</v>
      </c>
      <c r="AQ97" s="865">
        <v>0.55625000000000002</v>
      </c>
      <c r="AR97" s="865">
        <v>0.61250000000000004</v>
      </c>
      <c r="AS97" s="865">
        <v>0.6825</v>
      </c>
      <c r="AT97" s="865">
        <v>0.80249999999999999</v>
      </c>
      <c r="AU97" s="865">
        <v>0.88375000000000004</v>
      </c>
      <c r="AV97" s="865">
        <v>0.99063000000000001</v>
      </c>
      <c r="AW97" s="865">
        <v>1.1087499999999999</v>
      </c>
      <c r="AX97" s="865">
        <v>1.5762499999999999</v>
      </c>
      <c r="AZ97" s="861">
        <v>40616</v>
      </c>
      <c r="BA97" s="865">
        <v>2.5</v>
      </c>
      <c r="BB97" s="865">
        <v>2.62</v>
      </c>
      <c r="BC97" s="865">
        <v>2.64</v>
      </c>
      <c r="BD97" s="865">
        <v>2.6487500000000002</v>
      </c>
      <c r="BE97" s="865">
        <v>2.67</v>
      </c>
      <c r="BF97" s="865">
        <v>2.69</v>
      </c>
      <c r="BG97" s="865">
        <v>2.71</v>
      </c>
      <c r="BH97" s="865">
        <v>2.71</v>
      </c>
    </row>
    <row r="98" spans="12:60">
      <c r="L98" s="861">
        <v>40604</v>
      </c>
      <c r="M98" s="865">
        <v>4.75</v>
      </c>
      <c r="N98" s="865">
        <v>4.8499999999999996</v>
      </c>
      <c r="O98" s="865">
        <v>4.88</v>
      </c>
      <c r="P98" s="865">
        <v>4.9432999999999998</v>
      </c>
      <c r="Q98" s="865">
        <v>4.9916999999999998</v>
      </c>
      <c r="R98" s="865">
        <v>5.0449999999999999</v>
      </c>
      <c r="S98" s="865">
        <v>5.1132999999999997</v>
      </c>
      <c r="T98" s="865">
        <v>5.1893000000000002</v>
      </c>
      <c r="V98" s="861">
        <v>40603</v>
      </c>
      <c r="W98" s="865">
        <v>0.22550000000000001</v>
      </c>
      <c r="X98" s="865">
        <v>0.26100000000000001</v>
      </c>
      <c r="Y98" s="865">
        <v>0.28549999999999998</v>
      </c>
      <c r="Z98" s="865">
        <v>0.3095</v>
      </c>
      <c r="AA98" s="865">
        <v>0.35099999999999998</v>
      </c>
      <c r="AB98" s="865">
        <v>0.40949999999999998</v>
      </c>
      <c r="AC98" s="865">
        <v>0.46250000000000002</v>
      </c>
      <c r="AD98" s="865">
        <v>0.78874999999999995</v>
      </c>
      <c r="AF98" s="861">
        <v>40606</v>
      </c>
      <c r="AG98" s="865">
        <v>0.35375000000000001</v>
      </c>
      <c r="AH98" s="865">
        <v>0.85187999999999997</v>
      </c>
      <c r="AI98" s="865">
        <v>0.97438000000000002</v>
      </c>
      <c r="AJ98" s="865">
        <v>1.1181300000000001</v>
      </c>
      <c r="AK98" s="865">
        <v>1.2137500000000001</v>
      </c>
      <c r="AL98" s="865">
        <v>1.3125</v>
      </c>
      <c r="AM98" s="865">
        <v>1.42625</v>
      </c>
      <c r="AN98" s="865">
        <v>1.8525</v>
      </c>
      <c r="AP98" s="861">
        <v>40603</v>
      </c>
      <c r="AQ98" s="865">
        <v>0.55625000000000002</v>
      </c>
      <c r="AR98" s="865">
        <v>0.61250000000000004</v>
      </c>
      <c r="AS98" s="865">
        <v>0.6825</v>
      </c>
      <c r="AT98" s="865">
        <v>0.80249999999999999</v>
      </c>
      <c r="AU98" s="865">
        <v>0.88375000000000004</v>
      </c>
      <c r="AV98" s="865">
        <v>0.99124999999999996</v>
      </c>
      <c r="AW98" s="865">
        <v>1.1100000000000001</v>
      </c>
      <c r="AX98" s="865">
        <v>1.5762499999999999</v>
      </c>
      <c r="AZ98" s="861">
        <v>40613</v>
      </c>
      <c r="BA98" s="865">
        <v>2.5</v>
      </c>
      <c r="BB98" s="865">
        <v>2.62</v>
      </c>
      <c r="BC98" s="865">
        <v>2.63</v>
      </c>
      <c r="BD98" s="865">
        <v>2.67625</v>
      </c>
      <c r="BE98" s="865">
        <v>2.6737500000000001</v>
      </c>
      <c r="BF98" s="865">
        <v>2.69</v>
      </c>
      <c r="BG98" s="865">
        <v>2.71</v>
      </c>
      <c r="BH98" s="865">
        <v>2.71</v>
      </c>
    </row>
    <row r="99" spans="12:60">
      <c r="L99" s="861">
        <v>40603</v>
      </c>
      <c r="M99" s="865">
        <v>4.75</v>
      </c>
      <c r="N99" s="865">
        <v>4.8582999999999998</v>
      </c>
      <c r="O99" s="865">
        <v>4.8883000000000001</v>
      </c>
      <c r="P99" s="865">
        <v>4.95</v>
      </c>
      <c r="Q99" s="865">
        <v>4.9932999999999996</v>
      </c>
      <c r="R99" s="865">
        <v>5.04</v>
      </c>
      <c r="S99" s="865">
        <v>5.0917000000000003</v>
      </c>
      <c r="T99" s="865">
        <v>5.2</v>
      </c>
      <c r="V99" s="861">
        <v>40602</v>
      </c>
      <c r="W99" s="865">
        <v>0.22550000000000001</v>
      </c>
      <c r="X99" s="865">
        <v>0.26100000000000001</v>
      </c>
      <c r="Y99" s="865">
        <v>0.28649999999999998</v>
      </c>
      <c r="Z99" s="865">
        <v>0.3095</v>
      </c>
      <c r="AA99" s="865">
        <v>0.35199999999999998</v>
      </c>
      <c r="AB99" s="865">
        <v>0.41049999999999998</v>
      </c>
      <c r="AC99" s="865">
        <v>0.46400000000000002</v>
      </c>
      <c r="AD99" s="865">
        <v>0.79025000000000001</v>
      </c>
      <c r="AF99" s="861">
        <v>40605</v>
      </c>
      <c r="AG99" s="865">
        <v>0.36375000000000002</v>
      </c>
      <c r="AH99" s="865">
        <v>0.82562999999999998</v>
      </c>
      <c r="AI99" s="865">
        <v>0.91813</v>
      </c>
      <c r="AJ99" s="865">
        <v>1.04813</v>
      </c>
      <c r="AK99" s="865">
        <v>1.1356299999999999</v>
      </c>
      <c r="AL99" s="865">
        <v>1.2262500000000001</v>
      </c>
      <c r="AM99" s="865">
        <v>1.33375</v>
      </c>
      <c r="AN99" s="865">
        <v>1.70688</v>
      </c>
      <c r="AP99" s="861">
        <v>40602</v>
      </c>
      <c r="AQ99" s="865">
        <v>0.55625000000000002</v>
      </c>
      <c r="AR99" s="865">
        <v>0.61250000000000004</v>
      </c>
      <c r="AS99" s="865">
        <v>0.6825</v>
      </c>
      <c r="AT99" s="865">
        <v>0.80249999999999999</v>
      </c>
      <c r="AU99" s="865">
        <v>0.88375000000000004</v>
      </c>
      <c r="AV99" s="865">
        <v>0.99099999999999999</v>
      </c>
      <c r="AW99" s="865">
        <v>1.1100000000000001</v>
      </c>
      <c r="AX99" s="865">
        <v>1.5762499999999999</v>
      </c>
      <c r="AZ99" s="861">
        <v>40612</v>
      </c>
      <c r="BA99" s="865">
        <v>2.5</v>
      </c>
      <c r="BB99" s="865">
        <v>2.62</v>
      </c>
      <c r="BC99" s="865">
        <v>2.63375</v>
      </c>
      <c r="BD99" s="865">
        <v>2.6587499999999999</v>
      </c>
      <c r="BE99" s="865">
        <v>2.67</v>
      </c>
      <c r="BF99" s="865">
        <v>2.69</v>
      </c>
      <c r="BG99" s="865">
        <v>2.71</v>
      </c>
      <c r="BH99" s="865">
        <v>2.71</v>
      </c>
    </row>
    <row r="100" spans="12:60">
      <c r="L100" s="861">
        <v>40602</v>
      </c>
      <c r="M100" s="865">
        <v>4.75</v>
      </c>
      <c r="N100" s="865">
        <v>4.8383000000000003</v>
      </c>
      <c r="O100" s="865">
        <v>4.875</v>
      </c>
      <c r="P100" s="865">
        <v>4.97</v>
      </c>
      <c r="Q100" s="865">
        <v>5.0016999999999996</v>
      </c>
      <c r="R100" s="865">
        <v>5.05</v>
      </c>
      <c r="S100" s="865">
        <v>5.12</v>
      </c>
      <c r="T100" s="865">
        <v>5.1767000000000003</v>
      </c>
      <c r="V100" s="861">
        <v>40599</v>
      </c>
      <c r="W100" s="865">
        <v>0.22550000000000001</v>
      </c>
      <c r="X100" s="865">
        <v>0.26100000000000001</v>
      </c>
      <c r="Y100" s="865">
        <v>0.28599999999999998</v>
      </c>
      <c r="Z100" s="865">
        <v>0.3105</v>
      </c>
      <c r="AA100" s="865">
        <v>0.35299999999999998</v>
      </c>
      <c r="AB100" s="865">
        <v>0.41049999999999998</v>
      </c>
      <c r="AC100" s="865">
        <v>0.46400000000000002</v>
      </c>
      <c r="AD100" s="865">
        <v>0.79225000000000001</v>
      </c>
      <c r="AF100" s="861">
        <v>40604</v>
      </c>
      <c r="AG100" s="865">
        <v>0.46124999999999999</v>
      </c>
      <c r="AH100" s="865">
        <v>0.81938</v>
      </c>
      <c r="AI100" s="865">
        <v>0.91625000000000001</v>
      </c>
      <c r="AJ100" s="865">
        <v>1.0475000000000001</v>
      </c>
      <c r="AK100" s="865">
        <v>1.13063</v>
      </c>
      <c r="AL100" s="865">
        <v>1.2206300000000001</v>
      </c>
      <c r="AM100" s="865">
        <v>1.3262499999999999</v>
      </c>
      <c r="AN100" s="865">
        <v>1.7012499999999999</v>
      </c>
      <c r="AP100" s="861">
        <v>40599</v>
      </c>
      <c r="AQ100" s="865">
        <v>0.55625000000000002</v>
      </c>
      <c r="AR100" s="865">
        <v>0.61250000000000004</v>
      </c>
      <c r="AS100" s="865">
        <v>0.6825</v>
      </c>
      <c r="AT100" s="865">
        <v>0.80137999999999998</v>
      </c>
      <c r="AU100" s="865">
        <v>0.88312999999999997</v>
      </c>
      <c r="AV100" s="865">
        <v>0.99099999999999999</v>
      </c>
      <c r="AW100" s="865">
        <v>1.1094999999999999</v>
      </c>
      <c r="AX100" s="865">
        <v>1.575</v>
      </c>
      <c r="AZ100" s="861">
        <v>40611</v>
      </c>
      <c r="BA100" s="865">
        <v>3</v>
      </c>
      <c r="BB100" s="865">
        <v>2.8112499999999998</v>
      </c>
      <c r="BC100" s="865">
        <v>2.8</v>
      </c>
      <c r="BD100" s="865">
        <v>2.8025000000000002</v>
      </c>
      <c r="BE100" s="865">
        <v>2.83</v>
      </c>
      <c r="BF100" s="865">
        <v>2.84</v>
      </c>
      <c r="BG100" s="865">
        <v>2.85</v>
      </c>
      <c r="BH100" s="865">
        <v>2.85</v>
      </c>
    </row>
    <row r="101" spans="12:60">
      <c r="L101" s="861">
        <v>40599</v>
      </c>
      <c r="M101" s="865">
        <v>4.75</v>
      </c>
      <c r="N101" s="865">
        <v>4.8282999999999996</v>
      </c>
      <c r="O101" s="865">
        <v>4.8550000000000004</v>
      </c>
      <c r="P101" s="865">
        <v>4.9333</v>
      </c>
      <c r="Q101" s="865">
        <v>4.9749999999999996</v>
      </c>
      <c r="R101" s="865">
        <v>5.0232999999999999</v>
      </c>
      <c r="S101" s="865">
        <v>5.085</v>
      </c>
      <c r="T101" s="865">
        <v>5.2045000000000003</v>
      </c>
      <c r="V101" s="861">
        <v>40598</v>
      </c>
      <c r="W101" s="865">
        <v>0.22550000000000001</v>
      </c>
      <c r="X101" s="865">
        <v>0.26150000000000001</v>
      </c>
      <c r="Y101" s="865">
        <v>0.28449999999999998</v>
      </c>
      <c r="Z101" s="865">
        <v>0.3105</v>
      </c>
      <c r="AA101" s="865">
        <v>0.35299999999999998</v>
      </c>
      <c r="AB101" s="865">
        <v>0.41049999999999998</v>
      </c>
      <c r="AC101" s="865">
        <v>0.46400000000000002</v>
      </c>
      <c r="AD101" s="865">
        <v>0.79125000000000001</v>
      </c>
      <c r="AF101" s="861">
        <v>40603</v>
      </c>
      <c r="AG101" s="865">
        <v>0.58625000000000005</v>
      </c>
      <c r="AH101" s="865">
        <v>0.82188000000000005</v>
      </c>
      <c r="AI101" s="865">
        <v>0.91688000000000003</v>
      </c>
      <c r="AJ101" s="865">
        <v>1.04938</v>
      </c>
      <c r="AK101" s="865">
        <v>1.13375</v>
      </c>
      <c r="AL101" s="865">
        <v>1.2237499999999999</v>
      </c>
      <c r="AM101" s="865">
        <v>1.32813</v>
      </c>
      <c r="AN101" s="865">
        <v>1.69875</v>
      </c>
      <c r="AP101" s="861">
        <v>40598</v>
      </c>
      <c r="AQ101" s="865">
        <v>0.55625000000000002</v>
      </c>
      <c r="AR101" s="865">
        <v>0.61250000000000004</v>
      </c>
      <c r="AS101" s="865">
        <v>0.68374999999999997</v>
      </c>
      <c r="AT101" s="865">
        <v>0.80174999999999996</v>
      </c>
      <c r="AU101" s="865">
        <v>0.88475000000000004</v>
      </c>
      <c r="AV101" s="865">
        <v>0.99263000000000001</v>
      </c>
      <c r="AW101" s="865">
        <v>1.11113</v>
      </c>
      <c r="AX101" s="865">
        <v>1.57813</v>
      </c>
      <c r="AZ101" s="861">
        <v>40610</v>
      </c>
      <c r="BA101" s="865">
        <v>3</v>
      </c>
      <c r="BB101" s="865">
        <v>2.8233299999999999</v>
      </c>
      <c r="BC101" s="865">
        <v>2.80444</v>
      </c>
      <c r="BD101" s="865">
        <v>2.8188900000000001</v>
      </c>
      <c r="BE101" s="865">
        <v>2.83</v>
      </c>
      <c r="BF101" s="865">
        <v>2.8388900000000001</v>
      </c>
      <c r="BG101" s="865">
        <v>2.85</v>
      </c>
      <c r="BH101" s="865">
        <v>2.85</v>
      </c>
    </row>
    <row r="102" spans="12:60">
      <c r="L102" s="861">
        <v>40598</v>
      </c>
      <c r="M102" s="865">
        <v>4.75</v>
      </c>
      <c r="N102" s="865">
        <v>4.83</v>
      </c>
      <c r="O102" s="865">
        <v>4.8582999999999998</v>
      </c>
      <c r="P102" s="865">
        <v>4.9249999999999998</v>
      </c>
      <c r="Q102" s="865">
        <v>4.9733000000000001</v>
      </c>
      <c r="R102" s="865">
        <v>5.0217000000000001</v>
      </c>
      <c r="S102" s="865">
        <v>5.0782999999999996</v>
      </c>
      <c r="T102" s="865">
        <v>5.1835000000000004</v>
      </c>
      <c r="V102" s="861">
        <v>40597</v>
      </c>
      <c r="W102" s="865">
        <v>0.22700000000000001</v>
      </c>
      <c r="X102" s="865">
        <v>0.26150000000000001</v>
      </c>
      <c r="Y102" s="865">
        <v>0.28549999999999998</v>
      </c>
      <c r="Z102" s="865">
        <v>0.3115</v>
      </c>
      <c r="AA102" s="865">
        <v>0.35299999999999998</v>
      </c>
      <c r="AB102" s="865">
        <v>0.41149999999999998</v>
      </c>
      <c r="AC102" s="865">
        <v>0.46500000000000002</v>
      </c>
      <c r="AD102" s="865">
        <v>0.79374999999999996</v>
      </c>
      <c r="AF102" s="861">
        <v>40602</v>
      </c>
      <c r="AG102" s="865">
        <v>0.65125</v>
      </c>
      <c r="AH102" s="865">
        <v>0.82313000000000003</v>
      </c>
      <c r="AI102" s="865">
        <v>0.91688000000000003</v>
      </c>
      <c r="AJ102" s="865">
        <v>1.0475000000000001</v>
      </c>
      <c r="AK102" s="865">
        <v>1.13375</v>
      </c>
      <c r="AL102" s="865">
        <v>1.2237499999999999</v>
      </c>
      <c r="AM102" s="865">
        <v>1.32813</v>
      </c>
      <c r="AN102" s="865">
        <v>1.6950000000000001</v>
      </c>
      <c r="AP102" s="861">
        <v>40597</v>
      </c>
      <c r="AQ102" s="865">
        <v>0.55625000000000002</v>
      </c>
      <c r="AR102" s="865">
        <v>0.61250000000000004</v>
      </c>
      <c r="AS102" s="865">
        <v>0.68374999999999997</v>
      </c>
      <c r="AT102" s="865">
        <v>0.80300000000000005</v>
      </c>
      <c r="AU102" s="865">
        <v>0.88600000000000001</v>
      </c>
      <c r="AV102" s="865">
        <v>0.99387999999999999</v>
      </c>
      <c r="AW102" s="865">
        <v>1.1123799999999999</v>
      </c>
      <c r="AX102" s="865">
        <v>1.5783799999999999</v>
      </c>
      <c r="AZ102" s="861">
        <v>40609</v>
      </c>
      <c r="BA102" s="865">
        <v>3</v>
      </c>
      <c r="BB102" s="865">
        <v>2.85</v>
      </c>
      <c r="BC102" s="865">
        <v>2.82</v>
      </c>
      <c r="BD102" s="865">
        <v>2.7911100000000002</v>
      </c>
      <c r="BE102" s="865">
        <v>2.8588900000000002</v>
      </c>
      <c r="BF102" s="865">
        <v>2.8588900000000002</v>
      </c>
      <c r="BG102" s="865">
        <v>2.8588900000000002</v>
      </c>
      <c r="BH102" s="865">
        <v>2.8588900000000002</v>
      </c>
    </row>
    <row r="103" spans="12:60">
      <c r="L103" s="861">
        <v>40597</v>
      </c>
      <c r="M103" s="865">
        <v>4.75</v>
      </c>
      <c r="N103" s="865">
        <v>4.83</v>
      </c>
      <c r="O103" s="865">
        <v>4.8532999999999999</v>
      </c>
      <c r="P103" s="865">
        <v>4.9132999999999996</v>
      </c>
      <c r="Q103" s="865">
        <v>4.9667000000000003</v>
      </c>
      <c r="R103" s="865">
        <v>5.01</v>
      </c>
      <c r="S103" s="865">
        <v>5.0599999999999996</v>
      </c>
      <c r="T103" s="865">
        <v>5.1597999999999997</v>
      </c>
      <c r="V103" s="861">
        <v>40596</v>
      </c>
      <c r="W103" s="865">
        <v>0.22800000000000001</v>
      </c>
      <c r="X103" s="865">
        <v>0.26150000000000001</v>
      </c>
      <c r="Y103" s="865">
        <v>0.28549999999999998</v>
      </c>
      <c r="Z103" s="865">
        <v>0.3125</v>
      </c>
      <c r="AA103" s="865">
        <v>0.35299999999999998</v>
      </c>
      <c r="AB103" s="865">
        <v>0.41049999999999998</v>
      </c>
      <c r="AC103" s="865">
        <v>0.46500000000000002</v>
      </c>
      <c r="AD103" s="865">
        <v>0.79274999999999995</v>
      </c>
      <c r="AF103" s="861">
        <v>40599</v>
      </c>
      <c r="AG103" s="865">
        <v>0.6</v>
      </c>
      <c r="AH103" s="865">
        <v>0.82313000000000003</v>
      </c>
      <c r="AI103" s="865">
        <v>0.91749999999999998</v>
      </c>
      <c r="AJ103" s="865">
        <v>1.0462499999999999</v>
      </c>
      <c r="AK103" s="865">
        <v>1.1325000000000001</v>
      </c>
      <c r="AL103" s="865">
        <v>1.2224999999999999</v>
      </c>
      <c r="AM103" s="865">
        <v>1.32813</v>
      </c>
      <c r="AN103" s="865">
        <v>1.6950000000000001</v>
      </c>
      <c r="AP103" s="861">
        <v>40596</v>
      </c>
      <c r="AQ103" s="865">
        <v>0.55625000000000002</v>
      </c>
      <c r="AR103" s="865">
        <v>0.61250000000000004</v>
      </c>
      <c r="AS103" s="865">
        <v>0.6825</v>
      </c>
      <c r="AT103" s="865">
        <v>0.80300000000000005</v>
      </c>
      <c r="AU103" s="865">
        <v>0.88575000000000004</v>
      </c>
      <c r="AV103" s="865">
        <v>0.99187999999999998</v>
      </c>
      <c r="AW103" s="865">
        <v>1.1092500000000001</v>
      </c>
      <c r="AX103" s="865">
        <v>1.5758799999999999</v>
      </c>
      <c r="AZ103" s="861">
        <v>40606</v>
      </c>
      <c r="BA103" s="865">
        <v>3</v>
      </c>
      <c r="BB103" s="865">
        <v>2.85</v>
      </c>
      <c r="BC103" s="865">
        <v>2.83222</v>
      </c>
      <c r="BD103" s="865">
        <v>2.8555600000000001</v>
      </c>
      <c r="BE103" s="865">
        <v>2.86</v>
      </c>
      <c r="BF103" s="865">
        <v>2.86</v>
      </c>
      <c r="BG103" s="865">
        <v>2.86</v>
      </c>
      <c r="BH103" s="865">
        <v>2.86</v>
      </c>
    </row>
    <row r="104" spans="12:60">
      <c r="L104" s="861">
        <v>40596</v>
      </c>
      <c r="M104" s="865">
        <v>4.75</v>
      </c>
      <c r="N104" s="865">
        <v>4.83</v>
      </c>
      <c r="O104" s="865">
        <v>4.8532999999999999</v>
      </c>
      <c r="P104" s="865">
        <v>4.91</v>
      </c>
      <c r="Q104" s="865">
        <v>4.9617000000000004</v>
      </c>
      <c r="R104" s="865">
        <v>5.01</v>
      </c>
      <c r="S104" s="865">
        <v>5.0599999999999996</v>
      </c>
      <c r="T104" s="865">
        <v>5.1700999999999997</v>
      </c>
      <c r="V104" s="861">
        <v>40595</v>
      </c>
      <c r="W104" s="865">
        <v>0.22950000000000001</v>
      </c>
      <c r="X104" s="865">
        <v>0.26200000000000001</v>
      </c>
      <c r="Y104" s="865">
        <v>0.28649999999999998</v>
      </c>
      <c r="Z104" s="865">
        <v>0.3125</v>
      </c>
      <c r="AA104" s="865">
        <v>0.35299999999999998</v>
      </c>
      <c r="AB104" s="865">
        <v>0.40949999999999998</v>
      </c>
      <c r="AC104" s="865">
        <v>0.46500000000000002</v>
      </c>
      <c r="AD104" s="865">
        <v>0.79300000000000004</v>
      </c>
      <c r="AF104" s="861">
        <v>40598</v>
      </c>
      <c r="AG104" s="865">
        <v>0.63624999999999998</v>
      </c>
      <c r="AH104" s="865">
        <v>0.82062999999999997</v>
      </c>
      <c r="AI104" s="865">
        <v>0.91749999999999998</v>
      </c>
      <c r="AJ104" s="865">
        <v>1.0449999999999999</v>
      </c>
      <c r="AK104" s="865">
        <v>1.1293800000000001</v>
      </c>
      <c r="AL104" s="865">
        <v>1.2181299999999999</v>
      </c>
      <c r="AM104" s="865">
        <v>1.3231299999999999</v>
      </c>
      <c r="AN104" s="865">
        <v>1.69</v>
      </c>
      <c r="AP104" s="861">
        <v>40595</v>
      </c>
      <c r="AQ104" s="865">
        <v>0.55625000000000002</v>
      </c>
      <c r="AR104" s="865">
        <v>0.61250000000000004</v>
      </c>
      <c r="AS104" s="865">
        <v>0.6825</v>
      </c>
      <c r="AT104" s="865">
        <v>0.80300000000000005</v>
      </c>
      <c r="AU104" s="865">
        <v>0.88549999999999995</v>
      </c>
      <c r="AV104" s="865">
        <v>0.99175000000000002</v>
      </c>
      <c r="AW104" s="865">
        <v>1.10863</v>
      </c>
      <c r="AX104" s="865">
        <v>1.5756300000000001</v>
      </c>
      <c r="AZ104" s="861">
        <v>40605</v>
      </c>
      <c r="BA104" s="865">
        <v>3</v>
      </c>
      <c r="BB104" s="865">
        <v>2.85</v>
      </c>
      <c r="BC104" s="865">
        <v>2.8311099999999998</v>
      </c>
      <c r="BD104" s="865">
        <v>2.8311099999999998</v>
      </c>
      <c r="BE104" s="865">
        <v>2.86</v>
      </c>
      <c r="BF104" s="865">
        <v>2.86</v>
      </c>
      <c r="BG104" s="865">
        <v>2.86</v>
      </c>
      <c r="BH104" s="865">
        <v>2.86</v>
      </c>
    </row>
    <row r="105" spans="12:60">
      <c r="L105" s="861">
        <v>40595</v>
      </c>
      <c r="M105" s="865">
        <v>4.75</v>
      </c>
      <c r="N105" s="865">
        <v>4.8</v>
      </c>
      <c r="O105" s="865">
        <v>4.8532999999999999</v>
      </c>
      <c r="P105" s="865">
        <v>4.9000000000000004</v>
      </c>
      <c r="Q105" s="865">
        <v>4.9566999999999997</v>
      </c>
      <c r="R105" s="865">
        <v>5.0183</v>
      </c>
      <c r="S105" s="865">
        <v>5.0716999999999999</v>
      </c>
      <c r="T105" s="865">
        <v>5.1882000000000001</v>
      </c>
      <c r="V105" s="861">
        <v>40592</v>
      </c>
      <c r="W105" s="865">
        <v>0.22950000000000001</v>
      </c>
      <c r="X105" s="865">
        <v>0.26200000000000001</v>
      </c>
      <c r="Y105" s="865">
        <v>0.28649999999999998</v>
      </c>
      <c r="Z105" s="865">
        <v>0.3125</v>
      </c>
      <c r="AA105" s="865">
        <v>0.35299999999999998</v>
      </c>
      <c r="AB105" s="865">
        <v>0.41</v>
      </c>
      <c r="AC105" s="865">
        <v>0.46550000000000002</v>
      </c>
      <c r="AD105" s="865">
        <v>0.79500000000000004</v>
      </c>
      <c r="AF105" s="861">
        <v>40597</v>
      </c>
      <c r="AG105" s="865">
        <v>0.63749999999999996</v>
      </c>
      <c r="AH105" s="865">
        <v>0.82687999999999995</v>
      </c>
      <c r="AI105" s="865">
        <v>0.91749999999999998</v>
      </c>
      <c r="AJ105" s="865">
        <v>1.04375</v>
      </c>
      <c r="AK105" s="865">
        <v>1.1268800000000001</v>
      </c>
      <c r="AL105" s="865">
        <v>1.21563</v>
      </c>
      <c r="AM105" s="865">
        <v>1.31938</v>
      </c>
      <c r="AN105" s="865">
        <v>1.6837500000000001</v>
      </c>
      <c r="AP105" s="861">
        <v>40592</v>
      </c>
      <c r="AQ105" s="865">
        <v>0.55625000000000002</v>
      </c>
      <c r="AR105" s="865">
        <v>0.61087999999999998</v>
      </c>
      <c r="AS105" s="865">
        <v>0.68125000000000002</v>
      </c>
      <c r="AT105" s="865">
        <v>0.80174999999999996</v>
      </c>
      <c r="AU105" s="865">
        <v>0.88424999999999998</v>
      </c>
      <c r="AV105" s="865">
        <v>0.99024999999999996</v>
      </c>
      <c r="AW105" s="865">
        <v>1.1071299999999999</v>
      </c>
      <c r="AX105" s="865">
        <v>1.5756300000000001</v>
      </c>
      <c r="AZ105" s="861">
        <v>40604</v>
      </c>
      <c r="BA105" s="865">
        <v>3</v>
      </c>
      <c r="BB105" s="865">
        <v>2.92</v>
      </c>
      <c r="BC105" s="865">
        <v>2.88</v>
      </c>
      <c r="BD105" s="865">
        <v>2.8566699999999998</v>
      </c>
      <c r="BE105" s="865">
        <v>2.9</v>
      </c>
      <c r="BF105" s="865">
        <v>2.9188900000000002</v>
      </c>
      <c r="BG105" s="865">
        <v>2.92</v>
      </c>
      <c r="BH105" s="865">
        <v>2.92</v>
      </c>
    </row>
    <row r="106" spans="12:60">
      <c r="L106" s="861">
        <v>40592</v>
      </c>
      <c r="M106" s="865">
        <v>4.75</v>
      </c>
      <c r="N106" s="865">
        <v>4.8099999999999996</v>
      </c>
      <c r="O106" s="865">
        <v>4.8550000000000004</v>
      </c>
      <c r="P106" s="865">
        <v>4.9000000000000004</v>
      </c>
      <c r="Q106" s="865">
        <v>4.95</v>
      </c>
      <c r="R106" s="865">
        <v>5.0133000000000001</v>
      </c>
      <c r="S106" s="865">
        <v>5.0599999999999996</v>
      </c>
      <c r="T106" s="865">
        <v>5.1836000000000002</v>
      </c>
      <c r="V106" s="861">
        <v>40591</v>
      </c>
      <c r="W106" s="865">
        <v>0.23100000000000001</v>
      </c>
      <c r="X106" s="865">
        <v>0.26300000000000001</v>
      </c>
      <c r="Y106" s="865">
        <v>0.28849999999999998</v>
      </c>
      <c r="Z106" s="865">
        <v>0.3135</v>
      </c>
      <c r="AA106" s="865">
        <v>0.35349999999999998</v>
      </c>
      <c r="AB106" s="865">
        <v>0.41</v>
      </c>
      <c r="AC106" s="865">
        <v>0.46550000000000002</v>
      </c>
      <c r="AD106" s="865">
        <v>0.79574999999999996</v>
      </c>
      <c r="AF106" s="861">
        <v>40596</v>
      </c>
      <c r="AG106" s="865">
        <v>0.51500000000000001</v>
      </c>
      <c r="AH106" s="865">
        <v>0.82562999999999998</v>
      </c>
      <c r="AI106" s="865">
        <v>0.91749999999999998</v>
      </c>
      <c r="AJ106" s="865">
        <v>1.0387500000000001</v>
      </c>
      <c r="AK106" s="865">
        <v>1.1212500000000001</v>
      </c>
      <c r="AL106" s="865">
        <v>1.2112499999999999</v>
      </c>
      <c r="AM106" s="865">
        <v>1.3062499999999999</v>
      </c>
      <c r="AN106" s="865">
        <v>1.66875</v>
      </c>
      <c r="AP106" s="861">
        <v>40591</v>
      </c>
      <c r="AQ106" s="865">
        <v>0.55625000000000002</v>
      </c>
      <c r="AR106" s="865">
        <v>0.61063000000000001</v>
      </c>
      <c r="AS106" s="865">
        <v>0.68125000000000002</v>
      </c>
      <c r="AT106" s="865">
        <v>0.80149999999999999</v>
      </c>
      <c r="AU106" s="865">
        <v>0.88400000000000001</v>
      </c>
      <c r="AV106" s="865">
        <v>0.98963000000000001</v>
      </c>
      <c r="AW106" s="865">
        <v>1.1065</v>
      </c>
      <c r="AX106" s="865">
        <v>1.5731299999999999</v>
      </c>
      <c r="AZ106" s="861">
        <v>40603</v>
      </c>
      <c r="BA106" s="865">
        <v>3</v>
      </c>
      <c r="BB106" s="865">
        <v>2.8588900000000002</v>
      </c>
      <c r="BC106" s="865">
        <v>2.86</v>
      </c>
      <c r="BD106" s="865">
        <v>2.87</v>
      </c>
      <c r="BE106" s="865">
        <v>2.8988900000000002</v>
      </c>
      <c r="BF106" s="865">
        <v>2.9</v>
      </c>
      <c r="BG106" s="865">
        <v>2.9</v>
      </c>
      <c r="BH106" s="865">
        <v>2.9</v>
      </c>
    </row>
    <row r="107" spans="12:60">
      <c r="L107" s="861">
        <v>40591</v>
      </c>
      <c r="M107" s="865">
        <v>4.75</v>
      </c>
      <c r="N107" s="865">
        <v>4.8099999999999996</v>
      </c>
      <c r="O107" s="865">
        <v>4.8550000000000004</v>
      </c>
      <c r="P107" s="865">
        <v>4.9000000000000004</v>
      </c>
      <c r="Q107" s="865">
        <v>4.9532999999999996</v>
      </c>
      <c r="R107" s="865">
        <v>5.0199999999999996</v>
      </c>
      <c r="S107" s="865">
        <v>5.0599999999999996</v>
      </c>
      <c r="T107" s="865">
        <v>5.2037000000000004</v>
      </c>
      <c r="V107" s="861">
        <v>40590</v>
      </c>
      <c r="W107" s="865">
        <v>0.23350000000000001</v>
      </c>
      <c r="X107" s="865">
        <v>0.26300000000000001</v>
      </c>
      <c r="Y107" s="865">
        <v>0.28849999999999998</v>
      </c>
      <c r="Z107" s="865">
        <v>0.3135</v>
      </c>
      <c r="AA107" s="865">
        <v>0.35349999999999998</v>
      </c>
      <c r="AB107" s="865">
        <v>0.41</v>
      </c>
      <c r="AC107" s="865">
        <v>0.4652</v>
      </c>
      <c r="AD107" s="865">
        <v>0.79774999999999996</v>
      </c>
      <c r="AF107" s="861">
        <v>40595</v>
      </c>
      <c r="AG107" s="865">
        <v>0.46375</v>
      </c>
      <c r="AH107" s="865">
        <v>0.8175</v>
      </c>
      <c r="AI107" s="865">
        <v>0.91374999999999995</v>
      </c>
      <c r="AJ107" s="865">
        <v>1.03</v>
      </c>
      <c r="AK107" s="865">
        <v>1.1068800000000001</v>
      </c>
      <c r="AL107" s="865">
        <v>1.1968799999999999</v>
      </c>
      <c r="AM107" s="865">
        <v>1.2925</v>
      </c>
      <c r="AN107" s="865">
        <v>1.655</v>
      </c>
      <c r="AP107" s="861">
        <v>40590</v>
      </c>
      <c r="AQ107" s="865">
        <v>0.55625000000000002</v>
      </c>
      <c r="AR107" s="865">
        <v>0.61063000000000001</v>
      </c>
      <c r="AS107" s="865">
        <v>0.68125000000000002</v>
      </c>
      <c r="AT107" s="865">
        <v>0.80149999999999999</v>
      </c>
      <c r="AU107" s="865">
        <v>0.88400000000000001</v>
      </c>
      <c r="AV107" s="865">
        <v>0.98963000000000001</v>
      </c>
      <c r="AW107" s="865">
        <v>1.1065</v>
      </c>
      <c r="AX107" s="865">
        <v>1.5731299999999999</v>
      </c>
      <c r="AZ107" s="861">
        <v>40602</v>
      </c>
      <c r="BA107" s="865">
        <v>3</v>
      </c>
      <c r="BB107" s="865">
        <v>2.9277799999999998</v>
      </c>
      <c r="BC107" s="865">
        <v>2.86</v>
      </c>
      <c r="BD107" s="865">
        <v>2.8633299999999999</v>
      </c>
      <c r="BE107" s="865">
        <v>2.89</v>
      </c>
      <c r="BF107" s="865">
        <v>2.89778</v>
      </c>
      <c r="BG107" s="865">
        <v>2.8911099999999998</v>
      </c>
      <c r="BH107" s="865">
        <v>2.8911099999999998</v>
      </c>
    </row>
    <row r="108" spans="12:60">
      <c r="L108" s="861">
        <v>40590</v>
      </c>
      <c r="M108" s="865">
        <v>4.75</v>
      </c>
      <c r="N108" s="865">
        <v>4.8</v>
      </c>
      <c r="O108" s="865">
        <v>4.8550000000000004</v>
      </c>
      <c r="P108" s="865">
        <v>4.9000000000000004</v>
      </c>
      <c r="Q108" s="865">
        <v>4.9550000000000001</v>
      </c>
      <c r="R108" s="865">
        <v>5.0232999999999999</v>
      </c>
      <c r="S108" s="865">
        <v>5.0632999999999999</v>
      </c>
      <c r="T108" s="865">
        <v>5.1874000000000002</v>
      </c>
      <c r="V108" s="861">
        <v>40589</v>
      </c>
      <c r="W108" s="865">
        <v>0.23350000000000001</v>
      </c>
      <c r="X108" s="865">
        <v>0.26400000000000001</v>
      </c>
      <c r="Y108" s="865">
        <v>0.28849999999999998</v>
      </c>
      <c r="Z108" s="865">
        <v>0.3135</v>
      </c>
      <c r="AA108" s="865">
        <v>0.35349999999999998</v>
      </c>
      <c r="AB108" s="865">
        <v>0.41</v>
      </c>
      <c r="AC108" s="865">
        <v>0.4657</v>
      </c>
      <c r="AD108" s="865">
        <v>0.79874999999999996</v>
      </c>
      <c r="AF108" s="861">
        <v>40592</v>
      </c>
      <c r="AG108" s="865">
        <v>0.46875</v>
      </c>
      <c r="AH108" s="865">
        <v>0.82125000000000004</v>
      </c>
      <c r="AI108" s="865">
        <v>0.91500000000000004</v>
      </c>
      <c r="AJ108" s="865">
        <v>1.0325</v>
      </c>
      <c r="AK108" s="865">
        <v>1.10625</v>
      </c>
      <c r="AL108" s="865">
        <v>1.1937500000000001</v>
      </c>
      <c r="AM108" s="865">
        <v>1.2875000000000001</v>
      </c>
      <c r="AN108" s="865">
        <v>1.65</v>
      </c>
      <c r="AP108" s="861">
        <v>40589</v>
      </c>
      <c r="AQ108" s="865">
        <v>0.55625000000000002</v>
      </c>
      <c r="AR108" s="865">
        <v>0.61187999999999998</v>
      </c>
      <c r="AS108" s="865">
        <v>0.6825</v>
      </c>
      <c r="AT108" s="865">
        <v>0.80337999999999998</v>
      </c>
      <c r="AU108" s="865">
        <v>0.88588</v>
      </c>
      <c r="AV108" s="865">
        <v>0.99150000000000005</v>
      </c>
      <c r="AW108" s="865">
        <v>1.1083799999999999</v>
      </c>
      <c r="AX108" s="865">
        <v>1.5743799999999999</v>
      </c>
      <c r="AZ108" s="861">
        <v>40599</v>
      </c>
      <c r="BA108" s="865">
        <v>3</v>
      </c>
      <c r="BB108" s="865">
        <v>2.91</v>
      </c>
      <c r="BC108" s="865">
        <v>2.86</v>
      </c>
      <c r="BD108" s="865">
        <v>2.8588900000000002</v>
      </c>
      <c r="BE108" s="865">
        <v>2.89</v>
      </c>
      <c r="BF108" s="865">
        <v>2.90889</v>
      </c>
      <c r="BG108" s="865">
        <v>2.9277799999999998</v>
      </c>
      <c r="BH108" s="865">
        <v>2.9277799999999998</v>
      </c>
    </row>
    <row r="109" spans="12:60">
      <c r="L109" s="861">
        <v>40589</v>
      </c>
      <c r="M109" s="865">
        <v>4.75</v>
      </c>
      <c r="N109" s="865">
        <v>4.83</v>
      </c>
      <c r="O109" s="865">
        <v>4.8600000000000003</v>
      </c>
      <c r="P109" s="865">
        <v>4.91</v>
      </c>
      <c r="Q109" s="865">
        <v>4.9800000000000004</v>
      </c>
      <c r="R109" s="865">
        <v>5.0366999999999997</v>
      </c>
      <c r="S109" s="865">
        <v>5.0949999999999998</v>
      </c>
      <c r="T109" s="865">
        <v>5.2140000000000004</v>
      </c>
      <c r="V109" s="861">
        <v>40588</v>
      </c>
      <c r="W109" s="865">
        <v>0.23300000000000001</v>
      </c>
      <c r="X109" s="865">
        <v>0.26474999999999999</v>
      </c>
      <c r="Y109" s="865">
        <v>0.28899999999999998</v>
      </c>
      <c r="Z109" s="865">
        <v>0.314</v>
      </c>
      <c r="AA109" s="865">
        <v>0.35349999999999998</v>
      </c>
      <c r="AB109" s="865">
        <v>0.41</v>
      </c>
      <c r="AC109" s="865">
        <v>0.4657</v>
      </c>
      <c r="AD109" s="865">
        <v>0.79749999999999999</v>
      </c>
      <c r="AF109" s="861">
        <v>40591</v>
      </c>
      <c r="AG109" s="865">
        <v>0.60375000000000001</v>
      </c>
      <c r="AH109" s="865">
        <v>0.83499999999999996</v>
      </c>
      <c r="AI109" s="865">
        <v>0.92062999999999995</v>
      </c>
      <c r="AJ109" s="865">
        <v>1.0375000000000001</v>
      </c>
      <c r="AK109" s="865">
        <v>1.1112500000000001</v>
      </c>
      <c r="AL109" s="865">
        <v>1.1975</v>
      </c>
      <c r="AM109" s="865">
        <v>1.29</v>
      </c>
      <c r="AN109" s="865">
        <v>1.65</v>
      </c>
      <c r="AP109" s="861">
        <v>40588</v>
      </c>
      <c r="AQ109" s="865">
        <v>0.55625000000000002</v>
      </c>
      <c r="AR109" s="865">
        <v>0.61187999999999998</v>
      </c>
      <c r="AS109" s="865">
        <v>0.68125000000000002</v>
      </c>
      <c r="AT109" s="865">
        <v>0.80337999999999998</v>
      </c>
      <c r="AU109" s="865">
        <v>0.88712999999999997</v>
      </c>
      <c r="AV109" s="865">
        <v>0.99150000000000005</v>
      </c>
      <c r="AW109" s="865">
        <v>1.1083799999999999</v>
      </c>
      <c r="AX109" s="865">
        <v>1.5743799999999999</v>
      </c>
      <c r="AZ109" s="861">
        <v>40598</v>
      </c>
      <c r="BA109" s="865">
        <v>3</v>
      </c>
      <c r="BB109" s="865">
        <v>2.95</v>
      </c>
      <c r="BC109" s="865">
        <v>2.9</v>
      </c>
      <c r="BD109" s="865">
        <v>2.9011100000000001</v>
      </c>
      <c r="BE109" s="865">
        <v>2.9188900000000002</v>
      </c>
      <c r="BF109" s="865">
        <v>2.9388899999999998</v>
      </c>
      <c r="BG109" s="865">
        <v>2.9566699999999999</v>
      </c>
      <c r="BH109" s="865">
        <v>2.9566699999999999</v>
      </c>
    </row>
    <row r="110" spans="12:60">
      <c r="L110" s="861">
        <v>40588</v>
      </c>
      <c r="M110" s="865">
        <v>4.75</v>
      </c>
      <c r="N110" s="865">
        <v>4.8250000000000002</v>
      </c>
      <c r="O110" s="865">
        <v>4.8766999999999996</v>
      </c>
      <c r="P110" s="865">
        <v>4.9217000000000004</v>
      </c>
      <c r="Q110" s="865">
        <v>4.9800000000000004</v>
      </c>
      <c r="R110" s="865">
        <v>5.0316999999999998</v>
      </c>
      <c r="S110" s="865">
        <v>5.07</v>
      </c>
      <c r="T110" s="865">
        <v>5.1971999999999996</v>
      </c>
      <c r="V110" s="861">
        <v>40585</v>
      </c>
      <c r="W110" s="865">
        <v>0.23400000000000001</v>
      </c>
      <c r="X110" s="865">
        <v>0.26574999999999999</v>
      </c>
      <c r="Y110" s="865">
        <v>0.28899999999999998</v>
      </c>
      <c r="Z110" s="865">
        <v>0.313</v>
      </c>
      <c r="AA110" s="865">
        <v>0.35299999999999998</v>
      </c>
      <c r="AB110" s="865">
        <v>0.41</v>
      </c>
      <c r="AC110" s="865">
        <v>0.4652</v>
      </c>
      <c r="AD110" s="865">
        <v>0.79649999999999999</v>
      </c>
      <c r="AF110" s="861">
        <v>40590</v>
      </c>
      <c r="AG110" s="865">
        <v>0.7</v>
      </c>
      <c r="AH110" s="865">
        <v>0.84375</v>
      </c>
      <c r="AI110" s="865">
        <v>0.92500000000000004</v>
      </c>
      <c r="AJ110" s="865">
        <v>1.04125</v>
      </c>
      <c r="AK110" s="865">
        <v>1.115</v>
      </c>
      <c r="AL110" s="865">
        <v>1.19875</v>
      </c>
      <c r="AM110" s="865">
        <v>1.29</v>
      </c>
      <c r="AN110" s="865">
        <v>1.6512500000000001</v>
      </c>
      <c r="AP110" s="861">
        <v>40585</v>
      </c>
      <c r="AQ110" s="865">
        <v>0.55625000000000002</v>
      </c>
      <c r="AR110" s="865">
        <v>0.61187999999999998</v>
      </c>
      <c r="AS110" s="865">
        <v>0.68125000000000002</v>
      </c>
      <c r="AT110" s="865">
        <v>0.80313000000000001</v>
      </c>
      <c r="AU110" s="865">
        <v>0.88688</v>
      </c>
      <c r="AV110" s="865">
        <v>0.99124999999999996</v>
      </c>
      <c r="AW110" s="865">
        <v>1.1081300000000001</v>
      </c>
      <c r="AX110" s="865">
        <v>1.5731299999999999</v>
      </c>
      <c r="AZ110" s="861">
        <v>40597</v>
      </c>
      <c r="BA110" s="865">
        <v>3</v>
      </c>
      <c r="BB110" s="865">
        <v>3.04</v>
      </c>
      <c r="BC110" s="865">
        <v>3.01</v>
      </c>
      <c r="BD110" s="865">
        <v>3.0066700000000002</v>
      </c>
      <c r="BE110" s="865">
        <v>3.02556</v>
      </c>
      <c r="BF110" s="865">
        <v>3.03111</v>
      </c>
      <c r="BG110" s="865">
        <v>3.03667</v>
      </c>
      <c r="BH110" s="865">
        <v>3.03667</v>
      </c>
    </row>
    <row r="111" spans="12:60">
      <c r="L111" s="861">
        <v>40585</v>
      </c>
      <c r="M111" s="865">
        <v>4.75</v>
      </c>
      <c r="N111" s="865">
        <v>4.8282999999999996</v>
      </c>
      <c r="O111" s="865">
        <v>4.87</v>
      </c>
      <c r="P111" s="865">
        <v>4.9032999999999998</v>
      </c>
      <c r="Q111" s="865">
        <v>4.9850000000000003</v>
      </c>
      <c r="R111" s="865">
        <v>5.0416999999999996</v>
      </c>
      <c r="S111" s="865">
        <v>5.08</v>
      </c>
      <c r="T111" s="865">
        <v>5.2351999999999999</v>
      </c>
      <c r="V111" s="861">
        <v>40584</v>
      </c>
      <c r="W111" s="865">
        <v>0.23400000000000001</v>
      </c>
      <c r="X111" s="865">
        <v>0.26400000000000001</v>
      </c>
      <c r="Y111" s="865">
        <v>0.28799999999999998</v>
      </c>
      <c r="Z111" s="865">
        <v>0.312</v>
      </c>
      <c r="AA111" s="865">
        <v>0.35199999999999998</v>
      </c>
      <c r="AB111" s="865">
        <v>0.41</v>
      </c>
      <c r="AC111" s="865">
        <v>0.4647</v>
      </c>
      <c r="AD111" s="865">
        <v>0.79700000000000004</v>
      </c>
      <c r="AF111" s="861">
        <v>40589</v>
      </c>
      <c r="AG111" s="865">
        <v>0.75</v>
      </c>
      <c r="AH111" s="865">
        <v>0.85499999999999998</v>
      </c>
      <c r="AI111" s="865">
        <v>0.92625000000000002</v>
      </c>
      <c r="AJ111" s="865">
        <v>1.04375</v>
      </c>
      <c r="AK111" s="865">
        <v>1.11625</v>
      </c>
      <c r="AL111" s="865">
        <v>1.2</v>
      </c>
      <c r="AM111" s="865">
        <v>1.29125</v>
      </c>
      <c r="AN111" s="865">
        <v>1.6481300000000001</v>
      </c>
      <c r="AP111" s="861">
        <v>40584</v>
      </c>
      <c r="AQ111" s="865">
        <v>0.55688000000000004</v>
      </c>
      <c r="AR111" s="865">
        <v>0.61687999999999998</v>
      </c>
      <c r="AS111" s="865">
        <v>0.68313000000000001</v>
      </c>
      <c r="AT111" s="865">
        <v>0.80500000000000005</v>
      </c>
      <c r="AU111" s="865">
        <v>0.88688</v>
      </c>
      <c r="AV111" s="865">
        <v>0.99124999999999996</v>
      </c>
      <c r="AW111" s="865">
        <v>1.1081300000000001</v>
      </c>
      <c r="AX111" s="865">
        <v>1.5718799999999999</v>
      </c>
      <c r="AZ111" s="861">
        <v>40596</v>
      </c>
      <c r="BA111" s="865">
        <v>3</v>
      </c>
      <c r="BB111" s="865">
        <v>3.15</v>
      </c>
      <c r="BC111" s="865">
        <v>3.16</v>
      </c>
      <c r="BD111" s="865">
        <v>3.17</v>
      </c>
      <c r="BE111" s="865">
        <v>3.19</v>
      </c>
      <c r="BF111" s="865">
        <v>3.19</v>
      </c>
      <c r="BG111" s="865">
        <v>3.24</v>
      </c>
      <c r="BH111" s="865">
        <v>3.24</v>
      </c>
    </row>
    <row r="112" spans="12:60">
      <c r="L112" s="861">
        <v>40584</v>
      </c>
      <c r="M112" s="865">
        <v>4.75</v>
      </c>
      <c r="N112" s="865">
        <v>4.8282999999999996</v>
      </c>
      <c r="O112" s="865">
        <v>4.8733000000000004</v>
      </c>
      <c r="P112" s="865">
        <v>4.9317000000000002</v>
      </c>
      <c r="Q112" s="865">
        <v>4.99</v>
      </c>
      <c r="R112" s="865">
        <v>5.0483000000000002</v>
      </c>
      <c r="S112" s="865">
        <v>5.0917000000000003</v>
      </c>
      <c r="T112" s="865">
        <v>5.2599</v>
      </c>
      <c r="V112" s="861">
        <v>40583</v>
      </c>
      <c r="W112" s="865">
        <v>0.23549999999999999</v>
      </c>
      <c r="X112" s="865">
        <v>0.26400000000000001</v>
      </c>
      <c r="Y112" s="865">
        <v>0.28849999999999998</v>
      </c>
      <c r="Z112" s="865">
        <v>0.312</v>
      </c>
      <c r="AA112" s="865">
        <v>0.35199999999999998</v>
      </c>
      <c r="AB112" s="865">
        <v>0.41099999999999998</v>
      </c>
      <c r="AC112" s="865">
        <v>0.4652</v>
      </c>
      <c r="AD112" s="865">
        <v>0.79900000000000004</v>
      </c>
      <c r="AF112" s="861">
        <v>40588</v>
      </c>
      <c r="AG112" s="865">
        <v>0.8125</v>
      </c>
      <c r="AH112" s="865">
        <v>0.86624999999999996</v>
      </c>
      <c r="AI112" s="865">
        <v>0.92874999999999996</v>
      </c>
      <c r="AJ112" s="865">
        <v>1.0449999999999999</v>
      </c>
      <c r="AK112" s="865">
        <v>1.1174999999999999</v>
      </c>
      <c r="AL112" s="865">
        <v>1.2</v>
      </c>
      <c r="AM112" s="865">
        <v>1.29125</v>
      </c>
      <c r="AN112" s="865">
        <v>1.6456299999999999</v>
      </c>
      <c r="AP112" s="861">
        <v>40583</v>
      </c>
      <c r="AQ112" s="865">
        <v>0.55688000000000004</v>
      </c>
      <c r="AR112" s="865">
        <v>0.61563000000000001</v>
      </c>
      <c r="AS112" s="865">
        <v>0.68188000000000004</v>
      </c>
      <c r="AT112" s="865">
        <v>0.80374999999999996</v>
      </c>
      <c r="AU112" s="865">
        <v>0.88563000000000003</v>
      </c>
      <c r="AV112" s="865">
        <v>0.99</v>
      </c>
      <c r="AW112" s="865">
        <v>1.1068800000000001</v>
      </c>
      <c r="AX112" s="865">
        <v>1.57063</v>
      </c>
      <c r="AZ112" s="861">
        <v>40595</v>
      </c>
      <c r="BA112" s="865">
        <v>3</v>
      </c>
      <c r="BB112" s="865">
        <v>3.1155599999999999</v>
      </c>
      <c r="BC112" s="865">
        <v>3.1611099999999999</v>
      </c>
      <c r="BD112" s="865">
        <v>3.1944400000000002</v>
      </c>
      <c r="BE112" s="865">
        <v>3.1911100000000001</v>
      </c>
      <c r="BF112" s="865">
        <v>3.1911100000000001</v>
      </c>
      <c r="BG112" s="865">
        <v>3.24</v>
      </c>
      <c r="BH112" s="865">
        <v>3.24</v>
      </c>
    </row>
    <row r="113" spans="12:60">
      <c r="L113" s="861">
        <v>40583</v>
      </c>
      <c r="M113" s="865">
        <v>4.75</v>
      </c>
      <c r="N113" s="865">
        <v>4.8282999999999996</v>
      </c>
      <c r="O113" s="865">
        <v>4.87</v>
      </c>
      <c r="P113" s="865">
        <v>4.9249999999999998</v>
      </c>
      <c r="Q113" s="865">
        <v>4.99</v>
      </c>
      <c r="R113" s="865">
        <v>5.05</v>
      </c>
      <c r="S113" s="865">
        <v>5.1233000000000004</v>
      </c>
      <c r="T113" s="865">
        <v>5.2636000000000003</v>
      </c>
      <c r="V113" s="861">
        <v>40582</v>
      </c>
      <c r="W113" s="865">
        <v>0.23549999999999999</v>
      </c>
      <c r="X113" s="865">
        <v>0.26400000000000001</v>
      </c>
      <c r="Y113" s="865">
        <v>0.28825000000000001</v>
      </c>
      <c r="Z113" s="865">
        <v>0.312</v>
      </c>
      <c r="AA113" s="865">
        <v>0.35099999999999998</v>
      </c>
      <c r="AB113" s="865">
        <v>0.41</v>
      </c>
      <c r="AC113" s="865">
        <v>0.46434999999999998</v>
      </c>
      <c r="AD113" s="865">
        <v>0.79325000000000001</v>
      </c>
      <c r="AF113" s="861">
        <v>40585</v>
      </c>
      <c r="AG113" s="865">
        <v>0.87250000000000005</v>
      </c>
      <c r="AH113" s="865">
        <v>0.87375000000000003</v>
      </c>
      <c r="AI113" s="865">
        <v>0.92874999999999996</v>
      </c>
      <c r="AJ113" s="865">
        <v>1.0462499999999999</v>
      </c>
      <c r="AK113" s="865">
        <v>1.1187499999999999</v>
      </c>
      <c r="AL113" s="865">
        <v>1.2012499999999999</v>
      </c>
      <c r="AM113" s="865">
        <v>1.29375</v>
      </c>
      <c r="AN113" s="865">
        <v>1.64313</v>
      </c>
      <c r="AP113" s="861">
        <v>40582</v>
      </c>
      <c r="AQ113" s="865">
        <v>0.55813000000000001</v>
      </c>
      <c r="AR113" s="865">
        <v>0.61438000000000004</v>
      </c>
      <c r="AS113" s="865">
        <v>0.68188000000000004</v>
      </c>
      <c r="AT113" s="865">
        <v>0.80188000000000004</v>
      </c>
      <c r="AU113" s="865">
        <v>0.88500000000000001</v>
      </c>
      <c r="AV113" s="865">
        <v>0.98812999999999995</v>
      </c>
      <c r="AW113" s="865">
        <v>1.105</v>
      </c>
      <c r="AX113" s="865">
        <v>1.56938</v>
      </c>
      <c r="AZ113" s="861">
        <v>40592</v>
      </c>
      <c r="BA113" s="865">
        <v>3</v>
      </c>
      <c r="BB113" s="865">
        <v>3.18</v>
      </c>
      <c r="BC113" s="865">
        <v>3.1722199999999998</v>
      </c>
      <c r="BD113" s="865">
        <v>3.1711100000000001</v>
      </c>
      <c r="BE113" s="865">
        <v>3.1911100000000001</v>
      </c>
      <c r="BF113" s="865">
        <v>3.1911100000000001</v>
      </c>
      <c r="BG113" s="865">
        <v>3.24</v>
      </c>
      <c r="BH113" s="865">
        <v>3.24</v>
      </c>
    </row>
    <row r="114" spans="12:60">
      <c r="L114" s="861">
        <v>40582</v>
      </c>
      <c r="M114" s="865">
        <v>4.75</v>
      </c>
      <c r="N114" s="865">
        <v>4.8250000000000002</v>
      </c>
      <c r="O114" s="865">
        <v>4.87</v>
      </c>
      <c r="P114" s="865">
        <v>4.91</v>
      </c>
      <c r="Q114" s="865">
        <v>4.9832999999999998</v>
      </c>
      <c r="R114" s="865">
        <v>5.0433000000000003</v>
      </c>
      <c r="S114" s="865">
        <v>5.12</v>
      </c>
      <c r="T114" s="865">
        <v>5.2436999999999996</v>
      </c>
      <c r="V114" s="861">
        <v>40581</v>
      </c>
      <c r="W114" s="865">
        <v>0.2374</v>
      </c>
      <c r="X114" s="865">
        <v>0.26374999999999998</v>
      </c>
      <c r="Y114" s="865">
        <v>0.28799999999999998</v>
      </c>
      <c r="Z114" s="865">
        <v>0.312</v>
      </c>
      <c r="AA114" s="865">
        <v>0.35099999999999998</v>
      </c>
      <c r="AB114" s="865">
        <v>0.41</v>
      </c>
      <c r="AC114" s="865">
        <v>0.46284999999999998</v>
      </c>
      <c r="AD114" s="865">
        <v>0.79274999999999995</v>
      </c>
      <c r="AF114" s="861">
        <v>40584</v>
      </c>
      <c r="AG114" s="865">
        <v>0.97124999999999995</v>
      </c>
      <c r="AH114" s="865">
        <v>0.87875000000000003</v>
      </c>
      <c r="AI114" s="865">
        <v>0.92937999999999998</v>
      </c>
      <c r="AJ114" s="865">
        <v>1.04813</v>
      </c>
      <c r="AK114" s="865">
        <v>1.1174999999999999</v>
      </c>
      <c r="AL114" s="865">
        <v>1.1993799999999999</v>
      </c>
      <c r="AM114" s="865">
        <v>1.2925</v>
      </c>
      <c r="AN114" s="865">
        <v>1.6387499999999999</v>
      </c>
      <c r="AP114" s="861">
        <v>40581</v>
      </c>
      <c r="AQ114" s="865">
        <v>0.55688000000000004</v>
      </c>
      <c r="AR114" s="865">
        <v>0.61250000000000004</v>
      </c>
      <c r="AS114" s="865">
        <v>0.67937999999999998</v>
      </c>
      <c r="AT114" s="865">
        <v>0.8</v>
      </c>
      <c r="AU114" s="865">
        <v>0.88312999999999997</v>
      </c>
      <c r="AV114" s="865">
        <v>0.98624999999999996</v>
      </c>
      <c r="AW114" s="865">
        <v>1.10188</v>
      </c>
      <c r="AX114" s="865">
        <v>1.5668800000000001</v>
      </c>
      <c r="AZ114" s="861">
        <v>40591</v>
      </c>
      <c r="BA114" s="865">
        <v>3</v>
      </c>
      <c r="BB114" s="865">
        <v>3.18</v>
      </c>
      <c r="BC114" s="865">
        <v>3.18</v>
      </c>
      <c r="BD114" s="865">
        <v>3.1866699999999999</v>
      </c>
      <c r="BE114" s="865">
        <v>3.2</v>
      </c>
      <c r="BF114" s="865">
        <v>3.19333</v>
      </c>
      <c r="BG114" s="865">
        <v>3.24</v>
      </c>
      <c r="BH114" s="865">
        <v>3.24</v>
      </c>
    </row>
    <row r="115" spans="12:60">
      <c r="L115" s="861">
        <v>40581</v>
      </c>
      <c r="M115" s="865">
        <v>4.75</v>
      </c>
      <c r="N115" s="865">
        <v>4.82</v>
      </c>
      <c r="O115" s="865">
        <v>4.88</v>
      </c>
      <c r="P115" s="865">
        <v>4.9000000000000004</v>
      </c>
      <c r="Q115" s="865">
        <v>4.9733000000000001</v>
      </c>
      <c r="R115" s="865">
        <v>5.0350000000000001</v>
      </c>
      <c r="S115" s="865">
        <v>5.0933000000000002</v>
      </c>
      <c r="T115" s="865">
        <v>5.2531999999999996</v>
      </c>
      <c r="V115" s="861">
        <v>40578</v>
      </c>
      <c r="W115" s="865">
        <v>0.2369</v>
      </c>
      <c r="X115" s="865">
        <v>0.26274999999999998</v>
      </c>
      <c r="Y115" s="865">
        <v>0.28699999999999998</v>
      </c>
      <c r="Z115" s="865">
        <v>0.3115</v>
      </c>
      <c r="AA115" s="865">
        <v>0.34975000000000001</v>
      </c>
      <c r="AB115" s="865">
        <v>0.40799999999999997</v>
      </c>
      <c r="AC115" s="865">
        <v>0.46124999999999999</v>
      </c>
      <c r="AD115" s="865">
        <v>0.79125000000000001</v>
      </c>
      <c r="AF115" s="861">
        <v>40583</v>
      </c>
      <c r="AG115" s="865">
        <v>1.04375</v>
      </c>
      <c r="AH115" s="865">
        <v>0.88500000000000001</v>
      </c>
      <c r="AI115" s="865">
        <v>0.9325</v>
      </c>
      <c r="AJ115" s="865">
        <v>1.0487500000000001</v>
      </c>
      <c r="AK115" s="865">
        <v>1.115</v>
      </c>
      <c r="AL115" s="865">
        <v>1.2</v>
      </c>
      <c r="AM115" s="865">
        <v>1.2925</v>
      </c>
      <c r="AN115" s="865">
        <v>1.6343799999999999</v>
      </c>
      <c r="AP115" s="861">
        <v>40578</v>
      </c>
      <c r="AQ115" s="865">
        <v>0.55688000000000004</v>
      </c>
      <c r="AR115" s="865">
        <v>0.60438000000000003</v>
      </c>
      <c r="AS115" s="865">
        <v>0.67188000000000003</v>
      </c>
      <c r="AT115" s="865">
        <v>0.79188000000000003</v>
      </c>
      <c r="AU115" s="865">
        <v>0.87124999999999997</v>
      </c>
      <c r="AV115" s="865">
        <v>0.97499999999999998</v>
      </c>
      <c r="AW115" s="865">
        <v>1.095</v>
      </c>
      <c r="AX115" s="865">
        <v>1.5587500000000001</v>
      </c>
      <c r="AZ115" s="861">
        <v>40590</v>
      </c>
      <c r="BA115" s="865">
        <v>3</v>
      </c>
      <c r="BB115" s="865">
        <v>3.18</v>
      </c>
      <c r="BC115" s="865">
        <v>3.18</v>
      </c>
      <c r="BD115" s="865">
        <v>3.18</v>
      </c>
      <c r="BE115" s="865">
        <v>3.2</v>
      </c>
      <c r="BF115" s="865">
        <v>3.1966700000000001</v>
      </c>
      <c r="BG115" s="865">
        <v>3.24</v>
      </c>
      <c r="BH115" s="865">
        <v>3.24</v>
      </c>
    </row>
    <row r="116" spans="12:60">
      <c r="L116" s="861">
        <v>40578</v>
      </c>
      <c r="M116" s="865">
        <v>4.75</v>
      </c>
      <c r="N116" s="865">
        <v>4.8099999999999996</v>
      </c>
      <c r="O116" s="865">
        <v>4.8817000000000004</v>
      </c>
      <c r="P116" s="865">
        <v>4.9000000000000004</v>
      </c>
      <c r="Q116" s="865">
        <v>4.9667000000000003</v>
      </c>
      <c r="R116" s="865">
        <v>5.0232999999999999</v>
      </c>
      <c r="S116" s="865">
        <v>5.09</v>
      </c>
      <c r="T116" s="865">
        <v>5.2065000000000001</v>
      </c>
      <c r="V116" s="861">
        <v>40577</v>
      </c>
      <c r="W116" s="865">
        <v>0.23699999999999999</v>
      </c>
      <c r="X116" s="865">
        <v>0.26300000000000001</v>
      </c>
      <c r="Y116" s="865">
        <v>0.28749999999999998</v>
      </c>
      <c r="Z116" s="865">
        <v>0.3105</v>
      </c>
      <c r="AA116" s="865">
        <v>0.34949999999999998</v>
      </c>
      <c r="AB116" s="865">
        <v>0.40799999999999997</v>
      </c>
      <c r="AC116" s="865">
        <v>0.46124999999999999</v>
      </c>
      <c r="AD116" s="865">
        <v>0.78859999999999997</v>
      </c>
      <c r="AF116" s="861">
        <v>40582</v>
      </c>
      <c r="AG116" s="865">
        <v>0.77875000000000005</v>
      </c>
      <c r="AH116" s="865">
        <v>0.85750000000000004</v>
      </c>
      <c r="AI116" s="865">
        <v>0.91125</v>
      </c>
      <c r="AJ116" s="865">
        <v>1.0349999999999999</v>
      </c>
      <c r="AK116" s="865">
        <v>1.1000000000000001</v>
      </c>
      <c r="AL116" s="865">
        <v>1.1825000000000001</v>
      </c>
      <c r="AM116" s="865">
        <v>1.2762500000000001</v>
      </c>
      <c r="AN116" s="865">
        <v>1.6087499999999999</v>
      </c>
      <c r="AP116" s="861">
        <v>40577</v>
      </c>
      <c r="AQ116" s="865">
        <v>0.55688000000000004</v>
      </c>
      <c r="AR116" s="865">
        <v>0.60438000000000003</v>
      </c>
      <c r="AS116" s="865">
        <v>0.67188000000000003</v>
      </c>
      <c r="AT116" s="865">
        <v>0.79063000000000005</v>
      </c>
      <c r="AU116" s="865">
        <v>0.87063000000000001</v>
      </c>
      <c r="AV116" s="865">
        <v>0.97438000000000002</v>
      </c>
      <c r="AW116" s="865">
        <v>1.0925</v>
      </c>
      <c r="AX116" s="865">
        <v>1.5547500000000001</v>
      </c>
      <c r="AZ116" s="861">
        <v>40589</v>
      </c>
      <c r="BA116" s="865">
        <v>3</v>
      </c>
      <c r="BB116" s="865">
        <v>3.1777799999999998</v>
      </c>
      <c r="BC116" s="865">
        <v>3.17</v>
      </c>
      <c r="BD116" s="865">
        <v>3.1711100000000001</v>
      </c>
      <c r="BE116" s="865">
        <v>3.18222</v>
      </c>
      <c r="BF116" s="865">
        <v>3.19889</v>
      </c>
      <c r="BG116" s="865">
        <v>3.24</v>
      </c>
      <c r="BH116" s="865">
        <v>3.24</v>
      </c>
    </row>
    <row r="117" spans="12:60">
      <c r="L117" s="861">
        <v>40577</v>
      </c>
      <c r="M117" s="865">
        <v>4.75</v>
      </c>
      <c r="N117" s="865">
        <v>4.82</v>
      </c>
      <c r="O117" s="865">
        <v>4.8783000000000003</v>
      </c>
      <c r="P117" s="865">
        <v>4.9000000000000004</v>
      </c>
      <c r="Q117" s="865">
        <v>4.9667000000000003</v>
      </c>
      <c r="R117" s="865">
        <v>5.0199999999999996</v>
      </c>
      <c r="S117" s="865">
        <v>5.0816999999999997</v>
      </c>
      <c r="T117" s="865">
        <v>5.1657000000000002</v>
      </c>
      <c r="V117" s="861">
        <v>40576</v>
      </c>
      <c r="W117" s="865">
        <v>0.23499999999999999</v>
      </c>
      <c r="X117" s="865">
        <v>0.26300000000000001</v>
      </c>
      <c r="Y117" s="865">
        <v>0.28699999999999998</v>
      </c>
      <c r="Z117" s="865">
        <v>0.3105</v>
      </c>
      <c r="AA117" s="865">
        <v>0.34899999999999998</v>
      </c>
      <c r="AB117" s="865">
        <v>0.40699999999999997</v>
      </c>
      <c r="AC117" s="865">
        <v>0.46074999999999999</v>
      </c>
      <c r="AD117" s="865">
        <v>0.78605000000000003</v>
      </c>
      <c r="AF117" s="861">
        <v>40581</v>
      </c>
      <c r="AG117" s="865">
        <v>0.33124999999999999</v>
      </c>
      <c r="AH117" s="865">
        <v>0.85</v>
      </c>
      <c r="AI117" s="865">
        <v>0.90375000000000005</v>
      </c>
      <c r="AJ117" s="865">
        <v>1.0306299999999999</v>
      </c>
      <c r="AK117" s="865">
        <v>1.0974999999999999</v>
      </c>
      <c r="AL117" s="865">
        <v>1.18</v>
      </c>
      <c r="AM117" s="865">
        <v>1.2737499999999999</v>
      </c>
      <c r="AN117" s="865">
        <v>1.60375</v>
      </c>
      <c r="AP117" s="861">
        <v>40576</v>
      </c>
      <c r="AQ117" s="865">
        <v>0.55688000000000004</v>
      </c>
      <c r="AR117" s="865">
        <v>0.60250000000000004</v>
      </c>
      <c r="AS117" s="865">
        <v>0.66625000000000001</v>
      </c>
      <c r="AT117" s="865">
        <v>0.78813</v>
      </c>
      <c r="AU117" s="865">
        <v>0.86750000000000005</v>
      </c>
      <c r="AV117" s="865">
        <v>0.97124999999999995</v>
      </c>
      <c r="AW117" s="865">
        <v>1.0887500000000001</v>
      </c>
      <c r="AX117" s="865">
        <v>1.55</v>
      </c>
      <c r="AZ117" s="861">
        <v>40588</v>
      </c>
      <c r="BA117" s="865">
        <v>3</v>
      </c>
      <c r="BB117" s="865">
        <v>3.17</v>
      </c>
      <c r="BC117" s="865">
        <v>3.17</v>
      </c>
      <c r="BD117" s="865">
        <v>3.18</v>
      </c>
      <c r="BE117" s="865">
        <v>3.2</v>
      </c>
      <c r="BF117" s="865">
        <v>3.22</v>
      </c>
      <c r="BG117" s="865">
        <v>3.24</v>
      </c>
      <c r="BH117" s="865">
        <v>3.24</v>
      </c>
    </row>
    <row r="118" spans="12:60">
      <c r="L118" s="861">
        <v>40576</v>
      </c>
      <c r="M118" s="865">
        <v>4.75</v>
      </c>
      <c r="N118" s="865">
        <v>4.82</v>
      </c>
      <c r="O118" s="865">
        <v>4.88</v>
      </c>
      <c r="P118" s="865">
        <v>4.9000000000000004</v>
      </c>
      <c r="Q118" s="865">
        <v>4.96</v>
      </c>
      <c r="R118" s="865">
        <v>5.0199999999999996</v>
      </c>
      <c r="S118" s="865">
        <v>5.0750000000000002</v>
      </c>
      <c r="T118" s="865">
        <v>5.1619000000000002</v>
      </c>
      <c r="V118" s="861">
        <v>40575</v>
      </c>
      <c r="W118" s="865">
        <v>0.23599999999999999</v>
      </c>
      <c r="X118" s="865">
        <v>0.26300000000000001</v>
      </c>
      <c r="Y118" s="865">
        <v>0.28749999999999998</v>
      </c>
      <c r="Z118" s="865">
        <v>0.3105</v>
      </c>
      <c r="AA118" s="865">
        <v>0.35</v>
      </c>
      <c r="AB118" s="865">
        <v>0.40799999999999997</v>
      </c>
      <c r="AC118" s="865">
        <v>0.46074999999999999</v>
      </c>
      <c r="AD118" s="865">
        <v>0.78549999999999998</v>
      </c>
      <c r="AF118" s="861">
        <v>40578</v>
      </c>
      <c r="AG118" s="865">
        <v>0.35125000000000001</v>
      </c>
      <c r="AH118" s="865">
        <v>0.85250000000000004</v>
      </c>
      <c r="AI118" s="865">
        <v>0.90874999999999995</v>
      </c>
      <c r="AJ118" s="865">
        <v>1.0337499999999999</v>
      </c>
      <c r="AK118" s="865">
        <v>1.0987499999999999</v>
      </c>
      <c r="AL118" s="865">
        <v>1.1825000000000001</v>
      </c>
      <c r="AM118" s="865">
        <v>1.2762500000000001</v>
      </c>
      <c r="AN118" s="865">
        <v>1.605</v>
      </c>
      <c r="AP118" s="861">
        <v>40575</v>
      </c>
      <c r="AQ118" s="865">
        <v>0.55688000000000004</v>
      </c>
      <c r="AR118" s="865">
        <v>0.6</v>
      </c>
      <c r="AS118" s="865">
        <v>0.66063000000000005</v>
      </c>
      <c r="AT118" s="865">
        <v>0.78188000000000002</v>
      </c>
      <c r="AU118" s="865">
        <v>0.86312999999999995</v>
      </c>
      <c r="AV118" s="865">
        <v>0.96625000000000005</v>
      </c>
      <c r="AW118" s="865">
        <v>1.0843799999999999</v>
      </c>
      <c r="AX118" s="865">
        <v>1.54375</v>
      </c>
      <c r="AZ118" s="861">
        <v>40585</v>
      </c>
      <c r="BA118" s="865">
        <v>3</v>
      </c>
      <c r="BB118" s="865">
        <v>3.16</v>
      </c>
      <c r="BC118" s="865">
        <v>3.17</v>
      </c>
      <c r="BD118" s="865">
        <v>3.17</v>
      </c>
      <c r="BE118" s="865">
        <v>3.21889</v>
      </c>
      <c r="BF118" s="865">
        <v>3.22</v>
      </c>
      <c r="BG118" s="865">
        <v>3.24</v>
      </c>
      <c r="BH118" s="865">
        <v>3.24</v>
      </c>
    </row>
    <row r="119" spans="12:60">
      <c r="L119" s="861">
        <v>40575</v>
      </c>
      <c r="M119" s="865">
        <v>4.75</v>
      </c>
      <c r="N119" s="865">
        <v>4.8099999999999996</v>
      </c>
      <c r="O119" s="865">
        <v>4.88</v>
      </c>
      <c r="P119" s="865">
        <v>4.9000000000000004</v>
      </c>
      <c r="Q119" s="865">
        <v>4.9566999999999997</v>
      </c>
      <c r="R119" s="865">
        <v>5.01</v>
      </c>
      <c r="S119" s="865">
        <v>5.0599999999999996</v>
      </c>
      <c r="T119" s="865">
        <v>5.1581999999999999</v>
      </c>
      <c r="V119" s="861">
        <v>40574</v>
      </c>
      <c r="W119" s="865">
        <v>0.23530999999999999</v>
      </c>
      <c r="X119" s="865">
        <v>0.26</v>
      </c>
      <c r="Y119" s="865">
        <v>0.28312999999999999</v>
      </c>
      <c r="Z119" s="865">
        <v>0.30437999999999998</v>
      </c>
      <c r="AA119" s="865">
        <v>0.34499999999999997</v>
      </c>
      <c r="AB119" s="865">
        <v>0.40112999999999999</v>
      </c>
      <c r="AC119" s="865">
        <v>0.45380999999999999</v>
      </c>
      <c r="AD119" s="865">
        <v>0.78125</v>
      </c>
      <c r="AF119" s="861">
        <v>40577</v>
      </c>
      <c r="AG119" s="865">
        <v>0.48125000000000001</v>
      </c>
      <c r="AH119" s="865">
        <v>0.84938000000000002</v>
      </c>
      <c r="AI119" s="865">
        <v>0.90749999999999997</v>
      </c>
      <c r="AJ119" s="865">
        <v>1.0325</v>
      </c>
      <c r="AK119" s="865">
        <v>1.095</v>
      </c>
      <c r="AL119" s="865">
        <v>1.17875</v>
      </c>
      <c r="AM119" s="865">
        <v>1.27125</v>
      </c>
      <c r="AN119" s="865">
        <v>1.6012500000000001</v>
      </c>
      <c r="AP119" s="861">
        <v>40574</v>
      </c>
      <c r="AQ119" s="865">
        <v>0.55688000000000004</v>
      </c>
      <c r="AR119" s="865">
        <v>0.59875</v>
      </c>
      <c r="AS119" s="865">
        <v>0.65937999999999997</v>
      </c>
      <c r="AT119" s="865">
        <v>0.77688000000000001</v>
      </c>
      <c r="AU119" s="865">
        <v>0.85624999999999996</v>
      </c>
      <c r="AV119" s="865">
        <v>0.96</v>
      </c>
      <c r="AW119" s="865">
        <v>1.0743799999999999</v>
      </c>
      <c r="AX119" s="865">
        <v>1.5331300000000001</v>
      </c>
      <c r="AZ119" s="861">
        <v>40584</v>
      </c>
      <c r="BA119" s="865">
        <v>3</v>
      </c>
      <c r="BB119" s="865">
        <v>3.1433300000000002</v>
      </c>
      <c r="BC119" s="865">
        <v>3.1666699999999999</v>
      </c>
      <c r="BD119" s="865">
        <v>3.1966700000000001</v>
      </c>
      <c r="BE119" s="865">
        <v>3.2177799999999999</v>
      </c>
      <c r="BF119" s="865">
        <v>3.22</v>
      </c>
      <c r="BG119" s="865">
        <v>3.24</v>
      </c>
      <c r="BH119" s="865">
        <v>3.24</v>
      </c>
    </row>
    <row r="120" spans="12:60">
      <c r="L120" s="861">
        <v>40574</v>
      </c>
      <c r="M120" s="865">
        <v>4.75</v>
      </c>
      <c r="N120" s="865">
        <v>4.8282999999999996</v>
      </c>
      <c r="O120" s="865">
        <v>4.8949999999999996</v>
      </c>
      <c r="P120" s="865">
        <v>4.92</v>
      </c>
      <c r="Q120" s="865">
        <v>4.9767000000000001</v>
      </c>
      <c r="R120" s="865">
        <v>5.0316999999999998</v>
      </c>
      <c r="S120" s="865">
        <v>5.08</v>
      </c>
      <c r="T120" s="865">
        <v>5.1344000000000003</v>
      </c>
      <c r="V120" s="861">
        <v>40571</v>
      </c>
      <c r="W120" s="865">
        <v>0.23563000000000001</v>
      </c>
      <c r="X120" s="865">
        <v>0.26</v>
      </c>
      <c r="Y120" s="865">
        <v>0.28312999999999999</v>
      </c>
      <c r="Z120" s="865">
        <v>0.30437999999999998</v>
      </c>
      <c r="AA120" s="865">
        <v>0.34499999999999997</v>
      </c>
      <c r="AB120" s="865">
        <v>0.40112999999999999</v>
      </c>
      <c r="AC120" s="865">
        <v>0.45380999999999999</v>
      </c>
      <c r="AD120" s="865">
        <v>0.78063000000000005</v>
      </c>
      <c r="AF120" s="861">
        <v>40576</v>
      </c>
      <c r="AG120" s="865">
        <v>0.78125</v>
      </c>
      <c r="AH120" s="865">
        <v>0.85499999999999998</v>
      </c>
      <c r="AI120" s="865">
        <v>0.90625</v>
      </c>
      <c r="AJ120" s="865">
        <v>1.0237499999999999</v>
      </c>
      <c r="AK120" s="865">
        <v>1.0887500000000001</v>
      </c>
      <c r="AL120" s="865">
        <v>1.1725000000000001</v>
      </c>
      <c r="AM120" s="865">
        <v>1.2637499999999999</v>
      </c>
      <c r="AN120" s="865">
        <v>1.59</v>
      </c>
      <c r="AP120" s="861">
        <v>40571</v>
      </c>
      <c r="AQ120" s="865">
        <v>0.55688000000000004</v>
      </c>
      <c r="AR120" s="865">
        <v>0.59875</v>
      </c>
      <c r="AS120" s="865">
        <v>0.65749999999999997</v>
      </c>
      <c r="AT120" s="865">
        <v>0.77500000000000002</v>
      </c>
      <c r="AU120" s="865">
        <v>0.85563</v>
      </c>
      <c r="AV120" s="865">
        <v>0.95938000000000001</v>
      </c>
      <c r="AW120" s="865">
        <v>1.07375</v>
      </c>
      <c r="AX120" s="865">
        <v>1.5306299999999999</v>
      </c>
      <c r="AZ120" s="861">
        <v>40583</v>
      </c>
      <c r="BA120" s="865">
        <v>3</v>
      </c>
      <c r="BB120" s="865">
        <v>3.16222</v>
      </c>
      <c r="BC120" s="865">
        <v>3.1633300000000002</v>
      </c>
      <c r="BD120" s="865">
        <v>3.19889</v>
      </c>
      <c r="BE120" s="865">
        <v>3.22</v>
      </c>
      <c r="BF120" s="865">
        <v>3.22</v>
      </c>
      <c r="BG120" s="865">
        <v>3.24</v>
      </c>
      <c r="BH120" s="865">
        <v>3.24</v>
      </c>
    </row>
    <row r="121" spans="12:60">
      <c r="L121" s="861">
        <v>40571</v>
      </c>
      <c r="M121" s="865">
        <v>4.75</v>
      </c>
      <c r="N121" s="865">
        <v>4.83</v>
      </c>
      <c r="O121" s="865">
        <v>4.9183000000000003</v>
      </c>
      <c r="P121" s="865">
        <v>4.9367000000000001</v>
      </c>
      <c r="Q121" s="865">
        <v>4.99</v>
      </c>
      <c r="R121" s="865">
        <v>5.04</v>
      </c>
      <c r="S121" s="865">
        <v>5.0867000000000004</v>
      </c>
      <c r="T121" s="865">
        <v>5.1711</v>
      </c>
      <c r="V121" s="861">
        <v>40570</v>
      </c>
      <c r="W121" s="865">
        <v>0.23563000000000001</v>
      </c>
      <c r="X121" s="865">
        <v>0.26</v>
      </c>
      <c r="Y121" s="865">
        <v>0.28312999999999999</v>
      </c>
      <c r="Z121" s="865">
        <v>0.30437999999999998</v>
      </c>
      <c r="AA121" s="865">
        <v>0.34499999999999997</v>
      </c>
      <c r="AB121" s="865">
        <v>0.40125</v>
      </c>
      <c r="AC121" s="865">
        <v>0.45468999999999998</v>
      </c>
      <c r="AD121" s="865">
        <v>0.78125</v>
      </c>
      <c r="AF121" s="861">
        <v>40575</v>
      </c>
      <c r="AG121" s="865">
        <v>1.15625</v>
      </c>
      <c r="AH121" s="865">
        <v>0.86438000000000004</v>
      </c>
      <c r="AI121" s="865">
        <v>0.90937999999999997</v>
      </c>
      <c r="AJ121" s="865">
        <v>1.0249999999999999</v>
      </c>
      <c r="AK121" s="865">
        <v>1.0874999999999999</v>
      </c>
      <c r="AL121" s="865">
        <v>1.17</v>
      </c>
      <c r="AM121" s="865">
        <v>1.26125</v>
      </c>
      <c r="AN121" s="865">
        <v>1.585</v>
      </c>
      <c r="AP121" s="861">
        <v>40570</v>
      </c>
      <c r="AQ121" s="865">
        <v>0.55688000000000004</v>
      </c>
      <c r="AR121" s="865">
        <v>0.59875</v>
      </c>
      <c r="AS121" s="865">
        <v>0.65749999999999997</v>
      </c>
      <c r="AT121" s="865">
        <v>0.77500000000000002</v>
      </c>
      <c r="AU121" s="865">
        <v>0.85563</v>
      </c>
      <c r="AV121" s="865">
        <v>0.95938000000000001</v>
      </c>
      <c r="AW121" s="865">
        <v>1.07375</v>
      </c>
      <c r="AX121" s="865">
        <v>1.53125</v>
      </c>
      <c r="AZ121" s="861">
        <v>40582</v>
      </c>
      <c r="BA121" s="865">
        <v>3</v>
      </c>
      <c r="BB121" s="865">
        <v>3.17</v>
      </c>
      <c r="BC121" s="865">
        <v>3.18</v>
      </c>
      <c r="BD121" s="865">
        <v>3.18222</v>
      </c>
      <c r="BE121" s="865">
        <v>3.22</v>
      </c>
      <c r="BF121" s="865">
        <v>3.22</v>
      </c>
      <c r="BG121" s="865">
        <v>3.24</v>
      </c>
      <c r="BH121" s="865">
        <v>3.24</v>
      </c>
    </row>
    <row r="122" spans="12:60">
      <c r="L122" s="861">
        <v>40570</v>
      </c>
      <c r="M122" s="865">
        <v>4.75</v>
      </c>
      <c r="N122" s="865">
        <v>4.8467000000000002</v>
      </c>
      <c r="O122" s="865">
        <v>4.915</v>
      </c>
      <c r="P122" s="865">
        <v>4.9550000000000001</v>
      </c>
      <c r="Q122" s="865">
        <v>4.9983000000000004</v>
      </c>
      <c r="R122" s="865">
        <v>5.0449999999999999</v>
      </c>
      <c r="S122" s="865">
        <v>5.0867000000000004</v>
      </c>
      <c r="T122" s="865">
        <v>5.2191999999999998</v>
      </c>
      <c r="V122" s="861">
        <v>40569</v>
      </c>
      <c r="W122" s="865">
        <v>0.23688000000000001</v>
      </c>
      <c r="X122" s="865">
        <v>0.26</v>
      </c>
      <c r="Y122" s="865">
        <v>0.28312999999999999</v>
      </c>
      <c r="Z122" s="865">
        <v>0.30437999999999998</v>
      </c>
      <c r="AA122" s="865">
        <v>0.34499999999999997</v>
      </c>
      <c r="AB122" s="865">
        <v>0.40125</v>
      </c>
      <c r="AC122" s="865">
        <v>0.45468999999999998</v>
      </c>
      <c r="AD122" s="865">
        <v>0.78125</v>
      </c>
      <c r="AF122" s="861">
        <v>40574</v>
      </c>
      <c r="AG122" s="865">
        <v>1.23125</v>
      </c>
      <c r="AH122" s="865">
        <v>0.86499999999999999</v>
      </c>
      <c r="AI122" s="865">
        <v>0.91249999999999998</v>
      </c>
      <c r="AJ122" s="865">
        <v>1.0237499999999999</v>
      </c>
      <c r="AK122" s="865">
        <v>1.0900000000000001</v>
      </c>
      <c r="AL122" s="865">
        <v>1.1693800000000001</v>
      </c>
      <c r="AM122" s="865">
        <v>1.2593799999999999</v>
      </c>
      <c r="AN122" s="865">
        <v>1.57375</v>
      </c>
      <c r="AP122" s="861">
        <v>40569</v>
      </c>
      <c r="AQ122" s="865">
        <v>0.55688000000000004</v>
      </c>
      <c r="AR122" s="865">
        <v>0.59875</v>
      </c>
      <c r="AS122" s="865">
        <v>0.65749999999999997</v>
      </c>
      <c r="AT122" s="865">
        <v>0.77375000000000005</v>
      </c>
      <c r="AU122" s="865">
        <v>0.85375000000000001</v>
      </c>
      <c r="AV122" s="865">
        <v>0.95750000000000002</v>
      </c>
      <c r="AW122" s="865">
        <v>1.0718799999999999</v>
      </c>
      <c r="AX122" s="865">
        <v>1.53125</v>
      </c>
      <c r="AZ122" s="861">
        <v>40581</v>
      </c>
      <c r="BA122" s="865">
        <v>3</v>
      </c>
      <c r="BB122" s="865">
        <v>3.17</v>
      </c>
      <c r="BC122" s="865">
        <v>3.18</v>
      </c>
      <c r="BD122" s="865">
        <v>3.1766700000000001</v>
      </c>
      <c r="BE122" s="865">
        <v>3.22</v>
      </c>
      <c r="BF122" s="865">
        <v>3.22</v>
      </c>
      <c r="BG122" s="865">
        <v>3.24</v>
      </c>
      <c r="BH122" s="865">
        <v>3.24</v>
      </c>
    </row>
    <row r="123" spans="12:60">
      <c r="L123" s="861">
        <v>40568</v>
      </c>
      <c r="M123" s="865">
        <v>4.75</v>
      </c>
      <c r="N123" s="865">
        <v>4.8182999999999998</v>
      </c>
      <c r="O123" s="865">
        <v>4.9166999999999996</v>
      </c>
      <c r="P123" s="865">
        <v>4.9667000000000003</v>
      </c>
      <c r="Q123" s="865">
        <v>5.0049999999999999</v>
      </c>
      <c r="R123" s="865">
        <v>5.0617000000000001</v>
      </c>
      <c r="S123" s="865">
        <v>5.13</v>
      </c>
      <c r="T123" s="865">
        <v>5.2431999999999999</v>
      </c>
      <c r="V123" s="861">
        <v>40568</v>
      </c>
      <c r="W123" s="865">
        <v>0.23688000000000001</v>
      </c>
      <c r="X123" s="865">
        <v>0.26</v>
      </c>
      <c r="Y123" s="865">
        <v>0.28312999999999999</v>
      </c>
      <c r="Z123" s="865">
        <v>0.30437999999999998</v>
      </c>
      <c r="AA123" s="865">
        <v>0.34499999999999997</v>
      </c>
      <c r="AB123" s="865">
        <v>0.40125</v>
      </c>
      <c r="AC123" s="865">
        <v>0.45468999999999998</v>
      </c>
      <c r="AD123" s="865">
        <v>0.78093999999999997</v>
      </c>
      <c r="AF123" s="861">
        <v>40571</v>
      </c>
      <c r="AG123" s="865">
        <v>0.96125000000000005</v>
      </c>
      <c r="AH123" s="865">
        <v>0.83250000000000002</v>
      </c>
      <c r="AI123" s="865">
        <v>0.88563000000000003</v>
      </c>
      <c r="AJ123" s="865">
        <v>1.0049999999999999</v>
      </c>
      <c r="AK123" s="865">
        <v>1.07125</v>
      </c>
      <c r="AL123" s="865">
        <v>1.1512500000000001</v>
      </c>
      <c r="AM123" s="865">
        <v>1.24125</v>
      </c>
      <c r="AN123" s="865">
        <v>1.5549999999999999</v>
      </c>
      <c r="AP123" s="861">
        <v>40568</v>
      </c>
      <c r="AQ123" s="865">
        <v>0.55688000000000004</v>
      </c>
      <c r="AR123" s="865">
        <v>0.59875</v>
      </c>
      <c r="AS123" s="865">
        <v>0.65749999999999997</v>
      </c>
      <c r="AT123" s="865">
        <v>0.77312999999999998</v>
      </c>
      <c r="AU123" s="865">
        <v>0.85187999999999997</v>
      </c>
      <c r="AV123" s="865">
        <v>0.95687999999999995</v>
      </c>
      <c r="AW123" s="865">
        <v>1.07</v>
      </c>
      <c r="AX123" s="865">
        <v>1.5278799999999999</v>
      </c>
      <c r="AZ123" s="861">
        <v>40578</v>
      </c>
      <c r="BA123" s="865">
        <v>3</v>
      </c>
      <c r="BB123" s="865">
        <v>3.17</v>
      </c>
      <c r="BC123" s="865">
        <v>3.18</v>
      </c>
      <c r="BD123" s="865">
        <v>3.19</v>
      </c>
      <c r="BE123" s="865">
        <v>3.22</v>
      </c>
      <c r="BF123" s="865">
        <v>3.22</v>
      </c>
      <c r="BG123" s="865">
        <v>3.24</v>
      </c>
      <c r="BH123" s="865">
        <v>3.24</v>
      </c>
    </row>
    <row r="124" spans="12:60">
      <c r="L124" s="861">
        <v>40567</v>
      </c>
      <c r="M124" s="865">
        <v>4.75</v>
      </c>
      <c r="N124" s="865">
        <v>4.8117000000000001</v>
      </c>
      <c r="O124" s="865">
        <v>4.8933</v>
      </c>
      <c r="P124" s="865">
        <v>4.9217000000000004</v>
      </c>
      <c r="Q124" s="865">
        <v>4.99</v>
      </c>
      <c r="R124" s="865">
        <v>5.0517000000000003</v>
      </c>
      <c r="S124" s="865">
        <v>5.1266999999999996</v>
      </c>
      <c r="T124" s="865">
        <v>5.2295999999999996</v>
      </c>
      <c r="V124" s="861">
        <v>40567</v>
      </c>
      <c r="W124" s="865">
        <v>0.23688000000000001</v>
      </c>
      <c r="X124" s="865">
        <v>0.26</v>
      </c>
      <c r="Y124" s="865">
        <v>0.28312999999999999</v>
      </c>
      <c r="Z124" s="865">
        <v>0.30313000000000001</v>
      </c>
      <c r="AA124" s="865">
        <v>0.34499999999999997</v>
      </c>
      <c r="AB124" s="865">
        <v>0.40125</v>
      </c>
      <c r="AC124" s="865">
        <v>0.45468999999999998</v>
      </c>
      <c r="AD124" s="865">
        <v>0.78093999999999997</v>
      </c>
      <c r="AF124" s="861">
        <v>40570</v>
      </c>
      <c r="AG124" s="865">
        <v>0.97499999999999998</v>
      </c>
      <c r="AH124" s="865">
        <v>0.82374999999999998</v>
      </c>
      <c r="AI124" s="865">
        <v>0.87938000000000005</v>
      </c>
      <c r="AJ124" s="865">
        <v>1</v>
      </c>
      <c r="AK124" s="865">
        <v>1.06</v>
      </c>
      <c r="AL124" s="865">
        <v>1.1412500000000001</v>
      </c>
      <c r="AM124" s="865">
        <v>1.2331300000000001</v>
      </c>
      <c r="AN124" s="865">
        <v>1.5449999999999999</v>
      </c>
      <c r="AP124" s="861">
        <v>40567</v>
      </c>
      <c r="AQ124" s="865">
        <v>0.55813000000000001</v>
      </c>
      <c r="AR124" s="865">
        <v>0.6</v>
      </c>
      <c r="AS124" s="865">
        <v>0.66</v>
      </c>
      <c r="AT124" s="865">
        <v>0.77688000000000001</v>
      </c>
      <c r="AU124" s="865">
        <v>0.85750000000000004</v>
      </c>
      <c r="AV124" s="865">
        <v>0.96313000000000004</v>
      </c>
      <c r="AW124" s="865">
        <v>1.0774999999999999</v>
      </c>
      <c r="AX124" s="865">
        <v>1.54</v>
      </c>
      <c r="AZ124" s="861">
        <v>40577</v>
      </c>
      <c r="BA124" s="865">
        <v>3</v>
      </c>
      <c r="BB124" s="865">
        <v>3.17</v>
      </c>
      <c r="BC124" s="865">
        <v>3.18</v>
      </c>
      <c r="BD124" s="865">
        <v>3.19</v>
      </c>
      <c r="BE124" s="865">
        <v>3.22</v>
      </c>
      <c r="BF124" s="865">
        <v>3.22</v>
      </c>
      <c r="BG124" s="865">
        <v>3.24</v>
      </c>
      <c r="BH124" s="865">
        <v>3.24</v>
      </c>
    </row>
    <row r="125" spans="12:60">
      <c r="L125" s="861">
        <v>40564</v>
      </c>
      <c r="M125" s="865">
        <v>4.75</v>
      </c>
      <c r="N125" s="865">
        <v>4.8067000000000002</v>
      </c>
      <c r="O125" s="865">
        <v>4.8899999999999997</v>
      </c>
      <c r="P125" s="865">
        <v>4.9249999999999998</v>
      </c>
      <c r="Q125" s="865">
        <v>4.9782999999999999</v>
      </c>
      <c r="R125" s="865">
        <v>5.0266999999999999</v>
      </c>
      <c r="S125" s="865">
        <v>5.08</v>
      </c>
      <c r="T125" s="865">
        <v>5.2229000000000001</v>
      </c>
      <c r="V125" s="861">
        <v>40564</v>
      </c>
      <c r="W125" s="865">
        <v>0.23688000000000001</v>
      </c>
      <c r="X125" s="865">
        <v>0.26</v>
      </c>
      <c r="Y125" s="865">
        <v>0.28312999999999999</v>
      </c>
      <c r="Z125" s="865">
        <v>0.30313000000000001</v>
      </c>
      <c r="AA125" s="865">
        <v>0.34499999999999997</v>
      </c>
      <c r="AB125" s="865">
        <v>0.40125</v>
      </c>
      <c r="AC125" s="865">
        <v>0.45468999999999998</v>
      </c>
      <c r="AD125" s="865">
        <v>0.78063000000000005</v>
      </c>
      <c r="AF125" s="861">
        <v>40569</v>
      </c>
      <c r="AG125" s="865">
        <v>1.0687500000000001</v>
      </c>
      <c r="AH125" s="865">
        <v>0.80625000000000002</v>
      </c>
      <c r="AI125" s="865">
        <v>0.87563000000000002</v>
      </c>
      <c r="AJ125" s="865">
        <v>0.99187999999999998</v>
      </c>
      <c r="AK125" s="865">
        <v>1.0518799999999999</v>
      </c>
      <c r="AL125" s="865">
        <v>1.1368799999999999</v>
      </c>
      <c r="AM125" s="865">
        <v>1.2250000000000001</v>
      </c>
      <c r="AN125" s="865">
        <v>1.5356300000000001</v>
      </c>
      <c r="AP125" s="861">
        <v>40564</v>
      </c>
      <c r="AQ125" s="865">
        <v>0.55813000000000001</v>
      </c>
      <c r="AR125" s="865">
        <v>0.59813000000000005</v>
      </c>
      <c r="AS125" s="865">
        <v>0.65874999999999995</v>
      </c>
      <c r="AT125" s="865">
        <v>0.77563000000000004</v>
      </c>
      <c r="AU125" s="865">
        <v>0.85750000000000004</v>
      </c>
      <c r="AV125" s="865">
        <v>0.96313000000000004</v>
      </c>
      <c r="AW125" s="865">
        <v>1.0768800000000001</v>
      </c>
      <c r="AX125" s="865">
        <v>1.54125</v>
      </c>
      <c r="AZ125" s="861">
        <v>40576</v>
      </c>
      <c r="BA125" s="865">
        <v>3</v>
      </c>
      <c r="BB125" s="865">
        <v>3.1688900000000002</v>
      </c>
      <c r="BC125" s="865">
        <v>3.1766700000000001</v>
      </c>
      <c r="BD125" s="865">
        <v>3.1944400000000002</v>
      </c>
      <c r="BE125" s="865">
        <v>3.22</v>
      </c>
      <c r="BF125" s="865">
        <v>3.22</v>
      </c>
      <c r="BG125" s="865">
        <v>3.24</v>
      </c>
      <c r="BH125" s="865">
        <v>3.24</v>
      </c>
    </row>
    <row r="126" spans="12:60">
      <c r="L126" s="861">
        <v>40563</v>
      </c>
      <c r="M126" s="865">
        <v>4.75</v>
      </c>
      <c r="N126" s="865">
        <v>4.8182999999999998</v>
      </c>
      <c r="O126" s="865">
        <v>4.91</v>
      </c>
      <c r="P126" s="865">
        <v>4.9267000000000003</v>
      </c>
      <c r="Q126" s="865">
        <v>4.97</v>
      </c>
      <c r="R126" s="865">
        <v>5.0117000000000003</v>
      </c>
      <c r="S126" s="865">
        <v>5.0583</v>
      </c>
      <c r="T126" s="865">
        <v>5.1893000000000002</v>
      </c>
      <c r="V126" s="861">
        <v>40563</v>
      </c>
      <c r="W126" s="865">
        <v>0.23688000000000001</v>
      </c>
      <c r="X126" s="865">
        <v>0.26</v>
      </c>
      <c r="Y126" s="865">
        <v>0.28312999999999999</v>
      </c>
      <c r="Z126" s="865">
        <v>0.30313000000000001</v>
      </c>
      <c r="AA126" s="865">
        <v>0.34499999999999997</v>
      </c>
      <c r="AB126" s="865">
        <v>0.40125</v>
      </c>
      <c r="AC126" s="865">
        <v>0.45468999999999998</v>
      </c>
      <c r="AD126" s="865">
        <v>0.78030999999999995</v>
      </c>
      <c r="AF126" s="861">
        <v>40568</v>
      </c>
      <c r="AG126" s="865">
        <v>0.95374999999999999</v>
      </c>
      <c r="AH126" s="865">
        <v>0.77249999999999996</v>
      </c>
      <c r="AI126" s="865">
        <v>0.84750000000000003</v>
      </c>
      <c r="AJ126" s="865">
        <v>0.97250000000000003</v>
      </c>
      <c r="AK126" s="865">
        <v>1.04</v>
      </c>
      <c r="AL126" s="865">
        <v>1.1225000000000001</v>
      </c>
      <c r="AM126" s="865">
        <v>1.2118800000000001</v>
      </c>
      <c r="AN126" s="865">
        <v>1.5206299999999999</v>
      </c>
      <c r="AP126" s="861">
        <v>40563</v>
      </c>
      <c r="AQ126" s="865">
        <v>0.55813000000000001</v>
      </c>
      <c r="AR126" s="865">
        <v>0.59875</v>
      </c>
      <c r="AS126" s="865">
        <v>0.65874999999999995</v>
      </c>
      <c r="AT126" s="865">
        <v>0.77563000000000004</v>
      </c>
      <c r="AU126" s="865">
        <v>0.85750000000000004</v>
      </c>
      <c r="AV126" s="865">
        <v>0.96187999999999996</v>
      </c>
      <c r="AW126" s="865">
        <v>1.0774999999999999</v>
      </c>
      <c r="AX126" s="865">
        <v>1.54</v>
      </c>
      <c r="AZ126" s="861">
        <v>40575</v>
      </c>
      <c r="BA126" s="865">
        <v>3</v>
      </c>
      <c r="BB126" s="865">
        <v>3.1737500000000001</v>
      </c>
      <c r="BC126" s="865">
        <v>3.18</v>
      </c>
      <c r="BD126" s="865">
        <v>3.1812499999999999</v>
      </c>
      <c r="BE126" s="865">
        <v>3.22</v>
      </c>
      <c r="BF126" s="865">
        <v>3.22</v>
      </c>
      <c r="BG126" s="865">
        <v>3.24</v>
      </c>
      <c r="BH126" s="865">
        <v>3.24</v>
      </c>
    </row>
    <row r="127" spans="12:60">
      <c r="L127" s="861">
        <v>40562</v>
      </c>
      <c r="M127" s="865">
        <v>4.75</v>
      </c>
      <c r="N127" s="865">
        <v>4.82</v>
      </c>
      <c r="O127" s="865">
        <v>4.92</v>
      </c>
      <c r="P127" s="865">
        <v>4.9132999999999996</v>
      </c>
      <c r="Q127" s="865">
        <v>4.9767000000000001</v>
      </c>
      <c r="R127" s="865">
        <v>5.0183</v>
      </c>
      <c r="S127" s="865">
        <v>5.0567000000000002</v>
      </c>
      <c r="T127" s="865">
        <v>5.1989999999999998</v>
      </c>
      <c r="V127" s="861">
        <v>40562</v>
      </c>
      <c r="W127" s="865">
        <v>0.23688000000000001</v>
      </c>
      <c r="X127" s="865">
        <v>0.26</v>
      </c>
      <c r="Y127" s="865">
        <v>0.28312999999999999</v>
      </c>
      <c r="Z127" s="865">
        <v>0.30313000000000001</v>
      </c>
      <c r="AA127" s="865">
        <v>0.34499999999999997</v>
      </c>
      <c r="AB127" s="865">
        <v>0.40125</v>
      </c>
      <c r="AC127" s="865">
        <v>0.45468999999999998</v>
      </c>
      <c r="AD127" s="865">
        <v>0.78030999999999995</v>
      </c>
      <c r="AF127" s="861">
        <v>40567</v>
      </c>
      <c r="AG127" s="865">
        <v>0.82125000000000004</v>
      </c>
      <c r="AH127" s="865">
        <v>0.74875000000000003</v>
      </c>
      <c r="AI127" s="865">
        <v>0.83875</v>
      </c>
      <c r="AJ127" s="865">
        <v>0.96625000000000005</v>
      </c>
      <c r="AK127" s="865">
        <v>1.0362499999999999</v>
      </c>
      <c r="AL127" s="865">
        <v>1.12375</v>
      </c>
      <c r="AM127" s="865">
        <v>1.2137500000000001</v>
      </c>
      <c r="AN127" s="865">
        <v>1.51875</v>
      </c>
      <c r="AP127" s="861">
        <v>40562</v>
      </c>
      <c r="AQ127" s="865">
        <v>0.55813000000000001</v>
      </c>
      <c r="AR127" s="865">
        <v>0.59875</v>
      </c>
      <c r="AS127" s="865">
        <v>0.65749999999999997</v>
      </c>
      <c r="AT127" s="865">
        <v>0.77312999999999998</v>
      </c>
      <c r="AU127" s="865">
        <v>0.85624999999999996</v>
      </c>
      <c r="AV127" s="865">
        <v>0.96062999999999998</v>
      </c>
      <c r="AW127" s="865">
        <v>1.0762499999999999</v>
      </c>
      <c r="AX127" s="865">
        <v>1.5378799999999999</v>
      </c>
      <c r="AZ127" s="861">
        <v>40574</v>
      </c>
      <c r="BA127" s="865">
        <v>3</v>
      </c>
      <c r="BB127" s="865">
        <v>3.16</v>
      </c>
      <c r="BC127" s="865">
        <v>3.17</v>
      </c>
      <c r="BD127" s="865">
        <v>3.21</v>
      </c>
      <c r="BE127" s="865">
        <v>3.22</v>
      </c>
      <c r="BF127" s="865">
        <v>3.22</v>
      </c>
      <c r="BG127" s="865">
        <v>3.24</v>
      </c>
      <c r="BH127" s="865">
        <v>3.24</v>
      </c>
    </row>
    <row r="128" spans="12:60">
      <c r="L128" s="861">
        <v>40561</v>
      </c>
      <c r="M128" s="865">
        <v>4.75</v>
      </c>
      <c r="N128" s="865">
        <v>4.8182999999999998</v>
      </c>
      <c r="O128" s="865">
        <v>4.92</v>
      </c>
      <c r="P128" s="865">
        <v>4.9450000000000003</v>
      </c>
      <c r="Q128" s="865">
        <v>5</v>
      </c>
      <c r="R128" s="865">
        <v>5.03</v>
      </c>
      <c r="S128" s="865">
        <v>5.05</v>
      </c>
      <c r="T128" s="865">
        <v>5.1959999999999997</v>
      </c>
      <c r="V128" s="861">
        <v>40561</v>
      </c>
      <c r="W128" s="865">
        <v>0.24</v>
      </c>
      <c r="X128" s="865">
        <v>0.26062999999999997</v>
      </c>
      <c r="Y128" s="865">
        <v>0.28249999999999997</v>
      </c>
      <c r="Z128" s="865">
        <v>0.30313000000000001</v>
      </c>
      <c r="AA128" s="865">
        <v>0.34499999999999997</v>
      </c>
      <c r="AB128" s="865">
        <v>0.40125</v>
      </c>
      <c r="AC128" s="865">
        <v>0.45468999999999998</v>
      </c>
      <c r="AD128" s="865">
        <v>0.77905999999999997</v>
      </c>
      <c r="AF128" s="861">
        <v>40564</v>
      </c>
      <c r="AG128" s="865">
        <v>0.75749999999999995</v>
      </c>
      <c r="AH128" s="865">
        <v>0.74124999999999996</v>
      </c>
      <c r="AI128" s="865">
        <v>0.83562999999999998</v>
      </c>
      <c r="AJ128" s="865">
        <v>0.96187999999999996</v>
      </c>
      <c r="AK128" s="865">
        <v>1.0331300000000001</v>
      </c>
      <c r="AL128" s="865">
        <v>1.1181300000000001</v>
      </c>
      <c r="AM128" s="865">
        <v>1.2081299999999999</v>
      </c>
      <c r="AN128" s="865">
        <v>1.51125</v>
      </c>
      <c r="AP128" s="861">
        <v>40561</v>
      </c>
      <c r="AQ128" s="865">
        <v>0.55813000000000001</v>
      </c>
      <c r="AR128" s="865">
        <v>0.59750000000000003</v>
      </c>
      <c r="AS128" s="865">
        <v>0.65625</v>
      </c>
      <c r="AT128" s="865">
        <v>0.77</v>
      </c>
      <c r="AU128" s="865">
        <v>0.85375000000000001</v>
      </c>
      <c r="AV128" s="865">
        <v>0.95938000000000001</v>
      </c>
      <c r="AW128" s="865">
        <v>1.0743799999999999</v>
      </c>
      <c r="AX128" s="865">
        <v>1.5343800000000001</v>
      </c>
      <c r="AZ128" s="861">
        <v>40571</v>
      </c>
      <c r="BA128" s="865">
        <v>3</v>
      </c>
      <c r="BB128" s="865">
        <v>3.1566700000000001</v>
      </c>
      <c r="BC128" s="865">
        <v>3.17</v>
      </c>
      <c r="BD128" s="865">
        <v>3.2166700000000001</v>
      </c>
      <c r="BE128" s="865">
        <v>3.22</v>
      </c>
      <c r="BF128" s="865">
        <v>3.22</v>
      </c>
      <c r="BG128" s="865">
        <v>3.24</v>
      </c>
      <c r="BH128" s="865">
        <v>3.24</v>
      </c>
    </row>
    <row r="129" spans="12:60">
      <c r="L129" s="861">
        <v>40560</v>
      </c>
      <c r="M129" s="865">
        <v>4.75</v>
      </c>
      <c r="N129" s="865">
        <v>4.8099999999999996</v>
      </c>
      <c r="O129" s="865">
        <v>4.92</v>
      </c>
      <c r="P129" s="865">
        <v>4.9667000000000003</v>
      </c>
      <c r="Q129" s="865">
        <v>5.0049999999999999</v>
      </c>
      <c r="R129" s="865">
        <v>5.0549999999999997</v>
      </c>
      <c r="S129" s="865">
        <v>5.0999999999999996</v>
      </c>
      <c r="T129" s="865">
        <v>5.2079000000000004</v>
      </c>
      <c r="V129" s="861">
        <v>40560</v>
      </c>
      <c r="W129" s="865">
        <v>0.23874999999999999</v>
      </c>
      <c r="X129" s="865">
        <v>0.26124999999999998</v>
      </c>
      <c r="Y129" s="865">
        <v>0.28249999999999997</v>
      </c>
      <c r="Z129" s="865">
        <v>0.30313000000000001</v>
      </c>
      <c r="AA129" s="865">
        <v>0.34499999999999997</v>
      </c>
      <c r="AB129" s="865">
        <v>0.40125</v>
      </c>
      <c r="AC129" s="865">
        <v>0.45468999999999998</v>
      </c>
      <c r="AD129" s="865">
        <v>0.77968999999999999</v>
      </c>
      <c r="AF129" s="861">
        <v>40563</v>
      </c>
      <c r="AG129" s="865">
        <v>0.65500000000000003</v>
      </c>
      <c r="AH129" s="865">
        <v>0.71875</v>
      </c>
      <c r="AI129" s="865">
        <v>0.82499999999999996</v>
      </c>
      <c r="AJ129" s="865">
        <v>0.94938</v>
      </c>
      <c r="AK129" s="865">
        <v>1.01938</v>
      </c>
      <c r="AL129" s="865">
        <v>1.1081300000000001</v>
      </c>
      <c r="AM129" s="865">
        <v>1.1968799999999999</v>
      </c>
      <c r="AN129" s="865">
        <v>1.49813</v>
      </c>
      <c r="AP129" s="861">
        <v>40560</v>
      </c>
      <c r="AQ129" s="865">
        <v>0.55813000000000001</v>
      </c>
      <c r="AR129" s="865">
        <v>0.59624999999999995</v>
      </c>
      <c r="AS129" s="865">
        <v>0.65312999999999999</v>
      </c>
      <c r="AT129" s="865">
        <v>0.76749999999999996</v>
      </c>
      <c r="AU129" s="865">
        <v>0.85</v>
      </c>
      <c r="AV129" s="865">
        <v>0.95562999999999998</v>
      </c>
      <c r="AW129" s="865">
        <v>1.06938</v>
      </c>
      <c r="AX129" s="865">
        <v>1.52538</v>
      </c>
      <c r="AZ129" s="861">
        <v>40570</v>
      </c>
      <c r="BA129" s="865">
        <v>3</v>
      </c>
      <c r="BB129" s="865">
        <v>3.13</v>
      </c>
      <c r="BC129" s="865">
        <v>3.17</v>
      </c>
      <c r="BD129" s="865">
        <v>3.2</v>
      </c>
      <c r="BE129" s="865">
        <v>3.22</v>
      </c>
      <c r="BF129" s="865">
        <v>3.22</v>
      </c>
      <c r="BG129" s="865">
        <v>3.24</v>
      </c>
      <c r="BH129" s="865">
        <v>3.24</v>
      </c>
    </row>
    <row r="130" spans="12:60">
      <c r="L130" s="861">
        <v>40557</v>
      </c>
      <c r="M130" s="865">
        <v>4.75</v>
      </c>
      <c r="N130" s="865">
        <v>4.83</v>
      </c>
      <c r="O130" s="865">
        <v>4.9649999999999999</v>
      </c>
      <c r="P130" s="865">
        <v>5.01</v>
      </c>
      <c r="Q130" s="865">
        <v>5.05</v>
      </c>
      <c r="R130" s="865">
        <v>5.0983000000000001</v>
      </c>
      <c r="S130" s="865">
        <v>5.15</v>
      </c>
      <c r="T130" s="865">
        <v>5.2003000000000004</v>
      </c>
      <c r="V130" s="861">
        <v>40557</v>
      </c>
      <c r="W130" s="865">
        <v>0.23874999999999999</v>
      </c>
      <c r="X130" s="865">
        <v>0.26124999999999998</v>
      </c>
      <c r="Y130" s="865">
        <v>0.28249999999999997</v>
      </c>
      <c r="Z130" s="865">
        <v>0.30313000000000001</v>
      </c>
      <c r="AA130" s="865">
        <v>0.34499999999999997</v>
      </c>
      <c r="AB130" s="865">
        <v>0.40125</v>
      </c>
      <c r="AC130" s="865">
        <v>0.45594000000000001</v>
      </c>
      <c r="AD130" s="865">
        <v>0.78219000000000005</v>
      </c>
      <c r="AF130" s="861">
        <v>40562</v>
      </c>
      <c r="AG130" s="865">
        <v>0.65874999999999995</v>
      </c>
      <c r="AH130" s="865">
        <v>0.71499999999999997</v>
      </c>
      <c r="AI130" s="865">
        <v>0.82125000000000004</v>
      </c>
      <c r="AJ130" s="865">
        <v>0.94750000000000001</v>
      </c>
      <c r="AK130" s="865">
        <v>1.01875</v>
      </c>
      <c r="AL130" s="865">
        <v>1.1056299999999999</v>
      </c>
      <c r="AM130" s="865">
        <v>1.19563</v>
      </c>
      <c r="AN130" s="865">
        <v>1.4975000000000001</v>
      </c>
      <c r="AP130" s="861">
        <v>40557</v>
      </c>
      <c r="AQ130" s="865">
        <v>0.55813000000000001</v>
      </c>
      <c r="AR130" s="865">
        <v>0.59562999999999999</v>
      </c>
      <c r="AS130" s="865">
        <v>0.65312999999999999</v>
      </c>
      <c r="AT130" s="865">
        <v>0.76749999999999996</v>
      </c>
      <c r="AU130" s="865">
        <v>0.85</v>
      </c>
      <c r="AV130" s="865">
        <v>0.95499999999999996</v>
      </c>
      <c r="AW130" s="865">
        <v>1.06813</v>
      </c>
      <c r="AX130" s="865">
        <v>1.52475</v>
      </c>
      <c r="AZ130" s="861">
        <v>40569</v>
      </c>
      <c r="BA130" s="865">
        <v>3</v>
      </c>
      <c r="BB130" s="865">
        <v>3.1285699999999999</v>
      </c>
      <c r="BC130" s="865">
        <v>3.17</v>
      </c>
      <c r="BD130" s="865">
        <v>3.19</v>
      </c>
      <c r="BE130" s="865">
        <v>3.22</v>
      </c>
      <c r="BF130" s="865">
        <v>3.22</v>
      </c>
      <c r="BG130" s="865">
        <v>3.2385700000000002</v>
      </c>
      <c r="BH130" s="865">
        <v>3.2385700000000002</v>
      </c>
    </row>
    <row r="131" spans="12:60">
      <c r="L131" s="861">
        <v>40556</v>
      </c>
      <c r="M131" s="865">
        <v>4.75</v>
      </c>
      <c r="N131" s="865">
        <v>4.83</v>
      </c>
      <c r="O131" s="865">
        <v>4.9367000000000001</v>
      </c>
      <c r="P131" s="865">
        <v>4.9983000000000004</v>
      </c>
      <c r="Q131" s="865">
        <v>5.0449999999999999</v>
      </c>
      <c r="R131" s="865">
        <v>5.0917000000000003</v>
      </c>
      <c r="S131" s="865">
        <v>5.16</v>
      </c>
      <c r="T131" s="865">
        <v>5.2050999999999998</v>
      </c>
      <c r="V131" s="861">
        <v>40556</v>
      </c>
      <c r="W131" s="865">
        <v>0.24</v>
      </c>
      <c r="X131" s="865">
        <v>0.26124999999999998</v>
      </c>
      <c r="Y131" s="865">
        <v>0.28249999999999997</v>
      </c>
      <c r="Z131" s="865">
        <v>0.30313000000000001</v>
      </c>
      <c r="AA131" s="865">
        <v>0.34499999999999997</v>
      </c>
      <c r="AB131" s="865">
        <v>0.40125</v>
      </c>
      <c r="AC131" s="865">
        <v>0.45656000000000002</v>
      </c>
      <c r="AD131" s="865">
        <v>0.78374999999999995</v>
      </c>
      <c r="AF131" s="861">
        <v>40561</v>
      </c>
      <c r="AG131" s="865">
        <v>0.72250000000000003</v>
      </c>
      <c r="AH131" s="865">
        <v>0.71125000000000005</v>
      </c>
      <c r="AI131" s="865">
        <v>0.81813000000000002</v>
      </c>
      <c r="AJ131" s="865">
        <v>0.94438</v>
      </c>
      <c r="AK131" s="865">
        <v>1.01563</v>
      </c>
      <c r="AL131" s="865">
        <v>1.1025</v>
      </c>
      <c r="AM131" s="865">
        <v>1.1906300000000001</v>
      </c>
      <c r="AN131" s="865">
        <v>1.4950000000000001</v>
      </c>
      <c r="AP131" s="861">
        <v>40556</v>
      </c>
      <c r="AQ131" s="865">
        <v>0.55813000000000001</v>
      </c>
      <c r="AR131" s="865">
        <v>0.59562999999999999</v>
      </c>
      <c r="AS131" s="865">
        <v>0.65312999999999999</v>
      </c>
      <c r="AT131" s="865">
        <v>0.76688000000000001</v>
      </c>
      <c r="AU131" s="865">
        <v>0.84938000000000002</v>
      </c>
      <c r="AV131" s="865">
        <v>0.95438000000000001</v>
      </c>
      <c r="AW131" s="865">
        <v>1.06375</v>
      </c>
      <c r="AX131" s="865">
        <v>1.51938</v>
      </c>
      <c r="AZ131" s="861">
        <v>40568</v>
      </c>
      <c r="BA131" s="865">
        <v>3</v>
      </c>
      <c r="BB131" s="865">
        <v>3.12778</v>
      </c>
      <c r="BC131" s="865">
        <v>3.17</v>
      </c>
      <c r="BD131" s="865">
        <v>3.18222</v>
      </c>
      <c r="BE131" s="865">
        <v>3.22</v>
      </c>
      <c r="BF131" s="865">
        <v>3.2222200000000001</v>
      </c>
      <c r="BG131" s="865">
        <v>3.24</v>
      </c>
      <c r="BH131" s="865">
        <v>3.24</v>
      </c>
    </row>
    <row r="132" spans="12:60">
      <c r="L132" s="861">
        <v>40555</v>
      </c>
      <c r="M132" s="865">
        <v>4.75</v>
      </c>
      <c r="N132" s="865">
        <v>4.83</v>
      </c>
      <c r="O132" s="865">
        <v>4.9249999999999998</v>
      </c>
      <c r="P132" s="865">
        <v>4.9400000000000004</v>
      </c>
      <c r="Q132" s="865">
        <v>5.0016999999999996</v>
      </c>
      <c r="R132" s="865">
        <v>5.0567000000000002</v>
      </c>
      <c r="S132" s="865">
        <v>5.09</v>
      </c>
      <c r="T132" s="865">
        <v>5.1402999999999999</v>
      </c>
      <c r="V132" s="861">
        <v>40555</v>
      </c>
      <c r="W132" s="865">
        <v>0.24</v>
      </c>
      <c r="X132" s="865">
        <v>0.26124999999999998</v>
      </c>
      <c r="Y132" s="865">
        <v>0.28249999999999997</v>
      </c>
      <c r="Z132" s="865">
        <v>0.30313000000000001</v>
      </c>
      <c r="AA132" s="865">
        <v>0.34499999999999997</v>
      </c>
      <c r="AB132" s="865">
        <v>0.40125</v>
      </c>
      <c r="AC132" s="865">
        <v>0.45680999999999999</v>
      </c>
      <c r="AD132" s="865">
        <v>0.78374999999999995</v>
      </c>
      <c r="AF132" s="861">
        <v>40560</v>
      </c>
      <c r="AG132" s="865">
        <v>0.32874999999999999</v>
      </c>
      <c r="AH132" s="865">
        <v>0.70313000000000003</v>
      </c>
      <c r="AI132" s="865">
        <v>0.81125000000000003</v>
      </c>
      <c r="AJ132" s="865">
        <v>0.94</v>
      </c>
      <c r="AK132" s="865">
        <v>1.01</v>
      </c>
      <c r="AL132" s="865">
        <v>1.10063</v>
      </c>
      <c r="AM132" s="865">
        <v>1.18875</v>
      </c>
      <c r="AN132" s="865">
        <v>1.4931300000000001</v>
      </c>
      <c r="AP132" s="861">
        <v>40555</v>
      </c>
      <c r="AQ132" s="865">
        <v>0.55813000000000001</v>
      </c>
      <c r="AR132" s="865">
        <v>0.59562999999999999</v>
      </c>
      <c r="AS132" s="865">
        <v>0.65312999999999999</v>
      </c>
      <c r="AT132" s="865">
        <v>0.76688000000000001</v>
      </c>
      <c r="AU132" s="865">
        <v>0.84938000000000002</v>
      </c>
      <c r="AV132" s="865">
        <v>0.95438000000000001</v>
      </c>
      <c r="AW132" s="865">
        <v>1.06375</v>
      </c>
      <c r="AX132" s="865">
        <v>1.51938</v>
      </c>
      <c r="AZ132" s="861">
        <v>40567</v>
      </c>
      <c r="BA132" s="865">
        <v>3</v>
      </c>
      <c r="BB132" s="865">
        <v>3.1228600000000002</v>
      </c>
      <c r="BC132" s="865">
        <v>3.17</v>
      </c>
      <c r="BD132" s="865">
        <v>3.1742900000000001</v>
      </c>
      <c r="BE132" s="865">
        <v>3.22</v>
      </c>
      <c r="BF132" s="865">
        <v>3.22</v>
      </c>
      <c r="BG132" s="865">
        <v>3.24</v>
      </c>
      <c r="BH132" s="865">
        <v>3.24</v>
      </c>
    </row>
    <row r="133" spans="12:60">
      <c r="L133" s="861">
        <v>40554</v>
      </c>
      <c r="M133" s="865">
        <v>4.75</v>
      </c>
      <c r="N133" s="865">
        <v>4.8316999999999997</v>
      </c>
      <c r="O133" s="865">
        <v>4.9400000000000004</v>
      </c>
      <c r="P133" s="865">
        <v>4.9800000000000004</v>
      </c>
      <c r="Q133" s="865">
        <v>5.0282999999999998</v>
      </c>
      <c r="R133" s="865">
        <v>5.0967000000000002</v>
      </c>
      <c r="S133" s="865">
        <v>5.12</v>
      </c>
      <c r="T133" s="865">
        <v>5.2107000000000001</v>
      </c>
      <c r="V133" s="861">
        <v>40554</v>
      </c>
      <c r="W133" s="865">
        <v>0.24</v>
      </c>
      <c r="X133" s="865">
        <v>0.26124999999999998</v>
      </c>
      <c r="Y133" s="865">
        <v>0.28249999999999997</v>
      </c>
      <c r="Z133" s="865">
        <v>0.30313000000000001</v>
      </c>
      <c r="AA133" s="865">
        <v>0.34499999999999997</v>
      </c>
      <c r="AB133" s="865">
        <v>0.40125</v>
      </c>
      <c r="AC133" s="865">
        <v>0.45694000000000001</v>
      </c>
      <c r="AD133" s="865">
        <v>0.78388000000000002</v>
      </c>
      <c r="AF133" s="861">
        <v>40557</v>
      </c>
      <c r="AG133" s="865">
        <v>0.33312999999999998</v>
      </c>
      <c r="AH133" s="865">
        <v>0.70062999999999998</v>
      </c>
      <c r="AI133" s="865">
        <v>0.81</v>
      </c>
      <c r="AJ133" s="865">
        <v>0.93813000000000002</v>
      </c>
      <c r="AK133" s="865">
        <v>1.0093799999999999</v>
      </c>
      <c r="AL133" s="865">
        <v>1.095</v>
      </c>
      <c r="AM133" s="865">
        <v>1.1868799999999999</v>
      </c>
      <c r="AN133" s="865">
        <v>1.4893799999999999</v>
      </c>
      <c r="AP133" s="861">
        <v>40554</v>
      </c>
      <c r="AQ133" s="865">
        <v>0.55813000000000001</v>
      </c>
      <c r="AR133" s="865">
        <v>0.59187999999999996</v>
      </c>
      <c r="AS133" s="865">
        <v>0.65125</v>
      </c>
      <c r="AT133" s="865">
        <v>0.76688000000000001</v>
      </c>
      <c r="AU133" s="865">
        <v>0.84938000000000002</v>
      </c>
      <c r="AV133" s="865">
        <v>0.95374999999999999</v>
      </c>
      <c r="AW133" s="865">
        <v>1.06063</v>
      </c>
      <c r="AX133" s="865">
        <v>1.5185</v>
      </c>
      <c r="AZ133" s="861">
        <v>40564</v>
      </c>
      <c r="BA133" s="865">
        <v>3</v>
      </c>
      <c r="BB133" s="865">
        <v>3.1237499999999998</v>
      </c>
      <c r="BC133" s="865">
        <v>3.17</v>
      </c>
      <c r="BD133" s="865">
        <v>3.18</v>
      </c>
      <c r="BE133" s="865">
        <v>3.22</v>
      </c>
      <c r="BF133" s="865">
        <v>3.22</v>
      </c>
      <c r="BG133" s="865">
        <v>3.2374999999999998</v>
      </c>
      <c r="BH133" s="865">
        <v>3.2374999999999998</v>
      </c>
    </row>
    <row r="134" spans="12:60">
      <c r="L134" s="861">
        <v>40553</v>
      </c>
      <c r="M134" s="865">
        <v>4.75</v>
      </c>
      <c r="N134" s="865">
        <v>4.8216999999999999</v>
      </c>
      <c r="O134" s="865">
        <v>4.9400000000000004</v>
      </c>
      <c r="P134" s="865">
        <v>4.99</v>
      </c>
      <c r="Q134" s="865">
        <v>5.0533000000000001</v>
      </c>
      <c r="R134" s="865">
        <v>5.1150000000000002</v>
      </c>
      <c r="S134" s="865">
        <v>5.1482999999999999</v>
      </c>
      <c r="T134" s="865">
        <v>5.2370000000000001</v>
      </c>
      <c r="V134" s="861">
        <v>40553</v>
      </c>
      <c r="W134" s="865">
        <v>0.24124999999999999</v>
      </c>
      <c r="X134" s="865">
        <v>0.26124999999999998</v>
      </c>
      <c r="Y134" s="865">
        <v>0.28249999999999997</v>
      </c>
      <c r="Z134" s="865">
        <v>0.30313000000000001</v>
      </c>
      <c r="AA134" s="865">
        <v>0.34625</v>
      </c>
      <c r="AB134" s="865">
        <v>0.40250000000000002</v>
      </c>
      <c r="AC134" s="865">
        <v>0.45706000000000002</v>
      </c>
      <c r="AD134" s="865">
        <v>0.78400000000000003</v>
      </c>
      <c r="AF134" s="861">
        <v>40556</v>
      </c>
      <c r="AG134" s="865">
        <v>0.33500000000000002</v>
      </c>
      <c r="AH134" s="865">
        <v>0.69562999999999997</v>
      </c>
      <c r="AI134" s="865">
        <v>0.80500000000000005</v>
      </c>
      <c r="AJ134" s="865">
        <v>0.93188000000000004</v>
      </c>
      <c r="AK134" s="865">
        <v>1</v>
      </c>
      <c r="AL134" s="865">
        <v>1.0868800000000001</v>
      </c>
      <c r="AM134" s="865">
        <v>1.18</v>
      </c>
      <c r="AN134" s="865">
        <v>1.47</v>
      </c>
      <c r="AP134" s="861">
        <v>40553</v>
      </c>
      <c r="AQ134" s="865">
        <v>0.55813000000000001</v>
      </c>
      <c r="AR134" s="865">
        <v>0.59</v>
      </c>
      <c r="AS134" s="865">
        <v>0.64875000000000005</v>
      </c>
      <c r="AT134" s="865">
        <v>0.76563000000000003</v>
      </c>
      <c r="AU134" s="865">
        <v>0.84875</v>
      </c>
      <c r="AV134" s="865">
        <v>0.95313000000000003</v>
      </c>
      <c r="AW134" s="865">
        <v>1.06063</v>
      </c>
      <c r="AX134" s="865">
        <v>1.51813</v>
      </c>
      <c r="AZ134" s="861">
        <v>40563</v>
      </c>
      <c r="BA134" s="865">
        <v>3</v>
      </c>
      <c r="BB134" s="865">
        <v>3.12222</v>
      </c>
      <c r="BC134" s="865">
        <v>3.15333</v>
      </c>
      <c r="BD134" s="865">
        <v>3.1644399999999999</v>
      </c>
      <c r="BE134" s="865">
        <v>3.22</v>
      </c>
      <c r="BF134" s="865">
        <v>3.22</v>
      </c>
      <c r="BG134" s="865">
        <v>3.2377799999999999</v>
      </c>
      <c r="BH134" s="865">
        <v>3.2377799999999999</v>
      </c>
    </row>
    <row r="135" spans="12:60">
      <c r="L135" s="861">
        <v>40550</v>
      </c>
      <c r="M135" s="865">
        <v>4.75</v>
      </c>
      <c r="N135" s="865">
        <v>4.83</v>
      </c>
      <c r="O135" s="865">
        <v>4.9417</v>
      </c>
      <c r="P135" s="865">
        <v>5.03</v>
      </c>
      <c r="Q135" s="865">
        <v>5.0567000000000002</v>
      </c>
      <c r="R135" s="865">
        <v>5.1166999999999998</v>
      </c>
      <c r="S135" s="865">
        <v>5.15</v>
      </c>
      <c r="T135" s="865">
        <v>5.2571000000000003</v>
      </c>
      <c r="V135" s="861">
        <v>40550</v>
      </c>
      <c r="W135" s="865">
        <v>0.24124999999999999</v>
      </c>
      <c r="X135" s="865">
        <v>0.26124999999999998</v>
      </c>
      <c r="Y135" s="865">
        <v>0.28249999999999997</v>
      </c>
      <c r="Z135" s="865">
        <v>0.30313000000000001</v>
      </c>
      <c r="AA135" s="865">
        <v>0.34625</v>
      </c>
      <c r="AB135" s="865">
        <v>0.40262999999999999</v>
      </c>
      <c r="AC135" s="865">
        <v>0.45730999999999999</v>
      </c>
      <c r="AD135" s="865">
        <v>0.78549999999999998</v>
      </c>
      <c r="AF135" s="861">
        <v>40555</v>
      </c>
      <c r="AG135" s="865">
        <v>0.33374999999999999</v>
      </c>
      <c r="AH135" s="865">
        <v>0.68937999999999999</v>
      </c>
      <c r="AI135" s="865">
        <v>0.80500000000000005</v>
      </c>
      <c r="AJ135" s="865">
        <v>0.93125000000000002</v>
      </c>
      <c r="AK135" s="865">
        <v>0.99875000000000003</v>
      </c>
      <c r="AL135" s="865">
        <v>1.08188</v>
      </c>
      <c r="AM135" s="865">
        <v>1.175</v>
      </c>
      <c r="AN135" s="865">
        <v>1.4637500000000001</v>
      </c>
      <c r="AP135" s="861">
        <v>40550</v>
      </c>
      <c r="AQ135" s="865">
        <v>0.55813000000000001</v>
      </c>
      <c r="AR135" s="865">
        <v>0.58875</v>
      </c>
      <c r="AS135" s="865">
        <v>0.64624999999999999</v>
      </c>
      <c r="AT135" s="865">
        <v>0.76063000000000003</v>
      </c>
      <c r="AU135" s="865">
        <v>0.84250000000000003</v>
      </c>
      <c r="AV135" s="865">
        <v>0.94874999999999998</v>
      </c>
      <c r="AW135" s="865">
        <v>1.0543800000000001</v>
      </c>
      <c r="AX135" s="865">
        <v>1.5125</v>
      </c>
      <c r="AZ135" s="861">
        <v>40562</v>
      </c>
      <c r="BA135" s="865">
        <v>3</v>
      </c>
      <c r="BB135" s="865">
        <v>3.1287500000000001</v>
      </c>
      <c r="BC135" s="865">
        <v>3.17</v>
      </c>
      <c r="BD135" s="865">
        <v>3.17</v>
      </c>
      <c r="BE135" s="865">
        <v>3.22</v>
      </c>
      <c r="BF135" s="865">
        <v>3.22</v>
      </c>
      <c r="BG135" s="865">
        <v>3.2374999999999998</v>
      </c>
      <c r="BH135" s="865">
        <v>3.2374999999999998</v>
      </c>
    </row>
    <row r="136" spans="12:60">
      <c r="L136" s="861">
        <v>40549</v>
      </c>
      <c r="M136" s="865">
        <v>4.75</v>
      </c>
      <c r="N136" s="865">
        <v>4.8266999999999998</v>
      </c>
      <c r="O136" s="865">
        <v>4.9400000000000004</v>
      </c>
      <c r="P136" s="865">
        <v>4.9817</v>
      </c>
      <c r="Q136" s="865">
        <v>5.05</v>
      </c>
      <c r="R136" s="865">
        <v>5.1182999999999996</v>
      </c>
      <c r="S136" s="865">
        <v>5.1482999999999999</v>
      </c>
      <c r="T136" s="865">
        <v>5.2618999999999998</v>
      </c>
      <c r="V136" s="861">
        <v>40549</v>
      </c>
      <c r="W136" s="865">
        <v>0.24374999999999999</v>
      </c>
      <c r="X136" s="865">
        <v>0.26124999999999998</v>
      </c>
      <c r="Y136" s="865">
        <v>0.28249999999999997</v>
      </c>
      <c r="Z136" s="865">
        <v>0.30313000000000001</v>
      </c>
      <c r="AA136" s="865">
        <v>0.34625</v>
      </c>
      <c r="AB136" s="865">
        <v>0.40262999999999999</v>
      </c>
      <c r="AC136" s="865">
        <v>0.45718999999999999</v>
      </c>
      <c r="AD136" s="865">
        <v>0.78525</v>
      </c>
      <c r="AF136" s="861">
        <v>40554</v>
      </c>
      <c r="AG136" s="865">
        <v>0.33750000000000002</v>
      </c>
      <c r="AH136" s="865">
        <v>0.69062999999999997</v>
      </c>
      <c r="AI136" s="865">
        <v>0.80500000000000005</v>
      </c>
      <c r="AJ136" s="865">
        <v>0.93125000000000002</v>
      </c>
      <c r="AK136" s="865">
        <v>0.995</v>
      </c>
      <c r="AL136" s="865">
        <v>1.07938</v>
      </c>
      <c r="AM136" s="865">
        <v>1.1725000000000001</v>
      </c>
      <c r="AN136" s="865">
        <v>1.4637500000000001</v>
      </c>
      <c r="AP136" s="861">
        <v>40549</v>
      </c>
      <c r="AQ136" s="865">
        <v>0.55813000000000001</v>
      </c>
      <c r="AR136" s="865">
        <v>0.59</v>
      </c>
      <c r="AS136" s="865">
        <v>0.64624999999999999</v>
      </c>
      <c r="AT136" s="865">
        <v>0.76</v>
      </c>
      <c r="AU136" s="865">
        <v>0.84187999999999996</v>
      </c>
      <c r="AV136" s="865">
        <v>0.94813000000000003</v>
      </c>
      <c r="AW136" s="865">
        <v>1.0543800000000001</v>
      </c>
      <c r="AX136" s="865">
        <v>1.5125</v>
      </c>
      <c r="AZ136" s="861">
        <v>40561</v>
      </c>
      <c r="BA136" s="865">
        <v>3</v>
      </c>
      <c r="BB136" s="865">
        <v>3.13</v>
      </c>
      <c r="BC136" s="865">
        <v>3.165</v>
      </c>
      <c r="BD136" s="865">
        <v>3.1875</v>
      </c>
      <c r="BE136" s="865">
        <v>3.22</v>
      </c>
      <c r="BF136" s="865">
        <v>3.22</v>
      </c>
      <c r="BG136" s="865">
        <v>3.22</v>
      </c>
      <c r="BH136" s="865">
        <v>3.22</v>
      </c>
    </row>
    <row r="137" spans="12:60">
      <c r="L137" s="861">
        <v>40548</v>
      </c>
      <c r="M137" s="865">
        <v>4.75</v>
      </c>
      <c r="N137" s="865">
        <v>4.8316999999999997</v>
      </c>
      <c r="O137" s="865">
        <v>4.9400000000000004</v>
      </c>
      <c r="P137" s="865">
        <v>4.9800000000000004</v>
      </c>
      <c r="Q137" s="865">
        <v>5.05</v>
      </c>
      <c r="R137" s="865">
        <v>5.1166999999999998</v>
      </c>
      <c r="S137" s="865">
        <v>5.1433</v>
      </c>
      <c r="T137" s="865">
        <v>5.2727000000000004</v>
      </c>
      <c r="V137" s="861">
        <v>40548</v>
      </c>
      <c r="W137" s="865">
        <v>0.24374999999999999</v>
      </c>
      <c r="X137" s="865">
        <v>0.26124999999999998</v>
      </c>
      <c r="Y137" s="865">
        <v>0.28249999999999997</v>
      </c>
      <c r="Z137" s="865">
        <v>0.30281000000000002</v>
      </c>
      <c r="AA137" s="865">
        <v>0.34499999999999997</v>
      </c>
      <c r="AB137" s="865">
        <v>0.40125</v>
      </c>
      <c r="AC137" s="865">
        <v>0.45456000000000002</v>
      </c>
      <c r="AD137" s="865">
        <v>0.78093999999999997</v>
      </c>
      <c r="AF137" s="861">
        <v>40553</v>
      </c>
      <c r="AG137" s="865">
        <v>0.34</v>
      </c>
      <c r="AH137" s="865">
        <v>0.69062999999999997</v>
      </c>
      <c r="AI137" s="865">
        <v>0.80500000000000005</v>
      </c>
      <c r="AJ137" s="865">
        <v>0.93125000000000002</v>
      </c>
      <c r="AK137" s="865">
        <v>0.995</v>
      </c>
      <c r="AL137" s="865">
        <v>1.08063</v>
      </c>
      <c r="AM137" s="865">
        <v>1.1737500000000001</v>
      </c>
      <c r="AN137" s="865">
        <v>1.4624999999999999</v>
      </c>
      <c r="AP137" s="861">
        <v>40548</v>
      </c>
      <c r="AQ137" s="865">
        <v>0.55813000000000001</v>
      </c>
      <c r="AR137" s="865">
        <v>0.58875</v>
      </c>
      <c r="AS137" s="865">
        <v>0.64624999999999999</v>
      </c>
      <c r="AT137" s="865">
        <v>0.76</v>
      </c>
      <c r="AU137" s="865">
        <v>0.84125000000000005</v>
      </c>
      <c r="AV137" s="865">
        <v>0.94625000000000004</v>
      </c>
      <c r="AW137" s="865">
        <v>1.0518799999999999</v>
      </c>
      <c r="AX137" s="865">
        <v>1.51</v>
      </c>
      <c r="AZ137" s="861">
        <v>40560</v>
      </c>
      <c r="BA137" s="865">
        <v>3</v>
      </c>
      <c r="BB137" s="865">
        <v>3.1</v>
      </c>
      <c r="BC137" s="865">
        <v>3.17</v>
      </c>
      <c r="BD137" s="865">
        <v>3.19</v>
      </c>
      <c r="BE137" s="865">
        <v>3.22</v>
      </c>
      <c r="BF137" s="865">
        <v>3.22</v>
      </c>
      <c r="BG137" s="865">
        <v>3.22</v>
      </c>
      <c r="BH137" s="865">
        <v>3.22</v>
      </c>
    </row>
    <row r="138" spans="12:60">
      <c r="L138" s="861">
        <v>40547</v>
      </c>
      <c r="M138" s="865">
        <v>4.75</v>
      </c>
      <c r="N138" s="865">
        <v>4.8250000000000002</v>
      </c>
      <c r="O138" s="865">
        <v>4.9432999999999998</v>
      </c>
      <c r="P138" s="865">
        <v>4.96</v>
      </c>
      <c r="Q138" s="865">
        <v>5.0533000000000001</v>
      </c>
      <c r="R138" s="865">
        <v>5.1166999999999998</v>
      </c>
      <c r="S138" s="865">
        <v>5.1317000000000004</v>
      </c>
      <c r="T138" s="865">
        <v>5.2594000000000003</v>
      </c>
      <c r="V138" s="861">
        <v>40547</v>
      </c>
      <c r="W138" s="865">
        <v>0.24687999999999999</v>
      </c>
      <c r="X138" s="865">
        <v>0.26062999999999997</v>
      </c>
      <c r="Y138" s="865">
        <v>0.28249999999999997</v>
      </c>
      <c r="Z138" s="865">
        <v>0.30281000000000002</v>
      </c>
      <c r="AA138" s="865">
        <v>0.34749999999999998</v>
      </c>
      <c r="AB138" s="865">
        <v>0.40250000000000002</v>
      </c>
      <c r="AC138" s="865">
        <v>0.45580999999999999</v>
      </c>
      <c r="AD138" s="865">
        <v>0.78093999999999997</v>
      </c>
      <c r="AF138" s="861">
        <v>40550</v>
      </c>
      <c r="AG138" s="865">
        <v>0.34125</v>
      </c>
      <c r="AH138" s="865">
        <v>0.6925</v>
      </c>
      <c r="AI138" s="865">
        <v>0.80625000000000002</v>
      </c>
      <c r="AJ138" s="865">
        <v>0.93188000000000004</v>
      </c>
      <c r="AK138" s="865">
        <v>0.99687999999999999</v>
      </c>
      <c r="AL138" s="865">
        <v>1.0825</v>
      </c>
      <c r="AM138" s="865">
        <v>1.17563</v>
      </c>
      <c r="AN138" s="865">
        <v>1.4650000000000001</v>
      </c>
      <c r="AP138" s="861">
        <v>40547</v>
      </c>
      <c r="AQ138" s="865">
        <v>0.55937999999999999</v>
      </c>
      <c r="AR138" s="865">
        <v>0.58875</v>
      </c>
      <c r="AS138" s="865">
        <v>0.64624999999999999</v>
      </c>
      <c r="AT138" s="865">
        <v>0.75749999999999995</v>
      </c>
      <c r="AU138" s="865">
        <v>0.84</v>
      </c>
      <c r="AV138" s="865">
        <v>0.94499999999999995</v>
      </c>
      <c r="AW138" s="865">
        <v>1.0518799999999999</v>
      </c>
      <c r="AX138" s="865">
        <v>1.51</v>
      </c>
      <c r="AZ138" s="861">
        <v>40557</v>
      </c>
      <c r="BA138" s="865">
        <v>3</v>
      </c>
      <c r="BB138" s="865">
        <v>3.0977800000000002</v>
      </c>
      <c r="BC138" s="865">
        <v>3.1511100000000001</v>
      </c>
      <c r="BD138" s="865">
        <v>3.23</v>
      </c>
      <c r="BE138" s="865">
        <v>3.2222200000000001</v>
      </c>
      <c r="BF138" s="865">
        <v>3.2222200000000001</v>
      </c>
      <c r="BG138" s="865">
        <v>3.2222200000000001</v>
      </c>
      <c r="BH138" s="865">
        <v>3.2222200000000001</v>
      </c>
    </row>
    <row r="139" spans="12:60">
      <c r="L139" s="861">
        <v>40543</v>
      </c>
      <c r="M139" s="865">
        <v>4.75</v>
      </c>
      <c r="N139" s="865">
        <v>4.8433000000000002</v>
      </c>
      <c r="O139" s="865">
        <v>4.95</v>
      </c>
      <c r="P139" s="865">
        <v>5.04</v>
      </c>
      <c r="Q139" s="865">
        <v>5.0933000000000002</v>
      </c>
      <c r="R139" s="865">
        <v>5.1616999999999997</v>
      </c>
      <c r="S139" s="865">
        <v>5.23</v>
      </c>
      <c r="T139" s="865">
        <v>5.3009000000000004</v>
      </c>
      <c r="V139" s="861">
        <v>40543</v>
      </c>
      <c r="W139" s="865">
        <v>0.25187999999999999</v>
      </c>
      <c r="X139" s="865">
        <v>0.26062999999999997</v>
      </c>
      <c r="Y139" s="865">
        <v>0.28249999999999997</v>
      </c>
      <c r="Z139" s="865">
        <v>0.30281000000000002</v>
      </c>
      <c r="AA139" s="865">
        <v>0.34749999999999998</v>
      </c>
      <c r="AB139" s="865">
        <v>0.40250000000000002</v>
      </c>
      <c r="AC139" s="865">
        <v>0.45594000000000001</v>
      </c>
      <c r="AD139" s="865">
        <v>0.78093999999999997</v>
      </c>
      <c r="AF139" s="861">
        <v>40549</v>
      </c>
      <c r="AG139" s="865">
        <v>0.34250000000000003</v>
      </c>
      <c r="AH139" s="865">
        <v>0.69374999999999998</v>
      </c>
      <c r="AI139" s="865">
        <v>0.81</v>
      </c>
      <c r="AJ139" s="865">
        <v>0.93313000000000001</v>
      </c>
      <c r="AK139" s="865">
        <v>0.99687999999999999</v>
      </c>
      <c r="AL139" s="865">
        <v>1.0825</v>
      </c>
      <c r="AM139" s="865">
        <v>1.1781299999999999</v>
      </c>
      <c r="AN139" s="865">
        <v>1.4675</v>
      </c>
      <c r="AP139" s="861">
        <v>40543</v>
      </c>
      <c r="AQ139" s="865">
        <v>0.56499999999999995</v>
      </c>
      <c r="AR139" s="865">
        <v>0.59250000000000003</v>
      </c>
      <c r="AS139" s="865">
        <v>0.64688000000000001</v>
      </c>
      <c r="AT139" s="865">
        <v>0.75749999999999995</v>
      </c>
      <c r="AU139" s="865">
        <v>0.84</v>
      </c>
      <c r="AV139" s="865">
        <v>0.94438</v>
      </c>
      <c r="AW139" s="865">
        <v>1.05</v>
      </c>
      <c r="AX139" s="865">
        <v>1.5093799999999999</v>
      </c>
      <c r="AZ139" s="861">
        <v>40556</v>
      </c>
      <c r="BA139" s="865">
        <v>3</v>
      </c>
      <c r="BB139" s="865">
        <v>3.09</v>
      </c>
      <c r="BC139" s="865">
        <v>3.16</v>
      </c>
      <c r="BD139" s="865">
        <v>3.18</v>
      </c>
      <c r="BE139" s="865">
        <v>3.21556</v>
      </c>
      <c r="BF139" s="865">
        <v>3.22</v>
      </c>
      <c r="BG139" s="865">
        <v>3.22</v>
      </c>
      <c r="BH139" s="865">
        <v>3.22</v>
      </c>
    </row>
    <row r="140" spans="12:60">
      <c r="L140" s="861">
        <v>40542</v>
      </c>
      <c r="M140" s="865">
        <v>4.75</v>
      </c>
      <c r="N140" s="865">
        <v>4.82</v>
      </c>
      <c r="O140" s="865">
        <v>4.95</v>
      </c>
      <c r="P140" s="865">
        <v>5.0316999999999998</v>
      </c>
      <c r="Q140" s="865">
        <v>5.0883000000000003</v>
      </c>
      <c r="R140" s="865">
        <v>5.16</v>
      </c>
      <c r="S140" s="865">
        <v>5.24</v>
      </c>
      <c r="T140" s="865">
        <v>5.3242000000000003</v>
      </c>
      <c r="V140" s="861">
        <v>40542</v>
      </c>
      <c r="W140" s="865">
        <v>0.24687999999999999</v>
      </c>
      <c r="X140" s="865">
        <v>0.26062999999999997</v>
      </c>
      <c r="Y140" s="865">
        <v>0.28249999999999997</v>
      </c>
      <c r="Z140" s="865">
        <v>0.30281000000000002</v>
      </c>
      <c r="AA140" s="865">
        <v>0.34781000000000001</v>
      </c>
      <c r="AB140" s="865">
        <v>0.40312999999999999</v>
      </c>
      <c r="AC140" s="865">
        <v>0.45656000000000002</v>
      </c>
      <c r="AD140" s="865">
        <v>0.78156000000000003</v>
      </c>
      <c r="AF140" s="861">
        <v>40548</v>
      </c>
      <c r="AG140" s="865">
        <v>0.34749999999999998</v>
      </c>
      <c r="AH140" s="865">
        <v>0.69374999999999998</v>
      </c>
      <c r="AI140" s="865">
        <v>0.81</v>
      </c>
      <c r="AJ140" s="865">
        <v>0.93437999999999999</v>
      </c>
      <c r="AK140" s="865">
        <v>0.99812999999999996</v>
      </c>
      <c r="AL140" s="865">
        <v>1.0825</v>
      </c>
      <c r="AM140" s="865">
        <v>1.1781299999999999</v>
      </c>
      <c r="AN140" s="865">
        <v>1.46688</v>
      </c>
      <c r="AP140" s="861">
        <v>40542</v>
      </c>
      <c r="AQ140" s="865">
        <v>0.55874999999999997</v>
      </c>
      <c r="AR140" s="865">
        <v>0.59</v>
      </c>
      <c r="AS140" s="865">
        <v>0.64688000000000001</v>
      </c>
      <c r="AT140" s="865">
        <v>0.75749999999999995</v>
      </c>
      <c r="AU140" s="865">
        <v>0.84</v>
      </c>
      <c r="AV140" s="865">
        <v>0.94438</v>
      </c>
      <c r="AW140" s="865">
        <v>1.05125</v>
      </c>
      <c r="AX140" s="865">
        <v>1.5093799999999999</v>
      </c>
      <c r="AZ140" s="861">
        <v>40555</v>
      </c>
      <c r="BA140" s="865">
        <v>3</v>
      </c>
      <c r="BB140" s="865">
        <v>3.09</v>
      </c>
      <c r="BC140" s="865">
        <v>3.16</v>
      </c>
      <c r="BD140" s="865">
        <v>3.19556</v>
      </c>
      <c r="BE140" s="865">
        <v>3.22</v>
      </c>
      <c r="BF140" s="865">
        <v>3.22</v>
      </c>
      <c r="BG140" s="865">
        <v>3.22</v>
      </c>
      <c r="BH140" s="865">
        <v>3.22</v>
      </c>
    </row>
    <row r="141" spans="12:60">
      <c r="L141" s="861">
        <v>40541</v>
      </c>
      <c r="M141" s="865">
        <v>4.75</v>
      </c>
      <c r="N141" s="865">
        <v>4.8099999999999996</v>
      </c>
      <c r="O141" s="865">
        <v>4.95</v>
      </c>
      <c r="P141" s="865">
        <v>5.0167000000000002</v>
      </c>
      <c r="Q141" s="865">
        <v>5.0833000000000004</v>
      </c>
      <c r="R141" s="865">
        <v>5.1566999999999998</v>
      </c>
      <c r="S141" s="865">
        <v>5.2233000000000001</v>
      </c>
      <c r="T141" s="865">
        <v>5.3602999999999996</v>
      </c>
      <c r="V141" s="861">
        <v>40541</v>
      </c>
      <c r="W141" s="865">
        <v>0.24562999999999999</v>
      </c>
      <c r="X141" s="865">
        <v>0.26062999999999997</v>
      </c>
      <c r="Y141" s="865">
        <v>0.28249999999999997</v>
      </c>
      <c r="Z141" s="865">
        <v>0.30281000000000002</v>
      </c>
      <c r="AA141" s="865">
        <v>0.34781000000000001</v>
      </c>
      <c r="AB141" s="865">
        <v>0.40312999999999999</v>
      </c>
      <c r="AC141" s="865">
        <v>0.45688000000000001</v>
      </c>
      <c r="AD141" s="865">
        <v>0.78312999999999999</v>
      </c>
      <c r="AF141" s="861">
        <v>40547</v>
      </c>
      <c r="AG141" s="865">
        <v>0.34875</v>
      </c>
      <c r="AH141" s="865">
        <v>0.70625000000000004</v>
      </c>
      <c r="AI141" s="865">
        <v>0.81374999999999997</v>
      </c>
      <c r="AJ141" s="865">
        <v>0.9375</v>
      </c>
      <c r="AK141" s="865">
        <v>1.0075000000000001</v>
      </c>
      <c r="AL141" s="865">
        <v>1.09063</v>
      </c>
      <c r="AM141" s="865">
        <v>1.1812499999999999</v>
      </c>
      <c r="AN141" s="865">
        <v>1.47</v>
      </c>
      <c r="AP141" s="861">
        <v>40541</v>
      </c>
      <c r="AQ141" s="865">
        <v>0.5575</v>
      </c>
      <c r="AR141" s="865">
        <v>0.58750000000000002</v>
      </c>
      <c r="AS141" s="865">
        <v>0.64500000000000002</v>
      </c>
      <c r="AT141" s="865">
        <v>0.75563000000000002</v>
      </c>
      <c r="AU141" s="865">
        <v>0.83813000000000004</v>
      </c>
      <c r="AV141" s="865">
        <v>0.94125000000000003</v>
      </c>
      <c r="AW141" s="865">
        <v>1.04938</v>
      </c>
      <c r="AX141" s="865">
        <v>1.5093799999999999</v>
      </c>
      <c r="AZ141" s="861">
        <v>40554</v>
      </c>
      <c r="BA141" s="865">
        <v>3</v>
      </c>
      <c r="BB141" s="865">
        <v>3.09</v>
      </c>
      <c r="BC141" s="865">
        <v>3.16</v>
      </c>
      <c r="BD141" s="865">
        <v>3.18</v>
      </c>
      <c r="BE141" s="865">
        <v>3.22</v>
      </c>
      <c r="BF141" s="865">
        <v>3.22</v>
      </c>
      <c r="BG141" s="865">
        <v>3.22</v>
      </c>
      <c r="BH141" s="865">
        <v>3.22</v>
      </c>
    </row>
    <row r="142" spans="12:60">
      <c r="L142" s="861">
        <v>40536</v>
      </c>
      <c r="M142" s="865">
        <v>4.75</v>
      </c>
      <c r="N142" s="865">
        <v>4.8182999999999998</v>
      </c>
      <c r="O142" s="865">
        <v>4.95</v>
      </c>
      <c r="P142" s="865">
        <v>4.9667000000000003</v>
      </c>
      <c r="Q142" s="865">
        <v>5.0682999999999998</v>
      </c>
      <c r="R142" s="865">
        <v>5.1449999999999996</v>
      </c>
      <c r="S142" s="865">
        <v>5.2317</v>
      </c>
      <c r="T142" s="865">
        <v>5.3372999999999999</v>
      </c>
      <c r="V142" s="861">
        <v>40536</v>
      </c>
      <c r="W142" s="865">
        <v>0.24437999999999999</v>
      </c>
      <c r="X142" s="865">
        <v>0.26062999999999997</v>
      </c>
      <c r="Y142" s="865">
        <v>0.28249999999999997</v>
      </c>
      <c r="Z142" s="865">
        <v>0.30281000000000002</v>
      </c>
      <c r="AA142" s="865">
        <v>0.34781000000000001</v>
      </c>
      <c r="AB142" s="865">
        <v>0.40312999999999999</v>
      </c>
      <c r="AC142" s="865">
        <v>0.45718999999999999</v>
      </c>
      <c r="AD142" s="865">
        <v>0.78312999999999999</v>
      </c>
      <c r="AF142" s="861">
        <v>40546</v>
      </c>
      <c r="AG142" s="865">
        <v>0.36625000000000002</v>
      </c>
      <c r="AH142" s="865">
        <v>0.71</v>
      </c>
      <c r="AI142" s="865">
        <v>0.8175</v>
      </c>
      <c r="AJ142" s="865">
        <v>0.93688000000000005</v>
      </c>
      <c r="AK142" s="865">
        <v>1.00813</v>
      </c>
      <c r="AL142" s="865">
        <v>1.0925</v>
      </c>
      <c r="AM142" s="865">
        <v>1.1812499999999999</v>
      </c>
      <c r="AN142" s="865">
        <v>1.4712499999999999</v>
      </c>
      <c r="AP142" s="861">
        <v>40536</v>
      </c>
      <c r="AQ142" s="865">
        <v>0.55500000000000005</v>
      </c>
      <c r="AR142" s="865">
        <v>0.58625000000000005</v>
      </c>
      <c r="AS142" s="865">
        <v>0.64375000000000004</v>
      </c>
      <c r="AT142" s="865">
        <v>0.75438000000000005</v>
      </c>
      <c r="AU142" s="865">
        <v>0.83687999999999996</v>
      </c>
      <c r="AV142" s="865">
        <v>0.94</v>
      </c>
      <c r="AW142" s="865">
        <v>1.04813</v>
      </c>
      <c r="AX142" s="865">
        <v>1.50813</v>
      </c>
      <c r="AZ142" s="861">
        <v>40553</v>
      </c>
      <c r="BA142" s="865">
        <v>3</v>
      </c>
      <c r="BB142" s="865">
        <v>3.09111</v>
      </c>
      <c r="BC142" s="865">
        <v>3.16</v>
      </c>
      <c r="BD142" s="865">
        <v>3.1877800000000001</v>
      </c>
      <c r="BE142" s="865">
        <v>3.22</v>
      </c>
      <c r="BF142" s="865">
        <v>3.22</v>
      </c>
      <c r="BG142" s="865">
        <v>3.22</v>
      </c>
      <c r="BH142" s="865">
        <v>3.22</v>
      </c>
    </row>
    <row r="143" spans="12:60">
      <c r="L143" s="861">
        <v>40535</v>
      </c>
      <c r="M143" s="865">
        <v>4.75</v>
      </c>
      <c r="N143" s="865">
        <v>4.8099999999999996</v>
      </c>
      <c r="O143" s="865">
        <v>4.95</v>
      </c>
      <c r="P143" s="865">
        <v>5.03</v>
      </c>
      <c r="Q143" s="865">
        <v>5.0782999999999996</v>
      </c>
      <c r="R143" s="865">
        <v>5.14</v>
      </c>
      <c r="S143" s="865">
        <v>5.22</v>
      </c>
      <c r="T143" s="865">
        <v>5.3140000000000001</v>
      </c>
      <c r="V143" s="861">
        <v>40535</v>
      </c>
      <c r="W143" s="865">
        <v>0.24124999999999999</v>
      </c>
      <c r="X143" s="865">
        <v>0.26062999999999997</v>
      </c>
      <c r="Y143" s="865">
        <v>0.28249999999999997</v>
      </c>
      <c r="Z143" s="865">
        <v>0.30281000000000002</v>
      </c>
      <c r="AA143" s="865">
        <v>0.34813</v>
      </c>
      <c r="AB143" s="865">
        <v>0.40312999999999999</v>
      </c>
      <c r="AC143" s="865">
        <v>0.45718999999999999</v>
      </c>
      <c r="AD143" s="865">
        <v>0.78312999999999999</v>
      </c>
      <c r="AF143" s="861">
        <v>40543</v>
      </c>
      <c r="AG143" s="865">
        <v>0.60624999999999996</v>
      </c>
      <c r="AH143" s="865">
        <v>0.71</v>
      </c>
      <c r="AI143" s="865">
        <v>0.8175</v>
      </c>
      <c r="AJ143" s="865">
        <v>0.93874999999999997</v>
      </c>
      <c r="AK143" s="865">
        <v>1.00875</v>
      </c>
      <c r="AL143" s="865">
        <v>1.0931299999999999</v>
      </c>
      <c r="AM143" s="865">
        <v>1.18313</v>
      </c>
      <c r="AN143" s="865">
        <v>1.4724999999999999</v>
      </c>
      <c r="AP143" s="861">
        <v>40535</v>
      </c>
      <c r="AQ143" s="865">
        <v>0.55500000000000005</v>
      </c>
      <c r="AR143" s="865">
        <v>0.58625000000000005</v>
      </c>
      <c r="AS143" s="865">
        <v>0.64375000000000004</v>
      </c>
      <c r="AT143" s="865">
        <v>0.75438000000000005</v>
      </c>
      <c r="AU143" s="865">
        <v>0.83687999999999996</v>
      </c>
      <c r="AV143" s="865">
        <v>0.94</v>
      </c>
      <c r="AW143" s="865">
        <v>1.04813</v>
      </c>
      <c r="AX143" s="865">
        <v>1.50813</v>
      </c>
      <c r="AZ143" s="861">
        <v>40550</v>
      </c>
      <c r="BA143" s="865">
        <v>3</v>
      </c>
      <c r="BB143" s="865">
        <v>3.11</v>
      </c>
      <c r="BC143" s="865">
        <v>3.16</v>
      </c>
      <c r="BD143" s="865">
        <v>3.2</v>
      </c>
      <c r="BE143" s="865">
        <v>3.2174999999999998</v>
      </c>
      <c r="BF143" s="865">
        <v>3.21875</v>
      </c>
      <c r="BG143" s="865">
        <v>3.22</v>
      </c>
      <c r="BH143" s="865">
        <v>3.22</v>
      </c>
    </row>
    <row r="144" spans="12:60">
      <c r="L144" s="861">
        <v>40534</v>
      </c>
      <c r="M144" s="865">
        <v>4.75</v>
      </c>
      <c r="N144" s="865">
        <v>4.8</v>
      </c>
      <c r="O144" s="865">
        <v>4.95</v>
      </c>
      <c r="P144" s="865">
        <v>5.0016999999999996</v>
      </c>
      <c r="Q144" s="865">
        <v>5.0650000000000004</v>
      </c>
      <c r="R144" s="865">
        <v>5.1216999999999997</v>
      </c>
      <c r="S144" s="865">
        <v>5.1783000000000001</v>
      </c>
      <c r="T144" s="865">
        <v>5.2899000000000003</v>
      </c>
      <c r="V144" s="861">
        <v>40534</v>
      </c>
      <c r="W144" s="865">
        <v>0.23874999999999999</v>
      </c>
      <c r="X144" s="865">
        <v>0.26062999999999997</v>
      </c>
      <c r="Y144" s="865">
        <v>0.28249999999999997</v>
      </c>
      <c r="Z144" s="865">
        <v>0.30281000000000002</v>
      </c>
      <c r="AA144" s="865">
        <v>0.34813</v>
      </c>
      <c r="AB144" s="865">
        <v>0.40312999999999999</v>
      </c>
      <c r="AC144" s="865">
        <v>0.45718999999999999</v>
      </c>
      <c r="AD144" s="865">
        <v>0.78312999999999999</v>
      </c>
      <c r="AF144" s="861">
        <v>40542</v>
      </c>
      <c r="AG144" s="865">
        <v>0.35125000000000001</v>
      </c>
      <c r="AH144" s="865">
        <v>0.71375</v>
      </c>
      <c r="AI144" s="865">
        <v>0.81938</v>
      </c>
      <c r="AJ144" s="865">
        <v>0.93937999999999999</v>
      </c>
      <c r="AK144" s="865">
        <v>1.0106299999999999</v>
      </c>
      <c r="AL144" s="865">
        <v>1.0962499999999999</v>
      </c>
      <c r="AM144" s="865">
        <v>1.1850000000000001</v>
      </c>
      <c r="AN144" s="865">
        <v>1.4724999999999999</v>
      </c>
      <c r="AP144" s="861">
        <v>40534</v>
      </c>
      <c r="AQ144" s="865">
        <v>0.55500000000000005</v>
      </c>
      <c r="AR144" s="865">
        <v>0.58499999999999996</v>
      </c>
      <c r="AS144" s="865">
        <v>0.64249999999999996</v>
      </c>
      <c r="AT144" s="865">
        <v>0.75438000000000005</v>
      </c>
      <c r="AU144" s="865">
        <v>0.83562999999999998</v>
      </c>
      <c r="AV144" s="865">
        <v>0.94</v>
      </c>
      <c r="AW144" s="865">
        <v>1.04813</v>
      </c>
      <c r="AX144" s="865">
        <v>1.50813</v>
      </c>
      <c r="AZ144" s="861">
        <v>40549</v>
      </c>
      <c r="BA144" s="865">
        <v>3</v>
      </c>
      <c r="BB144" s="865">
        <v>3.11</v>
      </c>
      <c r="BC144" s="865">
        <v>3.16</v>
      </c>
      <c r="BD144" s="865">
        <v>3.19625</v>
      </c>
      <c r="BE144" s="865">
        <v>3.2174999999999998</v>
      </c>
      <c r="BF144" s="865">
        <v>3.21875</v>
      </c>
      <c r="BG144" s="865">
        <v>3.22</v>
      </c>
      <c r="BH144" s="865">
        <v>3.22</v>
      </c>
    </row>
    <row r="145" spans="12:60">
      <c r="L145" s="861">
        <v>40533</v>
      </c>
      <c r="M145" s="865">
        <v>4.75</v>
      </c>
      <c r="N145" s="865">
        <v>4.8067000000000002</v>
      </c>
      <c r="O145" s="865">
        <v>4.9516999999999998</v>
      </c>
      <c r="P145" s="865">
        <v>4.9800000000000004</v>
      </c>
      <c r="Q145" s="865">
        <v>5.0517000000000003</v>
      </c>
      <c r="R145" s="865">
        <v>5.1100000000000003</v>
      </c>
      <c r="S145" s="865">
        <v>5.1666999999999996</v>
      </c>
      <c r="T145" s="865">
        <v>5.2812000000000001</v>
      </c>
      <c r="V145" s="861">
        <v>40533</v>
      </c>
      <c r="W145" s="865">
        <v>0.24124999999999999</v>
      </c>
      <c r="X145" s="865">
        <v>0.26062999999999997</v>
      </c>
      <c r="Y145" s="865">
        <v>0.28249999999999997</v>
      </c>
      <c r="Z145" s="865">
        <v>0.30281000000000002</v>
      </c>
      <c r="AA145" s="865">
        <v>0.34813</v>
      </c>
      <c r="AB145" s="865">
        <v>0.40312999999999999</v>
      </c>
      <c r="AC145" s="865">
        <v>0.45718999999999999</v>
      </c>
      <c r="AD145" s="865">
        <v>0.78325</v>
      </c>
      <c r="AF145" s="861">
        <v>40541</v>
      </c>
      <c r="AG145" s="865">
        <v>0.36125000000000002</v>
      </c>
      <c r="AH145" s="865">
        <v>0.72250000000000003</v>
      </c>
      <c r="AI145" s="865">
        <v>0.82499999999999996</v>
      </c>
      <c r="AJ145" s="865">
        <v>0.9425</v>
      </c>
      <c r="AK145" s="865">
        <v>1.0131300000000001</v>
      </c>
      <c r="AL145" s="865">
        <v>1.0974999999999999</v>
      </c>
      <c r="AM145" s="865">
        <v>1.18875</v>
      </c>
      <c r="AN145" s="865">
        <v>1.47438</v>
      </c>
      <c r="AP145" s="861">
        <v>40533</v>
      </c>
      <c r="AQ145" s="865">
        <v>0.55500000000000005</v>
      </c>
      <c r="AR145" s="865">
        <v>0.58250000000000002</v>
      </c>
      <c r="AS145" s="865">
        <v>0.64</v>
      </c>
      <c r="AT145" s="865">
        <v>0.75249999999999995</v>
      </c>
      <c r="AU145" s="865">
        <v>0.83374999999999999</v>
      </c>
      <c r="AV145" s="865">
        <v>0.94</v>
      </c>
      <c r="AW145" s="865">
        <v>1.04688</v>
      </c>
      <c r="AX145" s="865">
        <v>1.50563</v>
      </c>
      <c r="AZ145" s="861">
        <v>40548</v>
      </c>
      <c r="BA145" s="865">
        <v>3</v>
      </c>
      <c r="BB145" s="865">
        <v>3.11</v>
      </c>
      <c r="BC145" s="865">
        <v>3.16</v>
      </c>
      <c r="BD145" s="865">
        <v>3.2014300000000002</v>
      </c>
      <c r="BE145" s="865">
        <v>3.2171400000000001</v>
      </c>
      <c r="BF145" s="865">
        <v>3.2185700000000002</v>
      </c>
      <c r="BG145" s="865">
        <v>3.22</v>
      </c>
      <c r="BH145" s="865">
        <v>3.22</v>
      </c>
    </row>
    <row r="146" spans="12:60">
      <c r="L146" s="861">
        <v>40532</v>
      </c>
      <c r="M146" s="865">
        <v>4.75</v>
      </c>
      <c r="N146" s="865">
        <v>4.8099999999999996</v>
      </c>
      <c r="O146" s="865">
        <v>4.9482999999999997</v>
      </c>
      <c r="P146" s="865">
        <v>4.95</v>
      </c>
      <c r="Q146" s="865">
        <v>5.0467000000000004</v>
      </c>
      <c r="R146" s="865">
        <v>5.1050000000000004</v>
      </c>
      <c r="S146" s="865">
        <v>5.1550000000000002</v>
      </c>
      <c r="T146" s="865">
        <v>5.2728999999999999</v>
      </c>
      <c r="V146" s="861">
        <v>40532</v>
      </c>
      <c r="W146" s="865">
        <v>0.24124999999999999</v>
      </c>
      <c r="X146" s="865">
        <v>0.26062999999999997</v>
      </c>
      <c r="Y146" s="865">
        <v>0.28249999999999997</v>
      </c>
      <c r="Z146" s="865">
        <v>0.30281000000000002</v>
      </c>
      <c r="AA146" s="865">
        <v>0.34813</v>
      </c>
      <c r="AB146" s="865">
        <v>0.40312999999999999</v>
      </c>
      <c r="AC146" s="865">
        <v>0.45718999999999999</v>
      </c>
      <c r="AD146" s="865">
        <v>0.78325</v>
      </c>
      <c r="AF146" s="861">
        <v>40540</v>
      </c>
      <c r="AG146" s="865">
        <v>0.38</v>
      </c>
      <c r="AH146" s="865">
        <v>0.71750000000000003</v>
      </c>
      <c r="AI146" s="865">
        <v>0.82874999999999999</v>
      </c>
      <c r="AJ146" s="865">
        <v>0.94125000000000003</v>
      </c>
      <c r="AK146" s="865">
        <v>1.0131300000000001</v>
      </c>
      <c r="AL146" s="865">
        <v>1.0974999999999999</v>
      </c>
      <c r="AM146" s="865">
        <v>1.19</v>
      </c>
      <c r="AN146" s="865">
        <v>1.47563</v>
      </c>
      <c r="AP146" s="861">
        <v>40532</v>
      </c>
      <c r="AQ146" s="865">
        <v>0.55500000000000005</v>
      </c>
      <c r="AR146" s="865">
        <v>0.58187999999999995</v>
      </c>
      <c r="AS146" s="865">
        <v>0.64249999999999996</v>
      </c>
      <c r="AT146" s="865">
        <v>0.75187999999999999</v>
      </c>
      <c r="AU146" s="865">
        <v>0.83313000000000004</v>
      </c>
      <c r="AV146" s="865">
        <v>0.94</v>
      </c>
      <c r="AW146" s="865">
        <v>1.04688</v>
      </c>
      <c r="AX146" s="865">
        <v>1.5043800000000001</v>
      </c>
      <c r="AZ146" s="861">
        <v>40543</v>
      </c>
      <c r="BA146" s="865">
        <v>3</v>
      </c>
      <c r="BB146" s="865">
        <v>3.1</v>
      </c>
      <c r="BC146" s="865">
        <v>3.13</v>
      </c>
      <c r="BD146" s="865">
        <v>3.17889</v>
      </c>
      <c r="BE146" s="865">
        <v>3.2177799999999999</v>
      </c>
      <c r="BF146" s="865">
        <v>3.21889</v>
      </c>
      <c r="BG146" s="865">
        <v>3.22</v>
      </c>
      <c r="BH146" s="865">
        <v>3.22</v>
      </c>
    </row>
    <row r="147" spans="12:60">
      <c r="L147" s="861">
        <v>40529</v>
      </c>
      <c r="M147" s="865">
        <v>4.75</v>
      </c>
      <c r="N147" s="865">
        <v>4.83</v>
      </c>
      <c r="O147" s="865">
        <v>4.95</v>
      </c>
      <c r="P147" s="865">
        <v>4.97</v>
      </c>
      <c r="Q147" s="865">
        <v>5.0617000000000001</v>
      </c>
      <c r="R147" s="865">
        <v>5.12</v>
      </c>
      <c r="S147" s="865">
        <v>5.1833</v>
      </c>
      <c r="T147" s="865">
        <v>5.2882999999999996</v>
      </c>
      <c r="V147" s="861">
        <v>40529</v>
      </c>
      <c r="W147" s="865">
        <v>0.23813000000000001</v>
      </c>
      <c r="X147" s="865">
        <v>0.26062999999999997</v>
      </c>
      <c r="Y147" s="865">
        <v>0.28249999999999997</v>
      </c>
      <c r="Z147" s="865">
        <v>0.30375000000000002</v>
      </c>
      <c r="AA147" s="865">
        <v>0.34813</v>
      </c>
      <c r="AB147" s="865">
        <v>0.40312999999999999</v>
      </c>
      <c r="AC147" s="865">
        <v>0.45718999999999999</v>
      </c>
      <c r="AD147" s="865">
        <v>0.78388000000000002</v>
      </c>
      <c r="AF147" s="861">
        <v>40539</v>
      </c>
      <c r="AG147" s="865">
        <v>0.35875000000000001</v>
      </c>
      <c r="AH147" s="865">
        <v>0.71875</v>
      </c>
      <c r="AI147" s="865">
        <v>0.83250000000000002</v>
      </c>
      <c r="AJ147" s="865">
        <v>0.94125000000000003</v>
      </c>
      <c r="AK147" s="865">
        <v>1.0143800000000001</v>
      </c>
      <c r="AL147" s="865">
        <v>1.0974999999999999</v>
      </c>
      <c r="AM147" s="865">
        <v>1.1924999999999999</v>
      </c>
      <c r="AN147" s="865">
        <v>1.4762500000000001</v>
      </c>
      <c r="AP147" s="861">
        <v>40529</v>
      </c>
      <c r="AQ147" s="865">
        <v>0.55500000000000005</v>
      </c>
      <c r="AR147" s="865">
        <v>0.58187999999999995</v>
      </c>
      <c r="AS147" s="865">
        <v>0.64</v>
      </c>
      <c r="AT147" s="865">
        <v>0.75124999999999997</v>
      </c>
      <c r="AU147" s="865">
        <v>0.83250000000000002</v>
      </c>
      <c r="AV147" s="865">
        <v>0.94</v>
      </c>
      <c r="AW147" s="865">
        <v>1.04688</v>
      </c>
      <c r="AX147" s="865">
        <v>1.5043800000000001</v>
      </c>
      <c r="AZ147" s="861">
        <v>40542</v>
      </c>
      <c r="BA147" s="865">
        <v>3</v>
      </c>
      <c r="BB147" s="865">
        <v>3.1</v>
      </c>
      <c r="BC147" s="865">
        <v>3.13</v>
      </c>
      <c r="BD147" s="865">
        <v>3.16</v>
      </c>
      <c r="BE147" s="865">
        <v>3.2177799999999999</v>
      </c>
      <c r="BF147" s="865">
        <v>3.21889</v>
      </c>
      <c r="BG147" s="865">
        <v>3.22</v>
      </c>
      <c r="BH147" s="865">
        <v>3.22</v>
      </c>
    </row>
    <row r="148" spans="12:60">
      <c r="L148" s="861">
        <v>40528</v>
      </c>
      <c r="M148" s="865">
        <v>4.75</v>
      </c>
      <c r="N148" s="865">
        <v>4.83</v>
      </c>
      <c r="O148" s="865">
        <v>4.9516999999999998</v>
      </c>
      <c r="P148" s="865">
        <v>5.0199999999999996</v>
      </c>
      <c r="Q148" s="865">
        <v>5.0833000000000004</v>
      </c>
      <c r="R148" s="865">
        <v>5.1349999999999998</v>
      </c>
      <c r="S148" s="865">
        <v>5.18</v>
      </c>
      <c r="T148" s="865">
        <v>5.2914000000000003</v>
      </c>
      <c r="V148" s="861">
        <v>40528</v>
      </c>
      <c r="W148" s="865">
        <v>0.23874999999999999</v>
      </c>
      <c r="X148" s="865">
        <v>0.26062999999999997</v>
      </c>
      <c r="Y148" s="865">
        <v>0.28249999999999997</v>
      </c>
      <c r="Z148" s="865">
        <v>0.30375000000000002</v>
      </c>
      <c r="AA148" s="865">
        <v>0.35063</v>
      </c>
      <c r="AB148" s="865">
        <v>0.40688000000000002</v>
      </c>
      <c r="AC148" s="865">
        <v>0.45968999999999999</v>
      </c>
      <c r="AD148" s="865">
        <v>0.78512999999999999</v>
      </c>
      <c r="AF148" s="861">
        <v>40536</v>
      </c>
      <c r="AG148" s="865">
        <v>0.36749999999999999</v>
      </c>
      <c r="AH148" s="865">
        <v>0.72375</v>
      </c>
      <c r="AI148" s="865">
        <v>0.83250000000000002</v>
      </c>
      <c r="AJ148" s="865">
        <v>0.94</v>
      </c>
      <c r="AK148" s="865">
        <v>1.0118799999999999</v>
      </c>
      <c r="AL148" s="865">
        <v>1.0962499999999999</v>
      </c>
      <c r="AM148" s="865">
        <v>1.1924999999999999</v>
      </c>
      <c r="AN148" s="865">
        <v>1.4775</v>
      </c>
      <c r="AP148" s="861">
        <v>40528</v>
      </c>
      <c r="AQ148" s="865">
        <v>0.55500000000000005</v>
      </c>
      <c r="AR148" s="865">
        <v>0.58187999999999995</v>
      </c>
      <c r="AS148" s="865">
        <v>0.63749999999999996</v>
      </c>
      <c r="AT148" s="865">
        <v>0.75</v>
      </c>
      <c r="AU148" s="865">
        <v>0.83125000000000004</v>
      </c>
      <c r="AV148" s="865">
        <v>0.94</v>
      </c>
      <c r="AW148" s="865">
        <v>1.04688</v>
      </c>
      <c r="AX148" s="865">
        <v>1.5031300000000001</v>
      </c>
      <c r="AZ148" s="861">
        <v>40541</v>
      </c>
      <c r="BA148" s="865">
        <v>3</v>
      </c>
      <c r="BB148" s="865">
        <v>3.1</v>
      </c>
      <c r="BC148" s="865">
        <v>3.13</v>
      </c>
      <c r="BD148" s="865">
        <v>3.1866699999999999</v>
      </c>
      <c r="BE148" s="865">
        <v>3.2177799999999999</v>
      </c>
      <c r="BF148" s="865">
        <v>3.21889</v>
      </c>
      <c r="BG148" s="865">
        <v>3.22</v>
      </c>
      <c r="BH148" s="865">
        <v>3.22</v>
      </c>
    </row>
    <row r="149" spans="12:60">
      <c r="L149" s="861">
        <v>40527</v>
      </c>
      <c r="M149" s="865">
        <v>4.75</v>
      </c>
      <c r="N149" s="865">
        <v>4.8483000000000001</v>
      </c>
      <c r="O149" s="865">
        <v>4.9800000000000004</v>
      </c>
      <c r="P149" s="865">
        <v>5.1050000000000004</v>
      </c>
      <c r="Q149" s="865">
        <v>5.1433</v>
      </c>
      <c r="R149" s="865">
        <v>5.1867000000000001</v>
      </c>
      <c r="S149" s="865">
        <v>5.2483000000000004</v>
      </c>
      <c r="T149" s="865">
        <v>5.3163999999999998</v>
      </c>
      <c r="V149" s="861">
        <v>40527</v>
      </c>
      <c r="W149" s="865">
        <v>0.24</v>
      </c>
      <c r="X149" s="865">
        <v>0.26062999999999997</v>
      </c>
      <c r="Y149" s="865">
        <v>0.28062999999999999</v>
      </c>
      <c r="Z149" s="865">
        <v>0.30187999999999998</v>
      </c>
      <c r="AA149" s="865">
        <v>0.34749999999999998</v>
      </c>
      <c r="AB149" s="865">
        <v>0.40375</v>
      </c>
      <c r="AC149" s="865">
        <v>0.45780999999999999</v>
      </c>
      <c r="AD149" s="865">
        <v>0.78344000000000003</v>
      </c>
      <c r="AF149" s="861">
        <v>40535</v>
      </c>
      <c r="AG149" s="865">
        <v>0.34250000000000003</v>
      </c>
      <c r="AH149" s="865">
        <v>0.72375</v>
      </c>
      <c r="AI149" s="865">
        <v>0.83313000000000004</v>
      </c>
      <c r="AJ149" s="865">
        <v>0.94125000000000003</v>
      </c>
      <c r="AK149" s="865">
        <v>1.0131300000000001</v>
      </c>
      <c r="AL149" s="865">
        <v>1.0962499999999999</v>
      </c>
      <c r="AM149" s="865">
        <v>1.1924999999999999</v>
      </c>
      <c r="AN149" s="865">
        <v>1.47875</v>
      </c>
      <c r="AP149" s="861">
        <v>40527</v>
      </c>
      <c r="AQ149" s="865">
        <v>0.55500000000000005</v>
      </c>
      <c r="AR149" s="865">
        <v>0.58187999999999995</v>
      </c>
      <c r="AS149" s="865">
        <v>0.63749999999999996</v>
      </c>
      <c r="AT149" s="865">
        <v>0.74938000000000005</v>
      </c>
      <c r="AU149" s="865">
        <v>0.83062999999999998</v>
      </c>
      <c r="AV149" s="865">
        <v>0.93937999999999999</v>
      </c>
      <c r="AW149" s="865">
        <v>1.0462499999999999</v>
      </c>
      <c r="AX149" s="865">
        <v>1.50125</v>
      </c>
      <c r="AZ149" s="861">
        <v>40536</v>
      </c>
      <c r="BA149" s="865">
        <v>3</v>
      </c>
      <c r="BB149" s="865">
        <v>3.1</v>
      </c>
      <c r="BC149" s="865">
        <v>3.1311100000000001</v>
      </c>
      <c r="BD149" s="865">
        <v>3.1755599999999999</v>
      </c>
      <c r="BE149" s="865">
        <v>3.2177799999999999</v>
      </c>
      <c r="BF149" s="865">
        <v>3.21889</v>
      </c>
      <c r="BG149" s="865">
        <v>3.22</v>
      </c>
      <c r="BH149" s="865">
        <v>3.22</v>
      </c>
    </row>
    <row r="150" spans="12:60">
      <c r="L150" s="861">
        <v>40526</v>
      </c>
      <c r="M150" s="865">
        <v>4.75</v>
      </c>
      <c r="N150" s="865">
        <v>4.8232999999999997</v>
      </c>
      <c r="O150" s="865">
        <v>4.97</v>
      </c>
      <c r="P150" s="865">
        <v>5.1100000000000003</v>
      </c>
      <c r="Q150" s="865">
        <v>5.1417000000000002</v>
      </c>
      <c r="R150" s="865">
        <v>5.18</v>
      </c>
      <c r="S150" s="865">
        <v>5.2366999999999999</v>
      </c>
      <c r="T150" s="865">
        <v>5.3324999999999996</v>
      </c>
      <c r="V150" s="861">
        <v>40526</v>
      </c>
      <c r="W150" s="865">
        <v>0.23749999999999999</v>
      </c>
      <c r="X150" s="865">
        <v>0.26062999999999997</v>
      </c>
      <c r="Y150" s="865">
        <v>0.28062999999999999</v>
      </c>
      <c r="Z150" s="865">
        <v>0.30187999999999998</v>
      </c>
      <c r="AA150" s="865">
        <v>0.34749999999999998</v>
      </c>
      <c r="AB150" s="865">
        <v>0.40375</v>
      </c>
      <c r="AC150" s="865">
        <v>0.45618999999999998</v>
      </c>
      <c r="AD150" s="865">
        <v>0.78374999999999995</v>
      </c>
      <c r="AF150" s="861">
        <v>40534</v>
      </c>
      <c r="AG150" s="865">
        <v>0.34375</v>
      </c>
      <c r="AH150" s="865">
        <v>0.72563</v>
      </c>
      <c r="AI150" s="865">
        <v>0.83438000000000001</v>
      </c>
      <c r="AJ150" s="865">
        <v>0.94625000000000004</v>
      </c>
      <c r="AK150" s="865">
        <v>1.01813</v>
      </c>
      <c r="AL150" s="865">
        <v>1.1000000000000001</v>
      </c>
      <c r="AM150" s="865">
        <v>1.1937500000000001</v>
      </c>
      <c r="AN150" s="865">
        <v>1.48</v>
      </c>
      <c r="AP150" s="861">
        <v>40526</v>
      </c>
      <c r="AQ150" s="865">
        <v>0.55500000000000005</v>
      </c>
      <c r="AR150" s="865">
        <v>0.58125000000000004</v>
      </c>
      <c r="AS150" s="865">
        <v>0.63688</v>
      </c>
      <c r="AT150" s="865">
        <v>0.74750000000000005</v>
      </c>
      <c r="AU150" s="865">
        <v>0.83</v>
      </c>
      <c r="AV150" s="865">
        <v>0.9375</v>
      </c>
      <c r="AW150" s="865">
        <v>1.0443800000000001</v>
      </c>
      <c r="AX150" s="865">
        <v>1.5</v>
      </c>
      <c r="AZ150" s="861">
        <v>40535</v>
      </c>
      <c r="BA150" s="865">
        <v>3</v>
      </c>
      <c r="BB150" s="865">
        <v>3.1</v>
      </c>
      <c r="BC150" s="865">
        <v>3.14</v>
      </c>
      <c r="BD150" s="865">
        <v>3.1711100000000001</v>
      </c>
      <c r="BE150" s="865">
        <v>3.22</v>
      </c>
      <c r="BF150" s="865">
        <v>3.22</v>
      </c>
      <c r="BG150" s="865">
        <v>3.22</v>
      </c>
      <c r="BH150" s="865">
        <v>3.22</v>
      </c>
    </row>
    <row r="151" spans="12:60">
      <c r="L151" s="861">
        <v>40525</v>
      </c>
      <c r="M151" s="865">
        <v>4.75</v>
      </c>
      <c r="N151" s="865">
        <v>4.82</v>
      </c>
      <c r="O151" s="865">
        <v>4.9717000000000002</v>
      </c>
      <c r="P151" s="865">
        <v>5.08</v>
      </c>
      <c r="Q151" s="865">
        <v>5.1317000000000004</v>
      </c>
      <c r="R151" s="865">
        <v>5.1717000000000004</v>
      </c>
      <c r="S151" s="865">
        <v>5.2050000000000001</v>
      </c>
      <c r="T151" s="865">
        <v>5.3324999999999996</v>
      </c>
      <c r="V151" s="861">
        <v>40525</v>
      </c>
      <c r="W151" s="865">
        <v>0.23874999999999999</v>
      </c>
      <c r="X151" s="865">
        <v>0.26030999999999999</v>
      </c>
      <c r="Y151" s="865">
        <v>0.28062999999999999</v>
      </c>
      <c r="Z151" s="865">
        <v>0.30155999999999999</v>
      </c>
      <c r="AA151" s="865">
        <v>0.34749999999999998</v>
      </c>
      <c r="AB151" s="865">
        <v>0.40375</v>
      </c>
      <c r="AC151" s="865">
        <v>0.45630999999999999</v>
      </c>
      <c r="AD151" s="865">
        <v>0.78500000000000003</v>
      </c>
      <c r="AF151" s="861">
        <v>40533</v>
      </c>
      <c r="AG151" s="865">
        <v>0.34749999999999998</v>
      </c>
      <c r="AH151" s="865">
        <v>0.72750000000000004</v>
      </c>
      <c r="AI151" s="865">
        <v>0.83750000000000002</v>
      </c>
      <c r="AJ151" s="865">
        <v>0.94688000000000005</v>
      </c>
      <c r="AK151" s="865">
        <v>1.0225</v>
      </c>
      <c r="AL151" s="865">
        <v>1.1031299999999999</v>
      </c>
      <c r="AM151" s="865">
        <v>1.1937500000000001</v>
      </c>
      <c r="AN151" s="865">
        <v>1.48</v>
      </c>
      <c r="AP151" s="861">
        <v>40525</v>
      </c>
      <c r="AQ151" s="865">
        <v>0.55625000000000002</v>
      </c>
      <c r="AR151" s="865">
        <v>0.58125000000000004</v>
      </c>
      <c r="AS151" s="865">
        <v>0.63688</v>
      </c>
      <c r="AT151" s="865">
        <v>0.74750000000000005</v>
      </c>
      <c r="AU151" s="865">
        <v>0.82874999999999999</v>
      </c>
      <c r="AV151" s="865">
        <v>0.93625000000000003</v>
      </c>
      <c r="AW151" s="865">
        <v>1.0425</v>
      </c>
      <c r="AX151" s="865">
        <v>1.4975000000000001</v>
      </c>
      <c r="AZ151" s="861">
        <v>40534</v>
      </c>
      <c r="BA151" s="865">
        <v>3</v>
      </c>
      <c r="BB151" s="865">
        <v>3.1</v>
      </c>
      <c r="BC151" s="865">
        <v>3.14</v>
      </c>
      <c r="BD151" s="865">
        <v>3.1611099999999999</v>
      </c>
      <c r="BE151" s="865">
        <v>3.2177799999999999</v>
      </c>
      <c r="BF151" s="865">
        <v>3.21889</v>
      </c>
      <c r="BG151" s="865">
        <v>3.22</v>
      </c>
      <c r="BH151" s="865">
        <v>3.22</v>
      </c>
    </row>
    <row r="152" spans="12:60">
      <c r="L152" s="861">
        <v>40522</v>
      </c>
      <c r="M152" s="865">
        <v>4.75</v>
      </c>
      <c r="N152" s="865">
        <v>4.8316999999999997</v>
      </c>
      <c r="O152" s="865">
        <v>4.97</v>
      </c>
      <c r="P152" s="865">
        <v>5.12</v>
      </c>
      <c r="Q152" s="865">
        <v>5.15</v>
      </c>
      <c r="R152" s="865">
        <v>5.1932999999999998</v>
      </c>
      <c r="S152" s="865">
        <v>5.2332999999999998</v>
      </c>
      <c r="T152" s="865">
        <v>5.3182</v>
      </c>
      <c r="V152" s="861">
        <v>40522</v>
      </c>
      <c r="W152" s="865">
        <v>0.23813000000000001</v>
      </c>
      <c r="X152" s="865">
        <v>0.26030999999999999</v>
      </c>
      <c r="Y152" s="865">
        <v>0.28062999999999999</v>
      </c>
      <c r="Z152" s="865">
        <v>0.30155999999999999</v>
      </c>
      <c r="AA152" s="865">
        <v>0.34875</v>
      </c>
      <c r="AB152" s="865">
        <v>0.40500000000000003</v>
      </c>
      <c r="AC152" s="865">
        <v>0.45718999999999999</v>
      </c>
      <c r="AD152" s="865">
        <v>0.78249999999999997</v>
      </c>
      <c r="AF152" s="861">
        <v>40532</v>
      </c>
      <c r="AG152" s="865">
        <v>0.34749999999999998</v>
      </c>
      <c r="AH152" s="865">
        <v>0.72875000000000001</v>
      </c>
      <c r="AI152" s="865">
        <v>0.83750000000000002</v>
      </c>
      <c r="AJ152" s="865">
        <v>0.94562999999999997</v>
      </c>
      <c r="AK152" s="865">
        <v>1.02125</v>
      </c>
      <c r="AL152" s="865">
        <v>1.10188</v>
      </c>
      <c r="AM152" s="865">
        <v>1.1924999999999999</v>
      </c>
      <c r="AN152" s="865">
        <v>1.48</v>
      </c>
      <c r="AP152" s="861">
        <v>40522</v>
      </c>
      <c r="AQ152" s="865">
        <v>0.55625000000000002</v>
      </c>
      <c r="AR152" s="865">
        <v>0.57999999999999996</v>
      </c>
      <c r="AS152" s="865">
        <v>0.63624999999999998</v>
      </c>
      <c r="AT152" s="865">
        <v>0.745</v>
      </c>
      <c r="AU152" s="865">
        <v>0.82813000000000003</v>
      </c>
      <c r="AV152" s="865">
        <v>0.93562999999999996</v>
      </c>
      <c r="AW152" s="865">
        <v>1.04125</v>
      </c>
      <c r="AX152" s="865">
        <v>1.49688</v>
      </c>
      <c r="AZ152" s="861">
        <v>40533</v>
      </c>
      <c r="BA152" s="865">
        <v>3</v>
      </c>
      <c r="BB152" s="865">
        <v>3.1</v>
      </c>
      <c r="BC152" s="865">
        <v>3.14</v>
      </c>
      <c r="BD152" s="865">
        <v>3.1644399999999999</v>
      </c>
      <c r="BE152" s="865">
        <v>3.21889</v>
      </c>
      <c r="BF152" s="865">
        <v>3.23333</v>
      </c>
      <c r="BG152" s="865">
        <v>3.2211099999999999</v>
      </c>
      <c r="BH152" s="865">
        <v>3.2211099999999999</v>
      </c>
    </row>
    <row r="153" spans="12:60">
      <c r="L153" s="861">
        <v>40521</v>
      </c>
      <c r="M153" s="865">
        <v>4.75</v>
      </c>
      <c r="N153" s="865">
        <v>4.83</v>
      </c>
      <c r="O153" s="865">
        <v>4.9617000000000004</v>
      </c>
      <c r="P153" s="865">
        <v>5.08</v>
      </c>
      <c r="Q153" s="865">
        <v>5.1233000000000004</v>
      </c>
      <c r="R153" s="865">
        <v>5.18</v>
      </c>
      <c r="S153" s="865">
        <v>5.2549999999999999</v>
      </c>
      <c r="T153" s="865">
        <v>5.2465999999999999</v>
      </c>
      <c r="V153" s="861">
        <v>40521</v>
      </c>
      <c r="W153" s="865">
        <v>0.24</v>
      </c>
      <c r="X153" s="865">
        <v>0.26218999999999998</v>
      </c>
      <c r="Y153" s="865">
        <v>0.28188000000000002</v>
      </c>
      <c r="Z153" s="865">
        <v>0.30219000000000001</v>
      </c>
      <c r="AA153" s="865">
        <v>0.34875</v>
      </c>
      <c r="AB153" s="865">
        <v>0.40562999999999999</v>
      </c>
      <c r="AC153" s="865">
        <v>0.45718999999999999</v>
      </c>
      <c r="AD153" s="865">
        <v>0.78249999999999997</v>
      </c>
      <c r="AF153" s="861">
        <v>40529</v>
      </c>
      <c r="AG153" s="865">
        <v>0.35375000000000001</v>
      </c>
      <c r="AH153" s="865">
        <v>0.72624999999999995</v>
      </c>
      <c r="AI153" s="865">
        <v>0.83499999999999996</v>
      </c>
      <c r="AJ153" s="865">
        <v>0.94562999999999997</v>
      </c>
      <c r="AK153" s="865">
        <v>1.02</v>
      </c>
      <c r="AL153" s="865">
        <v>1.10188</v>
      </c>
      <c r="AM153" s="865">
        <v>1.1924999999999999</v>
      </c>
      <c r="AN153" s="865">
        <v>1.48</v>
      </c>
      <c r="AP153" s="861">
        <v>40521</v>
      </c>
      <c r="AQ153" s="865">
        <v>0.55625000000000002</v>
      </c>
      <c r="AR153" s="865">
        <v>0.57999999999999996</v>
      </c>
      <c r="AS153" s="865">
        <v>0.63500000000000001</v>
      </c>
      <c r="AT153" s="865">
        <v>0.745</v>
      </c>
      <c r="AU153" s="865">
        <v>0.82813000000000003</v>
      </c>
      <c r="AV153" s="865">
        <v>0.93562999999999996</v>
      </c>
      <c r="AW153" s="865">
        <v>1.04125</v>
      </c>
      <c r="AX153" s="865">
        <v>1.49688</v>
      </c>
      <c r="AZ153" s="861">
        <v>40532</v>
      </c>
      <c r="BA153" s="865">
        <v>3</v>
      </c>
      <c r="BB153" s="865">
        <v>3.10222</v>
      </c>
      <c r="BC153" s="865">
        <v>3.14</v>
      </c>
      <c r="BD153" s="865">
        <v>3.1566700000000001</v>
      </c>
      <c r="BE153" s="865">
        <v>3.2177799999999999</v>
      </c>
      <c r="BF153" s="865">
        <v>3.2322199999999999</v>
      </c>
      <c r="BG153" s="865">
        <v>3.2077800000000001</v>
      </c>
      <c r="BH153" s="865">
        <v>3.2077800000000001</v>
      </c>
    </row>
    <row r="154" spans="12:60">
      <c r="L154" s="861">
        <v>40520</v>
      </c>
      <c r="M154" s="865">
        <v>4.75</v>
      </c>
      <c r="N154" s="865">
        <v>4.8449999999999998</v>
      </c>
      <c r="O154" s="865">
        <v>4.96</v>
      </c>
      <c r="P154" s="865">
        <v>5</v>
      </c>
      <c r="Q154" s="865">
        <v>5.0650000000000004</v>
      </c>
      <c r="R154" s="865">
        <v>5.1349999999999998</v>
      </c>
      <c r="S154" s="865">
        <v>5.21</v>
      </c>
      <c r="T154" s="865">
        <v>5.2263000000000002</v>
      </c>
      <c r="V154" s="861">
        <v>40520</v>
      </c>
      <c r="W154" s="865">
        <v>0.24093999999999999</v>
      </c>
      <c r="X154" s="865">
        <v>0.26250000000000001</v>
      </c>
      <c r="Y154" s="865">
        <v>0.28062999999999999</v>
      </c>
      <c r="Z154" s="865">
        <v>0.30219000000000001</v>
      </c>
      <c r="AA154" s="865">
        <v>0.34875</v>
      </c>
      <c r="AB154" s="865">
        <v>0.40562999999999999</v>
      </c>
      <c r="AC154" s="865">
        <v>0.45844000000000001</v>
      </c>
      <c r="AD154" s="865">
        <v>0.78249999999999997</v>
      </c>
      <c r="AF154" s="861">
        <v>40528</v>
      </c>
      <c r="AG154" s="865">
        <v>0.39250000000000002</v>
      </c>
      <c r="AH154" s="865">
        <v>0.73</v>
      </c>
      <c r="AI154" s="865">
        <v>0.83499999999999996</v>
      </c>
      <c r="AJ154" s="865">
        <v>0.94688000000000005</v>
      </c>
      <c r="AK154" s="865">
        <v>1.02125</v>
      </c>
      <c r="AL154" s="865">
        <v>1.10375</v>
      </c>
      <c r="AM154" s="865">
        <v>1.1912499999999999</v>
      </c>
      <c r="AN154" s="865">
        <v>1.48</v>
      </c>
      <c r="AP154" s="861">
        <v>40520</v>
      </c>
      <c r="AQ154" s="865">
        <v>0.55562999999999996</v>
      </c>
      <c r="AR154" s="865">
        <v>0.57813000000000003</v>
      </c>
      <c r="AS154" s="865">
        <v>0.63312999999999997</v>
      </c>
      <c r="AT154" s="865">
        <v>0.74375000000000002</v>
      </c>
      <c r="AU154" s="865">
        <v>0.82625000000000004</v>
      </c>
      <c r="AV154" s="865">
        <v>0.93500000000000005</v>
      </c>
      <c r="AW154" s="865">
        <v>1.0406299999999999</v>
      </c>
      <c r="AX154" s="865">
        <v>1.4962500000000001</v>
      </c>
      <c r="AZ154" s="861">
        <v>40529</v>
      </c>
      <c r="BA154" s="865">
        <v>3</v>
      </c>
      <c r="BB154" s="865">
        <v>3.11</v>
      </c>
      <c r="BC154" s="865">
        <v>3.14</v>
      </c>
      <c r="BD154" s="865">
        <v>3.1687500000000002</v>
      </c>
      <c r="BE154" s="865">
        <v>3.22</v>
      </c>
      <c r="BF154" s="865">
        <v>3.23875</v>
      </c>
      <c r="BG154" s="865">
        <v>3.24125</v>
      </c>
      <c r="BH154" s="865">
        <v>3.24125</v>
      </c>
    </row>
    <row r="155" spans="12:60">
      <c r="L155" s="861">
        <v>40519</v>
      </c>
      <c r="M155" s="865">
        <v>4.75</v>
      </c>
      <c r="N155" s="865">
        <v>4.8216999999999999</v>
      </c>
      <c r="O155" s="865">
        <v>4.9566999999999997</v>
      </c>
      <c r="P155" s="865">
        <v>4.9983000000000004</v>
      </c>
      <c r="Q155" s="865">
        <v>5.0599999999999996</v>
      </c>
      <c r="R155" s="865">
        <v>5.1216999999999997</v>
      </c>
      <c r="S155" s="865">
        <v>5.19</v>
      </c>
      <c r="T155" s="865">
        <v>5.2026000000000003</v>
      </c>
      <c r="V155" s="861">
        <v>40519</v>
      </c>
      <c r="W155" s="865">
        <v>0.24156</v>
      </c>
      <c r="X155" s="865">
        <v>0.26374999999999998</v>
      </c>
      <c r="Y155" s="865">
        <v>0.28125</v>
      </c>
      <c r="Z155" s="865">
        <v>0.30219000000000001</v>
      </c>
      <c r="AA155" s="865">
        <v>0.34875</v>
      </c>
      <c r="AB155" s="865">
        <v>0.40438000000000002</v>
      </c>
      <c r="AC155" s="865">
        <v>0.45718999999999999</v>
      </c>
      <c r="AD155" s="865">
        <v>0.78125</v>
      </c>
      <c r="AF155" s="861">
        <v>40527</v>
      </c>
      <c r="AG155" s="865">
        <v>0.43</v>
      </c>
      <c r="AH155" s="865">
        <v>0.73750000000000004</v>
      </c>
      <c r="AI155" s="865">
        <v>0.83625000000000005</v>
      </c>
      <c r="AJ155" s="865">
        <v>0.95</v>
      </c>
      <c r="AK155" s="865">
        <v>1.0225</v>
      </c>
      <c r="AL155" s="865">
        <v>1.1043799999999999</v>
      </c>
      <c r="AM155" s="865">
        <v>1.1924999999999999</v>
      </c>
      <c r="AN155" s="865">
        <v>1.4818800000000001</v>
      </c>
      <c r="AP155" s="861">
        <v>40519</v>
      </c>
      <c r="AQ155" s="865">
        <v>0.55562999999999996</v>
      </c>
      <c r="AR155" s="865">
        <v>0.57813000000000003</v>
      </c>
      <c r="AS155" s="865">
        <v>0.63312999999999997</v>
      </c>
      <c r="AT155" s="865">
        <v>0.74375000000000002</v>
      </c>
      <c r="AU155" s="865">
        <v>0.82625000000000004</v>
      </c>
      <c r="AV155" s="865">
        <v>0.93500000000000005</v>
      </c>
      <c r="AW155" s="865">
        <v>1.0406299999999999</v>
      </c>
      <c r="AX155" s="865">
        <v>1.4962500000000001</v>
      </c>
      <c r="AZ155" s="861">
        <v>40528</v>
      </c>
      <c r="BA155" s="865">
        <v>3</v>
      </c>
      <c r="BB155" s="865">
        <v>3.11</v>
      </c>
      <c r="BC155" s="865">
        <v>3.16</v>
      </c>
      <c r="BD155" s="865">
        <v>3.1611099999999999</v>
      </c>
      <c r="BE155" s="865">
        <v>3.22</v>
      </c>
      <c r="BF155" s="865">
        <v>3.24</v>
      </c>
      <c r="BG155" s="865">
        <v>3.25</v>
      </c>
      <c r="BH155" s="865">
        <v>3.25</v>
      </c>
    </row>
    <row r="156" spans="12:60">
      <c r="L156" s="861">
        <v>40518</v>
      </c>
      <c r="M156" s="865">
        <v>4.75</v>
      </c>
      <c r="N156" s="865">
        <v>4.8150000000000004</v>
      </c>
      <c r="O156" s="865">
        <v>4.9466999999999999</v>
      </c>
      <c r="P156" s="865">
        <v>4.9932999999999996</v>
      </c>
      <c r="Q156" s="865">
        <v>5.0599999999999996</v>
      </c>
      <c r="R156" s="865">
        <v>5.12</v>
      </c>
      <c r="S156" s="865">
        <v>5.18</v>
      </c>
      <c r="T156" s="865">
        <v>5.2055999999999996</v>
      </c>
      <c r="V156" s="861">
        <v>40518</v>
      </c>
      <c r="W156" s="865">
        <v>0.24031</v>
      </c>
      <c r="X156" s="865">
        <v>0.26500000000000001</v>
      </c>
      <c r="Y156" s="865">
        <v>0.28249999999999997</v>
      </c>
      <c r="Z156" s="865">
        <v>0.30343999999999999</v>
      </c>
      <c r="AA156" s="865">
        <v>0.35031000000000001</v>
      </c>
      <c r="AB156" s="865">
        <v>0.40812999999999999</v>
      </c>
      <c r="AC156" s="865">
        <v>0.45968999999999999</v>
      </c>
      <c r="AD156" s="865">
        <v>0.78249999999999997</v>
      </c>
      <c r="AF156" s="861">
        <v>40526</v>
      </c>
      <c r="AG156" s="865">
        <v>0.48625000000000002</v>
      </c>
      <c r="AH156" s="865">
        <v>0.75</v>
      </c>
      <c r="AI156" s="865">
        <v>0.83875</v>
      </c>
      <c r="AJ156" s="865">
        <v>0.95313000000000003</v>
      </c>
      <c r="AK156" s="865">
        <v>1.02688</v>
      </c>
      <c r="AL156" s="865">
        <v>1.1087499999999999</v>
      </c>
      <c r="AM156" s="865">
        <v>1.1937500000000001</v>
      </c>
      <c r="AN156" s="865">
        <v>1.4850000000000001</v>
      </c>
      <c r="AP156" s="861">
        <v>40518</v>
      </c>
      <c r="AQ156" s="865">
        <v>0.55562999999999996</v>
      </c>
      <c r="AR156" s="865">
        <v>0.57813000000000003</v>
      </c>
      <c r="AS156" s="865">
        <v>0.63312999999999997</v>
      </c>
      <c r="AT156" s="865">
        <v>0.74375000000000002</v>
      </c>
      <c r="AU156" s="865">
        <v>0.82625000000000004</v>
      </c>
      <c r="AV156" s="865">
        <v>0.93500000000000005</v>
      </c>
      <c r="AW156" s="865">
        <v>1.0406299999999999</v>
      </c>
      <c r="AX156" s="865">
        <v>1.4962500000000001</v>
      </c>
      <c r="AZ156" s="861">
        <v>40527</v>
      </c>
      <c r="BA156" s="865">
        <v>3</v>
      </c>
      <c r="BB156" s="865">
        <v>3.1033300000000001</v>
      </c>
      <c r="BC156" s="865">
        <v>3.11</v>
      </c>
      <c r="BD156" s="865">
        <v>3.1722199999999998</v>
      </c>
      <c r="BE156" s="865">
        <v>3.2</v>
      </c>
      <c r="BF156" s="865">
        <v>3.2322199999999999</v>
      </c>
      <c r="BG156" s="865">
        <v>3.26</v>
      </c>
      <c r="BH156" s="865">
        <v>3.26</v>
      </c>
    </row>
    <row r="157" spans="12:60">
      <c r="L157" s="861">
        <v>40515</v>
      </c>
      <c r="M157" s="865">
        <v>4.75</v>
      </c>
      <c r="N157" s="865">
        <v>4.8266999999999998</v>
      </c>
      <c r="O157" s="865">
        <v>4.95</v>
      </c>
      <c r="P157" s="865">
        <v>4.9950000000000001</v>
      </c>
      <c r="Q157" s="865">
        <v>5.0599999999999996</v>
      </c>
      <c r="R157" s="865">
        <v>5.1166999999999998</v>
      </c>
      <c r="S157" s="865">
        <v>5.17</v>
      </c>
      <c r="T157" s="865">
        <v>5.2068000000000003</v>
      </c>
      <c r="V157" s="861">
        <v>40515</v>
      </c>
      <c r="W157" s="865">
        <v>0.24063000000000001</v>
      </c>
      <c r="X157" s="865">
        <v>0.26500000000000001</v>
      </c>
      <c r="Y157" s="865">
        <v>0.28249999999999997</v>
      </c>
      <c r="Z157" s="865">
        <v>0.30343999999999999</v>
      </c>
      <c r="AA157" s="865">
        <v>0.35</v>
      </c>
      <c r="AB157" s="865">
        <v>0.40844000000000003</v>
      </c>
      <c r="AC157" s="865">
        <v>0.46218999999999999</v>
      </c>
      <c r="AD157" s="865">
        <v>0.78793999999999997</v>
      </c>
      <c r="AF157" s="861">
        <v>40525</v>
      </c>
      <c r="AG157" s="865">
        <v>0.52875000000000005</v>
      </c>
      <c r="AH157" s="865">
        <v>0.75375000000000003</v>
      </c>
      <c r="AI157" s="865">
        <v>0.84750000000000003</v>
      </c>
      <c r="AJ157" s="865">
        <v>0.95562999999999998</v>
      </c>
      <c r="AK157" s="865">
        <v>1.02938</v>
      </c>
      <c r="AL157" s="865">
        <v>1.11188</v>
      </c>
      <c r="AM157" s="865">
        <v>1.2</v>
      </c>
      <c r="AN157" s="865">
        <v>1.48875</v>
      </c>
      <c r="AP157" s="861">
        <v>40515</v>
      </c>
      <c r="AQ157" s="865">
        <v>0.55562999999999996</v>
      </c>
      <c r="AR157" s="865">
        <v>0.57813000000000003</v>
      </c>
      <c r="AS157" s="865">
        <v>0.63312999999999997</v>
      </c>
      <c r="AT157" s="865">
        <v>0.74375000000000002</v>
      </c>
      <c r="AU157" s="865">
        <v>0.82625000000000004</v>
      </c>
      <c r="AV157" s="865">
        <v>0.93374999999999997</v>
      </c>
      <c r="AW157" s="865">
        <v>1.03938</v>
      </c>
      <c r="AX157" s="865">
        <v>1.4950000000000001</v>
      </c>
      <c r="AZ157" s="861">
        <v>40526</v>
      </c>
      <c r="BA157" s="865">
        <v>3</v>
      </c>
      <c r="BB157" s="865">
        <v>3.1</v>
      </c>
      <c r="BC157" s="865">
        <v>3.11</v>
      </c>
      <c r="BD157" s="865">
        <v>3.1888899999999998</v>
      </c>
      <c r="BE157" s="865">
        <v>3.2</v>
      </c>
      <c r="BF157" s="865">
        <v>3.23</v>
      </c>
      <c r="BG157" s="865">
        <v>3.26</v>
      </c>
      <c r="BH157" s="865">
        <v>3.26</v>
      </c>
    </row>
    <row r="158" spans="12:60">
      <c r="L158" s="861">
        <v>40514</v>
      </c>
      <c r="M158" s="865">
        <v>4.75</v>
      </c>
      <c r="N158" s="865">
        <v>4.8282999999999996</v>
      </c>
      <c r="O158" s="865">
        <v>4.9583000000000004</v>
      </c>
      <c r="P158" s="865">
        <v>4.9983000000000004</v>
      </c>
      <c r="Q158" s="865">
        <v>5.0599999999999996</v>
      </c>
      <c r="R158" s="865">
        <v>5.12</v>
      </c>
      <c r="S158" s="865">
        <v>5.17</v>
      </c>
      <c r="T158" s="865">
        <v>5.1981000000000002</v>
      </c>
      <c r="V158" s="861">
        <v>40514</v>
      </c>
      <c r="W158" s="865">
        <v>0.23968999999999999</v>
      </c>
      <c r="X158" s="865">
        <v>0.26562999999999998</v>
      </c>
      <c r="Y158" s="865">
        <v>0.28249999999999997</v>
      </c>
      <c r="Z158" s="865">
        <v>0.30343999999999999</v>
      </c>
      <c r="AA158" s="865">
        <v>0.35031000000000001</v>
      </c>
      <c r="AB158" s="865">
        <v>0.41094000000000003</v>
      </c>
      <c r="AC158" s="865">
        <v>0.46531</v>
      </c>
      <c r="AD158" s="865">
        <v>0.79</v>
      </c>
      <c r="AF158" s="861">
        <v>40522</v>
      </c>
      <c r="AG158" s="865">
        <v>0.56874999999999998</v>
      </c>
      <c r="AH158" s="865">
        <v>0.75749999999999995</v>
      </c>
      <c r="AI158" s="865">
        <v>0.84875</v>
      </c>
      <c r="AJ158" s="865">
        <v>0.95687999999999995</v>
      </c>
      <c r="AK158" s="865">
        <v>1.0306299999999999</v>
      </c>
      <c r="AL158" s="865">
        <v>1.11313</v>
      </c>
      <c r="AM158" s="865">
        <v>1.2037500000000001</v>
      </c>
      <c r="AN158" s="865">
        <v>1.48875</v>
      </c>
      <c r="AP158" s="861">
        <v>40514</v>
      </c>
      <c r="AQ158" s="865">
        <v>0.55562999999999996</v>
      </c>
      <c r="AR158" s="865">
        <v>0.57813000000000003</v>
      </c>
      <c r="AS158" s="865">
        <v>0.63188</v>
      </c>
      <c r="AT158" s="865">
        <v>0.74250000000000005</v>
      </c>
      <c r="AU158" s="865">
        <v>0.82625000000000004</v>
      </c>
      <c r="AV158" s="865">
        <v>0.9325</v>
      </c>
      <c r="AW158" s="865">
        <v>1.0375000000000001</v>
      </c>
      <c r="AX158" s="865">
        <v>1.4931300000000001</v>
      </c>
      <c r="AZ158" s="861">
        <v>40525</v>
      </c>
      <c r="BA158" s="865">
        <v>3</v>
      </c>
      <c r="BB158" s="865">
        <v>3.1</v>
      </c>
      <c r="BC158" s="865">
        <v>3.11</v>
      </c>
      <c r="BD158" s="865">
        <v>3.18</v>
      </c>
      <c r="BE158" s="865">
        <v>3.2</v>
      </c>
      <c r="BF158" s="865">
        <v>3.23</v>
      </c>
      <c r="BG158" s="865">
        <v>3.26</v>
      </c>
      <c r="BH158" s="865">
        <v>3.26</v>
      </c>
    </row>
    <row r="159" spans="12:60">
      <c r="L159" s="861">
        <v>40513</v>
      </c>
      <c r="M159" s="865">
        <v>4.75</v>
      </c>
      <c r="N159" s="865">
        <v>4.84</v>
      </c>
      <c r="O159" s="865">
        <v>4.9450000000000003</v>
      </c>
      <c r="P159" s="865">
        <v>4.99</v>
      </c>
      <c r="Q159" s="865">
        <v>5.0567000000000002</v>
      </c>
      <c r="R159" s="865">
        <v>5.1100000000000003</v>
      </c>
      <c r="S159" s="865">
        <v>5.16</v>
      </c>
      <c r="T159" s="865">
        <v>5.1989000000000001</v>
      </c>
      <c r="V159" s="861">
        <v>40513</v>
      </c>
      <c r="W159" s="865">
        <v>0.24</v>
      </c>
      <c r="X159" s="865">
        <v>0.26530999999999999</v>
      </c>
      <c r="Y159" s="865">
        <v>0.28249999999999997</v>
      </c>
      <c r="Z159" s="865">
        <v>0.30343999999999999</v>
      </c>
      <c r="AA159" s="865">
        <v>0.35031000000000001</v>
      </c>
      <c r="AB159" s="865">
        <v>0.41094000000000003</v>
      </c>
      <c r="AC159" s="865">
        <v>0.46655999999999997</v>
      </c>
      <c r="AD159" s="865">
        <v>0.79</v>
      </c>
      <c r="AF159" s="861">
        <v>40521</v>
      </c>
      <c r="AG159" s="865">
        <v>0.60124999999999995</v>
      </c>
      <c r="AH159" s="865">
        <v>0.76124999999999998</v>
      </c>
      <c r="AI159" s="865">
        <v>0.85124999999999995</v>
      </c>
      <c r="AJ159" s="865">
        <v>0.96313000000000004</v>
      </c>
      <c r="AK159" s="865">
        <v>1.0331300000000001</v>
      </c>
      <c r="AL159" s="865">
        <v>1.1143799999999999</v>
      </c>
      <c r="AM159" s="865">
        <v>1.2050000000000001</v>
      </c>
      <c r="AN159" s="865">
        <v>1.49</v>
      </c>
      <c r="AP159" s="861">
        <v>40513</v>
      </c>
      <c r="AQ159" s="865">
        <v>0.55562999999999996</v>
      </c>
      <c r="AR159" s="865">
        <v>0.57813000000000003</v>
      </c>
      <c r="AS159" s="865">
        <v>0.63063000000000002</v>
      </c>
      <c r="AT159" s="865">
        <v>0.74124999999999996</v>
      </c>
      <c r="AU159" s="865">
        <v>0.82499999999999996</v>
      </c>
      <c r="AV159" s="865">
        <v>0.93125000000000002</v>
      </c>
      <c r="AW159" s="865">
        <v>1.0362499999999999</v>
      </c>
      <c r="AX159" s="865">
        <v>1.4918800000000001</v>
      </c>
      <c r="AZ159" s="861">
        <v>40522</v>
      </c>
      <c r="BA159" s="865">
        <v>3</v>
      </c>
      <c r="BB159" s="865">
        <v>3.1</v>
      </c>
      <c r="BC159" s="865">
        <v>3.1144400000000001</v>
      </c>
      <c r="BD159" s="865">
        <v>3.1877800000000001</v>
      </c>
      <c r="BE159" s="865">
        <v>3.2022200000000001</v>
      </c>
      <c r="BF159" s="865">
        <v>3.23</v>
      </c>
      <c r="BG159" s="865">
        <v>3.26</v>
      </c>
      <c r="BH159" s="865">
        <v>3.26</v>
      </c>
    </row>
    <row r="160" spans="12:60">
      <c r="L160" s="861">
        <v>40512</v>
      </c>
      <c r="M160" s="865">
        <v>4.75</v>
      </c>
      <c r="N160" s="865">
        <v>4.8582999999999998</v>
      </c>
      <c r="O160" s="865">
        <v>4.9767000000000001</v>
      </c>
      <c r="P160" s="865">
        <v>5.0433000000000003</v>
      </c>
      <c r="Q160" s="865">
        <v>5.12</v>
      </c>
      <c r="R160" s="865">
        <v>5.1817000000000002</v>
      </c>
      <c r="S160" s="865">
        <v>5.25</v>
      </c>
      <c r="T160" s="865">
        <v>5.2144000000000004</v>
      </c>
      <c r="V160" s="861">
        <v>40512</v>
      </c>
      <c r="W160" s="865">
        <v>0.23624999999999999</v>
      </c>
      <c r="X160" s="865">
        <v>0.26062999999999997</v>
      </c>
      <c r="Y160" s="865">
        <v>0.28000000000000003</v>
      </c>
      <c r="Z160" s="865">
        <v>0.30031000000000002</v>
      </c>
      <c r="AA160" s="865">
        <v>0.34749999999999998</v>
      </c>
      <c r="AB160" s="865">
        <v>0.40655999999999998</v>
      </c>
      <c r="AC160" s="865">
        <v>0.46100000000000002</v>
      </c>
      <c r="AD160" s="865">
        <v>0.78656000000000004</v>
      </c>
      <c r="AF160" s="861">
        <v>40520</v>
      </c>
      <c r="AG160" s="865">
        <v>0.66374999999999995</v>
      </c>
      <c r="AH160" s="865">
        <v>0.76249999999999996</v>
      </c>
      <c r="AI160" s="865">
        <v>0.85250000000000004</v>
      </c>
      <c r="AJ160" s="865">
        <v>0.96687999999999996</v>
      </c>
      <c r="AK160" s="865">
        <v>1.0331300000000001</v>
      </c>
      <c r="AL160" s="865">
        <v>1.1168800000000001</v>
      </c>
      <c r="AM160" s="865">
        <v>1.2050000000000001</v>
      </c>
      <c r="AN160" s="865">
        <v>1.49</v>
      </c>
      <c r="AP160" s="861">
        <v>40512</v>
      </c>
      <c r="AQ160" s="865">
        <v>0.55313000000000001</v>
      </c>
      <c r="AR160" s="865">
        <v>0.57874999999999999</v>
      </c>
      <c r="AS160" s="865">
        <v>0.63063000000000002</v>
      </c>
      <c r="AT160" s="865">
        <v>0.73875000000000002</v>
      </c>
      <c r="AU160" s="865">
        <v>0.82250000000000001</v>
      </c>
      <c r="AV160" s="865">
        <v>0.92874999999999996</v>
      </c>
      <c r="AW160" s="865">
        <v>1.0325</v>
      </c>
      <c r="AX160" s="865">
        <v>1.48813</v>
      </c>
      <c r="AZ160" s="861">
        <v>40521</v>
      </c>
      <c r="BA160" s="865">
        <v>3</v>
      </c>
      <c r="BB160" s="865">
        <v>3.11</v>
      </c>
      <c r="BC160" s="865">
        <v>3.12</v>
      </c>
      <c r="BD160" s="865">
        <v>3.16</v>
      </c>
      <c r="BE160" s="865">
        <v>3.2</v>
      </c>
      <c r="BF160" s="865">
        <v>3.23</v>
      </c>
      <c r="BG160" s="865">
        <v>3.26</v>
      </c>
      <c r="BH160" s="865">
        <v>3.26</v>
      </c>
    </row>
    <row r="161" spans="12:60">
      <c r="L161" s="861">
        <v>40511</v>
      </c>
      <c r="M161" s="865">
        <v>4.75</v>
      </c>
      <c r="N161" s="865">
        <v>4.83</v>
      </c>
      <c r="O161" s="865">
        <v>4.9800000000000004</v>
      </c>
      <c r="P161" s="865">
        <v>5.0716999999999999</v>
      </c>
      <c r="Q161" s="865">
        <v>5.1349999999999998</v>
      </c>
      <c r="R161" s="865">
        <v>5.1932999999999998</v>
      </c>
      <c r="S161" s="865">
        <v>5.2633000000000001</v>
      </c>
      <c r="T161" s="865">
        <v>5.2724000000000002</v>
      </c>
      <c r="V161" s="861">
        <v>40511</v>
      </c>
      <c r="W161" s="865">
        <v>0.23250000000000001</v>
      </c>
      <c r="X161" s="865">
        <v>0.25750000000000001</v>
      </c>
      <c r="Y161" s="865">
        <v>0.27750000000000002</v>
      </c>
      <c r="Z161" s="865">
        <v>0.29593999999999998</v>
      </c>
      <c r="AA161" s="865">
        <v>0.34499999999999997</v>
      </c>
      <c r="AB161" s="865">
        <v>0.40375</v>
      </c>
      <c r="AC161" s="865">
        <v>0.45906000000000002</v>
      </c>
      <c r="AD161" s="865">
        <v>0.78493999999999997</v>
      </c>
      <c r="AF161" s="861">
        <v>40519</v>
      </c>
      <c r="AG161" s="865">
        <v>0.72</v>
      </c>
      <c r="AH161" s="865">
        <v>0.76624999999999999</v>
      </c>
      <c r="AI161" s="865">
        <v>0.85624999999999996</v>
      </c>
      <c r="AJ161" s="865">
        <v>0.97250000000000003</v>
      </c>
      <c r="AK161" s="865">
        <v>1.0349999999999999</v>
      </c>
      <c r="AL161" s="865">
        <v>1.11625</v>
      </c>
      <c r="AM161" s="865">
        <v>1.2050000000000001</v>
      </c>
      <c r="AN161" s="865">
        <v>1.48875</v>
      </c>
      <c r="AP161" s="861">
        <v>40511</v>
      </c>
      <c r="AQ161" s="865">
        <v>0.55313000000000001</v>
      </c>
      <c r="AR161" s="865">
        <v>0.57625000000000004</v>
      </c>
      <c r="AS161" s="865">
        <v>0.62938000000000005</v>
      </c>
      <c r="AT161" s="865">
        <v>0.73875000000000002</v>
      </c>
      <c r="AU161" s="865">
        <v>0.82250000000000001</v>
      </c>
      <c r="AV161" s="865">
        <v>0.92874999999999996</v>
      </c>
      <c r="AW161" s="865">
        <v>1.03125</v>
      </c>
      <c r="AX161" s="865">
        <v>1.48688</v>
      </c>
      <c r="AZ161" s="861">
        <v>40520</v>
      </c>
      <c r="BA161" s="865">
        <v>3</v>
      </c>
      <c r="BB161" s="865">
        <v>3.11</v>
      </c>
      <c r="BC161" s="865">
        <v>3.12</v>
      </c>
      <c r="BD161" s="865">
        <v>3.1766700000000001</v>
      </c>
      <c r="BE161" s="865">
        <v>3.22</v>
      </c>
      <c r="BF161" s="865">
        <v>3.24</v>
      </c>
      <c r="BG161" s="865">
        <v>3.28</v>
      </c>
      <c r="BH161" s="865">
        <v>3.28</v>
      </c>
    </row>
    <row r="162" spans="12:60">
      <c r="L162" s="861">
        <v>40508</v>
      </c>
      <c r="M162" s="865">
        <v>4.75</v>
      </c>
      <c r="N162" s="865">
        <v>4.8132999999999999</v>
      </c>
      <c r="O162" s="865">
        <v>4.9749999999999996</v>
      </c>
      <c r="P162" s="865">
        <v>5.0567000000000002</v>
      </c>
      <c r="Q162" s="865">
        <v>5.1283000000000003</v>
      </c>
      <c r="R162" s="865">
        <v>5.1817000000000002</v>
      </c>
      <c r="S162" s="865">
        <v>5.2549999999999999</v>
      </c>
      <c r="T162" s="865">
        <v>5.2874999999999996</v>
      </c>
      <c r="V162" s="861">
        <v>40508</v>
      </c>
      <c r="W162" s="865">
        <v>0.23250000000000001</v>
      </c>
      <c r="X162" s="865">
        <v>0.25624999999999998</v>
      </c>
      <c r="Y162" s="865">
        <v>0.27594000000000002</v>
      </c>
      <c r="Z162" s="865">
        <v>0.29437999999999998</v>
      </c>
      <c r="AA162" s="865">
        <v>0.34469</v>
      </c>
      <c r="AB162" s="865">
        <v>0.40468999999999999</v>
      </c>
      <c r="AC162" s="865">
        <v>0.45874999999999999</v>
      </c>
      <c r="AD162" s="865">
        <v>0.78463000000000005</v>
      </c>
      <c r="AF162" s="861">
        <v>40518</v>
      </c>
      <c r="AG162" s="865">
        <v>0.36375000000000002</v>
      </c>
      <c r="AH162" s="865">
        <v>0.76500000000000001</v>
      </c>
      <c r="AI162" s="865">
        <v>0.85624999999999996</v>
      </c>
      <c r="AJ162" s="865">
        <v>0.97124999999999995</v>
      </c>
      <c r="AK162" s="865">
        <v>1.0349999999999999</v>
      </c>
      <c r="AL162" s="865">
        <v>1.11625</v>
      </c>
      <c r="AM162" s="865">
        <v>1.20625</v>
      </c>
      <c r="AN162" s="865">
        <v>1.4862500000000001</v>
      </c>
      <c r="AP162" s="861">
        <v>40508</v>
      </c>
      <c r="AQ162" s="865">
        <v>0.55313000000000001</v>
      </c>
      <c r="AR162" s="865">
        <v>0.57625000000000004</v>
      </c>
      <c r="AS162" s="865">
        <v>0.62812999999999997</v>
      </c>
      <c r="AT162" s="865">
        <v>0.73875000000000002</v>
      </c>
      <c r="AU162" s="865">
        <v>0.82250000000000001</v>
      </c>
      <c r="AV162" s="865">
        <v>0.92749999999999999</v>
      </c>
      <c r="AW162" s="865">
        <v>1.03</v>
      </c>
      <c r="AX162" s="865">
        <v>1.48563</v>
      </c>
      <c r="AZ162" s="861">
        <v>40519</v>
      </c>
      <c r="BA162" s="865">
        <v>3</v>
      </c>
      <c r="BB162" s="865">
        <v>3.11</v>
      </c>
      <c r="BC162" s="865">
        <v>3.12</v>
      </c>
      <c r="BD162" s="865">
        <v>3.17</v>
      </c>
      <c r="BE162" s="865">
        <v>3.22</v>
      </c>
      <c r="BF162" s="865">
        <v>3.24</v>
      </c>
      <c r="BG162" s="865">
        <v>3.28</v>
      </c>
      <c r="BH162" s="865">
        <v>3.28</v>
      </c>
    </row>
    <row r="163" spans="12:60">
      <c r="L163" s="861">
        <v>40507</v>
      </c>
      <c r="M163" s="865">
        <v>4.75</v>
      </c>
      <c r="N163" s="865">
        <v>4.83</v>
      </c>
      <c r="O163" s="865">
        <v>4.9850000000000003</v>
      </c>
      <c r="P163" s="865">
        <v>5.08</v>
      </c>
      <c r="Q163" s="865">
        <v>5.1233000000000004</v>
      </c>
      <c r="R163" s="865">
        <v>5.1882999999999999</v>
      </c>
      <c r="S163" s="865">
        <v>5.2882999999999996</v>
      </c>
      <c r="T163" s="865">
        <v>5.3061999999999996</v>
      </c>
      <c r="V163" s="861">
        <v>40507</v>
      </c>
      <c r="W163" s="865">
        <v>0.23313</v>
      </c>
      <c r="X163" s="865">
        <v>0.255</v>
      </c>
      <c r="Y163" s="865">
        <v>0.27438000000000001</v>
      </c>
      <c r="Z163" s="865">
        <v>0.29187999999999997</v>
      </c>
      <c r="AA163" s="865">
        <v>0.34250000000000003</v>
      </c>
      <c r="AB163" s="865">
        <v>0.40344000000000002</v>
      </c>
      <c r="AC163" s="865">
        <v>0.45624999999999999</v>
      </c>
      <c r="AD163" s="865">
        <v>0.78025</v>
      </c>
      <c r="AF163" s="861">
        <v>40515</v>
      </c>
      <c r="AG163" s="865">
        <v>0.38374999999999998</v>
      </c>
      <c r="AH163" s="865">
        <v>0.76375000000000004</v>
      </c>
      <c r="AI163" s="865">
        <v>0.85624999999999996</v>
      </c>
      <c r="AJ163" s="865">
        <v>0.97124999999999995</v>
      </c>
      <c r="AK163" s="865">
        <v>1.0349999999999999</v>
      </c>
      <c r="AL163" s="865">
        <v>1.11375</v>
      </c>
      <c r="AM163" s="865">
        <v>1.20625</v>
      </c>
      <c r="AN163" s="865">
        <v>1.4875</v>
      </c>
      <c r="AP163" s="861">
        <v>40507</v>
      </c>
      <c r="AQ163" s="865">
        <v>0.55313000000000001</v>
      </c>
      <c r="AR163" s="865">
        <v>0.57625000000000004</v>
      </c>
      <c r="AS163" s="865">
        <v>0.62812999999999997</v>
      </c>
      <c r="AT163" s="865">
        <v>0.73750000000000004</v>
      </c>
      <c r="AU163" s="865">
        <v>0.82250000000000001</v>
      </c>
      <c r="AV163" s="865">
        <v>0.92749999999999999</v>
      </c>
      <c r="AW163" s="865">
        <v>1.03</v>
      </c>
      <c r="AX163" s="865">
        <v>1.48563</v>
      </c>
      <c r="AZ163" s="861">
        <v>40518</v>
      </c>
      <c r="BA163" s="865">
        <v>3</v>
      </c>
      <c r="BB163" s="865">
        <v>3.11</v>
      </c>
      <c r="BC163" s="865">
        <v>3.12</v>
      </c>
      <c r="BD163" s="865">
        <v>3.1814300000000002</v>
      </c>
      <c r="BE163" s="865">
        <v>3.22</v>
      </c>
      <c r="BF163" s="865">
        <v>3.2414299999999998</v>
      </c>
      <c r="BG163" s="865">
        <v>3.28</v>
      </c>
      <c r="BH163" s="865">
        <v>3.28</v>
      </c>
    </row>
    <row r="164" spans="12:60">
      <c r="L164" s="861">
        <v>40506</v>
      </c>
      <c r="M164" s="865">
        <v>4.75</v>
      </c>
      <c r="N164" s="865">
        <v>4.8117000000000001</v>
      </c>
      <c r="O164" s="865">
        <v>4.97</v>
      </c>
      <c r="P164" s="865">
        <v>5.0567000000000002</v>
      </c>
      <c r="Q164" s="865">
        <v>5.0983000000000001</v>
      </c>
      <c r="R164" s="865">
        <v>5.1683000000000003</v>
      </c>
      <c r="S164" s="865">
        <v>5.2583000000000002</v>
      </c>
      <c r="T164" s="865">
        <v>5.2769000000000004</v>
      </c>
      <c r="V164" s="861">
        <v>40506</v>
      </c>
      <c r="W164" s="865">
        <v>0.23313</v>
      </c>
      <c r="X164" s="865">
        <v>0.25344</v>
      </c>
      <c r="Y164" s="865">
        <v>0.27140999999999998</v>
      </c>
      <c r="Z164" s="865">
        <v>0.28749999999999998</v>
      </c>
      <c r="AA164" s="865">
        <v>0.33562999999999998</v>
      </c>
      <c r="AB164" s="865">
        <v>0.39438000000000001</v>
      </c>
      <c r="AC164" s="865">
        <v>0.44688</v>
      </c>
      <c r="AD164" s="865">
        <v>0.76649999999999996</v>
      </c>
      <c r="AF164" s="861">
        <v>40514</v>
      </c>
      <c r="AG164" s="865">
        <v>0.41</v>
      </c>
      <c r="AH164" s="865">
        <v>0.75875000000000004</v>
      </c>
      <c r="AI164" s="865">
        <v>0.85250000000000004</v>
      </c>
      <c r="AJ164" s="865">
        <v>0.96875</v>
      </c>
      <c r="AK164" s="865">
        <v>1.0325</v>
      </c>
      <c r="AL164" s="865">
        <v>1.1125</v>
      </c>
      <c r="AM164" s="865">
        <v>1.20625</v>
      </c>
      <c r="AN164" s="865">
        <v>1.4875</v>
      </c>
      <c r="AP164" s="861">
        <v>40506</v>
      </c>
      <c r="AQ164" s="865">
        <v>0.55313000000000001</v>
      </c>
      <c r="AR164" s="865">
        <v>0.57499999999999996</v>
      </c>
      <c r="AS164" s="865">
        <v>0.62812999999999997</v>
      </c>
      <c r="AT164" s="865">
        <v>0.73875000000000002</v>
      </c>
      <c r="AU164" s="865">
        <v>0.82125000000000004</v>
      </c>
      <c r="AV164" s="865">
        <v>0.92625000000000002</v>
      </c>
      <c r="AW164" s="865">
        <v>1.0287500000000001</v>
      </c>
      <c r="AX164" s="865">
        <v>1.48438</v>
      </c>
      <c r="AZ164" s="861">
        <v>40515</v>
      </c>
      <c r="BA164" s="865">
        <v>3</v>
      </c>
      <c r="BB164" s="865">
        <v>3.11</v>
      </c>
      <c r="BC164" s="865">
        <v>3.12</v>
      </c>
      <c r="BD164" s="865">
        <v>3.18</v>
      </c>
      <c r="BE164" s="865">
        <v>3.22</v>
      </c>
      <c r="BF164" s="865">
        <v>3.24</v>
      </c>
      <c r="BG164" s="865">
        <v>3.28</v>
      </c>
      <c r="BH164" s="865">
        <v>3.28</v>
      </c>
    </row>
    <row r="165" spans="12:60">
      <c r="L165" s="861">
        <v>40505</v>
      </c>
      <c r="M165" s="865">
        <v>4.75</v>
      </c>
      <c r="N165" s="865">
        <v>4.8316999999999997</v>
      </c>
      <c r="O165" s="865">
        <v>4.9717000000000002</v>
      </c>
      <c r="P165" s="865">
        <v>5.0549999999999997</v>
      </c>
      <c r="Q165" s="865">
        <v>5.0983000000000001</v>
      </c>
      <c r="R165" s="865">
        <v>5.1582999999999997</v>
      </c>
      <c r="S165" s="865">
        <v>5.2317</v>
      </c>
      <c r="T165" s="865">
        <v>5.2942999999999998</v>
      </c>
      <c r="V165" s="861">
        <v>40505</v>
      </c>
      <c r="W165" s="865">
        <v>0.23188</v>
      </c>
      <c r="X165" s="865">
        <v>0.25344</v>
      </c>
      <c r="Y165" s="865">
        <v>0.26828000000000002</v>
      </c>
      <c r="Z165" s="865">
        <v>0.28438000000000002</v>
      </c>
      <c r="AA165" s="865">
        <v>0.33250000000000002</v>
      </c>
      <c r="AB165" s="865">
        <v>0.39218999999999998</v>
      </c>
      <c r="AC165" s="865">
        <v>0.44219000000000003</v>
      </c>
      <c r="AD165" s="865">
        <v>0.76312999999999998</v>
      </c>
      <c r="AF165" s="861">
        <v>40513</v>
      </c>
      <c r="AG165" s="865">
        <v>0.41125</v>
      </c>
      <c r="AH165" s="865">
        <v>0.75375000000000003</v>
      </c>
      <c r="AI165" s="865">
        <v>0.85124999999999995</v>
      </c>
      <c r="AJ165" s="865">
        <v>0.96875</v>
      </c>
      <c r="AK165" s="865">
        <v>1.03125</v>
      </c>
      <c r="AL165" s="865">
        <v>1.1112500000000001</v>
      </c>
      <c r="AM165" s="865">
        <v>1.2050000000000001</v>
      </c>
      <c r="AN165" s="865">
        <v>1.4875</v>
      </c>
      <c r="AP165" s="861">
        <v>40505</v>
      </c>
      <c r="AQ165" s="865">
        <v>0.55313000000000001</v>
      </c>
      <c r="AR165" s="865">
        <v>0.57499999999999996</v>
      </c>
      <c r="AS165" s="865">
        <v>0.62812999999999997</v>
      </c>
      <c r="AT165" s="865">
        <v>0.73875000000000002</v>
      </c>
      <c r="AU165" s="865">
        <v>0.82250000000000001</v>
      </c>
      <c r="AV165" s="865">
        <v>0.92749999999999999</v>
      </c>
      <c r="AW165" s="865">
        <v>1.03</v>
      </c>
      <c r="AX165" s="865">
        <v>1.48563</v>
      </c>
      <c r="AZ165" s="861">
        <v>40514</v>
      </c>
      <c r="BA165" s="865">
        <v>3</v>
      </c>
      <c r="BB165" s="865">
        <v>3.11</v>
      </c>
      <c r="BC165" s="865">
        <v>3.12</v>
      </c>
      <c r="BD165" s="865">
        <v>3.1724999999999999</v>
      </c>
      <c r="BE165" s="865">
        <v>3.2162500000000001</v>
      </c>
      <c r="BF165" s="865">
        <v>3.24</v>
      </c>
      <c r="BG165" s="865">
        <v>3.28</v>
      </c>
      <c r="BH165" s="865">
        <v>3.28</v>
      </c>
    </row>
    <row r="166" spans="12:60">
      <c r="L166" s="861">
        <v>40504</v>
      </c>
      <c r="M166" s="865">
        <v>4.75</v>
      </c>
      <c r="N166" s="865">
        <v>4.8</v>
      </c>
      <c r="O166" s="865">
        <v>4.9667000000000003</v>
      </c>
      <c r="P166" s="865">
        <v>5</v>
      </c>
      <c r="Q166" s="865">
        <v>5.07</v>
      </c>
      <c r="R166" s="865">
        <v>5.1333000000000002</v>
      </c>
      <c r="S166" s="865">
        <v>5.2050000000000001</v>
      </c>
      <c r="T166" s="865">
        <v>5.3064999999999998</v>
      </c>
      <c r="V166" s="861">
        <v>40504</v>
      </c>
      <c r="W166" s="865">
        <v>0.23063</v>
      </c>
      <c r="X166" s="865">
        <v>0.25344</v>
      </c>
      <c r="Y166" s="865">
        <v>0.26828000000000002</v>
      </c>
      <c r="Z166" s="865">
        <v>0.28438000000000002</v>
      </c>
      <c r="AA166" s="865">
        <v>0.33250000000000002</v>
      </c>
      <c r="AB166" s="865">
        <v>0.39218999999999998</v>
      </c>
      <c r="AC166" s="865">
        <v>0.44219000000000003</v>
      </c>
      <c r="AD166" s="865">
        <v>0.76312999999999998</v>
      </c>
      <c r="AF166" s="861">
        <v>40512</v>
      </c>
      <c r="AG166" s="865">
        <v>0.44874999999999998</v>
      </c>
      <c r="AH166" s="865">
        <v>0.75375000000000003</v>
      </c>
      <c r="AI166" s="865">
        <v>0.85</v>
      </c>
      <c r="AJ166" s="865">
        <v>0.96750000000000003</v>
      </c>
      <c r="AK166" s="865">
        <v>1.03</v>
      </c>
      <c r="AL166" s="865">
        <v>1.1087499999999999</v>
      </c>
      <c r="AM166" s="865">
        <v>1.2050000000000001</v>
      </c>
      <c r="AN166" s="865">
        <v>1.4875</v>
      </c>
      <c r="AP166" s="861">
        <v>40504</v>
      </c>
      <c r="AQ166" s="865">
        <v>0.55313000000000001</v>
      </c>
      <c r="AR166" s="865">
        <v>0.57374999999999998</v>
      </c>
      <c r="AS166" s="865">
        <v>0.62812999999999997</v>
      </c>
      <c r="AT166" s="865">
        <v>0.74</v>
      </c>
      <c r="AU166" s="865">
        <v>0.82250000000000001</v>
      </c>
      <c r="AV166" s="865">
        <v>0.92874999999999996</v>
      </c>
      <c r="AW166" s="865">
        <v>1.03125</v>
      </c>
      <c r="AX166" s="865">
        <v>1.48688</v>
      </c>
      <c r="AZ166" s="861">
        <v>40513</v>
      </c>
      <c r="BA166" s="865">
        <v>3</v>
      </c>
      <c r="BB166" s="865">
        <v>3.12</v>
      </c>
      <c r="BC166" s="865">
        <v>3.15</v>
      </c>
      <c r="BD166" s="865">
        <v>3.19</v>
      </c>
      <c r="BE166" s="865">
        <v>3.22</v>
      </c>
      <c r="BF166" s="865">
        <v>3.24</v>
      </c>
      <c r="BG166" s="865">
        <v>3.28</v>
      </c>
      <c r="BH166" s="865">
        <v>3.28</v>
      </c>
    </row>
    <row r="167" spans="12:60">
      <c r="L167" s="861">
        <v>40501</v>
      </c>
      <c r="M167" s="865">
        <v>4.75</v>
      </c>
      <c r="N167" s="865">
        <v>4.82</v>
      </c>
      <c r="O167" s="865">
        <v>4.9649999999999999</v>
      </c>
      <c r="P167" s="865">
        <v>5.0033000000000003</v>
      </c>
      <c r="Q167" s="865">
        <v>5.0750000000000002</v>
      </c>
      <c r="R167" s="865">
        <v>5.1333000000000002</v>
      </c>
      <c r="S167" s="865">
        <v>5.2032999999999996</v>
      </c>
      <c r="T167" s="865">
        <v>5.3224</v>
      </c>
      <c r="V167" s="861">
        <v>40501</v>
      </c>
      <c r="W167" s="865">
        <v>0.22938</v>
      </c>
      <c r="X167" s="865">
        <v>0.25344</v>
      </c>
      <c r="Y167" s="865">
        <v>0.26828000000000002</v>
      </c>
      <c r="Z167" s="865">
        <v>0.28438000000000002</v>
      </c>
      <c r="AA167" s="865">
        <v>0.33250000000000002</v>
      </c>
      <c r="AB167" s="865">
        <v>0.39218999999999998</v>
      </c>
      <c r="AC167" s="865">
        <v>0.44219000000000003</v>
      </c>
      <c r="AD167" s="865">
        <v>0.76312999999999998</v>
      </c>
      <c r="AF167" s="861">
        <v>40511</v>
      </c>
      <c r="AG167" s="865">
        <v>0.38874999999999998</v>
      </c>
      <c r="AH167" s="865">
        <v>0.75124999999999997</v>
      </c>
      <c r="AI167" s="865">
        <v>0.85</v>
      </c>
      <c r="AJ167" s="865">
        <v>0.96750000000000003</v>
      </c>
      <c r="AK167" s="865">
        <v>1.03</v>
      </c>
      <c r="AL167" s="865">
        <v>1.1100000000000001</v>
      </c>
      <c r="AM167" s="865">
        <v>1.20625</v>
      </c>
      <c r="AN167" s="865">
        <v>1.49</v>
      </c>
      <c r="AP167" s="861">
        <v>40501</v>
      </c>
      <c r="AQ167" s="865">
        <v>0.55249999999999999</v>
      </c>
      <c r="AR167" s="865">
        <v>0.57250000000000001</v>
      </c>
      <c r="AS167" s="865">
        <v>0.62938000000000005</v>
      </c>
      <c r="AT167" s="865">
        <v>0.74</v>
      </c>
      <c r="AU167" s="865">
        <v>0.82188000000000005</v>
      </c>
      <c r="AV167" s="865">
        <v>0.92874999999999996</v>
      </c>
      <c r="AW167" s="865">
        <v>1.0331300000000001</v>
      </c>
      <c r="AX167" s="865">
        <v>1.48688</v>
      </c>
      <c r="AZ167" s="861">
        <v>40512</v>
      </c>
      <c r="BA167" s="865">
        <v>3</v>
      </c>
      <c r="BB167" s="865">
        <v>3.11</v>
      </c>
      <c r="BC167" s="865">
        <v>3.12</v>
      </c>
      <c r="BD167" s="865">
        <v>3.19889</v>
      </c>
      <c r="BE167" s="865">
        <v>3.1844399999999999</v>
      </c>
      <c r="BF167" s="865">
        <v>3.26</v>
      </c>
      <c r="BG167" s="865">
        <v>3.28</v>
      </c>
      <c r="BH167" s="865">
        <v>3.28</v>
      </c>
    </row>
    <row r="168" spans="12:60">
      <c r="L168" s="861">
        <v>40500</v>
      </c>
      <c r="M168" s="865">
        <v>4.75</v>
      </c>
      <c r="N168" s="865">
        <v>4.82</v>
      </c>
      <c r="O168" s="865">
        <v>4.9667000000000003</v>
      </c>
      <c r="P168" s="865">
        <v>5.01</v>
      </c>
      <c r="Q168" s="865">
        <v>5.0632999999999999</v>
      </c>
      <c r="R168" s="865">
        <v>5.1182999999999996</v>
      </c>
      <c r="S168" s="865">
        <v>5.16</v>
      </c>
      <c r="T168" s="865">
        <v>5.2945000000000002</v>
      </c>
      <c r="V168" s="861">
        <v>40500</v>
      </c>
      <c r="W168" s="865">
        <v>0.22938</v>
      </c>
      <c r="X168" s="865">
        <v>0.25344</v>
      </c>
      <c r="Y168" s="865">
        <v>0.26828000000000002</v>
      </c>
      <c r="Z168" s="865">
        <v>0.28438000000000002</v>
      </c>
      <c r="AA168" s="865">
        <v>0.33250000000000002</v>
      </c>
      <c r="AB168" s="865">
        <v>0.39218999999999998</v>
      </c>
      <c r="AC168" s="865">
        <v>0.44219000000000003</v>
      </c>
      <c r="AD168" s="865">
        <v>0.76324999999999998</v>
      </c>
      <c r="AF168" s="861">
        <v>40508</v>
      </c>
      <c r="AG168" s="865">
        <v>0.39250000000000002</v>
      </c>
      <c r="AH168" s="865">
        <v>0.75249999999999995</v>
      </c>
      <c r="AI168" s="865">
        <v>0.85124999999999995</v>
      </c>
      <c r="AJ168" s="865">
        <v>0.96875</v>
      </c>
      <c r="AK168" s="865">
        <v>1.0325</v>
      </c>
      <c r="AL168" s="865">
        <v>1.1125</v>
      </c>
      <c r="AM168" s="865">
        <v>1.21</v>
      </c>
      <c r="AN168" s="865">
        <v>1.4924999999999999</v>
      </c>
      <c r="AP168" s="861">
        <v>40500</v>
      </c>
      <c r="AQ168" s="865">
        <v>0.55249999999999999</v>
      </c>
      <c r="AR168" s="865">
        <v>0.57250000000000001</v>
      </c>
      <c r="AS168" s="865">
        <v>0.62938000000000005</v>
      </c>
      <c r="AT168" s="865">
        <v>0.74</v>
      </c>
      <c r="AU168" s="865">
        <v>0.82250000000000001</v>
      </c>
      <c r="AV168" s="865">
        <v>0.92874999999999996</v>
      </c>
      <c r="AW168" s="865">
        <v>1.0325</v>
      </c>
      <c r="AX168" s="865">
        <v>1.4875</v>
      </c>
      <c r="AZ168" s="861">
        <v>40511</v>
      </c>
      <c r="BA168" s="865">
        <v>3</v>
      </c>
      <c r="BB168" s="865">
        <v>3.11</v>
      </c>
      <c r="BC168" s="865">
        <v>3.12</v>
      </c>
      <c r="BD168" s="865">
        <v>3.1811099999999999</v>
      </c>
      <c r="BE168" s="865">
        <v>3.18</v>
      </c>
      <c r="BF168" s="865">
        <v>3.26</v>
      </c>
      <c r="BG168" s="865">
        <v>3.28</v>
      </c>
      <c r="BH168" s="865">
        <v>3.28</v>
      </c>
    </row>
    <row r="169" spans="12:60">
      <c r="L169" s="861">
        <v>40499</v>
      </c>
      <c r="M169" s="865">
        <v>4.75</v>
      </c>
      <c r="N169" s="865">
        <v>4.8150000000000004</v>
      </c>
      <c r="O169" s="865">
        <v>4.96</v>
      </c>
      <c r="P169" s="865">
        <v>5.0217000000000001</v>
      </c>
      <c r="Q169" s="865">
        <v>5.0750000000000002</v>
      </c>
      <c r="R169" s="865">
        <v>5.1266999999999996</v>
      </c>
      <c r="S169" s="865">
        <v>5.18</v>
      </c>
      <c r="T169" s="865">
        <v>5.2636000000000003</v>
      </c>
      <c r="V169" s="861">
        <v>40499</v>
      </c>
      <c r="W169" s="865">
        <v>0.23063</v>
      </c>
      <c r="X169" s="865">
        <v>0.25344</v>
      </c>
      <c r="Y169" s="865">
        <v>0.26828000000000002</v>
      </c>
      <c r="Z169" s="865">
        <v>0.28438000000000002</v>
      </c>
      <c r="AA169" s="865">
        <v>0.33250000000000002</v>
      </c>
      <c r="AB169" s="865">
        <v>0.39218999999999998</v>
      </c>
      <c r="AC169" s="865">
        <v>0.44219000000000003</v>
      </c>
      <c r="AD169" s="865">
        <v>0.76249999999999996</v>
      </c>
      <c r="AF169" s="861">
        <v>40507</v>
      </c>
      <c r="AG169" s="865">
        <v>0.4</v>
      </c>
      <c r="AH169" s="865">
        <v>0.75124999999999997</v>
      </c>
      <c r="AI169" s="865">
        <v>0.85375000000000001</v>
      </c>
      <c r="AJ169" s="865">
        <v>0.96875</v>
      </c>
      <c r="AK169" s="865">
        <v>1.0349999999999999</v>
      </c>
      <c r="AL169" s="865">
        <v>1.1125</v>
      </c>
      <c r="AM169" s="865">
        <v>1.21</v>
      </c>
      <c r="AN169" s="865">
        <v>1.4937499999999999</v>
      </c>
      <c r="AP169" s="861">
        <v>40499</v>
      </c>
      <c r="AQ169" s="865">
        <v>0.55249999999999999</v>
      </c>
      <c r="AR169" s="865">
        <v>0.57125000000000004</v>
      </c>
      <c r="AS169" s="865">
        <v>0.62938000000000005</v>
      </c>
      <c r="AT169" s="865">
        <v>0.73875000000000002</v>
      </c>
      <c r="AU169" s="865">
        <v>0.82250000000000001</v>
      </c>
      <c r="AV169" s="865">
        <v>0.92874999999999996</v>
      </c>
      <c r="AW169" s="865">
        <v>1.0325</v>
      </c>
      <c r="AX169" s="865">
        <v>1.4875</v>
      </c>
      <c r="AZ169" s="861">
        <v>40508</v>
      </c>
      <c r="BA169" s="865">
        <v>3</v>
      </c>
      <c r="BB169" s="865">
        <v>3.11</v>
      </c>
      <c r="BC169" s="865">
        <v>3.12</v>
      </c>
      <c r="BD169" s="865">
        <v>3.1766700000000001</v>
      </c>
      <c r="BE169" s="865">
        <v>3.18222</v>
      </c>
      <c r="BF169" s="865">
        <v>3.26</v>
      </c>
      <c r="BG169" s="865">
        <v>3.28</v>
      </c>
      <c r="BH169" s="865">
        <v>3.28</v>
      </c>
    </row>
    <row r="170" spans="12:60">
      <c r="L170" s="861">
        <v>40498</v>
      </c>
      <c r="M170" s="865">
        <v>4.75</v>
      </c>
      <c r="N170" s="865">
        <v>4.8017000000000003</v>
      </c>
      <c r="O170" s="865">
        <v>4.9566999999999997</v>
      </c>
      <c r="P170" s="865">
        <v>5.0199999999999996</v>
      </c>
      <c r="Q170" s="865">
        <v>5.0782999999999996</v>
      </c>
      <c r="R170" s="865">
        <v>5.1283000000000003</v>
      </c>
      <c r="S170" s="865">
        <v>5.2032999999999996</v>
      </c>
      <c r="T170" s="865">
        <v>5.3022999999999998</v>
      </c>
      <c r="V170" s="861">
        <v>40498</v>
      </c>
      <c r="W170" s="865">
        <v>0.22938</v>
      </c>
      <c r="X170" s="865">
        <v>0.25344</v>
      </c>
      <c r="Y170" s="865">
        <v>0.26828000000000002</v>
      </c>
      <c r="Z170" s="865">
        <v>0.28438000000000002</v>
      </c>
      <c r="AA170" s="865">
        <v>0.33250000000000002</v>
      </c>
      <c r="AB170" s="865">
        <v>0.39218999999999998</v>
      </c>
      <c r="AC170" s="865">
        <v>0.44219000000000003</v>
      </c>
      <c r="AD170" s="865">
        <v>0.76249999999999996</v>
      </c>
      <c r="AF170" s="861">
        <v>40506</v>
      </c>
      <c r="AG170" s="865">
        <v>0.42249999999999999</v>
      </c>
      <c r="AH170" s="865">
        <v>0.755</v>
      </c>
      <c r="AI170" s="865">
        <v>0.85624999999999996</v>
      </c>
      <c r="AJ170" s="865">
        <v>0.96875</v>
      </c>
      <c r="AK170" s="865">
        <v>1.0349999999999999</v>
      </c>
      <c r="AL170" s="865">
        <v>1.1125</v>
      </c>
      <c r="AM170" s="865">
        <v>1.21</v>
      </c>
      <c r="AN170" s="865">
        <v>1.49125</v>
      </c>
      <c r="AP170" s="861">
        <v>40498</v>
      </c>
      <c r="AQ170" s="865">
        <v>0.55249999999999999</v>
      </c>
      <c r="AR170" s="865">
        <v>0.56999999999999995</v>
      </c>
      <c r="AS170" s="865">
        <v>0.62812999999999997</v>
      </c>
      <c r="AT170" s="865">
        <v>0.73750000000000004</v>
      </c>
      <c r="AU170" s="865">
        <v>0.82250000000000001</v>
      </c>
      <c r="AV170" s="865">
        <v>0.92749999999999999</v>
      </c>
      <c r="AW170" s="865">
        <v>1.03125</v>
      </c>
      <c r="AX170" s="865">
        <v>1.4862500000000001</v>
      </c>
      <c r="AZ170" s="861">
        <v>40507</v>
      </c>
      <c r="BA170" s="865">
        <v>3</v>
      </c>
      <c r="BB170" s="865">
        <v>3.11</v>
      </c>
      <c r="BC170" s="865">
        <v>3.12</v>
      </c>
      <c r="BD170" s="865">
        <v>3.1837499999999999</v>
      </c>
      <c r="BE170" s="865">
        <v>3.1850000000000001</v>
      </c>
      <c r="BF170" s="865">
        <v>3.2574999999999998</v>
      </c>
      <c r="BG170" s="865">
        <v>3.28</v>
      </c>
      <c r="BH170" s="865">
        <v>3.28</v>
      </c>
    </row>
    <row r="171" spans="12:60">
      <c r="L171" s="861">
        <v>40497</v>
      </c>
      <c r="M171" s="865">
        <v>4.75</v>
      </c>
      <c r="N171" s="865">
        <v>4.8</v>
      </c>
      <c r="O171" s="865">
        <v>4.9717000000000002</v>
      </c>
      <c r="P171" s="865">
        <v>5.0483000000000002</v>
      </c>
      <c r="Q171" s="865">
        <v>5.0917000000000003</v>
      </c>
      <c r="R171" s="865">
        <v>5.1383000000000001</v>
      </c>
      <c r="S171" s="865">
        <v>5.2</v>
      </c>
      <c r="T171" s="865">
        <v>5.2899000000000003</v>
      </c>
      <c r="V171" s="861">
        <v>40497</v>
      </c>
      <c r="W171" s="865">
        <v>0.22625000000000001</v>
      </c>
      <c r="X171" s="865">
        <v>0.25344</v>
      </c>
      <c r="Y171" s="865">
        <v>0.26828000000000002</v>
      </c>
      <c r="Z171" s="865">
        <v>0.28438000000000002</v>
      </c>
      <c r="AA171" s="865">
        <v>0.33250000000000002</v>
      </c>
      <c r="AB171" s="865">
        <v>0.39218999999999998</v>
      </c>
      <c r="AC171" s="865">
        <v>0.4425</v>
      </c>
      <c r="AD171" s="865">
        <v>0.76480999999999999</v>
      </c>
      <c r="AF171" s="861">
        <v>40505</v>
      </c>
      <c r="AG171" s="865">
        <v>0.44374999999999998</v>
      </c>
      <c r="AH171" s="865">
        <v>0.76375000000000004</v>
      </c>
      <c r="AI171" s="865">
        <v>0.86</v>
      </c>
      <c r="AJ171" s="865">
        <v>0.97375</v>
      </c>
      <c r="AK171" s="865">
        <v>1.0356300000000001</v>
      </c>
      <c r="AL171" s="865">
        <v>1.115</v>
      </c>
      <c r="AM171" s="865">
        <v>1.2112499999999999</v>
      </c>
      <c r="AN171" s="865">
        <v>1.4937499999999999</v>
      </c>
      <c r="AP171" s="861">
        <v>40497</v>
      </c>
      <c r="AQ171" s="865">
        <v>0.55249999999999999</v>
      </c>
      <c r="AR171" s="865">
        <v>0.56938</v>
      </c>
      <c r="AS171" s="865">
        <v>0.62749999999999995</v>
      </c>
      <c r="AT171" s="865">
        <v>0.73750000000000004</v>
      </c>
      <c r="AU171" s="865">
        <v>0.82250000000000001</v>
      </c>
      <c r="AV171" s="865">
        <v>0.92625000000000002</v>
      </c>
      <c r="AW171" s="865">
        <v>1.03</v>
      </c>
      <c r="AX171" s="865">
        <v>1.4850000000000001</v>
      </c>
      <c r="AZ171" s="861">
        <v>40506</v>
      </c>
      <c r="BA171" s="865">
        <v>3</v>
      </c>
      <c r="BB171" s="865">
        <v>3.11</v>
      </c>
      <c r="BC171" s="865">
        <v>3.12</v>
      </c>
      <c r="BD171" s="865">
        <v>3.1666699999999999</v>
      </c>
      <c r="BE171" s="865">
        <v>3.18</v>
      </c>
      <c r="BF171" s="865">
        <v>3.26</v>
      </c>
      <c r="BG171" s="865">
        <v>3.28</v>
      </c>
      <c r="BH171" s="865">
        <v>3.28</v>
      </c>
    </row>
    <row r="172" spans="12:60">
      <c r="L172" s="861">
        <v>40494</v>
      </c>
      <c r="M172" s="865">
        <v>4.75</v>
      </c>
      <c r="N172" s="865">
        <v>4.8433000000000002</v>
      </c>
      <c r="O172" s="865">
        <v>4.9800000000000004</v>
      </c>
      <c r="P172" s="865">
        <v>5.0599999999999996</v>
      </c>
      <c r="Q172" s="865">
        <v>5.0949999999999998</v>
      </c>
      <c r="R172" s="865">
        <v>5.1417000000000002</v>
      </c>
      <c r="S172" s="865">
        <v>5.18</v>
      </c>
      <c r="T172" s="865">
        <v>5.3196000000000003</v>
      </c>
      <c r="V172" s="861">
        <v>40494</v>
      </c>
      <c r="W172" s="865">
        <v>0.22563</v>
      </c>
      <c r="X172" s="865">
        <v>0.25344</v>
      </c>
      <c r="Y172" s="865">
        <v>0.26828000000000002</v>
      </c>
      <c r="Z172" s="865">
        <v>0.28438000000000002</v>
      </c>
      <c r="AA172" s="865">
        <v>0.33250000000000002</v>
      </c>
      <c r="AB172" s="865">
        <v>0.39250000000000002</v>
      </c>
      <c r="AC172" s="865">
        <v>0.44280999999999998</v>
      </c>
      <c r="AD172" s="865">
        <v>0.76280999999999999</v>
      </c>
      <c r="AF172" s="861">
        <v>40504</v>
      </c>
      <c r="AG172" s="865">
        <v>0.45250000000000001</v>
      </c>
      <c r="AH172" s="865">
        <v>0.77</v>
      </c>
      <c r="AI172" s="865">
        <v>0.86063000000000001</v>
      </c>
      <c r="AJ172" s="865">
        <v>0.97624999999999995</v>
      </c>
      <c r="AK172" s="865">
        <v>1.0375000000000001</v>
      </c>
      <c r="AL172" s="865">
        <v>1.11938</v>
      </c>
      <c r="AM172" s="865">
        <v>1.21688</v>
      </c>
      <c r="AN172" s="865">
        <v>1.49813</v>
      </c>
      <c r="AP172" s="861">
        <v>40494</v>
      </c>
      <c r="AQ172" s="865">
        <v>0.55249999999999999</v>
      </c>
      <c r="AR172" s="865">
        <v>0.56999999999999995</v>
      </c>
      <c r="AS172" s="865">
        <v>0.62875000000000003</v>
      </c>
      <c r="AT172" s="865">
        <v>0.73912999999999995</v>
      </c>
      <c r="AU172" s="865">
        <v>0.82287999999999994</v>
      </c>
      <c r="AV172" s="865">
        <v>0.92662999999999995</v>
      </c>
      <c r="AW172" s="865">
        <v>1.0306299999999999</v>
      </c>
      <c r="AX172" s="865">
        <v>1.4850000000000001</v>
      </c>
      <c r="AZ172" s="861">
        <v>40505</v>
      </c>
      <c r="BA172" s="865">
        <v>3</v>
      </c>
      <c r="BB172" s="865">
        <v>3.11</v>
      </c>
      <c r="BC172" s="865">
        <v>3.12</v>
      </c>
      <c r="BD172" s="865">
        <v>3.15</v>
      </c>
      <c r="BE172" s="865">
        <v>3.18</v>
      </c>
      <c r="BF172" s="865">
        <v>3.26</v>
      </c>
      <c r="BG172" s="865">
        <v>3.28</v>
      </c>
      <c r="BH172" s="865">
        <v>3.28</v>
      </c>
    </row>
    <row r="173" spans="12:60">
      <c r="L173" s="861">
        <v>40493</v>
      </c>
      <c r="M173" s="865">
        <v>4.75</v>
      </c>
      <c r="N173" s="865">
        <v>4.8067000000000002</v>
      </c>
      <c r="O173" s="865">
        <v>4.9717000000000002</v>
      </c>
      <c r="P173" s="865">
        <v>5.0650000000000004</v>
      </c>
      <c r="Q173" s="865">
        <v>5.1032999999999999</v>
      </c>
      <c r="R173" s="865">
        <v>5.15</v>
      </c>
      <c r="S173" s="865">
        <v>5.1932999999999998</v>
      </c>
      <c r="T173" s="865">
        <v>5.327</v>
      </c>
      <c r="V173" s="861">
        <v>40493</v>
      </c>
      <c r="W173" s="865">
        <v>0.22563</v>
      </c>
      <c r="X173" s="865">
        <v>0.25344</v>
      </c>
      <c r="Y173" s="865">
        <v>0.26828000000000002</v>
      </c>
      <c r="Z173" s="865">
        <v>0.28563</v>
      </c>
      <c r="AA173" s="865">
        <v>0.33250000000000002</v>
      </c>
      <c r="AB173" s="865">
        <v>0.39250000000000002</v>
      </c>
      <c r="AC173" s="865">
        <v>0.44280999999999998</v>
      </c>
      <c r="AD173" s="865">
        <v>0.75905999999999996</v>
      </c>
      <c r="AF173" s="861">
        <v>40501</v>
      </c>
      <c r="AG173" s="865">
        <v>0.5</v>
      </c>
      <c r="AH173" s="865">
        <v>0.77749999999999997</v>
      </c>
      <c r="AI173" s="865">
        <v>0.86312999999999995</v>
      </c>
      <c r="AJ173" s="865">
        <v>0.97875000000000001</v>
      </c>
      <c r="AK173" s="865">
        <v>1.04</v>
      </c>
      <c r="AL173" s="865">
        <v>1.11938</v>
      </c>
      <c r="AM173" s="865">
        <v>1.2193799999999999</v>
      </c>
      <c r="AN173" s="865">
        <v>1.5</v>
      </c>
      <c r="AP173" s="861">
        <v>40493</v>
      </c>
      <c r="AQ173" s="865">
        <v>0.55249999999999999</v>
      </c>
      <c r="AR173" s="865">
        <v>0.56999999999999995</v>
      </c>
      <c r="AS173" s="865">
        <v>0.62875000000000003</v>
      </c>
      <c r="AT173" s="865">
        <v>0.73912999999999995</v>
      </c>
      <c r="AU173" s="865">
        <v>0.82287999999999994</v>
      </c>
      <c r="AV173" s="865">
        <v>0.92662999999999995</v>
      </c>
      <c r="AW173" s="865">
        <v>1.02938</v>
      </c>
      <c r="AX173" s="865">
        <v>1.4850000000000001</v>
      </c>
      <c r="AZ173" s="861">
        <v>40504</v>
      </c>
      <c r="BA173" s="865">
        <v>3</v>
      </c>
      <c r="BB173" s="865">
        <v>3.1166700000000001</v>
      </c>
      <c r="BC173" s="865">
        <v>3.1266699999999998</v>
      </c>
      <c r="BD173" s="865">
        <v>3.15889</v>
      </c>
      <c r="BE173" s="865">
        <v>3.18</v>
      </c>
      <c r="BF173" s="865">
        <v>3.26</v>
      </c>
      <c r="BG173" s="865">
        <v>3.28</v>
      </c>
      <c r="BH173" s="865">
        <v>3.28</v>
      </c>
    </row>
    <row r="174" spans="12:60">
      <c r="L174" s="861">
        <v>40492</v>
      </c>
      <c r="M174" s="865">
        <v>4.75</v>
      </c>
      <c r="N174" s="865">
        <v>4.8150000000000004</v>
      </c>
      <c r="O174" s="865">
        <v>4.9817</v>
      </c>
      <c r="P174" s="865">
        <v>5.0599999999999996</v>
      </c>
      <c r="Q174" s="865">
        <v>5.1032999999999999</v>
      </c>
      <c r="R174" s="865">
        <v>5.1516999999999999</v>
      </c>
      <c r="S174" s="865">
        <v>5.2</v>
      </c>
      <c r="T174" s="865">
        <v>5.3345000000000002</v>
      </c>
      <c r="V174" s="861">
        <v>40492</v>
      </c>
      <c r="W174" s="865">
        <v>0.22563</v>
      </c>
      <c r="X174" s="865">
        <v>0.25344</v>
      </c>
      <c r="Y174" s="865">
        <v>0.26828000000000002</v>
      </c>
      <c r="Z174" s="865">
        <v>0.28563</v>
      </c>
      <c r="AA174" s="865">
        <v>0.33250000000000002</v>
      </c>
      <c r="AB174" s="865">
        <v>0.39250000000000002</v>
      </c>
      <c r="AC174" s="865">
        <v>0.44280999999999998</v>
      </c>
      <c r="AD174" s="865">
        <v>0.75905999999999996</v>
      </c>
      <c r="AF174" s="861">
        <v>40500</v>
      </c>
      <c r="AG174" s="865">
        <v>0.57250000000000001</v>
      </c>
      <c r="AH174" s="865">
        <v>0.78749999999999998</v>
      </c>
      <c r="AI174" s="865">
        <v>0.86624999999999996</v>
      </c>
      <c r="AJ174" s="865">
        <v>0.97875000000000001</v>
      </c>
      <c r="AK174" s="865">
        <v>1.0406299999999999</v>
      </c>
      <c r="AL174" s="865">
        <v>1.1256299999999999</v>
      </c>
      <c r="AM174" s="865">
        <v>1.2193799999999999</v>
      </c>
      <c r="AN174" s="865">
        <v>1.5024999999999999</v>
      </c>
      <c r="AP174" s="861">
        <v>40492</v>
      </c>
      <c r="AQ174" s="865">
        <v>0.55249999999999999</v>
      </c>
      <c r="AR174" s="865">
        <v>0.56938</v>
      </c>
      <c r="AS174" s="865">
        <v>0.62812999999999997</v>
      </c>
      <c r="AT174" s="865">
        <v>0.73850000000000005</v>
      </c>
      <c r="AU174" s="865">
        <v>0.82162999999999997</v>
      </c>
      <c r="AV174" s="865">
        <v>0.92537999999999998</v>
      </c>
      <c r="AW174" s="865">
        <v>1.02813</v>
      </c>
      <c r="AX174" s="865">
        <v>1.48038</v>
      </c>
      <c r="AZ174" s="861">
        <v>40501</v>
      </c>
      <c r="BA174" s="865">
        <v>3</v>
      </c>
      <c r="BB174" s="865">
        <v>3.13</v>
      </c>
      <c r="BC174" s="865">
        <v>3.1311100000000001</v>
      </c>
      <c r="BD174" s="865">
        <v>3.16</v>
      </c>
      <c r="BE174" s="865">
        <v>3.18</v>
      </c>
      <c r="BF174" s="865">
        <v>3.26</v>
      </c>
      <c r="BG174" s="865">
        <v>3.28</v>
      </c>
      <c r="BH174" s="865">
        <v>3.28</v>
      </c>
    </row>
    <row r="175" spans="12:60">
      <c r="L175" s="861">
        <v>40491</v>
      </c>
      <c r="M175" s="865">
        <v>4.75</v>
      </c>
      <c r="N175" s="865">
        <v>4.82</v>
      </c>
      <c r="O175" s="865">
        <v>4.9450000000000003</v>
      </c>
      <c r="P175" s="865">
        <v>5.0266999999999999</v>
      </c>
      <c r="Q175" s="865">
        <v>5.07</v>
      </c>
      <c r="R175" s="865">
        <v>5.1216999999999997</v>
      </c>
      <c r="S175" s="865">
        <v>5.18</v>
      </c>
      <c r="T175" s="865">
        <v>5.3098000000000001</v>
      </c>
      <c r="V175" s="861">
        <v>40491</v>
      </c>
      <c r="W175" s="865">
        <v>0.22563</v>
      </c>
      <c r="X175" s="865">
        <v>0.25344</v>
      </c>
      <c r="Y175" s="865">
        <v>0.26828000000000002</v>
      </c>
      <c r="Z175" s="865">
        <v>0.28563</v>
      </c>
      <c r="AA175" s="865">
        <v>0.33250000000000002</v>
      </c>
      <c r="AB175" s="865">
        <v>0.39250000000000002</v>
      </c>
      <c r="AC175" s="865">
        <v>0.44280999999999998</v>
      </c>
      <c r="AD175" s="865">
        <v>0.75875000000000004</v>
      </c>
      <c r="AF175" s="861">
        <v>40499</v>
      </c>
      <c r="AG175" s="865">
        <v>0.66125</v>
      </c>
      <c r="AH175" s="865">
        <v>0.79749999999999999</v>
      </c>
      <c r="AI175" s="865">
        <v>0.86812999999999996</v>
      </c>
      <c r="AJ175" s="865">
        <v>0.98312999999999995</v>
      </c>
      <c r="AK175" s="865">
        <v>1.0462499999999999</v>
      </c>
      <c r="AL175" s="865">
        <v>1.1281300000000001</v>
      </c>
      <c r="AM175" s="865">
        <v>1.2231300000000001</v>
      </c>
      <c r="AN175" s="865">
        <v>1.5062500000000001</v>
      </c>
      <c r="AP175" s="861">
        <v>40491</v>
      </c>
      <c r="AQ175" s="865">
        <v>0.55249999999999999</v>
      </c>
      <c r="AR175" s="865">
        <v>0.56938</v>
      </c>
      <c r="AS175" s="865">
        <v>0.62812999999999997</v>
      </c>
      <c r="AT175" s="865">
        <v>0.73912999999999995</v>
      </c>
      <c r="AU175" s="865">
        <v>0.82287999999999994</v>
      </c>
      <c r="AV175" s="865">
        <v>0.92537999999999998</v>
      </c>
      <c r="AW175" s="865">
        <v>1.02938</v>
      </c>
      <c r="AX175" s="865">
        <v>1.48038</v>
      </c>
      <c r="AZ175" s="861">
        <v>40500</v>
      </c>
      <c r="BA175" s="865">
        <v>3</v>
      </c>
      <c r="BB175" s="865">
        <v>3.13</v>
      </c>
      <c r="BC175" s="865">
        <v>3.14</v>
      </c>
      <c r="BD175" s="865">
        <v>3.16</v>
      </c>
      <c r="BE175" s="865">
        <v>3.18</v>
      </c>
      <c r="BF175" s="865">
        <v>3.2566700000000002</v>
      </c>
      <c r="BG175" s="865">
        <v>3.28</v>
      </c>
      <c r="BH175" s="865">
        <v>3.28</v>
      </c>
    </row>
    <row r="176" spans="12:60">
      <c r="L176" s="861">
        <v>40490</v>
      </c>
      <c r="M176" s="865">
        <v>4.75</v>
      </c>
      <c r="N176" s="865">
        <v>4.8033000000000001</v>
      </c>
      <c r="O176" s="865">
        <v>4.9417</v>
      </c>
      <c r="P176" s="865">
        <v>5.01</v>
      </c>
      <c r="Q176" s="865">
        <v>5.0617000000000001</v>
      </c>
      <c r="R176" s="865">
        <v>5.1132999999999997</v>
      </c>
      <c r="S176" s="865">
        <v>5.1867000000000001</v>
      </c>
      <c r="T176" s="865">
        <v>5.3003</v>
      </c>
      <c r="V176" s="861">
        <v>40490</v>
      </c>
      <c r="W176" s="865">
        <v>0.22563</v>
      </c>
      <c r="X176" s="865">
        <v>0.25344</v>
      </c>
      <c r="Y176" s="865">
        <v>0.26828000000000002</v>
      </c>
      <c r="Z176" s="865">
        <v>0.28563</v>
      </c>
      <c r="AA176" s="865">
        <v>0.33250000000000002</v>
      </c>
      <c r="AB176" s="865">
        <v>0.39250000000000002</v>
      </c>
      <c r="AC176" s="865">
        <v>0.4425</v>
      </c>
      <c r="AD176" s="865">
        <v>0.75556000000000001</v>
      </c>
      <c r="AF176" s="861">
        <v>40498</v>
      </c>
      <c r="AG176" s="865">
        <v>0.70250000000000001</v>
      </c>
      <c r="AH176" s="865">
        <v>0.80374999999999996</v>
      </c>
      <c r="AI176" s="865">
        <v>0.87187999999999999</v>
      </c>
      <c r="AJ176" s="865">
        <v>0.98812999999999995</v>
      </c>
      <c r="AK176" s="865">
        <v>1.04813</v>
      </c>
      <c r="AL176" s="865">
        <v>1.1299999999999999</v>
      </c>
      <c r="AM176" s="865">
        <v>1.23</v>
      </c>
      <c r="AN176" s="865">
        <v>1.50875</v>
      </c>
      <c r="AP176" s="861">
        <v>40490</v>
      </c>
      <c r="AQ176" s="865">
        <v>0.55249999999999999</v>
      </c>
      <c r="AR176" s="865">
        <v>0.56938</v>
      </c>
      <c r="AS176" s="865">
        <v>0.62749999999999995</v>
      </c>
      <c r="AT176" s="865">
        <v>0.73850000000000005</v>
      </c>
      <c r="AU176" s="865">
        <v>0.82287999999999994</v>
      </c>
      <c r="AV176" s="865">
        <v>0.92537999999999998</v>
      </c>
      <c r="AW176" s="865">
        <v>1.02938</v>
      </c>
      <c r="AX176" s="865">
        <v>1.48038</v>
      </c>
      <c r="AZ176" s="861">
        <v>40499</v>
      </c>
      <c r="BA176" s="865">
        <v>3</v>
      </c>
      <c r="BB176" s="865">
        <v>3.1266699999999998</v>
      </c>
      <c r="BC176" s="865">
        <v>3.14</v>
      </c>
      <c r="BD176" s="865">
        <v>3.16</v>
      </c>
      <c r="BE176" s="865">
        <v>3.18</v>
      </c>
      <c r="BF176" s="865">
        <v>3.26</v>
      </c>
      <c r="BG176" s="865">
        <v>3.28</v>
      </c>
      <c r="BH176" s="865">
        <v>3.28</v>
      </c>
    </row>
    <row r="177" spans="12:60">
      <c r="L177" s="861">
        <v>40487</v>
      </c>
      <c r="M177" s="865">
        <v>4.75</v>
      </c>
      <c r="N177" s="865">
        <v>4.8033000000000001</v>
      </c>
      <c r="O177" s="865">
        <v>4.915</v>
      </c>
      <c r="P177" s="865">
        <v>4.9932999999999996</v>
      </c>
      <c r="Q177" s="865">
        <v>5.05</v>
      </c>
      <c r="R177" s="865">
        <v>5.1050000000000004</v>
      </c>
      <c r="S177" s="865">
        <v>5.1717000000000004</v>
      </c>
      <c r="T177" s="865">
        <v>5.2713000000000001</v>
      </c>
      <c r="V177" s="861">
        <v>40487</v>
      </c>
      <c r="W177" s="865">
        <v>0.22563</v>
      </c>
      <c r="X177" s="865">
        <v>0.25344</v>
      </c>
      <c r="Y177" s="865">
        <v>0.26828000000000002</v>
      </c>
      <c r="Z177" s="865">
        <v>0.28563</v>
      </c>
      <c r="AA177" s="865">
        <v>0.33250000000000002</v>
      </c>
      <c r="AB177" s="865">
        <v>0.39250000000000002</v>
      </c>
      <c r="AC177" s="865">
        <v>0.44188</v>
      </c>
      <c r="AD177" s="865">
        <v>0.75524999999999998</v>
      </c>
      <c r="AF177" s="861">
        <v>40497</v>
      </c>
      <c r="AG177" s="865">
        <v>0.72624999999999995</v>
      </c>
      <c r="AH177" s="865">
        <v>0.8075</v>
      </c>
      <c r="AI177" s="865">
        <v>0.87749999999999995</v>
      </c>
      <c r="AJ177" s="865">
        <v>0.99124999999999996</v>
      </c>
      <c r="AK177" s="865">
        <v>1.04938</v>
      </c>
      <c r="AL177" s="865">
        <v>1.1325000000000001</v>
      </c>
      <c r="AM177" s="865">
        <v>1.2324999999999999</v>
      </c>
      <c r="AN177" s="865">
        <v>1.51125</v>
      </c>
      <c r="AP177" s="861">
        <v>40487</v>
      </c>
      <c r="AQ177" s="865">
        <v>0.55249999999999999</v>
      </c>
      <c r="AR177" s="865">
        <v>0.56874999999999998</v>
      </c>
      <c r="AS177" s="865">
        <v>0.62749999999999995</v>
      </c>
      <c r="AT177" s="865">
        <v>0.73912999999999995</v>
      </c>
      <c r="AU177" s="865">
        <v>0.82225000000000004</v>
      </c>
      <c r="AV177" s="865">
        <v>0.92500000000000004</v>
      </c>
      <c r="AW177" s="865">
        <v>1.0287500000000001</v>
      </c>
      <c r="AX177" s="865">
        <v>1.4793799999999999</v>
      </c>
      <c r="AZ177" s="861">
        <v>40498</v>
      </c>
      <c r="BA177" s="865">
        <v>3</v>
      </c>
      <c r="BB177" s="865">
        <v>3.12</v>
      </c>
      <c r="BC177" s="865">
        <v>3.1433300000000002</v>
      </c>
      <c r="BD177" s="865">
        <v>3.18</v>
      </c>
      <c r="BE177" s="865">
        <v>3.19</v>
      </c>
      <c r="BF177" s="865">
        <v>3.26</v>
      </c>
      <c r="BG177" s="865">
        <v>3.28</v>
      </c>
      <c r="BH177" s="865">
        <v>3.28</v>
      </c>
    </row>
    <row r="178" spans="12:60">
      <c r="L178" s="861">
        <v>40486</v>
      </c>
      <c r="M178" s="865">
        <v>4.75</v>
      </c>
      <c r="N178" s="865">
        <v>4.8</v>
      </c>
      <c r="O178" s="865">
        <v>4.9116999999999997</v>
      </c>
      <c r="P178" s="865">
        <v>4.95</v>
      </c>
      <c r="Q178" s="865">
        <v>5.0083000000000002</v>
      </c>
      <c r="R178" s="865">
        <v>5.0632999999999999</v>
      </c>
      <c r="S178" s="865">
        <v>5.1166999999999998</v>
      </c>
      <c r="T178" s="865">
        <v>5.2489999999999997</v>
      </c>
      <c r="V178" s="861">
        <v>40486</v>
      </c>
      <c r="W178" s="865">
        <v>0.22563</v>
      </c>
      <c r="X178" s="865">
        <v>0.25344</v>
      </c>
      <c r="Y178" s="865">
        <v>0.26828000000000002</v>
      </c>
      <c r="Z178" s="865">
        <v>0.28563</v>
      </c>
      <c r="AA178" s="865">
        <v>0.33312999999999998</v>
      </c>
      <c r="AB178" s="865">
        <v>0.39312999999999998</v>
      </c>
      <c r="AC178" s="865">
        <v>0.4425</v>
      </c>
      <c r="AD178" s="865">
        <v>0.75600000000000001</v>
      </c>
      <c r="AF178" s="861">
        <v>40494</v>
      </c>
      <c r="AG178" s="865">
        <v>0.73124999999999996</v>
      </c>
      <c r="AH178" s="865">
        <v>0.80874999999999997</v>
      </c>
      <c r="AI178" s="865">
        <v>0.87749999999999995</v>
      </c>
      <c r="AJ178" s="865">
        <v>0.99250000000000005</v>
      </c>
      <c r="AK178" s="865">
        <v>1.05063</v>
      </c>
      <c r="AL178" s="865">
        <v>1.13375</v>
      </c>
      <c r="AM178" s="865">
        <v>1.2337499999999999</v>
      </c>
      <c r="AN178" s="865">
        <v>1.5125</v>
      </c>
      <c r="AP178" s="861">
        <v>40486</v>
      </c>
      <c r="AQ178" s="865">
        <v>0.55374999999999996</v>
      </c>
      <c r="AR178" s="865">
        <v>0.56874999999999998</v>
      </c>
      <c r="AS178" s="865">
        <v>0.62749999999999995</v>
      </c>
      <c r="AT178" s="865">
        <v>0.73912999999999995</v>
      </c>
      <c r="AU178" s="865">
        <v>0.82225000000000004</v>
      </c>
      <c r="AV178" s="865">
        <v>0.92500000000000004</v>
      </c>
      <c r="AW178" s="865">
        <v>1.0287500000000001</v>
      </c>
      <c r="AX178" s="865">
        <v>1.4793799999999999</v>
      </c>
      <c r="AZ178" s="861">
        <v>40497</v>
      </c>
      <c r="BA178" s="865">
        <v>3</v>
      </c>
      <c r="BB178" s="865">
        <v>3.12</v>
      </c>
      <c r="BC178" s="865">
        <v>3.14778</v>
      </c>
      <c r="BD178" s="865">
        <v>3.16</v>
      </c>
      <c r="BE178" s="865">
        <v>3.21556</v>
      </c>
      <c r="BF178" s="865">
        <v>3.24</v>
      </c>
      <c r="BG178" s="865">
        <v>3.28</v>
      </c>
      <c r="BH178" s="865">
        <v>3.28</v>
      </c>
    </row>
    <row r="179" spans="12:60">
      <c r="L179" s="861">
        <v>40485</v>
      </c>
      <c r="M179" s="865">
        <v>4.75</v>
      </c>
      <c r="N179" s="865">
        <v>4.8182999999999998</v>
      </c>
      <c r="O179" s="865">
        <v>4.9000000000000004</v>
      </c>
      <c r="P179" s="865">
        <v>4.95</v>
      </c>
      <c r="Q179" s="865">
        <v>5.0133000000000001</v>
      </c>
      <c r="R179" s="865">
        <v>5.0599999999999996</v>
      </c>
      <c r="S179" s="865">
        <v>5.1150000000000002</v>
      </c>
      <c r="T179" s="865">
        <v>5.2275999999999998</v>
      </c>
      <c r="V179" s="861">
        <v>40485</v>
      </c>
      <c r="W179" s="865">
        <v>0.22563</v>
      </c>
      <c r="X179" s="865">
        <v>0.25374999999999998</v>
      </c>
      <c r="Y179" s="865">
        <v>0.26859</v>
      </c>
      <c r="Z179" s="865">
        <v>0.28594000000000003</v>
      </c>
      <c r="AA179" s="865">
        <v>0.33374999999999999</v>
      </c>
      <c r="AB179" s="865">
        <v>0.39500000000000002</v>
      </c>
      <c r="AC179" s="865">
        <v>0.44438</v>
      </c>
      <c r="AD179" s="865">
        <v>0.76037999999999994</v>
      </c>
      <c r="AF179" s="861">
        <v>40493</v>
      </c>
      <c r="AG179" s="865">
        <v>0.74</v>
      </c>
      <c r="AH179" s="865">
        <v>0.81</v>
      </c>
      <c r="AI179" s="865">
        <v>0.88</v>
      </c>
      <c r="AJ179" s="865">
        <v>0.99312999999999996</v>
      </c>
      <c r="AK179" s="865">
        <v>1.05063</v>
      </c>
      <c r="AL179" s="865">
        <v>1.13375</v>
      </c>
      <c r="AM179" s="865">
        <v>1.2337499999999999</v>
      </c>
      <c r="AN179" s="865">
        <v>1.5131300000000001</v>
      </c>
      <c r="AP179" s="861">
        <v>40485</v>
      </c>
      <c r="AQ179" s="865">
        <v>0.55374999999999996</v>
      </c>
      <c r="AR179" s="865">
        <v>0.56874999999999998</v>
      </c>
      <c r="AS179" s="865">
        <v>0.62749999999999995</v>
      </c>
      <c r="AT179" s="865">
        <v>0.73912999999999995</v>
      </c>
      <c r="AU179" s="865">
        <v>0.82350000000000001</v>
      </c>
      <c r="AV179" s="865">
        <v>0.92500000000000004</v>
      </c>
      <c r="AW179" s="865">
        <v>1.0275000000000001</v>
      </c>
      <c r="AX179" s="865">
        <v>1.4791300000000001</v>
      </c>
      <c r="AZ179" s="861">
        <v>40494</v>
      </c>
      <c r="BA179" s="865">
        <v>3</v>
      </c>
      <c r="BB179" s="865">
        <v>3.13</v>
      </c>
      <c r="BC179" s="865">
        <v>3.15</v>
      </c>
      <c r="BD179" s="865">
        <v>3.1722199999999998</v>
      </c>
      <c r="BE179" s="865">
        <v>3.22</v>
      </c>
      <c r="BF179" s="865">
        <v>3.24</v>
      </c>
      <c r="BG179" s="865">
        <v>3.28</v>
      </c>
      <c r="BH179" s="865">
        <v>3.28</v>
      </c>
    </row>
    <row r="180" spans="12:60">
      <c r="L180" s="861">
        <v>40484</v>
      </c>
      <c r="M180" s="865">
        <v>4.5</v>
      </c>
      <c r="N180" s="865">
        <v>4.6266999999999996</v>
      </c>
      <c r="O180" s="865">
        <v>4.75</v>
      </c>
      <c r="P180" s="865">
        <v>4.8250000000000002</v>
      </c>
      <c r="Q180" s="865">
        <v>4.8883000000000001</v>
      </c>
      <c r="R180" s="865">
        <v>4.9550000000000001</v>
      </c>
      <c r="S180" s="865">
        <v>5.0517000000000003</v>
      </c>
      <c r="T180" s="865">
        <v>5.101</v>
      </c>
      <c r="V180" s="861">
        <v>40484</v>
      </c>
      <c r="W180" s="865">
        <v>0.22563</v>
      </c>
      <c r="X180" s="865">
        <v>0.25374999999999998</v>
      </c>
      <c r="Y180" s="865">
        <v>0.26859</v>
      </c>
      <c r="Z180" s="865">
        <v>0.28594000000000003</v>
      </c>
      <c r="AA180" s="865">
        <v>0.33500000000000002</v>
      </c>
      <c r="AB180" s="865">
        <v>0.39624999999999999</v>
      </c>
      <c r="AC180" s="865">
        <v>0.44563000000000003</v>
      </c>
      <c r="AD180" s="865">
        <v>0.76037999999999994</v>
      </c>
      <c r="AF180" s="861">
        <v>40492</v>
      </c>
      <c r="AG180" s="865">
        <v>0.745</v>
      </c>
      <c r="AH180" s="865">
        <v>0.81</v>
      </c>
      <c r="AI180" s="865">
        <v>0.87749999999999995</v>
      </c>
      <c r="AJ180" s="865">
        <v>0.99375000000000002</v>
      </c>
      <c r="AK180" s="865">
        <v>1.0518799999999999</v>
      </c>
      <c r="AL180" s="865">
        <v>1.1325000000000001</v>
      </c>
      <c r="AM180" s="865">
        <v>1.23125</v>
      </c>
      <c r="AN180" s="865">
        <v>1.5137499999999999</v>
      </c>
      <c r="AP180" s="861">
        <v>40484</v>
      </c>
      <c r="AQ180" s="865">
        <v>0.55374999999999996</v>
      </c>
      <c r="AR180" s="865">
        <v>0.56874999999999998</v>
      </c>
      <c r="AS180" s="865">
        <v>0.62749999999999995</v>
      </c>
      <c r="AT180" s="865">
        <v>0.74038000000000004</v>
      </c>
      <c r="AU180" s="865">
        <v>0.82474999999999998</v>
      </c>
      <c r="AV180" s="865">
        <v>0.92625000000000002</v>
      </c>
      <c r="AW180" s="865">
        <v>1.0287500000000001</v>
      </c>
      <c r="AX180" s="865">
        <v>1.4791300000000001</v>
      </c>
      <c r="AZ180" s="861">
        <v>40493</v>
      </c>
      <c r="BA180" s="865">
        <v>3</v>
      </c>
      <c r="BB180" s="865">
        <v>3.13</v>
      </c>
      <c r="BC180" s="865">
        <v>3.15</v>
      </c>
      <c r="BD180" s="865">
        <v>3.18</v>
      </c>
      <c r="BE180" s="865">
        <v>3.22</v>
      </c>
      <c r="BF180" s="865">
        <v>3.2411099999999999</v>
      </c>
      <c r="BG180" s="865">
        <v>3.28</v>
      </c>
      <c r="BH180" s="865">
        <v>3.28</v>
      </c>
    </row>
    <row r="181" spans="12:60">
      <c r="L181" s="861">
        <v>40483</v>
      </c>
      <c r="M181" s="865">
        <v>4.5</v>
      </c>
      <c r="N181" s="865">
        <v>4.6233000000000004</v>
      </c>
      <c r="O181" s="865">
        <v>4.7300000000000004</v>
      </c>
      <c r="P181" s="865">
        <v>4.8017000000000003</v>
      </c>
      <c r="Q181" s="865">
        <v>4.8616999999999999</v>
      </c>
      <c r="R181" s="865">
        <v>4.93</v>
      </c>
      <c r="S181" s="865">
        <v>5.0067000000000004</v>
      </c>
      <c r="T181" s="865">
        <v>5.0644</v>
      </c>
      <c r="V181" s="861">
        <v>40483</v>
      </c>
      <c r="W181" s="865">
        <v>0.22563</v>
      </c>
      <c r="X181" s="865">
        <v>0.25374999999999998</v>
      </c>
      <c r="Y181" s="865">
        <v>0.26859</v>
      </c>
      <c r="Z181" s="865">
        <v>0.28594000000000003</v>
      </c>
      <c r="AA181" s="865">
        <v>0.33500000000000002</v>
      </c>
      <c r="AB181" s="865">
        <v>0.39624999999999999</v>
      </c>
      <c r="AC181" s="865">
        <v>0.44563000000000003</v>
      </c>
      <c r="AD181" s="865">
        <v>0.76037999999999994</v>
      </c>
      <c r="AF181" s="861">
        <v>40491</v>
      </c>
      <c r="AG181" s="865">
        <v>0.76624999999999999</v>
      </c>
      <c r="AH181" s="865">
        <v>0.81125000000000003</v>
      </c>
      <c r="AI181" s="865">
        <v>0.87749999999999995</v>
      </c>
      <c r="AJ181" s="865">
        <v>0.995</v>
      </c>
      <c r="AK181" s="865">
        <v>1.0531299999999999</v>
      </c>
      <c r="AL181" s="865">
        <v>1.13375</v>
      </c>
      <c r="AM181" s="865">
        <v>1.23125</v>
      </c>
      <c r="AN181" s="865">
        <v>1.5137499999999999</v>
      </c>
      <c r="AP181" s="861">
        <v>40483</v>
      </c>
      <c r="AQ181" s="865">
        <v>0.55374999999999996</v>
      </c>
      <c r="AR181" s="865">
        <v>0.56874999999999998</v>
      </c>
      <c r="AS181" s="865">
        <v>0.62687999999999999</v>
      </c>
      <c r="AT181" s="865">
        <v>0.74099999999999999</v>
      </c>
      <c r="AU181" s="865">
        <v>0.82413000000000003</v>
      </c>
      <c r="AV181" s="865">
        <v>0.92813000000000001</v>
      </c>
      <c r="AW181" s="865">
        <v>1.03</v>
      </c>
      <c r="AX181" s="865">
        <v>1.48038</v>
      </c>
      <c r="AZ181" s="861">
        <v>40492</v>
      </c>
      <c r="BA181" s="865">
        <v>3</v>
      </c>
      <c r="BB181" s="865">
        <v>3.13</v>
      </c>
      <c r="BC181" s="865">
        <v>3.17</v>
      </c>
      <c r="BD181" s="865">
        <v>3.17</v>
      </c>
      <c r="BE181" s="865">
        <v>3.22</v>
      </c>
      <c r="BF181" s="865">
        <v>3.24</v>
      </c>
      <c r="BG181" s="865">
        <v>3.28</v>
      </c>
      <c r="BH181" s="865">
        <v>3.28</v>
      </c>
    </row>
    <row r="182" spans="12:60">
      <c r="L182" s="861">
        <v>40480</v>
      </c>
      <c r="M182" s="865">
        <v>4.5</v>
      </c>
      <c r="N182" s="865">
        <v>4.68</v>
      </c>
      <c r="O182" s="865">
        <v>4.7432999999999996</v>
      </c>
      <c r="P182" s="865">
        <v>4.8716999999999997</v>
      </c>
      <c r="Q182" s="865">
        <v>4.9267000000000003</v>
      </c>
      <c r="R182" s="865">
        <v>4.9832999999999998</v>
      </c>
      <c r="S182" s="865">
        <v>5.07</v>
      </c>
      <c r="T182" s="865">
        <v>5.1020000000000003</v>
      </c>
      <c r="V182" s="861">
        <v>40480</v>
      </c>
      <c r="W182" s="865">
        <v>0.22563</v>
      </c>
      <c r="X182" s="865">
        <v>0.25374999999999998</v>
      </c>
      <c r="Y182" s="865">
        <v>0.26766000000000001</v>
      </c>
      <c r="Z182" s="865">
        <v>0.28594000000000003</v>
      </c>
      <c r="AA182" s="865">
        <v>0.33500000000000002</v>
      </c>
      <c r="AB182" s="865">
        <v>0.39750000000000002</v>
      </c>
      <c r="AC182" s="865">
        <v>0.44844000000000001</v>
      </c>
      <c r="AD182" s="865">
        <v>0.76219000000000003</v>
      </c>
      <c r="AF182" s="861">
        <v>40490</v>
      </c>
      <c r="AG182" s="865">
        <v>0.33500000000000002</v>
      </c>
      <c r="AH182" s="865">
        <v>0.80625000000000002</v>
      </c>
      <c r="AI182" s="865">
        <v>0.87624999999999997</v>
      </c>
      <c r="AJ182" s="865">
        <v>0.99250000000000005</v>
      </c>
      <c r="AK182" s="865">
        <v>1.0518799999999999</v>
      </c>
      <c r="AL182" s="865">
        <v>1.13375</v>
      </c>
      <c r="AM182" s="865">
        <v>1.23125</v>
      </c>
      <c r="AN182" s="865">
        <v>1.5125</v>
      </c>
      <c r="AP182" s="861">
        <v>40480</v>
      </c>
      <c r="AQ182" s="865">
        <v>0.55374999999999996</v>
      </c>
      <c r="AR182" s="865">
        <v>0.56874999999999998</v>
      </c>
      <c r="AS182" s="865">
        <v>0.62687999999999999</v>
      </c>
      <c r="AT182" s="865">
        <v>0.74099999999999999</v>
      </c>
      <c r="AU182" s="865">
        <v>0.82413000000000003</v>
      </c>
      <c r="AV182" s="865">
        <v>0.92813000000000001</v>
      </c>
      <c r="AW182" s="865">
        <v>1.03</v>
      </c>
      <c r="AX182" s="865">
        <v>1.48038</v>
      </c>
      <c r="AZ182" s="861">
        <v>40491</v>
      </c>
      <c r="BA182" s="865">
        <v>3</v>
      </c>
      <c r="BB182" s="865">
        <v>3.13</v>
      </c>
      <c r="BC182" s="865">
        <v>3.17</v>
      </c>
      <c r="BD182" s="865">
        <v>3.17889</v>
      </c>
      <c r="BE182" s="865">
        <v>3.22</v>
      </c>
      <c r="BF182" s="865">
        <v>3.2411099999999999</v>
      </c>
      <c r="BG182" s="865">
        <v>3.28</v>
      </c>
      <c r="BH182" s="865">
        <v>3.28</v>
      </c>
    </row>
    <row r="183" spans="12:60">
      <c r="L183" s="861">
        <v>40479</v>
      </c>
      <c r="M183" s="865">
        <v>4.5</v>
      </c>
      <c r="N183" s="865">
        <v>4.6399999999999997</v>
      </c>
      <c r="O183" s="865">
        <v>4.7149999999999999</v>
      </c>
      <c r="P183" s="865">
        <v>4.7916999999999996</v>
      </c>
      <c r="Q183" s="865">
        <v>4.8483000000000001</v>
      </c>
      <c r="R183" s="865">
        <v>4.9166999999999996</v>
      </c>
      <c r="S183" s="865">
        <v>4.99</v>
      </c>
      <c r="T183" s="865">
        <v>5.1043000000000003</v>
      </c>
      <c r="V183" s="861">
        <v>40479</v>
      </c>
      <c r="W183" s="865">
        <v>0.22563</v>
      </c>
      <c r="X183" s="865">
        <v>0.25406000000000001</v>
      </c>
      <c r="Y183" s="865">
        <v>0.27016000000000001</v>
      </c>
      <c r="Z183" s="865">
        <v>0.28688000000000002</v>
      </c>
      <c r="AA183" s="865">
        <v>0.33781</v>
      </c>
      <c r="AB183" s="865">
        <v>0.40155999999999997</v>
      </c>
      <c r="AC183" s="865">
        <v>0.44980999999999999</v>
      </c>
      <c r="AD183" s="865">
        <v>0.76400000000000001</v>
      </c>
      <c r="AF183" s="861">
        <v>40487</v>
      </c>
      <c r="AG183" s="865">
        <v>0.35749999999999998</v>
      </c>
      <c r="AH183" s="865">
        <v>0.8125</v>
      </c>
      <c r="AI183" s="865">
        <v>0.87250000000000005</v>
      </c>
      <c r="AJ183" s="865">
        <v>0.99375000000000002</v>
      </c>
      <c r="AK183" s="865">
        <v>1.0518799999999999</v>
      </c>
      <c r="AL183" s="865">
        <v>1.13375</v>
      </c>
      <c r="AM183" s="865">
        <v>1.23125</v>
      </c>
      <c r="AN183" s="865">
        <v>1.50813</v>
      </c>
      <c r="AP183" s="861">
        <v>40479</v>
      </c>
      <c r="AQ183" s="865">
        <v>0.55249999999999999</v>
      </c>
      <c r="AR183" s="865">
        <v>0.56874999999999998</v>
      </c>
      <c r="AS183" s="865">
        <v>0.62812999999999997</v>
      </c>
      <c r="AT183" s="865">
        <v>0.74224999999999997</v>
      </c>
      <c r="AU183" s="865">
        <v>0.82413000000000003</v>
      </c>
      <c r="AV183" s="865">
        <v>0.92688000000000004</v>
      </c>
      <c r="AW183" s="865">
        <v>1.03</v>
      </c>
      <c r="AX183" s="865">
        <v>1.48038</v>
      </c>
      <c r="AZ183" s="861">
        <v>40490</v>
      </c>
      <c r="BA183" s="865">
        <v>3</v>
      </c>
      <c r="BB183" s="865">
        <v>3.13</v>
      </c>
      <c r="BC183" s="865">
        <v>3.1666699999999999</v>
      </c>
      <c r="BD183" s="865">
        <v>3.16</v>
      </c>
      <c r="BE183" s="865">
        <v>3.22</v>
      </c>
      <c r="BF183" s="865">
        <v>3.24</v>
      </c>
      <c r="BG183" s="865">
        <v>3.28</v>
      </c>
      <c r="BH183" s="865">
        <v>3.28</v>
      </c>
    </row>
    <row r="184" spans="12:60">
      <c r="L184" s="861">
        <v>40478</v>
      </c>
      <c r="M184" s="865">
        <v>4.5</v>
      </c>
      <c r="N184" s="865">
        <v>4.67</v>
      </c>
      <c r="O184" s="865">
        <v>4.7766999999999999</v>
      </c>
      <c r="P184" s="865">
        <v>4.8567</v>
      </c>
      <c r="Q184" s="865">
        <v>4.9382999999999999</v>
      </c>
      <c r="R184" s="865">
        <v>5.0250000000000004</v>
      </c>
      <c r="S184" s="865">
        <v>5.12</v>
      </c>
      <c r="T184" s="865">
        <v>5.2009999999999996</v>
      </c>
      <c r="V184" s="861">
        <v>40478</v>
      </c>
      <c r="W184" s="865">
        <v>0.22563</v>
      </c>
      <c r="X184" s="865">
        <v>0.25530999999999998</v>
      </c>
      <c r="Y184" s="865">
        <v>0.27078000000000002</v>
      </c>
      <c r="Z184" s="865">
        <v>0.28813</v>
      </c>
      <c r="AA184" s="865">
        <v>0.33968999999999999</v>
      </c>
      <c r="AB184" s="865">
        <v>0.40155999999999997</v>
      </c>
      <c r="AC184" s="865">
        <v>0.45030999999999999</v>
      </c>
      <c r="AD184" s="865">
        <v>0.76537999999999995</v>
      </c>
      <c r="AF184" s="861">
        <v>40486</v>
      </c>
      <c r="AG184" s="865">
        <v>0.45</v>
      </c>
      <c r="AH184" s="865">
        <v>0.8075</v>
      </c>
      <c r="AI184" s="865">
        <v>0.87063000000000001</v>
      </c>
      <c r="AJ184" s="865">
        <v>0.99</v>
      </c>
      <c r="AK184" s="865">
        <v>1.0475000000000001</v>
      </c>
      <c r="AL184" s="865">
        <v>1.1325000000000001</v>
      </c>
      <c r="AM184" s="865">
        <v>1.2281299999999999</v>
      </c>
      <c r="AN184" s="865">
        <v>1.50563</v>
      </c>
      <c r="AP184" s="861">
        <v>40478</v>
      </c>
      <c r="AQ184" s="865">
        <v>0.55249999999999999</v>
      </c>
      <c r="AR184" s="865">
        <v>0.56874999999999998</v>
      </c>
      <c r="AS184" s="865">
        <v>0.62812999999999997</v>
      </c>
      <c r="AT184" s="865">
        <v>0.73975000000000002</v>
      </c>
      <c r="AU184" s="865">
        <v>0.82413000000000003</v>
      </c>
      <c r="AV184" s="865">
        <v>0.92688000000000004</v>
      </c>
      <c r="AW184" s="865">
        <v>1.03</v>
      </c>
      <c r="AX184" s="865">
        <v>1.4791300000000001</v>
      </c>
      <c r="AZ184" s="861">
        <v>40487</v>
      </c>
      <c r="BA184" s="865">
        <v>3</v>
      </c>
      <c r="BB184" s="865">
        <v>3.13</v>
      </c>
      <c r="BC184" s="865">
        <v>3.1687500000000002</v>
      </c>
      <c r="BD184" s="865">
        <v>3.1662499999999998</v>
      </c>
      <c r="BE184" s="865">
        <v>3.22</v>
      </c>
      <c r="BF184" s="865">
        <v>3.24</v>
      </c>
      <c r="BG184" s="865">
        <v>3.28</v>
      </c>
      <c r="BH184" s="865">
        <v>3.28</v>
      </c>
    </row>
    <row r="185" spans="12:60">
      <c r="L185" s="861">
        <v>40477</v>
      </c>
      <c r="M185" s="865">
        <v>4.5</v>
      </c>
      <c r="N185" s="865">
        <v>4.6516999999999999</v>
      </c>
      <c r="O185" s="865">
        <v>4.7766999999999999</v>
      </c>
      <c r="P185" s="865">
        <v>4.8600000000000003</v>
      </c>
      <c r="Q185" s="865">
        <v>4.9400000000000004</v>
      </c>
      <c r="R185" s="865">
        <v>5.04</v>
      </c>
      <c r="S185" s="865">
        <v>5.1449999999999996</v>
      </c>
      <c r="T185" s="865">
        <v>5.2117000000000004</v>
      </c>
      <c r="V185" s="861">
        <v>40477</v>
      </c>
      <c r="W185" s="865">
        <v>0.22563</v>
      </c>
      <c r="X185" s="865">
        <v>0.25530999999999998</v>
      </c>
      <c r="Y185" s="865">
        <v>0.27109</v>
      </c>
      <c r="Z185" s="865">
        <v>0.28843999999999997</v>
      </c>
      <c r="AA185" s="865">
        <v>0.33968999999999999</v>
      </c>
      <c r="AB185" s="865">
        <v>0.40155999999999997</v>
      </c>
      <c r="AC185" s="865">
        <v>0.45124999999999998</v>
      </c>
      <c r="AD185" s="865">
        <v>0.76524999999999999</v>
      </c>
      <c r="AF185" s="861">
        <v>40485</v>
      </c>
      <c r="AG185" s="865">
        <v>0.58125000000000004</v>
      </c>
      <c r="AH185" s="865">
        <v>0.80625000000000002</v>
      </c>
      <c r="AI185" s="865">
        <v>0.86812999999999996</v>
      </c>
      <c r="AJ185" s="865">
        <v>0.99</v>
      </c>
      <c r="AK185" s="865">
        <v>1.0475000000000001</v>
      </c>
      <c r="AL185" s="865">
        <v>1.1325000000000001</v>
      </c>
      <c r="AM185" s="865">
        <v>1.2281299999999999</v>
      </c>
      <c r="AN185" s="865">
        <v>1.50563</v>
      </c>
      <c r="AP185" s="861">
        <v>40477</v>
      </c>
      <c r="AQ185" s="865">
        <v>0.55249999999999999</v>
      </c>
      <c r="AR185" s="865">
        <v>0.56874999999999998</v>
      </c>
      <c r="AS185" s="865">
        <v>0.62563000000000002</v>
      </c>
      <c r="AT185" s="865">
        <v>0.73724999999999996</v>
      </c>
      <c r="AU185" s="865">
        <v>0.82287999999999994</v>
      </c>
      <c r="AV185" s="865">
        <v>0.92562999999999995</v>
      </c>
      <c r="AW185" s="865">
        <v>1.0275000000000001</v>
      </c>
      <c r="AX185" s="865">
        <v>1.4753799999999999</v>
      </c>
      <c r="AZ185" s="861">
        <v>40486</v>
      </c>
      <c r="BA185" s="865">
        <v>3</v>
      </c>
      <c r="BB185" s="865">
        <v>3.13</v>
      </c>
      <c r="BC185" s="865">
        <v>3.17</v>
      </c>
      <c r="BD185" s="865">
        <v>3.1833300000000002</v>
      </c>
      <c r="BE185" s="865">
        <v>3.22</v>
      </c>
      <c r="BF185" s="865">
        <v>3.24</v>
      </c>
      <c r="BG185" s="865">
        <v>3.28</v>
      </c>
      <c r="BH185" s="865">
        <v>3.28</v>
      </c>
    </row>
    <row r="186" spans="12:60">
      <c r="L186" s="861">
        <v>40476</v>
      </c>
      <c r="M186" s="865">
        <v>4.5</v>
      </c>
      <c r="N186" s="865">
        <v>4.63</v>
      </c>
      <c r="O186" s="865">
        <v>4.7350000000000003</v>
      </c>
      <c r="P186" s="865">
        <v>4.7866999999999997</v>
      </c>
      <c r="Q186" s="865">
        <v>4.8783000000000003</v>
      </c>
      <c r="R186" s="865">
        <v>4.9800000000000004</v>
      </c>
      <c r="S186" s="865">
        <v>5.0967000000000002</v>
      </c>
      <c r="T186" s="865">
        <v>5.1432000000000002</v>
      </c>
      <c r="V186" s="861">
        <v>40476</v>
      </c>
      <c r="W186" s="865">
        <v>0.22563</v>
      </c>
      <c r="X186" s="865">
        <v>0.25624999999999998</v>
      </c>
      <c r="Y186" s="865">
        <v>0.27109</v>
      </c>
      <c r="Z186" s="865">
        <v>0.28843999999999997</v>
      </c>
      <c r="AA186" s="865">
        <v>0.34218999999999999</v>
      </c>
      <c r="AB186" s="865">
        <v>0.40281</v>
      </c>
      <c r="AC186" s="865">
        <v>0.45250000000000001</v>
      </c>
      <c r="AD186" s="865">
        <v>0.76524999999999999</v>
      </c>
      <c r="AF186" s="861">
        <v>40484</v>
      </c>
      <c r="AG186" s="865">
        <v>0.63749999999999996</v>
      </c>
      <c r="AH186" s="865">
        <v>0.80688000000000004</v>
      </c>
      <c r="AI186" s="865">
        <v>0.86438000000000004</v>
      </c>
      <c r="AJ186" s="865">
        <v>0.98750000000000004</v>
      </c>
      <c r="AK186" s="865">
        <v>1.0449999999999999</v>
      </c>
      <c r="AL186" s="865">
        <v>1.1312500000000001</v>
      </c>
      <c r="AM186" s="865">
        <v>1.2262500000000001</v>
      </c>
      <c r="AN186" s="865">
        <v>1.50563</v>
      </c>
      <c r="AP186" s="861">
        <v>40476</v>
      </c>
      <c r="AQ186" s="865">
        <v>0.55249999999999999</v>
      </c>
      <c r="AR186" s="865">
        <v>0.56874999999999998</v>
      </c>
      <c r="AS186" s="865">
        <v>0.62563000000000002</v>
      </c>
      <c r="AT186" s="865">
        <v>0.73724999999999996</v>
      </c>
      <c r="AU186" s="865">
        <v>0.82272000000000001</v>
      </c>
      <c r="AV186" s="865">
        <v>0.92562999999999995</v>
      </c>
      <c r="AW186" s="865">
        <v>1.0275000000000001</v>
      </c>
      <c r="AX186" s="865">
        <v>1.47319</v>
      </c>
      <c r="AZ186" s="861">
        <v>40485</v>
      </c>
      <c r="BA186" s="865">
        <v>3</v>
      </c>
      <c r="BB186" s="865">
        <v>3.13</v>
      </c>
      <c r="BC186" s="865">
        <v>3.17</v>
      </c>
      <c r="BD186" s="865">
        <v>3.1755599999999999</v>
      </c>
      <c r="BE186" s="865">
        <v>3.22</v>
      </c>
      <c r="BF186" s="865">
        <v>3.24</v>
      </c>
      <c r="BG186" s="865">
        <v>3.28</v>
      </c>
      <c r="BH186" s="865">
        <v>3.28</v>
      </c>
    </row>
    <row r="187" spans="12:60">
      <c r="L187" s="861">
        <v>40473</v>
      </c>
      <c r="M187" s="865">
        <v>4.5</v>
      </c>
      <c r="N187" s="865">
        <v>4.6367000000000003</v>
      </c>
      <c r="O187" s="865">
        <v>4.7350000000000003</v>
      </c>
      <c r="P187" s="865">
        <v>4.7699999999999996</v>
      </c>
      <c r="Q187" s="865">
        <v>4.8632999999999997</v>
      </c>
      <c r="R187" s="865">
        <v>4.9532999999999996</v>
      </c>
      <c r="S187" s="865">
        <v>5.0567000000000002</v>
      </c>
      <c r="T187" s="865">
        <v>5.1276000000000002</v>
      </c>
      <c r="V187" s="861">
        <v>40473</v>
      </c>
      <c r="W187" s="865">
        <v>0.22563</v>
      </c>
      <c r="X187" s="865">
        <v>0.25624999999999998</v>
      </c>
      <c r="Y187" s="865">
        <v>0.27109</v>
      </c>
      <c r="Z187" s="865">
        <v>0.28843999999999997</v>
      </c>
      <c r="AA187" s="865">
        <v>0.34218999999999999</v>
      </c>
      <c r="AB187" s="865">
        <v>0.40281</v>
      </c>
      <c r="AC187" s="865">
        <v>0.45250000000000001</v>
      </c>
      <c r="AD187" s="865">
        <v>0.76537999999999995</v>
      </c>
      <c r="AF187" s="861">
        <v>40483</v>
      </c>
      <c r="AG187" s="865">
        <v>0.6825</v>
      </c>
      <c r="AH187" s="865">
        <v>0.80374999999999996</v>
      </c>
      <c r="AI187" s="865">
        <v>0.86250000000000004</v>
      </c>
      <c r="AJ187" s="865">
        <v>0.98875000000000002</v>
      </c>
      <c r="AK187" s="865">
        <v>1.0443800000000001</v>
      </c>
      <c r="AL187" s="865">
        <v>1.1299999999999999</v>
      </c>
      <c r="AM187" s="865">
        <v>1.22438</v>
      </c>
      <c r="AN187" s="865">
        <v>1.50688</v>
      </c>
      <c r="AP187" s="861">
        <v>40473</v>
      </c>
      <c r="AQ187" s="865">
        <v>0.55249999999999999</v>
      </c>
      <c r="AR187" s="865">
        <v>0.56874999999999998</v>
      </c>
      <c r="AS187" s="865">
        <v>0.62563000000000002</v>
      </c>
      <c r="AT187" s="865">
        <v>0.73724999999999996</v>
      </c>
      <c r="AU187" s="865">
        <v>0.82272000000000001</v>
      </c>
      <c r="AV187" s="865">
        <v>0.92562999999999995</v>
      </c>
      <c r="AW187" s="865">
        <v>1.0275000000000001</v>
      </c>
      <c r="AX187" s="865">
        <v>1.47319</v>
      </c>
      <c r="AZ187" s="861">
        <v>40484</v>
      </c>
      <c r="BA187" s="865">
        <v>3</v>
      </c>
      <c r="BB187" s="865">
        <v>3.13</v>
      </c>
      <c r="BC187" s="865">
        <v>3.1687500000000002</v>
      </c>
      <c r="BD187" s="865">
        <v>3.1637499999999998</v>
      </c>
      <c r="BE187" s="865">
        <v>3.22</v>
      </c>
      <c r="BF187" s="865">
        <v>3.24</v>
      </c>
      <c r="BG187" s="865">
        <v>3.28</v>
      </c>
      <c r="BH187" s="865">
        <v>3.28</v>
      </c>
    </row>
    <row r="188" spans="12:60">
      <c r="L188" s="861">
        <v>40472</v>
      </c>
      <c r="M188" s="865">
        <v>4.5</v>
      </c>
      <c r="N188" s="865">
        <v>4.625</v>
      </c>
      <c r="O188" s="865">
        <v>4.7300000000000004</v>
      </c>
      <c r="P188" s="865">
        <v>4.75</v>
      </c>
      <c r="Q188" s="865">
        <v>4.8417000000000003</v>
      </c>
      <c r="R188" s="865">
        <v>4.9233000000000002</v>
      </c>
      <c r="S188" s="865">
        <v>5.01</v>
      </c>
      <c r="T188" s="865">
        <v>5.1204999999999998</v>
      </c>
      <c r="V188" s="861">
        <v>40472</v>
      </c>
      <c r="W188" s="865">
        <v>0.22688</v>
      </c>
      <c r="X188" s="865">
        <v>0.25624999999999998</v>
      </c>
      <c r="Y188" s="865">
        <v>0.27109</v>
      </c>
      <c r="Z188" s="865">
        <v>0.28843999999999997</v>
      </c>
      <c r="AA188" s="865">
        <v>0.34218999999999999</v>
      </c>
      <c r="AB188" s="865">
        <v>0.40281</v>
      </c>
      <c r="AC188" s="865">
        <v>0.45250000000000001</v>
      </c>
      <c r="AD188" s="865">
        <v>0.76537999999999995</v>
      </c>
      <c r="AF188" s="861">
        <v>40480</v>
      </c>
      <c r="AG188" s="865">
        <v>0.6925</v>
      </c>
      <c r="AH188" s="865">
        <v>0.80688000000000004</v>
      </c>
      <c r="AI188" s="865">
        <v>0.86063000000000001</v>
      </c>
      <c r="AJ188" s="865">
        <v>0.98687999999999998</v>
      </c>
      <c r="AK188" s="865">
        <v>1.0418799999999999</v>
      </c>
      <c r="AL188" s="865">
        <v>1.1287499999999999</v>
      </c>
      <c r="AM188" s="865">
        <v>1.22438</v>
      </c>
      <c r="AN188" s="865">
        <v>1.50688</v>
      </c>
      <c r="AP188" s="861">
        <v>40472</v>
      </c>
      <c r="AQ188" s="865">
        <v>0.55249999999999999</v>
      </c>
      <c r="AR188" s="865">
        <v>0.56874999999999998</v>
      </c>
      <c r="AS188" s="865">
        <v>0.62563000000000002</v>
      </c>
      <c r="AT188" s="865">
        <v>0.73663000000000001</v>
      </c>
      <c r="AU188" s="865">
        <v>0.82208999999999999</v>
      </c>
      <c r="AV188" s="865">
        <v>0.92562999999999995</v>
      </c>
      <c r="AW188" s="865">
        <v>1.0275000000000001</v>
      </c>
      <c r="AX188" s="865">
        <v>1.47319</v>
      </c>
      <c r="AZ188" s="861">
        <v>40483</v>
      </c>
      <c r="BA188" s="865">
        <v>3</v>
      </c>
      <c r="BB188" s="865">
        <v>3.14</v>
      </c>
      <c r="BC188" s="865">
        <v>3.1612499999999999</v>
      </c>
      <c r="BD188" s="865">
        <v>3.19875</v>
      </c>
      <c r="BE188" s="865">
        <v>3.21</v>
      </c>
      <c r="BF188" s="865">
        <v>3.23</v>
      </c>
      <c r="BG188" s="865">
        <v>3.27</v>
      </c>
      <c r="BH188" s="865">
        <v>3.27</v>
      </c>
    </row>
    <row r="189" spans="12:60">
      <c r="L189" s="861">
        <v>40471</v>
      </c>
      <c r="M189" s="865">
        <v>4.5</v>
      </c>
      <c r="N189" s="865">
        <v>4.5999999999999996</v>
      </c>
      <c r="O189" s="865">
        <v>4.7300000000000004</v>
      </c>
      <c r="P189" s="865">
        <v>4.7750000000000004</v>
      </c>
      <c r="Q189" s="865">
        <v>4.8467000000000002</v>
      </c>
      <c r="R189" s="865">
        <v>4.9283000000000001</v>
      </c>
      <c r="S189" s="865">
        <v>5.0067000000000004</v>
      </c>
      <c r="T189" s="865">
        <v>5.1113999999999997</v>
      </c>
      <c r="V189" s="861">
        <v>40471</v>
      </c>
      <c r="W189" s="865">
        <v>0.22688</v>
      </c>
      <c r="X189" s="865">
        <v>0.25624999999999998</v>
      </c>
      <c r="Y189" s="865">
        <v>0.27109</v>
      </c>
      <c r="Z189" s="865">
        <v>0.28843999999999997</v>
      </c>
      <c r="AA189" s="865">
        <v>0.34218999999999999</v>
      </c>
      <c r="AB189" s="865">
        <v>0.40281</v>
      </c>
      <c r="AC189" s="865">
        <v>0.45374999999999999</v>
      </c>
      <c r="AD189" s="865">
        <v>0.76549999999999996</v>
      </c>
      <c r="AF189" s="861">
        <v>40479</v>
      </c>
      <c r="AG189" s="865">
        <v>0.70874999999999999</v>
      </c>
      <c r="AH189" s="865">
        <v>0.80374999999999996</v>
      </c>
      <c r="AI189" s="865">
        <v>0.85624999999999996</v>
      </c>
      <c r="AJ189" s="865">
        <v>0.98499999999999999</v>
      </c>
      <c r="AK189" s="865">
        <v>1.03938</v>
      </c>
      <c r="AL189" s="865">
        <v>1.1281300000000001</v>
      </c>
      <c r="AM189" s="865">
        <v>1.22438</v>
      </c>
      <c r="AN189" s="865">
        <v>1.5059400000000001</v>
      </c>
      <c r="AP189" s="861">
        <v>40471</v>
      </c>
      <c r="AQ189" s="865">
        <v>0.55125000000000002</v>
      </c>
      <c r="AR189" s="865">
        <v>0.56874999999999998</v>
      </c>
      <c r="AS189" s="865">
        <v>0.62563000000000002</v>
      </c>
      <c r="AT189" s="865">
        <v>0.73724999999999996</v>
      </c>
      <c r="AU189" s="865">
        <v>0.82272000000000001</v>
      </c>
      <c r="AV189" s="865">
        <v>0.92562999999999995</v>
      </c>
      <c r="AW189" s="865">
        <v>1.0275000000000001</v>
      </c>
      <c r="AX189" s="865">
        <v>1.47444</v>
      </c>
      <c r="AZ189" s="861">
        <v>40480</v>
      </c>
      <c r="BA189" s="865">
        <v>3</v>
      </c>
      <c r="BB189" s="865">
        <v>3.1122200000000002</v>
      </c>
      <c r="BC189" s="865">
        <v>3.14</v>
      </c>
      <c r="BD189" s="865">
        <v>3.1911100000000001</v>
      </c>
      <c r="BE189" s="865">
        <v>3.2</v>
      </c>
      <c r="BF189" s="865">
        <v>3.23</v>
      </c>
      <c r="BG189" s="865">
        <v>3.25</v>
      </c>
      <c r="BH189" s="865">
        <v>3.25</v>
      </c>
    </row>
    <row r="190" spans="12:60">
      <c r="L190" s="861">
        <v>40470</v>
      </c>
      <c r="M190" s="865">
        <v>4.5</v>
      </c>
      <c r="N190" s="865">
        <v>4.6100000000000003</v>
      </c>
      <c r="O190" s="865">
        <v>4.7233000000000001</v>
      </c>
      <c r="P190" s="865">
        <v>4.7617000000000003</v>
      </c>
      <c r="Q190" s="865">
        <v>4.84</v>
      </c>
      <c r="R190" s="865">
        <v>4.93</v>
      </c>
      <c r="S190" s="865">
        <v>5.0117000000000003</v>
      </c>
      <c r="T190" s="865">
        <v>5.1223000000000001</v>
      </c>
      <c r="V190" s="861">
        <v>40470</v>
      </c>
      <c r="W190" s="865">
        <v>0.22625000000000001</v>
      </c>
      <c r="X190" s="865">
        <v>0.25624999999999998</v>
      </c>
      <c r="Y190" s="865">
        <v>0.27172000000000002</v>
      </c>
      <c r="Z190" s="865">
        <v>0.28905999999999998</v>
      </c>
      <c r="AA190" s="865">
        <v>0.34218999999999999</v>
      </c>
      <c r="AB190" s="865">
        <v>0.40281</v>
      </c>
      <c r="AC190" s="865">
        <v>0.45250000000000001</v>
      </c>
      <c r="AD190" s="865">
        <v>0.76549999999999996</v>
      </c>
      <c r="AF190" s="861">
        <v>40478</v>
      </c>
      <c r="AG190" s="865">
        <v>0.74875000000000003</v>
      </c>
      <c r="AH190" s="865">
        <v>0.80062999999999995</v>
      </c>
      <c r="AI190" s="865">
        <v>0.85124999999999995</v>
      </c>
      <c r="AJ190" s="865">
        <v>0.97813000000000005</v>
      </c>
      <c r="AK190" s="865">
        <v>1.0406299999999999</v>
      </c>
      <c r="AL190" s="865">
        <v>1.125</v>
      </c>
      <c r="AM190" s="865">
        <v>1.2212499999999999</v>
      </c>
      <c r="AN190" s="865">
        <v>1.5021899999999999</v>
      </c>
      <c r="AP190" s="861">
        <v>40470</v>
      </c>
      <c r="AQ190" s="865">
        <v>0.55125000000000002</v>
      </c>
      <c r="AR190" s="865">
        <v>0.56874999999999998</v>
      </c>
      <c r="AS190" s="865">
        <v>0.62563000000000002</v>
      </c>
      <c r="AT190" s="865">
        <v>0.73724999999999996</v>
      </c>
      <c r="AU190" s="865">
        <v>0.82272000000000001</v>
      </c>
      <c r="AV190" s="865">
        <v>0.92562999999999995</v>
      </c>
      <c r="AW190" s="865">
        <v>1.0275000000000001</v>
      </c>
      <c r="AX190" s="865">
        <v>1.47444</v>
      </c>
      <c r="AZ190" s="861">
        <v>40479</v>
      </c>
      <c r="BA190" s="865">
        <v>3</v>
      </c>
      <c r="BB190" s="865">
        <v>3.12</v>
      </c>
      <c r="BC190" s="865">
        <v>3.14</v>
      </c>
      <c r="BD190" s="865">
        <v>3.1749999999999998</v>
      </c>
      <c r="BE190" s="865">
        <v>3.2</v>
      </c>
      <c r="BF190" s="865">
        <v>3.22</v>
      </c>
      <c r="BG190" s="865">
        <v>3.25</v>
      </c>
      <c r="BH190" s="865">
        <v>3.25</v>
      </c>
    </row>
    <row r="191" spans="12:60">
      <c r="L191" s="861">
        <v>40469</v>
      </c>
      <c r="M191" s="865">
        <v>4.5</v>
      </c>
      <c r="N191" s="865">
        <v>4.6082999999999998</v>
      </c>
      <c r="O191" s="865">
        <v>4.7183000000000002</v>
      </c>
      <c r="P191" s="865">
        <v>4.7416999999999998</v>
      </c>
      <c r="Q191" s="865">
        <v>4.8383000000000003</v>
      </c>
      <c r="R191" s="865">
        <v>4.9283000000000001</v>
      </c>
      <c r="S191" s="865">
        <v>5.0016999999999996</v>
      </c>
      <c r="T191" s="865">
        <v>5.1218000000000004</v>
      </c>
      <c r="V191" s="861">
        <v>40469</v>
      </c>
      <c r="W191" s="865">
        <v>0.22688</v>
      </c>
      <c r="X191" s="865">
        <v>0.25624999999999998</v>
      </c>
      <c r="Y191" s="865">
        <v>0.27172000000000002</v>
      </c>
      <c r="Z191" s="865">
        <v>0.28905999999999998</v>
      </c>
      <c r="AA191" s="865">
        <v>0.34218999999999999</v>
      </c>
      <c r="AB191" s="865">
        <v>0.40281</v>
      </c>
      <c r="AC191" s="865">
        <v>0.45250000000000001</v>
      </c>
      <c r="AD191" s="865">
        <v>0.76549999999999996</v>
      </c>
      <c r="AF191" s="861">
        <v>40477</v>
      </c>
      <c r="AG191" s="865">
        <v>0.75875000000000004</v>
      </c>
      <c r="AH191" s="865">
        <v>0.79313</v>
      </c>
      <c r="AI191" s="865">
        <v>0.84938000000000002</v>
      </c>
      <c r="AJ191" s="865">
        <v>0.97499999999999998</v>
      </c>
      <c r="AK191" s="865">
        <v>1.0375000000000001</v>
      </c>
      <c r="AL191" s="865">
        <v>1.1212500000000001</v>
      </c>
      <c r="AM191" s="865">
        <v>1.2137500000000001</v>
      </c>
      <c r="AN191" s="865">
        <v>1.49594</v>
      </c>
      <c r="AP191" s="861">
        <v>40469</v>
      </c>
      <c r="AQ191" s="865">
        <v>0.55125000000000002</v>
      </c>
      <c r="AR191" s="865">
        <v>0.56874999999999998</v>
      </c>
      <c r="AS191" s="865">
        <v>0.62649999999999995</v>
      </c>
      <c r="AT191" s="865">
        <v>0.73850000000000005</v>
      </c>
      <c r="AU191" s="865">
        <v>0.82272000000000001</v>
      </c>
      <c r="AV191" s="865">
        <v>0.92562999999999995</v>
      </c>
      <c r="AW191" s="865">
        <v>1.0275000000000001</v>
      </c>
      <c r="AX191" s="865">
        <v>1.47444</v>
      </c>
      <c r="AZ191" s="861">
        <v>40478</v>
      </c>
      <c r="BA191" s="865">
        <v>3</v>
      </c>
      <c r="BB191" s="865">
        <v>3.12</v>
      </c>
      <c r="BC191" s="865">
        <v>3.15</v>
      </c>
      <c r="BD191" s="865">
        <v>3.1875</v>
      </c>
      <c r="BE191" s="865">
        <v>3.2</v>
      </c>
      <c r="BF191" s="865">
        <v>3.22</v>
      </c>
      <c r="BG191" s="865">
        <v>3.25</v>
      </c>
      <c r="BH191" s="865">
        <v>3.25</v>
      </c>
    </row>
    <row r="192" spans="12:60">
      <c r="L192" s="861">
        <v>40466</v>
      </c>
      <c r="M192" s="865">
        <v>4.5</v>
      </c>
      <c r="N192" s="865">
        <v>4.6399999999999997</v>
      </c>
      <c r="O192" s="865">
        <v>4.74</v>
      </c>
      <c r="P192" s="865">
        <v>4.8033000000000001</v>
      </c>
      <c r="Q192" s="865">
        <v>4.8817000000000004</v>
      </c>
      <c r="R192" s="865">
        <v>4.96</v>
      </c>
      <c r="S192" s="865">
        <v>5.04</v>
      </c>
      <c r="T192" s="865">
        <v>5.1127000000000002</v>
      </c>
      <c r="V192" s="861">
        <v>40466</v>
      </c>
      <c r="W192" s="865">
        <v>0.22688</v>
      </c>
      <c r="X192" s="865">
        <v>0.25624999999999998</v>
      </c>
      <c r="Y192" s="865">
        <v>0.27296999999999999</v>
      </c>
      <c r="Z192" s="865">
        <v>0.28905999999999998</v>
      </c>
      <c r="AA192" s="865">
        <v>0.34218999999999999</v>
      </c>
      <c r="AB192" s="865">
        <v>0.40281</v>
      </c>
      <c r="AC192" s="865">
        <v>0.45250000000000001</v>
      </c>
      <c r="AD192" s="865">
        <v>0.76663000000000003</v>
      </c>
      <c r="AF192" s="861">
        <v>40476</v>
      </c>
      <c r="AG192" s="865">
        <v>0.76124999999999998</v>
      </c>
      <c r="AH192" s="865">
        <v>0.78625</v>
      </c>
      <c r="AI192" s="865">
        <v>0.84562999999999999</v>
      </c>
      <c r="AJ192" s="865">
        <v>0.97062999999999999</v>
      </c>
      <c r="AK192" s="865">
        <v>1.0306299999999999</v>
      </c>
      <c r="AL192" s="865">
        <v>1.1168800000000001</v>
      </c>
      <c r="AM192" s="865">
        <v>1.2112499999999999</v>
      </c>
      <c r="AN192" s="865">
        <v>1.4934400000000001</v>
      </c>
      <c r="AP192" s="861">
        <v>40466</v>
      </c>
      <c r="AQ192" s="865">
        <v>0.55000000000000004</v>
      </c>
      <c r="AR192" s="865">
        <v>0.57125000000000004</v>
      </c>
      <c r="AS192" s="865">
        <v>0.62775000000000003</v>
      </c>
      <c r="AT192" s="865">
        <v>0.73975000000000002</v>
      </c>
      <c r="AU192" s="865">
        <v>0.82147000000000003</v>
      </c>
      <c r="AV192" s="865">
        <v>0.92437999999999998</v>
      </c>
      <c r="AW192" s="865">
        <v>1.0262500000000001</v>
      </c>
      <c r="AX192" s="865">
        <v>1.47444</v>
      </c>
      <c r="AZ192" s="861">
        <v>40477</v>
      </c>
      <c r="BA192" s="865">
        <v>3</v>
      </c>
      <c r="BB192" s="865">
        <v>3.12</v>
      </c>
      <c r="BC192" s="865">
        <v>3.15</v>
      </c>
      <c r="BD192" s="865">
        <v>3.16222</v>
      </c>
      <c r="BE192" s="865">
        <v>3.2</v>
      </c>
      <c r="BF192" s="865">
        <v>3.22</v>
      </c>
      <c r="BG192" s="865">
        <v>3.25</v>
      </c>
      <c r="BH192" s="865">
        <v>3.25</v>
      </c>
    </row>
    <row r="193" spans="12:60">
      <c r="L193" s="861">
        <v>40465</v>
      </c>
      <c r="M193" s="865">
        <v>4.5</v>
      </c>
      <c r="N193" s="865">
        <v>4.6266999999999996</v>
      </c>
      <c r="O193" s="865">
        <v>4.7350000000000003</v>
      </c>
      <c r="P193" s="865">
        <v>4.8</v>
      </c>
      <c r="Q193" s="865">
        <v>4.87</v>
      </c>
      <c r="R193" s="865">
        <v>4.9400000000000004</v>
      </c>
      <c r="S193" s="865">
        <v>5</v>
      </c>
      <c r="T193" s="865">
        <v>5.1124000000000001</v>
      </c>
      <c r="V193" s="861">
        <v>40465</v>
      </c>
      <c r="W193" s="865">
        <v>0.22688</v>
      </c>
      <c r="X193" s="865">
        <v>0.25624999999999998</v>
      </c>
      <c r="Y193" s="865">
        <v>0.27296999999999999</v>
      </c>
      <c r="Z193" s="865">
        <v>0.28905999999999998</v>
      </c>
      <c r="AA193" s="865">
        <v>0.34344000000000002</v>
      </c>
      <c r="AB193" s="865">
        <v>0.40531</v>
      </c>
      <c r="AC193" s="865">
        <v>0.45374999999999999</v>
      </c>
      <c r="AD193" s="865">
        <v>0.76649999999999996</v>
      </c>
      <c r="AF193" s="861">
        <v>40473</v>
      </c>
      <c r="AG193" s="865">
        <v>0.77</v>
      </c>
      <c r="AH193" s="865">
        <v>0.78874999999999995</v>
      </c>
      <c r="AI193" s="865">
        <v>0.84624999999999995</v>
      </c>
      <c r="AJ193" s="865">
        <v>0.96875</v>
      </c>
      <c r="AK193" s="865">
        <v>1.03</v>
      </c>
      <c r="AL193" s="865">
        <v>1.11625</v>
      </c>
      <c r="AM193" s="865">
        <v>1.2106300000000001</v>
      </c>
      <c r="AN193" s="865">
        <v>1.49031</v>
      </c>
      <c r="AP193" s="861">
        <v>40465</v>
      </c>
      <c r="AQ193" s="865">
        <v>0.55000000000000004</v>
      </c>
      <c r="AR193" s="865">
        <v>0.57125000000000004</v>
      </c>
      <c r="AS193" s="865">
        <v>0.62838000000000005</v>
      </c>
      <c r="AT193" s="865">
        <v>0.73912999999999995</v>
      </c>
      <c r="AU193" s="865">
        <v>0.82208999999999999</v>
      </c>
      <c r="AV193" s="865">
        <v>0.92500000000000004</v>
      </c>
      <c r="AW193" s="865">
        <v>1.0275000000000001</v>
      </c>
      <c r="AX193" s="865">
        <v>1.4746900000000001</v>
      </c>
      <c r="AZ193" s="861">
        <v>40473</v>
      </c>
      <c r="BA193" s="865">
        <v>3</v>
      </c>
      <c r="BB193" s="865">
        <v>3.13</v>
      </c>
      <c r="BC193" s="865">
        <v>3.15</v>
      </c>
      <c r="BD193" s="865">
        <v>3.1666699999999999</v>
      </c>
      <c r="BE193" s="865">
        <v>3.2</v>
      </c>
      <c r="BF193" s="865">
        <v>3.21889</v>
      </c>
      <c r="BG193" s="865">
        <v>3.2488899999999998</v>
      </c>
      <c r="BH193" s="865">
        <v>3.2488899999999998</v>
      </c>
    </row>
    <row r="194" spans="12:60">
      <c r="L194" s="861">
        <v>40464</v>
      </c>
      <c r="M194" s="865">
        <v>4.5</v>
      </c>
      <c r="N194" s="865">
        <v>4.62</v>
      </c>
      <c r="O194" s="865">
        <v>4.7466999999999997</v>
      </c>
      <c r="P194" s="865">
        <v>4.8499999999999996</v>
      </c>
      <c r="Q194" s="865">
        <v>4.9116999999999997</v>
      </c>
      <c r="R194" s="865">
        <v>4.9950000000000001</v>
      </c>
      <c r="S194" s="865">
        <v>5.08</v>
      </c>
      <c r="T194" s="865">
        <v>5.1872999999999996</v>
      </c>
      <c r="V194" s="861">
        <v>40464</v>
      </c>
      <c r="W194" s="865">
        <v>0.22563</v>
      </c>
      <c r="X194" s="865">
        <v>0.25624999999999998</v>
      </c>
      <c r="Y194" s="865">
        <v>0.27296999999999999</v>
      </c>
      <c r="Z194" s="865">
        <v>0.28905999999999998</v>
      </c>
      <c r="AA194" s="865">
        <v>0.34344000000000002</v>
      </c>
      <c r="AB194" s="865">
        <v>0.40531</v>
      </c>
      <c r="AC194" s="865">
        <v>0.45500000000000002</v>
      </c>
      <c r="AD194" s="865">
        <v>0.76680999999999999</v>
      </c>
      <c r="AF194" s="861">
        <v>40472</v>
      </c>
      <c r="AG194" s="865">
        <v>0.76</v>
      </c>
      <c r="AH194" s="865">
        <v>0.77500000000000002</v>
      </c>
      <c r="AI194" s="865">
        <v>0.82874999999999999</v>
      </c>
      <c r="AJ194" s="865">
        <v>0.96250000000000002</v>
      </c>
      <c r="AK194" s="865">
        <v>1.01688</v>
      </c>
      <c r="AL194" s="865">
        <v>1.1012500000000001</v>
      </c>
      <c r="AM194" s="865">
        <v>1.2018800000000001</v>
      </c>
      <c r="AN194" s="865">
        <v>1.4809399999999999</v>
      </c>
      <c r="AP194" s="861">
        <v>40464</v>
      </c>
      <c r="AQ194" s="865">
        <v>0.55000000000000004</v>
      </c>
      <c r="AR194" s="865">
        <v>0.57125000000000004</v>
      </c>
      <c r="AS194" s="865">
        <v>0.62838000000000005</v>
      </c>
      <c r="AT194" s="865">
        <v>0.73912999999999995</v>
      </c>
      <c r="AU194" s="865">
        <v>0.82208999999999999</v>
      </c>
      <c r="AV194" s="865">
        <v>0.92500000000000004</v>
      </c>
      <c r="AW194" s="865">
        <v>1.0275000000000001</v>
      </c>
      <c r="AX194" s="865">
        <v>1.4746900000000001</v>
      </c>
      <c r="AZ194" s="861">
        <v>40472</v>
      </c>
      <c r="BA194" s="865">
        <v>3</v>
      </c>
      <c r="BB194" s="865">
        <v>3.13</v>
      </c>
      <c r="BC194" s="865">
        <v>3.15</v>
      </c>
      <c r="BD194" s="865">
        <v>3.18222</v>
      </c>
      <c r="BE194" s="865">
        <v>3.2</v>
      </c>
      <c r="BF194" s="865">
        <v>3.22</v>
      </c>
      <c r="BG194" s="865">
        <v>3.2466699999999999</v>
      </c>
      <c r="BH194" s="865">
        <v>3.2466699999999999</v>
      </c>
    </row>
    <row r="195" spans="12:60">
      <c r="L195" s="861">
        <v>40463</v>
      </c>
      <c r="M195" s="865">
        <v>4.5</v>
      </c>
      <c r="N195" s="865">
        <v>4.62</v>
      </c>
      <c r="O195" s="865">
        <v>4.7366999999999999</v>
      </c>
      <c r="P195" s="865">
        <v>4.8033000000000001</v>
      </c>
      <c r="Q195" s="865">
        <v>4.8982999999999999</v>
      </c>
      <c r="R195" s="865">
        <v>4.9817</v>
      </c>
      <c r="S195" s="865">
        <v>5.0583</v>
      </c>
      <c r="T195" s="865">
        <v>5.1581000000000001</v>
      </c>
      <c r="V195" s="861">
        <v>40463</v>
      </c>
      <c r="W195" s="865">
        <v>0.22563</v>
      </c>
      <c r="X195" s="865">
        <v>0.25624999999999998</v>
      </c>
      <c r="Y195" s="865">
        <v>0.27296999999999999</v>
      </c>
      <c r="Z195" s="865">
        <v>0.28905999999999998</v>
      </c>
      <c r="AA195" s="865">
        <v>0.34344000000000002</v>
      </c>
      <c r="AB195" s="865">
        <v>0.40531</v>
      </c>
      <c r="AC195" s="865">
        <v>0.45500000000000002</v>
      </c>
      <c r="AD195" s="865">
        <v>0.76649999999999996</v>
      </c>
      <c r="AF195" s="861">
        <v>40471</v>
      </c>
      <c r="AG195" s="865">
        <v>0.74624999999999997</v>
      </c>
      <c r="AH195" s="865">
        <v>0.76249999999999996</v>
      </c>
      <c r="AI195" s="865">
        <v>0.81062999999999996</v>
      </c>
      <c r="AJ195" s="865">
        <v>0.95313000000000003</v>
      </c>
      <c r="AK195" s="865">
        <v>1.0106299999999999</v>
      </c>
      <c r="AL195" s="865">
        <v>1.095</v>
      </c>
      <c r="AM195" s="865">
        <v>1.19594</v>
      </c>
      <c r="AN195" s="865">
        <v>1.4781299999999999</v>
      </c>
      <c r="AP195" s="861">
        <v>40463</v>
      </c>
      <c r="AQ195" s="865">
        <v>0.55000000000000004</v>
      </c>
      <c r="AR195" s="865">
        <v>0.57125000000000004</v>
      </c>
      <c r="AS195" s="865">
        <v>0.62838000000000005</v>
      </c>
      <c r="AT195" s="865">
        <v>0.73912999999999995</v>
      </c>
      <c r="AU195" s="865">
        <v>0.82208999999999999</v>
      </c>
      <c r="AV195" s="865">
        <v>0.92500000000000004</v>
      </c>
      <c r="AW195" s="865">
        <v>1.0275000000000001</v>
      </c>
      <c r="AX195" s="865">
        <v>1.4731300000000001</v>
      </c>
      <c r="AZ195" s="861">
        <v>40471</v>
      </c>
      <c r="BA195" s="865">
        <v>3</v>
      </c>
      <c r="BB195" s="865">
        <v>3.11</v>
      </c>
      <c r="BC195" s="865">
        <v>3.15</v>
      </c>
      <c r="BD195" s="865">
        <v>3.1711100000000001</v>
      </c>
      <c r="BE195" s="865">
        <v>3.2</v>
      </c>
      <c r="BF195" s="865">
        <v>3.22</v>
      </c>
      <c r="BG195" s="865">
        <v>3.23</v>
      </c>
      <c r="BH195" s="865">
        <v>3.23</v>
      </c>
    </row>
    <row r="196" spans="12:60">
      <c r="L196" s="861">
        <v>40462</v>
      </c>
      <c r="M196" s="865">
        <v>4.5</v>
      </c>
      <c r="N196" s="865">
        <v>4.62</v>
      </c>
      <c r="O196" s="865">
        <v>4.7366999999999999</v>
      </c>
      <c r="P196" s="865">
        <v>4.8266999999999998</v>
      </c>
      <c r="Q196" s="865">
        <v>4.9082999999999997</v>
      </c>
      <c r="R196" s="865">
        <v>4.9950000000000001</v>
      </c>
      <c r="S196" s="865">
        <v>5.07</v>
      </c>
      <c r="T196" s="865">
        <v>5.1981000000000002</v>
      </c>
      <c r="V196" s="861">
        <v>40462</v>
      </c>
      <c r="W196" s="865">
        <v>0.22500000000000001</v>
      </c>
      <c r="X196" s="865">
        <v>0.25624999999999998</v>
      </c>
      <c r="Y196" s="865">
        <v>0.27296999999999999</v>
      </c>
      <c r="Z196" s="865">
        <v>0.28905999999999998</v>
      </c>
      <c r="AA196" s="865">
        <v>0.34344000000000002</v>
      </c>
      <c r="AB196" s="865">
        <v>0.40562999999999999</v>
      </c>
      <c r="AC196" s="865">
        <v>0.45656000000000002</v>
      </c>
      <c r="AD196" s="865">
        <v>0.76693999999999996</v>
      </c>
      <c r="AF196" s="861">
        <v>40470</v>
      </c>
      <c r="AG196" s="865">
        <v>0.70250000000000001</v>
      </c>
      <c r="AH196" s="865">
        <v>0.74</v>
      </c>
      <c r="AI196" s="865">
        <v>0.79281000000000001</v>
      </c>
      <c r="AJ196" s="865">
        <v>0.94438</v>
      </c>
      <c r="AK196" s="865">
        <v>1.00406</v>
      </c>
      <c r="AL196" s="865">
        <v>1.0871900000000001</v>
      </c>
      <c r="AM196" s="865">
        <v>1.1893800000000001</v>
      </c>
      <c r="AN196" s="865">
        <v>1.4734400000000001</v>
      </c>
      <c r="AP196" s="861">
        <v>40462</v>
      </c>
      <c r="AQ196" s="865">
        <v>0.55000000000000004</v>
      </c>
      <c r="AR196" s="865">
        <v>0.57125000000000004</v>
      </c>
      <c r="AS196" s="865">
        <v>0.62838000000000005</v>
      </c>
      <c r="AT196" s="865">
        <v>0.73912999999999995</v>
      </c>
      <c r="AU196" s="865">
        <v>0.82208999999999999</v>
      </c>
      <c r="AV196" s="865">
        <v>0.92500000000000004</v>
      </c>
      <c r="AW196" s="865">
        <v>1.0275000000000001</v>
      </c>
      <c r="AX196" s="865">
        <v>1.4737499999999999</v>
      </c>
      <c r="AZ196" s="861">
        <v>40470</v>
      </c>
      <c r="BA196" s="865">
        <v>3</v>
      </c>
      <c r="BB196" s="865">
        <v>3.1311100000000001</v>
      </c>
      <c r="BC196" s="865">
        <v>3.15</v>
      </c>
      <c r="BD196" s="865">
        <v>3.19</v>
      </c>
      <c r="BE196" s="865">
        <v>3.2</v>
      </c>
      <c r="BF196" s="865">
        <v>3.22</v>
      </c>
      <c r="BG196" s="865">
        <v>3.23</v>
      </c>
      <c r="BH196" s="865">
        <v>3.23</v>
      </c>
    </row>
    <row r="197" spans="12:60">
      <c r="L197" s="861">
        <v>40459</v>
      </c>
      <c r="M197" s="865">
        <v>4.5</v>
      </c>
      <c r="N197" s="865">
        <v>4.6399999999999997</v>
      </c>
      <c r="O197" s="865">
        <v>4.7483000000000004</v>
      </c>
      <c r="P197" s="865">
        <v>4.8383000000000003</v>
      </c>
      <c r="Q197" s="865">
        <v>4.9267000000000003</v>
      </c>
      <c r="R197" s="865">
        <v>5.0133000000000001</v>
      </c>
      <c r="S197" s="865">
        <v>5.1017000000000001</v>
      </c>
      <c r="T197" s="865">
        <v>5.2321</v>
      </c>
      <c r="V197" s="861">
        <v>40459</v>
      </c>
      <c r="W197" s="865">
        <v>0.22500000000000001</v>
      </c>
      <c r="X197" s="865">
        <v>0.25624999999999998</v>
      </c>
      <c r="Y197" s="865">
        <v>0.27296999999999999</v>
      </c>
      <c r="Z197" s="865">
        <v>0.28905999999999998</v>
      </c>
      <c r="AA197" s="865">
        <v>0.34344000000000002</v>
      </c>
      <c r="AB197" s="865">
        <v>0.40688000000000002</v>
      </c>
      <c r="AC197" s="865">
        <v>0.45750000000000002</v>
      </c>
      <c r="AD197" s="865">
        <v>0.76956000000000002</v>
      </c>
      <c r="AF197" s="861">
        <v>40469</v>
      </c>
      <c r="AG197" s="865">
        <v>0.67749999999999999</v>
      </c>
      <c r="AH197" s="865">
        <v>0.73</v>
      </c>
      <c r="AI197" s="865">
        <v>0.78625</v>
      </c>
      <c r="AJ197" s="865">
        <v>0.93688000000000005</v>
      </c>
      <c r="AK197" s="865">
        <v>0.99624999999999997</v>
      </c>
      <c r="AL197" s="865">
        <v>1.0825</v>
      </c>
      <c r="AM197" s="865">
        <v>1.1853100000000001</v>
      </c>
      <c r="AN197" s="865">
        <v>1.4696899999999999</v>
      </c>
      <c r="AP197" s="861">
        <v>40459</v>
      </c>
      <c r="AQ197" s="865">
        <v>0.55000000000000004</v>
      </c>
      <c r="AR197" s="865">
        <v>0.57125000000000004</v>
      </c>
      <c r="AS197" s="865">
        <v>0.62838000000000005</v>
      </c>
      <c r="AT197" s="865">
        <v>0.73912999999999995</v>
      </c>
      <c r="AU197" s="865">
        <v>0.82208999999999999</v>
      </c>
      <c r="AV197" s="865">
        <v>0.92500000000000004</v>
      </c>
      <c r="AW197" s="865">
        <v>1.0275000000000001</v>
      </c>
      <c r="AX197" s="865">
        <v>1.4734400000000001</v>
      </c>
      <c r="AZ197" s="861">
        <v>40469</v>
      </c>
      <c r="BA197" s="865">
        <v>3</v>
      </c>
      <c r="BB197" s="865">
        <v>3.15</v>
      </c>
      <c r="BC197" s="865">
        <v>3.16</v>
      </c>
      <c r="BD197" s="865">
        <v>3.2</v>
      </c>
      <c r="BE197" s="865">
        <v>3.2</v>
      </c>
      <c r="BF197" s="865">
        <v>3.22</v>
      </c>
      <c r="BG197" s="865">
        <v>3.23</v>
      </c>
      <c r="BH197" s="865">
        <v>3.23</v>
      </c>
    </row>
    <row r="198" spans="12:60">
      <c r="L198" s="861">
        <v>40458</v>
      </c>
      <c r="M198" s="865">
        <v>4.5</v>
      </c>
      <c r="N198" s="865">
        <v>4.6100000000000003</v>
      </c>
      <c r="O198" s="865">
        <v>4.7149999999999999</v>
      </c>
      <c r="P198" s="865">
        <v>4.83</v>
      </c>
      <c r="Q198" s="865">
        <v>4.8867000000000003</v>
      </c>
      <c r="R198" s="865">
        <v>4.96</v>
      </c>
      <c r="S198" s="865">
        <v>5.04</v>
      </c>
      <c r="T198" s="865">
        <v>5.1327999999999996</v>
      </c>
      <c r="V198" s="861">
        <v>40458</v>
      </c>
      <c r="W198" s="865">
        <v>0.22500000000000001</v>
      </c>
      <c r="X198" s="865">
        <v>0.25624999999999998</v>
      </c>
      <c r="Y198" s="865">
        <v>0.27296999999999999</v>
      </c>
      <c r="Z198" s="865">
        <v>0.28905999999999998</v>
      </c>
      <c r="AA198" s="865">
        <v>0.34375</v>
      </c>
      <c r="AB198" s="865">
        <v>0.40719</v>
      </c>
      <c r="AC198" s="865">
        <v>0.45874999999999999</v>
      </c>
      <c r="AD198" s="865">
        <v>0.77149999999999996</v>
      </c>
      <c r="AF198" s="861">
        <v>40466</v>
      </c>
      <c r="AG198" s="865">
        <v>0.66500000000000004</v>
      </c>
      <c r="AH198" s="865">
        <v>0.72813000000000005</v>
      </c>
      <c r="AI198" s="865">
        <v>0.78437999999999997</v>
      </c>
      <c r="AJ198" s="865">
        <v>0.92937999999999998</v>
      </c>
      <c r="AK198" s="865">
        <v>0.98812999999999995</v>
      </c>
      <c r="AL198" s="865">
        <v>1.0762499999999999</v>
      </c>
      <c r="AM198" s="865">
        <v>1.1828099999999999</v>
      </c>
      <c r="AN198" s="865">
        <v>1.46688</v>
      </c>
      <c r="AP198" s="861">
        <v>40458</v>
      </c>
      <c r="AQ198" s="865">
        <v>0.55000000000000004</v>
      </c>
      <c r="AR198" s="865">
        <v>0.57125000000000004</v>
      </c>
      <c r="AS198" s="865">
        <v>0.62838000000000005</v>
      </c>
      <c r="AT198" s="865">
        <v>0.73880999999999997</v>
      </c>
      <c r="AU198" s="865">
        <v>0.82208999999999999</v>
      </c>
      <c r="AV198" s="865">
        <v>0.92500000000000004</v>
      </c>
      <c r="AW198" s="865">
        <v>1.0275000000000001</v>
      </c>
      <c r="AX198" s="865">
        <v>1.4734400000000001</v>
      </c>
      <c r="AZ198" s="861">
        <v>40466</v>
      </c>
      <c r="BA198" s="865">
        <v>3</v>
      </c>
      <c r="BB198" s="865">
        <v>3.11</v>
      </c>
      <c r="BC198" s="865">
        <v>3.15</v>
      </c>
      <c r="BD198" s="865">
        <v>3.17</v>
      </c>
      <c r="BE198" s="865">
        <v>3.2</v>
      </c>
      <c r="BF198" s="865">
        <v>3.21</v>
      </c>
      <c r="BG198" s="865">
        <v>3.23</v>
      </c>
      <c r="BH198" s="865">
        <v>3.23</v>
      </c>
    </row>
    <row r="199" spans="12:60">
      <c r="L199" s="861">
        <v>40457</v>
      </c>
      <c r="M199" s="865">
        <v>4.5</v>
      </c>
      <c r="N199" s="865">
        <v>4.5933000000000002</v>
      </c>
      <c r="O199" s="865">
        <v>4.7066999999999997</v>
      </c>
      <c r="P199" s="865">
        <v>4.83</v>
      </c>
      <c r="Q199" s="865">
        <v>4.8867000000000003</v>
      </c>
      <c r="R199" s="865">
        <v>4.95</v>
      </c>
      <c r="S199" s="865">
        <v>5.0599999999999996</v>
      </c>
      <c r="T199" s="865">
        <v>5.133</v>
      </c>
      <c r="V199" s="861">
        <v>40457</v>
      </c>
      <c r="W199" s="865">
        <v>0.22563</v>
      </c>
      <c r="X199" s="865">
        <v>0.25688</v>
      </c>
      <c r="Y199" s="865">
        <v>0.27359</v>
      </c>
      <c r="Z199" s="865">
        <v>0.28969</v>
      </c>
      <c r="AA199" s="865">
        <v>0.34438000000000002</v>
      </c>
      <c r="AB199" s="865">
        <v>0.40781000000000001</v>
      </c>
      <c r="AC199" s="865">
        <v>0.46156000000000003</v>
      </c>
      <c r="AD199" s="865">
        <v>0.77412999999999998</v>
      </c>
      <c r="AF199" s="861">
        <v>40465</v>
      </c>
      <c r="AG199" s="865">
        <v>0.65874999999999995</v>
      </c>
      <c r="AH199" s="865">
        <v>0.72438000000000002</v>
      </c>
      <c r="AI199" s="865">
        <v>0.77812999999999999</v>
      </c>
      <c r="AJ199" s="865">
        <v>0.92500000000000004</v>
      </c>
      <c r="AK199" s="865">
        <v>0.98499999999999999</v>
      </c>
      <c r="AL199" s="865">
        <v>1.075</v>
      </c>
      <c r="AM199" s="865">
        <v>1.1815599999999999</v>
      </c>
      <c r="AN199" s="865">
        <v>1.4624999999999999</v>
      </c>
      <c r="AP199" s="861">
        <v>40457</v>
      </c>
      <c r="AQ199" s="865">
        <v>0.55000000000000004</v>
      </c>
      <c r="AR199" s="865">
        <v>0.57125000000000004</v>
      </c>
      <c r="AS199" s="865">
        <v>0.62838000000000005</v>
      </c>
      <c r="AT199" s="865">
        <v>0.73880999999999997</v>
      </c>
      <c r="AU199" s="865">
        <v>0.82208999999999999</v>
      </c>
      <c r="AV199" s="865">
        <v>0.92500000000000004</v>
      </c>
      <c r="AW199" s="865">
        <v>1.0275000000000001</v>
      </c>
      <c r="AX199" s="865">
        <v>1.4731300000000001</v>
      </c>
      <c r="AZ199" s="861">
        <v>40465</v>
      </c>
      <c r="BA199" s="865">
        <v>3</v>
      </c>
      <c r="BB199" s="865">
        <v>3.14</v>
      </c>
      <c r="BC199" s="865">
        <v>3.15</v>
      </c>
      <c r="BD199" s="865">
        <v>3.2022200000000001</v>
      </c>
      <c r="BE199" s="865">
        <v>3.2</v>
      </c>
      <c r="BF199" s="865">
        <v>3.21</v>
      </c>
      <c r="BG199" s="865">
        <v>3.23</v>
      </c>
      <c r="BH199" s="865">
        <v>3.23</v>
      </c>
    </row>
    <row r="200" spans="12:60">
      <c r="L200" s="861">
        <v>40456</v>
      </c>
      <c r="M200" s="865">
        <v>4.5</v>
      </c>
      <c r="N200" s="865">
        <v>4.7567000000000004</v>
      </c>
      <c r="O200" s="865">
        <v>4.8449999999999998</v>
      </c>
      <c r="P200" s="865">
        <v>4.9267000000000003</v>
      </c>
      <c r="Q200" s="865">
        <v>5.0016999999999996</v>
      </c>
      <c r="R200" s="865">
        <v>5.0750000000000002</v>
      </c>
      <c r="S200" s="865">
        <v>5.15</v>
      </c>
      <c r="T200" s="865">
        <v>5.2659000000000002</v>
      </c>
      <c r="V200" s="861">
        <v>40456</v>
      </c>
      <c r="W200" s="865">
        <v>0.22563</v>
      </c>
      <c r="X200" s="865">
        <v>0.25688</v>
      </c>
      <c r="Y200" s="865">
        <v>0.27359</v>
      </c>
      <c r="Z200" s="865">
        <v>0.28999999999999998</v>
      </c>
      <c r="AA200" s="865">
        <v>0.34469</v>
      </c>
      <c r="AB200" s="865">
        <v>0.40812999999999999</v>
      </c>
      <c r="AC200" s="865">
        <v>0.46188000000000001</v>
      </c>
      <c r="AD200" s="865">
        <v>0.77675000000000005</v>
      </c>
      <c r="AF200" s="861">
        <v>40464</v>
      </c>
      <c r="AG200" s="865">
        <v>0.66374999999999995</v>
      </c>
      <c r="AH200" s="865">
        <v>0.72499999999999998</v>
      </c>
      <c r="AI200" s="865">
        <v>0.77625</v>
      </c>
      <c r="AJ200" s="865">
        <v>0.92200000000000004</v>
      </c>
      <c r="AK200" s="865">
        <v>0.98438000000000003</v>
      </c>
      <c r="AL200" s="865">
        <v>1.07063</v>
      </c>
      <c r="AM200" s="865">
        <v>1.17875</v>
      </c>
      <c r="AN200" s="865">
        <v>1.46</v>
      </c>
      <c r="AP200" s="861">
        <v>40456</v>
      </c>
      <c r="AQ200" s="865">
        <v>0.55000000000000004</v>
      </c>
      <c r="AR200" s="865">
        <v>0.57125000000000004</v>
      </c>
      <c r="AS200" s="865">
        <v>0.62838000000000005</v>
      </c>
      <c r="AT200" s="865">
        <v>0.73755999999999999</v>
      </c>
      <c r="AU200" s="865">
        <v>0.82208999999999999</v>
      </c>
      <c r="AV200" s="865">
        <v>0.92500000000000004</v>
      </c>
      <c r="AW200" s="865">
        <v>1.02766</v>
      </c>
      <c r="AX200" s="865">
        <v>1.4732799999999999</v>
      </c>
      <c r="AZ200" s="861">
        <v>40464</v>
      </c>
      <c r="BA200" s="865">
        <v>3</v>
      </c>
      <c r="BB200" s="865">
        <v>3.14</v>
      </c>
      <c r="BC200" s="865">
        <v>3.15</v>
      </c>
      <c r="BD200" s="865">
        <v>3.1887500000000002</v>
      </c>
      <c r="BE200" s="865">
        <v>3.2</v>
      </c>
      <c r="BF200" s="865">
        <v>3.21</v>
      </c>
      <c r="BG200" s="865">
        <v>3.23</v>
      </c>
      <c r="BH200" s="865">
        <v>3.23</v>
      </c>
    </row>
    <row r="201" spans="12:60">
      <c r="L201" s="861">
        <v>40455</v>
      </c>
      <c r="M201" s="865">
        <v>4.5</v>
      </c>
      <c r="N201" s="865">
        <v>4.6833</v>
      </c>
      <c r="O201" s="865">
        <v>4.7949999999999999</v>
      </c>
      <c r="P201" s="865">
        <v>4.88</v>
      </c>
      <c r="Q201" s="865">
        <v>4.9516999999999998</v>
      </c>
      <c r="R201" s="865">
        <v>5.0199999999999996</v>
      </c>
      <c r="S201" s="865">
        <v>5.0833000000000004</v>
      </c>
      <c r="T201" s="865">
        <v>5.2095000000000002</v>
      </c>
      <c r="V201" s="861">
        <v>40455</v>
      </c>
      <c r="W201" s="865">
        <v>0.22563</v>
      </c>
      <c r="X201" s="865">
        <v>0.25688</v>
      </c>
      <c r="Y201" s="865">
        <v>0.27359</v>
      </c>
      <c r="Z201" s="865">
        <v>0.29063</v>
      </c>
      <c r="AA201" s="865">
        <v>0.34469</v>
      </c>
      <c r="AB201" s="865">
        <v>0.40812999999999999</v>
      </c>
      <c r="AC201" s="865">
        <v>0.46312999999999999</v>
      </c>
      <c r="AD201" s="865">
        <v>0.77700000000000002</v>
      </c>
      <c r="AF201" s="861">
        <v>40463</v>
      </c>
      <c r="AG201" s="865">
        <v>0.72624999999999995</v>
      </c>
      <c r="AH201" s="865">
        <v>0.71875</v>
      </c>
      <c r="AI201" s="865">
        <v>0.76875000000000004</v>
      </c>
      <c r="AJ201" s="865">
        <v>0.91749999999999998</v>
      </c>
      <c r="AK201" s="865">
        <v>0.98063</v>
      </c>
      <c r="AL201" s="865">
        <v>1.0671900000000001</v>
      </c>
      <c r="AM201" s="865">
        <v>1.175</v>
      </c>
      <c r="AN201" s="865">
        <v>1.4592499999999999</v>
      </c>
      <c r="AP201" s="861">
        <v>40455</v>
      </c>
      <c r="AQ201" s="865">
        <v>0.55000000000000004</v>
      </c>
      <c r="AR201" s="865">
        <v>0.57094</v>
      </c>
      <c r="AS201" s="865">
        <v>0.62680999999999998</v>
      </c>
      <c r="AT201" s="865">
        <v>0.73663000000000001</v>
      </c>
      <c r="AU201" s="865">
        <v>0.82021999999999995</v>
      </c>
      <c r="AV201" s="865">
        <v>0.92500000000000004</v>
      </c>
      <c r="AW201" s="865">
        <v>1.02766</v>
      </c>
      <c r="AX201" s="865">
        <v>1.4732799999999999</v>
      </c>
      <c r="AZ201" s="861">
        <v>40463</v>
      </c>
      <c r="BA201" s="865">
        <v>3</v>
      </c>
      <c r="BB201" s="865">
        <v>3.14</v>
      </c>
      <c r="BC201" s="865">
        <v>3.15</v>
      </c>
      <c r="BD201" s="865">
        <v>3.17</v>
      </c>
      <c r="BE201" s="865">
        <v>3.2</v>
      </c>
      <c r="BF201" s="865">
        <v>3.21</v>
      </c>
      <c r="BG201" s="865">
        <v>3.23</v>
      </c>
      <c r="BH201" s="865">
        <v>3.23</v>
      </c>
    </row>
    <row r="202" spans="12:60">
      <c r="L202" s="861">
        <v>40452</v>
      </c>
      <c r="M202" s="865">
        <v>4.5</v>
      </c>
      <c r="N202" s="865">
        <v>4.6833</v>
      </c>
      <c r="O202" s="865">
        <v>4.7949999999999999</v>
      </c>
      <c r="P202" s="865">
        <v>4.88</v>
      </c>
      <c r="Q202" s="865">
        <v>4.9516999999999998</v>
      </c>
      <c r="R202" s="865">
        <v>5.0199999999999996</v>
      </c>
      <c r="S202" s="865">
        <v>5.0833000000000004</v>
      </c>
      <c r="T202" s="865">
        <v>5.2095000000000002</v>
      </c>
      <c r="V202" s="861">
        <v>40452</v>
      </c>
      <c r="W202" s="865">
        <v>0.22813</v>
      </c>
      <c r="X202" s="865">
        <v>0.25688</v>
      </c>
      <c r="Y202" s="865">
        <v>0.27359</v>
      </c>
      <c r="Z202" s="865">
        <v>0.29063</v>
      </c>
      <c r="AA202" s="865">
        <v>0.34469</v>
      </c>
      <c r="AB202" s="865">
        <v>0.40812999999999999</v>
      </c>
      <c r="AC202" s="865">
        <v>0.46312999999999999</v>
      </c>
      <c r="AD202" s="865">
        <v>0.77837999999999996</v>
      </c>
      <c r="AF202" s="861">
        <v>40462</v>
      </c>
      <c r="AG202" s="865">
        <v>0.35749999999999998</v>
      </c>
      <c r="AH202" s="865">
        <v>0.70655999999999997</v>
      </c>
      <c r="AI202" s="865">
        <v>0.76563000000000003</v>
      </c>
      <c r="AJ202" s="865">
        <v>0.91437999999999997</v>
      </c>
      <c r="AK202" s="865">
        <v>0.97750000000000004</v>
      </c>
      <c r="AL202" s="865">
        <v>1.0656300000000001</v>
      </c>
      <c r="AM202" s="865">
        <v>1.1725000000000001</v>
      </c>
      <c r="AN202" s="865">
        <v>1.45675</v>
      </c>
      <c r="AP202" s="861">
        <v>40452</v>
      </c>
      <c r="AQ202" s="865">
        <v>0.55125000000000002</v>
      </c>
      <c r="AR202" s="865">
        <v>0.57094</v>
      </c>
      <c r="AS202" s="865">
        <v>0.62531000000000003</v>
      </c>
      <c r="AT202" s="865">
        <v>0.73475000000000001</v>
      </c>
      <c r="AU202" s="865">
        <v>0.81733999999999996</v>
      </c>
      <c r="AV202" s="865">
        <v>0.92374999999999996</v>
      </c>
      <c r="AW202" s="865">
        <v>1.02641</v>
      </c>
      <c r="AX202" s="865">
        <v>1.4720299999999999</v>
      </c>
      <c r="AZ202" s="861">
        <v>40462</v>
      </c>
      <c r="BA202" s="865">
        <v>3</v>
      </c>
      <c r="BB202" s="865">
        <v>3.14</v>
      </c>
      <c r="BC202" s="865">
        <v>3.15</v>
      </c>
      <c r="BD202" s="865">
        <v>3.19</v>
      </c>
      <c r="BE202" s="865">
        <v>3.2</v>
      </c>
      <c r="BF202" s="865">
        <v>3.21</v>
      </c>
      <c r="BG202" s="865">
        <v>3.23</v>
      </c>
      <c r="BH202" s="865">
        <v>3.23</v>
      </c>
    </row>
    <row r="203" spans="12:60">
      <c r="L203" s="861">
        <v>40451</v>
      </c>
      <c r="M203" s="865">
        <v>4.5</v>
      </c>
      <c r="N203" s="865">
        <v>4.7016999999999998</v>
      </c>
      <c r="O203" s="865">
        <v>4.8499999999999996</v>
      </c>
      <c r="P203" s="865">
        <v>5.0117000000000003</v>
      </c>
      <c r="Q203" s="865">
        <v>5.0583</v>
      </c>
      <c r="R203" s="865">
        <v>5.1166999999999998</v>
      </c>
      <c r="S203" s="865">
        <v>5.1966999999999999</v>
      </c>
      <c r="T203" s="865">
        <v>5.2256</v>
      </c>
      <c r="V203" s="861">
        <v>40451</v>
      </c>
      <c r="W203" s="865">
        <v>0.22625000000000001</v>
      </c>
      <c r="X203" s="865">
        <v>0.25624999999999998</v>
      </c>
      <c r="Y203" s="865">
        <v>0.27296999999999999</v>
      </c>
      <c r="Z203" s="865">
        <v>0.28999999999999998</v>
      </c>
      <c r="AA203" s="865">
        <v>0.34405999999999998</v>
      </c>
      <c r="AB203" s="865">
        <v>0.40749999999999997</v>
      </c>
      <c r="AC203" s="865">
        <v>0.46250000000000002</v>
      </c>
      <c r="AD203" s="865">
        <v>0.77775000000000005</v>
      </c>
      <c r="AF203" s="861">
        <v>40459</v>
      </c>
      <c r="AG203" s="865">
        <v>0.36375000000000002</v>
      </c>
      <c r="AH203" s="865">
        <v>0.70125000000000004</v>
      </c>
      <c r="AI203" s="865">
        <v>0.76124999999999998</v>
      </c>
      <c r="AJ203" s="865">
        <v>0.90812999999999999</v>
      </c>
      <c r="AK203" s="865">
        <v>0.97499999999999998</v>
      </c>
      <c r="AL203" s="865">
        <v>1.0643800000000001</v>
      </c>
      <c r="AM203" s="865">
        <v>1.17</v>
      </c>
      <c r="AN203" s="865">
        <v>1.4555</v>
      </c>
      <c r="AP203" s="861">
        <v>40451</v>
      </c>
      <c r="AQ203" s="865">
        <v>0.55125000000000002</v>
      </c>
      <c r="AR203" s="865">
        <v>0.56843999999999995</v>
      </c>
      <c r="AS203" s="865">
        <v>0.62280999999999997</v>
      </c>
      <c r="AT203" s="865">
        <v>0.73224999999999996</v>
      </c>
      <c r="AU203" s="865">
        <v>0.81733999999999996</v>
      </c>
      <c r="AV203" s="865">
        <v>0.92249999999999999</v>
      </c>
      <c r="AW203" s="865">
        <v>1.0251600000000001</v>
      </c>
      <c r="AX203" s="865">
        <v>1.47078</v>
      </c>
      <c r="AZ203" s="861">
        <v>40459</v>
      </c>
      <c r="BA203" s="865">
        <v>3</v>
      </c>
      <c r="BB203" s="865">
        <v>3.14</v>
      </c>
      <c r="BC203" s="865">
        <v>3.15</v>
      </c>
      <c r="BD203" s="865">
        <v>3.17889</v>
      </c>
      <c r="BE203" s="865">
        <v>3.2</v>
      </c>
      <c r="BF203" s="865">
        <v>3.21</v>
      </c>
      <c r="BG203" s="865">
        <v>3.23</v>
      </c>
      <c r="BH203" s="865">
        <v>3.23</v>
      </c>
    </row>
    <row r="204" spans="12:60">
      <c r="L204" s="861">
        <v>40450</v>
      </c>
      <c r="M204" s="865">
        <v>4.5</v>
      </c>
      <c r="N204" s="865">
        <v>4.68</v>
      </c>
      <c r="O204" s="865">
        <v>4.8132999999999999</v>
      </c>
      <c r="P204" s="865">
        <v>4.9733000000000001</v>
      </c>
      <c r="Q204" s="865">
        <v>5.0199999999999996</v>
      </c>
      <c r="R204" s="865">
        <v>5.085</v>
      </c>
      <c r="S204" s="865">
        <v>5.165</v>
      </c>
      <c r="T204" s="865">
        <v>5.2405999999999997</v>
      </c>
      <c r="V204" s="861">
        <v>40450</v>
      </c>
      <c r="W204" s="865">
        <v>0.22500000000000001</v>
      </c>
      <c r="X204" s="865">
        <v>0.25624999999999998</v>
      </c>
      <c r="Y204" s="865">
        <v>0.27296999999999999</v>
      </c>
      <c r="Z204" s="865">
        <v>0.28999999999999998</v>
      </c>
      <c r="AA204" s="865">
        <v>0.34405999999999998</v>
      </c>
      <c r="AB204" s="865">
        <v>0.40749999999999997</v>
      </c>
      <c r="AC204" s="865">
        <v>0.46250000000000002</v>
      </c>
      <c r="AD204" s="865">
        <v>0.77825</v>
      </c>
      <c r="AF204" s="861">
        <v>40458</v>
      </c>
      <c r="AG204" s="865">
        <v>0.3725</v>
      </c>
      <c r="AH204" s="865">
        <v>0.68969000000000003</v>
      </c>
      <c r="AI204" s="865">
        <v>0.75249999999999995</v>
      </c>
      <c r="AJ204" s="865">
        <v>0.90312999999999999</v>
      </c>
      <c r="AK204" s="865">
        <v>0.97</v>
      </c>
      <c r="AL204" s="865">
        <v>1.05688</v>
      </c>
      <c r="AM204" s="865">
        <v>1.1637500000000001</v>
      </c>
      <c r="AN204" s="865">
        <v>1.44625</v>
      </c>
      <c r="AP204" s="861">
        <v>40450</v>
      </c>
      <c r="AQ204" s="865">
        <v>0.54874999999999996</v>
      </c>
      <c r="AR204" s="865">
        <v>0.56843999999999995</v>
      </c>
      <c r="AS204" s="865">
        <v>0.62280999999999997</v>
      </c>
      <c r="AT204" s="865">
        <v>0.73187999999999998</v>
      </c>
      <c r="AU204" s="865">
        <v>0.81733999999999996</v>
      </c>
      <c r="AV204" s="865">
        <v>0.92249999999999999</v>
      </c>
      <c r="AW204" s="865">
        <v>1.0249999999999999</v>
      </c>
      <c r="AX204" s="865">
        <v>1.4706300000000001</v>
      </c>
      <c r="AZ204" s="861">
        <v>40458</v>
      </c>
      <c r="BA204" s="865">
        <v>3</v>
      </c>
      <c r="BB204" s="865">
        <v>3.14</v>
      </c>
      <c r="BC204" s="865">
        <v>3.16</v>
      </c>
      <c r="BD204" s="865">
        <v>3.17</v>
      </c>
      <c r="BE204" s="865">
        <v>3.2</v>
      </c>
      <c r="BF204" s="865">
        <v>3.2111100000000001</v>
      </c>
      <c r="BG204" s="865">
        <v>3.22</v>
      </c>
      <c r="BH204" s="865">
        <v>3.22</v>
      </c>
    </row>
    <row r="205" spans="12:60">
      <c r="L205" s="861">
        <v>40449</v>
      </c>
      <c r="M205" s="865">
        <v>4.5</v>
      </c>
      <c r="N205" s="865">
        <v>4.66</v>
      </c>
      <c r="O205" s="865">
        <v>4.8049999999999997</v>
      </c>
      <c r="P205" s="865">
        <v>4.9333</v>
      </c>
      <c r="Q205" s="865">
        <v>4.9966999999999997</v>
      </c>
      <c r="R205" s="865">
        <v>5.0533000000000001</v>
      </c>
      <c r="S205" s="865">
        <v>5.12</v>
      </c>
      <c r="T205" s="865">
        <v>5.2419000000000002</v>
      </c>
      <c r="V205" s="861">
        <v>40449</v>
      </c>
      <c r="W205" s="865">
        <v>0.22500000000000001</v>
      </c>
      <c r="X205" s="865">
        <v>0.25624999999999998</v>
      </c>
      <c r="Y205" s="865">
        <v>0.27296999999999999</v>
      </c>
      <c r="Z205" s="865">
        <v>0.28938000000000003</v>
      </c>
      <c r="AA205" s="865">
        <v>0.34281</v>
      </c>
      <c r="AB205" s="865">
        <v>0.40625</v>
      </c>
      <c r="AC205" s="865">
        <v>0.46250000000000002</v>
      </c>
      <c r="AD205" s="865">
        <v>0.77849999999999997</v>
      </c>
      <c r="AF205" s="861">
        <v>40457</v>
      </c>
      <c r="AG205" s="865">
        <v>0.39500000000000002</v>
      </c>
      <c r="AH205" s="865">
        <v>0.68437999999999999</v>
      </c>
      <c r="AI205" s="865">
        <v>0.745</v>
      </c>
      <c r="AJ205" s="865">
        <v>0.89500000000000002</v>
      </c>
      <c r="AK205" s="865">
        <v>0.96625000000000005</v>
      </c>
      <c r="AL205" s="865">
        <v>1.0531299999999999</v>
      </c>
      <c r="AM205" s="865">
        <v>1.1575</v>
      </c>
      <c r="AN205" s="865">
        <v>1.44875</v>
      </c>
      <c r="AP205" s="861">
        <v>40449</v>
      </c>
      <c r="AQ205" s="865">
        <v>0.54874999999999996</v>
      </c>
      <c r="AR205" s="865">
        <v>0.56843999999999995</v>
      </c>
      <c r="AS205" s="865">
        <v>0.62280999999999997</v>
      </c>
      <c r="AT205" s="865">
        <v>0.73187999999999998</v>
      </c>
      <c r="AU205" s="865">
        <v>0.81733999999999996</v>
      </c>
      <c r="AV205" s="865">
        <v>0.92249999999999999</v>
      </c>
      <c r="AW205" s="865">
        <v>1.0249999999999999</v>
      </c>
      <c r="AX205" s="865">
        <v>1.4706300000000001</v>
      </c>
      <c r="AZ205" s="861">
        <v>40457</v>
      </c>
      <c r="BA205" s="865">
        <v>3</v>
      </c>
      <c r="BB205" s="865">
        <v>3.14</v>
      </c>
      <c r="BC205" s="865">
        <v>3.16</v>
      </c>
      <c r="BD205" s="865">
        <v>3.16778</v>
      </c>
      <c r="BE205" s="865">
        <v>3.2</v>
      </c>
      <c r="BF205" s="865">
        <v>3.21</v>
      </c>
      <c r="BG205" s="865">
        <v>3.22</v>
      </c>
      <c r="BH205" s="865">
        <v>3.22</v>
      </c>
    </row>
    <row r="206" spans="12:60">
      <c r="L206" s="861">
        <v>40448</v>
      </c>
      <c r="M206" s="865">
        <v>4.5</v>
      </c>
      <c r="N206" s="865">
        <v>4.66</v>
      </c>
      <c r="O206" s="865">
        <v>4.7949999999999999</v>
      </c>
      <c r="P206" s="865">
        <v>4.9550000000000001</v>
      </c>
      <c r="Q206" s="865">
        <v>4.9966999999999997</v>
      </c>
      <c r="R206" s="865">
        <v>5.0433000000000003</v>
      </c>
      <c r="S206" s="865">
        <v>5.08</v>
      </c>
      <c r="T206" s="865">
        <v>5.2445000000000004</v>
      </c>
      <c r="V206" s="861">
        <v>40448</v>
      </c>
      <c r="W206" s="865">
        <v>0.22538</v>
      </c>
      <c r="X206" s="865">
        <v>0.25624999999999998</v>
      </c>
      <c r="Y206" s="865">
        <v>0.27296999999999999</v>
      </c>
      <c r="Z206" s="865">
        <v>0.28938000000000003</v>
      </c>
      <c r="AA206" s="865">
        <v>0.34281</v>
      </c>
      <c r="AB206" s="865">
        <v>0.40625</v>
      </c>
      <c r="AC206" s="865">
        <v>0.46250000000000002</v>
      </c>
      <c r="AD206" s="865">
        <v>0.77863000000000004</v>
      </c>
      <c r="AF206" s="861">
        <v>40456</v>
      </c>
      <c r="AG206" s="865">
        <v>0.50249999999999995</v>
      </c>
      <c r="AH206" s="865">
        <v>0.68125000000000002</v>
      </c>
      <c r="AI206" s="865">
        <v>0.74</v>
      </c>
      <c r="AJ206" s="865">
        <v>0.89375000000000004</v>
      </c>
      <c r="AK206" s="865">
        <v>0.96625000000000005</v>
      </c>
      <c r="AL206" s="865">
        <v>1.0531299999999999</v>
      </c>
      <c r="AM206" s="865">
        <v>1.1599999999999999</v>
      </c>
      <c r="AN206" s="865">
        <v>1.44875</v>
      </c>
      <c r="AP206" s="861">
        <v>40448</v>
      </c>
      <c r="AQ206" s="865">
        <v>0.54874999999999996</v>
      </c>
      <c r="AR206" s="865">
        <v>0.56843999999999995</v>
      </c>
      <c r="AS206" s="865">
        <v>0.62280999999999997</v>
      </c>
      <c r="AT206" s="865">
        <v>0.73175000000000001</v>
      </c>
      <c r="AU206" s="865">
        <v>0.81733999999999996</v>
      </c>
      <c r="AV206" s="865">
        <v>0.92249999999999999</v>
      </c>
      <c r="AW206" s="865">
        <v>1.0249999999999999</v>
      </c>
      <c r="AX206" s="865">
        <v>1.4706300000000001</v>
      </c>
      <c r="AZ206" s="861">
        <v>40456</v>
      </c>
      <c r="BA206" s="865">
        <v>3</v>
      </c>
      <c r="BB206" s="865">
        <v>3.14</v>
      </c>
      <c r="BC206" s="865">
        <v>3.16</v>
      </c>
      <c r="BD206" s="865">
        <v>3.1611099999999999</v>
      </c>
      <c r="BE206" s="865">
        <v>3.2</v>
      </c>
      <c r="BF206" s="865">
        <v>3.21</v>
      </c>
      <c r="BG206" s="865">
        <v>3.22</v>
      </c>
      <c r="BH206" s="865">
        <v>3.22</v>
      </c>
    </row>
    <row r="207" spans="12:60">
      <c r="L207" s="861">
        <v>40445</v>
      </c>
      <c r="M207" s="865">
        <v>4.5</v>
      </c>
      <c r="N207" s="865">
        <v>4.6399999999999997</v>
      </c>
      <c r="O207" s="865">
        <v>4.7516999999999996</v>
      </c>
      <c r="P207" s="865">
        <v>4.83</v>
      </c>
      <c r="Q207" s="865">
        <v>4.9267000000000003</v>
      </c>
      <c r="R207" s="865">
        <v>5.0199999999999996</v>
      </c>
      <c r="S207" s="865">
        <v>5.12</v>
      </c>
      <c r="T207" s="865">
        <v>5.181</v>
      </c>
      <c r="V207" s="861">
        <v>40445</v>
      </c>
      <c r="W207" s="865">
        <v>0.22538</v>
      </c>
      <c r="X207" s="865">
        <v>0.25624999999999998</v>
      </c>
      <c r="Y207" s="865">
        <v>0.27296999999999999</v>
      </c>
      <c r="Z207" s="865">
        <v>0.28938000000000003</v>
      </c>
      <c r="AA207" s="865">
        <v>0.34281</v>
      </c>
      <c r="AB207" s="865">
        <v>0.40625</v>
      </c>
      <c r="AC207" s="865">
        <v>0.46405999999999997</v>
      </c>
      <c r="AD207" s="865">
        <v>0.78063000000000005</v>
      </c>
      <c r="AF207" s="861">
        <v>40455</v>
      </c>
      <c r="AG207" s="865">
        <v>0.59</v>
      </c>
      <c r="AH207" s="865">
        <v>0.67749999999999999</v>
      </c>
      <c r="AI207" s="865">
        <v>0.73624999999999996</v>
      </c>
      <c r="AJ207" s="865">
        <v>0.89249999999999996</v>
      </c>
      <c r="AK207" s="865">
        <v>0.96375</v>
      </c>
      <c r="AL207" s="865">
        <v>1.0549999999999999</v>
      </c>
      <c r="AM207" s="865">
        <v>1.16188</v>
      </c>
      <c r="AN207" s="865">
        <v>1.44875</v>
      </c>
      <c r="AP207" s="861">
        <v>40445</v>
      </c>
      <c r="AQ207" s="865">
        <v>0.54874999999999996</v>
      </c>
      <c r="AR207" s="865">
        <v>0.56813000000000002</v>
      </c>
      <c r="AS207" s="865">
        <v>0.62280999999999997</v>
      </c>
      <c r="AT207" s="865">
        <v>0.73175000000000001</v>
      </c>
      <c r="AU207" s="865">
        <v>0.81733999999999996</v>
      </c>
      <c r="AV207" s="865">
        <v>0.92234000000000005</v>
      </c>
      <c r="AW207" s="865">
        <v>1.0243800000000001</v>
      </c>
      <c r="AX207" s="865">
        <v>1.4706300000000001</v>
      </c>
      <c r="AZ207" s="861">
        <v>40455</v>
      </c>
      <c r="BA207" s="865">
        <v>3</v>
      </c>
      <c r="BB207" s="865">
        <v>3.14</v>
      </c>
      <c r="BC207" s="865">
        <v>3.16</v>
      </c>
      <c r="BD207" s="865">
        <v>3.1614300000000002</v>
      </c>
      <c r="BE207" s="865">
        <v>3.2</v>
      </c>
      <c r="BF207" s="865">
        <v>3.21143</v>
      </c>
      <c r="BG207" s="865">
        <v>3.22</v>
      </c>
      <c r="BH207" s="865">
        <v>3.22</v>
      </c>
    </row>
    <row r="208" spans="12:60">
      <c r="L208" s="861">
        <v>40444</v>
      </c>
      <c r="M208" s="865">
        <v>4.5</v>
      </c>
      <c r="N208" s="865">
        <v>4.6500000000000004</v>
      </c>
      <c r="O208" s="865">
        <v>4.7450000000000001</v>
      </c>
      <c r="P208" s="865">
        <v>4.8333000000000004</v>
      </c>
      <c r="Q208" s="865">
        <v>4.9249999999999998</v>
      </c>
      <c r="R208" s="865">
        <v>5.0232999999999999</v>
      </c>
      <c r="S208" s="865">
        <v>5.1132999999999997</v>
      </c>
      <c r="T208" s="865">
        <v>5.1963999999999997</v>
      </c>
      <c r="V208" s="861">
        <v>40444</v>
      </c>
      <c r="W208" s="865">
        <v>0.22663</v>
      </c>
      <c r="X208" s="865">
        <v>0.25624999999999998</v>
      </c>
      <c r="Y208" s="865">
        <v>0.27296999999999999</v>
      </c>
      <c r="Z208" s="865">
        <v>0.28938000000000003</v>
      </c>
      <c r="AA208" s="865">
        <v>0.34281</v>
      </c>
      <c r="AB208" s="865">
        <v>0.40625</v>
      </c>
      <c r="AC208" s="865">
        <v>0.46281</v>
      </c>
      <c r="AD208" s="865">
        <v>0.78125</v>
      </c>
      <c r="AF208" s="861">
        <v>40452</v>
      </c>
      <c r="AG208" s="865">
        <v>0.61875000000000002</v>
      </c>
      <c r="AH208" s="865">
        <v>0.67249999999999999</v>
      </c>
      <c r="AI208" s="865">
        <v>0.73375000000000001</v>
      </c>
      <c r="AJ208" s="865">
        <v>0.88875000000000004</v>
      </c>
      <c r="AK208" s="865">
        <v>0.95874999999999999</v>
      </c>
      <c r="AL208" s="865">
        <v>1.05125</v>
      </c>
      <c r="AM208" s="865">
        <v>1.1599999999999999</v>
      </c>
      <c r="AN208" s="865">
        <v>1.4437500000000001</v>
      </c>
      <c r="AP208" s="861">
        <v>40444</v>
      </c>
      <c r="AQ208" s="865">
        <v>0.54874999999999996</v>
      </c>
      <c r="AR208" s="865">
        <v>0.56874999999999998</v>
      </c>
      <c r="AS208" s="865">
        <v>0.62280999999999997</v>
      </c>
      <c r="AT208" s="865">
        <v>0.73187999999999998</v>
      </c>
      <c r="AU208" s="865">
        <v>0.81733999999999996</v>
      </c>
      <c r="AV208" s="865">
        <v>0.92234000000000005</v>
      </c>
      <c r="AW208" s="865">
        <v>1.0243800000000001</v>
      </c>
      <c r="AX208" s="865">
        <v>1.4693799999999999</v>
      </c>
      <c r="AZ208" s="861">
        <v>40452</v>
      </c>
      <c r="BA208" s="865">
        <v>3</v>
      </c>
      <c r="BB208" s="865">
        <v>3.1366700000000001</v>
      </c>
      <c r="BC208" s="865">
        <v>3.16</v>
      </c>
      <c r="BD208" s="865">
        <v>3.2</v>
      </c>
      <c r="BE208" s="865">
        <v>3.2</v>
      </c>
      <c r="BF208" s="865">
        <v>3.21</v>
      </c>
      <c r="BG208" s="865">
        <v>3.22</v>
      </c>
      <c r="BH208" s="865">
        <v>3.22</v>
      </c>
    </row>
    <row r="209" spans="12:60">
      <c r="L209" s="861">
        <v>40443</v>
      </c>
      <c r="M209" s="865">
        <v>4.5</v>
      </c>
      <c r="N209" s="865">
        <v>4.6116999999999999</v>
      </c>
      <c r="O209" s="865">
        <v>4.7350000000000003</v>
      </c>
      <c r="P209" s="865">
        <v>4.83</v>
      </c>
      <c r="Q209" s="865">
        <v>4.9283000000000001</v>
      </c>
      <c r="R209" s="865">
        <v>5.0266999999999999</v>
      </c>
      <c r="S209" s="865">
        <v>5.15</v>
      </c>
      <c r="T209" s="865">
        <v>5.2137000000000002</v>
      </c>
      <c r="V209" s="861">
        <v>40443</v>
      </c>
      <c r="W209" s="865">
        <v>0.22663</v>
      </c>
      <c r="X209" s="865">
        <v>0.25624999999999998</v>
      </c>
      <c r="Y209" s="865">
        <v>0.27296999999999999</v>
      </c>
      <c r="Z209" s="865">
        <v>0.28938000000000003</v>
      </c>
      <c r="AA209" s="865">
        <v>0.34312999999999999</v>
      </c>
      <c r="AB209" s="865">
        <v>0.40688000000000002</v>
      </c>
      <c r="AC209" s="865">
        <v>0.46405999999999997</v>
      </c>
      <c r="AD209" s="865">
        <v>0.78169</v>
      </c>
      <c r="AF209" s="861">
        <v>40451</v>
      </c>
      <c r="AG209" s="865">
        <v>0.60624999999999996</v>
      </c>
      <c r="AH209" s="865">
        <v>0.60624999999999996</v>
      </c>
      <c r="AI209" s="865">
        <v>0.69374999999999998</v>
      </c>
      <c r="AJ209" s="865">
        <v>0.84750000000000003</v>
      </c>
      <c r="AK209" s="865">
        <v>0.93125000000000002</v>
      </c>
      <c r="AL209" s="865">
        <v>1.0287500000000001</v>
      </c>
      <c r="AM209" s="865">
        <v>1.13188</v>
      </c>
      <c r="AN209" s="865">
        <v>1.42</v>
      </c>
      <c r="AP209" s="861">
        <v>40443</v>
      </c>
      <c r="AQ209" s="865">
        <v>0.54874999999999996</v>
      </c>
      <c r="AR209" s="865">
        <v>0.56999999999999995</v>
      </c>
      <c r="AS209" s="865">
        <v>0.62405999999999995</v>
      </c>
      <c r="AT209" s="865">
        <v>0.73312999999999995</v>
      </c>
      <c r="AU209" s="865">
        <v>0.81733999999999996</v>
      </c>
      <c r="AV209" s="865">
        <v>0.92484</v>
      </c>
      <c r="AW209" s="865">
        <v>1.02688</v>
      </c>
      <c r="AX209" s="865">
        <v>1.4718800000000001</v>
      </c>
      <c r="AZ209" s="861">
        <v>40451</v>
      </c>
      <c r="BA209" s="865">
        <v>3</v>
      </c>
      <c r="BB209" s="865">
        <v>3.11111</v>
      </c>
      <c r="BC209" s="865">
        <v>3.1688900000000002</v>
      </c>
      <c r="BD209" s="865">
        <v>3.1655600000000002</v>
      </c>
      <c r="BE209" s="865">
        <v>3.1877800000000001</v>
      </c>
      <c r="BF209" s="865">
        <v>3.2</v>
      </c>
      <c r="BG209" s="865">
        <v>3.22</v>
      </c>
      <c r="BH209" s="865">
        <v>3.22</v>
      </c>
    </row>
    <row r="210" spans="12:60">
      <c r="L210" s="861">
        <v>40442</v>
      </c>
      <c r="M210" s="865">
        <v>4.5</v>
      </c>
      <c r="N210" s="865">
        <v>4.6067</v>
      </c>
      <c r="O210" s="865">
        <v>4.7317</v>
      </c>
      <c r="P210" s="865">
        <v>4.79</v>
      </c>
      <c r="Q210" s="865">
        <v>4.8982999999999999</v>
      </c>
      <c r="R210" s="865">
        <v>4.9882999999999997</v>
      </c>
      <c r="S210" s="865">
        <v>5.0816999999999997</v>
      </c>
      <c r="T210" s="865">
        <v>5.1836000000000002</v>
      </c>
      <c r="V210" s="861">
        <v>40442</v>
      </c>
      <c r="W210" s="865">
        <v>0.22788</v>
      </c>
      <c r="X210" s="865">
        <v>0.25624999999999998</v>
      </c>
      <c r="Y210" s="865">
        <v>0.27312999999999998</v>
      </c>
      <c r="Z210" s="865">
        <v>0.28969</v>
      </c>
      <c r="AA210" s="865">
        <v>0.34625</v>
      </c>
      <c r="AB210" s="865">
        <v>0.41313</v>
      </c>
      <c r="AC210" s="865">
        <v>0.47313</v>
      </c>
      <c r="AD210" s="865">
        <v>0.79337999999999997</v>
      </c>
      <c r="AF210" s="861">
        <v>40450</v>
      </c>
      <c r="AG210" s="865">
        <v>0.36125000000000002</v>
      </c>
      <c r="AH210" s="865">
        <v>0.57813000000000003</v>
      </c>
      <c r="AI210" s="865">
        <v>0.67874999999999996</v>
      </c>
      <c r="AJ210" s="865">
        <v>0.83438000000000001</v>
      </c>
      <c r="AK210" s="865">
        <v>0.92</v>
      </c>
      <c r="AL210" s="865">
        <v>1.0131300000000001</v>
      </c>
      <c r="AM210" s="865">
        <v>1.11625</v>
      </c>
      <c r="AN210" s="865">
        <v>1.40625</v>
      </c>
      <c r="AP210" s="861">
        <v>40442</v>
      </c>
      <c r="AQ210" s="865">
        <v>0.54874999999999996</v>
      </c>
      <c r="AR210" s="865">
        <v>0.56999999999999995</v>
      </c>
      <c r="AS210" s="865">
        <v>0.62405999999999995</v>
      </c>
      <c r="AT210" s="865">
        <v>0.73187999999999998</v>
      </c>
      <c r="AU210" s="865">
        <v>0.81733999999999996</v>
      </c>
      <c r="AV210" s="865">
        <v>0.92484</v>
      </c>
      <c r="AW210" s="865">
        <v>1.02938</v>
      </c>
      <c r="AX210" s="865">
        <v>1.47438</v>
      </c>
      <c r="AZ210" s="861">
        <v>40450</v>
      </c>
      <c r="BA210" s="865">
        <v>3</v>
      </c>
      <c r="BB210" s="865">
        <v>3.12</v>
      </c>
      <c r="BC210" s="865">
        <v>3.17</v>
      </c>
      <c r="BD210" s="865">
        <v>3.1875</v>
      </c>
      <c r="BE210" s="865">
        <v>3.19</v>
      </c>
      <c r="BF210" s="865">
        <v>3.2</v>
      </c>
      <c r="BG210" s="865">
        <v>3.22</v>
      </c>
      <c r="BH210" s="865">
        <v>3.22</v>
      </c>
    </row>
    <row r="211" spans="12:60">
      <c r="L211" s="861">
        <v>40441</v>
      </c>
      <c r="M211" s="865">
        <v>4.5</v>
      </c>
      <c r="N211" s="865">
        <v>4.5732999999999997</v>
      </c>
      <c r="O211" s="865">
        <v>4.7</v>
      </c>
      <c r="P211" s="865">
        <v>4.74</v>
      </c>
      <c r="Q211" s="865">
        <v>4.835</v>
      </c>
      <c r="R211" s="865">
        <v>4.9050000000000002</v>
      </c>
      <c r="S211" s="865">
        <v>4.9800000000000004</v>
      </c>
      <c r="T211" s="865">
        <v>5.0609000000000002</v>
      </c>
      <c r="V211" s="861">
        <v>40441</v>
      </c>
      <c r="W211" s="865">
        <v>0.22788</v>
      </c>
      <c r="X211" s="865">
        <v>0.25624999999999998</v>
      </c>
      <c r="Y211" s="865">
        <v>0.27312999999999998</v>
      </c>
      <c r="Z211" s="865">
        <v>0.29031000000000001</v>
      </c>
      <c r="AA211" s="865">
        <v>0.34625</v>
      </c>
      <c r="AB211" s="865">
        <v>0.41313</v>
      </c>
      <c r="AC211" s="865">
        <v>0.47313</v>
      </c>
      <c r="AD211" s="865">
        <v>0.79362999999999995</v>
      </c>
      <c r="AF211" s="861">
        <v>40449</v>
      </c>
      <c r="AG211" s="865">
        <v>0.36625000000000002</v>
      </c>
      <c r="AH211" s="865">
        <v>0.57687999999999995</v>
      </c>
      <c r="AI211" s="865">
        <v>0.67813000000000001</v>
      </c>
      <c r="AJ211" s="865">
        <v>0.82874999999999999</v>
      </c>
      <c r="AK211" s="865">
        <v>0.91813</v>
      </c>
      <c r="AL211" s="865">
        <v>1.01125</v>
      </c>
      <c r="AM211" s="865">
        <v>1.1134999999999999</v>
      </c>
      <c r="AN211" s="865">
        <v>1.4037500000000001</v>
      </c>
      <c r="AP211" s="861">
        <v>40441</v>
      </c>
      <c r="AQ211" s="865">
        <v>0.54874999999999996</v>
      </c>
      <c r="AR211" s="865">
        <v>0.56999999999999995</v>
      </c>
      <c r="AS211" s="865">
        <v>0.62405999999999995</v>
      </c>
      <c r="AT211" s="865">
        <v>0.73187999999999998</v>
      </c>
      <c r="AU211" s="865">
        <v>0.81733999999999996</v>
      </c>
      <c r="AV211" s="865">
        <v>0.92359000000000002</v>
      </c>
      <c r="AW211" s="865">
        <v>1.02813</v>
      </c>
      <c r="AX211" s="865">
        <v>1.4724999999999999</v>
      </c>
      <c r="AZ211" s="861">
        <v>40449</v>
      </c>
      <c r="BA211" s="865">
        <v>3</v>
      </c>
      <c r="BB211" s="865">
        <v>3.12</v>
      </c>
      <c r="BC211" s="865">
        <v>3.17</v>
      </c>
      <c r="BD211" s="865">
        <v>3.19</v>
      </c>
      <c r="BE211" s="865">
        <v>3.19</v>
      </c>
      <c r="BF211" s="865">
        <v>3.2</v>
      </c>
      <c r="BG211" s="865">
        <v>3.22</v>
      </c>
      <c r="BH211" s="865">
        <v>3.22</v>
      </c>
    </row>
    <row r="212" spans="12:60">
      <c r="L212" s="861">
        <v>40438</v>
      </c>
      <c r="M212" s="865">
        <v>4.5</v>
      </c>
      <c r="N212" s="865">
        <v>4.58</v>
      </c>
      <c r="O212" s="865">
        <v>4.72</v>
      </c>
      <c r="P212" s="865">
        <v>4.78</v>
      </c>
      <c r="Q212" s="865">
        <v>4.8499999999999996</v>
      </c>
      <c r="R212" s="865">
        <v>4.915</v>
      </c>
      <c r="S212" s="865">
        <v>4.9733000000000001</v>
      </c>
      <c r="T212" s="865">
        <v>5.0754999999999999</v>
      </c>
      <c r="V212" s="861">
        <v>40438</v>
      </c>
      <c r="W212" s="865">
        <v>0.22788</v>
      </c>
      <c r="X212" s="865">
        <v>0.25750000000000001</v>
      </c>
      <c r="Y212" s="865">
        <v>0.27438000000000001</v>
      </c>
      <c r="Z212" s="865">
        <v>0.29155999999999999</v>
      </c>
      <c r="AA212" s="865">
        <v>0.34625</v>
      </c>
      <c r="AB212" s="865">
        <v>0.41297</v>
      </c>
      <c r="AC212" s="865">
        <v>0.47313</v>
      </c>
      <c r="AD212" s="865">
        <v>0.79362999999999995</v>
      </c>
      <c r="AF212" s="861">
        <v>40448</v>
      </c>
      <c r="AG212" s="865">
        <v>0.37</v>
      </c>
      <c r="AH212" s="865">
        <v>0.57313000000000003</v>
      </c>
      <c r="AI212" s="865">
        <v>0.67437999999999998</v>
      </c>
      <c r="AJ212" s="865">
        <v>0.82374999999999998</v>
      </c>
      <c r="AK212" s="865">
        <v>0.91374999999999995</v>
      </c>
      <c r="AL212" s="865">
        <v>1.00688</v>
      </c>
      <c r="AM212" s="865">
        <v>1.11188</v>
      </c>
      <c r="AN212" s="865">
        <v>1.40063</v>
      </c>
      <c r="AP212" s="861">
        <v>40438</v>
      </c>
      <c r="AQ212" s="865">
        <v>0.54874999999999996</v>
      </c>
      <c r="AR212" s="865">
        <v>0.56999999999999995</v>
      </c>
      <c r="AS212" s="865">
        <v>0.62405999999999995</v>
      </c>
      <c r="AT212" s="865">
        <v>0.72968999999999995</v>
      </c>
      <c r="AU212" s="865">
        <v>0.81733999999999996</v>
      </c>
      <c r="AV212" s="865">
        <v>0.92359000000000002</v>
      </c>
      <c r="AW212" s="865">
        <v>1.02813</v>
      </c>
      <c r="AX212" s="865">
        <v>1.4696899999999999</v>
      </c>
      <c r="AZ212" s="861">
        <v>40448</v>
      </c>
      <c r="BA212" s="865">
        <v>3</v>
      </c>
      <c r="BB212" s="865">
        <v>3.12</v>
      </c>
      <c r="BC212" s="865">
        <v>3.1687500000000002</v>
      </c>
      <c r="BD212" s="865">
        <v>3.16</v>
      </c>
      <c r="BE212" s="865">
        <v>3.19</v>
      </c>
      <c r="BF212" s="865">
        <v>3.2</v>
      </c>
      <c r="BG212" s="865">
        <v>3.22</v>
      </c>
      <c r="BH212" s="865">
        <v>3.22</v>
      </c>
    </row>
    <row r="213" spans="12:60">
      <c r="L213" s="861">
        <v>40437</v>
      </c>
      <c r="M213" s="865">
        <v>4.5</v>
      </c>
      <c r="N213" s="865">
        <v>4.58</v>
      </c>
      <c r="O213" s="865">
        <v>4.71</v>
      </c>
      <c r="P213" s="865">
        <v>4.7866999999999997</v>
      </c>
      <c r="Q213" s="865">
        <v>4.8532999999999999</v>
      </c>
      <c r="R213" s="865">
        <v>4.9166999999999996</v>
      </c>
      <c r="S213" s="865">
        <v>4.9832999999999998</v>
      </c>
      <c r="T213" s="865">
        <v>5.0648999999999997</v>
      </c>
      <c r="V213" s="861">
        <v>40437</v>
      </c>
      <c r="W213" s="865">
        <v>0.22750000000000001</v>
      </c>
      <c r="X213" s="865">
        <v>0.25734000000000001</v>
      </c>
      <c r="Y213" s="865">
        <v>0.27406000000000003</v>
      </c>
      <c r="Z213" s="865">
        <v>0.29141</v>
      </c>
      <c r="AA213" s="865">
        <v>0.34625</v>
      </c>
      <c r="AB213" s="865">
        <v>0.41297</v>
      </c>
      <c r="AC213" s="865">
        <v>0.47438000000000002</v>
      </c>
      <c r="AD213" s="865">
        <v>0.79400000000000004</v>
      </c>
      <c r="AF213" s="861">
        <v>40445</v>
      </c>
      <c r="AG213" s="865">
        <v>0.3775</v>
      </c>
      <c r="AH213" s="865">
        <v>0.57374999999999998</v>
      </c>
      <c r="AI213" s="865">
        <v>0.67249999999999999</v>
      </c>
      <c r="AJ213" s="865">
        <v>0.82374999999999998</v>
      </c>
      <c r="AK213" s="865">
        <v>0.91374999999999995</v>
      </c>
      <c r="AL213" s="865">
        <v>1.00688</v>
      </c>
      <c r="AM213" s="865">
        <v>1.11063</v>
      </c>
      <c r="AN213" s="865">
        <v>1.3981300000000001</v>
      </c>
      <c r="AP213" s="861">
        <v>40437</v>
      </c>
      <c r="AQ213" s="865">
        <v>0.54874999999999996</v>
      </c>
      <c r="AR213" s="865">
        <v>0.56999999999999995</v>
      </c>
      <c r="AS213" s="865">
        <v>0.62280999999999997</v>
      </c>
      <c r="AT213" s="865">
        <v>0.72719</v>
      </c>
      <c r="AU213" s="865">
        <v>0.81733999999999996</v>
      </c>
      <c r="AV213" s="865">
        <v>0.92359000000000002</v>
      </c>
      <c r="AW213" s="865">
        <v>1.02813</v>
      </c>
      <c r="AX213" s="865">
        <v>1.4678100000000001</v>
      </c>
      <c r="AZ213" s="861">
        <v>40445</v>
      </c>
      <c r="BA213" s="865">
        <v>3</v>
      </c>
      <c r="BB213" s="865">
        <v>3.12</v>
      </c>
      <c r="BC213" s="865">
        <v>3.17</v>
      </c>
      <c r="BD213" s="865">
        <v>3.18</v>
      </c>
      <c r="BE213" s="865">
        <v>3.19</v>
      </c>
      <c r="BF213" s="865">
        <v>3.2</v>
      </c>
      <c r="BG213" s="865">
        <v>3.22</v>
      </c>
      <c r="BH213" s="865">
        <v>3.22</v>
      </c>
    </row>
    <row r="214" spans="12:60">
      <c r="L214" s="861">
        <v>40436</v>
      </c>
      <c r="M214" s="865">
        <v>4.5</v>
      </c>
      <c r="N214" s="865">
        <v>4.6399999999999997</v>
      </c>
      <c r="O214" s="865">
        <v>4.7466999999999997</v>
      </c>
      <c r="P214" s="865">
        <v>4.8550000000000004</v>
      </c>
      <c r="Q214" s="865">
        <v>4.9000000000000004</v>
      </c>
      <c r="R214" s="865">
        <v>4.9532999999999996</v>
      </c>
      <c r="S214" s="865">
        <v>5.0266999999999999</v>
      </c>
      <c r="T214" s="865">
        <v>5.0768000000000004</v>
      </c>
      <c r="V214" s="861">
        <v>40436</v>
      </c>
      <c r="W214" s="865">
        <v>0.22688</v>
      </c>
      <c r="X214" s="865">
        <v>0.25734000000000001</v>
      </c>
      <c r="Y214" s="865">
        <v>0.27406000000000003</v>
      </c>
      <c r="Z214" s="865">
        <v>0.29203000000000001</v>
      </c>
      <c r="AA214" s="865">
        <v>0.34641</v>
      </c>
      <c r="AB214" s="865">
        <v>0.41343999999999997</v>
      </c>
      <c r="AC214" s="865">
        <v>0.47453000000000001</v>
      </c>
      <c r="AD214" s="865">
        <v>0.79749999999999999</v>
      </c>
      <c r="AF214" s="861">
        <v>40444</v>
      </c>
      <c r="AG214" s="865">
        <v>0.38</v>
      </c>
      <c r="AH214" s="865">
        <v>0.57438</v>
      </c>
      <c r="AI214" s="865">
        <v>0.67249999999999999</v>
      </c>
      <c r="AJ214" s="865">
        <v>0.82374999999999998</v>
      </c>
      <c r="AK214" s="865">
        <v>0.91374999999999995</v>
      </c>
      <c r="AL214" s="865">
        <v>1.00688</v>
      </c>
      <c r="AM214" s="865">
        <v>1.1081300000000001</v>
      </c>
      <c r="AN214" s="865">
        <v>1.3987499999999999</v>
      </c>
      <c r="AP214" s="861">
        <v>40436</v>
      </c>
      <c r="AQ214" s="865">
        <v>0.54874999999999996</v>
      </c>
      <c r="AR214" s="865">
        <v>0.5675</v>
      </c>
      <c r="AS214" s="865">
        <v>0.62031000000000003</v>
      </c>
      <c r="AT214" s="865">
        <v>0.72468999999999995</v>
      </c>
      <c r="AU214" s="865">
        <v>0.81608999999999998</v>
      </c>
      <c r="AV214" s="865">
        <v>0.92108999999999996</v>
      </c>
      <c r="AW214" s="865">
        <v>1.02563</v>
      </c>
      <c r="AX214" s="865">
        <v>1.4665600000000001</v>
      </c>
      <c r="AZ214" s="861">
        <v>40444</v>
      </c>
      <c r="BA214" s="865">
        <v>3</v>
      </c>
      <c r="BB214" s="865">
        <v>3.12</v>
      </c>
      <c r="BC214" s="865">
        <v>3.1888899999999998</v>
      </c>
      <c r="BD214" s="865">
        <v>3.15</v>
      </c>
      <c r="BE214" s="865">
        <v>3.19</v>
      </c>
      <c r="BF214" s="865">
        <v>3.2</v>
      </c>
      <c r="BG214" s="865">
        <v>3.24</v>
      </c>
      <c r="BH214" s="865">
        <v>3.24</v>
      </c>
    </row>
    <row r="215" spans="12:60">
      <c r="L215" s="861">
        <v>40435</v>
      </c>
      <c r="M215" s="865">
        <v>4.5</v>
      </c>
      <c r="N215" s="865">
        <v>4.6100000000000003</v>
      </c>
      <c r="O215" s="865">
        <v>4.7317</v>
      </c>
      <c r="P215" s="865">
        <v>4.82</v>
      </c>
      <c r="Q215" s="865">
        <v>4.8833000000000002</v>
      </c>
      <c r="R215" s="865">
        <v>4.95</v>
      </c>
      <c r="S215" s="865">
        <v>5.03</v>
      </c>
      <c r="T215" s="865">
        <v>5.0666000000000002</v>
      </c>
      <c r="V215" s="861">
        <v>40435</v>
      </c>
      <c r="W215" s="865">
        <v>0.22688</v>
      </c>
      <c r="X215" s="865">
        <v>0.25734000000000001</v>
      </c>
      <c r="Y215" s="865">
        <v>0.27406000000000003</v>
      </c>
      <c r="Z215" s="865">
        <v>0.29187999999999997</v>
      </c>
      <c r="AA215" s="865">
        <v>0.34953000000000001</v>
      </c>
      <c r="AB215" s="865">
        <v>0.41655999999999999</v>
      </c>
      <c r="AC215" s="865">
        <v>0.48187999999999998</v>
      </c>
      <c r="AD215" s="865">
        <v>0.80788000000000004</v>
      </c>
      <c r="AF215" s="861">
        <v>40443</v>
      </c>
      <c r="AG215" s="865">
        <v>0.38188</v>
      </c>
      <c r="AH215" s="865">
        <v>0.57687999999999995</v>
      </c>
      <c r="AI215" s="865">
        <v>0.67500000000000004</v>
      </c>
      <c r="AJ215" s="865">
        <v>0.82625000000000004</v>
      </c>
      <c r="AK215" s="865">
        <v>0.91625000000000001</v>
      </c>
      <c r="AL215" s="865">
        <v>1.00813</v>
      </c>
      <c r="AM215" s="865">
        <v>1.10625</v>
      </c>
      <c r="AN215" s="865">
        <v>1.4025000000000001</v>
      </c>
      <c r="AP215" s="861">
        <v>40435</v>
      </c>
      <c r="AQ215" s="865">
        <v>0.54874999999999996</v>
      </c>
      <c r="AR215" s="865">
        <v>0.5675</v>
      </c>
      <c r="AS215" s="865">
        <v>0.62031000000000003</v>
      </c>
      <c r="AT215" s="865">
        <v>0.72468999999999995</v>
      </c>
      <c r="AU215" s="865">
        <v>0.81359000000000004</v>
      </c>
      <c r="AV215" s="865">
        <v>0.91859000000000002</v>
      </c>
      <c r="AW215" s="865">
        <v>1.0231300000000001</v>
      </c>
      <c r="AX215" s="865">
        <v>1.4653099999999999</v>
      </c>
      <c r="AZ215" s="861">
        <v>40443</v>
      </c>
      <c r="BA215" s="865">
        <v>3</v>
      </c>
      <c r="BB215" s="865">
        <v>3.12</v>
      </c>
      <c r="BC215" s="865">
        <v>3.1911100000000001</v>
      </c>
      <c r="BD215" s="865">
        <v>3.15889</v>
      </c>
      <c r="BE215" s="865">
        <v>3.19</v>
      </c>
      <c r="BF215" s="865">
        <v>3.2</v>
      </c>
      <c r="BG215" s="865">
        <v>3.24</v>
      </c>
      <c r="BH215" s="865">
        <v>3.24</v>
      </c>
    </row>
    <row r="216" spans="12:60">
      <c r="L216" s="861">
        <v>40434</v>
      </c>
      <c r="M216" s="865">
        <v>4.5</v>
      </c>
      <c r="N216" s="865">
        <v>4.5933000000000002</v>
      </c>
      <c r="O216" s="865">
        <v>4.7249999999999996</v>
      </c>
      <c r="P216" s="865">
        <v>4.8266999999999998</v>
      </c>
      <c r="Q216" s="865">
        <v>4.88</v>
      </c>
      <c r="R216" s="865">
        <v>4.9466999999999999</v>
      </c>
      <c r="S216" s="865">
        <v>4.9800000000000004</v>
      </c>
      <c r="T216" s="865">
        <v>5.0819000000000001</v>
      </c>
      <c r="V216" s="861">
        <v>40434</v>
      </c>
      <c r="W216" s="865">
        <v>0.22688</v>
      </c>
      <c r="X216" s="865">
        <v>0.25734000000000001</v>
      </c>
      <c r="Y216" s="865">
        <v>0.27438000000000001</v>
      </c>
      <c r="Z216" s="865">
        <v>0.29219000000000001</v>
      </c>
      <c r="AA216" s="865">
        <v>0.35155999999999998</v>
      </c>
      <c r="AB216" s="865">
        <v>0.42031000000000002</v>
      </c>
      <c r="AC216" s="865">
        <v>0.48719000000000001</v>
      </c>
      <c r="AD216" s="865">
        <v>0.81988000000000005</v>
      </c>
      <c r="AF216" s="861">
        <v>40442</v>
      </c>
      <c r="AG216" s="865">
        <v>0.38938</v>
      </c>
      <c r="AH216" s="865">
        <v>0.57687999999999995</v>
      </c>
      <c r="AI216" s="865">
        <v>0.67374999999999996</v>
      </c>
      <c r="AJ216" s="865">
        <v>0.82874999999999999</v>
      </c>
      <c r="AK216" s="865">
        <v>0.91874999999999996</v>
      </c>
      <c r="AL216" s="865">
        <v>1.0106299999999999</v>
      </c>
      <c r="AM216" s="865">
        <v>1.1125</v>
      </c>
      <c r="AN216" s="865">
        <v>1.4071899999999999</v>
      </c>
      <c r="AP216" s="861">
        <v>40434</v>
      </c>
      <c r="AQ216" s="865">
        <v>0.54874999999999996</v>
      </c>
      <c r="AR216" s="865">
        <v>0.5675</v>
      </c>
      <c r="AS216" s="865">
        <v>0.62031000000000003</v>
      </c>
      <c r="AT216" s="865">
        <v>0.72468999999999995</v>
      </c>
      <c r="AU216" s="865">
        <v>0.81608999999999998</v>
      </c>
      <c r="AV216" s="865">
        <v>0.92108999999999996</v>
      </c>
      <c r="AW216" s="865">
        <v>1.0254700000000001</v>
      </c>
      <c r="AX216" s="865">
        <v>1.46641</v>
      </c>
      <c r="AZ216" s="861">
        <v>40442</v>
      </c>
      <c r="BA216" s="865">
        <v>3</v>
      </c>
      <c r="BB216" s="865">
        <v>3.12</v>
      </c>
      <c r="BC216" s="865">
        <v>3.1974999999999998</v>
      </c>
      <c r="BD216" s="865">
        <v>3.1812499999999999</v>
      </c>
      <c r="BE216" s="865">
        <v>3.19</v>
      </c>
      <c r="BF216" s="865">
        <v>3.2</v>
      </c>
      <c r="BG216" s="865">
        <v>3.24</v>
      </c>
      <c r="BH216" s="865">
        <v>3.24</v>
      </c>
    </row>
    <row r="217" spans="12:60">
      <c r="L217" s="861">
        <v>40431</v>
      </c>
      <c r="M217" s="865">
        <v>4.5</v>
      </c>
      <c r="N217" s="865">
        <v>4.5867000000000004</v>
      </c>
      <c r="O217" s="865">
        <v>4.6982999999999997</v>
      </c>
      <c r="P217" s="865">
        <v>4.7916999999999996</v>
      </c>
      <c r="Q217" s="865">
        <v>4.8632999999999997</v>
      </c>
      <c r="R217" s="865">
        <v>4.9283000000000001</v>
      </c>
      <c r="S217" s="865">
        <v>4.9950000000000001</v>
      </c>
      <c r="T217" s="865">
        <v>5.0475000000000003</v>
      </c>
      <c r="V217" s="861">
        <v>40431</v>
      </c>
      <c r="W217" s="865">
        <v>0.22688</v>
      </c>
      <c r="X217" s="865">
        <v>0.25734000000000001</v>
      </c>
      <c r="Y217" s="865">
        <v>0.27438000000000001</v>
      </c>
      <c r="Z217" s="865">
        <v>0.29219000000000001</v>
      </c>
      <c r="AA217" s="865">
        <v>0.35155999999999998</v>
      </c>
      <c r="AB217" s="865">
        <v>0.42155999999999999</v>
      </c>
      <c r="AC217" s="865">
        <v>0.48969000000000001</v>
      </c>
      <c r="AD217" s="865">
        <v>0.82218999999999998</v>
      </c>
      <c r="AF217" s="861">
        <v>40441</v>
      </c>
      <c r="AG217" s="865">
        <v>0.39438000000000001</v>
      </c>
      <c r="AH217" s="865">
        <v>0.57655999999999996</v>
      </c>
      <c r="AI217" s="865">
        <v>0.67374999999999996</v>
      </c>
      <c r="AJ217" s="865">
        <v>0.82874999999999999</v>
      </c>
      <c r="AK217" s="865">
        <v>0.92</v>
      </c>
      <c r="AL217" s="865">
        <v>1.0131300000000001</v>
      </c>
      <c r="AM217" s="865">
        <v>1.115</v>
      </c>
      <c r="AN217" s="865">
        <v>1.4093800000000001</v>
      </c>
      <c r="AP217" s="861">
        <v>40431</v>
      </c>
      <c r="AQ217" s="865">
        <v>0.54874999999999996</v>
      </c>
      <c r="AR217" s="865">
        <v>0.5675</v>
      </c>
      <c r="AS217" s="865">
        <v>0.62031000000000003</v>
      </c>
      <c r="AT217" s="865">
        <v>0.72468999999999995</v>
      </c>
      <c r="AU217" s="865">
        <v>0.81608999999999998</v>
      </c>
      <c r="AV217" s="865">
        <v>0.92047000000000001</v>
      </c>
      <c r="AW217" s="865">
        <v>1.0242199999999999</v>
      </c>
      <c r="AX217" s="865">
        <v>1.46516</v>
      </c>
      <c r="AZ217" s="861">
        <v>40441</v>
      </c>
      <c r="BA217" s="865">
        <v>3</v>
      </c>
      <c r="BB217" s="865">
        <v>3.1244399999999999</v>
      </c>
      <c r="BC217" s="865">
        <v>3.18</v>
      </c>
      <c r="BD217" s="865">
        <v>3.1511100000000001</v>
      </c>
      <c r="BE217" s="865">
        <v>3.19</v>
      </c>
      <c r="BF217" s="865">
        <v>3.2</v>
      </c>
      <c r="BG217" s="865">
        <v>3.24</v>
      </c>
      <c r="BH217" s="865">
        <v>3.24</v>
      </c>
    </row>
    <row r="218" spans="12:60">
      <c r="L218" s="861">
        <v>40430</v>
      </c>
      <c r="M218" s="865">
        <v>4.5</v>
      </c>
      <c r="N218" s="865">
        <v>4.58</v>
      </c>
      <c r="O218" s="865">
        <v>4.6900000000000004</v>
      </c>
      <c r="P218" s="865">
        <v>4.79</v>
      </c>
      <c r="Q218" s="865">
        <v>4.82</v>
      </c>
      <c r="R218" s="865">
        <v>4.8666999999999998</v>
      </c>
      <c r="S218" s="865">
        <v>4.91</v>
      </c>
      <c r="T218" s="865">
        <v>4.9450000000000003</v>
      </c>
      <c r="V218" s="861">
        <v>40430</v>
      </c>
      <c r="W218" s="865">
        <v>0.22688</v>
      </c>
      <c r="X218" s="865">
        <v>0.25734000000000001</v>
      </c>
      <c r="Y218" s="865">
        <v>0.27438000000000001</v>
      </c>
      <c r="Z218" s="865">
        <v>0.29249999999999998</v>
      </c>
      <c r="AA218" s="865">
        <v>0.35188000000000003</v>
      </c>
      <c r="AB218" s="865">
        <v>0.42187999999999998</v>
      </c>
      <c r="AC218" s="865">
        <v>0.49</v>
      </c>
      <c r="AD218" s="865">
        <v>0.82425000000000004</v>
      </c>
      <c r="AF218" s="861">
        <v>40438</v>
      </c>
      <c r="AG218" s="865">
        <v>0.39312999999999998</v>
      </c>
      <c r="AH218" s="865">
        <v>0.57530999999999999</v>
      </c>
      <c r="AI218" s="865">
        <v>0.67249999999999999</v>
      </c>
      <c r="AJ218" s="865">
        <v>0.82874999999999999</v>
      </c>
      <c r="AK218" s="865">
        <v>0.91749999999999998</v>
      </c>
      <c r="AL218" s="865">
        <v>1.0118799999999999</v>
      </c>
      <c r="AM218" s="865">
        <v>1.115</v>
      </c>
      <c r="AN218" s="865">
        <v>1.40313</v>
      </c>
      <c r="AP218" s="861">
        <v>40430</v>
      </c>
      <c r="AQ218" s="865">
        <v>0.54874999999999996</v>
      </c>
      <c r="AR218" s="865">
        <v>0.5675</v>
      </c>
      <c r="AS218" s="865">
        <v>0.62187999999999999</v>
      </c>
      <c r="AT218" s="865">
        <v>0.72609000000000001</v>
      </c>
      <c r="AU218" s="865">
        <v>0.81733999999999996</v>
      </c>
      <c r="AV218" s="865">
        <v>0.92171999999999998</v>
      </c>
      <c r="AW218" s="865">
        <v>1.0254700000000001</v>
      </c>
      <c r="AX218" s="865">
        <v>1.46391</v>
      </c>
      <c r="AZ218" s="861">
        <v>40438</v>
      </c>
      <c r="BA218" s="865">
        <v>3</v>
      </c>
      <c r="BB218" s="865">
        <v>3.14</v>
      </c>
      <c r="BC218" s="865">
        <v>3.1877800000000001</v>
      </c>
      <c r="BD218" s="865">
        <v>3.1811099999999999</v>
      </c>
      <c r="BE218" s="865">
        <v>3.2011099999999999</v>
      </c>
      <c r="BF218" s="865">
        <v>3.2</v>
      </c>
      <c r="BG218" s="865">
        <v>3.24</v>
      </c>
      <c r="BH218" s="865">
        <v>3.24</v>
      </c>
    </row>
    <row r="219" spans="12:60">
      <c r="L219" s="861">
        <v>40429</v>
      </c>
      <c r="M219" s="865">
        <v>4.5</v>
      </c>
      <c r="N219" s="865">
        <v>4.5933000000000002</v>
      </c>
      <c r="O219" s="865">
        <v>4.6917</v>
      </c>
      <c r="P219" s="865">
        <v>4.7382999999999997</v>
      </c>
      <c r="Q219" s="865">
        <v>4.7949999999999999</v>
      </c>
      <c r="R219" s="865">
        <v>4.8499999999999996</v>
      </c>
      <c r="S219" s="865">
        <v>4.91</v>
      </c>
      <c r="T219" s="865">
        <v>4.8913000000000002</v>
      </c>
      <c r="V219" s="861">
        <v>40429</v>
      </c>
      <c r="W219" s="865">
        <v>0.22688</v>
      </c>
      <c r="X219" s="865">
        <v>0.25734000000000001</v>
      </c>
      <c r="Y219" s="865">
        <v>0.27438000000000001</v>
      </c>
      <c r="Z219" s="865">
        <v>0.29249999999999998</v>
      </c>
      <c r="AA219" s="865">
        <v>0.35249999999999998</v>
      </c>
      <c r="AB219" s="865">
        <v>0.42187999999999998</v>
      </c>
      <c r="AC219" s="865">
        <v>0.48953000000000002</v>
      </c>
      <c r="AD219" s="865">
        <v>0.82330999999999999</v>
      </c>
      <c r="AF219" s="861">
        <v>40437</v>
      </c>
      <c r="AG219" s="865">
        <v>0.38938</v>
      </c>
      <c r="AH219" s="865">
        <v>0.57655999999999996</v>
      </c>
      <c r="AI219" s="865">
        <v>0.67249999999999999</v>
      </c>
      <c r="AJ219" s="865">
        <v>0.83</v>
      </c>
      <c r="AK219" s="865">
        <v>0.91874999999999996</v>
      </c>
      <c r="AL219" s="865">
        <v>1.0118799999999999</v>
      </c>
      <c r="AM219" s="865">
        <v>1.11625</v>
      </c>
      <c r="AN219" s="865">
        <v>1.40313</v>
      </c>
      <c r="AP219" s="861">
        <v>40429</v>
      </c>
      <c r="AQ219" s="865">
        <v>0.54874999999999996</v>
      </c>
      <c r="AR219" s="865">
        <v>0.56874999999999998</v>
      </c>
      <c r="AS219" s="865">
        <v>0.62312999999999996</v>
      </c>
      <c r="AT219" s="865">
        <v>0.72733999999999999</v>
      </c>
      <c r="AU219" s="865">
        <v>0.81733999999999996</v>
      </c>
      <c r="AV219" s="865">
        <v>0.92171999999999998</v>
      </c>
      <c r="AW219" s="865">
        <v>1.0254700000000001</v>
      </c>
      <c r="AX219" s="865">
        <v>1.46391</v>
      </c>
      <c r="AZ219" s="861">
        <v>40437</v>
      </c>
      <c r="BA219" s="865">
        <v>3</v>
      </c>
      <c r="BB219" s="865">
        <v>3.14</v>
      </c>
      <c r="BC219" s="865">
        <v>3.1611099999999999</v>
      </c>
      <c r="BD219" s="865">
        <v>3.1755599999999999</v>
      </c>
      <c r="BE219" s="865">
        <v>3.19</v>
      </c>
      <c r="BF219" s="865">
        <v>3.21</v>
      </c>
      <c r="BG219" s="865">
        <v>3.24</v>
      </c>
      <c r="BH219" s="865">
        <v>3.24</v>
      </c>
    </row>
    <row r="220" spans="12:60">
      <c r="L220" s="861">
        <v>40428</v>
      </c>
      <c r="M220" s="865">
        <v>4.5</v>
      </c>
      <c r="N220" s="865">
        <v>4.59</v>
      </c>
      <c r="O220" s="865">
        <v>4.6783000000000001</v>
      </c>
      <c r="P220" s="865">
        <v>4.75</v>
      </c>
      <c r="Q220" s="865">
        <v>4.7916999999999996</v>
      </c>
      <c r="R220" s="865">
        <v>4.8333000000000004</v>
      </c>
      <c r="S220" s="865">
        <v>4.8716999999999997</v>
      </c>
      <c r="T220" s="865">
        <v>4.9024000000000001</v>
      </c>
      <c r="V220" s="861">
        <v>40428</v>
      </c>
      <c r="W220" s="865">
        <v>0.22688</v>
      </c>
      <c r="X220" s="865">
        <v>0.25766</v>
      </c>
      <c r="Y220" s="865">
        <v>0.27438000000000001</v>
      </c>
      <c r="Z220" s="865">
        <v>0.29187999999999997</v>
      </c>
      <c r="AA220" s="865">
        <v>0.35188000000000003</v>
      </c>
      <c r="AB220" s="865">
        <v>0.42187999999999998</v>
      </c>
      <c r="AC220" s="865">
        <v>0.48875000000000002</v>
      </c>
      <c r="AD220" s="865">
        <v>0.82594000000000001</v>
      </c>
      <c r="AF220" s="861">
        <v>40436</v>
      </c>
      <c r="AG220" s="865">
        <v>0.37874999999999998</v>
      </c>
      <c r="AH220" s="865">
        <v>0.57218999999999998</v>
      </c>
      <c r="AI220" s="865">
        <v>0.67062999999999995</v>
      </c>
      <c r="AJ220" s="865">
        <v>0.82813000000000003</v>
      </c>
      <c r="AK220" s="865">
        <v>0.91688000000000003</v>
      </c>
      <c r="AL220" s="865">
        <v>1.00875</v>
      </c>
      <c r="AM220" s="865">
        <v>1.1087499999999999</v>
      </c>
      <c r="AN220" s="865">
        <v>1.4</v>
      </c>
      <c r="AP220" s="861">
        <v>40428</v>
      </c>
      <c r="AQ220" s="865">
        <v>0.54874999999999996</v>
      </c>
      <c r="AR220" s="865">
        <v>0.56874999999999998</v>
      </c>
      <c r="AS220" s="865">
        <v>0.62312999999999996</v>
      </c>
      <c r="AT220" s="865">
        <v>0.72733999999999999</v>
      </c>
      <c r="AU220" s="865">
        <v>0.81733999999999996</v>
      </c>
      <c r="AV220" s="865">
        <v>0.92171999999999998</v>
      </c>
      <c r="AW220" s="865">
        <v>1.0254700000000001</v>
      </c>
      <c r="AX220" s="865">
        <v>1.46391</v>
      </c>
      <c r="AZ220" s="861">
        <v>40436</v>
      </c>
      <c r="BA220" s="865">
        <v>3</v>
      </c>
      <c r="BB220" s="865">
        <v>3.11375</v>
      </c>
      <c r="BC220" s="865">
        <v>3.19</v>
      </c>
      <c r="BD220" s="865">
        <v>3.1862499999999998</v>
      </c>
      <c r="BE220" s="865">
        <v>3.21</v>
      </c>
      <c r="BF220" s="865">
        <v>3.23</v>
      </c>
      <c r="BG220" s="865">
        <v>3.27</v>
      </c>
      <c r="BH220" s="865">
        <v>3.27</v>
      </c>
    </row>
    <row r="221" spans="12:60">
      <c r="L221" s="861">
        <v>40427</v>
      </c>
      <c r="M221" s="865">
        <v>4.5</v>
      </c>
      <c r="N221" s="865">
        <v>4.59</v>
      </c>
      <c r="O221" s="865">
        <v>4.6749999999999998</v>
      </c>
      <c r="P221" s="865">
        <v>4.7350000000000003</v>
      </c>
      <c r="Q221" s="865">
        <v>4.79</v>
      </c>
      <c r="R221" s="865">
        <v>4.835</v>
      </c>
      <c r="S221" s="865">
        <v>4.875</v>
      </c>
      <c r="T221" s="865">
        <v>4.8926999999999996</v>
      </c>
      <c r="V221" s="861">
        <v>40427</v>
      </c>
      <c r="W221" s="865">
        <v>0.22625000000000001</v>
      </c>
      <c r="X221" s="865">
        <v>0.25766</v>
      </c>
      <c r="Y221" s="865">
        <v>0.27438000000000001</v>
      </c>
      <c r="Z221" s="865">
        <v>0.29219000000000001</v>
      </c>
      <c r="AA221" s="865">
        <v>0.35125000000000001</v>
      </c>
      <c r="AB221" s="865">
        <v>0.42293999999999998</v>
      </c>
      <c r="AC221" s="865">
        <v>0.48921999999999999</v>
      </c>
      <c r="AD221" s="865">
        <v>0.83006000000000002</v>
      </c>
      <c r="AF221" s="861">
        <v>40435</v>
      </c>
      <c r="AG221" s="865">
        <v>0.36313000000000001</v>
      </c>
      <c r="AH221" s="865">
        <v>0.56938</v>
      </c>
      <c r="AI221" s="865">
        <v>0.66813</v>
      </c>
      <c r="AJ221" s="865">
        <v>0.82462999999999997</v>
      </c>
      <c r="AK221" s="865">
        <v>0.91349999999999998</v>
      </c>
      <c r="AL221" s="865">
        <v>1.0062500000000001</v>
      </c>
      <c r="AM221" s="865">
        <v>1.10406</v>
      </c>
      <c r="AN221" s="865">
        <v>1.3963099999999999</v>
      </c>
      <c r="AP221" s="861">
        <v>40427</v>
      </c>
      <c r="AQ221" s="865">
        <v>0.54874999999999996</v>
      </c>
      <c r="AR221" s="865">
        <v>0.56874999999999998</v>
      </c>
      <c r="AS221" s="865">
        <v>0.62312999999999996</v>
      </c>
      <c r="AT221" s="865">
        <v>0.72609000000000001</v>
      </c>
      <c r="AU221" s="865">
        <v>0.81733999999999996</v>
      </c>
      <c r="AV221" s="865">
        <v>0.92047000000000001</v>
      </c>
      <c r="AW221" s="865">
        <v>1.0242199999999999</v>
      </c>
      <c r="AX221" s="865">
        <v>1.4626600000000001</v>
      </c>
      <c r="AZ221" s="861">
        <v>40435</v>
      </c>
      <c r="BA221" s="865">
        <v>3</v>
      </c>
      <c r="BB221" s="865">
        <v>3.1087500000000001</v>
      </c>
      <c r="BC221" s="865">
        <v>3.19</v>
      </c>
      <c r="BD221" s="865">
        <v>3.2162500000000001</v>
      </c>
      <c r="BE221" s="865">
        <v>3.2137500000000001</v>
      </c>
      <c r="BF221" s="865">
        <v>3.23</v>
      </c>
      <c r="BG221" s="865">
        <v>3.27</v>
      </c>
      <c r="BH221" s="865">
        <v>3.27</v>
      </c>
    </row>
    <row r="222" spans="12:60">
      <c r="L222" s="861">
        <v>40424</v>
      </c>
      <c r="M222" s="865">
        <v>4.5</v>
      </c>
      <c r="N222" s="865">
        <v>4.6100000000000003</v>
      </c>
      <c r="O222" s="865">
        <v>4.67</v>
      </c>
      <c r="P222" s="865">
        <v>4.72</v>
      </c>
      <c r="Q222" s="865">
        <v>4.7649999999999997</v>
      </c>
      <c r="R222" s="865">
        <v>4.8049999999999997</v>
      </c>
      <c r="S222" s="865">
        <v>4.8367000000000004</v>
      </c>
      <c r="T222" s="865">
        <v>4.8151000000000002</v>
      </c>
      <c r="V222" s="861">
        <v>40424</v>
      </c>
      <c r="W222" s="865">
        <v>0.22625000000000001</v>
      </c>
      <c r="X222" s="865">
        <v>0.25780999999999998</v>
      </c>
      <c r="Y222" s="865">
        <v>0.27468999999999999</v>
      </c>
      <c r="Z222" s="865">
        <v>0.29281000000000001</v>
      </c>
      <c r="AA222" s="865">
        <v>0.35443999999999998</v>
      </c>
      <c r="AB222" s="865">
        <v>0.42669000000000001</v>
      </c>
      <c r="AC222" s="865">
        <v>0.49363000000000001</v>
      </c>
      <c r="AD222" s="865">
        <v>0.83487999999999996</v>
      </c>
      <c r="AF222" s="861">
        <v>40434</v>
      </c>
      <c r="AG222" s="865">
        <v>0.35499999999999998</v>
      </c>
      <c r="AH222" s="865">
        <v>0.56938</v>
      </c>
      <c r="AI222" s="865">
        <v>0.66813</v>
      </c>
      <c r="AJ222" s="865">
        <v>0.82469000000000003</v>
      </c>
      <c r="AK222" s="865">
        <v>0.91474999999999995</v>
      </c>
      <c r="AL222" s="865">
        <v>1.0049999999999999</v>
      </c>
      <c r="AM222" s="865">
        <v>1.10531</v>
      </c>
      <c r="AN222" s="865">
        <v>1.39856</v>
      </c>
      <c r="AP222" s="861">
        <v>40424</v>
      </c>
      <c r="AQ222" s="865">
        <v>0.54874999999999996</v>
      </c>
      <c r="AR222" s="865">
        <v>0.56874999999999998</v>
      </c>
      <c r="AS222" s="865">
        <v>0.62312999999999996</v>
      </c>
      <c r="AT222" s="865">
        <v>0.72609000000000001</v>
      </c>
      <c r="AU222" s="865">
        <v>0.81733999999999996</v>
      </c>
      <c r="AV222" s="865">
        <v>0.92047000000000001</v>
      </c>
      <c r="AW222" s="865">
        <v>1.0254700000000001</v>
      </c>
      <c r="AX222" s="865">
        <v>1.46516</v>
      </c>
      <c r="AZ222" s="861">
        <v>40434</v>
      </c>
      <c r="BA222" s="865">
        <v>3</v>
      </c>
      <c r="BB222" s="865">
        <v>3.11</v>
      </c>
      <c r="BC222" s="865">
        <v>3.19</v>
      </c>
      <c r="BD222" s="865">
        <v>3.2</v>
      </c>
      <c r="BE222" s="865">
        <v>3.21</v>
      </c>
      <c r="BF222" s="865">
        <v>3.23</v>
      </c>
      <c r="BG222" s="865">
        <v>3.27</v>
      </c>
      <c r="BH222" s="865">
        <v>3.27</v>
      </c>
    </row>
    <row r="223" spans="12:60">
      <c r="L223" s="861">
        <v>40423</v>
      </c>
      <c r="M223" s="865">
        <v>4.5</v>
      </c>
      <c r="N223" s="865">
        <v>4.6216999999999997</v>
      </c>
      <c r="O223" s="865">
        <v>4.68</v>
      </c>
      <c r="P223" s="865">
        <v>4.7317</v>
      </c>
      <c r="Q223" s="865">
        <v>4.78</v>
      </c>
      <c r="R223" s="865">
        <v>4.8266999999999998</v>
      </c>
      <c r="S223" s="865">
        <v>4.8733000000000004</v>
      </c>
      <c r="T223" s="865">
        <v>4.8246000000000002</v>
      </c>
      <c r="V223" s="861">
        <v>40423</v>
      </c>
      <c r="W223" s="865">
        <v>0.22625000000000001</v>
      </c>
      <c r="X223" s="865">
        <v>0.25780999999999998</v>
      </c>
      <c r="Y223" s="865">
        <v>0.27468999999999999</v>
      </c>
      <c r="Z223" s="865">
        <v>0.29437999999999998</v>
      </c>
      <c r="AA223" s="865">
        <v>0.35581000000000002</v>
      </c>
      <c r="AB223" s="865">
        <v>0.42806</v>
      </c>
      <c r="AC223" s="865">
        <v>0.49563000000000001</v>
      </c>
      <c r="AD223" s="865">
        <v>0.83913000000000004</v>
      </c>
      <c r="AF223" s="861">
        <v>40431</v>
      </c>
      <c r="AG223" s="865">
        <v>0.35375000000000001</v>
      </c>
      <c r="AH223" s="865">
        <v>0.56938</v>
      </c>
      <c r="AI223" s="865">
        <v>0.66813</v>
      </c>
      <c r="AJ223" s="865">
        <v>0.82343999999999995</v>
      </c>
      <c r="AK223" s="865">
        <v>0.91225000000000001</v>
      </c>
      <c r="AL223" s="865">
        <v>1.0024999999999999</v>
      </c>
      <c r="AM223" s="865">
        <v>1.1040000000000001</v>
      </c>
      <c r="AN223" s="865">
        <v>1.3975</v>
      </c>
      <c r="AP223" s="861">
        <v>40423</v>
      </c>
      <c r="AQ223" s="865">
        <v>0.54874999999999996</v>
      </c>
      <c r="AR223" s="865">
        <v>0.56874999999999998</v>
      </c>
      <c r="AS223" s="865">
        <v>0.62312999999999996</v>
      </c>
      <c r="AT223" s="865">
        <v>0.72609000000000001</v>
      </c>
      <c r="AU223" s="865">
        <v>0.81733999999999996</v>
      </c>
      <c r="AV223" s="865">
        <v>0.92047000000000001</v>
      </c>
      <c r="AW223" s="865">
        <v>1.0254700000000001</v>
      </c>
      <c r="AX223" s="865">
        <v>1.46516</v>
      </c>
      <c r="AZ223" s="861">
        <v>40431</v>
      </c>
      <c r="BA223" s="865">
        <v>3</v>
      </c>
      <c r="BB223" s="865">
        <v>3.11</v>
      </c>
      <c r="BC223" s="865">
        <v>3.1887500000000002</v>
      </c>
      <c r="BD223" s="865">
        <v>3.1924999999999999</v>
      </c>
      <c r="BE223" s="865">
        <v>3.21</v>
      </c>
      <c r="BF223" s="865">
        <v>3.23</v>
      </c>
      <c r="BG223" s="865">
        <v>3.27</v>
      </c>
      <c r="BH223" s="865">
        <v>3.27</v>
      </c>
    </row>
    <row r="224" spans="12:60">
      <c r="L224" s="861">
        <v>40422</v>
      </c>
      <c r="M224" s="865">
        <v>4.5</v>
      </c>
      <c r="N224" s="865">
        <v>4.6132999999999997</v>
      </c>
      <c r="O224" s="865">
        <v>4.6566999999999998</v>
      </c>
      <c r="P224" s="865">
        <v>4.7</v>
      </c>
      <c r="Q224" s="865">
        <v>4.7350000000000003</v>
      </c>
      <c r="R224" s="865">
        <v>4.7699999999999996</v>
      </c>
      <c r="S224" s="865">
        <v>4.8</v>
      </c>
      <c r="T224" s="865">
        <v>4.7317</v>
      </c>
      <c r="V224" s="861">
        <v>40422</v>
      </c>
      <c r="W224" s="865">
        <v>0.22625000000000001</v>
      </c>
      <c r="X224" s="865">
        <v>0.25780999999999998</v>
      </c>
      <c r="Y224" s="865">
        <v>0.27468999999999999</v>
      </c>
      <c r="Z224" s="865">
        <v>0.29563</v>
      </c>
      <c r="AA224" s="865">
        <v>0.35593999999999998</v>
      </c>
      <c r="AB224" s="865">
        <v>0.42819000000000002</v>
      </c>
      <c r="AC224" s="865">
        <v>0.49625000000000002</v>
      </c>
      <c r="AD224" s="865">
        <v>0.83987999999999996</v>
      </c>
      <c r="AF224" s="861">
        <v>40430</v>
      </c>
      <c r="AG224" s="865">
        <v>0.35375000000000001</v>
      </c>
      <c r="AH224" s="865">
        <v>0.57313000000000003</v>
      </c>
      <c r="AI224" s="865">
        <v>0.67062999999999995</v>
      </c>
      <c r="AJ224" s="865">
        <v>0.82594000000000001</v>
      </c>
      <c r="AK224" s="865">
        <v>0.91349999999999998</v>
      </c>
      <c r="AL224" s="865">
        <v>1.0037499999999999</v>
      </c>
      <c r="AM224" s="865">
        <v>1.1052500000000001</v>
      </c>
      <c r="AN224" s="865">
        <v>1.39663</v>
      </c>
      <c r="AP224" s="861">
        <v>40422</v>
      </c>
      <c r="AQ224" s="865">
        <v>0.54874999999999996</v>
      </c>
      <c r="AR224" s="865">
        <v>0.56874999999999998</v>
      </c>
      <c r="AS224" s="865">
        <v>0.62312999999999996</v>
      </c>
      <c r="AT224" s="865">
        <v>0.72609000000000001</v>
      </c>
      <c r="AU224" s="865">
        <v>0.81733999999999996</v>
      </c>
      <c r="AV224" s="865">
        <v>0.92047000000000001</v>
      </c>
      <c r="AW224" s="865">
        <v>1.0242199999999999</v>
      </c>
      <c r="AX224" s="865">
        <v>1.46391</v>
      </c>
      <c r="AZ224" s="861">
        <v>40430</v>
      </c>
      <c r="BA224" s="865">
        <v>3</v>
      </c>
      <c r="BB224" s="865">
        <v>3.11</v>
      </c>
      <c r="BC224" s="865">
        <v>3.1866699999999999</v>
      </c>
      <c r="BD224" s="865">
        <v>3.1811099999999999</v>
      </c>
      <c r="BE224" s="865">
        <v>3.21</v>
      </c>
      <c r="BF224" s="865">
        <v>3.23</v>
      </c>
      <c r="BG224" s="865">
        <v>3.27</v>
      </c>
      <c r="BH224" s="865">
        <v>3.27</v>
      </c>
    </row>
    <row r="225" spans="12:60">
      <c r="L225" s="861">
        <v>40421</v>
      </c>
      <c r="M225" s="865">
        <v>4.5</v>
      </c>
      <c r="N225" s="865">
        <v>4.6383000000000001</v>
      </c>
      <c r="O225" s="865">
        <v>4.6932999999999998</v>
      </c>
      <c r="P225" s="865">
        <v>4.7516999999999996</v>
      </c>
      <c r="Q225" s="865">
        <v>4.7967000000000004</v>
      </c>
      <c r="R225" s="865">
        <v>4.8282999999999996</v>
      </c>
      <c r="S225" s="865">
        <v>4.8632999999999997</v>
      </c>
      <c r="T225" s="865">
        <v>4.7287999999999997</v>
      </c>
      <c r="V225" s="861">
        <v>40421</v>
      </c>
      <c r="W225" s="865">
        <v>0.22813</v>
      </c>
      <c r="X225" s="865">
        <v>0.25780999999999998</v>
      </c>
      <c r="Y225" s="865">
        <v>0.27468999999999999</v>
      </c>
      <c r="Z225" s="865">
        <v>0.29563</v>
      </c>
      <c r="AA225" s="865">
        <v>0.35631000000000002</v>
      </c>
      <c r="AB225" s="865">
        <v>0.42856</v>
      </c>
      <c r="AC225" s="865">
        <v>0.49669000000000002</v>
      </c>
      <c r="AD225" s="865">
        <v>0.84306000000000003</v>
      </c>
      <c r="AF225" s="861">
        <v>40429</v>
      </c>
      <c r="AG225" s="865">
        <v>0.35625000000000001</v>
      </c>
      <c r="AH225" s="865">
        <v>0.57438</v>
      </c>
      <c r="AI225" s="865">
        <v>0.67188000000000003</v>
      </c>
      <c r="AJ225" s="865">
        <v>0.82608999999999999</v>
      </c>
      <c r="AK225" s="865">
        <v>0.91225000000000001</v>
      </c>
      <c r="AL225" s="865">
        <v>1.0024999999999999</v>
      </c>
      <c r="AM225" s="865">
        <v>1.1027499999999999</v>
      </c>
      <c r="AN225" s="865">
        <v>1.3925000000000001</v>
      </c>
      <c r="AP225" s="861">
        <v>40421</v>
      </c>
      <c r="AQ225" s="865">
        <v>0.54749999999999999</v>
      </c>
      <c r="AR225" s="865">
        <v>0.56874999999999998</v>
      </c>
      <c r="AS225" s="865">
        <v>0.62250000000000005</v>
      </c>
      <c r="AT225" s="865">
        <v>0.72546999999999995</v>
      </c>
      <c r="AU225" s="865">
        <v>0.81547000000000003</v>
      </c>
      <c r="AV225" s="865">
        <v>0.91922000000000004</v>
      </c>
      <c r="AW225" s="865">
        <v>1.02234</v>
      </c>
      <c r="AX225" s="865">
        <v>1.4626600000000001</v>
      </c>
      <c r="AZ225" s="861">
        <v>40429</v>
      </c>
      <c r="BA225" s="865">
        <v>3</v>
      </c>
      <c r="BB225" s="865">
        <v>3.09</v>
      </c>
      <c r="BC225" s="865">
        <v>3.19</v>
      </c>
      <c r="BD225" s="865">
        <v>3.1944400000000002</v>
      </c>
      <c r="BE225" s="865">
        <v>3.21</v>
      </c>
      <c r="BF225" s="865">
        <v>3.23</v>
      </c>
      <c r="BG225" s="865">
        <v>3.27</v>
      </c>
      <c r="BH225" s="865">
        <v>3.27</v>
      </c>
    </row>
    <row r="226" spans="12:60">
      <c r="L226" s="861">
        <v>40420</v>
      </c>
      <c r="M226" s="865">
        <v>4.5</v>
      </c>
      <c r="N226" s="865">
        <v>4.6032999999999999</v>
      </c>
      <c r="O226" s="865">
        <v>4.6833</v>
      </c>
      <c r="P226" s="865">
        <v>4.76</v>
      </c>
      <c r="Q226" s="865">
        <v>4.7983000000000002</v>
      </c>
      <c r="R226" s="865">
        <v>4.8449999999999998</v>
      </c>
      <c r="S226" s="865">
        <v>4.9000000000000004</v>
      </c>
      <c r="T226" s="865">
        <v>4.7998000000000003</v>
      </c>
      <c r="V226" s="861">
        <v>40417</v>
      </c>
      <c r="W226" s="865">
        <v>0.22500000000000001</v>
      </c>
      <c r="X226" s="865">
        <v>0.25938</v>
      </c>
      <c r="Y226" s="865">
        <v>0.27531</v>
      </c>
      <c r="Z226" s="865">
        <v>0.29687999999999998</v>
      </c>
      <c r="AA226" s="865">
        <v>0.36005999999999999</v>
      </c>
      <c r="AB226" s="865">
        <v>0.43219000000000002</v>
      </c>
      <c r="AC226" s="865">
        <v>0.50319000000000003</v>
      </c>
      <c r="AD226" s="865">
        <v>0.85831000000000002</v>
      </c>
      <c r="AF226" s="861">
        <v>40428</v>
      </c>
      <c r="AG226" s="865">
        <v>0.6875</v>
      </c>
      <c r="AH226" s="865">
        <v>0.57481000000000004</v>
      </c>
      <c r="AI226" s="865">
        <v>0.67188000000000003</v>
      </c>
      <c r="AJ226" s="865">
        <v>0.82484000000000002</v>
      </c>
      <c r="AK226" s="865">
        <v>0.91100000000000003</v>
      </c>
      <c r="AL226" s="865">
        <v>1.0024999999999999</v>
      </c>
      <c r="AM226" s="865">
        <v>1.1040000000000001</v>
      </c>
      <c r="AN226" s="865">
        <v>1.3867499999999999</v>
      </c>
      <c r="AP226" s="861">
        <v>40417</v>
      </c>
      <c r="AQ226" s="865">
        <v>0.54749999999999999</v>
      </c>
      <c r="AR226" s="865">
        <v>0.5675</v>
      </c>
      <c r="AS226" s="865">
        <v>0.62187999999999999</v>
      </c>
      <c r="AT226" s="865">
        <v>0.72609000000000001</v>
      </c>
      <c r="AU226" s="865">
        <v>0.81484000000000001</v>
      </c>
      <c r="AV226" s="865">
        <v>0.91796999999999995</v>
      </c>
      <c r="AW226" s="865">
        <v>1.0203100000000001</v>
      </c>
      <c r="AX226" s="865">
        <v>1.4650000000000001</v>
      </c>
      <c r="AZ226" s="861">
        <v>40428</v>
      </c>
      <c r="BA226" s="865">
        <v>3</v>
      </c>
      <c r="BB226" s="865">
        <v>3.09</v>
      </c>
      <c r="BC226" s="865">
        <v>3.1866699999999999</v>
      </c>
      <c r="BD226" s="865">
        <v>3.18</v>
      </c>
      <c r="BE226" s="865">
        <v>3.21</v>
      </c>
      <c r="BF226" s="865">
        <v>3.23</v>
      </c>
      <c r="BG226" s="865">
        <v>3.27</v>
      </c>
      <c r="BH226" s="865">
        <v>3.27</v>
      </c>
    </row>
    <row r="227" spans="12:60">
      <c r="L227" s="861">
        <v>40417</v>
      </c>
      <c r="M227" s="865">
        <v>4.5</v>
      </c>
      <c r="N227" s="865">
        <v>4.6082999999999998</v>
      </c>
      <c r="O227" s="865">
        <v>4.6833</v>
      </c>
      <c r="P227" s="865">
        <v>4.75</v>
      </c>
      <c r="Q227" s="865">
        <v>4.7732999999999999</v>
      </c>
      <c r="R227" s="865">
        <v>4.7949999999999999</v>
      </c>
      <c r="S227" s="865">
        <v>4.83</v>
      </c>
      <c r="T227" s="865">
        <v>4.7622999999999998</v>
      </c>
      <c r="V227" s="861">
        <v>40416</v>
      </c>
      <c r="W227" s="865">
        <v>0.22438</v>
      </c>
      <c r="X227" s="865">
        <v>0.26030999999999999</v>
      </c>
      <c r="Y227" s="865">
        <v>0.27531</v>
      </c>
      <c r="Z227" s="865">
        <v>0.29937999999999998</v>
      </c>
      <c r="AA227" s="865">
        <v>0.36349999999999999</v>
      </c>
      <c r="AB227" s="865">
        <v>0.43593999999999999</v>
      </c>
      <c r="AC227" s="865">
        <v>0.50724999999999998</v>
      </c>
      <c r="AD227" s="865">
        <v>0.86531000000000002</v>
      </c>
      <c r="AF227" s="861">
        <v>40427</v>
      </c>
      <c r="AG227" s="865">
        <v>0.34749999999999998</v>
      </c>
      <c r="AH227" s="865">
        <v>0.57230999999999999</v>
      </c>
      <c r="AI227" s="865">
        <v>0.67125000000000001</v>
      </c>
      <c r="AJ227" s="865">
        <v>0.82625000000000004</v>
      </c>
      <c r="AK227" s="865">
        <v>0.91349999999999998</v>
      </c>
      <c r="AL227" s="865">
        <v>1.0037499999999999</v>
      </c>
      <c r="AM227" s="865">
        <v>1.1040000000000001</v>
      </c>
      <c r="AN227" s="865">
        <v>1.3867499999999999</v>
      </c>
      <c r="AP227" s="861">
        <v>40416</v>
      </c>
      <c r="AQ227" s="865">
        <v>0.54749999999999999</v>
      </c>
      <c r="AR227" s="865">
        <v>0.56625000000000003</v>
      </c>
      <c r="AS227" s="865">
        <v>0.62187999999999999</v>
      </c>
      <c r="AT227" s="865">
        <v>0.72358999999999996</v>
      </c>
      <c r="AU227" s="865">
        <v>0.81359000000000004</v>
      </c>
      <c r="AV227" s="865">
        <v>0.91671999999999998</v>
      </c>
      <c r="AW227" s="865">
        <v>1.0203100000000001</v>
      </c>
      <c r="AX227" s="865">
        <v>1.4637500000000001</v>
      </c>
      <c r="AZ227" s="861">
        <v>40427</v>
      </c>
      <c r="BA227" s="865">
        <v>3</v>
      </c>
      <c r="BB227" s="865">
        <v>3.09</v>
      </c>
      <c r="BC227" s="865">
        <v>3.1812499999999999</v>
      </c>
      <c r="BD227" s="865">
        <v>3.1887500000000002</v>
      </c>
      <c r="BE227" s="865">
        <v>3.21</v>
      </c>
      <c r="BF227" s="865">
        <v>3.23</v>
      </c>
      <c r="BG227" s="865">
        <v>3.27</v>
      </c>
      <c r="BH227" s="865">
        <v>3.27</v>
      </c>
    </row>
    <row r="228" spans="12:60">
      <c r="L228" s="861">
        <v>40416</v>
      </c>
      <c r="M228" s="865">
        <v>4.5</v>
      </c>
      <c r="N228" s="865">
        <v>4.5917000000000003</v>
      </c>
      <c r="O228" s="865">
        <v>4.6683000000000003</v>
      </c>
      <c r="P228" s="865">
        <v>4.71</v>
      </c>
      <c r="Q228" s="865">
        <v>4.74</v>
      </c>
      <c r="R228" s="865">
        <v>4.78</v>
      </c>
      <c r="S228" s="865">
        <v>4.8033000000000001</v>
      </c>
      <c r="T228" s="865">
        <v>4.7709999999999999</v>
      </c>
      <c r="V228" s="861">
        <v>40415</v>
      </c>
      <c r="W228" s="865">
        <v>0.22438</v>
      </c>
      <c r="X228" s="865">
        <v>0.26156000000000001</v>
      </c>
      <c r="Y228" s="865">
        <v>0.27968999999999999</v>
      </c>
      <c r="Z228" s="865">
        <v>0.30375000000000002</v>
      </c>
      <c r="AA228" s="865">
        <v>0.36906</v>
      </c>
      <c r="AB228" s="865">
        <v>0.44063000000000002</v>
      </c>
      <c r="AC228" s="865">
        <v>0.51124999999999998</v>
      </c>
      <c r="AD228" s="865">
        <v>0.87</v>
      </c>
      <c r="AF228" s="861">
        <v>40424</v>
      </c>
      <c r="AG228" s="865">
        <v>0.35125000000000001</v>
      </c>
      <c r="AH228" s="865">
        <v>0.57362999999999997</v>
      </c>
      <c r="AI228" s="865">
        <v>0.67125000000000001</v>
      </c>
      <c r="AJ228" s="865">
        <v>0.82874999999999999</v>
      </c>
      <c r="AK228" s="865">
        <v>0.91600000000000004</v>
      </c>
      <c r="AL228" s="865">
        <v>1.0062500000000001</v>
      </c>
      <c r="AM228" s="865">
        <v>1.1065</v>
      </c>
      <c r="AN228" s="865">
        <v>1.3892500000000001</v>
      </c>
      <c r="AP228" s="861">
        <v>40415</v>
      </c>
      <c r="AQ228" s="865">
        <v>0.54749999999999999</v>
      </c>
      <c r="AR228" s="865">
        <v>0.56499999999999995</v>
      </c>
      <c r="AS228" s="865">
        <v>0.61938000000000004</v>
      </c>
      <c r="AT228" s="865">
        <v>0.72109000000000001</v>
      </c>
      <c r="AU228" s="865">
        <v>0.80984</v>
      </c>
      <c r="AV228" s="865">
        <v>0.91171999999999997</v>
      </c>
      <c r="AW228" s="865">
        <v>1.0178100000000001</v>
      </c>
      <c r="AX228" s="865">
        <v>1.4612499999999999</v>
      </c>
      <c r="AZ228" s="861">
        <v>40424</v>
      </c>
      <c r="BA228" s="865">
        <v>3</v>
      </c>
      <c r="BB228" s="865">
        <v>3.09</v>
      </c>
      <c r="BC228" s="865">
        <v>3.2</v>
      </c>
      <c r="BD228" s="865">
        <v>3.21</v>
      </c>
      <c r="BE228" s="865">
        <v>3.24</v>
      </c>
      <c r="BF228" s="865">
        <v>3.26</v>
      </c>
      <c r="BG228" s="865">
        <v>3.27</v>
      </c>
      <c r="BH228" s="865">
        <v>3.27</v>
      </c>
    </row>
    <row r="229" spans="12:60">
      <c r="L229" s="861">
        <v>40415</v>
      </c>
      <c r="M229" s="865">
        <v>4.5</v>
      </c>
      <c r="N229" s="865">
        <v>4.59</v>
      </c>
      <c r="O229" s="865">
        <v>4.6767000000000003</v>
      </c>
      <c r="P229" s="865">
        <v>4.7</v>
      </c>
      <c r="Q229" s="865">
        <v>4.75</v>
      </c>
      <c r="R229" s="865">
        <v>4.8</v>
      </c>
      <c r="S229" s="865">
        <v>4.82</v>
      </c>
      <c r="T229" s="865">
        <v>4.7601000000000004</v>
      </c>
      <c r="V229" s="861">
        <v>40414</v>
      </c>
      <c r="W229" s="865">
        <v>0.22538</v>
      </c>
      <c r="X229" s="865">
        <v>0.26156000000000001</v>
      </c>
      <c r="Y229" s="865">
        <v>0.28312999999999999</v>
      </c>
      <c r="Z229" s="865">
        <v>0.3075</v>
      </c>
      <c r="AA229" s="865">
        <v>0.37663000000000002</v>
      </c>
      <c r="AB229" s="865">
        <v>0.44700000000000001</v>
      </c>
      <c r="AC229" s="865">
        <v>0.51831000000000005</v>
      </c>
      <c r="AD229" s="865">
        <v>0.87594000000000005</v>
      </c>
      <c r="AF229" s="861">
        <v>40423</v>
      </c>
      <c r="AG229" s="865">
        <v>0.35</v>
      </c>
      <c r="AH229" s="865">
        <v>0.57362999999999997</v>
      </c>
      <c r="AI229" s="865">
        <v>0.67125000000000001</v>
      </c>
      <c r="AJ229" s="865">
        <v>0.82874999999999999</v>
      </c>
      <c r="AK229" s="865">
        <v>0.91600000000000004</v>
      </c>
      <c r="AL229" s="865">
        <v>1.0062500000000001</v>
      </c>
      <c r="AM229" s="865">
        <v>1.1052500000000001</v>
      </c>
      <c r="AN229" s="865">
        <v>1.3879999999999999</v>
      </c>
      <c r="AP229" s="861">
        <v>40414</v>
      </c>
      <c r="AQ229" s="865">
        <v>0.54749999999999999</v>
      </c>
      <c r="AR229" s="865">
        <v>0.56499999999999995</v>
      </c>
      <c r="AS229" s="865">
        <v>0.61938000000000004</v>
      </c>
      <c r="AT229" s="865">
        <v>0.72146999999999994</v>
      </c>
      <c r="AU229" s="865">
        <v>0.80984</v>
      </c>
      <c r="AV229" s="865">
        <v>0.91047</v>
      </c>
      <c r="AW229" s="865">
        <v>1.0153099999999999</v>
      </c>
      <c r="AX229" s="865">
        <v>1.45875</v>
      </c>
      <c r="AZ229" s="861">
        <v>40423</v>
      </c>
      <c r="BA229" s="865">
        <v>3</v>
      </c>
      <c r="BB229" s="865">
        <v>3.09</v>
      </c>
      <c r="BC229" s="865">
        <v>3.2137500000000001</v>
      </c>
      <c r="BD229" s="865">
        <v>3.1949999999999998</v>
      </c>
      <c r="BE229" s="865">
        <v>3.24</v>
      </c>
      <c r="BF229" s="865">
        <v>3.26</v>
      </c>
      <c r="BG229" s="865">
        <v>3.27</v>
      </c>
      <c r="BH229" s="865">
        <v>3.27</v>
      </c>
    </row>
    <row r="230" spans="12:60">
      <c r="L230" s="861">
        <v>40414</v>
      </c>
      <c r="M230" s="865">
        <v>4.5</v>
      </c>
      <c r="N230" s="865">
        <v>4.5999999999999996</v>
      </c>
      <c r="O230" s="865">
        <v>4.6882999999999999</v>
      </c>
      <c r="P230" s="865">
        <v>4.7317</v>
      </c>
      <c r="Q230" s="865">
        <v>4.7750000000000004</v>
      </c>
      <c r="R230" s="865">
        <v>4.8250000000000002</v>
      </c>
      <c r="S230" s="865">
        <v>4.8766999999999996</v>
      </c>
      <c r="T230" s="865">
        <v>4.8141999999999996</v>
      </c>
      <c r="V230" s="861">
        <v>40413</v>
      </c>
      <c r="W230" s="865">
        <v>0.22538</v>
      </c>
      <c r="X230" s="865">
        <v>0.26374999999999998</v>
      </c>
      <c r="Y230" s="865">
        <v>0.28905999999999998</v>
      </c>
      <c r="Z230" s="865">
        <v>0.3175</v>
      </c>
      <c r="AA230" s="865">
        <v>0.39024999999999999</v>
      </c>
      <c r="AB230" s="865">
        <v>0.46031</v>
      </c>
      <c r="AC230" s="865">
        <v>0.53374999999999995</v>
      </c>
      <c r="AD230" s="865">
        <v>0.89424999999999999</v>
      </c>
      <c r="AF230" s="861">
        <v>40422</v>
      </c>
      <c r="AG230" s="865">
        <v>0.35249999999999998</v>
      </c>
      <c r="AH230" s="865">
        <v>0.57487999999999995</v>
      </c>
      <c r="AI230" s="865">
        <v>0.67125000000000001</v>
      </c>
      <c r="AJ230" s="865">
        <v>0.83</v>
      </c>
      <c r="AK230" s="865">
        <v>0.91600000000000004</v>
      </c>
      <c r="AL230" s="865">
        <v>1.0049999999999999</v>
      </c>
      <c r="AM230" s="865">
        <v>1.1040000000000001</v>
      </c>
      <c r="AN230" s="865">
        <v>1.3855</v>
      </c>
      <c r="AP230" s="861">
        <v>40413</v>
      </c>
      <c r="AQ230" s="865">
        <v>0.54749999999999999</v>
      </c>
      <c r="AR230" s="865">
        <v>0.56625000000000003</v>
      </c>
      <c r="AS230" s="865">
        <v>0.61938000000000004</v>
      </c>
      <c r="AT230" s="865">
        <v>0.72146999999999994</v>
      </c>
      <c r="AU230" s="865">
        <v>0.80984</v>
      </c>
      <c r="AV230" s="865">
        <v>0.91171999999999997</v>
      </c>
      <c r="AW230" s="865">
        <v>1.0153099999999999</v>
      </c>
      <c r="AX230" s="865">
        <v>1.45875</v>
      </c>
      <c r="AZ230" s="861">
        <v>40422</v>
      </c>
      <c r="BA230" s="865">
        <v>3</v>
      </c>
      <c r="BB230" s="865">
        <v>3.09</v>
      </c>
      <c r="BC230" s="865">
        <v>3.22</v>
      </c>
      <c r="BD230" s="865">
        <v>3.2233299999999998</v>
      </c>
      <c r="BE230" s="865">
        <v>3.24</v>
      </c>
      <c r="BF230" s="865">
        <v>3.26</v>
      </c>
      <c r="BG230" s="865">
        <v>3.27</v>
      </c>
      <c r="BH230" s="865">
        <v>3.27</v>
      </c>
    </row>
    <row r="231" spans="12:60">
      <c r="L231" s="861">
        <v>40413</v>
      </c>
      <c r="M231" s="865">
        <v>4.5</v>
      </c>
      <c r="N231" s="865">
        <v>4.5967000000000002</v>
      </c>
      <c r="O231" s="865">
        <v>4.6767000000000003</v>
      </c>
      <c r="P231" s="865">
        <v>4.72</v>
      </c>
      <c r="Q231" s="865">
        <v>4.7717000000000001</v>
      </c>
      <c r="R231" s="865">
        <v>4.8232999999999997</v>
      </c>
      <c r="S231" s="865">
        <v>4.88</v>
      </c>
      <c r="T231" s="865">
        <v>4.8456999999999999</v>
      </c>
      <c r="V231" s="861">
        <v>40410</v>
      </c>
      <c r="W231" s="865">
        <v>0.22725000000000001</v>
      </c>
      <c r="X231" s="865">
        <v>0.26438</v>
      </c>
      <c r="Y231" s="865">
        <v>0.29593999999999998</v>
      </c>
      <c r="Z231" s="865">
        <v>0.32922000000000001</v>
      </c>
      <c r="AA231" s="865">
        <v>0.40150000000000002</v>
      </c>
      <c r="AB231" s="865">
        <v>0.47249999999999998</v>
      </c>
      <c r="AC231" s="865">
        <v>0.54562999999999995</v>
      </c>
      <c r="AD231" s="865">
        <v>0.90637999999999996</v>
      </c>
      <c r="AF231" s="861">
        <v>40421</v>
      </c>
      <c r="AG231" s="865">
        <v>0.35749999999999998</v>
      </c>
      <c r="AH231" s="865">
        <v>0.57499999999999996</v>
      </c>
      <c r="AI231" s="865">
        <v>0.67249999999999999</v>
      </c>
      <c r="AJ231" s="865">
        <v>0.83</v>
      </c>
      <c r="AK231" s="865">
        <v>0.91600000000000004</v>
      </c>
      <c r="AL231" s="865">
        <v>1.0062500000000001</v>
      </c>
      <c r="AM231" s="865">
        <v>1.1077900000000001</v>
      </c>
      <c r="AN231" s="865">
        <v>1.3868799999999999</v>
      </c>
      <c r="AP231" s="861">
        <v>40410</v>
      </c>
      <c r="AQ231" s="865">
        <v>0.54749999999999999</v>
      </c>
      <c r="AR231" s="865">
        <v>0.5675</v>
      </c>
      <c r="AS231" s="865">
        <v>0.62063000000000001</v>
      </c>
      <c r="AT231" s="865">
        <v>0.72424999999999995</v>
      </c>
      <c r="AU231" s="865">
        <v>0.81125000000000003</v>
      </c>
      <c r="AV231" s="865">
        <v>0.91313</v>
      </c>
      <c r="AW231" s="865">
        <v>1.01688</v>
      </c>
      <c r="AX231" s="865">
        <v>1.45875</v>
      </c>
      <c r="AZ231" s="861">
        <v>40421</v>
      </c>
      <c r="BA231" s="865">
        <v>3</v>
      </c>
      <c r="BB231" s="865">
        <v>3.09</v>
      </c>
      <c r="BC231" s="865">
        <v>3.21</v>
      </c>
      <c r="BD231" s="865">
        <v>3.2122199999999999</v>
      </c>
      <c r="BE231" s="865">
        <v>3.26</v>
      </c>
      <c r="BF231" s="865">
        <v>3.29</v>
      </c>
      <c r="BG231" s="865">
        <v>3.32</v>
      </c>
      <c r="BH231" s="865">
        <v>3.32</v>
      </c>
    </row>
    <row r="232" spans="12:60">
      <c r="L232" s="861">
        <v>40410</v>
      </c>
      <c r="M232" s="865">
        <v>4.5</v>
      </c>
      <c r="N232" s="865">
        <v>4.6017000000000001</v>
      </c>
      <c r="O232" s="865">
        <v>4.6849999999999996</v>
      </c>
      <c r="P232" s="865">
        <v>4.7032999999999996</v>
      </c>
      <c r="Q232" s="865">
        <v>4.7633000000000001</v>
      </c>
      <c r="R232" s="865">
        <v>4.8232999999999997</v>
      </c>
      <c r="S232" s="865">
        <v>4.8716999999999997</v>
      </c>
      <c r="T232" s="865">
        <v>4.8293999999999997</v>
      </c>
      <c r="V232" s="861">
        <v>40409</v>
      </c>
      <c r="W232" s="865">
        <v>0.22725000000000001</v>
      </c>
      <c r="X232" s="865">
        <v>0.26468999999999998</v>
      </c>
      <c r="Y232" s="865">
        <v>0.29969000000000001</v>
      </c>
      <c r="Z232" s="865">
        <v>0.33905999999999997</v>
      </c>
      <c r="AA232" s="865">
        <v>0.40931000000000001</v>
      </c>
      <c r="AB232" s="865">
        <v>0.48031000000000001</v>
      </c>
      <c r="AC232" s="865">
        <v>0.55593999999999999</v>
      </c>
      <c r="AD232" s="865">
        <v>0.91918999999999995</v>
      </c>
      <c r="AF232" s="861">
        <v>40420</v>
      </c>
      <c r="AG232" s="865">
        <v>0.35969000000000001</v>
      </c>
      <c r="AH232" s="865">
        <v>0.57513000000000003</v>
      </c>
      <c r="AI232" s="865">
        <v>0.67313000000000001</v>
      </c>
      <c r="AJ232" s="865">
        <v>0.83</v>
      </c>
      <c r="AK232" s="865">
        <v>0.91625000000000001</v>
      </c>
      <c r="AL232" s="865">
        <v>1.00563</v>
      </c>
      <c r="AM232" s="865">
        <v>1.1077900000000001</v>
      </c>
      <c r="AN232" s="865">
        <v>1.3881300000000001</v>
      </c>
      <c r="AP232" s="861">
        <v>40409</v>
      </c>
      <c r="AQ232" s="865">
        <v>0.54749999999999999</v>
      </c>
      <c r="AR232" s="865">
        <v>0.5675</v>
      </c>
      <c r="AS232" s="865">
        <v>0.62187999999999999</v>
      </c>
      <c r="AT232" s="865">
        <v>0.72687999999999997</v>
      </c>
      <c r="AU232" s="865">
        <v>0.8125</v>
      </c>
      <c r="AV232" s="865">
        <v>0.91437999999999997</v>
      </c>
      <c r="AW232" s="865">
        <v>1.01938</v>
      </c>
      <c r="AX232" s="865">
        <v>1.46</v>
      </c>
      <c r="AZ232" s="861">
        <v>40420</v>
      </c>
      <c r="BA232" s="865">
        <v>3</v>
      </c>
      <c r="BB232" s="865">
        <v>3.09</v>
      </c>
      <c r="BC232" s="865">
        <v>3.1944400000000002</v>
      </c>
      <c r="BD232" s="865">
        <v>3.2433299999999998</v>
      </c>
      <c r="BE232" s="865">
        <v>3.2311100000000001</v>
      </c>
      <c r="BF232" s="865">
        <v>3.29</v>
      </c>
      <c r="BG232" s="865">
        <v>3.32</v>
      </c>
      <c r="BH232" s="865">
        <v>3.32</v>
      </c>
    </row>
    <row r="233" spans="12:60">
      <c r="L233" s="861">
        <v>40409</v>
      </c>
      <c r="M233" s="865">
        <v>4.5</v>
      </c>
      <c r="N233" s="865">
        <v>4.6116999999999999</v>
      </c>
      <c r="O233" s="865">
        <v>4.6817000000000002</v>
      </c>
      <c r="P233" s="865">
        <v>4.7117000000000004</v>
      </c>
      <c r="Q233" s="865">
        <v>4.7717000000000001</v>
      </c>
      <c r="R233" s="865">
        <v>4.8250000000000002</v>
      </c>
      <c r="S233" s="865">
        <v>4.8433000000000002</v>
      </c>
      <c r="T233" s="865">
        <v>4.8494999999999999</v>
      </c>
      <c r="V233" s="861">
        <v>40408</v>
      </c>
      <c r="W233" s="865">
        <v>0.22600000000000001</v>
      </c>
      <c r="X233" s="865">
        <v>0.26624999999999999</v>
      </c>
      <c r="Y233" s="865">
        <v>0.3</v>
      </c>
      <c r="Z233" s="865">
        <v>0.34547</v>
      </c>
      <c r="AA233" s="865">
        <v>0.41737999999999997</v>
      </c>
      <c r="AB233" s="865">
        <v>0.48963000000000001</v>
      </c>
      <c r="AC233" s="865">
        <v>0.56843999999999995</v>
      </c>
      <c r="AD233" s="865">
        <v>0.93093999999999999</v>
      </c>
      <c r="AF233" s="861">
        <v>40417</v>
      </c>
      <c r="AG233" s="865">
        <v>0.35969000000000001</v>
      </c>
      <c r="AH233" s="865">
        <v>0.57762999999999998</v>
      </c>
      <c r="AI233" s="865">
        <v>0.67374999999999996</v>
      </c>
      <c r="AJ233" s="865">
        <v>0.82750000000000001</v>
      </c>
      <c r="AK233" s="865">
        <v>0.91249999999999998</v>
      </c>
      <c r="AL233" s="865">
        <v>1.0031300000000001</v>
      </c>
      <c r="AM233" s="865">
        <v>1.1052900000000001</v>
      </c>
      <c r="AN233" s="865">
        <v>1.3868799999999999</v>
      </c>
      <c r="AP233" s="861">
        <v>40408</v>
      </c>
      <c r="AQ233" s="865">
        <v>0.54749999999999999</v>
      </c>
      <c r="AR233" s="865">
        <v>0.5675</v>
      </c>
      <c r="AS233" s="865">
        <v>0.62187999999999999</v>
      </c>
      <c r="AT233" s="865">
        <v>0.72699999999999998</v>
      </c>
      <c r="AU233" s="865">
        <v>0.8125</v>
      </c>
      <c r="AV233" s="865">
        <v>0.91437999999999997</v>
      </c>
      <c r="AW233" s="865">
        <v>1.01938</v>
      </c>
      <c r="AX233" s="865">
        <v>1.4575</v>
      </c>
      <c r="AZ233" s="861">
        <v>40417</v>
      </c>
      <c r="BA233" s="865">
        <v>3</v>
      </c>
      <c r="BB233" s="865">
        <v>3.09</v>
      </c>
      <c r="BC233" s="865">
        <v>3.2</v>
      </c>
      <c r="BD233" s="865">
        <v>3.23333</v>
      </c>
      <c r="BE233" s="865">
        <v>3.23</v>
      </c>
      <c r="BF233" s="865">
        <v>3.29</v>
      </c>
      <c r="BG233" s="865">
        <v>3.32</v>
      </c>
      <c r="BH233" s="865">
        <v>3.32</v>
      </c>
    </row>
    <row r="234" spans="12:60">
      <c r="L234" s="861">
        <v>40408</v>
      </c>
      <c r="M234" s="865">
        <v>4.5</v>
      </c>
      <c r="N234" s="865">
        <v>4.6100000000000003</v>
      </c>
      <c r="O234" s="865">
        <v>4.7016999999999998</v>
      </c>
      <c r="P234" s="865">
        <v>4.74</v>
      </c>
      <c r="Q234" s="865">
        <v>4.7933000000000003</v>
      </c>
      <c r="R234" s="865">
        <v>4.8532999999999999</v>
      </c>
      <c r="S234" s="865">
        <v>4.88</v>
      </c>
      <c r="T234" s="865">
        <v>4.9135</v>
      </c>
      <c r="V234" s="861">
        <v>40407</v>
      </c>
      <c r="W234" s="865">
        <v>0.22663</v>
      </c>
      <c r="X234" s="865">
        <v>0.26656000000000002</v>
      </c>
      <c r="Y234" s="865">
        <v>0.30343999999999999</v>
      </c>
      <c r="Z234" s="865">
        <v>0.35219</v>
      </c>
      <c r="AA234" s="865">
        <v>0.42563000000000001</v>
      </c>
      <c r="AB234" s="865">
        <v>0.49756</v>
      </c>
      <c r="AC234" s="865">
        <v>0.57650000000000001</v>
      </c>
      <c r="AD234" s="865">
        <v>0.94618999999999998</v>
      </c>
      <c r="AF234" s="861">
        <v>40416</v>
      </c>
      <c r="AG234" s="865">
        <v>0.35969000000000001</v>
      </c>
      <c r="AH234" s="865">
        <v>0.57762999999999998</v>
      </c>
      <c r="AI234" s="865">
        <v>0.67374999999999996</v>
      </c>
      <c r="AJ234" s="865">
        <v>0.82874999999999999</v>
      </c>
      <c r="AK234" s="865">
        <v>0.91</v>
      </c>
      <c r="AL234" s="865">
        <v>1.0031300000000001</v>
      </c>
      <c r="AM234" s="865">
        <v>1.1052900000000001</v>
      </c>
      <c r="AN234" s="865">
        <v>1.3868799999999999</v>
      </c>
      <c r="AP234" s="861">
        <v>40407</v>
      </c>
      <c r="AQ234" s="865">
        <v>0.54749999999999999</v>
      </c>
      <c r="AR234" s="865">
        <v>0.56874999999999998</v>
      </c>
      <c r="AS234" s="865">
        <v>0.62187999999999999</v>
      </c>
      <c r="AT234" s="865">
        <v>0.72850000000000004</v>
      </c>
      <c r="AU234" s="865">
        <v>0.81374999999999997</v>
      </c>
      <c r="AV234" s="865">
        <v>0.91688000000000003</v>
      </c>
      <c r="AW234" s="865">
        <v>1.0206299999999999</v>
      </c>
      <c r="AX234" s="865">
        <v>1.4575</v>
      </c>
      <c r="AZ234" s="861">
        <v>40416</v>
      </c>
      <c r="BA234" s="865">
        <v>3</v>
      </c>
      <c r="BB234" s="865">
        <v>3.1</v>
      </c>
      <c r="BC234" s="865">
        <v>3.2</v>
      </c>
      <c r="BD234" s="865">
        <v>3.2322199999999999</v>
      </c>
      <c r="BE234" s="865">
        <v>3.2311100000000001</v>
      </c>
      <c r="BF234" s="865">
        <v>3.29</v>
      </c>
      <c r="BG234" s="865">
        <v>3.32</v>
      </c>
      <c r="BH234" s="865">
        <v>3.32</v>
      </c>
    </row>
    <row r="235" spans="12:60">
      <c r="L235" s="861">
        <v>40407</v>
      </c>
      <c r="M235" s="865">
        <v>4.5</v>
      </c>
      <c r="N235" s="865">
        <v>4.6166999999999998</v>
      </c>
      <c r="O235" s="865">
        <v>4.7</v>
      </c>
      <c r="P235" s="865">
        <v>4.74</v>
      </c>
      <c r="Q235" s="865">
        <v>4.7983000000000002</v>
      </c>
      <c r="R235" s="865">
        <v>4.8600000000000003</v>
      </c>
      <c r="S235" s="865">
        <v>4.9217000000000004</v>
      </c>
      <c r="T235" s="865">
        <v>4.8890000000000002</v>
      </c>
      <c r="V235" s="861">
        <v>40406</v>
      </c>
      <c r="W235" s="865">
        <v>0.22875000000000001</v>
      </c>
      <c r="X235" s="865">
        <v>0.26938000000000001</v>
      </c>
      <c r="Y235" s="865">
        <v>0.30875000000000002</v>
      </c>
      <c r="Z235" s="865">
        <v>0.36187999999999998</v>
      </c>
      <c r="AA235" s="865">
        <v>0.43713000000000002</v>
      </c>
      <c r="AB235" s="865">
        <v>0.50868999999999998</v>
      </c>
      <c r="AC235" s="865">
        <v>0.58731</v>
      </c>
      <c r="AD235" s="865">
        <v>0.96094000000000002</v>
      </c>
      <c r="AF235" s="861">
        <v>40415</v>
      </c>
      <c r="AG235" s="865">
        <v>0.36375000000000002</v>
      </c>
      <c r="AH235" s="865">
        <v>0.57638</v>
      </c>
      <c r="AI235" s="865">
        <v>0.67188000000000003</v>
      </c>
      <c r="AJ235" s="865">
        <v>0.82874999999999999</v>
      </c>
      <c r="AK235" s="865">
        <v>0.90749999999999997</v>
      </c>
      <c r="AL235" s="865">
        <v>1.0018800000000001</v>
      </c>
      <c r="AM235" s="865">
        <v>1.1052900000000001</v>
      </c>
      <c r="AN235" s="865">
        <v>1.3868799999999999</v>
      </c>
      <c r="AP235" s="861">
        <v>40406</v>
      </c>
      <c r="AQ235" s="865">
        <v>0.54874999999999996</v>
      </c>
      <c r="AR235" s="865">
        <v>0.56874999999999998</v>
      </c>
      <c r="AS235" s="865">
        <v>0.62187999999999999</v>
      </c>
      <c r="AT235" s="865">
        <v>0.73</v>
      </c>
      <c r="AU235" s="865">
        <v>0.81499999999999995</v>
      </c>
      <c r="AV235" s="865">
        <v>0.91937999999999998</v>
      </c>
      <c r="AW235" s="865">
        <v>1.0206299999999999</v>
      </c>
      <c r="AX235" s="865">
        <v>1.45875</v>
      </c>
      <c r="AZ235" s="861">
        <v>40415</v>
      </c>
      <c r="BA235" s="865">
        <v>3</v>
      </c>
      <c r="BB235" s="865">
        <v>3.1</v>
      </c>
      <c r="BC235" s="865">
        <v>3.2</v>
      </c>
      <c r="BD235" s="865">
        <v>3.2122199999999999</v>
      </c>
      <c r="BE235" s="865">
        <v>3.23</v>
      </c>
      <c r="BF235" s="865">
        <v>3.29</v>
      </c>
      <c r="BG235" s="865">
        <v>3.3188900000000001</v>
      </c>
      <c r="BH235" s="865">
        <v>3.3188900000000001</v>
      </c>
    </row>
    <row r="236" spans="12:60">
      <c r="L236" s="861">
        <v>40406</v>
      </c>
      <c r="M236" s="865">
        <v>4.5</v>
      </c>
      <c r="N236" s="865">
        <v>4.6100000000000003</v>
      </c>
      <c r="O236" s="865">
        <v>4.6966999999999999</v>
      </c>
      <c r="P236" s="865">
        <v>4.74</v>
      </c>
      <c r="Q236" s="865">
        <v>4.7949999999999999</v>
      </c>
      <c r="R236" s="865">
        <v>4.8499999999999996</v>
      </c>
      <c r="S236" s="865">
        <v>4.8949999999999996</v>
      </c>
      <c r="T236" s="865">
        <v>4.9043000000000001</v>
      </c>
      <c r="V236" s="861">
        <v>40403</v>
      </c>
      <c r="W236" s="865">
        <v>0.22938</v>
      </c>
      <c r="X236" s="865">
        <v>0.27188000000000001</v>
      </c>
      <c r="Y236" s="865">
        <v>0.31313000000000002</v>
      </c>
      <c r="Z236" s="865">
        <v>0.36937999999999999</v>
      </c>
      <c r="AA236" s="865">
        <v>0.44263000000000002</v>
      </c>
      <c r="AB236" s="865">
        <v>0.51356000000000002</v>
      </c>
      <c r="AC236" s="865">
        <v>0.59187999999999996</v>
      </c>
      <c r="AD236" s="865">
        <v>0.96531</v>
      </c>
      <c r="AF236" s="861">
        <v>40414</v>
      </c>
      <c r="AG236" s="865">
        <v>0.36875000000000002</v>
      </c>
      <c r="AH236" s="865">
        <v>0.57581000000000004</v>
      </c>
      <c r="AI236" s="865">
        <v>0.67062999999999995</v>
      </c>
      <c r="AJ236" s="865">
        <v>0.82750000000000001</v>
      </c>
      <c r="AK236" s="865">
        <v>0.90500000000000003</v>
      </c>
      <c r="AL236" s="865">
        <v>1.0006299999999999</v>
      </c>
      <c r="AM236" s="865">
        <v>1.10531</v>
      </c>
      <c r="AN236" s="865">
        <v>1.3881300000000001</v>
      </c>
      <c r="AP236" s="861">
        <v>40403</v>
      </c>
      <c r="AQ236" s="865">
        <v>0.54874999999999996</v>
      </c>
      <c r="AR236" s="865">
        <v>0.56999999999999995</v>
      </c>
      <c r="AS236" s="865">
        <v>0.62312999999999996</v>
      </c>
      <c r="AT236" s="865">
        <v>0.73163</v>
      </c>
      <c r="AU236" s="865">
        <v>0.81537999999999999</v>
      </c>
      <c r="AV236" s="865">
        <v>0.92100000000000004</v>
      </c>
      <c r="AW236" s="865">
        <v>1.0206299999999999</v>
      </c>
      <c r="AX236" s="865">
        <v>1.46</v>
      </c>
      <c r="AZ236" s="861">
        <v>40414</v>
      </c>
      <c r="BA236" s="865">
        <v>3</v>
      </c>
      <c r="BB236" s="865">
        <v>3.1</v>
      </c>
      <c r="BC236" s="865">
        <v>3.2</v>
      </c>
      <c r="BD236" s="865">
        <v>3.2344400000000002</v>
      </c>
      <c r="BE236" s="865">
        <v>3.2322199999999999</v>
      </c>
      <c r="BF236" s="865">
        <v>3.3</v>
      </c>
      <c r="BG236" s="865">
        <v>3.33</v>
      </c>
      <c r="BH236" s="865">
        <v>3.33</v>
      </c>
    </row>
    <row r="237" spans="12:60">
      <c r="L237" s="861">
        <v>40403</v>
      </c>
      <c r="M237" s="865">
        <v>4.5</v>
      </c>
      <c r="N237" s="865">
        <v>4.6100000000000003</v>
      </c>
      <c r="O237" s="865">
        <v>4.7016999999999998</v>
      </c>
      <c r="P237" s="865">
        <v>4.75</v>
      </c>
      <c r="Q237" s="865">
        <v>4.8150000000000004</v>
      </c>
      <c r="R237" s="865">
        <v>4.8682999999999996</v>
      </c>
      <c r="S237" s="865">
        <v>4.9432999999999998</v>
      </c>
      <c r="T237" s="865">
        <v>4.9280999999999997</v>
      </c>
      <c r="V237" s="861">
        <v>40402</v>
      </c>
      <c r="W237" s="865">
        <v>0.23125000000000001</v>
      </c>
      <c r="X237" s="865">
        <v>0.27594000000000002</v>
      </c>
      <c r="Y237" s="865">
        <v>0.3175</v>
      </c>
      <c r="Z237" s="865">
        <v>0.37624999999999997</v>
      </c>
      <c r="AA237" s="865">
        <v>0.44938</v>
      </c>
      <c r="AB237" s="865">
        <v>0.51763000000000003</v>
      </c>
      <c r="AC237" s="865">
        <v>0.59406000000000003</v>
      </c>
      <c r="AD237" s="865">
        <v>0.96062999999999998</v>
      </c>
      <c r="AF237" s="861">
        <v>40413</v>
      </c>
      <c r="AG237" s="865">
        <v>0.37</v>
      </c>
      <c r="AH237" s="865">
        <v>0.57594000000000001</v>
      </c>
      <c r="AI237" s="865">
        <v>0.66969000000000001</v>
      </c>
      <c r="AJ237" s="865">
        <v>0.82781000000000005</v>
      </c>
      <c r="AK237" s="865">
        <v>0.90656000000000003</v>
      </c>
      <c r="AL237" s="865">
        <v>1.0009399999999999</v>
      </c>
      <c r="AM237" s="865">
        <v>1.10531</v>
      </c>
      <c r="AN237" s="865">
        <v>1.3859399999999999</v>
      </c>
      <c r="AP237" s="861">
        <v>40402</v>
      </c>
      <c r="AQ237" s="865">
        <v>0.54874999999999996</v>
      </c>
      <c r="AR237" s="865">
        <v>0.56999999999999995</v>
      </c>
      <c r="AS237" s="865">
        <v>0.62312999999999996</v>
      </c>
      <c r="AT237" s="865">
        <v>0.73687999999999998</v>
      </c>
      <c r="AU237" s="865">
        <v>0.81688000000000005</v>
      </c>
      <c r="AV237" s="865">
        <v>0.92374999999999996</v>
      </c>
      <c r="AW237" s="865">
        <v>1.02688</v>
      </c>
      <c r="AX237" s="865">
        <v>1.4650000000000001</v>
      </c>
      <c r="AZ237" s="861">
        <v>40413</v>
      </c>
      <c r="BA237" s="865">
        <v>3</v>
      </c>
      <c r="BB237" s="865">
        <v>3.1</v>
      </c>
      <c r="BC237" s="865">
        <v>3.2</v>
      </c>
      <c r="BD237" s="865">
        <v>3.24</v>
      </c>
      <c r="BE237" s="865">
        <v>3.2324999999999999</v>
      </c>
      <c r="BF237" s="865">
        <v>3.3</v>
      </c>
      <c r="BG237" s="865">
        <v>3.33</v>
      </c>
      <c r="BH237" s="865">
        <v>3.33</v>
      </c>
    </row>
    <row r="238" spans="12:60">
      <c r="L238" s="861">
        <v>40402</v>
      </c>
      <c r="M238" s="865">
        <v>4.5</v>
      </c>
      <c r="N238" s="865">
        <v>4.59</v>
      </c>
      <c r="O238" s="865">
        <v>4.7</v>
      </c>
      <c r="P238" s="865">
        <v>4.7832999999999997</v>
      </c>
      <c r="Q238" s="865">
        <v>4.8182999999999998</v>
      </c>
      <c r="R238" s="865">
        <v>4.8666999999999998</v>
      </c>
      <c r="S238" s="865">
        <v>4.8982999999999999</v>
      </c>
      <c r="T238" s="865">
        <v>4.9103000000000003</v>
      </c>
      <c r="V238" s="861">
        <v>40401</v>
      </c>
      <c r="W238" s="865">
        <v>0.23313</v>
      </c>
      <c r="X238" s="865">
        <v>0.27938000000000002</v>
      </c>
      <c r="Y238" s="865">
        <v>0.32468999999999998</v>
      </c>
      <c r="Z238" s="865">
        <v>0.38438</v>
      </c>
      <c r="AA238" s="865">
        <v>0.45744000000000001</v>
      </c>
      <c r="AB238" s="865">
        <v>0.52793999999999996</v>
      </c>
      <c r="AC238" s="865">
        <v>0.60250000000000004</v>
      </c>
      <c r="AD238" s="865">
        <v>0.97075</v>
      </c>
      <c r="AF238" s="861">
        <v>40410</v>
      </c>
      <c r="AG238" s="865">
        <v>0.37125000000000002</v>
      </c>
      <c r="AH238" s="865">
        <v>0.57499999999999996</v>
      </c>
      <c r="AI238" s="865">
        <v>0.67</v>
      </c>
      <c r="AJ238" s="865">
        <v>0.82938000000000001</v>
      </c>
      <c r="AK238" s="865">
        <v>0.90812999999999999</v>
      </c>
      <c r="AL238" s="865">
        <v>1.0024999999999999</v>
      </c>
      <c r="AM238" s="865">
        <v>1.11063</v>
      </c>
      <c r="AN238" s="865">
        <v>1.3868799999999999</v>
      </c>
      <c r="AP238" s="861">
        <v>40401</v>
      </c>
      <c r="AQ238" s="865">
        <v>0.55000000000000004</v>
      </c>
      <c r="AR238" s="865">
        <v>0.57125000000000004</v>
      </c>
      <c r="AS238" s="865">
        <v>0.62563000000000002</v>
      </c>
      <c r="AT238" s="865">
        <v>0.74250000000000005</v>
      </c>
      <c r="AU238" s="865">
        <v>0.81938</v>
      </c>
      <c r="AV238" s="865">
        <v>0.92625000000000002</v>
      </c>
      <c r="AW238" s="865">
        <v>1.0325</v>
      </c>
      <c r="AX238" s="865">
        <v>1.4762500000000001</v>
      </c>
      <c r="AZ238" s="861">
        <v>40410</v>
      </c>
      <c r="BA238" s="865">
        <v>3</v>
      </c>
      <c r="BB238" s="865">
        <v>3.09</v>
      </c>
      <c r="BC238" s="865">
        <v>3.2</v>
      </c>
      <c r="BD238" s="865">
        <v>3.2222200000000001</v>
      </c>
      <c r="BE238" s="865">
        <v>3.23</v>
      </c>
      <c r="BF238" s="865">
        <v>3.2988900000000001</v>
      </c>
      <c r="BG238" s="865">
        <v>3.33</v>
      </c>
      <c r="BH238" s="865">
        <v>3.33</v>
      </c>
    </row>
    <row r="239" spans="12:60">
      <c r="L239" s="861">
        <v>40401</v>
      </c>
      <c r="M239" s="865">
        <v>4.5</v>
      </c>
      <c r="N239" s="865">
        <v>4.5967000000000002</v>
      </c>
      <c r="O239" s="865">
        <v>4.7</v>
      </c>
      <c r="P239" s="865">
        <v>4.75</v>
      </c>
      <c r="Q239" s="865">
        <v>4.8049999999999997</v>
      </c>
      <c r="R239" s="865">
        <v>4.8666999999999998</v>
      </c>
      <c r="S239" s="865">
        <v>4.95</v>
      </c>
      <c r="T239" s="865">
        <v>4.9371999999999998</v>
      </c>
      <c r="V239" s="861">
        <v>40400</v>
      </c>
      <c r="W239" s="865">
        <v>0.23594000000000001</v>
      </c>
      <c r="X239" s="865">
        <v>0.28563</v>
      </c>
      <c r="Y239" s="865">
        <v>0.33312999999999998</v>
      </c>
      <c r="Z239" s="865">
        <v>0.39781</v>
      </c>
      <c r="AA239" s="865">
        <v>0.47</v>
      </c>
      <c r="AB239" s="865">
        <v>0.54413</v>
      </c>
      <c r="AC239" s="865">
        <v>0.62031000000000003</v>
      </c>
      <c r="AD239" s="865">
        <v>0.99375000000000002</v>
      </c>
      <c r="AF239" s="861">
        <v>40409</v>
      </c>
      <c r="AG239" s="865">
        <v>0.37</v>
      </c>
      <c r="AH239" s="865">
        <v>0.57938000000000001</v>
      </c>
      <c r="AI239" s="865">
        <v>0.67313000000000001</v>
      </c>
      <c r="AJ239" s="865">
        <v>0.83187999999999995</v>
      </c>
      <c r="AK239" s="865">
        <v>0.91313</v>
      </c>
      <c r="AL239" s="865">
        <v>1.0049999999999999</v>
      </c>
      <c r="AM239" s="865">
        <v>1.11188</v>
      </c>
      <c r="AN239" s="865">
        <v>1.3875</v>
      </c>
      <c r="AP239" s="861">
        <v>40400</v>
      </c>
      <c r="AQ239" s="865">
        <v>0.55125000000000002</v>
      </c>
      <c r="AR239" s="865">
        <v>0.57250000000000001</v>
      </c>
      <c r="AS239" s="865">
        <v>0.62687999999999999</v>
      </c>
      <c r="AT239" s="865">
        <v>0.74375000000000002</v>
      </c>
      <c r="AU239" s="865">
        <v>0.81938</v>
      </c>
      <c r="AV239" s="865">
        <v>0.92749999999999999</v>
      </c>
      <c r="AW239" s="865">
        <v>1.0337499999999999</v>
      </c>
      <c r="AX239" s="865">
        <v>1.4806299999999999</v>
      </c>
      <c r="AZ239" s="861">
        <v>40409</v>
      </c>
      <c r="BA239" s="865">
        <v>3</v>
      </c>
      <c r="BB239" s="865">
        <v>3.13</v>
      </c>
      <c r="BC239" s="865">
        <v>3.19556</v>
      </c>
      <c r="BD239" s="865">
        <v>3.23</v>
      </c>
      <c r="BE239" s="865">
        <v>3.2311100000000001</v>
      </c>
      <c r="BF239" s="865">
        <v>3.3</v>
      </c>
      <c r="BG239" s="865">
        <v>3.33</v>
      </c>
      <c r="BH239" s="865">
        <v>3.33</v>
      </c>
    </row>
    <row r="240" spans="12:60">
      <c r="L240" s="861">
        <v>40400</v>
      </c>
      <c r="M240" s="865">
        <v>4.5</v>
      </c>
      <c r="N240" s="865">
        <v>4.62</v>
      </c>
      <c r="O240" s="865">
        <v>4.7016999999999998</v>
      </c>
      <c r="P240" s="865">
        <v>4.7699999999999996</v>
      </c>
      <c r="Q240" s="865">
        <v>4.8132999999999999</v>
      </c>
      <c r="R240" s="865">
        <v>4.8766999999999996</v>
      </c>
      <c r="S240" s="865">
        <v>4.9466999999999999</v>
      </c>
      <c r="T240" s="865">
        <v>4.9744999999999999</v>
      </c>
      <c r="V240" s="861">
        <v>40399</v>
      </c>
      <c r="W240" s="865">
        <v>0.23655999999999999</v>
      </c>
      <c r="X240" s="865">
        <v>0.28999999999999998</v>
      </c>
      <c r="Y240" s="865">
        <v>0.33750000000000002</v>
      </c>
      <c r="Z240" s="865">
        <v>0.40438000000000002</v>
      </c>
      <c r="AA240" s="865">
        <v>0.47799999999999998</v>
      </c>
      <c r="AB240" s="865">
        <v>0.55130999999999997</v>
      </c>
      <c r="AC240" s="865">
        <v>0.62749999999999995</v>
      </c>
      <c r="AD240" s="865">
        <v>0.995</v>
      </c>
      <c r="AF240" s="861">
        <v>40408</v>
      </c>
      <c r="AG240" s="865">
        <v>0.37375000000000003</v>
      </c>
      <c r="AH240" s="865">
        <v>0.58062999999999998</v>
      </c>
      <c r="AI240" s="865">
        <v>0.67188000000000003</v>
      </c>
      <c r="AJ240" s="865">
        <v>0.83281000000000005</v>
      </c>
      <c r="AK240" s="865">
        <v>0.91563000000000005</v>
      </c>
      <c r="AL240" s="865">
        <v>1.0049999999999999</v>
      </c>
      <c r="AM240" s="865">
        <v>1.1125</v>
      </c>
      <c r="AN240" s="865">
        <v>1.3875</v>
      </c>
      <c r="AP240" s="861">
        <v>40399</v>
      </c>
      <c r="AQ240" s="865">
        <v>0.55125000000000002</v>
      </c>
      <c r="AR240" s="865">
        <v>0.57250000000000001</v>
      </c>
      <c r="AS240" s="865">
        <v>0.62687999999999999</v>
      </c>
      <c r="AT240" s="865">
        <v>0.745</v>
      </c>
      <c r="AU240" s="865">
        <v>0.81938</v>
      </c>
      <c r="AV240" s="865">
        <v>0.92749999999999999</v>
      </c>
      <c r="AW240" s="865">
        <v>1.0337499999999999</v>
      </c>
      <c r="AX240" s="865">
        <v>1.4806299999999999</v>
      </c>
      <c r="AZ240" s="861">
        <v>40408</v>
      </c>
      <c r="BA240" s="865">
        <v>3</v>
      </c>
      <c r="BB240" s="865">
        <v>3.14</v>
      </c>
      <c r="BC240" s="865">
        <v>3.2088899999999998</v>
      </c>
      <c r="BD240" s="865">
        <v>3.21556</v>
      </c>
      <c r="BE240" s="865">
        <v>3.23</v>
      </c>
      <c r="BF240" s="865">
        <v>3.3</v>
      </c>
      <c r="BG240" s="865">
        <v>3.33</v>
      </c>
      <c r="BH240" s="865">
        <v>3.33</v>
      </c>
    </row>
    <row r="241" spans="12:60">
      <c r="L241" s="861">
        <v>40399</v>
      </c>
      <c r="M241" s="865">
        <v>4.5</v>
      </c>
      <c r="N241" s="865">
        <v>4.5999999999999996</v>
      </c>
      <c r="O241" s="865">
        <v>4.7</v>
      </c>
      <c r="P241" s="865">
        <v>4.76</v>
      </c>
      <c r="Q241" s="865">
        <v>4.8083</v>
      </c>
      <c r="R241" s="865">
        <v>4.87</v>
      </c>
      <c r="S241" s="865">
        <v>4.96</v>
      </c>
      <c r="T241" s="865">
        <v>4.9596999999999998</v>
      </c>
      <c r="V241" s="861">
        <v>40396</v>
      </c>
      <c r="W241" s="865">
        <v>0.23780999999999999</v>
      </c>
      <c r="X241" s="865">
        <v>0.29343999999999998</v>
      </c>
      <c r="Y241" s="865">
        <v>0.34155999999999997</v>
      </c>
      <c r="Z241" s="865">
        <v>0.41125</v>
      </c>
      <c r="AA241" s="865">
        <v>0.48425000000000001</v>
      </c>
      <c r="AB241" s="865">
        <v>0.55755999999999994</v>
      </c>
      <c r="AC241" s="865">
        <v>0.63375000000000004</v>
      </c>
      <c r="AD241" s="865">
        <v>1.0031300000000001</v>
      </c>
      <c r="AF241" s="861">
        <v>40407</v>
      </c>
      <c r="AG241" s="865">
        <v>0.38</v>
      </c>
      <c r="AH241" s="865">
        <v>0.58062999999999998</v>
      </c>
      <c r="AI241" s="865">
        <v>0.67188000000000003</v>
      </c>
      <c r="AJ241" s="865">
        <v>0.83406000000000002</v>
      </c>
      <c r="AK241" s="865">
        <v>0.91563000000000005</v>
      </c>
      <c r="AL241" s="865">
        <v>1.0037499999999999</v>
      </c>
      <c r="AM241" s="865">
        <v>1.11313</v>
      </c>
      <c r="AN241" s="865">
        <v>1.3887499999999999</v>
      </c>
      <c r="AP241" s="861">
        <v>40396</v>
      </c>
      <c r="AQ241" s="865">
        <v>0.55125000000000002</v>
      </c>
      <c r="AR241" s="865">
        <v>0.57250000000000001</v>
      </c>
      <c r="AS241" s="865">
        <v>0.62687999999999999</v>
      </c>
      <c r="AT241" s="865">
        <v>0.74438000000000004</v>
      </c>
      <c r="AU241" s="865">
        <v>0.81938</v>
      </c>
      <c r="AV241" s="865">
        <v>0.92749999999999999</v>
      </c>
      <c r="AW241" s="865">
        <v>1.0325</v>
      </c>
      <c r="AX241" s="865">
        <v>1.4806299999999999</v>
      </c>
      <c r="AZ241" s="861">
        <v>40407</v>
      </c>
      <c r="BA241" s="865">
        <v>3</v>
      </c>
      <c r="BB241" s="865">
        <v>3.14</v>
      </c>
      <c r="BC241" s="865">
        <v>3.23</v>
      </c>
      <c r="BD241" s="865">
        <v>3.24</v>
      </c>
      <c r="BE241" s="865">
        <v>3.25</v>
      </c>
      <c r="BF241" s="865">
        <v>3.3</v>
      </c>
      <c r="BG241" s="865">
        <v>3.33</v>
      </c>
      <c r="BH241" s="865">
        <v>3.33</v>
      </c>
    </row>
    <row r="242" spans="12:60">
      <c r="L242" s="861">
        <v>40396</v>
      </c>
      <c r="M242" s="865">
        <v>4.5</v>
      </c>
      <c r="N242" s="865">
        <v>4.6132999999999997</v>
      </c>
      <c r="O242" s="865">
        <v>4.6982999999999997</v>
      </c>
      <c r="P242" s="865">
        <v>4.75</v>
      </c>
      <c r="Q242" s="865">
        <v>4.79</v>
      </c>
      <c r="R242" s="865">
        <v>4.8383000000000003</v>
      </c>
      <c r="S242" s="865">
        <v>4.8666999999999998</v>
      </c>
      <c r="T242" s="865">
        <v>4.9360999999999997</v>
      </c>
      <c r="V242" s="861">
        <v>40395</v>
      </c>
      <c r="W242" s="865">
        <v>0.23780999999999999</v>
      </c>
      <c r="X242" s="865">
        <v>0.29469000000000001</v>
      </c>
      <c r="Y242" s="865">
        <v>0.34499999999999997</v>
      </c>
      <c r="Z242" s="865">
        <v>0.41813</v>
      </c>
      <c r="AA242" s="865">
        <v>0.49006</v>
      </c>
      <c r="AB242" s="865">
        <v>0.5615</v>
      </c>
      <c r="AC242" s="865">
        <v>0.63893999999999995</v>
      </c>
      <c r="AD242" s="865">
        <v>1.00969</v>
      </c>
      <c r="AF242" s="861">
        <v>40406</v>
      </c>
      <c r="AG242" s="865">
        <v>0.38250000000000001</v>
      </c>
      <c r="AH242" s="865">
        <v>0.58187999999999995</v>
      </c>
      <c r="AI242" s="865">
        <v>0.67188000000000003</v>
      </c>
      <c r="AJ242" s="865">
        <v>0.83187999999999995</v>
      </c>
      <c r="AK242" s="865">
        <v>0.91313</v>
      </c>
      <c r="AL242" s="865">
        <v>1.0037499999999999</v>
      </c>
      <c r="AM242" s="865">
        <v>1.10938</v>
      </c>
      <c r="AN242" s="865">
        <v>1.3875</v>
      </c>
      <c r="AP242" s="861">
        <v>40395</v>
      </c>
      <c r="AQ242" s="865">
        <v>0.55125000000000002</v>
      </c>
      <c r="AR242" s="865">
        <v>0.57250000000000001</v>
      </c>
      <c r="AS242" s="865">
        <v>0.62687999999999999</v>
      </c>
      <c r="AT242" s="865">
        <v>0.74406000000000005</v>
      </c>
      <c r="AU242" s="865">
        <v>0.81874999999999998</v>
      </c>
      <c r="AV242" s="865">
        <v>0.92718999999999996</v>
      </c>
      <c r="AW242" s="865">
        <v>1.03328</v>
      </c>
      <c r="AX242" s="865">
        <v>1.48</v>
      </c>
      <c r="AZ242" s="861">
        <v>40406</v>
      </c>
      <c r="BA242" s="865">
        <v>3</v>
      </c>
      <c r="BB242" s="865">
        <v>3.14</v>
      </c>
      <c r="BC242" s="865">
        <v>3.23</v>
      </c>
      <c r="BD242" s="865">
        <v>3.2455599999999998</v>
      </c>
      <c r="BE242" s="865">
        <v>3.27</v>
      </c>
      <c r="BF242" s="865">
        <v>3.32</v>
      </c>
      <c r="BG242" s="865">
        <v>3.34</v>
      </c>
      <c r="BH242" s="865">
        <v>3.34</v>
      </c>
    </row>
    <row r="243" spans="12:60">
      <c r="L243" s="861">
        <v>40395</v>
      </c>
      <c r="M243" s="865">
        <v>4.5</v>
      </c>
      <c r="N243" s="865">
        <v>4.6100000000000003</v>
      </c>
      <c r="O243" s="865">
        <v>4.7</v>
      </c>
      <c r="P243" s="865">
        <v>4.7416999999999998</v>
      </c>
      <c r="Q243" s="865">
        <v>4.7949999999999999</v>
      </c>
      <c r="R243" s="865">
        <v>4.8433000000000002</v>
      </c>
      <c r="S243" s="865">
        <v>4.9000000000000004</v>
      </c>
      <c r="T243" s="865">
        <v>4.9337</v>
      </c>
      <c r="V243" s="861">
        <v>40394</v>
      </c>
      <c r="W243" s="865">
        <v>0.24031</v>
      </c>
      <c r="X243" s="865">
        <v>0.29531000000000002</v>
      </c>
      <c r="Y243" s="865">
        <v>0.34688000000000002</v>
      </c>
      <c r="Z243" s="865">
        <v>0.42405999999999999</v>
      </c>
      <c r="AA243" s="865">
        <v>0.49419000000000002</v>
      </c>
      <c r="AB243" s="865">
        <v>0.5635</v>
      </c>
      <c r="AC243" s="865">
        <v>0.63831000000000004</v>
      </c>
      <c r="AD243" s="865">
        <v>1.00156</v>
      </c>
      <c r="AF243" s="861">
        <v>40403</v>
      </c>
      <c r="AG243" s="865">
        <v>0.37624999999999997</v>
      </c>
      <c r="AH243" s="865">
        <v>0.58062999999999998</v>
      </c>
      <c r="AI243" s="865">
        <v>0.67062999999999995</v>
      </c>
      <c r="AJ243" s="865">
        <v>0.83187999999999995</v>
      </c>
      <c r="AK243" s="865">
        <v>0.91188000000000002</v>
      </c>
      <c r="AL243" s="865">
        <v>1.0024999999999999</v>
      </c>
      <c r="AM243" s="865">
        <v>1.10938</v>
      </c>
      <c r="AN243" s="865">
        <v>1.3875</v>
      </c>
      <c r="AP243" s="861">
        <v>40394</v>
      </c>
      <c r="AQ243" s="865">
        <v>0.55125000000000002</v>
      </c>
      <c r="AR243" s="865">
        <v>0.57250000000000001</v>
      </c>
      <c r="AS243" s="865">
        <v>0.62687999999999999</v>
      </c>
      <c r="AT243" s="865">
        <v>0.74531000000000003</v>
      </c>
      <c r="AU243" s="865">
        <v>0.82</v>
      </c>
      <c r="AV243" s="865">
        <v>0.92718999999999996</v>
      </c>
      <c r="AW243" s="865">
        <v>1.03328</v>
      </c>
      <c r="AX243" s="865">
        <v>1.48</v>
      </c>
      <c r="AZ243" s="861">
        <v>40403</v>
      </c>
      <c r="BA243" s="865">
        <v>3</v>
      </c>
      <c r="BB243" s="865">
        <v>3.12</v>
      </c>
      <c r="BC243" s="865">
        <v>3.2</v>
      </c>
      <c r="BD243" s="865">
        <v>3.2411099999999999</v>
      </c>
      <c r="BE243" s="865">
        <v>3.2911100000000002</v>
      </c>
      <c r="BF243" s="865">
        <v>3.3311099999999998</v>
      </c>
      <c r="BG243" s="865">
        <v>3.34111</v>
      </c>
      <c r="BH243" s="865">
        <v>3.34111</v>
      </c>
    </row>
    <row r="244" spans="12:60">
      <c r="L244" s="861">
        <v>40394</v>
      </c>
      <c r="M244" s="865">
        <v>4.5</v>
      </c>
      <c r="N244" s="865">
        <v>4.6399999999999997</v>
      </c>
      <c r="O244" s="865">
        <v>4.6982999999999997</v>
      </c>
      <c r="P244" s="865">
        <v>4.7300000000000004</v>
      </c>
      <c r="Q244" s="865">
        <v>4.79</v>
      </c>
      <c r="R244" s="865">
        <v>4.835</v>
      </c>
      <c r="S244" s="865">
        <v>4.8867000000000003</v>
      </c>
      <c r="T244" s="865">
        <v>4.9233000000000002</v>
      </c>
      <c r="V244" s="861">
        <v>40393</v>
      </c>
      <c r="W244" s="865">
        <v>0.24031</v>
      </c>
      <c r="X244" s="865">
        <v>0.3</v>
      </c>
      <c r="Y244" s="865">
        <v>0.35313</v>
      </c>
      <c r="Z244" s="865">
        <v>0.43469000000000002</v>
      </c>
      <c r="AA244" s="865">
        <v>0.50231000000000003</v>
      </c>
      <c r="AB244" s="865">
        <v>0.57350000000000001</v>
      </c>
      <c r="AC244" s="865">
        <v>0.64956000000000003</v>
      </c>
      <c r="AD244" s="865">
        <v>1.0150600000000001</v>
      </c>
      <c r="AF244" s="861">
        <v>40402</v>
      </c>
      <c r="AG244" s="865">
        <v>0.37125000000000002</v>
      </c>
      <c r="AH244" s="865">
        <v>0.58313000000000004</v>
      </c>
      <c r="AI244" s="865">
        <v>0.67313000000000001</v>
      </c>
      <c r="AJ244" s="865">
        <v>0.83438000000000001</v>
      </c>
      <c r="AK244" s="865">
        <v>0.91313</v>
      </c>
      <c r="AL244" s="865">
        <v>1.0062500000000001</v>
      </c>
      <c r="AM244" s="865">
        <v>1.11063</v>
      </c>
      <c r="AN244" s="865">
        <v>1.3875</v>
      </c>
      <c r="AP244" s="861">
        <v>40393</v>
      </c>
      <c r="AQ244" s="865">
        <v>0.55125000000000002</v>
      </c>
      <c r="AR244" s="865">
        <v>0.57250000000000001</v>
      </c>
      <c r="AS244" s="865">
        <v>0.62687999999999999</v>
      </c>
      <c r="AT244" s="865">
        <v>0.74453000000000003</v>
      </c>
      <c r="AU244" s="865">
        <v>0.81984000000000001</v>
      </c>
      <c r="AV244" s="865">
        <v>0.92452999999999996</v>
      </c>
      <c r="AW244" s="865">
        <v>1.0318799999999999</v>
      </c>
      <c r="AX244" s="865">
        <v>1.47922</v>
      </c>
      <c r="AZ244" s="861">
        <v>40402</v>
      </c>
      <c r="BA244" s="865">
        <v>3</v>
      </c>
      <c r="BB244" s="865">
        <v>3.12</v>
      </c>
      <c r="BC244" s="865">
        <v>3.2</v>
      </c>
      <c r="BD244" s="865">
        <v>3.28444</v>
      </c>
      <c r="BE244" s="865">
        <v>3.3433299999999999</v>
      </c>
      <c r="BF244" s="865">
        <v>3.3733300000000002</v>
      </c>
      <c r="BG244" s="865">
        <v>3.3911099999999998</v>
      </c>
      <c r="BH244" s="865">
        <v>3.3911099999999998</v>
      </c>
    </row>
    <row r="245" spans="12:60">
      <c r="L245" s="861">
        <v>40393</v>
      </c>
      <c r="M245" s="865">
        <v>4.5</v>
      </c>
      <c r="N245" s="865">
        <v>4.6399999999999997</v>
      </c>
      <c r="O245" s="865">
        <v>4.7083000000000004</v>
      </c>
      <c r="P245" s="865">
        <v>4.7282999999999999</v>
      </c>
      <c r="Q245" s="865">
        <v>4.8</v>
      </c>
      <c r="R245" s="865">
        <v>4.8433000000000002</v>
      </c>
      <c r="S245" s="865">
        <v>4.8833000000000002</v>
      </c>
      <c r="T245" s="865">
        <v>4.9307999999999996</v>
      </c>
      <c r="V245" s="861">
        <v>40392</v>
      </c>
      <c r="W245" s="865">
        <v>0.24031</v>
      </c>
      <c r="X245" s="865">
        <v>0.30281000000000002</v>
      </c>
      <c r="Y245" s="865">
        <v>0.36093999999999998</v>
      </c>
      <c r="Z245" s="865">
        <v>0.44468999999999997</v>
      </c>
      <c r="AA245" s="865">
        <v>0.51212999999999997</v>
      </c>
      <c r="AB245" s="865">
        <v>0.58125000000000004</v>
      </c>
      <c r="AC245" s="865">
        <v>0.65993999999999997</v>
      </c>
      <c r="AD245" s="865">
        <v>1.0297499999999999</v>
      </c>
      <c r="AF245" s="861">
        <v>40401</v>
      </c>
      <c r="AG245" s="865">
        <v>0.37624999999999997</v>
      </c>
      <c r="AH245" s="865">
        <v>0.58374999999999999</v>
      </c>
      <c r="AI245" s="865">
        <v>0.67313000000000001</v>
      </c>
      <c r="AJ245" s="865">
        <v>0.83499999999999996</v>
      </c>
      <c r="AK245" s="865">
        <v>0.91500000000000004</v>
      </c>
      <c r="AL245" s="865">
        <v>1.00875</v>
      </c>
      <c r="AM245" s="865">
        <v>1.115</v>
      </c>
      <c r="AN245" s="865">
        <v>1.3912500000000001</v>
      </c>
      <c r="AP245" s="861">
        <v>40392</v>
      </c>
      <c r="AQ245" s="865">
        <v>0.55125000000000002</v>
      </c>
      <c r="AR245" s="865">
        <v>0.57250000000000001</v>
      </c>
      <c r="AS245" s="865">
        <v>0.62687999999999999</v>
      </c>
      <c r="AT245" s="865">
        <v>0.74516000000000004</v>
      </c>
      <c r="AU245" s="865">
        <v>0.82047000000000003</v>
      </c>
      <c r="AV245" s="865">
        <v>0.92515999999999998</v>
      </c>
      <c r="AW245" s="865">
        <v>1.0325</v>
      </c>
      <c r="AX245" s="865">
        <v>1.47797</v>
      </c>
      <c r="AZ245" s="861">
        <v>40401</v>
      </c>
      <c r="BA245" s="865">
        <v>3</v>
      </c>
      <c r="BB245" s="865">
        <v>3.12</v>
      </c>
      <c r="BC245" s="865">
        <v>3.2</v>
      </c>
      <c r="BD245" s="865">
        <v>3.28</v>
      </c>
      <c r="BE245" s="865">
        <v>3.35</v>
      </c>
      <c r="BF245" s="865">
        <v>3.39</v>
      </c>
      <c r="BG245" s="865">
        <v>3.44</v>
      </c>
      <c r="BH245" s="865">
        <v>3.44</v>
      </c>
    </row>
    <row r="246" spans="12:60">
      <c r="L246" s="861">
        <v>40392</v>
      </c>
      <c r="M246" s="865">
        <v>4.5</v>
      </c>
      <c r="N246" s="865">
        <v>4.68</v>
      </c>
      <c r="O246" s="865">
        <v>4.7217000000000002</v>
      </c>
      <c r="P246" s="865">
        <v>4.7750000000000004</v>
      </c>
      <c r="Q246" s="865">
        <v>4.8449999999999998</v>
      </c>
      <c r="R246" s="865">
        <v>4.8833000000000002</v>
      </c>
      <c r="S246" s="865">
        <v>4.9367000000000001</v>
      </c>
      <c r="T246" s="865">
        <v>4.9545000000000003</v>
      </c>
      <c r="V246" s="861">
        <v>40389</v>
      </c>
      <c r="W246" s="865">
        <v>0.24093999999999999</v>
      </c>
      <c r="X246" s="865">
        <v>0.30499999999999999</v>
      </c>
      <c r="Y246" s="865">
        <v>0.37093999999999999</v>
      </c>
      <c r="Z246" s="865">
        <v>0.45374999999999999</v>
      </c>
      <c r="AA246" s="865">
        <v>0.52137999999999995</v>
      </c>
      <c r="AB246" s="865">
        <v>0.58787999999999996</v>
      </c>
      <c r="AC246" s="865">
        <v>0.66781000000000001</v>
      </c>
      <c r="AD246" s="865">
        <v>1.0366899999999999</v>
      </c>
      <c r="AF246" s="861">
        <v>40400</v>
      </c>
      <c r="AG246" s="865">
        <v>0.6875</v>
      </c>
      <c r="AH246" s="865">
        <v>0.58687999999999996</v>
      </c>
      <c r="AI246" s="865">
        <v>0.67062999999999995</v>
      </c>
      <c r="AJ246" s="865">
        <v>0.83374999999999999</v>
      </c>
      <c r="AK246" s="865">
        <v>0.91437999999999997</v>
      </c>
      <c r="AL246" s="865">
        <v>1.00813</v>
      </c>
      <c r="AM246" s="865">
        <v>1.11375</v>
      </c>
      <c r="AN246" s="865">
        <v>1.39375</v>
      </c>
      <c r="AP246" s="861">
        <v>40389</v>
      </c>
      <c r="AQ246" s="865">
        <v>0.55125000000000002</v>
      </c>
      <c r="AR246" s="865">
        <v>0.57250000000000001</v>
      </c>
      <c r="AS246" s="865">
        <v>0.62687999999999999</v>
      </c>
      <c r="AT246" s="865">
        <v>0.74516000000000004</v>
      </c>
      <c r="AU246" s="865">
        <v>0.82047000000000003</v>
      </c>
      <c r="AV246" s="865">
        <v>0.92515999999999998</v>
      </c>
      <c r="AW246" s="865">
        <v>1.03156</v>
      </c>
      <c r="AX246" s="865">
        <v>1.4781299999999999</v>
      </c>
      <c r="AZ246" s="861">
        <v>40400</v>
      </c>
      <c r="BA246" s="865">
        <v>3</v>
      </c>
      <c r="BB246" s="865">
        <v>3.12</v>
      </c>
      <c r="BC246" s="865">
        <v>3.2</v>
      </c>
      <c r="BD246" s="865">
        <v>3.2925</v>
      </c>
      <c r="BE246" s="865">
        <v>3.35</v>
      </c>
      <c r="BF246" s="865">
        <v>3.39</v>
      </c>
      <c r="BG246" s="865">
        <v>3.44</v>
      </c>
      <c r="BH246" s="865">
        <v>3.44</v>
      </c>
    </row>
    <row r="247" spans="12:60">
      <c r="L247" s="861">
        <v>40389</v>
      </c>
      <c r="M247" s="865">
        <v>4.5</v>
      </c>
      <c r="N247" s="865">
        <v>4.68</v>
      </c>
      <c r="O247" s="865">
        <v>4.7217000000000002</v>
      </c>
      <c r="P247" s="865">
        <v>4.7750000000000004</v>
      </c>
      <c r="Q247" s="865">
        <v>4.8449999999999998</v>
      </c>
      <c r="R247" s="865">
        <v>4.8833000000000002</v>
      </c>
      <c r="S247" s="865">
        <v>4.9367000000000001</v>
      </c>
      <c r="T247" s="865">
        <v>4.9545000000000003</v>
      </c>
      <c r="V247" s="861">
        <v>40388</v>
      </c>
      <c r="W247" s="865">
        <v>0.24213000000000001</v>
      </c>
      <c r="X247" s="865">
        <v>0.31156</v>
      </c>
      <c r="Y247" s="865">
        <v>0.38094</v>
      </c>
      <c r="Z247" s="865">
        <v>0.46562999999999999</v>
      </c>
      <c r="AA247" s="865">
        <v>0.53188000000000002</v>
      </c>
      <c r="AB247" s="865">
        <v>0.59743999999999997</v>
      </c>
      <c r="AC247" s="865">
        <v>0.67769000000000001</v>
      </c>
      <c r="AD247" s="865">
        <v>1.05044</v>
      </c>
      <c r="AF247" s="861">
        <v>40399</v>
      </c>
      <c r="AG247" s="865">
        <v>0.34312999999999999</v>
      </c>
      <c r="AH247" s="865">
        <v>0.58687999999999996</v>
      </c>
      <c r="AI247" s="865">
        <v>0.67062999999999995</v>
      </c>
      <c r="AJ247" s="865">
        <v>0.83374999999999999</v>
      </c>
      <c r="AK247" s="865">
        <v>0.91563000000000005</v>
      </c>
      <c r="AL247" s="865">
        <v>1.00813</v>
      </c>
      <c r="AM247" s="865">
        <v>1.1156299999999999</v>
      </c>
      <c r="AN247" s="865">
        <v>1.3928799999999999</v>
      </c>
      <c r="AP247" s="861">
        <v>40388</v>
      </c>
      <c r="AQ247" s="865">
        <v>0.55125000000000002</v>
      </c>
      <c r="AR247" s="865">
        <v>0.57250000000000001</v>
      </c>
      <c r="AS247" s="865">
        <v>0.62687999999999999</v>
      </c>
      <c r="AT247" s="865">
        <v>0.74375000000000002</v>
      </c>
      <c r="AU247" s="865">
        <v>0.81906000000000001</v>
      </c>
      <c r="AV247" s="865">
        <v>0.92500000000000004</v>
      </c>
      <c r="AW247" s="865">
        <v>1.03406</v>
      </c>
      <c r="AX247" s="865">
        <v>1.4806299999999999</v>
      </c>
      <c r="AZ247" s="861">
        <v>40399</v>
      </c>
      <c r="BA247" s="865">
        <v>3</v>
      </c>
      <c r="BB247" s="865">
        <v>3.12</v>
      </c>
      <c r="BC247" s="865">
        <v>3.2</v>
      </c>
      <c r="BD247" s="865">
        <v>3.27</v>
      </c>
      <c r="BE247" s="865">
        <v>3.35</v>
      </c>
      <c r="BF247" s="865">
        <v>3.39</v>
      </c>
      <c r="BG247" s="865">
        <v>3.44</v>
      </c>
      <c r="BH247" s="865">
        <v>3.44</v>
      </c>
    </row>
    <row r="248" spans="12:60">
      <c r="L248" s="861">
        <v>40388</v>
      </c>
      <c r="M248" s="865">
        <v>4.5</v>
      </c>
      <c r="N248" s="865">
        <v>4.66</v>
      </c>
      <c r="O248" s="865">
        <v>4.7317</v>
      </c>
      <c r="P248" s="865">
        <v>4.78</v>
      </c>
      <c r="Q248" s="865">
        <v>4.8567</v>
      </c>
      <c r="R248" s="865">
        <v>4.9116999999999997</v>
      </c>
      <c r="S248" s="865">
        <v>4.9516999999999998</v>
      </c>
      <c r="T248" s="865">
        <v>4.9725999999999999</v>
      </c>
      <c r="V248" s="861">
        <v>40387</v>
      </c>
      <c r="W248" s="865">
        <v>0.24313000000000001</v>
      </c>
      <c r="X248" s="865">
        <v>0.31563000000000002</v>
      </c>
      <c r="Y248" s="865">
        <v>0.38906000000000002</v>
      </c>
      <c r="Z248" s="865">
        <v>0.47499999999999998</v>
      </c>
      <c r="AA248" s="865">
        <v>0.54125000000000001</v>
      </c>
      <c r="AB248" s="865">
        <v>0.60812999999999995</v>
      </c>
      <c r="AC248" s="865">
        <v>0.68794</v>
      </c>
      <c r="AD248" s="865">
        <v>1.0643800000000001</v>
      </c>
      <c r="AF248" s="861">
        <v>40396</v>
      </c>
      <c r="AG248" s="865">
        <v>0.34312999999999999</v>
      </c>
      <c r="AH248" s="865">
        <v>0.58687999999999996</v>
      </c>
      <c r="AI248" s="865">
        <v>0.67062999999999995</v>
      </c>
      <c r="AJ248" s="865">
        <v>0.83438000000000001</v>
      </c>
      <c r="AK248" s="865">
        <v>0.91437999999999997</v>
      </c>
      <c r="AL248" s="865">
        <v>1.00813</v>
      </c>
      <c r="AM248" s="865">
        <v>1.115</v>
      </c>
      <c r="AN248" s="865">
        <v>1.39463</v>
      </c>
      <c r="AP248" s="861">
        <v>40387</v>
      </c>
      <c r="AQ248" s="865">
        <v>0.55125000000000002</v>
      </c>
      <c r="AR248" s="865">
        <v>0.57125000000000004</v>
      </c>
      <c r="AS248" s="865">
        <v>0.62687999999999999</v>
      </c>
      <c r="AT248" s="865">
        <v>0.74124999999999996</v>
      </c>
      <c r="AU248" s="865">
        <v>0.81781000000000004</v>
      </c>
      <c r="AV248" s="865">
        <v>0.92437999999999998</v>
      </c>
      <c r="AW248" s="865">
        <v>1.03406</v>
      </c>
      <c r="AX248" s="865">
        <v>1.4806299999999999</v>
      </c>
      <c r="AZ248" s="861">
        <v>40396</v>
      </c>
      <c r="BA248" s="865">
        <v>3</v>
      </c>
      <c r="BB248" s="865">
        <v>3.13</v>
      </c>
      <c r="BC248" s="865">
        <v>3.2</v>
      </c>
      <c r="BD248" s="865">
        <v>3.2688899999999999</v>
      </c>
      <c r="BE248" s="865">
        <v>3.35</v>
      </c>
      <c r="BF248" s="865">
        <v>3.39</v>
      </c>
      <c r="BG248" s="865">
        <v>3.42889</v>
      </c>
      <c r="BH248" s="865">
        <v>3.42889</v>
      </c>
    </row>
    <row r="249" spans="12:60">
      <c r="L249" s="861">
        <v>40387</v>
      </c>
      <c r="M249" s="865">
        <v>4.5</v>
      </c>
      <c r="N249" s="865">
        <v>4.74</v>
      </c>
      <c r="O249" s="865">
        <v>4.8117000000000001</v>
      </c>
      <c r="P249" s="865">
        <v>4.8483000000000001</v>
      </c>
      <c r="Q249" s="865">
        <v>4.915</v>
      </c>
      <c r="R249" s="865">
        <v>5.01</v>
      </c>
      <c r="S249" s="865">
        <v>5.1032999999999999</v>
      </c>
      <c r="T249" s="865">
        <v>5.1040000000000001</v>
      </c>
      <c r="V249" s="861">
        <v>40386</v>
      </c>
      <c r="W249" s="865">
        <v>0.24562999999999999</v>
      </c>
      <c r="X249" s="865">
        <v>0.32063000000000003</v>
      </c>
      <c r="Y249" s="865">
        <v>0.39280999999999999</v>
      </c>
      <c r="Z249" s="865">
        <v>0.48125000000000001</v>
      </c>
      <c r="AA249" s="865">
        <v>0.54874999999999996</v>
      </c>
      <c r="AB249" s="865">
        <v>0.61756</v>
      </c>
      <c r="AC249" s="865">
        <v>0.69430999999999998</v>
      </c>
      <c r="AD249" s="865">
        <v>1.0746899999999999</v>
      </c>
      <c r="AF249" s="861">
        <v>40395</v>
      </c>
      <c r="AG249" s="865">
        <v>0.34375</v>
      </c>
      <c r="AH249" s="865">
        <v>0.58562999999999998</v>
      </c>
      <c r="AI249" s="865">
        <v>0.66937999999999998</v>
      </c>
      <c r="AJ249" s="865">
        <v>0.83218999999999999</v>
      </c>
      <c r="AK249" s="865">
        <v>0.91313</v>
      </c>
      <c r="AL249" s="865">
        <v>1.0049999999999999</v>
      </c>
      <c r="AM249" s="865">
        <v>1.1125</v>
      </c>
      <c r="AN249" s="865">
        <v>1.3941300000000001</v>
      </c>
      <c r="AP249" s="861">
        <v>40386</v>
      </c>
      <c r="AQ249" s="865">
        <v>0.55125000000000002</v>
      </c>
      <c r="AR249" s="865">
        <v>0.57125000000000004</v>
      </c>
      <c r="AS249" s="865">
        <v>0.62687999999999999</v>
      </c>
      <c r="AT249" s="865">
        <v>0.74187999999999998</v>
      </c>
      <c r="AU249" s="865">
        <v>0.81781000000000004</v>
      </c>
      <c r="AV249" s="865">
        <v>0.92437999999999998</v>
      </c>
      <c r="AW249" s="865">
        <v>1.03406</v>
      </c>
      <c r="AX249" s="865">
        <v>1.4793799999999999</v>
      </c>
      <c r="AZ249" s="861">
        <v>40395</v>
      </c>
      <c r="BA249" s="865">
        <v>3</v>
      </c>
      <c r="BB249" s="865">
        <v>3.13</v>
      </c>
      <c r="BC249" s="865">
        <v>3.2</v>
      </c>
      <c r="BD249" s="865">
        <v>3.2777799999999999</v>
      </c>
      <c r="BE249" s="865">
        <v>3.35</v>
      </c>
      <c r="BF249" s="865">
        <v>3.39</v>
      </c>
      <c r="BG249" s="865">
        <v>3.44</v>
      </c>
      <c r="BH249" s="865">
        <v>3.44</v>
      </c>
    </row>
    <row r="250" spans="12:60">
      <c r="L250" s="861">
        <v>40386</v>
      </c>
      <c r="M250" s="865">
        <v>4.5</v>
      </c>
      <c r="N250" s="865">
        <v>4.7300000000000004</v>
      </c>
      <c r="O250" s="865">
        <v>4.8</v>
      </c>
      <c r="P250" s="865">
        <v>4.82</v>
      </c>
      <c r="Q250" s="865">
        <v>4.8967000000000001</v>
      </c>
      <c r="R250" s="865">
        <v>4.9850000000000003</v>
      </c>
      <c r="S250" s="865">
        <v>5.0782999999999996</v>
      </c>
      <c r="T250" s="865">
        <v>5.0919999999999996</v>
      </c>
      <c r="V250" s="861">
        <v>40385</v>
      </c>
      <c r="W250" s="865">
        <v>0.24593999999999999</v>
      </c>
      <c r="X250" s="865">
        <v>0.32500000000000001</v>
      </c>
      <c r="Y250" s="865">
        <v>0.40125</v>
      </c>
      <c r="Z250" s="865">
        <v>0.48749999999999999</v>
      </c>
      <c r="AA250" s="865">
        <v>0.55549999999999999</v>
      </c>
      <c r="AB250" s="865">
        <v>0.62175000000000002</v>
      </c>
      <c r="AC250" s="865">
        <v>0.69769000000000003</v>
      </c>
      <c r="AD250" s="865">
        <v>1.0803100000000001</v>
      </c>
      <c r="AF250" s="861">
        <v>40394</v>
      </c>
      <c r="AG250" s="865">
        <v>0.34438000000000002</v>
      </c>
      <c r="AH250" s="865">
        <v>0.58499999999999996</v>
      </c>
      <c r="AI250" s="865">
        <v>0.66749999999999998</v>
      </c>
      <c r="AJ250" s="865">
        <v>0.83030999999999999</v>
      </c>
      <c r="AK250" s="865">
        <v>0.91188000000000002</v>
      </c>
      <c r="AL250" s="865">
        <v>1.0043800000000001</v>
      </c>
      <c r="AM250" s="865">
        <v>1.1087499999999999</v>
      </c>
      <c r="AN250" s="865">
        <v>1.3887499999999999</v>
      </c>
      <c r="AP250" s="861">
        <v>40385</v>
      </c>
      <c r="AQ250" s="865">
        <v>0.55125000000000002</v>
      </c>
      <c r="AR250" s="865">
        <v>0.57125000000000004</v>
      </c>
      <c r="AS250" s="865">
        <v>0.62687999999999999</v>
      </c>
      <c r="AT250" s="865">
        <v>0.74124999999999996</v>
      </c>
      <c r="AU250" s="865">
        <v>0.81843999999999995</v>
      </c>
      <c r="AV250" s="865">
        <v>0.92249999999999999</v>
      </c>
      <c r="AW250" s="865">
        <v>1.03156</v>
      </c>
      <c r="AX250" s="865">
        <v>1.4775</v>
      </c>
      <c r="AZ250" s="861">
        <v>40394</v>
      </c>
      <c r="BA250" s="865">
        <v>3</v>
      </c>
      <c r="BB250" s="865">
        <v>3.13</v>
      </c>
      <c r="BC250" s="865">
        <v>3.2</v>
      </c>
      <c r="BD250" s="865">
        <v>3.31778</v>
      </c>
      <c r="BE250" s="865">
        <v>3.35</v>
      </c>
      <c r="BF250" s="865">
        <v>3.39</v>
      </c>
      <c r="BG250" s="865">
        <v>3.44</v>
      </c>
      <c r="BH250" s="865">
        <v>3.44</v>
      </c>
    </row>
    <row r="251" spans="12:60">
      <c r="L251" s="861">
        <v>40385</v>
      </c>
      <c r="M251" s="865">
        <v>4.5</v>
      </c>
      <c r="N251" s="865">
        <v>4.72</v>
      </c>
      <c r="O251" s="865">
        <v>4.8067000000000002</v>
      </c>
      <c r="P251" s="865">
        <v>4.82</v>
      </c>
      <c r="Q251" s="865">
        <v>4.8867000000000003</v>
      </c>
      <c r="R251" s="865">
        <v>4.9733000000000001</v>
      </c>
      <c r="S251" s="865">
        <v>5.0632999999999999</v>
      </c>
      <c r="T251" s="865">
        <v>5.1108000000000002</v>
      </c>
      <c r="V251" s="861">
        <v>40382</v>
      </c>
      <c r="W251" s="865">
        <v>0.24781</v>
      </c>
      <c r="X251" s="865">
        <v>0.32688</v>
      </c>
      <c r="Y251" s="865">
        <v>0.40562999999999999</v>
      </c>
      <c r="Z251" s="865">
        <v>0.49313000000000001</v>
      </c>
      <c r="AA251" s="865">
        <v>0.55869000000000002</v>
      </c>
      <c r="AB251" s="865">
        <v>0.62338000000000005</v>
      </c>
      <c r="AC251" s="865">
        <v>0.69699999999999995</v>
      </c>
      <c r="AD251" s="865">
        <v>1.0746899999999999</v>
      </c>
      <c r="AF251" s="861">
        <v>40393</v>
      </c>
      <c r="AG251" s="865">
        <v>0.35</v>
      </c>
      <c r="AH251" s="865">
        <v>0.58625000000000005</v>
      </c>
      <c r="AI251" s="865">
        <v>0.66874999999999996</v>
      </c>
      <c r="AJ251" s="865">
        <v>0.83155999999999997</v>
      </c>
      <c r="AK251" s="865">
        <v>0.91313</v>
      </c>
      <c r="AL251" s="865">
        <v>1.00688</v>
      </c>
      <c r="AM251" s="865">
        <v>1.1087499999999999</v>
      </c>
      <c r="AN251" s="865">
        <v>1.39</v>
      </c>
      <c r="AP251" s="861">
        <v>40382</v>
      </c>
      <c r="AQ251" s="865">
        <v>0.55125000000000002</v>
      </c>
      <c r="AR251" s="865">
        <v>0.57125000000000004</v>
      </c>
      <c r="AS251" s="865">
        <v>0.62687999999999999</v>
      </c>
      <c r="AT251" s="865">
        <v>0.73968999999999996</v>
      </c>
      <c r="AU251" s="865">
        <v>0.81688000000000005</v>
      </c>
      <c r="AV251" s="865">
        <v>0.92</v>
      </c>
      <c r="AW251" s="865">
        <v>1.0318799999999999</v>
      </c>
      <c r="AX251" s="865">
        <v>1.47438</v>
      </c>
      <c r="AZ251" s="861">
        <v>40393</v>
      </c>
      <c r="BA251" s="865">
        <v>3</v>
      </c>
      <c r="BB251" s="865">
        <v>3.08</v>
      </c>
      <c r="BC251" s="865">
        <v>3.2</v>
      </c>
      <c r="BD251" s="865">
        <v>3.2988900000000001</v>
      </c>
      <c r="BE251" s="865">
        <v>3.35</v>
      </c>
      <c r="BF251" s="865">
        <v>3.39</v>
      </c>
      <c r="BG251" s="865">
        <v>3.44</v>
      </c>
      <c r="BH251" s="865">
        <v>3.44</v>
      </c>
    </row>
    <row r="252" spans="12:60">
      <c r="L252" s="861">
        <v>40382</v>
      </c>
      <c r="M252" s="865">
        <v>4.5</v>
      </c>
      <c r="N252" s="865">
        <v>4.7133000000000003</v>
      </c>
      <c r="O252" s="865">
        <v>4.8</v>
      </c>
      <c r="P252" s="865">
        <v>4.83</v>
      </c>
      <c r="Q252" s="865">
        <v>4.8883000000000001</v>
      </c>
      <c r="R252" s="865">
        <v>4.9850000000000003</v>
      </c>
      <c r="S252" s="865">
        <v>5.09</v>
      </c>
      <c r="T252" s="865">
        <v>5.0724999999999998</v>
      </c>
      <c r="V252" s="861">
        <v>40381</v>
      </c>
      <c r="W252" s="865">
        <v>0.25124999999999997</v>
      </c>
      <c r="X252" s="865">
        <v>0.32874999999999999</v>
      </c>
      <c r="Y252" s="865">
        <v>0.40938000000000002</v>
      </c>
      <c r="Z252" s="865">
        <v>0.49780999999999997</v>
      </c>
      <c r="AA252" s="865">
        <v>0.56630999999999998</v>
      </c>
      <c r="AB252" s="865">
        <v>0.62963000000000002</v>
      </c>
      <c r="AC252" s="865">
        <v>0.70074999999999998</v>
      </c>
      <c r="AD252" s="865">
        <v>1.08</v>
      </c>
      <c r="AF252" s="861">
        <v>40392</v>
      </c>
      <c r="AG252" s="865">
        <v>0.35</v>
      </c>
      <c r="AH252" s="865">
        <v>0.58625000000000005</v>
      </c>
      <c r="AI252" s="865">
        <v>0.66874999999999996</v>
      </c>
      <c r="AJ252" s="865">
        <v>0.83155999999999997</v>
      </c>
      <c r="AK252" s="865">
        <v>0.91063000000000005</v>
      </c>
      <c r="AL252" s="865">
        <v>1.00563</v>
      </c>
      <c r="AM252" s="865">
        <v>1.1074999999999999</v>
      </c>
      <c r="AN252" s="865">
        <v>1.3875</v>
      </c>
      <c r="AP252" s="861">
        <v>40381</v>
      </c>
      <c r="AQ252" s="865">
        <v>0.55000000000000004</v>
      </c>
      <c r="AR252" s="865">
        <v>0.57062999999999997</v>
      </c>
      <c r="AS252" s="865">
        <v>0.62624999999999997</v>
      </c>
      <c r="AT252" s="865">
        <v>0.73780999999999997</v>
      </c>
      <c r="AU252" s="865">
        <v>0.81452999999999998</v>
      </c>
      <c r="AV252" s="865">
        <v>0.91781000000000001</v>
      </c>
      <c r="AW252" s="865">
        <v>1.02328</v>
      </c>
      <c r="AX252" s="865">
        <v>1.4650000000000001</v>
      </c>
      <c r="AZ252" s="861">
        <v>40392</v>
      </c>
      <c r="BA252" s="865">
        <v>3</v>
      </c>
      <c r="BB252" s="865">
        <v>3.08</v>
      </c>
      <c r="BC252" s="865">
        <v>3.2</v>
      </c>
      <c r="BD252" s="865">
        <v>3.26857</v>
      </c>
      <c r="BE252" s="865">
        <v>3.35</v>
      </c>
      <c r="BF252" s="865">
        <v>3.39</v>
      </c>
      <c r="BG252" s="865">
        <v>3.44</v>
      </c>
      <c r="BH252" s="865">
        <v>3.44</v>
      </c>
    </row>
    <row r="253" spans="12:60">
      <c r="L253" s="861">
        <v>40381</v>
      </c>
      <c r="M253" s="865">
        <v>4.5</v>
      </c>
      <c r="N253" s="865">
        <v>4.6849999999999996</v>
      </c>
      <c r="O253" s="865">
        <v>4.8017000000000003</v>
      </c>
      <c r="P253" s="865">
        <v>4.7832999999999997</v>
      </c>
      <c r="Q253" s="865">
        <v>4.8616999999999999</v>
      </c>
      <c r="R253" s="865">
        <v>4.9450000000000003</v>
      </c>
      <c r="S253" s="865">
        <v>5.0133000000000001</v>
      </c>
      <c r="T253" s="865">
        <v>5.0400999999999998</v>
      </c>
      <c r="V253" s="861">
        <v>40380</v>
      </c>
      <c r="W253" s="865">
        <v>0.25718999999999997</v>
      </c>
      <c r="X253" s="865">
        <v>0.33062999999999998</v>
      </c>
      <c r="Y253" s="865">
        <v>0.41343999999999997</v>
      </c>
      <c r="Z253" s="865">
        <v>0.50624999999999998</v>
      </c>
      <c r="AA253" s="865">
        <v>0.56974999999999998</v>
      </c>
      <c r="AB253" s="865">
        <v>0.63275000000000003</v>
      </c>
      <c r="AC253" s="865">
        <v>0.70262999999999998</v>
      </c>
      <c r="AD253" s="865">
        <v>1.0874999999999999</v>
      </c>
      <c r="AF253" s="861">
        <v>40389</v>
      </c>
      <c r="AG253" s="865">
        <v>0.35625000000000001</v>
      </c>
      <c r="AH253" s="865">
        <v>0.58625000000000005</v>
      </c>
      <c r="AI253" s="865">
        <v>0.66749999999999998</v>
      </c>
      <c r="AJ253" s="865">
        <v>0.83250000000000002</v>
      </c>
      <c r="AK253" s="865">
        <v>0.91</v>
      </c>
      <c r="AL253" s="865">
        <v>1.00813</v>
      </c>
      <c r="AM253" s="865">
        <v>1.1087499999999999</v>
      </c>
      <c r="AN253" s="865">
        <v>1.39</v>
      </c>
      <c r="AP253" s="861">
        <v>40380</v>
      </c>
      <c r="AQ253" s="865">
        <v>0.55000000000000004</v>
      </c>
      <c r="AR253" s="865">
        <v>0.57062999999999997</v>
      </c>
      <c r="AS253" s="865">
        <v>0.62624999999999997</v>
      </c>
      <c r="AT253" s="865">
        <v>0.73719000000000001</v>
      </c>
      <c r="AU253" s="865">
        <v>0.81391000000000002</v>
      </c>
      <c r="AV253" s="865">
        <v>0.91656000000000004</v>
      </c>
      <c r="AW253" s="865">
        <v>1.02328</v>
      </c>
      <c r="AX253" s="865">
        <v>1.46438</v>
      </c>
      <c r="AZ253" s="861">
        <v>40389</v>
      </c>
      <c r="BA253" s="865">
        <v>3</v>
      </c>
      <c r="BB253" s="865">
        <v>3.0637500000000002</v>
      </c>
      <c r="BC253" s="865">
        <v>3.14</v>
      </c>
      <c r="BD253" s="865">
        <v>3.2725</v>
      </c>
      <c r="BE253" s="865">
        <v>3.32</v>
      </c>
      <c r="BF253" s="865">
        <v>3.41</v>
      </c>
      <c r="BG253" s="865">
        <v>3.47</v>
      </c>
      <c r="BH253" s="865">
        <v>3.47</v>
      </c>
    </row>
    <row r="254" spans="12:60">
      <c r="L254" s="861">
        <v>40380</v>
      </c>
      <c r="M254" s="865">
        <v>4.5</v>
      </c>
      <c r="N254" s="865">
        <v>4.74</v>
      </c>
      <c r="O254" s="865">
        <v>4.8266999999999998</v>
      </c>
      <c r="P254" s="865">
        <v>4.82</v>
      </c>
      <c r="Q254" s="865">
        <v>4.88</v>
      </c>
      <c r="R254" s="865">
        <v>4.9466999999999999</v>
      </c>
      <c r="S254" s="865">
        <v>5.0117000000000003</v>
      </c>
      <c r="T254" s="865">
        <v>5.0647000000000002</v>
      </c>
      <c r="V254" s="861">
        <v>40379</v>
      </c>
      <c r="W254" s="865">
        <v>0.26094000000000001</v>
      </c>
      <c r="X254" s="865">
        <v>0.33250000000000002</v>
      </c>
      <c r="Y254" s="865">
        <v>0.41749999999999998</v>
      </c>
      <c r="Z254" s="865">
        <v>0.51249999999999996</v>
      </c>
      <c r="AA254" s="865">
        <v>0.57962999999999998</v>
      </c>
      <c r="AB254" s="865">
        <v>0.63993999999999995</v>
      </c>
      <c r="AC254" s="865">
        <v>0.71087999999999996</v>
      </c>
      <c r="AD254" s="865">
        <v>1.10188</v>
      </c>
      <c r="AF254" s="861">
        <v>40388</v>
      </c>
      <c r="AG254" s="865">
        <v>0.38124999999999998</v>
      </c>
      <c r="AH254" s="865">
        <v>0.58625000000000005</v>
      </c>
      <c r="AI254" s="865">
        <v>0.66718999999999995</v>
      </c>
      <c r="AJ254" s="865">
        <v>0.83343999999999996</v>
      </c>
      <c r="AK254" s="865">
        <v>0.91093999999999997</v>
      </c>
      <c r="AL254" s="865">
        <v>1.0090600000000001</v>
      </c>
      <c r="AM254" s="865">
        <v>1.11063</v>
      </c>
      <c r="AN254" s="865">
        <v>1.391</v>
      </c>
      <c r="AP254" s="861">
        <v>40379</v>
      </c>
      <c r="AQ254" s="865">
        <v>0.55000000000000004</v>
      </c>
      <c r="AR254" s="865">
        <v>0.57125000000000004</v>
      </c>
      <c r="AS254" s="865">
        <v>0.62624999999999997</v>
      </c>
      <c r="AT254" s="865">
        <v>0.73655999999999999</v>
      </c>
      <c r="AU254" s="865">
        <v>0.81406000000000001</v>
      </c>
      <c r="AV254" s="865">
        <v>0.91656000000000004</v>
      </c>
      <c r="AW254" s="865">
        <v>1.02203</v>
      </c>
      <c r="AX254" s="865">
        <v>1.4618800000000001</v>
      </c>
      <c r="AZ254" s="861">
        <v>40388</v>
      </c>
      <c r="BA254" s="865">
        <v>3</v>
      </c>
      <c r="BB254" s="865">
        <v>3.03</v>
      </c>
      <c r="BC254" s="865">
        <v>3.12</v>
      </c>
      <c r="BD254" s="865">
        <v>3.28125</v>
      </c>
      <c r="BE254" s="865">
        <v>3.32</v>
      </c>
      <c r="BF254" s="865">
        <v>3.41</v>
      </c>
      <c r="BG254" s="865">
        <v>3.47</v>
      </c>
      <c r="BH254" s="865">
        <v>3.47</v>
      </c>
    </row>
    <row r="255" spans="12:60">
      <c r="L255" s="861">
        <v>40379</v>
      </c>
      <c r="M255" s="865">
        <v>4.5</v>
      </c>
      <c r="N255" s="865">
        <v>4.7300000000000004</v>
      </c>
      <c r="O255" s="865">
        <v>4.82</v>
      </c>
      <c r="P255" s="865">
        <v>4.8083</v>
      </c>
      <c r="Q255" s="865">
        <v>4.8550000000000004</v>
      </c>
      <c r="R255" s="865">
        <v>4.9050000000000002</v>
      </c>
      <c r="S255" s="865">
        <v>4.9432999999999998</v>
      </c>
      <c r="T255" s="865">
        <v>5.0270999999999999</v>
      </c>
      <c r="V255" s="861">
        <v>40378</v>
      </c>
      <c r="W255" s="865">
        <v>0.26374999999999998</v>
      </c>
      <c r="X255" s="865">
        <v>0.33688000000000001</v>
      </c>
      <c r="Y255" s="865">
        <v>0.42187999999999998</v>
      </c>
      <c r="Z255" s="865">
        <v>0.51780999999999999</v>
      </c>
      <c r="AA255" s="865">
        <v>0.58313000000000004</v>
      </c>
      <c r="AB255" s="865">
        <v>0.64463000000000004</v>
      </c>
      <c r="AC255" s="865">
        <v>0.71813000000000005</v>
      </c>
      <c r="AD255" s="865">
        <v>1.11656</v>
      </c>
      <c r="AF255" s="861">
        <v>40387</v>
      </c>
      <c r="AG255" s="865">
        <v>0.42125000000000001</v>
      </c>
      <c r="AH255" s="865">
        <v>0.58438000000000001</v>
      </c>
      <c r="AI255" s="865">
        <v>0.66500000000000004</v>
      </c>
      <c r="AJ255" s="865">
        <v>0.83062999999999998</v>
      </c>
      <c r="AK255" s="865">
        <v>0.90874999999999995</v>
      </c>
      <c r="AL255" s="865">
        <v>1.00688</v>
      </c>
      <c r="AM255" s="865">
        <v>1.1100000000000001</v>
      </c>
      <c r="AN255" s="865">
        <v>1.39</v>
      </c>
      <c r="AP255" s="861">
        <v>40378</v>
      </c>
      <c r="AQ255" s="865">
        <v>0.55000000000000004</v>
      </c>
      <c r="AR255" s="865">
        <v>0.57125000000000004</v>
      </c>
      <c r="AS255" s="865">
        <v>0.62687999999999999</v>
      </c>
      <c r="AT255" s="865">
        <v>0.73609000000000002</v>
      </c>
      <c r="AU255" s="865">
        <v>0.81469000000000003</v>
      </c>
      <c r="AV255" s="865">
        <v>0.91656000000000004</v>
      </c>
      <c r="AW255" s="865">
        <v>1.0221899999999999</v>
      </c>
      <c r="AX255" s="865">
        <v>1.4618800000000001</v>
      </c>
      <c r="AZ255" s="861">
        <v>40387</v>
      </c>
      <c r="BA255" s="865">
        <v>2.75</v>
      </c>
      <c r="BB255" s="865">
        <v>3.0233300000000001</v>
      </c>
      <c r="BC255" s="865">
        <v>3.13</v>
      </c>
      <c r="BD255" s="865">
        <v>3.2922199999999999</v>
      </c>
      <c r="BE255" s="865">
        <v>3.32</v>
      </c>
      <c r="BF255" s="865">
        <v>3.41</v>
      </c>
      <c r="BG255" s="865">
        <v>3.47</v>
      </c>
      <c r="BH255" s="865">
        <v>3.47</v>
      </c>
    </row>
    <row r="256" spans="12:60">
      <c r="L256" s="861">
        <v>40378</v>
      </c>
      <c r="M256" s="865">
        <v>4.5</v>
      </c>
      <c r="N256" s="865">
        <v>4.7300000000000004</v>
      </c>
      <c r="O256" s="865">
        <v>4.8067000000000002</v>
      </c>
      <c r="P256" s="865">
        <v>4.7949999999999999</v>
      </c>
      <c r="Q256" s="865">
        <v>4.8383000000000003</v>
      </c>
      <c r="R256" s="865">
        <v>4.8783000000000003</v>
      </c>
      <c r="S256" s="865">
        <v>4.9132999999999996</v>
      </c>
      <c r="T256" s="865">
        <v>4.9577</v>
      </c>
      <c r="V256" s="861">
        <v>40375</v>
      </c>
      <c r="W256" s="865">
        <v>0.26874999999999999</v>
      </c>
      <c r="X256" s="865">
        <v>0.33812999999999999</v>
      </c>
      <c r="Y256" s="865">
        <v>0.42375000000000002</v>
      </c>
      <c r="Z256" s="865">
        <v>0.52124999999999999</v>
      </c>
      <c r="AA256" s="865">
        <v>0.58906000000000003</v>
      </c>
      <c r="AB256" s="865">
        <v>0.65215999999999996</v>
      </c>
      <c r="AC256" s="865">
        <v>0.72655999999999998</v>
      </c>
      <c r="AD256" s="865">
        <v>1.1268800000000001</v>
      </c>
      <c r="AF256" s="861">
        <v>40386</v>
      </c>
      <c r="AG256" s="865">
        <v>0.42125000000000001</v>
      </c>
      <c r="AH256" s="865">
        <v>0.58250000000000002</v>
      </c>
      <c r="AI256" s="865">
        <v>0.66374999999999995</v>
      </c>
      <c r="AJ256" s="865">
        <v>0.82750000000000001</v>
      </c>
      <c r="AK256" s="865">
        <v>0.90812999999999999</v>
      </c>
      <c r="AL256" s="865">
        <v>1.0062500000000001</v>
      </c>
      <c r="AM256" s="865">
        <v>1.10938</v>
      </c>
      <c r="AN256" s="865">
        <v>1.38863</v>
      </c>
      <c r="AP256" s="861">
        <v>40375</v>
      </c>
      <c r="AQ256" s="865">
        <v>0.55000000000000004</v>
      </c>
      <c r="AR256" s="865">
        <v>0.57125000000000004</v>
      </c>
      <c r="AS256" s="865">
        <v>0.62624999999999997</v>
      </c>
      <c r="AT256" s="865">
        <v>0.73484000000000005</v>
      </c>
      <c r="AU256" s="865">
        <v>0.81469000000000003</v>
      </c>
      <c r="AV256" s="865">
        <v>0.91530999999999996</v>
      </c>
      <c r="AW256" s="865">
        <v>1.02094</v>
      </c>
      <c r="AX256" s="865">
        <v>1.4606300000000001</v>
      </c>
      <c r="AZ256" s="861">
        <v>40386</v>
      </c>
      <c r="BA256" s="865">
        <v>2.75</v>
      </c>
      <c r="BB256" s="865">
        <v>3.02</v>
      </c>
      <c r="BC256" s="865">
        <v>3.13</v>
      </c>
      <c r="BD256" s="865">
        <v>3.30444</v>
      </c>
      <c r="BE256" s="865">
        <v>3.32</v>
      </c>
      <c r="BF256" s="865">
        <v>3.41</v>
      </c>
      <c r="BG256" s="865">
        <v>3.47</v>
      </c>
      <c r="BH256" s="865">
        <v>3.47</v>
      </c>
    </row>
    <row r="257" spans="12:60">
      <c r="L257" s="861">
        <v>40375</v>
      </c>
      <c r="M257" s="865">
        <v>4.5</v>
      </c>
      <c r="N257" s="865">
        <v>4.74</v>
      </c>
      <c r="O257" s="865">
        <v>4.82</v>
      </c>
      <c r="P257" s="865">
        <v>4.82</v>
      </c>
      <c r="Q257" s="865">
        <v>4.87</v>
      </c>
      <c r="R257" s="865">
        <v>4.9249999999999998</v>
      </c>
      <c r="S257" s="865">
        <v>4.97</v>
      </c>
      <c r="T257" s="865">
        <v>5.0114999999999998</v>
      </c>
      <c r="V257" s="861">
        <v>40374</v>
      </c>
      <c r="W257" s="865">
        <v>0.27</v>
      </c>
      <c r="X257" s="865">
        <v>0.34062999999999999</v>
      </c>
      <c r="Y257" s="865">
        <v>0.42405999999999999</v>
      </c>
      <c r="Z257" s="865">
        <v>0.52468999999999999</v>
      </c>
      <c r="AA257" s="865">
        <v>0.59180999999999995</v>
      </c>
      <c r="AB257" s="865">
        <v>0.65449999999999997</v>
      </c>
      <c r="AC257" s="865">
        <v>0.72987999999999997</v>
      </c>
      <c r="AD257" s="865">
        <v>1.13375</v>
      </c>
      <c r="AF257" s="861">
        <v>40385</v>
      </c>
      <c r="AG257" s="865">
        <v>0.42875000000000002</v>
      </c>
      <c r="AH257" s="865">
        <v>0.58062999999999998</v>
      </c>
      <c r="AI257" s="865">
        <v>0.66188000000000002</v>
      </c>
      <c r="AJ257" s="865">
        <v>0.82313000000000003</v>
      </c>
      <c r="AK257" s="865">
        <v>0.90500000000000003</v>
      </c>
      <c r="AL257" s="865">
        <v>1.0031300000000001</v>
      </c>
      <c r="AM257" s="865">
        <v>1.10625</v>
      </c>
      <c r="AN257" s="865">
        <v>1.38375</v>
      </c>
      <c r="AP257" s="861">
        <v>40374</v>
      </c>
      <c r="AQ257" s="865">
        <v>0.55000000000000004</v>
      </c>
      <c r="AR257" s="865">
        <v>0.57188000000000005</v>
      </c>
      <c r="AS257" s="865">
        <v>0.62687999999999999</v>
      </c>
      <c r="AT257" s="865">
        <v>0.73358999999999996</v>
      </c>
      <c r="AU257" s="865">
        <v>0.81469000000000003</v>
      </c>
      <c r="AV257" s="865">
        <v>0.91469</v>
      </c>
      <c r="AW257" s="865">
        <v>1.0203100000000001</v>
      </c>
      <c r="AX257" s="865">
        <v>1.46</v>
      </c>
      <c r="AZ257" s="861">
        <v>40385</v>
      </c>
      <c r="BA257" s="865">
        <v>2.75</v>
      </c>
      <c r="BB257" s="865">
        <v>3.0211100000000002</v>
      </c>
      <c r="BC257" s="865">
        <v>3.09</v>
      </c>
      <c r="BD257" s="865">
        <v>3.2788900000000001</v>
      </c>
      <c r="BE257" s="865">
        <v>3.2911100000000002</v>
      </c>
      <c r="BF257" s="865">
        <v>3.4066700000000001</v>
      </c>
      <c r="BG257" s="865">
        <v>3.45</v>
      </c>
      <c r="BH257" s="865">
        <v>3.45</v>
      </c>
    </row>
    <row r="258" spans="12:60">
      <c r="L258" s="861">
        <v>40374</v>
      </c>
      <c r="M258" s="865">
        <v>4.5</v>
      </c>
      <c r="N258" s="865">
        <v>4.76</v>
      </c>
      <c r="O258" s="865">
        <v>4.8333000000000004</v>
      </c>
      <c r="P258" s="865">
        <v>4.8982999999999999</v>
      </c>
      <c r="Q258" s="865">
        <v>4.95</v>
      </c>
      <c r="R258" s="865">
        <v>5.0049999999999999</v>
      </c>
      <c r="S258" s="865">
        <v>5.0650000000000004</v>
      </c>
      <c r="T258" s="865">
        <v>5.0167000000000002</v>
      </c>
      <c r="V258" s="861">
        <v>40373</v>
      </c>
      <c r="W258" s="865">
        <v>0.27124999999999999</v>
      </c>
      <c r="X258" s="865">
        <v>0.34094000000000002</v>
      </c>
      <c r="Y258" s="865">
        <v>0.42531000000000002</v>
      </c>
      <c r="Z258" s="865">
        <v>0.52563000000000004</v>
      </c>
      <c r="AA258" s="865">
        <v>0.59280999999999995</v>
      </c>
      <c r="AB258" s="865">
        <v>0.65488000000000002</v>
      </c>
      <c r="AC258" s="865">
        <v>0.73131000000000002</v>
      </c>
      <c r="AD258" s="865">
        <v>1.14063</v>
      </c>
      <c r="AF258" s="861">
        <v>40382</v>
      </c>
      <c r="AG258" s="865">
        <v>0.42875000000000002</v>
      </c>
      <c r="AH258" s="865">
        <v>0.57874999999999999</v>
      </c>
      <c r="AI258" s="865">
        <v>0.66125</v>
      </c>
      <c r="AJ258" s="865">
        <v>0.82125000000000004</v>
      </c>
      <c r="AK258" s="865">
        <v>0.90437999999999996</v>
      </c>
      <c r="AL258" s="865">
        <v>1.0024999999999999</v>
      </c>
      <c r="AM258" s="865">
        <v>1.1043799999999999</v>
      </c>
      <c r="AN258" s="865">
        <v>1.38063</v>
      </c>
      <c r="AP258" s="861">
        <v>40373</v>
      </c>
      <c r="AQ258" s="865">
        <v>0.55000000000000004</v>
      </c>
      <c r="AR258" s="865">
        <v>0.57125000000000004</v>
      </c>
      <c r="AS258" s="865">
        <v>0.62687999999999999</v>
      </c>
      <c r="AT258" s="865">
        <v>0.73406000000000005</v>
      </c>
      <c r="AU258" s="865">
        <v>0.81469000000000003</v>
      </c>
      <c r="AV258" s="865">
        <v>0.91469</v>
      </c>
      <c r="AW258" s="865">
        <v>1.0190600000000001</v>
      </c>
      <c r="AX258" s="865">
        <v>1.46</v>
      </c>
      <c r="AZ258" s="861">
        <v>40382</v>
      </c>
      <c r="BA258" s="865">
        <v>2.75</v>
      </c>
      <c r="BB258" s="865">
        <v>3</v>
      </c>
      <c r="BC258" s="865">
        <v>3.09</v>
      </c>
      <c r="BD258" s="865">
        <v>3.24</v>
      </c>
      <c r="BE258" s="865">
        <v>3.29</v>
      </c>
      <c r="BF258" s="865">
        <v>3.38</v>
      </c>
      <c r="BG258" s="865">
        <v>3.45</v>
      </c>
      <c r="BH258" s="865">
        <v>3.45</v>
      </c>
    </row>
    <row r="259" spans="12:60">
      <c r="L259" s="861">
        <v>40373</v>
      </c>
      <c r="M259" s="865">
        <v>4.5</v>
      </c>
      <c r="N259" s="865">
        <v>4.7300000000000004</v>
      </c>
      <c r="O259" s="865">
        <v>4.84</v>
      </c>
      <c r="P259" s="865">
        <v>4.8899999999999997</v>
      </c>
      <c r="Q259" s="865">
        <v>4.9450000000000003</v>
      </c>
      <c r="R259" s="865">
        <v>5.0067000000000004</v>
      </c>
      <c r="S259" s="865">
        <v>5.0732999999999997</v>
      </c>
      <c r="T259" s="865">
        <v>5.0369999999999999</v>
      </c>
      <c r="V259" s="861">
        <v>40372</v>
      </c>
      <c r="W259" s="865">
        <v>0.27344000000000002</v>
      </c>
      <c r="X259" s="865">
        <v>0.34094000000000002</v>
      </c>
      <c r="Y259" s="865">
        <v>0.42531000000000002</v>
      </c>
      <c r="Z259" s="865">
        <v>0.52593999999999996</v>
      </c>
      <c r="AA259" s="865">
        <v>0.59438000000000002</v>
      </c>
      <c r="AB259" s="865">
        <v>0.65749999999999997</v>
      </c>
      <c r="AC259" s="865">
        <v>0.73312999999999995</v>
      </c>
      <c r="AD259" s="865">
        <v>1.145</v>
      </c>
      <c r="AF259" s="861">
        <v>40381</v>
      </c>
      <c r="AG259" s="865">
        <v>0.43</v>
      </c>
      <c r="AH259" s="865">
        <v>0.57874999999999999</v>
      </c>
      <c r="AI259" s="865">
        <v>0.66125</v>
      </c>
      <c r="AJ259" s="865">
        <v>0.81625000000000003</v>
      </c>
      <c r="AK259" s="865">
        <v>0.90437999999999996</v>
      </c>
      <c r="AL259" s="865">
        <v>1.0031300000000001</v>
      </c>
      <c r="AM259" s="865">
        <v>1.1000000000000001</v>
      </c>
      <c r="AN259" s="865">
        <v>1.3712500000000001</v>
      </c>
      <c r="AP259" s="861">
        <v>40372</v>
      </c>
      <c r="AQ259" s="865">
        <v>0.55000000000000004</v>
      </c>
      <c r="AR259" s="865">
        <v>0.56999999999999995</v>
      </c>
      <c r="AS259" s="865">
        <v>0.62749999999999995</v>
      </c>
      <c r="AT259" s="865">
        <v>0.73343999999999998</v>
      </c>
      <c r="AU259" s="865">
        <v>0.81530999999999998</v>
      </c>
      <c r="AV259" s="865">
        <v>0.91218999999999995</v>
      </c>
      <c r="AW259" s="865">
        <v>1.0190600000000001</v>
      </c>
      <c r="AX259" s="865">
        <v>1.45875</v>
      </c>
      <c r="AZ259" s="861">
        <v>40381</v>
      </c>
      <c r="BA259" s="865">
        <v>2.75</v>
      </c>
      <c r="BB259" s="865">
        <v>3</v>
      </c>
      <c r="BC259" s="865">
        <v>3.09</v>
      </c>
      <c r="BD259" s="865">
        <v>3.22</v>
      </c>
      <c r="BE259" s="865">
        <v>3.29</v>
      </c>
      <c r="BF259" s="865">
        <v>3.38</v>
      </c>
      <c r="BG259" s="865">
        <v>3.45</v>
      </c>
      <c r="BH259" s="865">
        <v>3.45</v>
      </c>
    </row>
    <row r="260" spans="12:60">
      <c r="L260" s="861">
        <v>40372</v>
      </c>
      <c r="M260" s="865">
        <v>4.5</v>
      </c>
      <c r="N260" s="865">
        <v>4.74</v>
      </c>
      <c r="O260" s="865">
        <v>4.8367000000000004</v>
      </c>
      <c r="P260" s="865">
        <v>4.88</v>
      </c>
      <c r="Q260" s="865">
        <v>4.9317000000000002</v>
      </c>
      <c r="R260" s="865">
        <v>4.99</v>
      </c>
      <c r="S260" s="865">
        <v>5.0449999999999999</v>
      </c>
      <c r="T260" s="865">
        <v>5.0018000000000002</v>
      </c>
      <c r="V260" s="861">
        <v>40371</v>
      </c>
      <c r="W260" s="865">
        <v>0.27374999999999999</v>
      </c>
      <c r="X260" s="865">
        <v>0.34094000000000002</v>
      </c>
      <c r="Y260" s="865">
        <v>0.42531000000000002</v>
      </c>
      <c r="Z260" s="865">
        <v>0.52556000000000003</v>
      </c>
      <c r="AA260" s="865">
        <v>0.59343999999999997</v>
      </c>
      <c r="AB260" s="865">
        <v>0.65749999999999997</v>
      </c>
      <c r="AC260" s="865">
        <v>0.73163</v>
      </c>
      <c r="AD260" s="865">
        <v>1.14375</v>
      </c>
      <c r="AF260" s="861">
        <v>40380</v>
      </c>
      <c r="AG260" s="865">
        <v>0.43125000000000002</v>
      </c>
      <c r="AH260" s="865">
        <v>0.57562999999999998</v>
      </c>
      <c r="AI260" s="865">
        <v>0.65812999999999999</v>
      </c>
      <c r="AJ260" s="865">
        <v>0.81437999999999999</v>
      </c>
      <c r="AK260" s="865">
        <v>0.90125</v>
      </c>
      <c r="AL260" s="865">
        <v>1</v>
      </c>
      <c r="AM260" s="865">
        <v>1.0981300000000001</v>
      </c>
      <c r="AN260" s="865">
        <v>1.3728800000000001</v>
      </c>
      <c r="AP260" s="861">
        <v>40371</v>
      </c>
      <c r="AQ260" s="865">
        <v>0.55000000000000004</v>
      </c>
      <c r="AR260" s="865">
        <v>0.56999999999999995</v>
      </c>
      <c r="AS260" s="865">
        <v>0.62749999999999995</v>
      </c>
      <c r="AT260" s="865">
        <v>0.73265999999999998</v>
      </c>
      <c r="AU260" s="865">
        <v>0.81469000000000003</v>
      </c>
      <c r="AV260" s="865">
        <v>0.91156000000000004</v>
      </c>
      <c r="AW260" s="865">
        <v>1.01875</v>
      </c>
      <c r="AX260" s="865">
        <v>1.45766</v>
      </c>
      <c r="AZ260" s="861">
        <v>40380</v>
      </c>
      <c r="BA260" s="865">
        <v>2.75</v>
      </c>
      <c r="BB260" s="865">
        <v>3</v>
      </c>
      <c r="BC260" s="865">
        <v>3.09</v>
      </c>
      <c r="BD260" s="865">
        <v>3.2566700000000002</v>
      </c>
      <c r="BE260" s="865">
        <v>3.29</v>
      </c>
      <c r="BF260" s="865">
        <v>3.38</v>
      </c>
      <c r="BG260" s="865">
        <v>3.45</v>
      </c>
      <c r="BH260" s="865">
        <v>3.45</v>
      </c>
    </row>
    <row r="261" spans="12:60">
      <c r="L261" s="861">
        <v>40371</v>
      </c>
      <c r="M261" s="865">
        <v>4.5</v>
      </c>
      <c r="N261" s="865">
        <v>4.7350000000000003</v>
      </c>
      <c r="O261" s="865">
        <v>4.8600000000000003</v>
      </c>
      <c r="P261" s="865">
        <v>4.8467000000000002</v>
      </c>
      <c r="Q261" s="865">
        <v>4.9367000000000001</v>
      </c>
      <c r="R261" s="865">
        <v>5</v>
      </c>
      <c r="S261" s="865">
        <v>5.05</v>
      </c>
      <c r="T261" s="865">
        <v>5.0218999999999996</v>
      </c>
      <c r="V261" s="861">
        <v>40368</v>
      </c>
      <c r="W261" s="865">
        <v>0.27500000000000002</v>
      </c>
      <c r="X261" s="865">
        <v>0.34094000000000002</v>
      </c>
      <c r="Y261" s="865">
        <v>0.42531000000000002</v>
      </c>
      <c r="Z261" s="865">
        <v>0.52681</v>
      </c>
      <c r="AA261" s="865">
        <v>0.59343999999999997</v>
      </c>
      <c r="AB261" s="865">
        <v>0.65874999999999995</v>
      </c>
      <c r="AC261" s="865">
        <v>0.73319000000000001</v>
      </c>
      <c r="AD261" s="865">
        <v>1.14625</v>
      </c>
      <c r="AF261" s="861">
        <v>40379</v>
      </c>
      <c r="AG261" s="865">
        <v>0.4425</v>
      </c>
      <c r="AH261" s="865">
        <v>0.57125000000000004</v>
      </c>
      <c r="AI261" s="865">
        <v>0.65500000000000003</v>
      </c>
      <c r="AJ261" s="865">
        <v>0.81125000000000003</v>
      </c>
      <c r="AK261" s="865">
        <v>0.89563000000000004</v>
      </c>
      <c r="AL261" s="865">
        <v>0.99624999999999997</v>
      </c>
      <c r="AM261" s="865">
        <v>1.0968800000000001</v>
      </c>
      <c r="AN261" s="865">
        <v>1.37</v>
      </c>
      <c r="AP261" s="861">
        <v>40368</v>
      </c>
      <c r="AQ261" s="865">
        <v>0.55000000000000004</v>
      </c>
      <c r="AR261" s="865">
        <v>0.56999999999999995</v>
      </c>
      <c r="AS261" s="865">
        <v>0.62749999999999995</v>
      </c>
      <c r="AT261" s="865">
        <v>0.73280999999999996</v>
      </c>
      <c r="AU261" s="865">
        <v>0.81469000000000003</v>
      </c>
      <c r="AV261" s="865">
        <v>0.91156000000000004</v>
      </c>
      <c r="AW261" s="865">
        <v>1.01875</v>
      </c>
      <c r="AX261" s="865">
        <v>1.45703</v>
      </c>
      <c r="AZ261" s="861">
        <v>40379</v>
      </c>
      <c r="BA261" s="865">
        <v>2.75</v>
      </c>
      <c r="BB261" s="865">
        <v>2.9788899999999998</v>
      </c>
      <c r="BC261" s="865">
        <v>3.09</v>
      </c>
      <c r="BD261" s="865">
        <v>3.2311100000000001</v>
      </c>
      <c r="BE261" s="865">
        <v>3.29</v>
      </c>
      <c r="BF261" s="865">
        <v>3.38</v>
      </c>
      <c r="BG261" s="865">
        <v>3.45</v>
      </c>
      <c r="BH261" s="865">
        <v>3.45</v>
      </c>
    </row>
    <row r="262" spans="12:60">
      <c r="L262" s="861">
        <v>40368</v>
      </c>
      <c r="M262" s="865">
        <v>4.5</v>
      </c>
      <c r="N262" s="865">
        <v>4.7300000000000004</v>
      </c>
      <c r="O262" s="865">
        <v>4.8517000000000001</v>
      </c>
      <c r="P262" s="865">
        <v>4.8867000000000003</v>
      </c>
      <c r="Q262" s="865">
        <v>4.9466999999999999</v>
      </c>
      <c r="R262" s="865">
        <v>4.9983000000000004</v>
      </c>
      <c r="S262" s="865">
        <v>5.0650000000000004</v>
      </c>
      <c r="T262" s="865">
        <v>5.0069999999999997</v>
      </c>
      <c r="V262" s="861">
        <v>40367</v>
      </c>
      <c r="W262" s="865">
        <v>0.28125</v>
      </c>
      <c r="X262" s="865">
        <v>0.34250000000000003</v>
      </c>
      <c r="Y262" s="865">
        <v>0.42563000000000001</v>
      </c>
      <c r="Z262" s="865">
        <v>0.52749999999999997</v>
      </c>
      <c r="AA262" s="865">
        <v>0.59499999999999997</v>
      </c>
      <c r="AB262" s="865">
        <v>0.66249999999999998</v>
      </c>
      <c r="AC262" s="865">
        <v>0.73719000000000001</v>
      </c>
      <c r="AD262" s="865">
        <v>1.15438</v>
      </c>
      <c r="AF262" s="861">
        <v>40378</v>
      </c>
      <c r="AG262" s="865">
        <v>0.46124999999999999</v>
      </c>
      <c r="AH262" s="865">
        <v>0.56625000000000003</v>
      </c>
      <c r="AI262" s="865">
        <v>0.65125</v>
      </c>
      <c r="AJ262" s="865">
        <v>0.80813000000000001</v>
      </c>
      <c r="AK262" s="865">
        <v>0.89249999999999996</v>
      </c>
      <c r="AL262" s="865">
        <v>0.99124999999999996</v>
      </c>
      <c r="AM262" s="865">
        <v>1.0928800000000001</v>
      </c>
      <c r="AN262" s="865">
        <v>1.36938</v>
      </c>
      <c r="AP262" s="861">
        <v>40367</v>
      </c>
      <c r="AQ262" s="865">
        <v>0.54874999999999996</v>
      </c>
      <c r="AR262" s="865">
        <v>0.56938</v>
      </c>
      <c r="AS262" s="865">
        <v>0.62687999999999999</v>
      </c>
      <c r="AT262" s="865">
        <v>0.73280999999999996</v>
      </c>
      <c r="AU262" s="865">
        <v>0.81469000000000003</v>
      </c>
      <c r="AV262" s="865">
        <v>0.91156000000000004</v>
      </c>
      <c r="AW262" s="865">
        <v>1.01813</v>
      </c>
      <c r="AX262" s="865">
        <v>1.4581299999999999</v>
      </c>
      <c r="AZ262" s="861">
        <v>40378</v>
      </c>
      <c r="BA262" s="865">
        <v>2.75</v>
      </c>
      <c r="BB262" s="865">
        <v>2.97</v>
      </c>
      <c r="BC262" s="865">
        <v>3.09</v>
      </c>
      <c r="BD262" s="865">
        <v>3.24125</v>
      </c>
      <c r="BE262" s="865">
        <v>3.29</v>
      </c>
      <c r="BF262" s="865">
        <v>3.38</v>
      </c>
      <c r="BG262" s="865">
        <v>3.45</v>
      </c>
      <c r="BH262" s="865">
        <v>3.45</v>
      </c>
    </row>
    <row r="263" spans="12:60">
      <c r="L263" s="861">
        <v>40367</v>
      </c>
      <c r="M263" s="865">
        <v>4.5</v>
      </c>
      <c r="N263" s="865">
        <v>4.7350000000000003</v>
      </c>
      <c r="O263" s="865">
        <v>4.8433000000000002</v>
      </c>
      <c r="P263" s="865">
        <v>4.8650000000000002</v>
      </c>
      <c r="Q263" s="865">
        <v>4.8917000000000002</v>
      </c>
      <c r="R263" s="865">
        <v>4.9217000000000004</v>
      </c>
      <c r="S263" s="865">
        <v>4.9532999999999996</v>
      </c>
      <c r="T263" s="865">
        <v>4.9157999999999999</v>
      </c>
      <c r="V263" s="861">
        <v>40366</v>
      </c>
      <c r="W263" s="865">
        <v>0.28499999999999998</v>
      </c>
      <c r="X263" s="865">
        <v>0.34499999999999997</v>
      </c>
      <c r="Y263" s="865">
        <v>0.42813000000000001</v>
      </c>
      <c r="Z263" s="865">
        <v>0.52988000000000002</v>
      </c>
      <c r="AA263" s="865">
        <v>0.59987999999999997</v>
      </c>
      <c r="AB263" s="865">
        <v>0.66688000000000003</v>
      </c>
      <c r="AC263" s="865">
        <v>0.74243999999999999</v>
      </c>
      <c r="AD263" s="865">
        <v>1.16188</v>
      </c>
      <c r="AF263" s="861">
        <v>40375</v>
      </c>
      <c r="AG263" s="865">
        <v>0.43375000000000002</v>
      </c>
      <c r="AH263" s="865">
        <v>0.55000000000000004</v>
      </c>
      <c r="AI263" s="865">
        <v>0.63749999999999996</v>
      </c>
      <c r="AJ263" s="865">
        <v>0.79374999999999996</v>
      </c>
      <c r="AK263" s="865">
        <v>0.88124999999999998</v>
      </c>
      <c r="AL263" s="865">
        <v>0.98250000000000004</v>
      </c>
      <c r="AM263" s="865">
        <v>1.085</v>
      </c>
      <c r="AN263" s="865">
        <v>1.36</v>
      </c>
      <c r="AP263" s="861">
        <v>40366</v>
      </c>
      <c r="AQ263" s="865">
        <v>0.55000000000000004</v>
      </c>
      <c r="AR263" s="865">
        <v>0.56938</v>
      </c>
      <c r="AS263" s="865">
        <v>0.62687999999999999</v>
      </c>
      <c r="AT263" s="865">
        <v>0.73155999999999999</v>
      </c>
      <c r="AU263" s="865">
        <v>0.81530999999999998</v>
      </c>
      <c r="AV263" s="865">
        <v>0.91281000000000001</v>
      </c>
      <c r="AW263" s="865">
        <v>1.01688</v>
      </c>
      <c r="AX263" s="865">
        <v>1.4575</v>
      </c>
      <c r="AZ263" s="861">
        <v>40375</v>
      </c>
      <c r="BA263" s="865">
        <v>2.75</v>
      </c>
      <c r="BB263" s="865">
        <v>2.99</v>
      </c>
      <c r="BC263" s="865">
        <v>3.0933299999999999</v>
      </c>
      <c r="BD263" s="865">
        <v>3.2511100000000002</v>
      </c>
      <c r="BE263" s="865">
        <v>3.29</v>
      </c>
      <c r="BF263" s="865">
        <v>3.3788900000000002</v>
      </c>
      <c r="BG263" s="865">
        <v>3.45</v>
      </c>
      <c r="BH263" s="865">
        <v>3.45</v>
      </c>
    </row>
    <row r="264" spans="12:60">
      <c r="L264" s="861">
        <v>40366</v>
      </c>
      <c r="M264" s="865">
        <v>4.5</v>
      </c>
      <c r="N264" s="865">
        <v>4.74</v>
      </c>
      <c r="O264" s="865">
        <v>4.84</v>
      </c>
      <c r="P264" s="865">
        <v>4.8499999999999996</v>
      </c>
      <c r="Q264" s="865">
        <v>4.87</v>
      </c>
      <c r="R264" s="865">
        <v>4.9000000000000004</v>
      </c>
      <c r="S264" s="865">
        <v>4.91</v>
      </c>
      <c r="T264" s="865">
        <v>4.8882000000000003</v>
      </c>
      <c r="V264" s="861">
        <v>40365</v>
      </c>
      <c r="W264" s="865">
        <v>0.28875000000000001</v>
      </c>
      <c r="X264" s="865">
        <v>0.34625</v>
      </c>
      <c r="Y264" s="865">
        <v>0.42937999999999998</v>
      </c>
      <c r="Z264" s="865">
        <v>0.53112999999999999</v>
      </c>
      <c r="AA264" s="865">
        <v>0.60113000000000005</v>
      </c>
      <c r="AB264" s="865">
        <v>0.66937999999999998</v>
      </c>
      <c r="AC264" s="865">
        <v>0.74243999999999999</v>
      </c>
      <c r="AD264" s="865">
        <v>1.16313</v>
      </c>
      <c r="AF264" s="861">
        <v>40374</v>
      </c>
      <c r="AG264" s="865">
        <v>0.375</v>
      </c>
      <c r="AH264" s="865">
        <v>0.52875000000000005</v>
      </c>
      <c r="AI264" s="865">
        <v>0.61750000000000005</v>
      </c>
      <c r="AJ264" s="865">
        <v>0.78125</v>
      </c>
      <c r="AK264" s="865">
        <v>0.86499999999999999</v>
      </c>
      <c r="AL264" s="865">
        <v>0.96499999999999997</v>
      </c>
      <c r="AM264" s="865">
        <v>1.07375</v>
      </c>
      <c r="AN264" s="865">
        <v>1.3487499999999999</v>
      </c>
      <c r="AP264" s="861">
        <v>40365</v>
      </c>
      <c r="AQ264" s="865">
        <v>0.55000000000000004</v>
      </c>
      <c r="AR264" s="865">
        <v>0.56874999999999998</v>
      </c>
      <c r="AS264" s="865">
        <v>0.62749999999999995</v>
      </c>
      <c r="AT264" s="865">
        <v>0.73155999999999999</v>
      </c>
      <c r="AU264" s="865">
        <v>0.81530999999999998</v>
      </c>
      <c r="AV264" s="865">
        <v>0.91281000000000001</v>
      </c>
      <c r="AW264" s="865">
        <v>1.01938</v>
      </c>
      <c r="AX264" s="865">
        <v>1.45875</v>
      </c>
      <c r="AZ264" s="861">
        <v>40374</v>
      </c>
      <c r="BA264" s="865">
        <v>2.75</v>
      </c>
      <c r="BB264" s="865">
        <v>2.97</v>
      </c>
      <c r="BC264" s="865">
        <v>3.02</v>
      </c>
      <c r="BD264" s="865">
        <v>3.2328600000000001</v>
      </c>
      <c r="BE264" s="865">
        <v>3.23143</v>
      </c>
      <c r="BF264" s="865">
        <v>3.3</v>
      </c>
      <c r="BG264" s="865">
        <v>3.4285700000000001</v>
      </c>
      <c r="BH264" s="865">
        <v>3.4285700000000001</v>
      </c>
    </row>
    <row r="265" spans="12:60">
      <c r="L265" s="861">
        <v>40365</v>
      </c>
      <c r="M265" s="865">
        <v>4.5</v>
      </c>
      <c r="N265" s="865">
        <v>4.7300000000000004</v>
      </c>
      <c r="O265" s="865">
        <v>4.8333000000000004</v>
      </c>
      <c r="P265" s="865">
        <v>4.82</v>
      </c>
      <c r="Q265" s="865">
        <v>4.8650000000000002</v>
      </c>
      <c r="R265" s="865">
        <v>4.9000000000000004</v>
      </c>
      <c r="S265" s="865">
        <v>4.93</v>
      </c>
      <c r="T265" s="865">
        <v>4.8327</v>
      </c>
      <c r="V265" s="861">
        <v>40364</v>
      </c>
      <c r="W265" s="865">
        <v>0.29499999999999998</v>
      </c>
      <c r="X265" s="865">
        <v>0.34625</v>
      </c>
      <c r="Y265" s="865">
        <v>0.42937999999999998</v>
      </c>
      <c r="Z265" s="865">
        <v>0.53125</v>
      </c>
      <c r="AA265" s="865">
        <v>0.60124999999999995</v>
      </c>
      <c r="AB265" s="865">
        <v>0.66937999999999998</v>
      </c>
      <c r="AC265" s="865">
        <v>0.74343999999999999</v>
      </c>
      <c r="AD265" s="865">
        <v>1.1637500000000001</v>
      </c>
      <c r="AF265" s="861">
        <v>40373</v>
      </c>
      <c r="AG265" s="865">
        <v>0.32124999999999998</v>
      </c>
      <c r="AH265" s="865">
        <v>0.51688000000000001</v>
      </c>
      <c r="AI265" s="865">
        <v>0.60750000000000004</v>
      </c>
      <c r="AJ265" s="865">
        <v>0.77437999999999996</v>
      </c>
      <c r="AK265" s="865">
        <v>0.85750000000000004</v>
      </c>
      <c r="AL265" s="865">
        <v>0.95813000000000004</v>
      </c>
      <c r="AM265" s="865">
        <v>1.0668800000000001</v>
      </c>
      <c r="AN265" s="865">
        <v>1.34</v>
      </c>
      <c r="AP265" s="861">
        <v>40364</v>
      </c>
      <c r="AQ265" s="865">
        <v>0.55000000000000004</v>
      </c>
      <c r="AR265" s="865">
        <v>0.56874999999999998</v>
      </c>
      <c r="AS265" s="865">
        <v>0.62749999999999995</v>
      </c>
      <c r="AT265" s="865">
        <v>0.73155999999999999</v>
      </c>
      <c r="AU265" s="865">
        <v>0.81530999999999998</v>
      </c>
      <c r="AV265" s="865">
        <v>0.91218999999999995</v>
      </c>
      <c r="AW265" s="865">
        <v>1.01813</v>
      </c>
      <c r="AX265" s="865">
        <v>1.4575</v>
      </c>
      <c r="AZ265" s="861">
        <v>40373</v>
      </c>
      <c r="BA265" s="865">
        <v>2.75</v>
      </c>
      <c r="BB265" s="865">
        <v>2.9787499999999998</v>
      </c>
      <c r="BC265" s="865">
        <v>3.02</v>
      </c>
      <c r="BD265" s="865">
        <v>3.2012499999999999</v>
      </c>
      <c r="BE265" s="865">
        <v>3.23</v>
      </c>
      <c r="BF265" s="865">
        <v>3.2962500000000001</v>
      </c>
      <c r="BG265" s="865">
        <v>3.42</v>
      </c>
      <c r="BH265" s="865">
        <v>3.42</v>
      </c>
    </row>
    <row r="266" spans="12:60">
      <c r="L266" s="861">
        <v>40364</v>
      </c>
      <c r="M266" s="865">
        <v>4.5</v>
      </c>
      <c r="N266" s="865">
        <v>4.7317</v>
      </c>
      <c r="O266" s="865">
        <v>4.8417000000000003</v>
      </c>
      <c r="P266" s="865">
        <v>4.8517000000000001</v>
      </c>
      <c r="Q266" s="865">
        <v>4.8883000000000001</v>
      </c>
      <c r="R266" s="865">
        <v>4.9233000000000002</v>
      </c>
      <c r="S266" s="865">
        <v>4.95</v>
      </c>
      <c r="T266" s="865">
        <v>4.8666999999999998</v>
      </c>
      <c r="V266" s="861">
        <v>40361</v>
      </c>
      <c r="W266" s="865">
        <v>0.29499999999999998</v>
      </c>
      <c r="X266" s="865">
        <v>0.34749999999999998</v>
      </c>
      <c r="Y266" s="865">
        <v>0.43063000000000001</v>
      </c>
      <c r="Z266" s="865">
        <v>0.53363000000000005</v>
      </c>
      <c r="AA266" s="865">
        <v>0.60338000000000003</v>
      </c>
      <c r="AB266" s="865">
        <v>0.67225000000000001</v>
      </c>
      <c r="AC266" s="865">
        <v>0.75005999999999995</v>
      </c>
      <c r="AD266" s="865">
        <v>1.17188</v>
      </c>
      <c r="AF266" s="861">
        <v>40372</v>
      </c>
      <c r="AG266" s="865">
        <v>0.64249999999999996</v>
      </c>
      <c r="AH266" s="865">
        <v>0.51124999999999998</v>
      </c>
      <c r="AI266" s="865">
        <v>0.60250000000000004</v>
      </c>
      <c r="AJ266" s="865">
        <v>0.77500000000000002</v>
      </c>
      <c r="AK266" s="865">
        <v>0.85313000000000005</v>
      </c>
      <c r="AL266" s="865">
        <v>0.95499999999999996</v>
      </c>
      <c r="AM266" s="865">
        <v>1.06125</v>
      </c>
      <c r="AN266" s="865">
        <v>1.33375</v>
      </c>
      <c r="AP266" s="861">
        <v>40361</v>
      </c>
      <c r="AQ266" s="865">
        <v>0.55000000000000004</v>
      </c>
      <c r="AR266" s="865">
        <v>0.56874999999999998</v>
      </c>
      <c r="AS266" s="865">
        <v>0.62749999999999995</v>
      </c>
      <c r="AT266" s="865">
        <v>0.73155999999999999</v>
      </c>
      <c r="AU266" s="865">
        <v>0.81530999999999998</v>
      </c>
      <c r="AV266" s="865">
        <v>0.91218999999999995</v>
      </c>
      <c r="AW266" s="865">
        <v>1.0182800000000001</v>
      </c>
      <c r="AX266" s="865">
        <v>1.4581299999999999</v>
      </c>
      <c r="AZ266" s="861">
        <v>40372</v>
      </c>
      <c r="BA266" s="865">
        <v>2.75</v>
      </c>
      <c r="BB266" s="865">
        <v>2.9211100000000001</v>
      </c>
      <c r="BC266" s="865">
        <v>3.02</v>
      </c>
      <c r="BD266" s="865">
        <v>3.21</v>
      </c>
      <c r="BE266" s="865">
        <v>3.23</v>
      </c>
      <c r="BF266" s="865">
        <v>3.2966700000000002</v>
      </c>
      <c r="BG266" s="865">
        <v>3.42</v>
      </c>
      <c r="BH266" s="865">
        <v>3.42</v>
      </c>
    </row>
    <row r="267" spans="12:60">
      <c r="L267" s="861">
        <v>40361</v>
      </c>
      <c r="M267" s="865">
        <v>4.5</v>
      </c>
      <c r="N267" s="865">
        <v>4.7450000000000001</v>
      </c>
      <c r="O267" s="865">
        <v>4.8433000000000002</v>
      </c>
      <c r="P267" s="865">
        <v>4.8650000000000002</v>
      </c>
      <c r="Q267" s="865">
        <v>4.9032999999999998</v>
      </c>
      <c r="R267" s="865">
        <v>4.9450000000000003</v>
      </c>
      <c r="S267" s="865">
        <v>4.9800000000000004</v>
      </c>
      <c r="T267" s="865">
        <v>4.9226999999999999</v>
      </c>
      <c r="V267" s="861">
        <v>40360</v>
      </c>
      <c r="W267" s="865">
        <v>0.30063000000000001</v>
      </c>
      <c r="X267" s="865">
        <v>0.34719</v>
      </c>
      <c r="Y267" s="865">
        <v>0.43063000000000001</v>
      </c>
      <c r="Z267" s="865">
        <v>0.53330999999999995</v>
      </c>
      <c r="AA267" s="865">
        <v>0.60338000000000003</v>
      </c>
      <c r="AB267" s="865">
        <v>0.67162999999999995</v>
      </c>
      <c r="AC267" s="865">
        <v>0.751</v>
      </c>
      <c r="AD267" s="865">
        <v>1.17313</v>
      </c>
      <c r="AF267" s="861">
        <v>40371</v>
      </c>
      <c r="AG267" s="865">
        <v>0.31624999999999998</v>
      </c>
      <c r="AH267" s="865">
        <v>0.505</v>
      </c>
      <c r="AI267" s="865">
        <v>0.59562999999999999</v>
      </c>
      <c r="AJ267" s="865">
        <v>0.76624999999999999</v>
      </c>
      <c r="AK267" s="865">
        <v>0.84624999999999995</v>
      </c>
      <c r="AL267" s="865">
        <v>0.94750000000000001</v>
      </c>
      <c r="AM267" s="865">
        <v>1.0525</v>
      </c>
      <c r="AN267" s="865">
        <v>1.3325</v>
      </c>
      <c r="AP267" s="861">
        <v>40360</v>
      </c>
      <c r="AQ267" s="865">
        <v>0.54874999999999996</v>
      </c>
      <c r="AR267" s="865">
        <v>0.56874999999999998</v>
      </c>
      <c r="AS267" s="865">
        <v>0.62749999999999995</v>
      </c>
      <c r="AT267" s="865">
        <v>0.73155999999999999</v>
      </c>
      <c r="AU267" s="865">
        <v>0.81530999999999998</v>
      </c>
      <c r="AV267" s="865">
        <v>0.91218999999999995</v>
      </c>
      <c r="AW267" s="865">
        <v>1.0182800000000001</v>
      </c>
      <c r="AX267" s="865">
        <v>1.4581299999999999</v>
      </c>
      <c r="AZ267" s="861">
        <v>40371</v>
      </c>
      <c r="BA267" s="865">
        <v>2.75</v>
      </c>
      <c r="BB267" s="865">
        <v>2.9222199999999998</v>
      </c>
      <c r="BC267" s="865">
        <v>3.02</v>
      </c>
      <c r="BD267" s="865">
        <v>3.22</v>
      </c>
      <c r="BE267" s="865">
        <v>3.23</v>
      </c>
      <c r="BF267" s="865">
        <v>3.3</v>
      </c>
      <c r="BG267" s="865">
        <v>3.42</v>
      </c>
      <c r="BH267" s="865">
        <v>3.42</v>
      </c>
    </row>
    <row r="268" spans="12:60">
      <c r="L268" s="861">
        <v>40360</v>
      </c>
      <c r="M268" s="865">
        <v>4.5</v>
      </c>
      <c r="N268" s="865">
        <v>4.7</v>
      </c>
      <c r="O268" s="865">
        <v>4.8433000000000002</v>
      </c>
      <c r="P268" s="865">
        <v>4.84</v>
      </c>
      <c r="Q268" s="865">
        <v>4.8949999999999996</v>
      </c>
      <c r="R268" s="865">
        <v>4.9283000000000001</v>
      </c>
      <c r="S268" s="865">
        <v>4.9649999999999999</v>
      </c>
      <c r="T268" s="865">
        <v>4.9077999999999999</v>
      </c>
      <c r="V268" s="861">
        <v>40359</v>
      </c>
      <c r="W268" s="865">
        <v>0.30563000000000001</v>
      </c>
      <c r="X268" s="865">
        <v>0.34844000000000003</v>
      </c>
      <c r="Y268" s="865">
        <v>0.43187999999999999</v>
      </c>
      <c r="Z268" s="865">
        <v>0.53393999999999997</v>
      </c>
      <c r="AA268" s="865">
        <v>0.60350000000000004</v>
      </c>
      <c r="AB268" s="865">
        <v>0.67188000000000003</v>
      </c>
      <c r="AC268" s="865">
        <v>0.75249999999999995</v>
      </c>
      <c r="AD268" s="865">
        <v>1.17313</v>
      </c>
      <c r="AF268" s="861">
        <v>40368</v>
      </c>
      <c r="AG268" s="865">
        <v>0.31374999999999997</v>
      </c>
      <c r="AH268" s="865">
        <v>0.49875000000000003</v>
      </c>
      <c r="AI268" s="865">
        <v>0.59125000000000005</v>
      </c>
      <c r="AJ268" s="865">
        <v>0.76</v>
      </c>
      <c r="AK268" s="865">
        <v>0.84250000000000003</v>
      </c>
      <c r="AL268" s="865">
        <v>0.94374999999999998</v>
      </c>
      <c r="AM268" s="865">
        <v>1.0487500000000001</v>
      </c>
      <c r="AN268" s="865">
        <v>1.3287500000000001</v>
      </c>
      <c r="AP268" s="861">
        <v>40359</v>
      </c>
      <c r="AQ268" s="865">
        <v>0.54874999999999996</v>
      </c>
      <c r="AR268" s="865">
        <v>0.56874999999999998</v>
      </c>
      <c r="AS268" s="865">
        <v>0.62749999999999995</v>
      </c>
      <c r="AT268" s="865">
        <v>0.73031000000000001</v>
      </c>
      <c r="AU268" s="865">
        <v>0.81516</v>
      </c>
      <c r="AV268" s="865">
        <v>0.91203000000000001</v>
      </c>
      <c r="AW268" s="865">
        <v>1.01827</v>
      </c>
      <c r="AX268" s="865">
        <v>1.4581299999999999</v>
      </c>
      <c r="AZ268" s="861">
        <v>40368</v>
      </c>
      <c r="BA268" s="865">
        <v>2.75</v>
      </c>
      <c r="BB268" s="865">
        <v>2.94</v>
      </c>
      <c r="BC268" s="865">
        <v>3.02</v>
      </c>
      <c r="BD268" s="865">
        <v>3.1977799999999998</v>
      </c>
      <c r="BE268" s="865">
        <v>3.23</v>
      </c>
      <c r="BF268" s="865">
        <v>3.3</v>
      </c>
      <c r="BG268" s="865">
        <v>3.42</v>
      </c>
      <c r="BH268" s="865">
        <v>3.42</v>
      </c>
    </row>
    <row r="269" spans="12:60">
      <c r="L269" s="861">
        <v>40359</v>
      </c>
      <c r="M269" s="865">
        <v>4.5</v>
      </c>
      <c r="N269" s="865">
        <v>4.75</v>
      </c>
      <c r="O269" s="865">
        <v>4.8417000000000003</v>
      </c>
      <c r="P269" s="865">
        <v>4.92</v>
      </c>
      <c r="Q269" s="865">
        <v>4.96</v>
      </c>
      <c r="R269" s="865">
        <v>4.9800000000000004</v>
      </c>
      <c r="S269" s="865">
        <v>5</v>
      </c>
      <c r="T269" s="865">
        <v>4.9200999999999997</v>
      </c>
      <c r="V269" s="861">
        <v>40358</v>
      </c>
      <c r="W269" s="865">
        <v>0.29375000000000001</v>
      </c>
      <c r="X269" s="865">
        <v>0.34562999999999999</v>
      </c>
      <c r="Y269" s="865">
        <v>0.43125000000000002</v>
      </c>
      <c r="Z269" s="865">
        <v>0.53300000000000003</v>
      </c>
      <c r="AA269" s="865">
        <v>0.60224999999999995</v>
      </c>
      <c r="AB269" s="865">
        <v>0.67137999999999998</v>
      </c>
      <c r="AC269" s="865">
        <v>0.75068999999999997</v>
      </c>
      <c r="AD269" s="865">
        <v>1.17438</v>
      </c>
      <c r="AF269" s="861">
        <v>40367</v>
      </c>
      <c r="AG269" s="865">
        <v>0.31125000000000003</v>
      </c>
      <c r="AH269" s="865">
        <v>0.48937999999999998</v>
      </c>
      <c r="AI269" s="865">
        <v>0.58438000000000001</v>
      </c>
      <c r="AJ269" s="865">
        <v>0.75249999999999995</v>
      </c>
      <c r="AK269" s="865">
        <v>0.83062999999999998</v>
      </c>
      <c r="AL269" s="865">
        <v>0.92749999999999999</v>
      </c>
      <c r="AM269" s="865">
        <v>1.0362499999999999</v>
      </c>
      <c r="AN269" s="865">
        <v>1.3171299999999999</v>
      </c>
      <c r="AP269" s="861">
        <v>40358</v>
      </c>
      <c r="AQ269" s="865">
        <v>0.54874999999999996</v>
      </c>
      <c r="AR269" s="865">
        <v>0.56874999999999998</v>
      </c>
      <c r="AS269" s="865">
        <v>0.62749999999999995</v>
      </c>
      <c r="AT269" s="865">
        <v>0.73046999999999995</v>
      </c>
      <c r="AU269" s="865">
        <v>0.81530999999999998</v>
      </c>
      <c r="AV269" s="865">
        <v>0.91218999999999995</v>
      </c>
      <c r="AW269" s="865">
        <v>1.0182800000000001</v>
      </c>
      <c r="AX269" s="865">
        <v>1.4581299999999999</v>
      </c>
      <c r="AZ269" s="861">
        <v>40367</v>
      </c>
      <c r="BA269" s="865">
        <v>2.75</v>
      </c>
      <c r="BB269" s="865">
        <v>2.94</v>
      </c>
      <c r="BC269" s="865">
        <v>3.02</v>
      </c>
      <c r="BD269" s="865">
        <v>3.2111100000000001</v>
      </c>
      <c r="BE269" s="865">
        <v>3.2311100000000001</v>
      </c>
      <c r="BF269" s="865">
        <v>3.3</v>
      </c>
      <c r="BG269" s="865">
        <v>3.46</v>
      </c>
      <c r="BH269" s="865">
        <v>3.46</v>
      </c>
    </row>
    <row r="270" spans="12:60">
      <c r="L270" s="861">
        <v>40358</v>
      </c>
      <c r="M270" s="865">
        <v>4.5</v>
      </c>
      <c r="N270" s="865">
        <v>4.7267000000000001</v>
      </c>
      <c r="O270" s="865">
        <v>4.8367000000000004</v>
      </c>
      <c r="P270" s="865">
        <v>4.9817</v>
      </c>
      <c r="Q270" s="865">
        <v>5.0033000000000003</v>
      </c>
      <c r="R270" s="865">
        <v>5.0316999999999998</v>
      </c>
      <c r="S270" s="865">
        <v>5.0650000000000004</v>
      </c>
      <c r="T270" s="865">
        <v>5.0430000000000001</v>
      </c>
      <c r="V270" s="861">
        <v>40357</v>
      </c>
      <c r="W270" s="865">
        <v>0.29313</v>
      </c>
      <c r="X270" s="865">
        <v>0.34719</v>
      </c>
      <c r="Y270" s="865">
        <v>0.43063000000000001</v>
      </c>
      <c r="Z270" s="865">
        <v>0.53344000000000003</v>
      </c>
      <c r="AA270" s="865">
        <v>0.60250000000000004</v>
      </c>
      <c r="AB270" s="865">
        <v>0.66913</v>
      </c>
      <c r="AC270" s="865">
        <v>0.74719000000000002</v>
      </c>
      <c r="AD270" s="865">
        <v>1.17563</v>
      </c>
      <c r="AF270" s="861">
        <v>40366</v>
      </c>
      <c r="AG270" s="865">
        <v>0.31624999999999998</v>
      </c>
      <c r="AH270" s="865">
        <v>0.47688000000000003</v>
      </c>
      <c r="AI270" s="865">
        <v>0.57813000000000003</v>
      </c>
      <c r="AJ270" s="865">
        <v>0.74187999999999998</v>
      </c>
      <c r="AK270" s="865">
        <v>0.82750000000000001</v>
      </c>
      <c r="AL270" s="865">
        <v>0.92500000000000004</v>
      </c>
      <c r="AM270" s="865">
        <v>1.03688</v>
      </c>
      <c r="AN270" s="865">
        <v>1.32063</v>
      </c>
      <c r="AP270" s="861">
        <v>40357</v>
      </c>
      <c r="AQ270" s="865">
        <v>0.54874999999999996</v>
      </c>
      <c r="AR270" s="865">
        <v>0.56874999999999998</v>
      </c>
      <c r="AS270" s="865">
        <v>0.62749999999999995</v>
      </c>
      <c r="AT270" s="865">
        <v>0.73031000000000001</v>
      </c>
      <c r="AU270" s="865">
        <v>0.81452999999999998</v>
      </c>
      <c r="AV270" s="865">
        <v>0.91203000000000001</v>
      </c>
      <c r="AW270" s="865">
        <v>1.0175000000000001</v>
      </c>
      <c r="AX270" s="865">
        <v>1.4575</v>
      </c>
      <c r="AZ270" s="861">
        <v>40366</v>
      </c>
      <c r="BA270" s="865">
        <v>2.75</v>
      </c>
      <c r="BB270" s="865">
        <v>2.96</v>
      </c>
      <c r="BC270" s="865">
        <v>3.02</v>
      </c>
      <c r="BD270" s="865">
        <v>3.1255600000000001</v>
      </c>
      <c r="BE270" s="865">
        <v>3.23</v>
      </c>
      <c r="BF270" s="865">
        <v>3.3033299999999999</v>
      </c>
      <c r="BG270" s="865">
        <v>3.46</v>
      </c>
      <c r="BH270" s="865">
        <v>3.46</v>
      </c>
    </row>
    <row r="271" spans="12:60">
      <c r="L271" s="861">
        <v>40357</v>
      </c>
      <c r="M271" s="865">
        <v>4.5</v>
      </c>
      <c r="N271" s="865">
        <v>4.71</v>
      </c>
      <c r="O271" s="865">
        <v>4.835</v>
      </c>
      <c r="P271" s="865">
        <v>4.9683000000000002</v>
      </c>
      <c r="Q271" s="865">
        <v>4.9983000000000004</v>
      </c>
      <c r="R271" s="865">
        <v>5.0433000000000003</v>
      </c>
      <c r="S271" s="865">
        <v>5.0999999999999996</v>
      </c>
      <c r="T271" s="865">
        <v>5.0749000000000004</v>
      </c>
      <c r="V271" s="861">
        <v>40354</v>
      </c>
      <c r="W271" s="865">
        <v>0.29563</v>
      </c>
      <c r="X271" s="865">
        <v>0.34719</v>
      </c>
      <c r="Y271" s="865">
        <v>0.43063000000000001</v>
      </c>
      <c r="Z271" s="865">
        <v>0.53469</v>
      </c>
      <c r="AA271" s="865">
        <v>0.60431000000000001</v>
      </c>
      <c r="AB271" s="865">
        <v>0.67249999999999999</v>
      </c>
      <c r="AC271" s="865">
        <v>0.75319000000000003</v>
      </c>
      <c r="AD271" s="865">
        <v>1.18313</v>
      </c>
      <c r="AF271" s="861">
        <v>40365</v>
      </c>
      <c r="AG271" s="865">
        <v>0.315</v>
      </c>
      <c r="AH271" s="865">
        <v>0.47</v>
      </c>
      <c r="AI271" s="865">
        <v>0.57125000000000004</v>
      </c>
      <c r="AJ271" s="865">
        <v>0.74</v>
      </c>
      <c r="AK271" s="865">
        <v>0.82750000000000001</v>
      </c>
      <c r="AL271" s="865">
        <v>0.92749999999999999</v>
      </c>
      <c r="AM271" s="865">
        <v>1.0287500000000001</v>
      </c>
      <c r="AN271" s="865">
        <v>1.31813</v>
      </c>
      <c r="AP271" s="861">
        <v>40354</v>
      </c>
      <c r="AQ271" s="865">
        <v>0.54874999999999996</v>
      </c>
      <c r="AR271" s="865">
        <v>0.56874999999999998</v>
      </c>
      <c r="AS271" s="865">
        <v>0.62749999999999995</v>
      </c>
      <c r="AT271" s="865">
        <v>0.73031000000000001</v>
      </c>
      <c r="AU271" s="865">
        <v>0.81452999999999998</v>
      </c>
      <c r="AV271" s="865">
        <v>0.91203000000000001</v>
      </c>
      <c r="AW271" s="865">
        <v>1.01766</v>
      </c>
      <c r="AX271" s="865">
        <v>1.45703</v>
      </c>
      <c r="AZ271" s="861">
        <v>40365</v>
      </c>
      <c r="BA271" s="865">
        <v>2.75</v>
      </c>
      <c r="BB271" s="865">
        <v>2.96</v>
      </c>
      <c r="BC271" s="865">
        <v>3.02</v>
      </c>
      <c r="BD271" s="865">
        <v>3.1414300000000002</v>
      </c>
      <c r="BE271" s="865">
        <v>3.23</v>
      </c>
      <c r="BF271" s="865">
        <v>3.3</v>
      </c>
      <c r="BG271" s="865">
        <v>3.4</v>
      </c>
      <c r="BH271" s="865">
        <v>3.4</v>
      </c>
    </row>
    <row r="272" spans="12:60">
      <c r="L272" s="861">
        <v>40354</v>
      </c>
      <c r="M272" s="865">
        <v>4.5</v>
      </c>
      <c r="N272" s="865">
        <v>4.7149999999999999</v>
      </c>
      <c r="O272" s="865">
        <v>4.82</v>
      </c>
      <c r="P272" s="865">
        <v>4.9566999999999997</v>
      </c>
      <c r="Q272" s="865">
        <v>4.99</v>
      </c>
      <c r="R272" s="865">
        <v>5.0433000000000003</v>
      </c>
      <c r="S272" s="865">
        <v>5.1050000000000004</v>
      </c>
      <c r="T272" s="865">
        <v>5.0952999999999999</v>
      </c>
      <c r="V272" s="861">
        <v>40353</v>
      </c>
      <c r="W272" s="865">
        <v>0.29563</v>
      </c>
      <c r="X272" s="865">
        <v>0.34719</v>
      </c>
      <c r="Y272" s="865">
        <v>0.43187999999999999</v>
      </c>
      <c r="Z272" s="865">
        <v>0.53718999999999995</v>
      </c>
      <c r="AA272" s="865">
        <v>0.60431000000000001</v>
      </c>
      <c r="AB272" s="865">
        <v>0.67125000000000001</v>
      </c>
      <c r="AC272" s="865">
        <v>0.75194000000000005</v>
      </c>
      <c r="AD272" s="865">
        <v>1.1793800000000001</v>
      </c>
      <c r="AF272" s="861">
        <v>40364</v>
      </c>
      <c r="AG272" s="865">
        <v>0.315</v>
      </c>
      <c r="AH272" s="865">
        <v>0.46812999999999999</v>
      </c>
      <c r="AI272" s="865">
        <v>0.57062999999999997</v>
      </c>
      <c r="AJ272" s="865">
        <v>0.73063</v>
      </c>
      <c r="AK272" s="865">
        <v>0.82062999999999997</v>
      </c>
      <c r="AL272" s="865">
        <v>0.92313000000000001</v>
      </c>
      <c r="AM272" s="865">
        <v>1.0231300000000001</v>
      </c>
      <c r="AN272" s="865">
        <v>1.30938</v>
      </c>
      <c r="AP272" s="861">
        <v>40353</v>
      </c>
      <c r="AQ272" s="865">
        <v>0.54874999999999996</v>
      </c>
      <c r="AR272" s="865">
        <v>0.56874999999999998</v>
      </c>
      <c r="AS272" s="865">
        <v>0.62749999999999995</v>
      </c>
      <c r="AT272" s="865">
        <v>0.73031000000000001</v>
      </c>
      <c r="AU272" s="865">
        <v>0.81452999999999998</v>
      </c>
      <c r="AV272" s="865">
        <v>0.91266000000000003</v>
      </c>
      <c r="AW272" s="865">
        <v>1.01766</v>
      </c>
      <c r="AX272" s="865">
        <v>1.45703</v>
      </c>
      <c r="AZ272" s="861">
        <v>40364</v>
      </c>
      <c r="BA272" s="865">
        <v>2.75</v>
      </c>
      <c r="BB272" s="865">
        <v>2.96</v>
      </c>
      <c r="BC272" s="865">
        <v>3.02</v>
      </c>
      <c r="BD272" s="865">
        <v>3.1555599999999999</v>
      </c>
      <c r="BE272" s="865">
        <v>3.23</v>
      </c>
      <c r="BF272" s="865">
        <v>3.3</v>
      </c>
      <c r="BG272" s="865">
        <v>3.4</v>
      </c>
      <c r="BH272" s="865">
        <v>3.4</v>
      </c>
    </row>
    <row r="273" spans="12:60">
      <c r="L273" s="861">
        <v>40353</v>
      </c>
      <c r="M273" s="865">
        <v>4.5</v>
      </c>
      <c r="N273" s="865">
        <v>4.71</v>
      </c>
      <c r="O273" s="865">
        <v>4.8182999999999998</v>
      </c>
      <c r="P273" s="865">
        <v>4.96</v>
      </c>
      <c r="Q273" s="865">
        <v>4.9882999999999997</v>
      </c>
      <c r="R273" s="865">
        <v>5.03</v>
      </c>
      <c r="S273" s="865">
        <v>5.0766999999999998</v>
      </c>
      <c r="T273" s="865">
        <v>5.0890000000000004</v>
      </c>
      <c r="V273" s="861">
        <v>40352</v>
      </c>
      <c r="W273" s="865">
        <v>0.29813000000000001</v>
      </c>
      <c r="X273" s="865">
        <v>0.34719</v>
      </c>
      <c r="Y273" s="865">
        <v>0.43280999999999997</v>
      </c>
      <c r="Z273" s="865">
        <v>0.53825000000000001</v>
      </c>
      <c r="AA273" s="865">
        <v>0.60538000000000003</v>
      </c>
      <c r="AB273" s="865">
        <v>0.67105999999999999</v>
      </c>
      <c r="AC273" s="865">
        <v>0.74868999999999997</v>
      </c>
      <c r="AD273" s="865">
        <v>1.17875</v>
      </c>
      <c r="AF273" s="861">
        <v>40361</v>
      </c>
      <c r="AG273" s="865">
        <v>0.33250000000000002</v>
      </c>
      <c r="AH273" s="865">
        <v>0.46500000000000002</v>
      </c>
      <c r="AI273" s="865">
        <v>0.56688000000000005</v>
      </c>
      <c r="AJ273" s="865">
        <v>0.72687999999999997</v>
      </c>
      <c r="AK273" s="865">
        <v>0.81688000000000005</v>
      </c>
      <c r="AL273" s="865">
        <v>0.91313</v>
      </c>
      <c r="AM273" s="865">
        <v>1.01938</v>
      </c>
      <c r="AN273" s="865">
        <v>1.30688</v>
      </c>
      <c r="AP273" s="861">
        <v>40352</v>
      </c>
      <c r="AQ273" s="865">
        <v>0.54874999999999996</v>
      </c>
      <c r="AR273" s="865">
        <v>0.56874999999999998</v>
      </c>
      <c r="AS273" s="865">
        <v>0.62749999999999995</v>
      </c>
      <c r="AT273" s="865">
        <v>0.73031000000000001</v>
      </c>
      <c r="AU273" s="865">
        <v>0.81452999999999998</v>
      </c>
      <c r="AV273" s="865">
        <v>0.91266000000000003</v>
      </c>
      <c r="AW273" s="865">
        <v>1.01766</v>
      </c>
      <c r="AX273" s="865">
        <v>1.45703</v>
      </c>
      <c r="AZ273" s="861">
        <v>40361</v>
      </c>
      <c r="BA273" s="865">
        <v>2.75</v>
      </c>
      <c r="BB273" s="865">
        <v>2.96</v>
      </c>
      <c r="BC273" s="865">
        <v>3.02</v>
      </c>
      <c r="BD273" s="865">
        <v>3.18</v>
      </c>
      <c r="BE273" s="865">
        <v>3.23</v>
      </c>
      <c r="BF273" s="865">
        <v>3.3</v>
      </c>
      <c r="BG273" s="865">
        <v>3.4</v>
      </c>
      <c r="BH273" s="865">
        <v>3.4</v>
      </c>
    </row>
    <row r="274" spans="12:60">
      <c r="L274" s="861">
        <v>40352</v>
      </c>
      <c r="M274" s="865">
        <v>4.5</v>
      </c>
      <c r="N274" s="865">
        <v>4.72</v>
      </c>
      <c r="O274" s="865">
        <v>4.8067000000000002</v>
      </c>
      <c r="P274" s="865">
        <v>4.9417</v>
      </c>
      <c r="Q274" s="865">
        <v>4.9733000000000001</v>
      </c>
      <c r="R274" s="865">
        <v>5.0250000000000004</v>
      </c>
      <c r="S274" s="865">
        <v>5.09</v>
      </c>
      <c r="T274" s="865">
        <v>5.0906000000000002</v>
      </c>
      <c r="V274" s="861">
        <v>40351</v>
      </c>
      <c r="W274" s="865">
        <v>0.29813000000000001</v>
      </c>
      <c r="X274" s="865">
        <v>0.34719</v>
      </c>
      <c r="Y274" s="865">
        <v>0.43280999999999997</v>
      </c>
      <c r="Z274" s="865">
        <v>0.53825000000000001</v>
      </c>
      <c r="AA274" s="865">
        <v>0.60506000000000004</v>
      </c>
      <c r="AB274" s="865">
        <v>0.66949999999999998</v>
      </c>
      <c r="AC274" s="865">
        <v>0.747</v>
      </c>
      <c r="AD274" s="865">
        <v>1.175</v>
      </c>
      <c r="AF274" s="861">
        <v>40360</v>
      </c>
      <c r="AG274" s="865">
        <v>0.35625000000000001</v>
      </c>
      <c r="AH274" s="865">
        <v>0.46124999999999999</v>
      </c>
      <c r="AI274" s="865">
        <v>0.55500000000000005</v>
      </c>
      <c r="AJ274" s="865">
        <v>0.71750000000000003</v>
      </c>
      <c r="AK274" s="865">
        <v>0.8075</v>
      </c>
      <c r="AL274" s="865">
        <v>0.90749999999999997</v>
      </c>
      <c r="AM274" s="865">
        <v>1.0125</v>
      </c>
      <c r="AN274" s="865">
        <v>1.2949999999999999</v>
      </c>
      <c r="AP274" s="861">
        <v>40351</v>
      </c>
      <c r="AQ274" s="865">
        <v>0.54874999999999996</v>
      </c>
      <c r="AR274" s="865">
        <v>0.56874999999999998</v>
      </c>
      <c r="AS274" s="865">
        <v>0.62749999999999995</v>
      </c>
      <c r="AT274" s="865">
        <v>0.73016000000000003</v>
      </c>
      <c r="AU274" s="865">
        <v>0.81437999999999999</v>
      </c>
      <c r="AV274" s="865">
        <v>0.91313</v>
      </c>
      <c r="AW274" s="865">
        <v>1.01813</v>
      </c>
      <c r="AX274" s="865">
        <v>1.4575</v>
      </c>
      <c r="AZ274" s="861">
        <v>40360</v>
      </c>
      <c r="BA274" s="865">
        <v>2.75</v>
      </c>
      <c r="BB274" s="865">
        <v>2.94</v>
      </c>
      <c r="BC274" s="865">
        <v>3.04</v>
      </c>
      <c r="BD274" s="865">
        <v>3.2277800000000001</v>
      </c>
      <c r="BE274" s="865">
        <v>3.2322199999999999</v>
      </c>
      <c r="BF274" s="865">
        <v>3.3</v>
      </c>
      <c r="BG274" s="865">
        <v>3.4</v>
      </c>
      <c r="BH274" s="865">
        <v>3.4</v>
      </c>
    </row>
    <row r="275" spans="12:60">
      <c r="L275" s="861">
        <v>40351</v>
      </c>
      <c r="M275" s="865">
        <v>4.5</v>
      </c>
      <c r="N275" s="865">
        <v>4.7083000000000004</v>
      </c>
      <c r="O275" s="865">
        <v>4.8033000000000001</v>
      </c>
      <c r="P275" s="865">
        <v>4.9000000000000004</v>
      </c>
      <c r="Q275" s="865">
        <v>4.96</v>
      </c>
      <c r="R275" s="865">
        <v>5.0083000000000002</v>
      </c>
      <c r="S275" s="865">
        <v>5.0883000000000003</v>
      </c>
      <c r="T275" s="865">
        <v>5.1153000000000004</v>
      </c>
      <c r="V275" s="861">
        <v>40350</v>
      </c>
      <c r="W275" s="865">
        <v>0.29813000000000001</v>
      </c>
      <c r="X275" s="865">
        <v>0.34719</v>
      </c>
      <c r="Y275" s="865">
        <v>0.43280999999999997</v>
      </c>
      <c r="Z275" s="865">
        <v>0.53837999999999997</v>
      </c>
      <c r="AA275" s="865">
        <v>0.60519000000000001</v>
      </c>
      <c r="AB275" s="865">
        <v>0.67100000000000004</v>
      </c>
      <c r="AC275" s="865">
        <v>0.74956</v>
      </c>
      <c r="AD275" s="865">
        <v>1.1837500000000001</v>
      </c>
      <c r="AF275" s="861">
        <v>40359</v>
      </c>
      <c r="AG275" s="865">
        <v>0.35625000000000001</v>
      </c>
      <c r="AH275" s="865">
        <v>0.45124999999999998</v>
      </c>
      <c r="AI275" s="865">
        <v>0.54749999999999999</v>
      </c>
      <c r="AJ275" s="865">
        <v>0.70625000000000004</v>
      </c>
      <c r="AK275" s="865">
        <v>0.79500000000000004</v>
      </c>
      <c r="AL275" s="865">
        <v>0.89375000000000004</v>
      </c>
      <c r="AM275" s="865">
        <v>1.00125</v>
      </c>
      <c r="AN275" s="865">
        <v>1.2887500000000001</v>
      </c>
      <c r="AP275" s="861">
        <v>40350</v>
      </c>
      <c r="AQ275" s="865">
        <v>0.54874999999999996</v>
      </c>
      <c r="AR275" s="865">
        <v>0.56874999999999998</v>
      </c>
      <c r="AS275" s="865">
        <v>0.62749999999999995</v>
      </c>
      <c r="AT275" s="865">
        <v>0.73141</v>
      </c>
      <c r="AU275" s="865">
        <v>0.81437999999999999</v>
      </c>
      <c r="AV275" s="865">
        <v>0.91313</v>
      </c>
      <c r="AW275" s="865">
        <v>1.01813</v>
      </c>
      <c r="AX275" s="865">
        <v>1.4581299999999999</v>
      </c>
      <c r="AZ275" s="861">
        <v>40359</v>
      </c>
      <c r="BA275" s="865">
        <v>2.75</v>
      </c>
      <c r="BB275" s="865">
        <v>2.89</v>
      </c>
      <c r="BC275" s="865">
        <v>3</v>
      </c>
      <c r="BD275" s="865">
        <v>3.13</v>
      </c>
      <c r="BE275" s="865">
        <v>3.19</v>
      </c>
      <c r="BF275" s="865">
        <v>3.27</v>
      </c>
      <c r="BG275" s="865">
        <v>3.37</v>
      </c>
      <c r="BH275" s="865">
        <v>3.37</v>
      </c>
    </row>
    <row r="276" spans="12:60">
      <c r="L276" s="861">
        <v>40350</v>
      </c>
      <c r="M276" s="865">
        <v>4.5</v>
      </c>
      <c r="N276" s="865">
        <v>4.74</v>
      </c>
      <c r="O276" s="865">
        <v>4.8232999999999997</v>
      </c>
      <c r="P276" s="865">
        <v>4.9000000000000004</v>
      </c>
      <c r="Q276" s="865">
        <v>4.9516999999999998</v>
      </c>
      <c r="R276" s="865">
        <v>4.99</v>
      </c>
      <c r="S276" s="865">
        <v>5.0416999999999996</v>
      </c>
      <c r="T276" s="865">
        <v>5.1212</v>
      </c>
      <c r="V276" s="861">
        <v>40347</v>
      </c>
      <c r="W276" s="865">
        <v>0.29587999999999998</v>
      </c>
      <c r="X276" s="865">
        <v>0.34733999999999998</v>
      </c>
      <c r="Y276" s="865">
        <v>0.4325</v>
      </c>
      <c r="Z276" s="865">
        <v>0.53818999999999995</v>
      </c>
      <c r="AA276" s="865">
        <v>0.60531000000000001</v>
      </c>
      <c r="AB276" s="865">
        <v>0.66862999999999995</v>
      </c>
      <c r="AC276" s="865">
        <v>0.75063000000000002</v>
      </c>
      <c r="AD276" s="865">
        <v>1.18313</v>
      </c>
      <c r="AF276" s="861">
        <v>40358</v>
      </c>
      <c r="AG276" s="865">
        <v>0.27500000000000002</v>
      </c>
      <c r="AH276" s="865">
        <v>0.43313000000000001</v>
      </c>
      <c r="AI276" s="865">
        <v>0.53125</v>
      </c>
      <c r="AJ276" s="865">
        <v>0.68813000000000002</v>
      </c>
      <c r="AK276" s="865">
        <v>0.78063000000000005</v>
      </c>
      <c r="AL276" s="865">
        <v>0.87938000000000005</v>
      </c>
      <c r="AM276" s="865">
        <v>0.98938000000000004</v>
      </c>
      <c r="AN276" s="865">
        <v>1.2775000000000001</v>
      </c>
      <c r="AP276" s="861">
        <v>40347</v>
      </c>
      <c r="AQ276" s="865">
        <v>0.54874999999999996</v>
      </c>
      <c r="AR276" s="865">
        <v>0.56874999999999998</v>
      </c>
      <c r="AS276" s="865">
        <v>0.62749999999999995</v>
      </c>
      <c r="AT276" s="865">
        <v>0.73155999999999999</v>
      </c>
      <c r="AU276" s="865">
        <v>0.81313000000000002</v>
      </c>
      <c r="AV276" s="865">
        <v>0.91313</v>
      </c>
      <c r="AW276" s="865">
        <v>1.01813</v>
      </c>
      <c r="AX276" s="865">
        <v>1.4581299999999999</v>
      </c>
      <c r="AZ276" s="861">
        <v>40358</v>
      </c>
      <c r="BA276" s="865">
        <v>2.75</v>
      </c>
      <c r="BB276" s="865">
        <v>2.89</v>
      </c>
      <c r="BC276" s="865">
        <v>3</v>
      </c>
      <c r="BD276" s="865">
        <v>3.0866699999999998</v>
      </c>
      <c r="BE276" s="865">
        <v>3.19</v>
      </c>
      <c r="BF276" s="865">
        <v>3.27</v>
      </c>
      <c r="BG276" s="865">
        <v>3.37</v>
      </c>
      <c r="BH276" s="865">
        <v>3.37</v>
      </c>
    </row>
    <row r="277" spans="12:60">
      <c r="L277" s="861">
        <v>40347</v>
      </c>
      <c r="M277" s="865">
        <v>4.5</v>
      </c>
      <c r="N277" s="865">
        <v>4.7117000000000004</v>
      </c>
      <c r="O277" s="865">
        <v>4.8049999999999997</v>
      </c>
      <c r="P277" s="865">
        <v>4.92</v>
      </c>
      <c r="Q277" s="865">
        <v>4.9466999999999999</v>
      </c>
      <c r="R277" s="865">
        <v>4.9749999999999996</v>
      </c>
      <c r="S277" s="865">
        <v>5.0117000000000003</v>
      </c>
      <c r="T277" s="865">
        <v>5.0556000000000001</v>
      </c>
      <c r="V277" s="861">
        <v>40346</v>
      </c>
      <c r="W277" s="865">
        <v>0.29525000000000001</v>
      </c>
      <c r="X277" s="865">
        <v>0.34749999999999998</v>
      </c>
      <c r="Y277" s="865">
        <v>0.43343999999999999</v>
      </c>
      <c r="Z277" s="865">
        <v>0.53925000000000001</v>
      </c>
      <c r="AA277" s="865">
        <v>0.60668999999999995</v>
      </c>
      <c r="AB277" s="865">
        <v>0.67105999999999999</v>
      </c>
      <c r="AC277" s="865">
        <v>0.75475000000000003</v>
      </c>
      <c r="AD277" s="865">
        <v>1.19</v>
      </c>
      <c r="AF277" s="861">
        <v>40357</v>
      </c>
      <c r="AG277" s="865">
        <v>0.27374999999999999</v>
      </c>
      <c r="AH277" s="865">
        <v>0.42749999999999999</v>
      </c>
      <c r="AI277" s="865">
        <v>0.52749999999999997</v>
      </c>
      <c r="AJ277" s="865">
        <v>0.67874999999999996</v>
      </c>
      <c r="AK277" s="865">
        <v>0.77500000000000002</v>
      </c>
      <c r="AL277" s="865">
        <v>0.87250000000000005</v>
      </c>
      <c r="AM277" s="865">
        <v>0.98375000000000001</v>
      </c>
      <c r="AN277" s="865">
        <v>1.2737499999999999</v>
      </c>
      <c r="AP277" s="861">
        <v>40346</v>
      </c>
      <c r="AQ277" s="865">
        <v>0.54874999999999996</v>
      </c>
      <c r="AR277" s="865">
        <v>0.56874999999999998</v>
      </c>
      <c r="AS277" s="865">
        <v>0.62749999999999995</v>
      </c>
      <c r="AT277" s="865">
        <v>0.73155999999999999</v>
      </c>
      <c r="AU277" s="865">
        <v>0.81313000000000002</v>
      </c>
      <c r="AV277" s="865">
        <v>0.91188000000000002</v>
      </c>
      <c r="AW277" s="865">
        <v>1.01688</v>
      </c>
      <c r="AX277" s="865">
        <v>1.4565600000000001</v>
      </c>
      <c r="AZ277" s="861">
        <v>40357</v>
      </c>
      <c r="BA277" s="865">
        <v>2.75</v>
      </c>
      <c r="BB277" s="865">
        <v>2.8866700000000001</v>
      </c>
      <c r="BC277" s="865">
        <v>3</v>
      </c>
      <c r="BD277" s="865">
        <v>3.1333299999999999</v>
      </c>
      <c r="BE277" s="865">
        <v>3.19</v>
      </c>
      <c r="BF277" s="865">
        <v>3.27</v>
      </c>
      <c r="BG277" s="865">
        <v>3.3622200000000002</v>
      </c>
      <c r="BH277" s="865">
        <v>3.3622200000000002</v>
      </c>
    </row>
    <row r="278" spans="12:60">
      <c r="L278" s="861">
        <v>40346</v>
      </c>
      <c r="M278" s="865">
        <v>4.5</v>
      </c>
      <c r="N278" s="865">
        <v>4.7</v>
      </c>
      <c r="O278" s="865">
        <v>4.8</v>
      </c>
      <c r="P278" s="865">
        <v>4.8650000000000002</v>
      </c>
      <c r="Q278" s="865">
        <v>4.91</v>
      </c>
      <c r="R278" s="865">
        <v>4.95</v>
      </c>
      <c r="S278" s="865">
        <v>5</v>
      </c>
      <c r="T278" s="865">
        <v>5.0362</v>
      </c>
      <c r="V278" s="861">
        <v>40345</v>
      </c>
      <c r="W278" s="865">
        <v>0.29649999999999999</v>
      </c>
      <c r="X278" s="865">
        <v>0.34844000000000003</v>
      </c>
      <c r="Y278" s="865">
        <v>0.43313000000000001</v>
      </c>
      <c r="Z278" s="865">
        <v>0.53893999999999997</v>
      </c>
      <c r="AA278" s="865">
        <v>0.60653000000000001</v>
      </c>
      <c r="AB278" s="865">
        <v>0.67088000000000003</v>
      </c>
      <c r="AC278" s="865">
        <v>0.75456000000000001</v>
      </c>
      <c r="AD278" s="865">
        <v>1.18875</v>
      </c>
      <c r="AF278" s="861">
        <v>40354</v>
      </c>
      <c r="AG278" s="865">
        <v>0.27374999999999999</v>
      </c>
      <c r="AH278" s="865">
        <v>0.42</v>
      </c>
      <c r="AI278" s="865">
        <v>0.51749999999999996</v>
      </c>
      <c r="AJ278" s="865">
        <v>0.67374999999999996</v>
      </c>
      <c r="AK278" s="865">
        <v>0.76937999999999995</v>
      </c>
      <c r="AL278" s="865">
        <v>0.86563000000000001</v>
      </c>
      <c r="AM278" s="865">
        <v>0.97499999999999998</v>
      </c>
      <c r="AN278" s="865">
        <v>1.27</v>
      </c>
      <c r="AP278" s="861">
        <v>40345</v>
      </c>
      <c r="AQ278" s="865">
        <v>0.54874999999999996</v>
      </c>
      <c r="AR278" s="865">
        <v>0.56874999999999998</v>
      </c>
      <c r="AS278" s="865">
        <v>0.62624999999999997</v>
      </c>
      <c r="AT278" s="865">
        <v>0.73031000000000001</v>
      </c>
      <c r="AU278" s="865">
        <v>0.81062999999999996</v>
      </c>
      <c r="AV278" s="865">
        <v>0.90749999999999997</v>
      </c>
      <c r="AW278" s="865">
        <v>1.0131300000000001</v>
      </c>
      <c r="AX278" s="865">
        <v>1.45438</v>
      </c>
      <c r="AZ278" s="861">
        <v>40354</v>
      </c>
      <c r="BA278" s="865">
        <v>2.75</v>
      </c>
      <c r="BB278" s="865">
        <v>2.9</v>
      </c>
      <c r="BC278" s="865">
        <v>3</v>
      </c>
      <c r="BD278" s="865">
        <v>3.0811099999999998</v>
      </c>
      <c r="BE278" s="865">
        <v>3.1855600000000002</v>
      </c>
      <c r="BF278" s="865">
        <v>3.27</v>
      </c>
      <c r="BG278" s="865">
        <v>3.37</v>
      </c>
      <c r="BH278" s="865">
        <v>3.37</v>
      </c>
    </row>
    <row r="279" spans="12:60">
      <c r="L279" s="861">
        <v>40345</v>
      </c>
      <c r="M279" s="865">
        <v>4.5</v>
      </c>
      <c r="N279" s="865">
        <v>4.7050000000000001</v>
      </c>
      <c r="O279" s="865">
        <v>4.7882999999999996</v>
      </c>
      <c r="P279" s="865">
        <v>4.88</v>
      </c>
      <c r="Q279" s="865">
        <v>4.9183000000000003</v>
      </c>
      <c r="R279" s="865">
        <v>4.9550000000000001</v>
      </c>
      <c r="S279" s="865">
        <v>5.0067000000000004</v>
      </c>
      <c r="T279" s="865">
        <v>5.0419</v>
      </c>
      <c r="V279" s="861">
        <v>40344</v>
      </c>
      <c r="W279" s="865">
        <v>0.29649999999999999</v>
      </c>
      <c r="X279" s="865">
        <v>0.34969</v>
      </c>
      <c r="Y279" s="865">
        <v>0.43313000000000001</v>
      </c>
      <c r="Z279" s="865">
        <v>0.53893999999999997</v>
      </c>
      <c r="AA279" s="865">
        <v>0.60653000000000001</v>
      </c>
      <c r="AB279" s="865">
        <v>0.67100000000000004</v>
      </c>
      <c r="AC279" s="865">
        <v>0.75480999999999998</v>
      </c>
      <c r="AD279" s="865">
        <v>1.19156</v>
      </c>
      <c r="AF279" s="861">
        <v>40353</v>
      </c>
      <c r="AG279" s="865">
        <v>0.27374999999999999</v>
      </c>
      <c r="AH279" s="865">
        <v>0.41438000000000003</v>
      </c>
      <c r="AI279" s="865">
        <v>0.51188</v>
      </c>
      <c r="AJ279" s="865">
        <v>0.66937999999999998</v>
      </c>
      <c r="AK279" s="865">
        <v>0.76624999999999999</v>
      </c>
      <c r="AL279" s="865">
        <v>0.86124999999999996</v>
      </c>
      <c r="AM279" s="865">
        <v>0.97062999999999999</v>
      </c>
      <c r="AN279" s="865">
        <v>1.26875</v>
      </c>
      <c r="AP279" s="861">
        <v>40344</v>
      </c>
      <c r="AQ279" s="865">
        <v>0.54874999999999996</v>
      </c>
      <c r="AR279" s="865">
        <v>0.56906000000000001</v>
      </c>
      <c r="AS279" s="865">
        <v>0.62656000000000001</v>
      </c>
      <c r="AT279" s="865">
        <v>0.73</v>
      </c>
      <c r="AU279" s="865">
        <v>0.80937999999999999</v>
      </c>
      <c r="AV279" s="865">
        <v>0.90625</v>
      </c>
      <c r="AW279" s="865">
        <v>1.0131300000000001</v>
      </c>
      <c r="AX279" s="865">
        <v>1.4550000000000001</v>
      </c>
      <c r="AZ279" s="861">
        <v>40353</v>
      </c>
      <c r="BA279" s="865">
        <v>2.75</v>
      </c>
      <c r="BB279" s="865">
        <v>2.9</v>
      </c>
      <c r="BC279" s="865">
        <v>3</v>
      </c>
      <c r="BD279" s="865">
        <v>3.11</v>
      </c>
      <c r="BE279" s="865">
        <v>3.19</v>
      </c>
      <c r="BF279" s="865">
        <v>3.27</v>
      </c>
      <c r="BG279" s="865">
        <v>3.37</v>
      </c>
      <c r="BH279" s="865">
        <v>3.37</v>
      </c>
    </row>
    <row r="280" spans="12:60">
      <c r="L280" s="861">
        <v>40344</v>
      </c>
      <c r="M280" s="865">
        <v>4.5</v>
      </c>
      <c r="N280" s="865">
        <v>4.6900000000000004</v>
      </c>
      <c r="O280" s="865">
        <v>4.7882999999999996</v>
      </c>
      <c r="P280" s="865">
        <v>4.9082999999999997</v>
      </c>
      <c r="Q280" s="865">
        <v>4.9516999999999998</v>
      </c>
      <c r="R280" s="865">
        <v>4.99</v>
      </c>
      <c r="S280" s="865">
        <v>5.0266999999999999</v>
      </c>
      <c r="T280" s="865">
        <v>5.0331999999999999</v>
      </c>
      <c r="V280" s="861">
        <v>40343</v>
      </c>
      <c r="W280" s="865">
        <v>0.29775000000000001</v>
      </c>
      <c r="X280" s="865">
        <v>0.34969</v>
      </c>
      <c r="Y280" s="865">
        <v>0.435</v>
      </c>
      <c r="Z280" s="865">
        <v>0.53705999999999998</v>
      </c>
      <c r="AA280" s="865">
        <v>0.60497000000000001</v>
      </c>
      <c r="AB280" s="865">
        <v>0.66944000000000004</v>
      </c>
      <c r="AC280" s="865">
        <v>0.75031000000000003</v>
      </c>
      <c r="AD280" s="865">
        <v>1.18563</v>
      </c>
      <c r="AF280" s="861">
        <v>40352</v>
      </c>
      <c r="AG280" s="865">
        <v>0.27250000000000002</v>
      </c>
      <c r="AH280" s="865">
        <v>0.41313</v>
      </c>
      <c r="AI280" s="865">
        <v>0.50938000000000005</v>
      </c>
      <c r="AJ280" s="865">
        <v>0.66813</v>
      </c>
      <c r="AK280" s="865">
        <v>0.76188</v>
      </c>
      <c r="AL280" s="865">
        <v>0.85750000000000004</v>
      </c>
      <c r="AM280" s="865">
        <v>0.96562999999999999</v>
      </c>
      <c r="AN280" s="865">
        <v>1.2662500000000001</v>
      </c>
      <c r="AP280" s="861">
        <v>40343</v>
      </c>
      <c r="AQ280" s="865">
        <v>0.54874999999999996</v>
      </c>
      <c r="AR280" s="865">
        <v>0.56874999999999998</v>
      </c>
      <c r="AS280" s="865">
        <v>0.62624999999999997</v>
      </c>
      <c r="AT280" s="865">
        <v>0.73094000000000003</v>
      </c>
      <c r="AU280" s="865">
        <v>0.81</v>
      </c>
      <c r="AV280" s="865">
        <v>0.90688000000000002</v>
      </c>
      <c r="AW280" s="865">
        <v>1.0137499999999999</v>
      </c>
      <c r="AX280" s="865">
        <v>1.45688</v>
      </c>
      <c r="AZ280" s="861">
        <v>40352</v>
      </c>
      <c r="BA280" s="865">
        <v>2.75</v>
      </c>
      <c r="BB280" s="865">
        <v>2.9</v>
      </c>
      <c r="BC280" s="865">
        <v>3</v>
      </c>
      <c r="BD280" s="865">
        <v>3.06778</v>
      </c>
      <c r="BE280" s="865">
        <v>3.19</v>
      </c>
      <c r="BF280" s="865">
        <v>3.27</v>
      </c>
      <c r="BG280" s="865">
        <v>3.37</v>
      </c>
      <c r="BH280" s="865">
        <v>3.37</v>
      </c>
    </row>
    <row r="281" spans="12:60">
      <c r="L281" s="861">
        <v>40340</v>
      </c>
      <c r="M281" s="865">
        <v>4.5</v>
      </c>
      <c r="N281" s="865">
        <v>4.6900000000000004</v>
      </c>
      <c r="O281" s="865">
        <v>4.79</v>
      </c>
      <c r="P281" s="865">
        <v>4.9482999999999997</v>
      </c>
      <c r="Q281" s="865">
        <v>4.9717000000000002</v>
      </c>
      <c r="R281" s="865">
        <v>4.9966999999999997</v>
      </c>
      <c r="S281" s="865">
        <v>5.0350000000000001</v>
      </c>
      <c r="T281" s="865">
        <v>5.0568999999999997</v>
      </c>
      <c r="V281" s="861">
        <v>40340</v>
      </c>
      <c r="W281" s="865">
        <v>0.29899999999999999</v>
      </c>
      <c r="X281" s="865">
        <v>0.34969</v>
      </c>
      <c r="Y281" s="865">
        <v>0.435</v>
      </c>
      <c r="Z281" s="865">
        <v>0.53705999999999998</v>
      </c>
      <c r="AA281" s="865">
        <v>0.60497000000000001</v>
      </c>
      <c r="AB281" s="865">
        <v>0.66974999999999996</v>
      </c>
      <c r="AC281" s="865">
        <v>0.74612999999999996</v>
      </c>
      <c r="AD281" s="865">
        <v>1.18031</v>
      </c>
      <c r="AF281" s="861">
        <v>40351</v>
      </c>
      <c r="AG281" s="865">
        <v>0.27374999999999999</v>
      </c>
      <c r="AH281" s="865">
        <v>0.40938000000000002</v>
      </c>
      <c r="AI281" s="865">
        <v>0.50812999999999997</v>
      </c>
      <c r="AJ281" s="865">
        <v>0.66688000000000003</v>
      </c>
      <c r="AK281" s="865">
        <v>0.76</v>
      </c>
      <c r="AL281" s="865">
        <v>0.85750000000000004</v>
      </c>
      <c r="AM281" s="865">
        <v>0.96687999999999996</v>
      </c>
      <c r="AN281" s="865">
        <v>1.2662500000000001</v>
      </c>
      <c r="AP281" s="861">
        <v>40340</v>
      </c>
      <c r="AQ281" s="865">
        <v>0.55125000000000002</v>
      </c>
      <c r="AR281" s="865">
        <v>0.56906000000000001</v>
      </c>
      <c r="AS281" s="865">
        <v>0.62687999999999999</v>
      </c>
      <c r="AT281" s="865">
        <v>0.73124999999999996</v>
      </c>
      <c r="AU281" s="865">
        <v>0.81062999999999996</v>
      </c>
      <c r="AV281" s="865">
        <v>0.90625</v>
      </c>
      <c r="AW281" s="865">
        <v>1.0137499999999999</v>
      </c>
      <c r="AX281" s="865">
        <v>1.45438</v>
      </c>
      <c r="AZ281" s="861">
        <v>40351</v>
      </c>
      <c r="BA281" s="865">
        <v>2.75</v>
      </c>
      <c r="BB281" s="865">
        <v>2.9</v>
      </c>
      <c r="BC281" s="865">
        <v>3</v>
      </c>
      <c r="BD281" s="865">
        <v>3.0644399999999998</v>
      </c>
      <c r="BE281" s="865">
        <v>3.19</v>
      </c>
      <c r="BF281" s="865">
        <v>3.27</v>
      </c>
      <c r="BG281" s="865">
        <v>3.37</v>
      </c>
      <c r="BH281" s="865">
        <v>3.37</v>
      </c>
    </row>
    <row r="282" spans="12:60">
      <c r="L282" s="861">
        <v>40339</v>
      </c>
      <c r="M282" s="865">
        <v>4.5</v>
      </c>
      <c r="N282" s="865">
        <v>4.71</v>
      </c>
      <c r="O282" s="865">
        <v>4.7866999999999997</v>
      </c>
      <c r="P282" s="865">
        <v>4.9267000000000003</v>
      </c>
      <c r="Q282" s="865">
        <v>4.9432999999999998</v>
      </c>
      <c r="R282" s="865">
        <v>4.9617000000000004</v>
      </c>
      <c r="S282" s="865">
        <v>4.9667000000000003</v>
      </c>
      <c r="T282" s="865">
        <v>4.9714999999999998</v>
      </c>
      <c r="V282" s="861">
        <v>40339</v>
      </c>
      <c r="W282" s="865">
        <v>0.29963000000000001</v>
      </c>
      <c r="X282" s="865">
        <v>0.34969</v>
      </c>
      <c r="Y282" s="865">
        <v>0.435</v>
      </c>
      <c r="Z282" s="865">
        <v>0.53644000000000003</v>
      </c>
      <c r="AA282" s="865">
        <v>0.60558999999999996</v>
      </c>
      <c r="AB282" s="865">
        <v>0.67135999999999996</v>
      </c>
      <c r="AC282" s="865">
        <v>0.74938000000000005</v>
      </c>
      <c r="AD282" s="865">
        <v>1.1825000000000001</v>
      </c>
      <c r="AF282" s="861">
        <v>40350</v>
      </c>
      <c r="AG282" s="865">
        <v>0.27374999999999999</v>
      </c>
      <c r="AH282" s="865">
        <v>0.40875</v>
      </c>
      <c r="AI282" s="865">
        <v>0.50749999999999995</v>
      </c>
      <c r="AJ282" s="865">
        <v>0.66437999999999997</v>
      </c>
      <c r="AK282" s="865">
        <v>0.75875000000000004</v>
      </c>
      <c r="AL282" s="865">
        <v>0.85624999999999996</v>
      </c>
      <c r="AM282" s="865">
        <v>0.96562999999999999</v>
      </c>
      <c r="AN282" s="865">
        <v>1.2649999999999999</v>
      </c>
      <c r="AP282" s="861">
        <v>40339</v>
      </c>
      <c r="AQ282" s="865">
        <v>0.55125000000000002</v>
      </c>
      <c r="AR282" s="865">
        <v>0.56906000000000001</v>
      </c>
      <c r="AS282" s="865">
        <v>0.62687999999999999</v>
      </c>
      <c r="AT282" s="865">
        <v>0.73124999999999996</v>
      </c>
      <c r="AU282" s="865">
        <v>0.80813000000000001</v>
      </c>
      <c r="AV282" s="865">
        <v>0.90249999999999997</v>
      </c>
      <c r="AW282" s="865">
        <v>1.01125</v>
      </c>
      <c r="AX282" s="865">
        <v>1.4518800000000001</v>
      </c>
      <c r="AZ282" s="861">
        <v>40350</v>
      </c>
      <c r="BA282" s="865">
        <v>2.75</v>
      </c>
      <c r="BB282" s="865">
        <v>2.90286</v>
      </c>
      <c r="BC282" s="865">
        <v>2.9957099999999999</v>
      </c>
      <c r="BD282" s="865">
        <v>3.0485699999999998</v>
      </c>
      <c r="BE282" s="865">
        <v>3.19</v>
      </c>
      <c r="BF282" s="865">
        <v>3.27</v>
      </c>
      <c r="BG282" s="865">
        <v>3.37</v>
      </c>
      <c r="BH282" s="865">
        <v>3.37</v>
      </c>
    </row>
    <row r="283" spans="12:60">
      <c r="L283" s="861">
        <v>40338</v>
      </c>
      <c r="M283" s="865">
        <v>4.5</v>
      </c>
      <c r="N283" s="865">
        <v>4.7050000000000001</v>
      </c>
      <c r="O283" s="865">
        <v>4.7850000000000001</v>
      </c>
      <c r="P283" s="865">
        <v>4.9000000000000004</v>
      </c>
      <c r="Q283" s="865">
        <v>4.9317000000000002</v>
      </c>
      <c r="R283" s="865">
        <v>4.9633000000000003</v>
      </c>
      <c r="S283" s="865">
        <v>5.0016999999999996</v>
      </c>
      <c r="T283" s="865">
        <v>4.9729999999999999</v>
      </c>
      <c r="V283" s="861">
        <v>40338</v>
      </c>
      <c r="W283" s="865">
        <v>0.29963000000000001</v>
      </c>
      <c r="X283" s="865">
        <v>0.35031000000000001</v>
      </c>
      <c r="Y283" s="865">
        <v>0.435</v>
      </c>
      <c r="Z283" s="865">
        <v>0.53656000000000004</v>
      </c>
      <c r="AA283" s="865">
        <v>0.60572000000000004</v>
      </c>
      <c r="AB283" s="865">
        <v>0.67161000000000004</v>
      </c>
      <c r="AC283" s="865">
        <v>0.75080999999999998</v>
      </c>
      <c r="AD283" s="865">
        <v>1.1906300000000001</v>
      </c>
      <c r="AF283" s="861">
        <v>40347</v>
      </c>
      <c r="AG283" s="865">
        <v>0.27374999999999999</v>
      </c>
      <c r="AH283" s="865">
        <v>0.40562999999999999</v>
      </c>
      <c r="AI283" s="865">
        <v>0.50563000000000002</v>
      </c>
      <c r="AJ283" s="865">
        <v>0.66125</v>
      </c>
      <c r="AK283" s="865">
        <v>0.75812999999999997</v>
      </c>
      <c r="AL283" s="865">
        <v>0.85313000000000005</v>
      </c>
      <c r="AM283" s="865">
        <v>0.96250000000000002</v>
      </c>
      <c r="AN283" s="865">
        <v>1.26125</v>
      </c>
      <c r="AP283" s="861">
        <v>40338</v>
      </c>
      <c r="AQ283" s="865">
        <v>0.55125000000000002</v>
      </c>
      <c r="AR283" s="865">
        <v>0.56906000000000001</v>
      </c>
      <c r="AS283" s="865">
        <v>0.62687999999999999</v>
      </c>
      <c r="AT283" s="865">
        <v>0.72968999999999995</v>
      </c>
      <c r="AU283" s="865">
        <v>0.80688000000000004</v>
      </c>
      <c r="AV283" s="865">
        <v>0.90249999999999997</v>
      </c>
      <c r="AW283" s="865">
        <v>1.01125</v>
      </c>
      <c r="AX283" s="865">
        <v>1.4518800000000001</v>
      </c>
      <c r="AZ283" s="861">
        <v>40347</v>
      </c>
      <c r="BA283" s="865">
        <v>2.75</v>
      </c>
      <c r="BB283" s="865">
        <v>2.94</v>
      </c>
      <c r="BC283" s="865">
        <v>3</v>
      </c>
      <c r="BD283" s="865">
        <v>3.11111</v>
      </c>
      <c r="BE283" s="865">
        <v>3.19</v>
      </c>
      <c r="BF283" s="865">
        <v>3.27</v>
      </c>
      <c r="BG283" s="865">
        <v>3.37</v>
      </c>
      <c r="BH283" s="865">
        <v>3.37</v>
      </c>
    </row>
    <row r="284" spans="12:60">
      <c r="L284" s="861">
        <v>40337</v>
      </c>
      <c r="M284" s="865">
        <v>4.5</v>
      </c>
      <c r="N284" s="865">
        <v>4.6982999999999997</v>
      </c>
      <c r="O284" s="865">
        <v>4.7750000000000004</v>
      </c>
      <c r="P284" s="865">
        <v>4.8817000000000004</v>
      </c>
      <c r="Q284" s="865">
        <v>4.9166999999999996</v>
      </c>
      <c r="R284" s="865">
        <v>4.9466999999999999</v>
      </c>
      <c r="S284" s="865">
        <v>4.99</v>
      </c>
      <c r="T284" s="865">
        <v>4.9282000000000004</v>
      </c>
      <c r="V284" s="861">
        <v>40337</v>
      </c>
      <c r="W284" s="865">
        <v>0.29963000000000001</v>
      </c>
      <c r="X284" s="865">
        <v>0.35</v>
      </c>
      <c r="Y284" s="865">
        <v>0.43530999999999997</v>
      </c>
      <c r="Z284" s="865">
        <v>0.53688000000000002</v>
      </c>
      <c r="AA284" s="865">
        <v>0.60650000000000004</v>
      </c>
      <c r="AB284" s="865">
        <v>0.67293999999999998</v>
      </c>
      <c r="AC284" s="865">
        <v>0.75363000000000002</v>
      </c>
      <c r="AD284" s="865">
        <v>1.1965600000000001</v>
      </c>
      <c r="AF284" s="861">
        <v>40346</v>
      </c>
      <c r="AG284" s="865">
        <v>0.27374999999999999</v>
      </c>
      <c r="AH284" s="865">
        <v>0.40375</v>
      </c>
      <c r="AI284" s="865">
        <v>0.50249999999999995</v>
      </c>
      <c r="AJ284" s="865">
        <v>0.66125</v>
      </c>
      <c r="AK284" s="865">
        <v>0.75624999999999998</v>
      </c>
      <c r="AL284" s="865">
        <v>0.85250000000000004</v>
      </c>
      <c r="AM284" s="865">
        <v>0.96125000000000005</v>
      </c>
      <c r="AN284" s="865">
        <v>1.25813</v>
      </c>
      <c r="AP284" s="861">
        <v>40337</v>
      </c>
      <c r="AQ284" s="865">
        <v>0.55125000000000002</v>
      </c>
      <c r="AR284" s="865">
        <v>0.56906000000000001</v>
      </c>
      <c r="AS284" s="865">
        <v>0.625</v>
      </c>
      <c r="AT284" s="865">
        <v>0.72719</v>
      </c>
      <c r="AU284" s="865">
        <v>0.80374999999999996</v>
      </c>
      <c r="AV284" s="865">
        <v>0.89875000000000005</v>
      </c>
      <c r="AW284" s="865">
        <v>1.0075000000000001</v>
      </c>
      <c r="AX284" s="865">
        <v>1.44875</v>
      </c>
      <c r="AZ284" s="861">
        <v>40346</v>
      </c>
      <c r="BA284" s="865">
        <v>2.75</v>
      </c>
      <c r="BB284" s="865">
        <v>2.94</v>
      </c>
      <c r="BC284" s="865">
        <v>3</v>
      </c>
      <c r="BD284" s="865">
        <v>3.0988899999999999</v>
      </c>
      <c r="BE284" s="865">
        <v>3.19</v>
      </c>
      <c r="BF284" s="865">
        <v>3.27</v>
      </c>
      <c r="BG284" s="865">
        <v>3.37</v>
      </c>
      <c r="BH284" s="865">
        <v>3.37</v>
      </c>
    </row>
    <row r="285" spans="12:60">
      <c r="L285" s="861">
        <v>40336</v>
      </c>
      <c r="M285" s="865">
        <v>4.5</v>
      </c>
      <c r="N285" s="865">
        <v>4.6833</v>
      </c>
      <c r="O285" s="865">
        <v>4.7683</v>
      </c>
      <c r="P285" s="865">
        <v>4.8567</v>
      </c>
      <c r="Q285" s="865">
        <v>4.8883000000000001</v>
      </c>
      <c r="R285" s="865">
        <v>4.9267000000000003</v>
      </c>
      <c r="S285" s="865">
        <v>4.9800000000000004</v>
      </c>
      <c r="T285" s="865">
        <v>4.9268999999999998</v>
      </c>
      <c r="V285" s="861">
        <v>40336</v>
      </c>
      <c r="W285" s="865">
        <v>0.30087999999999998</v>
      </c>
      <c r="X285" s="865">
        <v>0.35</v>
      </c>
      <c r="Y285" s="865">
        <v>0.43530999999999997</v>
      </c>
      <c r="Z285" s="865">
        <v>0.53718999999999995</v>
      </c>
      <c r="AA285" s="865">
        <v>0.60787999999999998</v>
      </c>
      <c r="AB285" s="865">
        <v>0.67256000000000005</v>
      </c>
      <c r="AC285" s="865">
        <v>0.75731000000000004</v>
      </c>
      <c r="AD285" s="865">
        <v>1.20625</v>
      </c>
      <c r="AF285" s="861">
        <v>40345</v>
      </c>
      <c r="AG285" s="865">
        <v>0.27374999999999999</v>
      </c>
      <c r="AH285" s="865">
        <v>0.40125</v>
      </c>
      <c r="AI285" s="865">
        <v>0.50124999999999997</v>
      </c>
      <c r="AJ285" s="865">
        <v>0.65874999999999995</v>
      </c>
      <c r="AK285" s="865">
        <v>0.75563000000000002</v>
      </c>
      <c r="AL285" s="865">
        <v>0.85124999999999995</v>
      </c>
      <c r="AM285" s="865">
        <v>0.95874999999999999</v>
      </c>
      <c r="AN285" s="865">
        <v>1.2562500000000001</v>
      </c>
      <c r="AP285" s="861">
        <v>40336</v>
      </c>
      <c r="AQ285" s="865">
        <v>0.55125000000000002</v>
      </c>
      <c r="AR285" s="865">
        <v>0.56906000000000001</v>
      </c>
      <c r="AS285" s="865">
        <v>0.62375000000000003</v>
      </c>
      <c r="AT285" s="865">
        <v>0.72563</v>
      </c>
      <c r="AU285" s="865">
        <v>0.80249999999999999</v>
      </c>
      <c r="AV285" s="865">
        <v>0.89749999999999996</v>
      </c>
      <c r="AW285" s="865">
        <v>1.0049999999999999</v>
      </c>
      <c r="AX285" s="865">
        <v>1.44625</v>
      </c>
      <c r="AZ285" s="861">
        <v>40345</v>
      </c>
      <c r="BA285" s="865">
        <v>2.75</v>
      </c>
      <c r="BB285" s="865">
        <v>2.98</v>
      </c>
      <c r="BC285" s="865">
        <v>3.04</v>
      </c>
      <c r="BD285" s="865">
        <v>3.0977800000000002</v>
      </c>
      <c r="BE285" s="865">
        <v>3.19</v>
      </c>
      <c r="BF285" s="865">
        <v>3.27</v>
      </c>
      <c r="BG285" s="865">
        <v>3.34</v>
      </c>
      <c r="BH285" s="865">
        <v>3.34</v>
      </c>
    </row>
    <row r="286" spans="12:60">
      <c r="L286" s="861">
        <v>40333</v>
      </c>
      <c r="M286" s="865">
        <v>4.5</v>
      </c>
      <c r="N286" s="865">
        <v>4.7032999999999996</v>
      </c>
      <c r="O286" s="865">
        <v>4.7717000000000001</v>
      </c>
      <c r="P286" s="865">
        <v>4.8250000000000002</v>
      </c>
      <c r="Q286" s="865">
        <v>4.8650000000000002</v>
      </c>
      <c r="R286" s="865">
        <v>4.91</v>
      </c>
      <c r="S286" s="865">
        <v>4.9733000000000001</v>
      </c>
      <c r="T286" s="865">
        <v>4.9913999999999996</v>
      </c>
      <c r="V286" s="861">
        <v>40333</v>
      </c>
      <c r="W286" s="865">
        <v>0.30087999999999998</v>
      </c>
      <c r="X286" s="865">
        <v>0.35</v>
      </c>
      <c r="Y286" s="865">
        <v>0.43563000000000002</v>
      </c>
      <c r="Z286" s="865">
        <v>0.53656000000000004</v>
      </c>
      <c r="AA286" s="865">
        <v>0.60655999999999999</v>
      </c>
      <c r="AB286" s="865">
        <v>0.66900000000000004</v>
      </c>
      <c r="AC286" s="865">
        <v>0.74919000000000002</v>
      </c>
      <c r="AD286" s="865">
        <v>1.1965600000000001</v>
      </c>
      <c r="AF286" s="861">
        <v>40344</v>
      </c>
      <c r="AG286" s="865">
        <v>0.59499999999999997</v>
      </c>
      <c r="AH286" s="865">
        <v>0.40125</v>
      </c>
      <c r="AI286" s="865">
        <v>0.50063000000000002</v>
      </c>
      <c r="AJ286" s="865">
        <v>0.65563000000000005</v>
      </c>
      <c r="AK286" s="865">
        <v>0.755</v>
      </c>
      <c r="AL286" s="865">
        <v>0.84813000000000005</v>
      </c>
      <c r="AM286" s="865">
        <v>0.95687999999999995</v>
      </c>
      <c r="AN286" s="865">
        <v>1.2531300000000001</v>
      </c>
      <c r="AP286" s="861">
        <v>40333</v>
      </c>
      <c r="AQ286" s="865">
        <v>0.55125000000000002</v>
      </c>
      <c r="AR286" s="865">
        <v>0.56843999999999995</v>
      </c>
      <c r="AS286" s="865">
        <v>0.62250000000000005</v>
      </c>
      <c r="AT286" s="865">
        <v>0.72624999999999995</v>
      </c>
      <c r="AU286" s="865">
        <v>0.79937999999999998</v>
      </c>
      <c r="AV286" s="865">
        <v>0.89312999999999998</v>
      </c>
      <c r="AW286" s="865">
        <v>1.0006299999999999</v>
      </c>
      <c r="AX286" s="865">
        <v>1.4418800000000001</v>
      </c>
      <c r="AZ286" s="861">
        <v>40344</v>
      </c>
      <c r="BA286" s="865">
        <v>2.75</v>
      </c>
      <c r="BB286" s="865">
        <v>2.94</v>
      </c>
      <c r="BC286" s="865">
        <v>3.01667</v>
      </c>
      <c r="BD286" s="865">
        <v>3.08778</v>
      </c>
      <c r="BE286" s="865">
        <v>3.15</v>
      </c>
      <c r="BF286" s="865">
        <v>3.23</v>
      </c>
      <c r="BG286" s="865">
        <v>3.3</v>
      </c>
      <c r="BH286" s="865">
        <v>3.3</v>
      </c>
    </row>
    <row r="287" spans="12:60">
      <c r="L287" s="861">
        <v>40332</v>
      </c>
      <c r="M287" s="865">
        <v>4.5</v>
      </c>
      <c r="N287" s="865">
        <v>4.7149999999999999</v>
      </c>
      <c r="O287" s="865">
        <v>4.7617000000000003</v>
      </c>
      <c r="P287" s="865">
        <v>4.8150000000000004</v>
      </c>
      <c r="Q287" s="865">
        <v>4.8550000000000004</v>
      </c>
      <c r="R287" s="865">
        <v>4.8883000000000001</v>
      </c>
      <c r="S287" s="865">
        <v>4.9400000000000004</v>
      </c>
      <c r="T287" s="865">
        <v>4.9508999999999999</v>
      </c>
      <c r="V287" s="861">
        <v>40332</v>
      </c>
      <c r="W287" s="865">
        <v>0.30087999999999998</v>
      </c>
      <c r="X287" s="865">
        <v>0.35088000000000003</v>
      </c>
      <c r="Y287" s="865">
        <v>0.43687999999999999</v>
      </c>
      <c r="Z287" s="865">
        <v>0.53781000000000001</v>
      </c>
      <c r="AA287" s="865">
        <v>0.60780999999999996</v>
      </c>
      <c r="AB287" s="865">
        <v>0.67205999999999999</v>
      </c>
      <c r="AC287" s="865">
        <v>0.753</v>
      </c>
      <c r="AD287" s="865">
        <v>1.2050000000000001</v>
      </c>
      <c r="AF287" s="861">
        <v>40343</v>
      </c>
      <c r="AG287" s="865">
        <v>0.27374999999999999</v>
      </c>
      <c r="AH287" s="865">
        <v>0.4</v>
      </c>
      <c r="AI287" s="865">
        <v>0.4975</v>
      </c>
      <c r="AJ287" s="865">
        <v>0.65375000000000005</v>
      </c>
      <c r="AK287" s="865">
        <v>0.75187999999999999</v>
      </c>
      <c r="AL287" s="865">
        <v>0.84499999999999997</v>
      </c>
      <c r="AM287" s="865">
        <v>0.95125000000000004</v>
      </c>
      <c r="AN287" s="865">
        <v>1.24875</v>
      </c>
      <c r="AP287" s="861">
        <v>40332</v>
      </c>
      <c r="AQ287" s="865">
        <v>0.55125000000000002</v>
      </c>
      <c r="AR287" s="865">
        <v>0.56718999999999997</v>
      </c>
      <c r="AS287" s="865">
        <v>0.62124999999999997</v>
      </c>
      <c r="AT287" s="865">
        <v>0.72313000000000005</v>
      </c>
      <c r="AU287" s="865">
        <v>0.79625000000000001</v>
      </c>
      <c r="AV287" s="865">
        <v>0.89</v>
      </c>
      <c r="AW287" s="865">
        <v>0.99750000000000005</v>
      </c>
      <c r="AX287" s="865">
        <v>1.43625</v>
      </c>
      <c r="AZ287" s="861">
        <v>40343</v>
      </c>
      <c r="BA287" s="865">
        <v>2.75</v>
      </c>
      <c r="BB287" s="865">
        <v>2.94</v>
      </c>
      <c r="BC287" s="865">
        <v>3.01</v>
      </c>
      <c r="BD287" s="865">
        <v>3.07375</v>
      </c>
      <c r="BE287" s="865">
        <v>3.15</v>
      </c>
      <c r="BF287" s="865">
        <v>3.23</v>
      </c>
      <c r="BG287" s="865">
        <v>3.3</v>
      </c>
      <c r="BH287" s="865">
        <v>3.3</v>
      </c>
    </row>
    <row r="288" spans="12:60">
      <c r="L288" s="861">
        <v>40331</v>
      </c>
      <c r="M288" s="865">
        <v>4.5</v>
      </c>
      <c r="N288" s="865">
        <v>4.7083000000000004</v>
      </c>
      <c r="O288" s="865">
        <v>4.7416999999999998</v>
      </c>
      <c r="P288" s="865">
        <v>4.82</v>
      </c>
      <c r="Q288" s="865">
        <v>4.84</v>
      </c>
      <c r="R288" s="865">
        <v>4.8650000000000002</v>
      </c>
      <c r="S288" s="865">
        <v>4.9000000000000004</v>
      </c>
      <c r="T288" s="865">
        <v>4.8902999999999999</v>
      </c>
      <c r="V288" s="861">
        <v>40331</v>
      </c>
      <c r="W288" s="865">
        <v>0.30087999999999998</v>
      </c>
      <c r="X288" s="865">
        <v>0.35088000000000003</v>
      </c>
      <c r="Y288" s="865">
        <v>0.43687999999999999</v>
      </c>
      <c r="Z288" s="865">
        <v>0.53749999999999998</v>
      </c>
      <c r="AA288" s="865">
        <v>0.60750000000000004</v>
      </c>
      <c r="AB288" s="865">
        <v>0.67081000000000002</v>
      </c>
      <c r="AC288" s="865">
        <v>0.75363000000000002</v>
      </c>
      <c r="AD288" s="865">
        <v>1.20625</v>
      </c>
      <c r="AF288" s="861">
        <v>40340</v>
      </c>
      <c r="AG288" s="865">
        <v>0.27250000000000002</v>
      </c>
      <c r="AH288" s="865">
        <v>0.40250000000000002</v>
      </c>
      <c r="AI288" s="865">
        <v>0.49875000000000003</v>
      </c>
      <c r="AJ288" s="865">
        <v>0.65188000000000001</v>
      </c>
      <c r="AK288" s="865">
        <v>0.74875000000000003</v>
      </c>
      <c r="AL288" s="865">
        <v>0.84187999999999996</v>
      </c>
      <c r="AM288" s="865">
        <v>0.94938</v>
      </c>
      <c r="AN288" s="865">
        <v>1.24688</v>
      </c>
      <c r="AP288" s="861">
        <v>40331</v>
      </c>
      <c r="AQ288" s="865">
        <v>0.55125000000000002</v>
      </c>
      <c r="AR288" s="865">
        <v>0.56718999999999997</v>
      </c>
      <c r="AS288" s="865">
        <v>0.61875000000000002</v>
      </c>
      <c r="AT288" s="865">
        <v>0.71813000000000005</v>
      </c>
      <c r="AU288" s="865">
        <v>0.79125000000000001</v>
      </c>
      <c r="AV288" s="865">
        <v>0.88500000000000001</v>
      </c>
      <c r="AW288" s="865">
        <v>0.99375000000000002</v>
      </c>
      <c r="AX288" s="865">
        <v>1.4312499999999999</v>
      </c>
      <c r="AZ288" s="861">
        <v>40340</v>
      </c>
      <c r="BA288" s="865">
        <v>2.75</v>
      </c>
      <c r="BB288" s="865">
        <v>2.91</v>
      </c>
      <c r="BC288" s="865">
        <v>3.03</v>
      </c>
      <c r="BD288" s="865">
        <v>3.05111</v>
      </c>
      <c r="BE288" s="865">
        <v>3.15</v>
      </c>
      <c r="BF288" s="865">
        <v>3.23</v>
      </c>
      <c r="BG288" s="865">
        <v>3.3</v>
      </c>
      <c r="BH288" s="865">
        <v>3.3</v>
      </c>
    </row>
    <row r="289" spans="12:60">
      <c r="L289" s="861">
        <v>40330</v>
      </c>
      <c r="M289" s="865">
        <v>4.5</v>
      </c>
      <c r="N289" s="865">
        <v>4.68</v>
      </c>
      <c r="O289" s="865">
        <v>4.7233000000000001</v>
      </c>
      <c r="P289" s="865">
        <v>4.7816999999999998</v>
      </c>
      <c r="Q289" s="865">
        <v>4.8232999999999997</v>
      </c>
      <c r="R289" s="865">
        <v>4.8582999999999998</v>
      </c>
      <c r="S289" s="865">
        <v>4.9000000000000004</v>
      </c>
      <c r="T289" s="865">
        <v>4.8997999999999999</v>
      </c>
      <c r="V289" s="861">
        <v>40330</v>
      </c>
      <c r="W289" s="865">
        <v>0.30337999999999998</v>
      </c>
      <c r="X289" s="865">
        <v>0.35088000000000003</v>
      </c>
      <c r="Y289" s="865">
        <v>0.43437999999999999</v>
      </c>
      <c r="Z289" s="865">
        <v>0.53625</v>
      </c>
      <c r="AA289" s="865">
        <v>0.60775000000000001</v>
      </c>
      <c r="AB289" s="865">
        <v>0.67118999999999995</v>
      </c>
      <c r="AC289" s="865">
        <v>0.76112999999999997</v>
      </c>
      <c r="AD289" s="865">
        <v>1.20875</v>
      </c>
      <c r="AF289" s="861">
        <v>40339</v>
      </c>
      <c r="AG289" s="865">
        <v>0.27250000000000002</v>
      </c>
      <c r="AH289" s="865">
        <v>0.40250000000000002</v>
      </c>
      <c r="AI289" s="865">
        <v>0.49563000000000001</v>
      </c>
      <c r="AJ289" s="865">
        <v>0.65437999999999996</v>
      </c>
      <c r="AK289" s="865">
        <v>0.75</v>
      </c>
      <c r="AL289" s="865">
        <v>0.84375</v>
      </c>
      <c r="AM289" s="865">
        <v>0.95062999999999998</v>
      </c>
      <c r="AN289" s="865">
        <v>1.24688</v>
      </c>
      <c r="AP289" s="861">
        <v>40330</v>
      </c>
      <c r="AQ289" s="865">
        <v>0.55125000000000002</v>
      </c>
      <c r="AR289" s="865">
        <v>0.56594</v>
      </c>
      <c r="AS289" s="865">
        <v>0.61750000000000005</v>
      </c>
      <c r="AT289" s="865">
        <v>0.71406000000000003</v>
      </c>
      <c r="AU289" s="865">
        <v>0.78749999999999998</v>
      </c>
      <c r="AV289" s="865">
        <v>0.88063000000000002</v>
      </c>
      <c r="AW289" s="865">
        <v>0.98624999999999996</v>
      </c>
      <c r="AX289" s="865">
        <v>1.425</v>
      </c>
      <c r="AZ289" s="861">
        <v>40339</v>
      </c>
      <c r="BA289" s="865">
        <v>2.75</v>
      </c>
      <c r="BB289" s="865">
        <v>2.89</v>
      </c>
      <c r="BC289" s="865">
        <v>3.03</v>
      </c>
      <c r="BD289" s="865">
        <v>3.06</v>
      </c>
      <c r="BE289" s="865">
        <v>3.12</v>
      </c>
      <c r="BF289" s="865">
        <v>3.2</v>
      </c>
      <c r="BG289" s="865">
        <v>3.26</v>
      </c>
      <c r="BH289" s="865">
        <v>3.26</v>
      </c>
    </row>
    <row r="290" spans="12:60">
      <c r="L290" s="861">
        <v>40329</v>
      </c>
      <c r="M290" s="865">
        <v>4.5</v>
      </c>
      <c r="N290" s="865">
        <v>4.6817000000000002</v>
      </c>
      <c r="O290" s="865">
        <v>4.7816999999999998</v>
      </c>
      <c r="P290" s="865">
        <v>4.8666999999999998</v>
      </c>
      <c r="Q290" s="865">
        <v>4.8917000000000002</v>
      </c>
      <c r="R290" s="865">
        <v>4.9166999999999996</v>
      </c>
      <c r="S290" s="865">
        <v>4.95</v>
      </c>
      <c r="T290" s="865">
        <v>4.9062000000000001</v>
      </c>
      <c r="V290" s="861">
        <v>40326</v>
      </c>
      <c r="W290" s="865">
        <v>0.29875000000000002</v>
      </c>
      <c r="X290" s="865">
        <v>0.35125000000000001</v>
      </c>
      <c r="Y290" s="865">
        <v>0.43375000000000002</v>
      </c>
      <c r="Z290" s="865">
        <v>0.53625</v>
      </c>
      <c r="AA290" s="865">
        <v>0.60313000000000005</v>
      </c>
      <c r="AB290" s="865">
        <v>0.66593999999999998</v>
      </c>
      <c r="AC290" s="865">
        <v>0.75187999999999999</v>
      </c>
      <c r="AD290" s="865">
        <v>1.2040599999999999</v>
      </c>
      <c r="AF290" s="861">
        <v>40338</v>
      </c>
      <c r="AG290" s="865">
        <v>0.27250000000000002</v>
      </c>
      <c r="AH290" s="865">
        <v>0.40250000000000002</v>
      </c>
      <c r="AI290" s="865">
        <v>0.495</v>
      </c>
      <c r="AJ290" s="865">
        <v>0.65249999999999997</v>
      </c>
      <c r="AK290" s="865">
        <v>0.75063000000000002</v>
      </c>
      <c r="AL290" s="865">
        <v>0.84375</v>
      </c>
      <c r="AM290" s="865">
        <v>0.94938</v>
      </c>
      <c r="AN290" s="865">
        <v>1.24688</v>
      </c>
      <c r="AP290" s="861">
        <v>40326</v>
      </c>
      <c r="AQ290" s="865">
        <v>0.55000000000000004</v>
      </c>
      <c r="AR290" s="865">
        <v>0.56594</v>
      </c>
      <c r="AS290" s="865">
        <v>0.61687999999999998</v>
      </c>
      <c r="AT290" s="865">
        <v>0.71062999999999998</v>
      </c>
      <c r="AU290" s="865">
        <v>0.78500000000000003</v>
      </c>
      <c r="AV290" s="865">
        <v>0.87687999999999999</v>
      </c>
      <c r="AW290" s="865">
        <v>0.98280999999999996</v>
      </c>
      <c r="AX290" s="865">
        <v>1.4221900000000001</v>
      </c>
      <c r="AZ290" s="861">
        <v>40338</v>
      </c>
      <c r="BA290" s="865">
        <v>2.5</v>
      </c>
      <c r="BB290" s="865">
        <v>2.79</v>
      </c>
      <c r="BC290" s="865">
        <v>2.95</v>
      </c>
      <c r="BD290" s="865">
        <v>2.9975000000000001</v>
      </c>
      <c r="BE290" s="865">
        <v>3.07</v>
      </c>
      <c r="BF290" s="865">
        <v>3.15</v>
      </c>
      <c r="BG290" s="865">
        <v>3.21</v>
      </c>
      <c r="BH290" s="865">
        <v>3.21</v>
      </c>
    </row>
    <row r="291" spans="12:60">
      <c r="L291" s="861">
        <v>40326</v>
      </c>
      <c r="M291" s="865">
        <v>4.5</v>
      </c>
      <c r="N291" s="865">
        <v>4.68</v>
      </c>
      <c r="O291" s="865">
        <v>4.7516999999999996</v>
      </c>
      <c r="P291" s="865">
        <v>4.8833000000000002</v>
      </c>
      <c r="Q291" s="865">
        <v>4.9032999999999998</v>
      </c>
      <c r="R291" s="865">
        <v>4.9233000000000002</v>
      </c>
      <c r="S291" s="865">
        <v>4.96</v>
      </c>
      <c r="T291" s="865">
        <v>4.9847000000000001</v>
      </c>
      <c r="V291" s="861">
        <v>40325</v>
      </c>
      <c r="W291" s="865">
        <v>0.30125000000000002</v>
      </c>
      <c r="X291" s="865">
        <v>0.35375000000000001</v>
      </c>
      <c r="Y291" s="865">
        <v>0.43280999999999997</v>
      </c>
      <c r="Z291" s="865">
        <v>0.53844000000000003</v>
      </c>
      <c r="AA291" s="865">
        <v>0.60687999999999998</v>
      </c>
      <c r="AB291" s="865">
        <v>0.67056000000000004</v>
      </c>
      <c r="AC291" s="865">
        <v>0.75849999999999995</v>
      </c>
      <c r="AD291" s="865">
        <v>1.2126300000000001</v>
      </c>
      <c r="AF291" s="861">
        <v>40337</v>
      </c>
      <c r="AG291" s="865">
        <v>0.27374999999999999</v>
      </c>
      <c r="AH291" s="865">
        <v>0.4</v>
      </c>
      <c r="AI291" s="865">
        <v>0.49625000000000002</v>
      </c>
      <c r="AJ291" s="865">
        <v>0.65</v>
      </c>
      <c r="AK291" s="865">
        <v>0.74875000000000003</v>
      </c>
      <c r="AL291" s="865">
        <v>0.84187999999999996</v>
      </c>
      <c r="AM291" s="865">
        <v>0.94625000000000004</v>
      </c>
      <c r="AN291" s="865">
        <v>1.2431300000000001</v>
      </c>
      <c r="AP291" s="861">
        <v>40325</v>
      </c>
      <c r="AQ291" s="865">
        <v>0.54874999999999996</v>
      </c>
      <c r="AR291" s="865">
        <v>0.56469000000000003</v>
      </c>
      <c r="AS291" s="865">
        <v>0.61687999999999998</v>
      </c>
      <c r="AT291" s="865">
        <v>0.70938000000000001</v>
      </c>
      <c r="AU291" s="865">
        <v>0.78374999999999995</v>
      </c>
      <c r="AV291" s="865">
        <v>0.87563000000000002</v>
      </c>
      <c r="AW291" s="865">
        <v>0.98187999999999998</v>
      </c>
      <c r="AX291" s="865">
        <v>1.4206300000000001</v>
      </c>
      <c r="AZ291" s="861">
        <v>40337</v>
      </c>
      <c r="BA291" s="865">
        <v>2.5</v>
      </c>
      <c r="BB291" s="865">
        <v>2.79</v>
      </c>
      <c r="BC291" s="865">
        <v>2.95</v>
      </c>
      <c r="BD291" s="865">
        <v>2.97444</v>
      </c>
      <c r="BE291" s="865">
        <v>3.07</v>
      </c>
      <c r="BF291" s="865">
        <v>3.15</v>
      </c>
      <c r="BG291" s="865">
        <v>3.21</v>
      </c>
      <c r="BH291" s="865">
        <v>3.21</v>
      </c>
    </row>
    <row r="292" spans="12:60">
      <c r="L292" s="861">
        <v>40325</v>
      </c>
      <c r="M292" s="865">
        <v>4.5</v>
      </c>
      <c r="N292" s="865">
        <v>4.6717000000000004</v>
      </c>
      <c r="O292" s="865">
        <v>4.7366999999999999</v>
      </c>
      <c r="P292" s="865">
        <v>4.8532999999999999</v>
      </c>
      <c r="Q292" s="865">
        <v>4.8650000000000002</v>
      </c>
      <c r="R292" s="865">
        <v>4.8733000000000004</v>
      </c>
      <c r="S292" s="865">
        <v>4.8849999999999998</v>
      </c>
      <c r="T292" s="865">
        <v>4.8890000000000002</v>
      </c>
      <c r="V292" s="861">
        <v>40324</v>
      </c>
      <c r="W292" s="865">
        <v>0.30063000000000001</v>
      </c>
      <c r="X292" s="865">
        <v>0.35405999999999999</v>
      </c>
      <c r="Y292" s="865">
        <v>0.43406</v>
      </c>
      <c r="Z292" s="865">
        <v>0.53781000000000001</v>
      </c>
      <c r="AA292" s="865">
        <v>0.60563</v>
      </c>
      <c r="AB292" s="865">
        <v>0.67181000000000002</v>
      </c>
      <c r="AC292" s="865">
        <v>0.75788</v>
      </c>
      <c r="AD292" s="865">
        <v>1.218</v>
      </c>
      <c r="AF292" s="861">
        <v>40336</v>
      </c>
      <c r="AG292" s="865">
        <v>0.27124999999999999</v>
      </c>
      <c r="AH292" s="865">
        <v>0.39750000000000002</v>
      </c>
      <c r="AI292" s="865">
        <v>0.49249999999999999</v>
      </c>
      <c r="AJ292" s="865">
        <v>0.64749999999999996</v>
      </c>
      <c r="AK292" s="865">
        <v>0.74750000000000005</v>
      </c>
      <c r="AL292" s="865">
        <v>0.83938000000000001</v>
      </c>
      <c r="AM292" s="865">
        <v>0.94562999999999997</v>
      </c>
      <c r="AN292" s="865">
        <v>1.24688</v>
      </c>
      <c r="AP292" s="861">
        <v>40324</v>
      </c>
      <c r="AQ292" s="865">
        <v>0.54874999999999996</v>
      </c>
      <c r="AR292" s="865">
        <v>0.56625000000000003</v>
      </c>
      <c r="AS292" s="865">
        <v>0.61624999999999996</v>
      </c>
      <c r="AT292" s="865">
        <v>0.70874999999999999</v>
      </c>
      <c r="AU292" s="865">
        <v>0.78374999999999995</v>
      </c>
      <c r="AV292" s="865">
        <v>0.87438000000000005</v>
      </c>
      <c r="AW292" s="865">
        <v>0.98063</v>
      </c>
      <c r="AX292" s="865">
        <v>1.41875</v>
      </c>
      <c r="AZ292" s="861">
        <v>40333</v>
      </c>
      <c r="BA292" s="865">
        <v>2.5</v>
      </c>
      <c r="BB292" s="865">
        <v>2.79</v>
      </c>
      <c r="BC292" s="865">
        <v>2.95</v>
      </c>
      <c r="BD292" s="865">
        <v>3.01111</v>
      </c>
      <c r="BE292" s="865">
        <v>3.1</v>
      </c>
      <c r="BF292" s="865">
        <v>3.18</v>
      </c>
      <c r="BG292" s="865">
        <v>3.2411099999999999</v>
      </c>
      <c r="BH292" s="865">
        <v>3.2411099999999999</v>
      </c>
    </row>
    <row r="293" spans="12:60">
      <c r="L293" s="861">
        <v>40324</v>
      </c>
      <c r="M293" s="865">
        <v>4.5</v>
      </c>
      <c r="N293" s="865">
        <v>4.68</v>
      </c>
      <c r="O293" s="865">
        <v>4.7249999999999996</v>
      </c>
      <c r="P293" s="865">
        <v>4.8383000000000003</v>
      </c>
      <c r="Q293" s="865">
        <v>4.8600000000000003</v>
      </c>
      <c r="R293" s="865">
        <v>4.8849999999999998</v>
      </c>
      <c r="S293" s="865">
        <v>4.91</v>
      </c>
      <c r="T293" s="865">
        <v>4.8696000000000002</v>
      </c>
      <c r="V293" s="861">
        <v>40323</v>
      </c>
      <c r="W293" s="865">
        <v>0.29937999999999998</v>
      </c>
      <c r="X293" s="865">
        <v>0.35399999999999998</v>
      </c>
      <c r="Y293" s="865">
        <v>0.432</v>
      </c>
      <c r="Z293" s="865">
        <v>0.53625</v>
      </c>
      <c r="AA293" s="865">
        <v>0.60375000000000001</v>
      </c>
      <c r="AB293" s="865">
        <v>0.67181000000000002</v>
      </c>
      <c r="AC293" s="865">
        <v>0.75912999999999997</v>
      </c>
      <c r="AD293" s="865">
        <v>1.2241299999999999</v>
      </c>
      <c r="AF293" s="861">
        <v>40333</v>
      </c>
      <c r="AG293" s="865">
        <v>0.27250000000000002</v>
      </c>
      <c r="AH293" s="865">
        <v>0.39500000000000002</v>
      </c>
      <c r="AI293" s="865">
        <v>0.49</v>
      </c>
      <c r="AJ293" s="865">
        <v>0.64</v>
      </c>
      <c r="AK293" s="865">
        <v>0.73875000000000002</v>
      </c>
      <c r="AL293" s="865">
        <v>0.82874999999999999</v>
      </c>
      <c r="AM293" s="865">
        <v>0.94374999999999998</v>
      </c>
      <c r="AN293" s="865">
        <v>1.2475000000000001</v>
      </c>
      <c r="AP293" s="861">
        <v>40323</v>
      </c>
      <c r="AQ293" s="865">
        <v>0.54874999999999996</v>
      </c>
      <c r="AR293" s="865">
        <v>0.56625000000000003</v>
      </c>
      <c r="AS293" s="865">
        <v>0.61624999999999996</v>
      </c>
      <c r="AT293" s="865">
        <v>0.70813000000000004</v>
      </c>
      <c r="AU293" s="865">
        <v>0.78249999999999997</v>
      </c>
      <c r="AV293" s="865">
        <v>0.87375000000000003</v>
      </c>
      <c r="AW293" s="865">
        <v>0.97687999999999997</v>
      </c>
      <c r="AX293" s="865">
        <v>1.4168799999999999</v>
      </c>
      <c r="AZ293" s="861">
        <v>40332</v>
      </c>
      <c r="BA293" s="865">
        <v>2.5</v>
      </c>
      <c r="BB293" s="865">
        <v>2.79</v>
      </c>
      <c r="BC293" s="865">
        <v>2.9388899999999998</v>
      </c>
      <c r="BD293" s="865">
        <v>3.02556</v>
      </c>
      <c r="BE293" s="865">
        <v>3.1</v>
      </c>
      <c r="BF293" s="865">
        <v>3.18</v>
      </c>
      <c r="BG293" s="865">
        <v>3.24</v>
      </c>
      <c r="BH293" s="865">
        <v>3.24</v>
      </c>
    </row>
    <row r="294" spans="12:60">
      <c r="L294" s="861">
        <v>40323</v>
      </c>
      <c r="M294" s="865">
        <v>4.5</v>
      </c>
      <c r="N294" s="865">
        <v>4.6749999999999998</v>
      </c>
      <c r="O294" s="865">
        <v>4.7450000000000001</v>
      </c>
      <c r="P294" s="865">
        <v>4.8532999999999999</v>
      </c>
      <c r="Q294" s="865">
        <v>4.8849999999999998</v>
      </c>
      <c r="R294" s="865">
        <v>4.9132999999999996</v>
      </c>
      <c r="S294" s="865">
        <v>4.9550000000000001</v>
      </c>
      <c r="T294" s="865">
        <v>4.9260000000000002</v>
      </c>
      <c r="V294" s="861">
        <v>40322</v>
      </c>
      <c r="W294" s="865">
        <v>0.29563</v>
      </c>
      <c r="X294" s="865">
        <v>0.34525</v>
      </c>
      <c r="Y294" s="865">
        <v>0.41693999999999998</v>
      </c>
      <c r="Z294" s="865">
        <v>0.50968999999999998</v>
      </c>
      <c r="AA294" s="865">
        <v>0.57062999999999997</v>
      </c>
      <c r="AB294" s="865">
        <v>0.63312999999999997</v>
      </c>
      <c r="AC294" s="865">
        <v>0.71625000000000005</v>
      </c>
      <c r="AD294" s="865">
        <v>1.1765600000000001</v>
      </c>
      <c r="AF294" s="861">
        <v>40332</v>
      </c>
      <c r="AG294" s="865">
        <v>0.27374999999999999</v>
      </c>
      <c r="AH294" s="865">
        <v>0.39624999999999999</v>
      </c>
      <c r="AI294" s="865">
        <v>0.49</v>
      </c>
      <c r="AJ294" s="865">
        <v>0.64063000000000003</v>
      </c>
      <c r="AK294" s="865">
        <v>0.73875000000000002</v>
      </c>
      <c r="AL294" s="865">
        <v>0.83313000000000004</v>
      </c>
      <c r="AM294" s="865">
        <v>0.94313000000000002</v>
      </c>
      <c r="AN294" s="865">
        <v>1.24563</v>
      </c>
      <c r="AP294" s="861">
        <v>40322</v>
      </c>
      <c r="AQ294" s="865">
        <v>0.54749999999999999</v>
      </c>
      <c r="AR294" s="865">
        <v>0.56499999999999995</v>
      </c>
      <c r="AS294" s="865">
        <v>0.61312999999999995</v>
      </c>
      <c r="AT294" s="865">
        <v>0.70187999999999995</v>
      </c>
      <c r="AU294" s="865">
        <v>0.77563000000000004</v>
      </c>
      <c r="AV294" s="865">
        <v>0.86624999999999996</v>
      </c>
      <c r="AW294" s="865">
        <v>0.96875</v>
      </c>
      <c r="AX294" s="865">
        <v>1.4068799999999999</v>
      </c>
      <c r="AZ294" s="861">
        <v>40331</v>
      </c>
      <c r="BA294" s="865">
        <v>2.5</v>
      </c>
      <c r="BB294" s="865">
        <v>2.79</v>
      </c>
      <c r="BC294" s="865">
        <v>2.91</v>
      </c>
      <c r="BD294" s="865">
        <v>3.0211100000000002</v>
      </c>
      <c r="BE294" s="865">
        <v>3.1</v>
      </c>
      <c r="BF294" s="865">
        <v>3.18</v>
      </c>
      <c r="BG294" s="865">
        <v>3.24</v>
      </c>
      <c r="BH294" s="865">
        <v>3.24</v>
      </c>
    </row>
    <row r="295" spans="12:60">
      <c r="L295" s="861">
        <v>40322</v>
      </c>
      <c r="M295" s="865">
        <v>4.5</v>
      </c>
      <c r="N295" s="865">
        <v>4.6100000000000003</v>
      </c>
      <c r="O295" s="865">
        <v>4.6683000000000003</v>
      </c>
      <c r="P295" s="865">
        <v>4.75</v>
      </c>
      <c r="Q295" s="865">
        <v>4.7633000000000001</v>
      </c>
      <c r="R295" s="865">
        <v>4.7732999999999999</v>
      </c>
      <c r="S295" s="865">
        <v>4.7933000000000003</v>
      </c>
      <c r="T295" s="865">
        <v>4.8234000000000004</v>
      </c>
      <c r="V295" s="861">
        <v>40319</v>
      </c>
      <c r="W295" s="865">
        <v>0.29625000000000001</v>
      </c>
      <c r="X295" s="865">
        <v>0.34281</v>
      </c>
      <c r="Y295" s="865">
        <v>0.41155999999999998</v>
      </c>
      <c r="Z295" s="865">
        <v>0.49687999999999999</v>
      </c>
      <c r="AA295" s="865">
        <v>0.55437999999999998</v>
      </c>
      <c r="AB295" s="865">
        <v>0.61343999999999999</v>
      </c>
      <c r="AC295" s="865">
        <v>0.69562999999999997</v>
      </c>
      <c r="AD295" s="865">
        <v>1.15438</v>
      </c>
      <c r="AF295" s="861">
        <v>40331</v>
      </c>
      <c r="AG295" s="865">
        <v>0.27500000000000002</v>
      </c>
      <c r="AH295" s="865">
        <v>0.39562999999999998</v>
      </c>
      <c r="AI295" s="865">
        <v>0.49</v>
      </c>
      <c r="AJ295" s="865">
        <v>0.63749999999999996</v>
      </c>
      <c r="AK295" s="865">
        <v>0.73687999999999998</v>
      </c>
      <c r="AL295" s="865">
        <v>0.83250000000000002</v>
      </c>
      <c r="AM295" s="865">
        <v>0.94125000000000003</v>
      </c>
      <c r="AN295" s="865">
        <v>1.2437499999999999</v>
      </c>
      <c r="AP295" s="861">
        <v>40319</v>
      </c>
      <c r="AQ295" s="865">
        <v>0.54749999999999999</v>
      </c>
      <c r="AR295" s="865">
        <v>0.56499999999999995</v>
      </c>
      <c r="AS295" s="865">
        <v>0.61250000000000004</v>
      </c>
      <c r="AT295" s="865">
        <v>0.7</v>
      </c>
      <c r="AU295" s="865">
        <v>0.77249999999999996</v>
      </c>
      <c r="AV295" s="865">
        <v>0.86312999999999995</v>
      </c>
      <c r="AW295" s="865">
        <v>0.96499999999999997</v>
      </c>
      <c r="AX295" s="865">
        <v>1.4025000000000001</v>
      </c>
      <c r="AZ295" s="861">
        <v>40330</v>
      </c>
      <c r="BA295" s="865">
        <v>2.5</v>
      </c>
      <c r="BB295" s="865">
        <v>2.78</v>
      </c>
      <c r="BC295" s="865">
        <v>2.88</v>
      </c>
      <c r="BD295" s="865">
        <v>3.03444</v>
      </c>
      <c r="BE295" s="865">
        <v>3.08</v>
      </c>
      <c r="BF295" s="865">
        <v>3.16</v>
      </c>
      <c r="BG295" s="865">
        <v>3.2</v>
      </c>
      <c r="BH295" s="865">
        <v>3.2</v>
      </c>
    </row>
    <row r="296" spans="12:60">
      <c r="L296" s="861">
        <v>40319</v>
      </c>
      <c r="M296" s="865">
        <v>4.5</v>
      </c>
      <c r="N296" s="865">
        <v>4.62</v>
      </c>
      <c r="O296" s="865">
        <v>4.6500000000000004</v>
      </c>
      <c r="P296" s="865">
        <v>4.67</v>
      </c>
      <c r="Q296" s="865">
        <v>4.6882999999999999</v>
      </c>
      <c r="R296" s="865">
        <v>4.7083000000000004</v>
      </c>
      <c r="S296" s="865">
        <v>4.7233000000000001</v>
      </c>
      <c r="T296" s="865">
        <v>4.7760999999999996</v>
      </c>
      <c r="V296" s="861">
        <v>40318</v>
      </c>
      <c r="W296" s="865">
        <v>0.29499999999999998</v>
      </c>
      <c r="X296" s="865">
        <v>0.34131</v>
      </c>
      <c r="Y296" s="865">
        <v>0.40938000000000002</v>
      </c>
      <c r="Z296" s="865">
        <v>0.48405999999999999</v>
      </c>
      <c r="AA296" s="865">
        <v>0.53905999999999998</v>
      </c>
      <c r="AB296" s="865">
        <v>0.59469000000000005</v>
      </c>
      <c r="AC296" s="865">
        <v>0.67874999999999996</v>
      </c>
      <c r="AD296" s="865">
        <v>1.135</v>
      </c>
      <c r="AF296" s="861">
        <v>40330</v>
      </c>
      <c r="AG296" s="865">
        <v>0.27500000000000002</v>
      </c>
      <c r="AH296" s="865">
        <v>0.39374999999999999</v>
      </c>
      <c r="AI296" s="865">
        <v>0.48875000000000002</v>
      </c>
      <c r="AJ296" s="865">
        <v>0.63688</v>
      </c>
      <c r="AK296" s="865">
        <v>0.73438000000000003</v>
      </c>
      <c r="AL296" s="865">
        <v>0.83125000000000004</v>
      </c>
      <c r="AM296" s="865">
        <v>0.94125000000000003</v>
      </c>
      <c r="AN296" s="865">
        <v>1.24125</v>
      </c>
      <c r="AP296" s="861">
        <v>40318</v>
      </c>
      <c r="AQ296" s="865">
        <v>0.54749999999999999</v>
      </c>
      <c r="AR296" s="865">
        <v>0.56437999999999999</v>
      </c>
      <c r="AS296" s="865">
        <v>0.60875000000000001</v>
      </c>
      <c r="AT296" s="865">
        <v>0.69562999999999997</v>
      </c>
      <c r="AU296" s="865">
        <v>0.77124999999999999</v>
      </c>
      <c r="AV296" s="865">
        <v>0.86063000000000001</v>
      </c>
      <c r="AW296" s="865">
        <v>0.96187999999999996</v>
      </c>
      <c r="AX296" s="865">
        <v>1.4</v>
      </c>
      <c r="AZ296" s="861">
        <v>40329</v>
      </c>
      <c r="BA296" s="865">
        <v>2.5</v>
      </c>
      <c r="BB296" s="865">
        <v>2.71</v>
      </c>
      <c r="BC296" s="865">
        <v>2.86</v>
      </c>
      <c r="BD296" s="865">
        <v>2.9266700000000001</v>
      </c>
      <c r="BE296" s="865">
        <v>2.9611100000000001</v>
      </c>
      <c r="BF296" s="865">
        <v>3.07</v>
      </c>
      <c r="BG296" s="865">
        <v>3.11</v>
      </c>
      <c r="BH296" s="865">
        <v>3.11</v>
      </c>
    </row>
    <row r="297" spans="12:60">
      <c r="L297" s="861">
        <v>40318</v>
      </c>
      <c r="M297" s="865">
        <v>4.5</v>
      </c>
      <c r="N297" s="865">
        <v>4.63</v>
      </c>
      <c r="O297" s="865">
        <v>4.7066999999999997</v>
      </c>
      <c r="P297" s="865">
        <v>4.7083000000000004</v>
      </c>
      <c r="Q297" s="865">
        <v>4.7717000000000001</v>
      </c>
      <c r="R297" s="865">
        <v>4.8232999999999997</v>
      </c>
      <c r="S297" s="865">
        <v>4.8666999999999998</v>
      </c>
      <c r="T297" s="865">
        <v>4.9680999999999997</v>
      </c>
      <c r="V297" s="861">
        <v>40317</v>
      </c>
      <c r="W297" s="865">
        <v>0.29875000000000002</v>
      </c>
      <c r="X297" s="865">
        <v>0.34105999999999997</v>
      </c>
      <c r="Y297" s="865">
        <v>0.40638000000000002</v>
      </c>
      <c r="Z297" s="865">
        <v>0.47749999999999998</v>
      </c>
      <c r="AA297" s="865">
        <v>0.52937999999999996</v>
      </c>
      <c r="AB297" s="865">
        <v>0.58650000000000002</v>
      </c>
      <c r="AC297" s="865">
        <v>0.67337999999999998</v>
      </c>
      <c r="AD297" s="865">
        <v>1.1299999999999999</v>
      </c>
      <c r="AF297" s="861">
        <v>40329</v>
      </c>
      <c r="AG297" s="865">
        <v>0.28000000000000003</v>
      </c>
      <c r="AH297" s="865">
        <v>0.39124999999999999</v>
      </c>
      <c r="AI297" s="865">
        <v>0.48687999999999998</v>
      </c>
      <c r="AJ297" s="865">
        <v>0.63312999999999997</v>
      </c>
      <c r="AK297" s="865">
        <v>0.73187999999999998</v>
      </c>
      <c r="AL297" s="865">
        <v>0.82687999999999995</v>
      </c>
      <c r="AM297" s="865">
        <v>0.93813000000000002</v>
      </c>
      <c r="AN297" s="865">
        <v>1.2362500000000001</v>
      </c>
      <c r="AP297" s="861">
        <v>40317</v>
      </c>
      <c r="AQ297" s="865">
        <v>0.54749999999999999</v>
      </c>
      <c r="AR297" s="865">
        <v>0.56437999999999999</v>
      </c>
      <c r="AS297" s="865">
        <v>0.60875000000000001</v>
      </c>
      <c r="AT297" s="865">
        <v>0.69594</v>
      </c>
      <c r="AU297" s="865">
        <v>0.77</v>
      </c>
      <c r="AV297" s="865">
        <v>0.86063000000000001</v>
      </c>
      <c r="AW297" s="865">
        <v>0.96187999999999996</v>
      </c>
      <c r="AX297" s="865">
        <v>1.4</v>
      </c>
      <c r="AZ297" s="861">
        <v>40326</v>
      </c>
      <c r="BA297" s="865">
        <v>2.5</v>
      </c>
      <c r="BB297" s="865">
        <v>2.72</v>
      </c>
      <c r="BC297" s="865">
        <v>2.86</v>
      </c>
      <c r="BD297" s="865">
        <v>2.9755600000000002</v>
      </c>
      <c r="BE297" s="865">
        <v>2.9677799999999999</v>
      </c>
      <c r="BF297" s="865">
        <v>3.07</v>
      </c>
      <c r="BG297" s="865">
        <v>3.11</v>
      </c>
      <c r="BH297" s="865">
        <v>3.11</v>
      </c>
    </row>
    <row r="298" spans="12:60">
      <c r="L298" s="861">
        <v>40317</v>
      </c>
      <c r="M298" s="865">
        <v>4.5</v>
      </c>
      <c r="N298" s="865">
        <v>4.6216999999999997</v>
      </c>
      <c r="O298" s="865">
        <v>4.7683</v>
      </c>
      <c r="P298" s="865">
        <v>4.8049999999999997</v>
      </c>
      <c r="Q298" s="865">
        <v>4.8449999999999998</v>
      </c>
      <c r="R298" s="865">
        <v>4.8682999999999996</v>
      </c>
      <c r="S298" s="865">
        <v>4.8933</v>
      </c>
      <c r="T298" s="865">
        <v>4.9939999999999998</v>
      </c>
      <c r="V298" s="861">
        <v>40316</v>
      </c>
      <c r="W298" s="865">
        <v>0.29563</v>
      </c>
      <c r="X298" s="865">
        <v>0.33968999999999999</v>
      </c>
      <c r="Y298" s="865">
        <v>0.39874999999999999</v>
      </c>
      <c r="Z298" s="865">
        <v>0.46468999999999999</v>
      </c>
      <c r="AA298" s="865">
        <v>0.51437999999999995</v>
      </c>
      <c r="AB298" s="865">
        <v>0.57125000000000004</v>
      </c>
      <c r="AC298" s="865">
        <v>0.65500000000000003</v>
      </c>
      <c r="AD298" s="865">
        <v>1.115</v>
      </c>
      <c r="AF298" s="861">
        <v>40326</v>
      </c>
      <c r="AG298" s="865">
        <v>0.27500000000000002</v>
      </c>
      <c r="AH298" s="865">
        <v>0.39438000000000001</v>
      </c>
      <c r="AI298" s="865">
        <v>0.48875000000000002</v>
      </c>
      <c r="AJ298" s="865">
        <v>0.63438000000000005</v>
      </c>
      <c r="AK298" s="865">
        <v>0.73250000000000004</v>
      </c>
      <c r="AL298" s="865">
        <v>0.82813000000000003</v>
      </c>
      <c r="AM298" s="865">
        <v>0.93937999999999999</v>
      </c>
      <c r="AN298" s="865">
        <v>1.2375</v>
      </c>
      <c r="AP298" s="861">
        <v>40316</v>
      </c>
      <c r="AQ298" s="865">
        <v>0.54749999999999999</v>
      </c>
      <c r="AR298" s="865">
        <v>0.56437999999999999</v>
      </c>
      <c r="AS298" s="865">
        <v>0.60875000000000001</v>
      </c>
      <c r="AT298" s="865">
        <v>0.69625000000000004</v>
      </c>
      <c r="AU298" s="865">
        <v>0.77</v>
      </c>
      <c r="AV298" s="865">
        <v>0.86</v>
      </c>
      <c r="AW298" s="865">
        <v>0.96062999999999998</v>
      </c>
      <c r="AX298" s="865">
        <v>1.3975</v>
      </c>
      <c r="AZ298" s="861">
        <v>40325</v>
      </c>
      <c r="BA298" s="865">
        <v>2.5</v>
      </c>
      <c r="BB298" s="865">
        <v>2.73</v>
      </c>
      <c r="BC298" s="865">
        <v>2.83</v>
      </c>
      <c r="BD298" s="865">
        <v>2.9577800000000001</v>
      </c>
      <c r="BE298" s="865">
        <v>2.96</v>
      </c>
      <c r="BF298" s="865">
        <v>3.0644399999999998</v>
      </c>
      <c r="BG298" s="865">
        <v>3.11</v>
      </c>
      <c r="BH298" s="865">
        <v>3.11</v>
      </c>
    </row>
    <row r="299" spans="12:60">
      <c r="L299" s="861">
        <v>40316</v>
      </c>
      <c r="M299" s="865">
        <v>4.5</v>
      </c>
      <c r="N299" s="865">
        <v>4.62</v>
      </c>
      <c r="O299" s="865">
        <v>4.7933000000000003</v>
      </c>
      <c r="P299" s="865">
        <v>4.835</v>
      </c>
      <c r="Q299" s="865">
        <v>4.8733000000000004</v>
      </c>
      <c r="R299" s="865">
        <v>4.9032999999999998</v>
      </c>
      <c r="S299" s="865">
        <v>4.9400000000000004</v>
      </c>
      <c r="T299" s="865">
        <v>5.0885999999999996</v>
      </c>
      <c r="V299" s="861">
        <v>40315</v>
      </c>
      <c r="W299" s="865">
        <v>0.3</v>
      </c>
      <c r="X299" s="865">
        <v>0.33894000000000002</v>
      </c>
      <c r="Y299" s="865">
        <v>0.39612999999999998</v>
      </c>
      <c r="Z299" s="865">
        <v>0.46</v>
      </c>
      <c r="AA299" s="865">
        <v>0.50988</v>
      </c>
      <c r="AB299" s="865">
        <v>0.56713000000000002</v>
      </c>
      <c r="AC299" s="865">
        <v>0.65475000000000005</v>
      </c>
      <c r="AD299" s="865">
        <v>1.11938</v>
      </c>
      <c r="AF299" s="861">
        <v>40325</v>
      </c>
      <c r="AG299" s="865">
        <v>0.27500000000000002</v>
      </c>
      <c r="AH299" s="865">
        <v>0.39374999999999999</v>
      </c>
      <c r="AI299" s="865">
        <v>0.48813000000000001</v>
      </c>
      <c r="AJ299" s="865">
        <v>0.63500000000000001</v>
      </c>
      <c r="AK299" s="865">
        <v>0.73187999999999998</v>
      </c>
      <c r="AL299" s="865">
        <v>0.82750000000000001</v>
      </c>
      <c r="AM299" s="865">
        <v>0.93874999999999997</v>
      </c>
      <c r="AN299" s="865">
        <v>1.23875</v>
      </c>
      <c r="AP299" s="861">
        <v>40315</v>
      </c>
      <c r="AQ299" s="865">
        <v>0.54749999999999999</v>
      </c>
      <c r="AR299" s="865">
        <v>0.56437999999999999</v>
      </c>
      <c r="AS299" s="865">
        <v>0.60812999999999995</v>
      </c>
      <c r="AT299" s="865">
        <v>0.69625000000000004</v>
      </c>
      <c r="AU299" s="865">
        <v>0.76875000000000004</v>
      </c>
      <c r="AV299" s="865">
        <v>0.85875000000000001</v>
      </c>
      <c r="AW299" s="865">
        <v>0.95813000000000004</v>
      </c>
      <c r="AX299" s="865">
        <v>1.3968799999999999</v>
      </c>
      <c r="AZ299" s="861">
        <v>40324</v>
      </c>
      <c r="BA299" s="865">
        <v>2.5</v>
      </c>
      <c r="BB299" s="865">
        <v>2.7</v>
      </c>
      <c r="BC299" s="865">
        <v>2.83</v>
      </c>
      <c r="BD299" s="865">
        <v>2.9388899999999998</v>
      </c>
      <c r="BE299" s="865">
        <v>2.96</v>
      </c>
      <c r="BF299" s="865">
        <v>3.07</v>
      </c>
      <c r="BG299" s="865">
        <v>3.11</v>
      </c>
      <c r="BH299" s="865">
        <v>3.11</v>
      </c>
    </row>
    <row r="300" spans="12:60">
      <c r="L300" s="861">
        <v>40315</v>
      </c>
      <c r="M300" s="865">
        <v>4.5</v>
      </c>
      <c r="N300" s="865">
        <v>4.7</v>
      </c>
      <c r="O300" s="865">
        <v>4.8083</v>
      </c>
      <c r="P300" s="865">
        <v>4.8499999999999996</v>
      </c>
      <c r="Q300" s="865">
        <v>4.8917000000000002</v>
      </c>
      <c r="R300" s="865">
        <v>4.9233000000000002</v>
      </c>
      <c r="S300" s="865">
        <v>4.9649999999999999</v>
      </c>
      <c r="T300" s="865">
        <v>5.0960999999999999</v>
      </c>
      <c r="V300" s="861">
        <v>40312</v>
      </c>
      <c r="W300" s="865">
        <v>0.29249999999999998</v>
      </c>
      <c r="X300" s="865">
        <v>0.33774999999999999</v>
      </c>
      <c r="Y300" s="865">
        <v>0.38928000000000001</v>
      </c>
      <c r="Z300" s="865">
        <v>0.44506000000000001</v>
      </c>
      <c r="AA300" s="865">
        <v>0.49381000000000003</v>
      </c>
      <c r="AB300" s="865">
        <v>0.54949999999999999</v>
      </c>
      <c r="AC300" s="865">
        <v>0.63500000000000001</v>
      </c>
      <c r="AD300" s="865">
        <v>1.1056299999999999</v>
      </c>
      <c r="AF300" s="861">
        <v>40324</v>
      </c>
      <c r="AG300" s="865">
        <v>0.27875</v>
      </c>
      <c r="AH300" s="865">
        <v>0.39500000000000002</v>
      </c>
      <c r="AI300" s="865">
        <v>0.48813000000000001</v>
      </c>
      <c r="AJ300" s="865">
        <v>0.63500000000000001</v>
      </c>
      <c r="AK300" s="865">
        <v>0.73375000000000001</v>
      </c>
      <c r="AL300" s="865">
        <v>0.82874999999999999</v>
      </c>
      <c r="AM300" s="865">
        <v>0.94125000000000003</v>
      </c>
      <c r="AN300" s="865">
        <v>1.24125</v>
      </c>
      <c r="AP300" s="861">
        <v>40312</v>
      </c>
      <c r="AQ300" s="865">
        <v>0.54749999999999999</v>
      </c>
      <c r="AR300" s="865">
        <v>0.56437999999999999</v>
      </c>
      <c r="AS300" s="865">
        <v>0.60812999999999995</v>
      </c>
      <c r="AT300" s="865">
        <v>0.69750000000000001</v>
      </c>
      <c r="AU300" s="865">
        <v>0.76624999999999999</v>
      </c>
      <c r="AV300" s="865">
        <v>0.85687999999999998</v>
      </c>
      <c r="AW300" s="865">
        <v>0.95687999999999995</v>
      </c>
      <c r="AX300" s="865">
        <v>1.39438</v>
      </c>
      <c r="AZ300" s="861">
        <v>40323</v>
      </c>
      <c r="BA300" s="865">
        <v>2.5</v>
      </c>
      <c r="BB300" s="865">
        <v>2.71875</v>
      </c>
      <c r="BC300" s="865">
        <v>2.8</v>
      </c>
      <c r="BD300" s="865">
        <v>2.8975</v>
      </c>
      <c r="BE300" s="865">
        <v>2.95</v>
      </c>
      <c r="BF300" s="865">
        <v>3.03</v>
      </c>
      <c r="BG300" s="865">
        <v>3.06</v>
      </c>
      <c r="BH300" s="865">
        <v>3.06</v>
      </c>
    </row>
    <row r="301" spans="12:60">
      <c r="L301" s="861">
        <v>40312</v>
      </c>
      <c r="M301" s="865">
        <v>4.5</v>
      </c>
      <c r="N301" s="865">
        <v>4.7133000000000003</v>
      </c>
      <c r="O301" s="865">
        <v>4.8049999999999997</v>
      </c>
      <c r="P301" s="865">
        <v>4.875</v>
      </c>
      <c r="Q301" s="865">
        <v>4.9000000000000004</v>
      </c>
      <c r="R301" s="865">
        <v>4.93</v>
      </c>
      <c r="S301" s="865">
        <v>4.9649999999999999</v>
      </c>
      <c r="T301" s="865">
        <v>5.1218000000000004</v>
      </c>
      <c r="V301" s="861">
        <v>40311</v>
      </c>
      <c r="W301" s="865">
        <v>0.29625000000000001</v>
      </c>
      <c r="X301" s="865">
        <v>0.33688000000000001</v>
      </c>
      <c r="Y301" s="865">
        <v>0.38338</v>
      </c>
      <c r="Z301" s="865">
        <v>0.43587999999999999</v>
      </c>
      <c r="AA301" s="865">
        <v>0.48499999999999999</v>
      </c>
      <c r="AB301" s="865">
        <v>0.54118999999999995</v>
      </c>
      <c r="AC301" s="865">
        <v>0.62263000000000002</v>
      </c>
      <c r="AD301" s="865">
        <v>1.09219</v>
      </c>
      <c r="AF301" s="861">
        <v>40323</v>
      </c>
      <c r="AG301" s="865">
        <v>0.27875</v>
      </c>
      <c r="AH301" s="865">
        <v>0.39624999999999999</v>
      </c>
      <c r="AI301" s="865">
        <v>0.49063000000000001</v>
      </c>
      <c r="AJ301" s="865">
        <v>0.63875000000000004</v>
      </c>
      <c r="AK301" s="865">
        <v>0.73624999999999996</v>
      </c>
      <c r="AL301" s="865">
        <v>0.83250000000000002</v>
      </c>
      <c r="AM301" s="865">
        <v>0.94499999999999995</v>
      </c>
      <c r="AN301" s="865">
        <v>1.2450000000000001</v>
      </c>
      <c r="AP301" s="861">
        <v>40311</v>
      </c>
      <c r="AQ301" s="865">
        <v>0.54749999999999999</v>
      </c>
      <c r="AR301" s="865">
        <v>0.56499999999999995</v>
      </c>
      <c r="AS301" s="865">
        <v>0.60750000000000004</v>
      </c>
      <c r="AT301" s="865">
        <v>0.69750000000000001</v>
      </c>
      <c r="AU301" s="865">
        <v>0.76500000000000001</v>
      </c>
      <c r="AV301" s="865">
        <v>0.85438000000000003</v>
      </c>
      <c r="AW301" s="865">
        <v>0.95687999999999995</v>
      </c>
      <c r="AX301" s="865">
        <v>1.39438</v>
      </c>
      <c r="AZ301" s="861">
        <v>40322</v>
      </c>
      <c r="BA301" s="865">
        <v>2.5</v>
      </c>
      <c r="BB301" s="865">
        <v>2.7</v>
      </c>
      <c r="BC301" s="865">
        <v>2.79</v>
      </c>
      <c r="BD301" s="865">
        <v>2.8822199999999998</v>
      </c>
      <c r="BE301" s="865">
        <v>2.95</v>
      </c>
      <c r="BF301" s="865">
        <v>3.03</v>
      </c>
      <c r="BG301" s="865">
        <v>3.06</v>
      </c>
      <c r="BH301" s="865">
        <v>3.06</v>
      </c>
    </row>
    <row r="302" spans="12:60">
      <c r="L302" s="861">
        <v>40311</v>
      </c>
      <c r="M302" s="865">
        <v>4.5</v>
      </c>
      <c r="N302" s="865">
        <v>4.6950000000000003</v>
      </c>
      <c r="O302" s="865">
        <v>4.8</v>
      </c>
      <c r="P302" s="865">
        <v>4.8766999999999996</v>
      </c>
      <c r="Q302" s="865">
        <v>4.9050000000000002</v>
      </c>
      <c r="R302" s="865">
        <v>4.9333</v>
      </c>
      <c r="S302" s="865">
        <v>4.9683000000000002</v>
      </c>
      <c r="T302" s="865">
        <v>5.1257000000000001</v>
      </c>
      <c r="V302" s="861">
        <v>40310</v>
      </c>
      <c r="W302" s="865">
        <v>0.29875000000000002</v>
      </c>
      <c r="X302" s="865">
        <v>0.33812999999999999</v>
      </c>
      <c r="Y302" s="865">
        <v>0.38218999999999997</v>
      </c>
      <c r="Z302" s="865">
        <v>0.43019000000000002</v>
      </c>
      <c r="AA302" s="865">
        <v>0.48025000000000001</v>
      </c>
      <c r="AB302" s="865">
        <v>0.53869</v>
      </c>
      <c r="AC302" s="865">
        <v>0.62231000000000003</v>
      </c>
      <c r="AD302" s="865">
        <v>1.0974999999999999</v>
      </c>
      <c r="AF302" s="861">
        <v>40322</v>
      </c>
      <c r="AG302" s="865">
        <v>0.27750000000000002</v>
      </c>
      <c r="AH302" s="865">
        <v>0.39250000000000002</v>
      </c>
      <c r="AI302" s="865">
        <v>0.49</v>
      </c>
      <c r="AJ302" s="865">
        <v>0.63438000000000005</v>
      </c>
      <c r="AK302" s="865">
        <v>0.73812999999999995</v>
      </c>
      <c r="AL302" s="865">
        <v>0.83562999999999998</v>
      </c>
      <c r="AM302" s="865">
        <v>0.94062999999999997</v>
      </c>
      <c r="AN302" s="865">
        <v>1.24438</v>
      </c>
      <c r="AP302" s="861">
        <v>40310</v>
      </c>
      <c r="AQ302" s="865">
        <v>0.54874999999999996</v>
      </c>
      <c r="AR302" s="865">
        <v>0.56469000000000003</v>
      </c>
      <c r="AS302" s="865">
        <v>0.60875000000000001</v>
      </c>
      <c r="AT302" s="865">
        <v>0.69874999999999998</v>
      </c>
      <c r="AU302" s="865">
        <v>0.76812999999999998</v>
      </c>
      <c r="AV302" s="865">
        <v>0.85750000000000004</v>
      </c>
      <c r="AW302" s="865">
        <v>0.96062999999999998</v>
      </c>
      <c r="AX302" s="865">
        <v>1.3987499999999999</v>
      </c>
      <c r="AZ302" s="861">
        <v>40319</v>
      </c>
      <c r="BA302" s="865">
        <v>2.5</v>
      </c>
      <c r="BB302" s="865">
        <v>2.6922199999999998</v>
      </c>
      <c r="BC302" s="865">
        <v>2.7977799999999999</v>
      </c>
      <c r="BD302" s="865">
        <v>2.8877799999999998</v>
      </c>
      <c r="BE302" s="865">
        <v>2.95</v>
      </c>
      <c r="BF302" s="865">
        <v>3.03</v>
      </c>
      <c r="BG302" s="865">
        <v>3.06</v>
      </c>
      <c r="BH302" s="865">
        <v>3.06</v>
      </c>
    </row>
    <row r="303" spans="12:60">
      <c r="L303" s="861">
        <v>40310</v>
      </c>
      <c r="M303" s="865">
        <v>4.5</v>
      </c>
      <c r="N303" s="865">
        <v>4.6932999999999998</v>
      </c>
      <c r="O303" s="865">
        <v>4.78</v>
      </c>
      <c r="P303" s="865">
        <v>4.8833000000000002</v>
      </c>
      <c r="Q303" s="865">
        <v>4.9032999999999998</v>
      </c>
      <c r="R303" s="865">
        <v>4.93</v>
      </c>
      <c r="S303" s="865">
        <v>4.9717000000000002</v>
      </c>
      <c r="T303" s="865">
        <v>5.1036000000000001</v>
      </c>
      <c r="V303" s="861">
        <v>40309</v>
      </c>
      <c r="W303" s="865">
        <v>0.30249999999999999</v>
      </c>
      <c r="X303" s="865">
        <v>0.33750000000000002</v>
      </c>
      <c r="Y303" s="865">
        <v>0.38094</v>
      </c>
      <c r="Z303" s="865">
        <v>0.42281000000000002</v>
      </c>
      <c r="AA303" s="865">
        <v>0.47205999999999998</v>
      </c>
      <c r="AB303" s="865">
        <v>0.53144000000000002</v>
      </c>
      <c r="AC303" s="865">
        <v>0.61850000000000005</v>
      </c>
      <c r="AD303" s="865">
        <v>1.0987499999999999</v>
      </c>
      <c r="AF303" s="861">
        <v>40319</v>
      </c>
      <c r="AG303" s="865">
        <v>0.27750000000000002</v>
      </c>
      <c r="AH303" s="865">
        <v>0.39312999999999998</v>
      </c>
      <c r="AI303" s="865">
        <v>0.48875000000000002</v>
      </c>
      <c r="AJ303" s="865">
        <v>0.63624999999999998</v>
      </c>
      <c r="AK303" s="865">
        <v>0.73750000000000004</v>
      </c>
      <c r="AL303" s="865">
        <v>0.83438000000000001</v>
      </c>
      <c r="AM303" s="865">
        <v>0.9375</v>
      </c>
      <c r="AN303" s="865">
        <v>1.24125</v>
      </c>
      <c r="AP303" s="861">
        <v>40309</v>
      </c>
      <c r="AQ303" s="865">
        <v>0.55000000000000004</v>
      </c>
      <c r="AR303" s="865">
        <v>0.56718999999999997</v>
      </c>
      <c r="AS303" s="865">
        <v>0.61</v>
      </c>
      <c r="AT303" s="865">
        <v>0.70125000000000004</v>
      </c>
      <c r="AU303" s="865">
        <v>0.77188000000000001</v>
      </c>
      <c r="AV303" s="865">
        <v>0.85938000000000003</v>
      </c>
      <c r="AW303" s="865">
        <v>0.96438000000000001</v>
      </c>
      <c r="AX303" s="865">
        <v>1.40188</v>
      </c>
      <c r="AZ303" s="861">
        <v>40318</v>
      </c>
      <c r="BA303" s="865">
        <v>2.5</v>
      </c>
      <c r="BB303" s="865">
        <v>2.6833300000000002</v>
      </c>
      <c r="BC303" s="865">
        <v>2.8188900000000001</v>
      </c>
      <c r="BD303" s="865">
        <v>2.91</v>
      </c>
      <c r="BE303" s="865">
        <v>2.99</v>
      </c>
      <c r="BF303" s="865">
        <v>3.11</v>
      </c>
      <c r="BG303" s="865">
        <v>3.14</v>
      </c>
      <c r="BH303" s="865">
        <v>3.14</v>
      </c>
    </row>
    <row r="304" spans="12:60">
      <c r="L304" s="861">
        <v>40309</v>
      </c>
      <c r="M304" s="865">
        <v>4.5</v>
      </c>
      <c r="N304" s="865">
        <v>4.6783000000000001</v>
      </c>
      <c r="O304" s="865">
        <v>4.7667000000000002</v>
      </c>
      <c r="P304" s="865">
        <v>4.8083</v>
      </c>
      <c r="Q304" s="865">
        <v>4.8550000000000004</v>
      </c>
      <c r="R304" s="865">
        <v>4.8967000000000001</v>
      </c>
      <c r="S304" s="865">
        <v>4.9317000000000002</v>
      </c>
      <c r="T304" s="865">
        <v>5.0918999999999999</v>
      </c>
      <c r="V304" s="861">
        <v>40308</v>
      </c>
      <c r="W304" s="865">
        <v>0.3125</v>
      </c>
      <c r="X304" s="865">
        <v>0.34</v>
      </c>
      <c r="Y304" s="865">
        <v>0.38063000000000002</v>
      </c>
      <c r="Z304" s="865">
        <v>0.42125000000000001</v>
      </c>
      <c r="AA304" s="865">
        <v>0.47188000000000002</v>
      </c>
      <c r="AB304" s="865">
        <v>0.53125</v>
      </c>
      <c r="AC304" s="865">
        <v>0.62250000000000005</v>
      </c>
      <c r="AD304" s="865">
        <v>1.0974999999999999</v>
      </c>
      <c r="AF304" s="861">
        <v>40318</v>
      </c>
      <c r="AG304" s="865">
        <v>0.27750000000000002</v>
      </c>
      <c r="AH304" s="865">
        <v>0.39250000000000002</v>
      </c>
      <c r="AI304" s="865">
        <v>0.48813000000000001</v>
      </c>
      <c r="AJ304" s="865">
        <v>0.63563000000000003</v>
      </c>
      <c r="AK304" s="865">
        <v>0.73563000000000001</v>
      </c>
      <c r="AL304" s="865">
        <v>0.83313000000000004</v>
      </c>
      <c r="AM304" s="865">
        <v>0.93625000000000003</v>
      </c>
      <c r="AN304" s="865">
        <v>1.23875</v>
      </c>
      <c r="AP304" s="861">
        <v>40308</v>
      </c>
      <c r="AQ304" s="865">
        <v>0.55000000000000004</v>
      </c>
      <c r="AR304" s="865">
        <v>0.5675</v>
      </c>
      <c r="AS304" s="865">
        <v>0.60938000000000003</v>
      </c>
      <c r="AT304" s="865">
        <v>0.69750000000000001</v>
      </c>
      <c r="AU304" s="865">
        <v>0.77188000000000001</v>
      </c>
      <c r="AV304" s="865">
        <v>0.85687999999999998</v>
      </c>
      <c r="AW304" s="865">
        <v>0.95813000000000004</v>
      </c>
      <c r="AX304" s="865">
        <v>1.40188</v>
      </c>
      <c r="AZ304" s="861">
        <v>40317</v>
      </c>
      <c r="BA304" s="865">
        <v>2.5</v>
      </c>
      <c r="BB304" s="865">
        <v>2.71</v>
      </c>
      <c r="BC304" s="865">
        <v>2.83</v>
      </c>
      <c r="BD304" s="865">
        <v>2.91</v>
      </c>
      <c r="BE304" s="865">
        <v>2.99</v>
      </c>
      <c r="BF304" s="865">
        <v>3.11</v>
      </c>
      <c r="BG304" s="865">
        <v>3.14</v>
      </c>
      <c r="BH304" s="865">
        <v>3.14</v>
      </c>
    </row>
    <row r="305" spans="12:60">
      <c r="L305" s="861">
        <v>40308</v>
      </c>
      <c r="M305" s="865">
        <v>4.5</v>
      </c>
      <c r="N305" s="865">
        <v>4.6717000000000004</v>
      </c>
      <c r="O305" s="865">
        <v>4.7699999999999996</v>
      </c>
      <c r="P305" s="865">
        <v>4.8499999999999996</v>
      </c>
      <c r="Q305" s="865">
        <v>4.88</v>
      </c>
      <c r="R305" s="865">
        <v>4.9066999999999998</v>
      </c>
      <c r="S305" s="865">
        <v>4.9400000000000004</v>
      </c>
      <c r="T305" s="865">
        <v>5.1029999999999998</v>
      </c>
      <c r="V305" s="861">
        <v>40305</v>
      </c>
      <c r="W305" s="865">
        <v>0.32124999999999998</v>
      </c>
      <c r="X305" s="865">
        <v>0.34875</v>
      </c>
      <c r="Y305" s="865">
        <v>0.38562999999999997</v>
      </c>
      <c r="Z305" s="865">
        <v>0.42813000000000001</v>
      </c>
      <c r="AA305" s="865">
        <v>0.47875000000000001</v>
      </c>
      <c r="AB305" s="865">
        <v>0.54249999999999998</v>
      </c>
      <c r="AC305" s="865">
        <v>0.63688</v>
      </c>
      <c r="AD305" s="865">
        <v>1.1299999999999999</v>
      </c>
      <c r="AF305" s="861">
        <v>40317</v>
      </c>
      <c r="AG305" s="865">
        <v>0.27750000000000002</v>
      </c>
      <c r="AH305" s="865">
        <v>0.39</v>
      </c>
      <c r="AI305" s="865">
        <v>0.48625000000000002</v>
      </c>
      <c r="AJ305" s="865">
        <v>0.63500000000000001</v>
      </c>
      <c r="AK305" s="865">
        <v>0.73563000000000001</v>
      </c>
      <c r="AL305" s="865">
        <v>0.83313000000000004</v>
      </c>
      <c r="AM305" s="865">
        <v>0.93500000000000005</v>
      </c>
      <c r="AN305" s="865">
        <v>1.2375</v>
      </c>
      <c r="AP305" s="861">
        <v>40305</v>
      </c>
      <c r="AQ305" s="865">
        <v>0.55125000000000002</v>
      </c>
      <c r="AR305" s="865">
        <v>0.56781000000000004</v>
      </c>
      <c r="AS305" s="865">
        <v>0.60968999999999995</v>
      </c>
      <c r="AT305" s="865">
        <v>0.69655999999999996</v>
      </c>
      <c r="AU305" s="865">
        <v>0.77188000000000001</v>
      </c>
      <c r="AV305" s="865">
        <v>0.86124999999999996</v>
      </c>
      <c r="AW305" s="865">
        <v>0.96187999999999996</v>
      </c>
      <c r="AX305" s="865">
        <v>1.40313</v>
      </c>
      <c r="AZ305" s="861">
        <v>40316</v>
      </c>
      <c r="BA305" s="865">
        <v>2.5</v>
      </c>
      <c r="BB305" s="865">
        <v>2.7</v>
      </c>
      <c r="BC305" s="865">
        <v>2.83</v>
      </c>
      <c r="BD305" s="865">
        <v>2.8933300000000002</v>
      </c>
      <c r="BE305" s="865">
        <v>2.99</v>
      </c>
      <c r="BF305" s="865">
        <v>3.11</v>
      </c>
      <c r="BG305" s="865">
        <v>3.14</v>
      </c>
      <c r="BH305" s="865">
        <v>3.14</v>
      </c>
    </row>
    <row r="306" spans="12:60">
      <c r="L306" s="861">
        <v>40305</v>
      </c>
      <c r="M306" s="865">
        <v>4.5</v>
      </c>
      <c r="N306" s="865">
        <v>4.72</v>
      </c>
      <c r="O306" s="865">
        <v>4.8250000000000002</v>
      </c>
      <c r="P306" s="865">
        <v>4.8917000000000002</v>
      </c>
      <c r="Q306" s="865">
        <v>4.92</v>
      </c>
      <c r="R306" s="865">
        <v>4.9317000000000002</v>
      </c>
      <c r="S306" s="865">
        <v>4.9450000000000003</v>
      </c>
      <c r="T306" s="865">
        <v>5.0109000000000004</v>
      </c>
      <c r="V306" s="861">
        <v>40304</v>
      </c>
      <c r="W306" s="865">
        <v>0.27688000000000001</v>
      </c>
      <c r="X306" s="865">
        <v>0.29705999999999999</v>
      </c>
      <c r="Y306" s="865">
        <v>0.33531</v>
      </c>
      <c r="Z306" s="865">
        <v>0.37358999999999998</v>
      </c>
      <c r="AA306" s="865">
        <v>0.42187999999999998</v>
      </c>
      <c r="AB306" s="865">
        <v>0.48063</v>
      </c>
      <c r="AC306" s="865">
        <v>0.56562999999999997</v>
      </c>
      <c r="AD306" s="865">
        <v>1.0649999999999999</v>
      </c>
      <c r="AF306" s="861">
        <v>40316</v>
      </c>
      <c r="AG306" s="865">
        <v>0.27750000000000002</v>
      </c>
      <c r="AH306" s="865">
        <v>0.38750000000000001</v>
      </c>
      <c r="AI306" s="865">
        <v>0.48249999999999998</v>
      </c>
      <c r="AJ306" s="865">
        <v>0.63</v>
      </c>
      <c r="AK306" s="865">
        <v>0.73250000000000004</v>
      </c>
      <c r="AL306" s="865">
        <v>0.82774999999999999</v>
      </c>
      <c r="AM306" s="865">
        <v>0.93374999999999997</v>
      </c>
      <c r="AN306" s="865">
        <v>1.23875</v>
      </c>
      <c r="AP306" s="861">
        <v>40304</v>
      </c>
      <c r="AQ306" s="865">
        <v>0.54813000000000001</v>
      </c>
      <c r="AR306" s="865">
        <v>0.55813000000000001</v>
      </c>
      <c r="AS306" s="865">
        <v>0.59968999999999995</v>
      </c>
      <c r="AT306" s="865">
        <v>0.68156000000000005</v>
      </c>
      <c r="AU306" s="865">
        <v>0.75375000000000003</v>
      </c>
      <c r="AV306" s="865">
        <v>0.84313000000000005</v>
      </c>
      <c r="AW306" s="865">
        <v>0.93718999999999997</v>
      </c>
      <c r="AX306" s="865">
        <v>1.3756299999999999</v>
      </c>
      <c r="AZ306" s="861">
        <v>40315</v>
      </c>
      <c r="BA306" s="865">
        <v>2.5</v>
      </c>
      <c r="BB306" s="865">
        <v>2.67333</v>
      </c>
      <c r="BC306" s="865">
        <v>2.85</v>
      </c>
      <c r="BD306" s="865">
        <v>2.90333</v>
      </c>
      <c r="BE306" s="865">
        <v>2.99</v>
      </c>
      <c r="BF306" s="865">
        <v>3.11</v>
      </c>
      <c r="BG306" s="865">
        <v>3.14</v>
      </c>
      <c r="BH306" s="865">
        <v>3.14</v>
      </c>
    </row>
    <row r="307" spans="12:60">
      <c r="L307" s="861">
        <v>40304</v>
      </c>
      <c r="M307" s="865">
        <v>4.5</v>
      </c>
      <c r="N307" s="865">
        <v>4.6116999999999999</v>
      </c>
      <c r="O307" s="865">
        <v>4.6817000000000002</v>
      </c>
      <c r="P307" s="865">
        <v>4.8232999999999997</v>
      </c>
      <c r="Q307" s="865">
        <v>4.8532999999999999</v>
      </c>
      <c r="R307" s="865">
        <v>4.8982999999999999</v>
      </c>
      <c r="S307" s="865">
        <v>4.9550000000000001</v>
      </c>
      <c r="T307" s="865">
        <v>5.1395</v>
      </c>
      <c r="V307" s="861">
        <v>40303</v>
      </c>
      <c r="W307" s="865">
        <v>0.27188000000000001</v>
      </c>
      <c r="X307" s="865">
        <v>0.29093999999999998</v>
      </c>
      <c r="Y307" s="865">
        <v>0.32562999999999998</v>
      </c>
      <c r="Z307" s="865">
        <v>0.36015999999999998</v>
      </c>
      <c r="AA307" s="865">
        <v>0.41031000000000001</v>
      </c>
      <c r="AB307" s="865">
        <v>0.47155999999999998</v>
      </c>
      <c r="AC307" s="865">
        <v>0.55530999999999997</v>
      </c>
      <c r="AD307" s="865">
        <v>1.05406</v>
      </c>
      <c r="AF307" s="861">
        <v>40315</v>
      </c>
      <c r="AG307" s="865">
        <v>0.27750000000000002</v>
      </c>
      <c r="AH307" s="865">
        <v>0.39124999999999999</v>
      </c>
      <c r="AI307" s="865">
        <v>0.48499999999999999</v>
      </c>
      <c r="AJ307" s="865">
        <v>0.63124999999999998</v>
      </c>
      <c r="AK307" s="865">
        <v>0.73499999999999999</v>
      </c>
      <c r="AL307" s="865">
        <v>0.82899999999999996</v>
      </c>
      <c r="AM307" s="865">
        <v>0.93374999999999997</v>
      </c>
      <c r="AN307" s="865">
        <v>1.2375</v>
      </c>
      <c r="AP307" s="861">
        <v>40303</v>
      </c>
      <c r="AQ307" s="865">
        <v>0.54813000000000001</v>
      </c>
      <c r="AR307" s="865">
        <v>0.55530999999999997</v>
      </c>
      <c r="AS307" s="865">
        <v>0.59906000000000004</v>
      </c>
      <c r="AT307" s="865">
        <v>0.68</v>
      </c>
      <c r="AU307" s="865">
        <v>0.75249999999999995</v>
      </c>
      <c r="AV307" s="865">
        <v>0.84062999999999999</v>
      </c>
      <c r="AW307" s="865">
        <v>0.93469000000000002</v>
      </c>
      <c r="AX307" s="865">
        <v>1.37375</v>
      </c>
      <c r="AZ307" s="861">
        <v>40312</v>
      </c>
      <c r="BA307" s="865">
        <v>2.5</v>
      </c>
      <c r="BB307" s="865">
        <v>2.64</v>
      </c>
      <c r="BC307" s="865">
        <v>2.8</v>
      </c>
      <c r="BD307" s="865">
        <v>2.9011100000000001</v>
      </c>
      <c r="BE307" s="865">
        <v>2.96</v>
      </c>
      <c r="BF307" s="865">
        <v>3.08</v>
      </c>
      <c r="BG307" s="865">
        <v>3.17</v>
      </c>
      <c r="BH307" s="865">
        <v>3.17</v>
      </c>
    </row>
    <row r="308" spans="12:60">
      <c r="L308" s="861">
        <v>40303</v>
      </c>
      <c r="M308" s="865">
        <v>4.5</v>
      </c>
      <c r="N308" s="865">
        <v>4.57</v>
      </c>
      <c r="O308" s="865">
        <v>4.6500000000000004</v>
      </c>
      <c r="P308" s="865">
        <v>4.7267000000000001</v>
      </c>
      <c r="Q308" s="865">
        <v>4.7699999999999996</v>
      </c>
      <c r="R308" s="865">
        <v>4.8467000000000002</v>
      </c>
      <c r="S308" s="865">
        <v>4.9116999999999997</v>
      </c>
      <c r="T308" s="865">
        <v>5.1471</v>
      </c>
      <c r="V308" s="861">
        <v>40302</v>
      </c>
      <c r="W308" s="865">
        <v>0.26588000000000001</v>
      </c>
      <c r="X308" s="865">
        <v>0.28469</v>
      </c>
      <c r="Y308" s="865">
        <v>0.32124999999999998</v>
      </c>
      <c r="Z308" s="865">
        <v>0.35313</v>
      </c>
      <c r="AA308" s="865">
        <v>0.40500000000000003</v>
      </c>
      <c r="AB308" s="865">
        <v>0.46375</v>
      </c>
      <c r="AC308" s="865">
        <v>0.54578000000000004</v>
      </c>
      <c r="AD308" s="865">
        <v>1.04</v>
      </c>
      <c r="AF308" s="861">
        <v>40312</v>
      </c>
      <c r="AG308" s="865">
        <v>0.27750000000000002</v>
      </c>
      <c r="AH308" s="865">
        <v>0.38624999999999998</v>
      </c>
      <c r="AI308" s="865">
        <v>0.48749999999999999</v>
      </c>
      <c r="AJ308" s="865">
        <v>0.62875000000000003</v>
      </c>
      <c r="AK308" s="865">
        <v>0.73499999999999999</v>
      </c>
      <c r="AL308" s="865">
        <v>0.82874999999999999</v>
      </c>
      <c r="AM308" s="865">
        <v>0.93374999999999997</v>
      </c>
      <c r="AN308" s="865">
        <v>1.22875</v>
      </c>
      <c r="AP308" s="861">
        <v>40302</v>
      </c>
      <c r="AQ308" s="865">
        <v>0.54813000000000001</v>
      </c>
      <c r="AR308" s="865">
        <v>0.55469000000000002</v>
      </c>
      <c r="AS308" s="865">
        <v>0.59531000000000001</v>
      </c>
      <c r="AT308" s="865">
        <v>0.67844000000000004</v>
      </c>
      <c r="AU308" s="865">
        <v>0.75</v>
      </c>
      <c r="AV308" s="865">
        <v>0.83438000000000001</v>
      </c>
      <c r="AW308" s="865">
        <v>0.92844000000000004</v>
      </c>
      <c r="AX308" s="865">
        <v>1.37188</v>
      </c>
      <c r="AZ308" s="861">
        <v>40311</v>
      </c>
      <c r="BA308" s="865">
        <v>2.5</v>
      </c>
      <c r="BB308" s="865">
        <v>2.62222</v>
      </c>
      <c r="BC308" s="865">
        <v>2.8</v>
      </c>
      <c r="BD308" s="865">
        <v>2.91778</v>
      </c>
      <c r="BE308" s="865">
        <v>2.96</v>
      </c>
      <c r="BF308" s="865">
        <v>3.08</v>
      </c>
      <c r="BG308" s="865">
        <v>3.17</v>
      </c>
      <c r="BH308" s="865">
        <v>3.17</v>
      </c>
    </row>
    <row r="309" spans="12:60">
      <c r="L309" s="861">
        <v>40302</v>
      </c>
      <c r="M309" s="865">
        <v>4.25</v>
      </c>
      <c r="N309" s="865">
        <v>4.55</v>
      </c>
      <c r="O309" s="865">
        <v>4.6032999999999999</v>
      </c>
      <c r="P309" s="865">
        <v>4.68</v>
      </c>
      <c r="Q309" s="865">
        <v>4.7432999999999996</v>
      </c>
      <c r="R309" s="865">
        <v>4.835</v>
      </c>
      <c r="S309" s="865">
        <v>4.9382999999999999</v>
      </c>
      <c r="T309" s="865">
        <v>5.1890000000000001</v>
      </c>
      <c r="V309" s="861">
        <v>40298</v>
      </c>
      <c r="W309" s="865">
        <v>0.26312999999999998</v>
      </c>
      <c r="X309" s="865">
        <v>0.28000000000000003</v>
      </c>
      <c r="Y309" s="865">
        <v>0.31624999999999998</v>
      </c>
      <c r="Z309" s="865">
        <v>0.34655999999999998</v>
      </c>
      <c r="AA309" s="865">
        <v>0.39718999999999999</v>
      </c>
      <c r="AB309" s="865">
        <v>0.45562999999999998</v>
      </c>
      <c r="AC309" s="865">
        <v>0.53063000000000005</v>
      </c>
      <c r="AD309" s="865">
        <v>1.01563</v>
      </c>
      <c r="AF309" s="861">
        <v>40311</v>
      </c>
      <c r="AG309" s="865">
        <v>0.27750000000000002</v>
      </c>
      <c r="AH309" s="865">
        <v>0.38500000000000001</v>
      </c>
      <c r="AI309" s="865">
        <v>0.48687999999999998</v>
      </c>
      <c r="AJ309" s="865">
        <v>0.62438000000000005</v>
      </c>
      <c r="AK309" s="865">
        <v>0.72750000000000004</v>
      </c>
      <c r="AL309" s="865">
        <v>0.82025000000000003</v>
      </c>
      <c r="AM309" s="865">
        <v>0.93</v>
      </c>
      <c r="AN309" s="865">
        <v>1.22875</v>
      </c>
      <c r="AP309" s="861">
        <v>40298</v>
      </c>
      <c r="AQ309" s="865">
        <v>0.54688000000000003</v>
      </c>
      <c r="AR309" s="865">
        <v>0.55374999999999996</v>
      </c>
      <c r="AS309" s="865">
        <v>0.59594000000000003</v>
      </c>
      <c r="AT309" s="865">
        <v>0.67718999999999996</v>
      </c>
      <c r="AU309" s="865">
        <v>0.74875000000000003</v>
      </c>
      <c r="AV309" s="865">
        <v>0.83250000000000002</v>
      </c>
      <c r="AW309" s="865">
        <v>0.92625000000000002</v>
      </c>
      <c r="AX309" s="865">
        <v>1.37063</v>
      </c>
      <c r="AZ309" s="861">
        <v>40310</v>
      </c>
      <c r="BA309" s="865">
        <v>2.5</v>
      </c>
      <c r="BB309" s="865">
        <v>2.65</v>
      </c>
      <c r="BC309" s="865">
        <v>2.8</v>
      </c>
      <c r="BD309" s="865">
        <v>2.9</v>
      </c>
      <c r="BE309" s="865">
        <v>2.96</v>
      </c>
      <c r="BF309" s="865">
        <v>3.08</v>
      </c>
      <c r="BG309" s="865">
        <v>3.17</v>
      </c>
      <c r="BH309" s="865">
        <v>3.17</v>
      </c>
    </row>
    <row r="310" spans="12:60">
      <c r="L310" s="861">
        <v>40301</v>
      </c>
      <c r="M310" s="865">
        <v>4.25</v>
      </c>
      <c r="N310" s="865">
        <v>4.5232999999999999</v>
      </c>
      <c r="O310" s="865">
        <v>4.5750000000000002</v>
      </c>
      <c r="P310" s="865">
        <v>4.6317000000000004</v>
      </c>
      <c r="Q310" s="865">
        <v>4.7149999999999999</v>
      </c>
      <c r="R310" s="865">
        <v>4.7983000000000002</v>
      </c>
      <c r="S310" s="865">
        <v>4.9000000000000004</v>
      </c>
      <c r="T310" s="865">
        <v>5.1525999999999996</v>
      </c>
      <c r="V310" s="861">
        <v>40297</v>
      </c>
      <c r="W310" s="865">
        <v>0.25588</v>
      </c>
      <c r="X310" s="865">
        <v>0.27766000000000002</v>
      </c>
      <c r="Y310" s="865">
        <v>0.31219000000000002</v>
      </c>
      <c r="Z310" s="865">
        <v>0.34438000000000002</v>
      </c>
      <c r="AA310" s="865">
        <v>0.39344000000000001</v>
      </c>
      <c r="AB310" s="865">
        <v>0.45</v>
      </c>
      <c r="AC310" s="865">
        <v>0.52719000000000005</v>
      </c>
      <c r="AD310" s="865">
        <v>1.0143800000000001</v>
      </c>
      <c r="AF310" s="861">
        <v>40310</v>
      </c>
      <c r="AG310" s="865">
        <v>0.27750000000000002</v>
      </c>
      <c r="AH310" s="865">
        <v>0.38624999999999998</v>
      </c>
      <c r="AI310" s="865">
        <v>0.48687999999999998</v>
      </c>
      <c r="AJ310" s="865">
        <v>0.62438000000000005</v>
      </c>
      <c r="AK310" s="865">
        <v>0.72750000000000004</v>
      </c>
      <c r="AL310" s="865">
        <v>0.82499999999999996</v>
      </c>
      <c r="AM310" s="865">
        <v>0.93125000000000002</v>
      </c>
      <c r="AN310" s="865">
        <v>1.23</v>
      </c>
      <c r="AP310" s="861">
        <v>40297</v>
      </c>
      <c r="AQ310" s="865">
        <v>0.54562999999999995</v>
      </c>
      <c r="AR310" s="865">
        <v>0.55327999999999999</v>
      </c>
      <c r="AS310" s="865">
        <v>0.59655999999999998</v>
      </c>
      <c r="AT310" s="865">
        <v>0.67625000000000002</v>
      </c>
      <c r="AU310" s="865">
        <v>0.74875000000000003</v>
      </c>
      <c r="AV310" s="865">
        <v>0.83</v>
      </c>
      <c r="AW310" s="865">
        <v>0.92500000000000004</v>
      </c>
      <c r="AX310" s="865">
        <v>1.3712500000000001</v>
      </c>
      <c r="AZ310" s="861">
        <v>40309</v>
      </c>
      <c r="BA310" s="865">
        <v>2.5</v>
      </c>
      <c r="BB310" s="865">
        <v>2.66</v>
      </c>
      <c r="BC310" s="865">
        <v>2.8</v>
      </c>
      <c r="BD310" s="865">
        <v>2.91222</v>
      </c>
      <c r="BE310" s="865">
        <v>2.96</v>
      </c>
      <c r="BF310" s="865">
        <v>3.08</v>
      </c>
      <c r="BG310" s="865">
        <v>3.17</v>
      </c>
      <c r="BH310" s="865">
        <v>3.17</v>
      </c>
    </row>
    <row r="311" spans="12:60">
      <c r="L311" s="861">
        <v>40298</v>
      </c>
      <c r="M311" s="865">
        <v>4.25</v>
      </c>
      <c r="N311" s="865">
        <v>4.4450000000000003</v>
      </c>
      <c r="O311" s="865">
        <v>4.5567000000000002</v>
      </c>
      <c r="P311" s="865">
        <v>4.63</v>
      </c>
      <c r="Q311" s="865">
        <v>4.7032999999999996</v>
      </c>
      <c r="R311" s="865">
        <v>4.8</v>
      </c>
      <c r="S311" s="865">
        <v>4.8666999999999998</v>
      </c>
      <c r="T311" s="865">
        <v>5.0945</v>
      </c>
      <c r="V311" s="861">
        <v>40296</v>
      </c>
      <c r="W311" s="865">
        <v>0.25556000000000001</v>
      </c>
      <c r="X311" s="865">
        <v>0.27312999999999998</v>
      </c>
      <c r="Y311" s="865">
        <v>0.30469000000000002</v>
      </c>
      <c r="Z311" s="865">
        <v>0.33781</v>
      </c>
      <c r="AA311" s="865">
        <v>0.38750000000000001</v>
      </c>
      <c r="AB311" s="865">
        <v>0.44280999999999998</v>
      </c>
      <c r="AC311" s="865">
        <v>0.52249999999999996</v>
      </c>
      <c r="AD311" s="865">
        <v>1.0149999999999999</v>
      </c>
      <c r="AF311" s="861">
        <v>40309</v>
      </c>
      <c r="AG311" s="865">
        <v>0.61250000000000004</v>
      </c>
      <c r="AH311" s="865">
        <v>0.38750000000000001</v>
      </c>
      <c r="AI311" s="865">
        <v>0.48687999999999998</v>
      </c>
      <c r="AJ311" s="865">
        <v>0.62749999999999995</v>
      </c>
      <c r="AK311" s="865">
        <v>0.73124999999999996</v>
      </c>
      <c r="AL311" s="865">
        <v>0.82625000000000004</v>
      </c>
      <c r="AM311" s="865">
        <v>0.9325</v>
      </c>
      <c r="AN311" s="865">
        <v>1.2324999999999999</v>
      </c>
      <c r="AP311" s="861">
        <v>40296</v>
      </c>
      <c r="AQ311" s="865">
        <v>0.54500000000000004</v>
      </c>
      <c r="AR311" s="865">
        <v>0.55188000000000004</v>
      </c>
      <c r="AS311" s="865">
        <v>0.59375</v>
      </c>
      <c r="AT311" s="865">
        <v>0.67249999999999999</v>
      </c>
      <c r="AU311" s="865">
        <v>0.74563000000000001</v>
      </c>
      <c r="AV311" s="865">
        <v>0.82562999999999998</v>
      </c>
      <c r="AW311" s="865">
        <v>0.92062999999999995</v>
      </c>
      <c r="AX311" s="865">
        <v>1.36938</v>
      </c>
      <c r="AZ311" s="861">
        <v>40308</v>
      </c>
      <c r="BA311" s="865">
        <v>2.5</v>
      </c>
      <c r="BB311" s="865">
        <v>2.66222</v>
      </c>
      <c r="BC311" s="865">
        <v>2.8</v>
      </c>
      <c r="BD311" s="865">
        <v>2.9188900000000002</v>
      </c>
      <c r="BE311" s="865">
        <v>2.96</v>
      </c>
      <c r="BF311" s="865">
        <v>3.08</v>
      </c>
      <c r="BG311" s="865">
        <v>3.17</v>
      </c>
      <c r="BH311" s="865">
        <v>3.17</v>
      </c>
    </row>
    <row r="312" spans="12:60">
      <c r="L312" s="861">
        <v>40297</v>
      </c>
      <c r="M312" s="865">
        <v>4.25</v>
      </c>
      <c r="N312" s="865">
        <v>4.37</v>
      </c>
      <c r="O312" s="865">
        <v>4.5567000000000002</v>
      </c>
      <c r="P312" s="865">
        <v>4.6399999999999997</v>
      </c>
      <c r="Q312" s="865">
        <v>4.7016999999999998</v>
      </c>
      <c r="R312" s="865">
        <v>4.8017000000000003</v>
      </c>
      <c r="S312" s="865">
        <v>4.9132999999999996</v>
      </c>
      <c r="T312" s="865">
        <v>5.1319999999999997</v>
      </c>
      <c r="V312" s="861">
        <v>40295</v>
      </c>
      <c r="W312" s="865">
        <v>0.25087999999999999</v>
      </c>
      <c r="X312" s="865">
        <v>0.26672000000000001</v>
      </c>
      <c r="Y312" s="865">
        <v>0.29687999999999998</v>
      </c>
      <c r="Z312" s="865">
        <v>0.32780999999999999</v>
      </c>
      <c r="AA312" s="865">
        <v>0.37343999999999999</v>
      </c>
      <c r="AB312" s="865">
        <v>0.42531000000000002</v>
      </c>
      <c r="AC312" s="865">
        <v>0.50563000000000002</v>
      </c>
      <c r="AD312" s="865">
        <v>0.99875000000000003</v>
      </c>
      <c r="AF312" s="861">
        <v>40308</v>
      </c>
      <c r="AG312" s="865">
        <v>0.27875</v>
      </c>
      <c r="AH312" s="865">
        <v>0.39</v>
      </c>
      <c r="AI312" s="865">
        <v>0.48687999999999998</v>
      </c>
      <c r="AJ312" s="865">
        <v>0.62749999999999995</v>
      </c>
      <c r="AK312" s="865">
        <v>0.73124999999999996</v>
      </c>
      <c r="AL312" s="865">
        <v>0.82625000000000004</v>
      </c>
      <c r="AM312" s="865">
        <v>0.93374999999999997</v>
      </c>
      <c r="AN312" s="865">
        <v>1.23438</v>
      </c>
      <c r="AP312" s="861">
        <v>40295</v>
      </c>
      <c r="AQ312" s="865">
        <v>0.54374999999999996</v>
      </c>
      <c r="AR312" s="865">
        <v>0.55062999999999995</v>
      </c>
      <c r="AS312" s="865">
        <v>0.58875</v>
      </c>
      <c r="AT312" s="865">
        <v>0.66374999999999995</v>
      </c>
      <c r="AU312" s="865">
        <v>0.73875000000000002</v>
      </c>
      <c r="AV312" s="865">
        <v>0.81813000000000002</v>
      </c>
      <c r="AW312" s="865">
        <v>0.91249999999999998</v>
      </c>
      <c r="AX312" s="865">
        <v>1.36</v>
      </c>
      <c r="AZ312" s="861">
        <v>40305</v>
      </c>
      <c r="BA312" s="865">
        <v>2.5</v>
      </c>
      <c r="BB312" s="865">
        <v>2.6522199999999998</v>
      </c>
      <c r="BC312" s="865">
        <v>2.75</v>
      </c>
      <c r="BD312" s="865">
        <v>2.9166699999999999</v>
      </c>
      <c r="BE312" s="865">
        <v>2.9266700000000001</v>
      </c>
      <c r="BF312" s="865">
        <v>3.0411100000000002</v>
      </c>
      <c r="BG312" s="865">
        <v>3.13</v>
      </c>
      <c r="BH312" s="865">
        <v>3.13</v>
      </c>
    </row>
    <row r="313" spans="12:60">
      <c r="L313" s="861">
        <v>40296</v>
      </c>
      <c r="M313" s="865">
        <v>4.25</v>
      </c>
      <c r="N313" s="865">
        <v>4.3567</v>
      </c>
      <c r="O313" s="865">
        <v>4.4832999999999998</v>
      </c>
      <c r="P313" s="865">
        <v>4.5917000000000003</v>
      </c>
      <c r="Q313" s="865">
        <v>4.6216999999999997</v>
      </c>
      <c r="R313" s="865">
        <v>4.6833</v>
      </c>
      <c r="S313" s="865">
        <v>4.7649999999999997</v>
      </c>
      <c r="T313" s="865">
        <v>5.0012999999999996</v>
      </c>
      <c r="V313" s="861">
        <v>40294</v>
      </c>
      <c r="W313" s="865">
        <v>0.24962999999999999</v>
      </c>
      <c r="X313" s="865">
        <v>0.26468999999999998</v>
      </c>
      <c r="Y313" s="865">
        <v>0.29313</v>
      </c>
      <c r="Z313" s="865">
        <v>0.32374999999999998</v>
      </c>
      <c r="AA313" s="865">
        <v>0.36969000000000002</v>
      </c>
      <c r="AB313" s="865">
        <v>0.42031000000000002</v>
      </c>
      <c r="AC313" s="865">
        <v>0.50031000000000003</v>
      </c>
      <c r="AD313" s="865">
        <v>0.99312999999999996</v>
      </c>
      <c r="AF313" s="861">
        <v>40305</v>
      </c>
      <c r="AG313" s="865">
        <v>0.27750000000000002</v>
      </c>
      <c r="AH313" s="865">
        <v>0.39374999999999999</v>
      </c>
      <c r="AI313" s="865">
        <v>0.48937999999999998</v>
      </c>
      <c r="AJ313" s="865">
        <v>0.63375000000000004</v>
      </c>
      <c r="AK313" s="865">
        <v>0.73750000000000004</v>
      </c>
      <c r="AL313" s="865">
        <v>0.83125000000000004</v>
      </c>
      <c r="AM313" s="865">
        <v>0.94499999999999995</v>
      </c>
      <c r="AN313" s="865">
        <v>1.23688</v>
      </c>
      <c r="AP313" s="861">
        <v>40294</v>
      </c>
      <c r="AQ313" s="865">
        <v>0.54374999999999996</v>
      </c>
      <c r="AR313" s="865">
        <v>0.55062999999999995</v>
      </c>
      <c r="AS313" s="865">
        <v>0.58875</v>
      </c>
      <c r="AT313" s="865">
        <v>0.66374999999999995</v>
      </c>
      <c r="AU313" s="865">
        <v>0.74</v>
      </c>
      <c r="AV313" s="865">
        <v>0.81938</v>
      </c>
      <c r="AW313" s="865">
        <v>0.91374999999999995</v>
      </c>
      <c r="AX313" s="865">
        <v>1.3612500000000001</v>
      </c>
      <c r="AZ313" s="861">
        <v>40304</v>
      </c>
      <c r="BA313" s="865">
        <v>2.5</v>
      </c>
      <c r="BB313" s="865">
        <v>2.62</v>
      </c>
      <c r="BC313" s="865">
        <v>2.68</v>
      </c>
      <c r="BD313" s="865">
        <v>2.8</v>
      </c>
      <c r="BE313" s="865">
        <v>2.83</v>
      </c>
      <c r="BF313" s="865">
        <v>2.91</v>
      </c>
      <c r="BG313" s="865">
        <v>3</v>
      </c>
      <c r="BH313" s="865">
        <v>3</v>
      </c>
    </row>
  </sheetData>
  <sheetProtection sheet="1" objects="1" scenarios="1" autoFilter="0" pivotTables="0"/>
  <pageMargins left="0.7" right="0.7" top="0.75" bottom="0.75" header="0.3" footer="0.3"/>
  <pageSetup paperSize="9" orientation="portrait" horizontalDpi="300" verticalDpi="300" r:id="rId1"/>
  <legacyDrawing r:id="rId2"/>
</worksheet>
</file>

<file path=xl/worksheets/sheet9.xml><?xml version="1.0" encoding="utf-8"?>
<worksheet xmlns="http://schemas.openxmlformats.org/spreadsheetml/2006/main" xmlns:r="http://schemas.openxmlformats.org/officeDocument/2006/relationships">
  <sheetPr codeName="shtIRS">
    <tabColor rgb="FF000000"/>
    <outlinePr showOutlineSymbols="0"/>
  </sheetPr>
  <dimension ref="B1:BN512"/>
  <sheetViews>
    <sheetView showGridLines="0" showRowColHeaders="0" showZeros="0" showOutlineSymbols="0" zoomScaleNormal="100" workbookViewId="0"/>
  </sheetViews>
  <sheetFormatPr defaultRowHeight="12.75" outlineLevelCol="2"/>
  <cols>
    <col min="1" max="1" width="2.7109375" customWidth="1"/>
    <col min="2" max="2" width="10" bestFit="1" customWidth="1"/>
    <col min="4" max="4" width="9.7109375" style="120" customWidth="1"/>
    <col min="5" max="5" width="3.7109375" customWidth="1"/>
    <col min="6" max="6" width="9.7109375" style="120" customWidth="1"/>
    <col min="7" max="7" width="3.7109375" customWidth="1"/>
    <col min="8" max="8" width="2.7109375" style="149" hidden="1" customWidth="1" outlineLevel="2"/>
    <col min="9" max="9" width="21.5703125" style="150" hidden="1" customWidth="1" outlineLevel="2"/>
    <col min="10" max="10" width="10.7109375" style="150" hidden="1" customWidth="1" outlineLevel="2"/>
    <col min="11" max="14" width="9.140625" style="149" hidden="1" customWidth="1" outlineLevel="2"/>
    <col min="15" max="15" width="3.7109375" customWidth="1" collapsed="1"/>
    <col min="16" max="16" width="9.7109375" style="120" customWidth="1"/>
    <col min="17" max="17" width="5.7109375" style="704" customWidth="1"/>
    <col min="18" max="18" width="5.7109375" style="128" hidden="1" customWidth="1" outlineLevel="1"/>
    <col min="19" max="19" width="7.7109375" style="679" customWidth="1" collapsed="1"/>
    <col min="20" max="20" width="8.42578125" style="124" customWidth="1"/>
    <col min="21" max="21" width="11.7109375" style="123" customWidth="1"/>
    <col min="22" max="23" width="3.140625" customWidth="1"/>
    <col min="24" max="24" width="9.7109375" style="121" customWidth="1"/>
    <col min="25" max="25" width="5.7109375" style="704" customWidth="1"/>
    <col min="26" max="26" width="5.7109375" style="128" hidden="1" customWidth="1" outlineLevel="1"/>
    <col min="27" max="27" width="7.7109375" style="679" customWidth="1" collapsed="1"/>
    <col min="28" max="28" width="5.7109375" style="684" hidden="1" customWidth="1" outlineLevel="1"/>
    <col min="29" max="36" width="6.140625" style="519" hidden="1" customWidth="1" outlineLevel="2"/>
    <col min="37" max="44" width="5.7109375" style="684" hidden="1" customWidth="1" outlineLevel="1"/>
    <col min="45" max="45" width="5.7109375" style="519" hidden="1" customWidth="1" outlineLevel="2" collapsed="1"/>
    <col min="46" max="52" width="5.7109375" style="519" hidden="1" customWidth="1" outlineLevel="2"/>
    <col min="53" max="60" width="5.7109375" style="696" hidden="1" customWidth="1" outlineLevel="1"/>
    <col min="61" max="61" width="4.28515625" style="679" bestFit="1" customWidth="1" collapsed="1"/>
    <col min="62" max="62" width="5.7109375" style="679" customWidth="1"/>
    <col min="63" max="63" width="7.7109375" style="125" customWidth="1"/>
    <col min="64" max="64" width="9.7109375" style="124" customWidth="1"/>
    <col min="65" max="65" width="10.7109375" style="124" customWidth="1"/>
    <col min="66" max="66" width="11.7109375" style="124" customWidth="1"/>
    <col min="67" max="67" width="2.7109375" customWidth="1"/>
  </cols>
  <sheetData>
    <row r="1" spans="2:66" ht="0.95" customHeight="1"/>
    <row r="2" spans="2:66" ht="24.95" customHeight="1">
      <c r="B2" s="46" t="s">
        <v>145</v>
      </c>
      <c r="C2" s="46"/>
      <c r="D2" s="49"/>
      <c r="E2" s="46"/>
      <c r="F2" s="49"/>
      <c r="G2" s="46"/>
      <c r="H2" s="191"/>
      <c r="I2" s="314" t="s">
        <v>146</v>
      </c>
      <c r="J2" s="314"/>
      <c r="K2" s="191"/>
      <c r="L2" s="191"/>
      <c r="M2" s="191"/>
      <c r="N2" s="191"/>
      <c r="O2" s="46"/>
      <c r="P2" s="49"/>
      <c r="Q2" s="705"/>
      <c r="R2" s="48"/>
      <c r="S2" s="680"/>
      <c r="T2" s="134"/>
      <c r="U2" s="132"/>
      <c r="V2" s="46"/>
      <c r="W2" s="46"/>
      <c r="X2" s="133"/>
      <c r="Y2" s="705"/>
      <c r="Z2" s="48"/>
      <c r="AA2" s="680"/>
      <c r="AB2" s="685"/>
      <c r="AC2" s="520"/>
      <c r="AD2" s="520"/>
      <c r="AE2" s="520"/>
      <c r="AF2" s="520"/>
      <c r="AG2" s="520"/>
      <c r="AH2" s="520"/>
      <c r="AI2" s="520"/>
      <c r="AJ2" s="520"/>
      <c r="AK2" s="685"/>
      <c r="AL2" s="685"/>
      <c r="AM2" s="685"/>
      <c r="AN2" s="685"/>
      <c r="AO2" s="685"/>
      <c r="AP2" s="685"/>
      <c r="AQ2" s="685"/>
      <c r="AR2" s="685"/>
      <c r="AS2" s="520"/>
      <c r="AT2" s="520"/>
      <c r="AU2" s="520"/>
      <c r="AV2" s="520"/>
      <c r="AW2" s="520"/>
      <c r="AX2" s="520"/>
      <c r="AY2" s="520"/>
      <c r="AZ2" s="520"/>
      <c r="BA2" s="697"/>
      <c r="BB2" s="697"/>
      <c r="BC2" s="697"/>
      <c r="BD2" s="697"/>
      <c r="BE2" s="697"/>
      <c r="BF2" s="697"/>
      <c r="BG2" s="697"/>
      <c r="BH2" s="697"/>
      <c r="BI2" s="680"/>
      <c r="BJ2" s="680"/>
      <c r="BK2" s="131"/>
      <c r="BL2" s="134"/>
      <c r="BM2" s="134"/>
      <c r="BN2" s="134"/>
    </row>
    <row r="3" spans="2:66">
      <c r="O3" s="154"/>
      <c r="P3" s="150"/>
      <c r="Q3" s="706"/>
      <c r="R3" s="702"/>
      <c r="S3" s="522"/>
      <c r="T3" s="389"/>
      <c r="U3" s="390"/>
      <c r="V3" s="149"/>
      <c r="W3" s="149"/>
      <c r="X3" s="380"/>
      <c r="Y3" s="706"/>
      <c r="Z3" s="386"/>
      <c r="AA3" s="681"/>
      <c r="AB3" s="686"/>
      <c r="AC3" s="522"/>
      <c r="AD3" s="522"/>
      <c r="AE3" s="522"/>
      <c r="AF3" s="522"/>
      <c r="AG3" s="522"/>
      <c r="AH3" s="522"/>
      <c r="AI3" s="522"/>
      <c r="AJ3" s="522"/>
      <c r="AK3" s="686"/>
      <c r="AL3" s="686"/>
      <c r="AM3" s="686"/>
      <c r="AN3" s="686"/>
      <c r="AO3" s="686"/>
      <c r="AP3" s="686"/>
      <c r="AQ3" s="686"/>
      <c r="AR3" s="686"/>
      <c r="AS3" s="522"/>
      <c r="AT3" s="522"/>
      <c r="AU3" s="522"/>
      <c r="AV3" s="522"/>
      <c r="AW3" s="522"/>
      <c r="AX3" s="522"/>
      <c r="AY3" s="522"/>
      <c r="AZ3" s="522"/>
      <c r="BA3" s="522"/>
      <c r="BB3" s="522"/>
      <c r="BC3" s="522"/>
      <c r="BD3" s="522"/>
      <c r="BE3" s="522"/>
      <c r="BF3" s="522"/>
      <c r="BG3" s="522"/>
      <c r="BH3" s="522"/>
      <c r="BI3" s="522"/>
      <c r="BJ3" s="522"/>
      <c r="BK3" s="746"/>
      <c r="BL3" s="389"/>
      <c r="BM3" s="389"/>
      <c r="BN3" s="400"/>
    </row>
    <row r="4" spans="2:66">
      <c r="B4" s="137" t="s">
        <v>370</v>
      </c>
      <c r="H4" s="510"/>
      <c r="I4" s="391" t="s">
        <v>289</v>
      </c>
      <c r="O4" s="152"/>
      <c r="P4" s="391" t="s">
        <v>161</v>
      </c>
      <c r="Q4" s="706"/>
      <c r="R4" s="702"/>
      <c r="S4" s="522"/>
      <c r="T4" s="392"/>
      <c r="U4" s="393"/>
      <c r="V4" s="149"/>
      <c r="W4" s="149"/>
      <c r="X4" s="927"/>
      <c r="Y4" s="706"/>
      <c r="Z4" s="699"/>
      <c r="AA4" s="522"/>
      <c r="AB4" s="686"/>
      <c r="AC4" s="522"/>
      <c r="AD4" s="522"/>
      <c r="AE4" s="522"/>
      <c r="AF4" s="522"/>
      <c r="AG4" s="522"/>
      <c r="AH4" s="522"/>
      <c r="AI4" s="522"/>
      <c r="AJ4" s="522"/>
      <c r="AK4" s="687"/>
      <c r="AL4" s="686"/>
      <c r="AM4" s="686"/>
      <c r="AN4" s="686"/>
      <c r="AO4" s="686"/>
      <c r="AP4" s="686"/>
      <c r="AQ4" s="686"/>
      <c r="AR4" s="686"/>
      <c r="AS4" s="523"/>
      <c r="AT4" s="522"/>
      <c r="AU4" s="522"/>
      <c r="AV4" s="522"/>
      <c r="AW4" s="522"/>
      <c r="AX4" s="522"/>
      <c r="AY4" s="522"/>
      <c r="AZ4" s="522"/>
      <c r="BA4" s="522"/>
      <c r="BB4" s="522"/>
      <c r="BC4" s="522"/>
      <c r="BD4" s="522"/>
      <c r="BE4" s="522"/>
      <c r="BF4" s="522"/>
      <c r="BG4" s="522"/>
      <c r="BH4" s="522"/>
      <c r="BI4" s="522"/>
      <c r="BJ4" s="522"/>
      <c r="BK4" s="746"/>
      <c r="BL4" s="389"/>
      <c r="BM4" s="389"/>
      <c r="BN4" s="401"/>
    </row>
    <row r="5" spans="2:66">
      <c r="I5" s="150" t="s">
        <v>132</v>
      </c>
      <c r="J5" s="150" t="str">
        <f t="array" aca="1" ref="J5:J10" ca="1">INDIRECT(CCY&amp;".ZB")</f>
        <v>AUD.ZB.DISC|[Swap Pricer 1w.xlsm]AU!$BG$52#1138</v>
      </c>
      <c r="O5" s="152"/>
      <c r="P5" s="150" t="s">
        <v>133</v>
      </c>
      <c r="Q5" s="706"/>
      <c r="R5" s="702"/>
      <c r="S5" s="522"/>
      <c r="T5" s="748"/>
      <c r="U5" s="388">
        <f ca="1">IF(ISNUMBER(T5),T5,-J30/Face*1000000/U7/100)</f>
        <v>5.1585091312898506</v>
      </c>
      <c r="V5" s="725"/>
      <c r="W5" s="149"/>
      <c r="X5" s="925" t="str">
        <f t="array" ref="X5:Y7">IF(CCY="AUD",J43:K45,"")</f>
        <v>EFP to TYB</v>
      </c>
      <c r="Y5" s="922">
        <f ca="1"/>
        <v>34.350913128985283</v>
      </c>
      <c r="Z5" s="699"/>
      <c r="AA5" s="718"/>
      <c r="AB5" s="686"/>
      <c r="AC5" s="522"/>
      <c r="AD5" s="522"/>
      <c r="AE5" s="522"/>
      <c r="AF5" s="522"/>
      <c r="AG5" s="522"/>
      <c r="AH5" s="522"/>
      <c r="AI5" s="522"/>
      <c r="AJ5" s="522"/>
      <c r="AK5" s="687"/>
      <c r="AL5" s="686"/>
      <c r="AM5" s="686"/>
      <c r="AN5" s="686"/>
      <c r="AO5" s="688"/>
      <c r="AP5" s="688"/>
      <c r="AQ5" s="686"/>
      <c r="AR5" s="686"/>
      <c r="AS5" s="523" t="s">
        <v>633</v>
      </c>
      <c r="AT5" s="522"/>
      <c r="AU5" s="522"/>
      <c r="AV5" s="522"/>
      <c r="AW5" s="522"/>
      <c r="AX5" s="522"/>
      <c r="AY5" s="522"/>
      <c r="AZ5" s="522"/>
      <c r="BA5" s="522"/>
      <c r="BB5" s="522"/>
      <c r="BC5" s="522"/>
      <c r="BD5" s="522"/>
      <c r="BE5" s="522"/>
      <c r="BF5" s="522"/>
      <c r="BG5" s="522"/>
      <c r="BH5" s="522"/>
      <c r="BI5" s="681"/>
      <c r="BJ5" s="681"/>
      <c r="BK5" s="150" t="s">
        <v>306</v>
      </c>
      <c r="BL5" s="389"/>
      <c r="BM5" s="438">
        <f ca="1">SUMPRODUCT(U13:U512,S13:S512)</f>
        <v>-34.941537030041218</v>
      </c>
      <c r="BN5" s="402"/>
    </row>
    <row r="6" spans="2:66">
      <c r="B6" t="s">
        <v>126</v>
      </c>
      <c r="D6" s="929" t="s">
        <v>128</v>
      </c>
      <c r="I6" s="150" t="s">
        <v>6</v>
      </c>
      <c r="J6" s="150" t="str">
        <f ca="1"/>
        <v>AUD.ZB.ON|[Swap Pricer 1w.xlsm]AU!$BG$53#1140</v>
      </c>
      <c r="O6" s="152"/>
      <c r="P6" s="150" t="s">
        <v>155</v>
      </c>
      <c r="Q6" s="706"/>
      <c r="R6" s="702"/>
      <c r="S6" s="522"/>
      <c r="T6" s="389" t="str">
        <f>ABS(Face/1000000)&amp;"MM"</f>
        <v>50MM</v>
      </c>
      <c r="U6" s="389">
        <f ca="1">ABS(U7*Face/1000000)</f>
        <v>13834.126103373252</v>
      </c>
      <c r="V6" s="149"/>
      <c r="W6" s="149"/>
      <c r="X6" s="925" t="str">
        <v>TYB</v>
      </c>
      <c r="Y6" s="923">
        <f ca="1"/>
        <v>95.185000000000002</v>
      </c>
      <c r="Z6" s="699"/>
      <c r="AA6" s="719"/>
      <c r="AB6" s="686"/>
      <c r="AC6" s="522"/>
      <c r="AD6" s="522"/>
      <c r="AE6" s="522"/>
      <c r="AF6" s="522"/>
      <c r="AG6" s="522"/>
      <c r="AH6" s="522"/>
      <c r="AI6" s="522"/>
      <c r="AJ6" s="522"/>
      <c r="AK6" s="686"/>
      <c r="AL6" s="686"/>
      <c r="AM6" s="686"/>
      <c r="AN6" s="686"/>
      <c r="AO6" s="686"/>
      <c r="AP6" s="686"/>
      <c r="AQ6" s="686"/>
      <c r="AR6" s="686"/>
      <c r="AS6" s="523" t="str">
        <f ca="1">ProjCurve_ON</f>
        <v>AUD.ZB.ON|[Swap Pricer 1w.xlsm]AU!$BG$53#1140</v>
      </c>
      <c r="AT6" s="523" t="str">
        <f ca="1">ProjCurve_1M</f>
        <v>AUD.ZB.1M|[Swap Pricer 1w.xlsm]AU!$BG$54#1141</v>
      </c>
      <c r="AU6" s="522"/>
      <c r="AV6" s="523" t="str">
        <f ca="1">ProjCurve_3M</f>
        <v>AUD.ZB.DISC|[Swap Pricer 1w.xlsm]AU!$BG$52#1138</v>
      </c>
      <c r="AW6" s="522"/>
      <c r="AX6" s="522"/>
      <c r="AY6" s="523" t="str">
        <f ca="1">ProjCurve_6M</f>
        <v>AUD.ZB.6M|[Swap Pricer 1w.xlsm]AU!$BG$56#1139</v>
      </c>
      <c r="AZ6" s="523" t="str">
        <f ca="1">ProjCurve_1Y</f>
        <v>AUD.ZB.6M|[Swap Pricer 1w.xlsm]AU!$BG$56#1139</v>
      </c>
      <c r="BA6" s="523" t="s">
        <v>78</v>
      </c>
      <c r="BB6" s="523"/>
      <c r="BC6" s="523"/>
      <c r="BD6" s="523"/>
      <c r="BE6" s="523"/>
      <c r="BF6" s="523"/>
      <c r="BG6" s="523"/>
      <c r="BH6" s="523"/>
      <c r="BI6" s="924"/>
      <c r="BJ6" s="924"/>
      <c r="BK6" s="396" t="s">
        <v>307</v>
      </c>
      <c r="BL6" s="403"/>
      <c r="BM6" s="439">
        <f ca="1">ROUND(SUMPRODUCT(AA13:AA512,BN13:BN512),6)</f>
        <v>34.941536999999997</v>
      </c>
      <c r="BN6" s="402"/>
    </row>
    <row r="7" spans="2:66">
      <c r="I7" s="150" t="s">
        <v>0</v>
      </c>
      <c r="J7" s="150" t="str">
        <f ca="1"/>
        <v>AUD.ZB.1M|[Swap Pricer 1w.xlsm]AU!$BG$54#1141</v>
      </c>
      <c r="O7" s="152"/>
      <c r="P7" s="150" t="s">
        <v>144</v>
      </c>
      <c r="Q7" s="706"/>
      <c r="R7" s="702"/>
      <c r="S7" s="522"/>
      <c r="T7" s="389" t="s">
        <v>154</v>
      </c>
      <c r="U7" s="394">
        <f ca="1">SUMPRODUCT(S14:S512,R13:R511)*100</f>
        <v>276.68252206746502</v>
      </c>
      <c r="V7" s="149"/>
      <c r="W7" s="149"/>
      <c r="X7" s="925">
        <v>0</v>
      </c>
      <c r="Y7" s="926">
        <v>0</v>
      </c>
      <c r="Z7" s="663"/>
      <c r="AA7" s="524"/>
      <c r="AB7" s="686"/>
      <c r="AC7" s="522"/>
      <c r="AD7" s="522"/>
      <c r="AE7" s="522"/>
      <c r="AF7" s="522"/>
      <c r="AG7" s="522"/>
      <c r="AH7" s="522"/>
      <c r="AI7" s="522"/>
      <c r="AJ7" s="522"/>
      <c r="AK7" s="689"/>
      <c r="AL7" s="686"/>
      <c r="AM7" s="686"/>
      <c r="AN7" s="686"/>
      <c r="AO7" s="686"/>
      <c r="AP7" s="686"/>
      <c r="AQ7" s="686"/>
      <c r="AR7" s="686"/>
      <c r="AS7" s="522"/>
      <c r="AT7" s="524"/>
      <c r="AU7" s="524"/>
      <c r="AV7" s="522"/>
      <c r="AW7" s="522"/>
      <c r="AX7" s="522"/>
      <c r="AY7" s="522"/>
      <c r="AZ7" s="522"/>
      <c r="BA7" s="522"/>
      <c r="BB7" s="522"/>
      <c r="BC7" s="522"/>
      <c r="BD7" s="522"/>
      <c r="BE7" s="522"/>
      <c r="BF7" s="522"/>
      <c r="BG7" s="522"/>
      <c r="BH7" s="522"/>
      <c r="BI7" s="924"/>
      <c r="BJ7" s="924"/>
      <c r="BK7" s="150" t="s">
        <v>213</v>
      </c>
      <c r="BL7" s="158"/>
      <c r="BM7" s="440">
        <f ca="1">SUM(BM5:BM6)</f>
        <v>-3.0041221066312573E-8</v>
      </c>
      <c r="BN7" s="404" t="str">
        <f ca="1">"= "&amp;ROUND(BM7/U6,1)&amp;" bp"</f>
        <v>= 0 bp</v>
      </c>
    </row>
    <row r="8" spans="2:66">
      <c r="B8" t="s">
        <v>201</v>
      </c>
      <c r="D8" s="119" t="s">
        <v>322</v>
      </c>
      <c r="I8" s="150" t="s">
        <v>2</v>
      </c>
      <c r="J8" s="150" t="str">
        <f ca="1"/>
        <v>AUD.ZB.DISC|[Swap Pricer 1w.xlsm]AU!$BG$52#1138</v>
      </c>
      <c r="O8" s="155"/>
      <c r="P8" s="396"/>
      <c r="Q8" s="707"/>
      <c r="R8" s="700"/>
      <c r="S8" s="525"/>
      <c r="T8" s="397"/>
      <c r="U8" s="398"/>
      <c r="V8" s="156"/>
      <c r="W8" s="156"/>
      <c r="X8" s="399"/>
      <c r="Y8" s="707"/>
      <c r="Z8" s="700"/>
      <c r="AA8" s="525"/>
      <c r="AB8" s="691"/>
      <c r="AC8" s="525"/>
      <c r="AD8" s="525"/>
      <c r="AE8" s="525"/>
      <c r="AF8" s="525"/>
      <c r="AG8" s="525"/>
      <c r="AH8" s="525"/>
      <c r="AI8" s="525"/>
      <c r="AJ8" s="525"/>
      <c r="AK8" s="690"/>
      <c r="AL8" s="691"/>
      <c r="AM8" s="691"/>
      <c r="AN8" s="691"/>
      <c r="AO8" s="691"/>
      <c r="AP8" s="691"/>
      <c r="AQ8" s="691"/>
      <c r="AR8" s="691"/>
      <c r="AS8" s="525"/>
      <c r="AT8" s="525"/>
      <c r="AU8" s="525"/>
      <c r="AV8" s="525"/>
      <c r="AW8" s="525"/>
      <c r="AX8" s="525"/>
      <c r="AY8" s="525"/>
      <c r="AZ8" s="525"/>
      <c r="BA8" s="525"/>
      <c r="BB8" s="525"/>
      <c r="BC8" s="525"/>
      <c r="BD8" s="525"/>
      <c r="BE8" s="525"/>
      <c r="BF8" s="525"/>
      <c r="BG8" s="525"/>
      <c r="BH8" s="525"/>
      <c r="BI8" s="525"/>
      <c r="BJ8" s="525"/>
      <c r="BK8" s="749"/>
      <c r="BL8" s="397"/>
      <c r="BM8" s="397"/>
      <c r="BN8" s="405"/>
    </row>
    <row r="9" spans="2:66">
      <c r="I9" s="150" t="s">
        <v>5</v>
      </c>
      <c r="J9" s="150" t="str">
        <f ca="1"/>
        <v>AUD.ZB.6M|[Swap Pricer 1w.xlsm]AU!$BG$56#1139</v>
      </c>
      <c r="O9" s="136"/>
      <c r="P9" s="139"/>
      <c r="Q9" s="708"/>
      <c r="R9" s="611"/>
      <c r="S9" s="717"/>
      <c r="T9" s="143"/>
      <c r="U9" s="141"/>
      <c r="V9" s="141"/>
      <c r="W9" s="141"/>
      <c r="X9" s="142"/>
      <c r="Y9" s="708"/>
      <c r="Z9" s="611"/>
      <c r="AA9" s="717"/>
      <c r="AK9" s="692"/>
      <c r="AZ9" s="521"/>
      <c r="BA9" s="698"/>
      <c r="BB9" s="698"/>
      <c r="BC9" s="698"/>
      <c r="BD9" s="698"/>
      <c r="BE9" s="698"/>
      <c r="BF9" s="698"/>
      <c r="BG9" s="698"/>
      <c r="BH9" s="698"/>
      <c r="BI9" s="521"/>
      <c r="BJ9" s="521"/>
      <c r="BK9" s="750"/>
      <c r="BL9" s="153"/>
      <c r="BM9" s="153"/>
      <c r="BN9" s="153"/>
    </row>
    <row r="10" spans="2:66" ht="12.75" customHeight="1">
      <c r="B10" t="s">
        <v>137</v>
      </c>
      <c r="D10" s="119">
        <v>50</v>
      </c>
      <c r="F10" s="130">
        <f>FaceInput*1000000</f>
        <v>50000000</v>
      </c>
      <c r="I10" s="150" t="s">
        <v>373</v>
      </c>
      <c r="J10" s="150" t="str">
        <f ca="1"/>
        <v>AUD.ZB.6M|[Swap Pricer 1w.xlsm]AU!$BG$56#1139</v>
      </c>
      <c r="O10" s="136"/>
      <c r="P10" s="384" t="s">
        <v>129</v>
      </c>
      <c r="Q10" s="709"/>
      <c r="R10" s="703"/>
      <c r="S10" s="709"/>
      <c r="T10" s="385"/>
      <c r="U10" s="384"/>
      <c r="V10" s="123"/>
      <c r="W10" s="123"/>
      <c r="X10" s="504" t="s">
        <v>305</v>
      </c>
      <c r="Y10" s="678"/>
      <c r="Z10" s="693"/>
      <c r="AA10" s="678"/>
      <c r="AB10" s="682"/>
      <c r="AC10" s="678"/>
      <c r="AD10" s="678"/>
      <c r="AE10" s="678"/>
      <c r="AF10" s="678"/>
      <c r="AG10" s="678"/>
      <c r="AH10" s="678"/>
      <c r="AI10" s="678"/>
      <c r="AJ10" s="678"/>
      <c r="AK10" s="678"/>
      <c r="AL10" s="678"/>
      <c r="AM10" s="678"/>
      <c r="AN10" s="678"/>
      <c r="AO10" s="678"/>
      <c r="AP10" s="678"/>
      <c r="AQ10" s="678"/>
      <c r="AR10" s="678"/>
      <c r="AS10" s="678"/>
      <c r="AT10" s="678"/>
      <c r="AU10" s="678"/>
      <c r="AV10" s="678"/>
      <c r="AW10" s="678"/>
      <c r="AX10" s="678"/>
      <c r="AY10" s="678"/>
      <c r="AZ10" s="678"/>
      <c r="BA10" s="678"/>
      <c r="BB10" s="682"/>
      <c r="BC10" s="682"/>
      <c r="BD10" s="682"/>
      <c r="BE10" s="682"/>
      <c r="BF10" s="682"/>
      <c r="BG10" s="682"/>
      <c r="BH10" s="682"/>
      <c r="BI10" s="682"/>
      <c r="BJ10" s="682"/>
      <c r="BK10" s="693"/>
      <c r="BL10" s="505"/>
      <c r="BM10" s="505"/>
      <c r="BN10" s="506"/>
    </row>
    <row r="11" spans="2:66" ht="12.75" customHeight="1">
      <c r="O11" s="136"/>
      <c r="P11" s="130"/>
      <c r="Q11" s="710"/>
      <c r="R11" s="701"/>
      <c r="S11" s="683"/>
      <c r="T11" s="146"/>
      <c r="U11" s="146"/>
      <c r="V11" s="123"/>
      <c r="W11" s="123"/>
      <c r="X11" s="130"/>
      <c r="Y11" s="710"/>
      <c r="Z11" s="701"/>
      <c r="AA11" s="683"/>
      <c r="AB11" s="906" t="s">
        <v>648</v>
      </c>
      <c r="AC11" s="893" t="s">
        <v>848</v>
      </c>
      <c r="AD11" s="894"/>
      <c r="AE11" s="894"/>
      <c r="AF11" s="894"/>
      <c r="AG11" s="894"/>
      <c r="AH11" s="894"/>
      <c r="AI11" s="894"/>
      <c r="AJ11" s="894"/>
      <c r="AK11" s="896" t="s">
        <v>849</v>
      </c>
      <c r="AL11" s="897"/>
      <c r="AM11" s="897"/>
      <c r="AN11" s="897"/>
      <c r="AO11" s="897"/>
      <c r="AP11" s="897"/>
      <c r="AQ11" s="957" t="s">
        <v>915</v>
      </c>
      <c r="AR11" s="892" t="str">
        <f>IF(CCY="AUD","S","M")</f>
        <v>S</v>
      </c>
      <c r="AS11" s="898" t="s">
        <v>652</v>
      </c>
      <c r="AT11" s="899"/>
      <c r="AU11" s="899"/>
      <c r="AV11" s="899"/>
      <c r="AW11" s="899"/>
      <c r="AX11" s="899"/>
      <c r="AY11" s="899"/>
      <c r="AZ11" s="899"/>
      <c r="BA11" s="902" t="s">
        <v>649</v>
      </c>
      <c r="BB11" s="903"/>
      <c r="BC11" s="903"/>
      <c r="BD11" s="903"/>
      <c r="BE11" s="914"/>
      <c r="BF11" s="914"/>
      <c r="BG11" s="914"/>
      <c r="BH11" s="913" t="s">
        <v>853</v>
      </c>
      <c r="BI11" s="683"/>
      <c r="BJ11" s="683"/>
      <c r="BK11" s="751"/>
      <c r="BM11" s="507" t="str">
        <f>IF(Margin,Margin&amp;"bp","")</f>
        <v/>
      </c>
      <c r="BN11" s="146"/>
    </row>
    <row r="12" spans="2:66">
      <c r="O12" s="136"/>
      <c r="P12" s="144" t="s">
        <v>681</v>
      </c>
      <c r="Q12" s="710" t="s">
        <v>156</v>
      </c>
      <c r="R12" s="701" t="s">
        <v>157</v>
      </c>
      <c r="S12" s="683" t="s">
        <v>139</v>
      </c>
      <c r="T12" s="145" t="s">
        <v>158</v>
      </c>
      <c r="U12" s="146" t="s">
        <v>160</v>
      </c>
      <c r="X12" s="144" t="s">
        <v>681</v>
      </c>
      <c r="Y12" s="710" t="s">
        <v>156</v>
      </c>
      <c r="Z12" s="701" t="s">
        <v>157</v>
      </c>
      <c r="AA12" s="683" t="s">
        <v>139</v>
      </c>
      <c r="AB12" s="906" t="s">
        <v>475</v>
      </c>
      <c r="AC12" s="895" t="s">
        <v>6</v>
      </c>
      <c r="AD12" s="895" t="s">
        <v>0</v>
      </c>
      <c r="AE12" s="895" t="s">
        <v>1</v>
      </c>
      <c r="AF12" s="895" t="s">
        <v>2</v>
      </c>
      <c r="AG12" s="895" t="s">
        <v>3</v>
      </c>
      <c r="AH12" s="895" t="s">
        <v>4</v>
      </c>
      <c r="AI12" s="895" t="s">
        <v>5</v>
      </c>
      <c r="AJ12" s="895" t="s">
        <v>25</v>
      </c>
      <c r="AK12" s="892" t="s">
        <v>106</v>
      </c>
      <c r="AL12" s="892" t="s">
        <v>0</v>
      </c>
      <c r="AM12" s="892" t="s">
        <v>1</v>
      </c>
      <c r="AN12" s="892" t="s">
        <v>2</v>
      </c>
      <c r="AO12" s="892" t="s">
        <v>3</v>
      </c>
      <c r="AP12" s="892" t="s">
        <v>4</v>
      </c>
      <c r="AQ12" s="892" t="s">
        <v>5</v>
      </c>
      <c r="AR12" s="892" t="s">
        <v>373</v>
      </c>
      <c r="AS12" s="900" t="s">
        <v>6</v>
      </c>
      <c r="AT12" s="900" t="s">
        <v>0</v>
      </c>
      <c r="AU12" s="900" t="s">
        <v>1</v>
      </c>
      <c r="AV12" s="900" t="s">
        <v>2</v>
      </c>
      <c r="AW12" s="900" t="s">
        <v>3</v>
      </c>
      <c r="AX12" s="900" t="s">
        <v>4</v>
      </c>
      <c r="AY12" s="900" t="s">
        <v>5</v>
      </c>
      <c r="AZ12" s="900" t="s">
        <v>25</v>
      </c>
      <c r="BA12" s="904" t="s">
        <v>6</v>
      </c>
      <c r="BB12" s="904" t="s">
        <v>0</v>
      </c>
      <c r="BC12" s="904" t="s">
        <v>1</v>
      </c>
      <c r="BD12" s="904" t="s">
        <v>2</v>
      </c>
      <c r="BE12" s="904" t="s">
        <v>3</v>
      </c>
      <c r="BF12" s="904" t="s">
        <v>4</v>
      </c>
      <c r="BG12" s="904" t="s">
        <v>5</v>
      </c>
      <c r="BH12" s="904" t="s">
        <v>25</v>
      </c>
      <c r="BI12" s="683" t="s">
        <v>631</v>
      </c>
      <c r="BJ12" s="683" t="s">
        <v>209</v>
      </c>
      <c r="BK12" s="751" t="s">
        <v>648</v>
      </c>
      <c r="BL12" s="146" t="s">
        <v>647</v>
      </c>
      <c r="BM12" s="146" t="s">
        <v>159</v>
      </c>
      <c r="BN12" s="146" t="s">
        <v>160</v>
      </c>
    </row>
    <row r="13" spans="2:66">
      <c r="B13" s="137" t="s">
        <v>372</v>
      </c>
      <c r="O13" s="136"/>
      <c r="P13" s="714">
        <f t="array" ref="P13:P512">_xll.qArrayPad(_xll.qDateSchedule(Today,StartInput,EndInput,FreqFixed,BusDayAdj,EOM,F21,RollAnniv,StubsFixed),0)</f>
        <v>40738</v>
      </c>
      <c r="Q13" s="715">
        <f t="shared" ref="Q13:Q76" si="0">IF(P14,IF(LEFT(DCCfixed,3)="Act",P14-P13,DAYS360(P13,P14)),0)</f>
        <v>92</v>
      </c>
      <c r="R13" s="712">
        <f>IF(P14,_xll.qDateYears(P13,P14,DCCfixed),0)</f>
        <v>0.25205479452054796</v>
      </c>
      <c r="S13" s="519">
        <f t="array" aca="1" ref="S13:S512" ca="1">_xll.qGetDF($J$5,P13:P512)</f>
        <v>0.99882490702642912</v>
      </c>
      <c r="T13" s="720"/>
      <c r="U13" s="390">
        <f>IF(IncludePrincipals,-Face+T13,"")</f>
        <v>-50000000</v>
      </c>
      <c r="X13" s="345">
        <f t="array" ref="X13:X512">_xll.qArrayPad(_xll.qDateSchedule(Today,StartInput,EndInput,FreqFloat,BusDayAdj,EOM,F21,RollAnniv,StubsFloat),0)</f>
        <v>40738</v>
      </c>
      <c r="Y13" s="711">
        <f t="shared" ref="Y13:Y76" si="1">IF(X14,IF(LEFT(DCCfloat,3)="Act",X14-X13,DAYS360(X13,X14)),0)</f>
        <v>92</v>
      </c>
      <c r="Z13" s="712">
        <f>IF(X14,_xll.qDateYears(X13,X14,DCCfloat),0)</f>
        <v>0.25205479452054796</v>
      </c>
      <c r="AA13" s="519">
        <f t="array" aca="1" ref="AA13:AA512" ca="1">_xll.qGetDF($J$5,X13:X512)</f>
        <v>0.99882490702642912</v>
      </c>
      <c r="AB13" s="890">
        <f>IF(X13=0,0,         IF(OR(CCY="AUD",CCY="NZD",CCY="GBP"),X13,   _xll.qDateNext(X13,"-2b",,,IF(CCY="EUR","TGT","LON"))))</f>
        <v>40738</v>
      </c>
      <c r="AC13" s="879" t="str">
        <f t="array" ref="AC13:AJ512">IF(ISERROR(SUM(CCY,AB13:AB512)/0),GetHistoricalRateSets(CCY,AB13:AB512) )</f>
        <v/>
      </c>
      <c r="AD13" s="879" t="str">
        <v/>
      </c>
      <c r="AE13" s="879" t="str">
        <v/>
      </c>
      <c r="AF13" s="879" t="str">
        <v/>
      </c>
      <c r="AG13" s="879" t="str">
        <v/>
      </c>
      <c r="AH13" s="879" t="str">
        <v/>
      </c>
      <c r="AI13" s="879" t="str">
        <v/>
      </c>
      <c r="AJ13" s="879" t="str">
        <v/>
      </c>
      <c r="AK13" s="882">
        <f>IF($X13=0,0,      _xll.qDateNext($X13,AK$12,$AR$11,FRM&lt;&gt;"Calypso",CCY))</f>
        <v>40739</v>
      </c>
      <c r="AL13" s="882">
        <f>IF($X13=0,0,      _xll.qDateNext($X13,AL$12,$AR$11,FRM&lt;&gt;"Calypso",CCY))</f>
        <v>40770</v>
      </c>
      <c r="AM13" s="882">
        <f>IF($X13=0,0,      _xll.qDateNext($X13,AM$12,$AR$11,FRM&lt;&gt;"Calypso",CCY))</f>
        <v>40800</v>
      </c>
      <c r="AN13" s="882">
        <f>IF($X13=0,0,      _xll.qDateNext($X13,AN$12,$AR$11,FRM&lt;&gt;"Calypso",CCY))</f>
        <v>40830</v>
      </c>
      <c r="AO13" s="882">
        <f>IF($X13=0,0,      _xll.qDateNext($X13,AO$12,$AR$11,FRM&lt;&gt;"Calypso",CCY))</f>
        <v>40861</v>
      </c>
      <c r="AP13" s="882">
        <f>IF($X13=0,0,      _xll.qDateNext($X13,AP$12,$AR$11,FRM&lt;&gt;"Calypso",CCY))</f>
        <v>40891</v>
      </c>
      <c r="AQ13" s="882">
        <f>IF($X13=0,0,      _xll.qDateNext($X13,AQ$12,$AR$11,FRM&lt;&gt;"Calypso",CCY))</f>
        <v>40921</v>
      </c>
      <c r="AR13" s="882">
        <f>IF($X13=0,0,      _xll.qDateNext($X13,AR$12,$AR$11,FRM&lt;&gt;"Calypso",CCY))</f>
        <v>41103</v>
      </c>
      <c r="AS13" s="901">
        <f t="array" aca="1" ref="AS13:AS512" ca="1">IF(PerformFRM?,_xll.qGetFwdRate(AS$6,$X13:$X512,AK13:AK512,"T",DCCfloat),_xll.qGetFwdRate(AS$6,$X13:$X511,$X14:$X512,"T",DCCfloat))</f>
        <v>4.7024281535837931</v>
      </c>
      <c r="AT13" s="901">
        <f t="array" aca="1" ref="AT13:AT512" ca="1">IF(PerformFRM?,_xll.qGetFwdRate(AT$6,$X13:$X512,AL13:AL512,"T",DCCfloat),_xll.qGetFwdRate(AT$6,$X13:$X511,$X14:$X512,"T",DCCfloat))</f>
        <v>4.8468534969789321</v>
      </c>
      <c r="AU13" s="901">
        <f ca="1">IF($X13,AVERAGE(AT13,AV13),0)</f>
        <v>4.9060520127815579</v>
      </c>
      <c r="AV13" s="901">
        <f t="array" aca="1" ref="AV13:AV512" ca="1">IF(PerformFRM?,_xll.qGetFwdRate(AV$6,$X13:$X512,AN13:AN512,"T",DCCfloat),_xll.qGetFwdRate(AV$6,$X13:$X511,$X14:$X512,"T",DCCfloat))</f>
        <v>4.9652505285841828</v>
      </c>
      <c r="AW13" s="901">
        <f ca="1">IF($X13,AV13+(AY13-AV13)/3,0)</f>
        <v>4.9814880241475388</v>
      </c>
      <c r="AX13" s="901">
        <f ca="1">IF($X13,AVERAGE(AW13,AY13),0)</f>
        <v>4.9977255197108956</v>
      </c>
      <c r="AY13" s="901">
        <f t="array" aca="1" ref="AY13:AY512" ca="1">IF(PerformFRM?,_xll.qGetFwdRate(AY$6,$X13:$X512,AQ13:AQ512,"T",DCCfloat),_xll.qGetFwdRate(AY$6,$X13:$X511,$X14:$X512,"T",DCCfloat))</f>
        <v>5.0139630152742516</v>
      </c>
      <c r="AZ13" s="901">
        <f t="array" aca="1" ref="AZ13:AZ512" ca="1">IF(PerformFRM?,_xll.qGetFwdRate(AZ$6,$X13:$X512,AR13:AR512,"T",DCCfloat),_xll.qGetFwdRate(AZ$6,$X13:$X511,$X14:$X512,"T",DCCfloat))</f>
        <v>5.1094706538669543</v>
      </c>
      <c r="BA13" s="905">
        <f t="shared" ref="BA13:BA76" ca="1" si="2">IF($X13=0,0,   IF(ISNUMBER(AC13),AC13,AS13))</f>
        <v>4.7024281535837931</v>
      </c>
      <c r="BB13" s="905">
        <f t="shared" ref="BB13:BB76" ca="1" si="3">IF($X13=0,0,   IF(ISNUMBER(AD13),AD13,AT13))</f>
        <v>4.8468534969789321</v>
      </c>
      <c r="BC13" s="905">
        <f t="shared" ref="BC13:BC76" ca="1" si="4">IF($X13=0,0,   IF(ISNUMBER(AE13),AE13,AU13))</f>
        <v>4.9060520127815579</v>
      </c>
      <c r="BD13" s="905">
        <f t="shared" ref="BD13:BD76" ca="1" si="5">IF($X13=0,0,   IF(ISNUMBER(AF13),AF13,AV13))</f>
        <v>4.9652505285841828</v>
      </c>
      <c r="BE13" s="905">
        <f t="shared" ref="BE13:BE76" ca="1" si="6">IF($X13=0,0,   IF(ISNUMBER(AG13),AG13,AW13))</f>
        <v>4.9814880241475388</v>
      </c>
      <c r="BF13" s="905">
        <f t="shared" ref="BF13:BF76" ca="1" si="7">IF($X13=0,0,   IF(ISNUMBER(AH13),AH13,AX13))</f>
        <v>4.9977255197108956</v>
      </c>
      <c r="BG13" s="905">
        <f t="shared" ref="BG13:BG76" ca="1" si="8">IF($X13=0,0,   IF(ISNUMBER(AI13),AI13,AY13))</f>
        <v>5.0139630152742516</v>
      </c>
      <c r="BH13" s="905">
        <f t="shared" ref="BH13:BH76" ca="1" si="9">IF($X13=0,0,   IF(ISNUMBER(AJ13),AJ13,AZ13))</f>
        <v>5.1094706538669543</v>
      </c>
      <c r="BI13" s="519" t="str">
        <f t="array" ref="BI13:BI512">IF(ISERROR(SUM(Y13:Y512+0,InterpTrigger,DCCfloat)/0),TheoreticalRoll(Y13:Y512+0,InterpTrigger,DCCfloat))</f>
        <v>3M</v>
      </c>
      <c r="BJ13" s="694"/>
      <c r="BK13" s="752">
        <f ca="1">IF(X14=0,0,           IF(ISNUMBER(BJ13),BJ13,               IF(ISTEXT(BJ13),INDEX(BA13:BH13,MATCH(BJ13,$BA$12:$BH$12,0)),             IF(BI13="INT",_xll.qInterp(X14,AK13:AR13,BA13:BH13),            INDEX(BA13:BH13,MATCH(BI13,$BA$12:$BH$12,0))))))</f>
        <v>4.9652505285841828</v>
      </c>
      <c r="BL13" s="389"/>
      <c r="BM13" s="389"/>
      <c r="BN13" s="389">
        <f>IF(IncludePrincipals,Face,0)</f>
        <v>50000000</v>
      </c>
    </row>
    <row r="14" spans="2:66">
      <c r="I14" s="150" t="s">
        <v>152</v>
      </c>
      <c r="J14" s="515">
        <f ca="1">(SUMPRODUCT(S13:S262,T13:T262)-J15)/Face*1000000</f>
        <v>0</v>
      </c>
      <c r="O14" s="136"/>
      <c r="P14" s="714">
        <v>40830</v>
      </c>
      <c r="Q14" s="715">
        <f t="shared" si="0"/>
        <v>94</v>
      </c>
      <c r="R14" s="712">
        <f>IF(P15,_xll.qDateYears(P14,P15,DCCfixed),0)</f>
        <v>0.25753424657534246</v>
      </c>
      <c r="S14" s="519">
        <f ca="1"/>
        <v>0.98647897272100193</v>
      </c>
      <c r="T14" s="720"/>
      <c r="U14" s="390">
        <f t="shared" ref="U14:U77" ca="1" si="10">IF(P14,$U$5%*R13*Face,0) + IF(AND(IncludePrincipals,P14&gt;0,P15=0),Face,0) + IF(P14,T14,0)</f>
        <v>650113.47955981689</v>
      </c>
      <c r="X14" s="345">
        <v>40830</v>
      </c>
      <c r="Y14" s="711">
        <f t="shared" si="1"/>
        <v>94</v>
      </c>
      <c r="Z14" s="712">
        <f>IF(X15,_xll.qDateYears(X14,X15,DCCfloat),0)</f>
        <v>0.25753424657534246</v>
      </c>
      <c r="AA14" s="519">
        <f ca="1"/>
        <v>0.98647897272100193</v>
      </c>
      <c r="AB14" s="890">
        <f>IF(X14=0,0,         IF(OR(CCY="AUD",CCY="NZD",CCY="GBP"),X14,   _xll.qDateNext(X14,"-2b",,,IF(CCY="EUR","TGT","LON"))))</f>
        <v>40830</v>
      </c>
      <c r="AC14" s="879" t="str">
        <v/>
      </c>
      <c r="AD14" s="879" t="str">
        <v/>
      </c>
      <c r="AE14" s="879" t="str">
        <v/>
      </c>
      <c r="AF14" s="879" t="str">
        <v/>
      </c>
      <c r="AG14" s="879" t="str">
        <v/>
      </c>
      <c r="AH14" s="879" t="str">
        <v/>
      </c>
      <c r="AI14" s="879" t="str">
        <v/>
      </c>
      <c r="AJ14" s="879" t="str">
        <v/>
      </c>
      <c r="AK14" s="882">
        <f>IF($X14=0,0,      _xll.qDateNext($X14,AK$12,$AR$11,FRM&lt;&gt;"Calypso",CCY))</f>
        <v>40833</v>
      </c>
      <c r="AL14" s="882">
        <f>IF($X14=0,0,      _xll.qDateNext($X14,AL$12,$AR$11,FRM&lt;&gt;"Calypso",CCY))</f>
        <v>40861</v>
      </c>
      <c r="AM14" s="882">
        <f>IF($X14=0,0,      _xll.qDateNext($X14,AM$12,$AR$11,FRM&lt;&gt;"Calypso",CCY))</f>
        <v>40891</v>
      </c>
      <c r="AN14" s="882">
        <f>IF($X14=0,0,      _xll.qDateNext($X14,AN$12,$AR$11,FRM&lt;&gt;"Calypso",CCY))</f>
        <v>40921</v>
      </c>
      <c r="AO14" s="882">
        <f>IF($X14=0,0,      _xll.qDateNext($X14,AO$12,$AR$11,FRM&lt;&gt;"Calypso",CCY))</f>
        <v>40953</v>
      </c>
      <c r="AP14" s="882">
        <f>IF($X14=0,0,      _xll.qDateNext($X14,AP$12,$AR$11,FRM&lt;&gt;"Calypso",CCY))</f>
        <v>40982</v>
      </c>
      <c r="AQ14" s="882">
        <f>IF($X14=0,0,      _xll.qDateNext($X14,AQ$12,$AR$11,FRM&lt;&gt;"Calypso",CCY))</f>
        <v>41012</v>
      </c>
      <c r="AR14" s="882">
        <f>IF($X14=0,0,      _xll.qDateNext($X14,AR$12,$AR$11,FRM&lt;&gt;"Calypso",CCY))</f>
        <v>41197</v>
      </c>
      <c r="AS14" s="901">
        <f ca="1"/>
        <v>4.6640444775494236</v>
      </c>
      <c r="AT14" s="901">
        <f ca="1"/>
        <v>4.7241089976297292</v>
      </c>
      <c r="AU14" s="901">
        <f t="shared" ref="AU14:AU77" ca="1" si="11">IF($X14,AVERAGE(AT14,AV14),0)</f>
        <v>4.7789191372922204</v>
      </c>
      <c r="AV14" s="901">
        <f ca="1"/>
        <v>4.8337292769547124</v>
      </c>
      <c r="AW14" s="901">
        <f t="shared" ref="AW14:AW77" ca="1" si="12">IF($X14,AV14+(AY14-AV14)/3,0)</f>
        <v>4.8863478195835457</v>
      </c>
      <c r="AX14" s="901">
        <f t="shared" ref="AX14:AX77" ca="1" si="13">IF($X14,AVERAGE(AW14,AY14),0)</f>
        <v>4.9389663622123798</v>
      </c>
      <c r="AY14" s="901">
        <f ca="1"/>
        <v>4.9915849048412131</v>
      </c>
      <c r="AZ14" s="901">
        <f ca="1"/>
        <v>5.1362963478847963</v>
      </c>
      <c r="BA14" s="905">
        <f t="shared" ca="1" si="2"/>
        <v>4.6640444775494236</v>
      </c>
      <c r="BB14" s="905">
        <f t="shared" ca="1" si="3"/>
        <v>4.7241089976297292</v>
      </c>
      <c r="BC14" s="905">
        <f t="shared" ca="1" si="4"/>
        <v>4.7789191372922204</v>
      </c>
      <c r="BD14" s="905">
        <f t="shared" ca="1" si="5"/>
        <v>4.8337292769547124</v>
      </c>
      <c r="BE14" s="905">
        <f t="shared" ca="1" si="6"/>
        <v>4.8863478195835457</v>
      </c>
      <c r="BF14" s="905">
        <f t="shared" ca="1" si="7"/>
        <v>4.9389663622123798</v>
      </c>
      <c r="BG14" s="905">
        <f t="shared" ca="1" si="8"/>
        <v>4.9915849048412131</v>
      </c>
      <c r="BH14" s="905">
        <f t="shared" ca="1" si="9"/>
        <v>5.1362963478847963</v>
      </c>
      <c r="BI14" s="713" t="str">
        <v>3M</v>
      </c>
      <c r="BJ14" s="695"/>
      <c r="BK14" s="752">
        <f ca="1">IF(X15=0,0,           IF(ISNUMBER(BJ14),BJ14,               IF(ISTEXT(BJ14),INDEX(BA14:BH14,MATCH(BJ14,$BA$12:$BH$12,0)),             IF(BI14="INT",_xll.qInterp(X15,AK14:AR14,BA14:BH14),            INDEX(BA14:BH14,MATCH(BI14,$BA$12:$BH$12,0))))))</f>
        <v>4.8337292769547124</v>
      </c>
      <c r="BL14" s="389">
        <f t="shared" ref="BL14:BL77" ca="1" si="14">IF(X14,-BK13%*Face*Z13,0)</f>
        <v>-625757.60086266429</v>
      </c>
      <c r="BM14" s="394">
        <f t="shared" ref="BM14:BM77" si="15">IF(X14,-Margin%%*Z13*Face,0)</f>
        <v>0</v>
      </c>
      <c r="BN14" s="389">
        <f t="shared" ref="BN14:BN77" ca="1" si="16">SUM(BL14:BM14)+IF(AND(IncludePrincipals,X14&lt;&gt;0,X15=0),-Face,0)</f>
        <v>-625757.60086266429</v>
      </c>
    </row>
    <row r="15" spans="2:66">
      <c r="B15" t="s">
        <v>668</v>
      </c>
      <c r="D15" s="122">
        <v>40738</v>
      </c>
      <c r="F15" s="122" t="s">
        <v>894</v>
      </c>
      <c r="I15" s="150" t="s">
        <v>149</v>
      </c>
      <c r="J15" s="515">
        <f>IF(ISNUMBER(DesiredNPV)+ISBLANK(DesiredNPV),DesiredNPV,LEFT(DesiredNPV,LEN(DesiredNPV)-2)*U6)</f>
        <v>0</v>
      </c>
      <c r="O15" s="136"/>
      <c r="P15" s="714">
        <v>40924</v>
      </c>
      <c r="Q15" s="715">
        <f t="shared" si="0"/>
        <v>91</v>
      </c>
      <c r="R15" s="712">
        <f>IF(P16,_xll.qDateYears(P15,P16,DCCfixed),0)</f>
        <v>0.24931506849315069</v>
      </c>
      <c r="S15" s="519">
        <f ca="1"/>
        <v>0.97434328177967555</v>
      </c>
      <c r="T15" s="720"/>
      <c r="U15" s="390">
        <f t="shared" ca="1" si="10"/>
        <v>664246.38128937804</v>
      </c>
      <c r="X15" s="345">
        <v>40924</v>
      </c>
      <c r="Y15" s="711">
        <f t="shared" si="1"/>
        <v>91</v>
      </c>
      <c r="Z15" s="712">
        <f>IF(X16,_xll.qDateYears(X15,X16,DCCfloat),0)</f>
        <v>0.24931506849315069</v>
      </c>
      <c r="AA15" s="519">
        <f ca="1"/>
        <v>0.97434328177967555</v>
      </c>
      <c r="AB15" s="890">
        <f>IF(X15=0,0,         IF(OR(CCY="AUD",CCY="NZD",CCY="GBP"),X15,   _xll.qDateNext(X15,"-2b",,,IF(CCY="EUR","TGT","LON"))))</f>
        <v>40924</v>
      </c>
      <c r="AC15" s="879" t="str">
        <v/>
      </c>
      <c r="AD15" s="879" t="str">
        <v/>
      </c>
      <c r="AE15" s="879" t="str">
        <v/>
      </c>
      <c r="AF15" s="879" t="str">
        <v/>
      </c>
      <c r="AG15" s="879" t="str">
        <v/>
      </c>
      <c r="AH15" s="879" t="str">
        <v/>
      </c>
      <c r="AI15" s="879" t="str">
        <v/>
      </c>
      <c r="AJ15" s="879" t="str">
        <v/>
      </c>
      <c r="AK15" s="882">
        <f>IF($X15=0,0,      _xll.qDateNext($X15,AK$12,$AR$11,FRM&lt;&gt;"Calypso",CCY))</f>
        <v>40925</v>
      </c>
      <c r="AL15" s="882">
        <f>IF($X15=0,0,      _xll.qDateNext($X15,AL$12,$AR$11,FRM&lt;&gt;"Calypso",CCY))</f>
        <v>40955</v>
      </c>
      <c r="AM15" s="882">
        <f>IF($X15=0,0,      _xll.qDateNext($X15,AM$12,$AR$11,FRM&lt;&gt;"Calypso",CCY))</f>
        <v>40984</v>
      </c>
      <c r="AN15" s="882">
        <f>IF($X15=0,0,      _xll.qDateNext($X15,AN$12,$AR$11,FRM&lt;&gt;"Calypso",CCY))</f>
        <v>41015</v>
      </c>
      <c r="AO15" s="882">
        <f>IF($X15=0,0,      _xll.qDateNext($X15,AO$12,$AR$11,FRM&lt;&gt;"Calypso",CCY))</f>
        <v>41045</v>
      </c>
      <c r="AP15" s="882">
        <f>IF($X15=0,0,      _xll.qDateNext($X15,AP$12,$AR$11,FRM&lt;&gt;"Calypso",CCY))</f>
        <v>41078</v>
      </c>
      <c r="AQ15" s="882">
        <f>IF($X15=0,0,      _xll.qDateNext($X15,AQ$12,$AR$11,FRM&lt;&gt;"Calypso",CCY))</f>
        <v>41106</v>
      </c>
      <c r="AR15" s="882">
        <f>IF($X15=0,0,      _xll.qDateNext($X15,AR$12,$AR$11,FRM&lt;&gt;"Calypso",CCY))</f>
        <v>41290</v>
      </c>
      <c r="AS15" s="901">
        <f ca="1"/>
        <v>4.6642391316943366</v>
      </c>
      <c r="AT15" s="901">
        <f ca="1"/>
        <v>4.7385442331875787</v>
      </c>
      <c r="AU15" s="901">
        <f t="shared" ca="1" si="11"/>
        <v>4.8221682229468037</v>
      </c>
      <c r="AV15" s="901">
        <f ca="1"/>
        <v>4.9057922127060287</v>
      </c>
      <c r="AW15" s="901">
        <f t="shared" ca="1" si="12"/>
        <v>4.9639051632529929</v>
      </c>
      <c r="AX15" s="901">
        <f t="shared" ca="1" si="13"/>
        <v>5.0220181137999571</v>
      </c>
      <c r="AY15" s="901">
        <f ca="1"/>
        <v>5.0801310643469204</v>
      </c>
      <c r="AZ15" s="901">
        <f ca="1"/>
        <v>5.2115977944717145</v>
      </c>
      <c r="BA15" s="905">
        <f t="shared" ca="1" si="2"/>
        <v>4.6642391316943366</v>
      </c>
      <c r="BB15" s="905">
        <f t="shared" ca="1" si="3"/>
        <v>4.7385442331875787</v>
      </c>
      <c r="BC15" s="905">
        <f t="shared" ca="1" si="4"/>
        <v>4.8221682229468037</v>
      </c>
      <c r="BD15" s="905">
        <f t="shared" ca="1" si="5"/>
        <v>4.9057922127060287</v>
      </c>
      <c r="BE15" s="905">
        <f t="shared" ca="1" si="6"/>
        <v>4.9639051632529929</v>
      </c>
      <c r="BF15" s="905">
        <f t="shared" ca="1" si="7"/>
        <v>5.0220181137999571</v>
      </c>
      <c r="BG15" s="905">
        <f t="shared" ca="1" si="8"/>
        <v>5.0801310643469204</v>
      </c>
      <c r="BH15" s="905">
        <f t="shared" ca="1" si="9"/>
        <v>5.2115977944717145</v>
      </c>
      <c r="BI15" s="713" t="str">
        <v>3M</v>
      </c>
      <c r="BJ15" s="694"/>
      <c r="BK15" s="752">
        <f ca="1">IF(X16=0,0,           IF(ISNUMBER(BJ15),BJ15,               IF(ISTEXT(BJ15),INDEX(BA15:BH15,MATCH(BJ15,$BA$12:$BH$12,0)),             IF(BI15="INT",_xll.qInterp(X16,AK15:AR15,BA15:BH15),            INDEX(BA15:BH15,MATCH(BI15,$BA$12:$BH$12,0))))))</f>
        <v>4.9057922127060287</v>
      </c>
      <c r="BL15" s="389">
        <f t="shared" ca="1" si="14"/>
        <v>-622425.41374485334</v>
      </c>
      <c r="BM15" s="394">
        <f t="shared" si="15"/>
        <v>0</v>
      </c>
      <c r="BN15" s="389">
        <f t="shared" ca="1" si="16"/>
        <v>-622425.41374485334</v>
      </c>
    </row>
    <row r="16" spans="2:66">
      <c r="F16" s="130"/>
      <c r="I16" s="150" t="s">
        <v>153</v>
      </c>
      <c r="J16" s="150">
        <f>(MAX(P13:P512)-P13)/365</f>
        <v>3.0027397260273974</v>
      </c>
      <c r="K16" s="149" t="s">
        <v>669</v>
      </c>
      <c r="O16" s="136"/>
      <c r="P16" s="714">
        <v>41015</v>
      </c>
      <c r="Q16" s="715">
        <f t="shared" si="0"/>
        <v>91</v>
      </c>
      <c r="R16" s="712">
        <f>IF(P17,_xll.qDateYears(P16,P17,DCCfixed),0)</f>
        <v>0.24931506849315069</v>
      </c>
      <c r="S16" s="519">
        <f ca="1"/>
        <v>0.96257020190399889</v>
      </c>
      <c r="T16" s="720"/>
      <c r="U16" s="390">
        <f t="shared" ca="1" si="10"/>
        <v>643047.02869503619</v>
      </c>
      <c r="X16" s="345">
        <v>41015</v>
      </c>
      <c r="Y16" s="711">
        <f t="shared" si="1"/>
        <v>91</v>
      </c>
      <c r="Z16" s="712">
        <f>IF(X17,_xll.qDateYears(X16,X17,DCCfloat),0)</f>
        <v>0.24931506849315069</v>
      </c>
      <c r="AA16" s="519">
        <f ca="1"/>
        <v>0.96257020190399889</v>
      </c>
      <c r="AB16" s="890">
        <f>IF(X16=0,0,         IF(OR(CCY="AUD",CCY="NZD",CCY="GBP"),X16,   _xll.qDateNext(X16,"-2b",,,IF(CCY="EUR","TGT","LON"))))</f>
        <v>41015</v>
      </c>
      <c r="AC16" s="879" t="str">
        <v/>
      </c>
      <c r="AD16" s="879" t="str">
        <v/>
      </c>
      <c r="AE16" s="879" t="str">
        <v/>
      </c>
      <c r="AF16" s="879" t="str">
        <v/>
      </c>
      <c r="AG16" s="879" t="str">
        <v/>
      </c>
      <c r="AH16" s="879" t="str">
        <v/>
      </c>
      <c r="AI16" s="879" t="str">
        <v/>
      </c>
      <c r="AJ16" s="879" t="str">
        <v/>
      </c>
      <c r="AK16" s="882">
        <f>IF($X16=0,0,      _xll.qDateNext($X16,AK$12,$AR$11,FRM&lt;&gt;"Calypso",CCY))</f>
        <v>41016</v>
      </c>
      <c r="AL16" s="882">
        <f>IF($X16=0,0,      _xll.qDateNext($X16,AL$12,$AR$11,FRM&lt;&gt;"Calypso",CCY))</f>
        <v>41045</v>
      </c>
      <c r="AM16" s="882">
        <f>IF($X16=0,0,      _xll.qDateNext($X16,AM$12,$AR$11,FRM&lt;&gt;"Calypso",CCY))</f>
        <v>41078</v>
      </c>
      <c r="AN16" s="882">
        <f>IF($X16=0,0,      _xll.qDateNext($X16,AN$12,$AR$11,FRM&lt;&gt;"Calypso",CCY))</f>
        <v>41106</v>
      </c>
      <c r="AO16" s="882">
        <f>IF($X16=0,0,      _xll.qDateNext($X16,AO$12,$AR$11,FRM&lt;&gt;"Calypso",CCY))</f>
        <v>41137</v>
      </c>
      <c r="AP16" s="882">
        <f>IF($X16=0,0,      _xll.qDateNext($X16,AP$12,$AR$11,FRM&lt;&gt;"Calypso",CCY))</f>
        <v>41169</v>
      </c>
      <c r="AQ16" s="882">
        <f>IF($X16=0,0,      _xll.qDateNext($X16,AQ$12,$AR$11,FRM&lt;&gt;"Calypso",CCY))</f>
        <v>41198</v>
      </c>
      <c r="AR16" s="882">
        <f>IF($X16=0,0,      _xll.qDateNext($X16,AR$12,$AR$11,FRM&lt;&gt;"Calypso",CCY))</f>
        <v>41380</v>
      </c>
      <c r="AS16" s="901">
        <f ca="1"/>
        <v>4.6976170032897446</v>
      </c>
      <c r="AT16" s="901">
        <f ca="1"/>
        <v>4.7789209017195153</v>
      </c>
      <c r="AU16" s="901">
        <f t="shared" ca="1" si="11"/>
        <v>4.8784926473086001</v>
      </c>
      <c r="AV16" s="901">
        <f ca="1"/>
        <v>4.9780643928976849</v>
      </c>
      <c r="AW16" s="901">
        <f t="shared" ca="1" si="12"/>
        <v>5.0357759735187182</v>
      </c>
      <c r="AX16" s="901">
        <f t="shared" ca="1" si="13"/>
        <v>5.0934875541397515</v>
      </c>
      <c r="AY16" s="901">
        <f ca="1"/>
        <v>5.1511991347607848</v>
      </c>
      <c r="AZ16" s="901">
        <f ca="1"/>
        <v>5.2759728149235796</v>
      </c>
      <c r="BA16" s="905">
        <f t="shared" ca="1" si="2"/>
        <v>4.6976170032897446</v>
      </c>
      <c r="BB16" s="905">
        <f t="shared" ca="1" si="3"/>
        <v>4.7789209017195153</v>
      </c>
      <c r="BC16" s="905">
        <f t="shared" ca="1" si="4"/>
        <v>4.8784926473086001</v>
      </c>
      <c r="BD16" s="905">
        <f t="shared" ca="1" si="5"/>
        <v>4.9780643928976849</v>
      </c>
      <c r="BE16" s="905">
        <f t="shared" ca="1" si="6"/>
        <v>5.0357759735187182</v>
      </c>
      <c r="BF16" s="905">
        <f t="shared" ca="1" si="7"/>
        <v>5.0934875541397515</v>
      </c>
      <c r="BG16" s="905">
        <f t="shared" ca="1" si="8"/>
        <v>5.1511991347607848</v>
      </c>
      <c r="BH16" s="905">
        <f t="shared" ca="1" si="9"/>
        <v>5.2759728149235796</v>
      </c>
      <c r="BI16" s="713" t="str">
        <v>3M</v>
      </c>
      <c r="BJ16" s="694"/>
      <c r="BK16" s="752">
        <f ca="1">IF(X17=0,0,           IF(ISNUMBER(BJ16),BJ16,               IF(ISTEXT(BJ16),INDEX(BA16:BH16,MATCH(BJ16,$BA$12:$BH$12,0)),             IF(BI16="INT",_xll.qInterp(X17,AK16:AR16,BA16:BH16),            INDEX(BA16:BH16,MATCH(BI16,$BA$12:$BH$12,0))))))</f>
        <v>4.9780643928976849</v>
      </c>
      <c r="BL16" s="389">
        <f t="shared" ca="1" si="14"/>
        <v>-611543.96076198446</v>
      </c>
      <c r="BM16" s="394">
        <f t="shared" si="15"/>
        <v>0</v>
      </c>
      <c r="BN16" s="389">
        <f t="shared" ca="1" si="16"/>
        <v>-611543.96076198446</v>
      </c>
    </row>
    <row r="17" spans="2:66">
      <c r="B17" t="s">
        <v>148</v>
      </c>
      <c r="D17" s="126"/>
      <c r="F17" s="130"/>
      <c r="I17" s="150" t="s">
        <v>374</v>
      </c>
      <c r="J17" s="119">
        <v>2</v>
      </c>
      <c r="O17" s="136"/>
      <c r="P17" s="714">
        <v>41106</v>
      </c>
      <c r="Q17" s="715">
        <f t="shared" si="0"/>
        <v>91</v>
      </c>
      <c r="R17" s="712">
        <f>IF(P18,_xll.qDateYears(P17,P18,DCCfixed),0)</f>
        <v>0.24931506849315069</v>
      </c>
      <c r="S17" s="519">
        <f ca="1"/>
        <v>0.95077013232369312</v>
      </c>
      <c r="T17" s="720"/>
      <c r="U17" s="390">
        <f t="shared" ca="1" si="10"/>
        <v>643047.02869503619</v>
      </c>
      <c r="X17" s="345">
        <v>41106</v>
      </c>
      <c r="Y17" s="711">
        <f t="shared" si="1"/>
        <v>91</v>
      </c>
      <c r="Z17" s="712">
        <f>IF(X18,_xll.qDateYears(X17,X18,DCCfloat),0)</f>
        <v>0.24931506849315069</v>
      </c>
      <c r="AA17" s="519">
        <f ca="1"/>
        <v>0.95077013232369312</v>
      </c>
      <c r="AB17" s="890">
        <f>IF(X17=0,0,         IF(OR(CCY="AUD",CCY="NZD",CCY="GBP"),X17,   _xll.qDateNext(X17,"-2b",,,IF(CCY="EUR","TGT","LON"))))</f>
        <v>41106</v>
      </c>
      <c r="AC17" s="879" t="str">
        <v/>
      </c>
      <c r="AD17" s="879" t="str">
        <v/>
      </c>
      <c r="AE17" s="879" t="str">
        <v/>
      </c>
      <c r="AF17" s="879" t="str">
        <v/>
      </c>
      <c r="AG17" s="879" t="str">
        <v/>
      </c>
      <c r="AH17" s="879" t="str">
        <v/>
      </c>
      <c r="AI17" s="879" t="str">
        <v/>
      </c>
      <c r="AJ17" s="879" t="str">
        <v/>
      </c>
      <c r="AK17" s="882">
        <f>IF($X17=0,0,      _xll.qDateNext($X17,AK$12,$AR$11,FRM&lt;&gt;"Calypso",CCY))</f>
        <v>41107</v>
      </c>
      <c r="AL17" s="882">
        <f>IF($X17=0,0,      _xll.qDateNext($X17,AL$12,$AR$11,FRM&lt;&gt;"Calypso",CCY))</f>
        <v>41137</v>
      </c>
      <c r="AM17" s="882">
        <f>IF($X17=0,0,      _xll.qDateNext($X17,AM$12,$AR$11,FRM&lt;&gt;"Calypso",CCY))</f>
        <v>41169</v>
      </c>
      <c r="AN17" s="882">
        <f>IF($X17=0,0,      _xll.qDateNext($X17,AN$12,$AR$11,FRM&lt;&gt;"Calypso",CCY))</f>
        <v>41198</v>
      </c>
      <c r="AO17" s="882">
        <f>IF($X17=0,0,      _xll.qDateNext($X17,AO$12,$AR$11,FRM&lt;&gt;"Calypso",CCY))</f>
        <v>41229</v>
      </c>
      <c r="AP17" s="882">
        <f>IF($X17=0,0,      _xll.qDateNext($X17,AP$12,$AR$11,FRM&lt;&gt;"Calypso",CCY))</f>
        <v>41260</v>
      </c>
      <c r="AQ17" s="882">
        <f>IF($X17=0,0,      _xll.qDateNext($X17,AQ$12,$AR$11,FRM&lt;&gt;"Calypso",CCY))</f>
        <v>41290</v>
      </c>
      <c r="AR17" s="882">
        <f>IF($X17=0,0,      _xll.qDateNext($X17,AR$12,$AR$11,FRM&lt;&gt;"Calypso",CCY))</f>
        <v>41471</v>
      </c>
      <c r="AS17" s="901">
        <f ca="1"/>
        <v>4.7802534429385313</v>
      </c>
      <c r="AT17" s="901">
        <f ca="1"/>
        <v>4.895522748564483</v>
      </c>
      <c r="AU17" s="901">
        <f t="shared" ca="1" si="11"/>
        <v>4.9759377672683929</v>
      </c>
      <c r="AV17" s="901">
        <f ca="1"/>
        <v>5.0563527859723036</v>
      </c>
      <c r="AW17" s="901">
        <f t="shared" ca="1" si="12"/>
        <v>5.1074582156852415</v>
      </c>
      <c r="AX17" s="901">
        <f t="shared" ca="1" si="13"/>
        <v>5.1585636453981785</v>
      </c>
      <c r="AY17" s="901">
        <f ca="1"/>
        <v>5.2096690751111163</v>
      </c>
      <c r="AZ17" s="901">
        <f ca="1"/>
        <v>5.3341387093401416</v>
      </c>
      <c r="BA17" s="905">
        <f t="shared" ca="1" si="2"/>
        <v>4.7802534429385313</v>
      </c>
      <c r="BB17" s="905">
        <f t="shared" ca="1" si="3"/>
        <v>4.895522748564483</v>
      </c>
      <c r="BC17" s="905">
        <f t="shared" ca="1" si="4"/>
        <v>4.9759377672683929</v>
      </c>
      <c r="BD17" s="905">
        <f t="shared" ca="1" si="5"/>
        <v>5.0563527859723036</v>
      </c>
      <c r="BE17" s="905">
        <f t="shared" ca="1" si="6"/>
        <v>5.1074582156852415</v>
      </c>
      <c r="BF17" s="905">
        <f t="shared" ca="1" si="7"/>
        <v>5.1585636453981785</v>
      </c>
      <c r="BG17" s="905">
        <f t="shared" ca="1" si="8"/>
        <v>5.2096690751111163</v>
      </c>
      <c r="BH17" s="905">
        <f t="shared" ca="1" si="9"/>
        <v>5.3341387093401416</v>
      </c>
      <c r="BI17" s="713" t="str">
        <v>3M</v>
      </c>
      <c r="BJ17" s="694"/>
      <c r="BK17" s="752">
        <f ca="1">IF(X18=0,0,           IF(ISNUMBER(BJ17),BJ17,               IF(ISTEXT(BJ17),INDEX(BA17:BH17,MATCH(BJ17,$BA$12:$BH$12,0)),             IF(BI17="INT",_xll.qInterp(X18,AK17:AR17,BA17:BH17),            INDEX(BA17:BH17,MATCH(BI17,$BA$12:$BH$12,0))))))</f>
        <v>5.0563527859723036</v>
      </c>
      <c r="BL17" s="389">
        <f t="shared" ca="1" si="14"/>
        <v>-620553.23253930046</v>
      </c>
      <c r="BM17" s="394">
        <f t="shared" si="15"/>
        <v>0</v>
      </c>
      <c r="BN17" s="389">
        <f t="shared" ca="1" si="16"/>
        <v>-620553.23253930046</v>
      </c>
    </row>
    <row r="18" spans="2:66">
      <c r="O18" s="136"/>
      <c r="P18" s="714">
        <v>41197</v>
      </c>
      <c r="Q18" s="715">
        <f t="shared" si="0"/>
        <v>91</v>
      </c>
      <c r="R18" s="712">
        <f>IF(P19,_xll.qDateYears(P18,P19,DCCfixed),0)</f>
        <v>0.24931506849315069</v>
      </c>
      <c r="S18" s="519">
        <f ca="1"/>
        <v>0.93893525687396373</v>
      </c>
      <c r="T18" s="720"/>
      <c r="U18" s="390">
        <f t="shared" ca="1" si="10"/>
        <v>643047.02869503619</v>
      </c>
      <c r="X18" s="345">
        <v>41197</v>
      </c>
      <c r="Y18" s="711">
        <f t="shared" si="1"/>
        <v>91</v>
      </c>
      <c r="Z18" s="712">
        <f>IF(X19,_xll.qDateYears(X18,X19,DCCfloat),0)</f>
        <v>0.24931506849315069</v>
      </c>
      <c r="AA18" s="519">
        <f ca="1"/>
        <v>0.93893525687396373</v>
      </c>
      <c r="AB18" s="890">
        <f>IF(X18=0,0,         IF(OR(CCY="AUD",CCY="NZD",CCY="GBP"),X18,   _xll.qDateNext(X18,"-2b",,,IF(CCY="EUR","TGT","LON"))))</f>
        <v>41197</v>
      </c>
      <c r="AC18" s="879" t="str">
        <v/>
      </c>
      <c r="AD18" s="879" t="str">
        <v/>
      </c>
      <c r="AE18" s="879" t="str">
        <v/>
      </c>
      <c r="AF18" s="879" t="str">
        <v/>
      </c>
      <c r="AG18" s="879" t="str">
        <v/>
      </c>
      <c r="AH18" s="879" t="str">
        <v/>
      </c>
      <c r="AI18" s="879" t="str">
        <v/>
      </c>
      <c r="AJ18" s="879" t="str">
        <v/>
      </c>
      <c r="AK18" s="882">
        <f>IF($X18=0,0,      _xll.qDateNext($X18,AK$12,$AR$11,FRM&lt;&gt;"Calypso",CCY))</f>
        <v>41198</v>
      </c>
      <c r="AL18" s="882">
        <f>IF($X18=0,0,      _xll.qDateNext($X18,AL$12,$AR$11,FRM&lt;&gt;"Calypso",CCY))</f>
        <v>41228</v>
      </c>
      <c r="AM18" s="882">
        <f>IF($X18=0,0,      _xll.qDateNext($X18,AM$12,$AR$11,FRM&lt;&gt;"Calypso",CCY))</f>
        <v>41257</v>
      </c>
      <c r="AN18" s="882">
        <f>IF($X18=0,0,      _xll.qDateNext($X18,AN$12,$AR$11,FRM&lt;&gt;"Calypso",CCY))</f>
        <v>41289</v>
      </c>
      <c r="AO18" s="882">
        <f>IF($X18=0,0,      _xll.qDateNext($X18,AO$12,$AR$11,FRM&lt;&gt;"Calypso",CCY))</f>
        <v>41320</v>
      </c>
      <c r="AP18" s="882">
        <f>IF($X18=0,0,      _xll.qDateNext($X18,AP$12,$AR$11,FRM&lt;&gt;"Calypso",CCY))</f>
        <v>41348</v>
      </c>
      <c r="AQ18" s="882">
        <f>IF($X18=0,0,      _xll.qDateNext($X18,AQ$12,$AR$11,FRM&lt;&gt;"Calypso",CCY))</f>
        <v>41379</v>
      </c>
      <c r="AR18" s="882">
        <f>IF($X18=0,0,      _xll.qDateNext($X18,AR$12,$AR$11,FRM&lt;&gt;"Calypso",CCY))</f>
        <v>41562</v>
      </c>
      <c r="AS18" s="901">
        <f ca="1"/>
        <v>4.8249267893787362</v>
      </c>
      <c r="AT18" s="901">
        <f ca="1"/>
        <v>4.95341561616116</v>
      </c>
      <c r="AU18" s="901">
        <f t="shared" ca="1" si="11"/>
        <v>5.0336768197682726</v>
      </c>
      <c r="AV18" s="901">
        <f ca="1"/>
        <v>5.1139380233753862</v>
      </c>
      <c r="AW18" s="901">
        <f t="shared" ca="1" si="12"/>
        <v>5.1642352797503674</v>
      </c>
      <c r="AX18" s="901">
        <f t="shared" ca="1" si="13"/>
        <v>5.2145325361253487</v>
      </c>
      <c r="AY18" s="901">
        <f ca="1"/>
        <v>5.2648297925003291</v>
      </c>
      <c r="AZ18" s="901">
        <f ca="1"/>
        <v>5.3968388316495863</v>
      </c>
      <c r="BA18" s="905">
        <f t="shared" ca="1" si="2"/>
        <v>4.8249267893787362</v>
      </c>
      <c r="BB18" s="905">
        <f t="shared" ca="1" si="3"/>
        <v>4.95341561616116</v>
      </c>
      <c r="BC18" s="905">
        <f t="shared" ca="1" si="4"/>
        <v>5.0336768197682726</v>
      </c>
      <c r="BD18" s="905">
        <f t="shared" ca="1" si="5"/>
        <v>5.1139380233753862</v>
      </c>
      <c r="BE18" s="905">
        <f t="shared" ca="1" si="6"/>
        <v>5.1642352797503674</v>
      </c>
      <c r="BF18" s="905">
        <f t="shared" ca="1" si="7"/>
        <v>5.2145325361253487</v>
      </c>
      <c r="BG18" s="905">
        <f t="shared" ca="1" si="8"/>
        <v>5.2648297925003291</v>
      </c>
      <c r="BH18" s="905">
        <f t="shared" ca="1" si="9"/>
        <v>5.3968388316495863</v>
      </c>
      <c r="BI18" s="713" t="str">
        <v>3M</v>
      </c>
      <c r="BJ18" s="694"/>
      <c r="BK18" s="752">
        <f ca="1">IF(X19=0,0,           IF(ISNUMBER(BJ18),BJ18,               IF(ISTEXT(BJ18),INDEX(BA18:BH18,MATCH(BJ18,$BA$12:$BH$12,0)),             IF(BI18="INT",_xll.qInterp(X19,AK18:AR18,BA18:BH18),            INDEX(BA18:BH18,MATCH(BI18,$BA$12:$BH$12,0))))))</f>
        <v>5.1139380233753862</v>
      </c>
      <c r="BL18" s="389">
        <f t="shared" ca="1" si="14"/>
        <v>-630312.47058010905</v>
      </c>
      <c r="BM18" s="394">
        <f t="shared" si="15"/>
        <v>0</v>
      </c>
      <c r="BN18" s="389">
        <f t="shared" ca="1" si="16"/>
        <v>-630312.47058010905</v>
      </c>
    </row>
    <row r="19" spans="2:66">
      <c r="B19" t="s">
        <v>369</v>
      </c>
      <c r="D19" s="119" t="s">
        <v>136</v>
      </c>
      <c r="F19" s="119" t="b">
        <v>1</v>
      </c>
      <c r="O19" s="136"/>
      <c r="P19" s="714">
        <v>41288</v>
      </c>
      <c r="Q19" s="715">
        <f t="shared" si="0"/>
        <v>91</v>
      </c>
      <c r="R19" s="712">
        <f>IF(P20,_xll.qDateYears(P19,P20,DCCfixed),0)</f>
        <v>0.24931506849315069</v>
      </c>
      <c r="S19" s="519">
        <f ca="1"/>
        <v>0.92711624484448563</v>
      </c>
      <c r="T19" s="720"/>
      <c r="U19" s="390">
        <f t="shared" ca="1" si="10"/>
        <v>643047.02869503619</v>
      </c>
      <c r="X19" s="345">
        <v>41288</v>
      </c>
      <c r="Y19" s="711">
        <f t="shared" si="1"/>
        <v>91</v>
      </c>
      <c r="Z19" s="712">
        <f>IF(X20,_xll.qDateYears(X19,X20,DCCfloat),0)</f>
        <v>0.24931506849315069</v>
      </c>
      <c r="AA19" s="519">
        <f ca="1"/>
        <v>0.92711624484448563</v>
      </c>
      <c r="AB19" s="890">
        <f>IF(X19=0,0,         IF(OR(CCY="AUD",CCY="NZD",CCY="GBP"),X19,   _xll.qDateNext(X19,"-2b",,,IF(CCY="EUR","TGT","LON"))))</f>
        <v>41288</v>
      </c>
      <c r="AC19" s="879" t="str">
        <v/>
      </c>
      <c r="AD19" s="879" t="str">
        <v/>
      </c>
      <c r="AE19" s="879" t="str">
        <v/>
      </c>
      <c r="AF19" s="879" t="str">
        <v/>
      </c>
      <c r="AG19" s="879" t="str">
        <v/>
      </c>
      <c r="AH19" s="879" t="str">
        <v/>
      </c>
      <c r="AI19" s="879" t="str">
        <v/>
      </c>
      <c r="AJ19" s="879" t="str">
        <v/>
      </c>
      <c r="AK19" s="882">
        <f>IF($X19=0,0,      _xll.qDateNext($X19,AK$12,$AR$11,FRM&lt;&gt;"Calypso",CCY))</f>
        <v>41289</v>
      </c>
      <c r="AL19" s="882">
        <f>IF($X19=0,0,      _xll.qDateNext($X19,AL$12,$AR$11,FRM&lt;&gt;"Calypso",CCY))</f>
        <v>41319</v>
      </c>
      <c r="AM19" s="882">
        <f>IF($X19=0,0,      _xll.qDateNext($X19,AM$12,$AR$11,FRM&lt;&gt;"Calypso",CCY))</f>
        <v>41347</v>
      </c>
      <c r="AN19" s="882">
        <f>IF($X19=0,0,      _xll.qDateNext($X19,AN$12,$AR$11,FRM&lt;&gt;"Calypso",CCY))</f>
        <v>41379</v>
      </c>
      <c r="AO19" s="882">
        <f>IF($X19=0,0,      _xll.qDateNext($X19,AO$12,$AR$11,FRM&lt;&gt;"Calypso",CCY))</f>
        <v>41408</v>
      </c>
      <c r="AP19" s="882">
        <f>IF($X19=0,0,      _xll.qDateNext($X19,AP$12,$AR$11,FRM&lt;&gt;"Calypso",CCY))</f>
        <v>41439</v>
      </c>
      <c r="AQ19" s="882">
        <f>IF($X19=0,0,      _xll.qDateNext($X19,AQ$12,$AR$11,FRM&lt;&gt;"Calypso",CCY))</f>
        <v>41470</v>
      </c>
      <c r="AR19" s="882">
        <f>IF($X19=0,0,      _xll.qDateNext($X19,AR$12,$AR$11,FRM&lt;&gt;"Calypso",CCY))</f>
        <v>41653</v>
      </c>
      <c r="AS19" s="901">
        <f ca="1"/>
        <v>4.8681633626301846</v>
      </c>
      <c r="AT19" s="901">
        <f ca="1"/>
        <v>5.0096580278363971</v>
      </c>
      <c r="AU19" s="901">
        <f t="shared" ca="1" si="11"/>
        <v>5.0897688594126462</v>
      </c>
      <c r="AV19" s="901">
        <f ca="1"/>
        <v>5.1698796909888953</v>
      </c>
      <c r="AW19" s="901">
        <f t="shared" ca="1" si="12"/>
        <v>5.2200639319896593</v>
      </c>
      <c r="AX19" s="901">
        <f t="shared" ca="1" si="13"/>
        <v>5.2702481729904243</v>
      </c>
      <c r="AY19" s="901">
        <f ca="1"/>
        <v>5.3204324139911883</v>
      </c>
      <c r="AZ19" s="901">
        <f ca="1"/>
        <v>5.4735779926127659</v>
      </c>
      <c r="BA19" s="905">
        <f t="shared" ca="1" si="2"/>
        <v>4.8681633626301846</v>
      </c>
      <c r="BB19" s="905">
        <f t="shared" ca="1" si="3"/>
        <v>5.0096580278363971</v>
      </c>
      <c r="BC19" s="905">
        <f t="shared" ca="1" si="4"/>
        <v>5.0897688594126462</v>
      </c>
      <c r="BD19" s="905">
        <f t="shared" ca="1" si="5"/>
        <v>5.1698796909888953</v>
      </c>
      <c r="BE19" s="905">
        <f t="shared" ca="1" si="6"/>
        <v>5.2200639319896593</v>
      </c>
      <c r="BF19" s="905">
        <f t="shared" ca="1" si="7"/>
        <v>5.2702481729904243</v>
      </c>
      <c r="BG19" s="905">
        <f t="shared" ca="1" si="8"/>
        <v>5.3204324139911883</v>
      </c>
      <c r="BH19" s="905">
        <f t="shared" ca="1" si="9"/>
        <v>5.4735779926127659</v>
      </c>
      <c r="BI19" s="713" t="str">
        <v>3M</v>
      </c>
      <c r="BJ19" s="694"/>
      <c r="BK19" s="752">
        <f ca="1">IF(X20=0,0,           IF(ISNUMBER(BJ19),BJ19,               IF(ISTEXT(BJ19),INDEX(BA19:BH19,MATCH(BJ19,$BA$12:$BH$12,0)),             IF(BI19="INT",_xll.qInterp(X20,AK19:AR19,BA19:BH19),            INDEX(BA19:BH19,MATCH(BI19,$BA$12:$BH$12,0))))))</f>
        <v>5.1698796909888953</v>
      </c>
      <c r="BL19" s="389">
        <f t="shared" ca="1" si="14"/>
        <v>-637490.90428378107</v>
      </c>
      <c r="BM19" s="394">
        <f t="shared" si="15"/>
        <v>0</v>
      </c>
      <c r="BN19" s="389">
        <f t="shared" ca="1" si="16"/>
        <v>-637490.90428378107</v>
      </c>
    </row>
    <row r="20" spans="2:66">
      <c r="O20" s="136"/>
      <c r="P20" s="714">
        <v>41379</v>
      </c>
      <c r="Q20" s="715">
        <f t="shared" si="0"/>
        <v>91</v>
      </c>
      <c r="R20" s="712">
        <f>IF(P21,_xll.qDateYears(P20,P21,DCCfixed),0)</f>
        <v>0.24931506849315069</v>
      </c>
      <c r="S20" s="519">
        <f ca="1"/>
        <v>0.91531844084859804</v>
      </c>
      <c r="T20" s="720"/>
      <c r="U20" s="390">
        <f t="shared" ca="1" si="10"/>
        <v>643047.02869503619</v>
      </c>
      <c r="X20" s="345">
        <v>41379</v>
      </c>
      <c r="Y20" s="711">
        <f t="shared" si="1"/>
        <v>91</v>
      </c>
      <c r="Z20" s="712">
        <f>IF(X21,_xll.qDateYears(X20,X21,DCCfloat),0)</f>
        <v>0.24931506849315069</v>
      </c>
      <c r="AA20" s="519">
        <f ca="1"/>
        <v>0.91531844084859804</v>
      </c>
      <c r="AB20" s="890">
        <f>IF(X20=0,0,         IF(OR(CCY="AUD",CCY="NZD",CCY="GBP"),X20,   _xll.qDateNext(X20,"-2b",,,IF(CCY="EUR","TGT","LON"))))</f>
        <v>41379</v>
      </c>
      <c r="AC20" s="879" t="str">
        <v/>
      </c>
      <c r="AD20" s="879" t="str">
        <v/>
      </c>
      <c r="AE20" s="879" t="str">
        <v/>
      </c>
      <c r="AF20" s="879" t="str">
        <v/>
      </c>
      <c r="AG20" s="879" t="str">
        <v/>
      </c>
      <c r="AH20" s="879" t="str">
        <v/>
      </c>
      <c r="AI20" s="879" t="str">
        <v/>
      </c>
      <c r="AJ20" s="879" t="str">
        <v/>
      </c>
      <c r="AK20" s="882">
        <f>IF($X20=0,0,      _xll.qDateNext($X20,AK$12,$AR$11,FRM&lt;&gt;"Calypso",CCY))</f>
        <v>41380</v>
      </c>
      <c r="AL20" s="882">
        <f>IF($X20=0,0,      _xll.qDateNext($X20,AL$12,$AR$11,FRM&lt;&gt;"Calypso",CCY))</f>
        <v>41409</v>
      </c>
      <c r="AM20" s="882">
        <f>IF($X20=0,0,      _xll.qDateNext($X20,AM$12,$AR$11,FRM&lt;&gt;"Calypso",CCY))</f>
        <v>41439</v>
      </c>
      <c r="AN20" s="882">
        <f>IF($X20=0,0,      _xll.qDateNext($X20,AN$12,$AR$11,FRM&lt;&gt;"Calypso",CCY))</f>
        <v>41470</v>
      </c>
      <c r="AO20" s="882">
        <f>IF($X20=0,0,      _xll.qDateNext($X20,AO$12,$AR$11,FRM&lt;&gt;"Calypso",CCY))</f>
        <v>41501</v>
      </c>
      <c r="AP20" s="882">
        <f>IF($X20=0,0,      _xll.qDateNext($X20,AP$12,$AR$11,FRM&lt;&gt;"Calypso",CCY))</f>
        <v>41530</v>
      </c>
      <c r="AQ20" s="882">
        <f>IF($X20=0,0,      _xll.qDateNext($X20,AQ$12,$AR$11,FRM&lt;&gt;"Calypso",CCY))</f>
        <v>41562</v>
      </c>
      <c r="AR20" s="882">
        <f>IF($X20=0,0,      _xll.qDateNext($X20,AR$12,$AR$11,FRM&lt;&gt;"Calypso",CCY))</f>
        <v>41744</v>
      </c>
      <c r="AS20" s="901">
        <f ca="1"/>
        <v>4.9110208434754998</v>
      </c>
      <c r="AT20" s="901">
        <f ca="1"/>
        <v>5.0648125753378732</v>
      </c>
      <c r="AU20" s="901">
        <f t="shared" ca="1" si="11"/>
        <v>5.1454317900901199</v>
      </c>
      <c r="AV20" s="901">
        <f ca="1"/>
        <v>5.2260510048423656</v>
      </c>
      <c r="AW20" s="901">
        <f t="shared" ca="1" si="12"/>
        <v>5.2796054480151788</v>
      </c>
      <c r="AX20" s="901">
        <f t="shared" ca="1" si="13"/>
        <v>5.3331598911879912</v>
      </c>
      <c r="AY20" s="901">
        <f ca="1"/>
        <v>5.3867143343608044</v>
      </c>
      <c r="AZ20" s="901">
        <f ca="1"/>
        <v>5.5539023239655094</v>
      </c>
      <c r="BA20" s="905">
        <f t="shared" ca="1" si="2"/>
        <v>4.9110208434754998</v>
      </c>
      <c r="BB20" s="905">
        <f t="shared" ca="1" si="3"/>
        <v>5.0648125753378732</v>
      </c>
      <c r="BC20" s="905">
        <f t="shared" ca="1" si="4"/>
        <v>5.1454317900901199</v>
      </c>
      <c r="BD20" s="905">
        <f t="shared" ca="1" si="5"/>
        <v>5.2260510048423656</v>
      </c>
      <c r="BE20" s="905">
        <f t="shared" ca="1" si="6"/>
        <v>5.2796054480151788</v>
      </c>
      <c r="BF20" s="905">
        <f t="shared" ca="1" si="7"/>
        <v>5.3331598911879912</v>
      </c>
      <c r="BG20" s="905">
        <f t="shared" ca="1" si="8"/>
        <v>5.3867143343608044</v>
      </c>
      <c r="BH20" s="905">
        <f t="shared" ca="1" si="9"/>
        <v>5.5539023239655094</v>
      </c>
      <c r="BI20" s="713" t="str">
        <v>3M</v>
      </c>
      <c r="BJ20" s="694"/>
      <c r="BK20" s="752">
        <f ca="1">IF(X21=0,0,           IF(ISNUMBER(BJ20),BJ20,               IF(ISTEXT(BJ20),INDEX(BA20:BH20,MATCH(BJ20,$BA$12:$BH$12,0)),             IF(BI20="INT",_xll.qInterp(X21,AK20:AR20,BA20:BH20),            INDEX(BA20:BH20,MATCH(BI20,$BA$12:$BH$12,0))))))</f>
        <v>5.2260510048423656</v>
      </c>
      <c r="BL20" s="389">
        <f t="shared" ca="1" si="14"/>
        <v>-644464.45463012264</v>
      </c>
      <c r="BM20" s="394">
        <f t="shared" si="15"/>
        <v>0</v>
      </c>
      <c r="BN20" s="389">
        <f t="shared" ca="1" si="16"/>
        <v>-644464.45463012264</v>
      </c>
    </row>
    <row r="21" spans="2:66">
      <c r="B21" t="s">
        <v>377</v>
      </c>
      <c r="D21" s="119"/>
      <c r="F21" s="120" t="str">
        <f>IF(D21="",CCY,D21)</f>
        <v>AUD</v>
      </c>
      <c r="O21" s="136"/>
      <c r="P21" s="714">
        <v>41470</v>
      </c>
      <c r="Q21" s="715">
        <f t="shared" si="0"/>
        <v>91</v>
      </c>
      <c r="R21" s="712">
        <f>IF(P22,_xll.qDateYears(P21,P22,DCCfixed),0)</f>
        <v>0.24931506849315069</v>
      </c>
      <c r="S21" s="519">
        <f ca="1"/>
        <v>0.90354584152192352</v>
      </c>
      <c r="T21" s="720"/>
      <c r="U21" s="390">
        <f t="shared" ca="1" si="10"/>
        <v>643047.02869503619</v>
      </c>
      <c r="X21" s="345">
        <v>41470</v>
      </c>
      <c r="Y21" s="711">
        <f t="shared" si="1"/>
        <v>91</v>
      </c>
      <c r="Z21" s="712">
        <f>IF(X22,_xll.qDateYears(X21,X22,DCCfloat),0)</f>
        <v>0.24931506849315069</v>
      </c>
      <c r="AA21" s="519">
        <f ca="1"/>
        <v>0.90354584152192352</v>
      </c>
      <c r="AB21" s="890">
        <f>IF(X21=0,0,         IF(OR(CCY="AUD",CCY="NZD",CCY="GBP"),X21,   _xll.qDateNext(X21,"-2b",,,IF(CCY="EUR","TGT","LON"))))</f>
        <v>41470</v>
      </c>
      <c r="AC21" s="879" t="str">
        <v/>
      </c>
      <c r="AD21" s="879" t="str">
        <v/>
      </c>
      <c r="AE21" s="879" t="str">
        <v/>
      </c>
      <c r="AF21" s="879" t="str">
        <v/>
      </c>
      <c r="AG21" s="879" t="str">
        <v/>
      </c>
      <c r="AH21" s="879" t="str">
        <v/>
      </c>
      <c r="AI21" s="879" t="str">
        <v/>
      </c>
      <c r="AJ21" s="879" t="str">
        <v/>
      </c>
      <c r="AK21" s="882">
        <f>IF($X21=0,0,      _xll.qDateNext($X21,AK$12,$AR$11,FRM&lt;&gt;"Calypso",CCY))</f>
        <v>41471</v>
      </c>
      <c r="AL21" s="882">
        <f>IF($X21=0,0,      _xll.qDateNext($X21,AL$12,$AR$11,FRM&lt;&gt;"Calypso",CCY))</f>
        <v>41501</v>
      </c>
      <c r="AM21" s="882">
        <f>IF($X21=0,0,      _xll.qDateNext($X21,AM$12,$AR$11,FRM&lt;&gt;"Calypso",CCY))</f>
        <v>41530</v>
      </c>
      <c r="AN21" s="882">
        <f>IF($X21=0,0,      _xll.qDateNext($X21,AN$12,$AR$11,FRM&lt;&gt;"Calypso",CCY))</f>
        <v>41562</v>
      </c>
      <c r="AO21" s="882">
        <f>IF($X21=0,0,      _xll.qDateNext($X21,AO$12,$AR$11,FRM&lt;&gt;"Calypso",CCY))</f>
        <v>41593</v>
      </c>
      <c r="AP21" s="882">
        <f>IF($X21=0,0,      _xll.qDateNext($X21,AP$12,$AR$11,FRM&lt;&gt;"Calypso",CCY))</f>
        <v>41621</v>
      </c>
      <c r="AQ21" s="882">
        <f>IF($X21=0,0,      _xll.qDateNext($X21,AQ$12,$AR$11,FRM&lt;&gt;"Calypso",CCY))</f>
        <v>41654</v>
      </c>
      <c r="AR21" s="882">
        <f>IF($X21=0,0,      _xll.qDateNext($X21,AR$12,$AR$11,FRM&lt;&gt;"Calypso",CCY))</f>
        <v>41835</v>
      </c>
      <c r="AS21" s="901">
        <f ca="1"/>
        <v>4.9628909902542651</v>
      </c>
      <c r="AT21" s="901">
        <f ca="1"/>
        <v>5.1208489206497116</v>
      </c>
      <c r="AU21" s="901">
        <f t="shared" ca="1" si="11"/>
        <v>5.2147355886037126</v>
      </c>
      <c r="AV21" s="901">
        <f ca="1"/>
        <v>5.3086222565577135</v>
      </c>
      <c r="AW21" s="901">
        <f t="shared" ca="1" si="12"/>
        <v>5.3662148630295254</v>
      </c>
      <c r="AX21" s="901">
        <f t="shared" ca="1" si="13"/>
        <v>5.4238074695013374</v>
      </c>
      <c r="AY21" s="901">
        <f ca="1"/>
        <v>5.4814000759731494</v>
      </c>
      <c r="AZ21" s="901">
        <f ca="1"/>
        <v>5.6376268691174625</v>
      </c>
      <c r="BA21" s="905">
        <f t="shared" ca="1" si="2"/>
        <v>4.9628909902542651</v>
      </c>
      <c r="BB21" s="905">
        <f t="shared" ca="1" si="3"/>
        <v>5.1208489206497116</v>
      </c>
      <c r="BC21" s="905">
        <f t="shared" ca="1" si="4"/>
        <v>5.2147355886037126</v>
      </c>
      <c r="BD21" s="905">
        <f t="shared" ca="1" si="5"/>
        <v>5.3086222565577135</v>
      </c>
      <c r="BE21" s="905">
        <f t="shared" ca="1" si="6"/>
        <v>5.3662148630295254</v>
      </c>
      <c r="BF21" s="905">
        <f t="shared" ca="1" si="7"/>
        <v>5.4238074695013374</v>
      </c>
      <c r="BG21" s="905">
        <f t="shared" ca="1" si="8"/>
        <v>5.4814000759731494</v>
      </c>
      <c r="BH21" s="905">
        <f t="shared" ca="1" si="9"/>
        <v>5.6376268691174625</v>
      </c>
      <c r="BI21" s="713" t="str">
        <v>3M</v>
      </c>
      <c r="BJ21" s="695"/>
      <c r="BK21" s="752">
        <f ca="1">IF(X22=0,0,           IF(ISNUMBER(BJ21),BJ21,               IF(ISTEXT(BJ21),INDEX(BA21:BH21,MATCH(BJ21,$BA$12:$BH$12,0)),             IF(BI21="INT",_xll.qInterp(X22,AK21:AR21,BA21:BH21),            INDEX(BA21:BH21,MATCH(BI21,$BA$12:$BH$12,0))))))</f>
        <v>5.3086222565577135</v>
      </c>
      <c r="BL21" s="389">
        <f t="shared" ca="1" si="14"/>
        <v>-651466.63211048674</v>
      </c>
      <c r="BM21" s="394">
        <f t="shared" si="15"/>
        <v>0</v>
      </c>
      <c r="BN21" s="389">
        <f t="shared" ca="1" si="16"/>
        <v>-651466.63211048674</v>
      </c>
    </row>
    <row r="22" spans="2:66">
      <c r="I22" s="391" t="s">
        <v>363</v>
      </c>
      <c r="O22" s="136"/>
      <c r="P22" s="714">
        <v>41561</v>
      </c>
      <c r="Q22" s="715">
        <f t="shared" si="0"/>
        <v>92</v>
      </c>
      <c r="R22" s="712">
        <f>IF(P23,_xll.qDateYears(P22,P23,DCCfixed),0)</f>
        <v>0.25205479452054796</v>
      </c>
      <c r="S22" s="519">
        <f ca="1"/>
        <v>0.89174615082201458</v>
      </c>
      <c r="T22" s="720"/>
      <c r="U22" s="390">
        <f t="shared" ca="1" si="10"/>
        <v>643047.02869503619</v>
      </c>
      <c r="X22" s="345">
        <v>41561</v>
      </c>
      <c r="Y22" s="711">
        <f t="shared" si="1"/>
        <v>92</v>
      </c>
      <c r="Z22" s="712">
        <f>IF(X23,_xll.qDateYears(X22,X23,DCCfloat),0)</f>
        <v>0.25205479452054796</v>
      </c>
      <c r="AA22" s="519">
        <f ca="1"/>
        <v>0.89174615082201458</v>
      </c>
      <c r="AB22" s="890">
        <f>IF(X22=0,0,         IF(OR(CCY="AUD",CCY="NZD",CCY="GBP"),X22,   _xll.qDateNext(X22,"-2b",,,IF(CCY="EUR","TGT","LON"))))</f>
        <v>41561</v>
      </c>
      <c r="AC22" s="879" t="str">
        <v/>
      </c>
      <c r="AD22" s="879" t="str">
        <v/>
      </c>
      <c r="AE22" s="879" t="str">
        <v/>
      </c>
      <c r="AF22" s="879" t="str">
        <v/>
      </c>
      <c r="AG22" s="879" t="str">
        <v/>
      </c>
      <c r="AH22" s="879" t="str">
        <v/>
      </c>
      <c r="AI22" s="879" t="str">
        <v/>
      </c>
      <c r="AJ22" s="879" t="str">
        <v/>
      </c>
      <c r="AK22" s="882">
        <f>IF($X22=0,0,      _xll.qDateNext($X22,AK$12,$AR$11,FRM&lt;&gt;"Calypso",CCY))</f>
        <v>41562</v>
      </c>
      <c r="AL22" s="882">
        <f>IF($X22=0,0,      _xll.qDateNext($X22,AL$12,$AR$11,FRM&lt;&gt;"Calypso",CCY))</f>
        <v>41592</v>
      </c>
      <c r="AM22" s="882">
        <f>IF($X22=0,0,      _xll.qDateNext($X22,AM$12,$AR$11,FRM&lt;&gt;"Calypso",CCY))</f>
        <v>41621</v>
      </c>
      <c r="AN22" s="882">
        <f>IF($X22=0,0,      _xll.qDateNext($X22,AN$12,$AR$11,FRM&lt;&gt;"Calypso",CCY))</f>
        <v>41653</v>
      </c>
      <c r="AO22" s="882">
        <f>IF($X22=0,0,      _xll.qDateNext($X22,AO$12,$AR$11,FRM&lt;&gt;"Calypso",CCY))</f>
        <v>41684</v>
      </c>
      <c r="AP22" s="882">
        <f>IF($X22=0,0,      _xll.qDateNext($X22,AP$12,$AR$11,FRM&lt;&gt;"Calypso",CCY))</f>
        <v>41712</v>
      </c>
      <c r="AQ22" s="882">
        <f>IF($X22=0,0,      _xll.qDateNext($X22,AQ$12,$AR$11,FRM&lt;&gt;"Calypso",CCY))</f>
        <v>41743</v>
      </c>
      <c r="AR22" s="882">
        <f>IF($X22=0,0,      _xll.qDateNext($X22,AR$12,$AR$11,FRM&lt;&gt;"Calypso",CCY))</f>
        <v>41926</v>
      </c>
      <c r="AS22" s="901">
        <f ca="1"/>
        <v>5.082119101242899</v>
      </c>
      <c r="AT22" s="901">
        <f ca="1"/>
        <v>5.2536016080401646</v>
      </c>
      <c r="AU22" s="901">
        <f t="shared" ca="1" si="11"/>
        <v>5.3376809894683417</v>
      </c>
      <c r="AV22" s="901">
        <f ca="1"/>
        <v>5.4217603708965187</v>
      </c>
      <c r="AW22" s="901">
        <f t="shared" ca="1" si="12"/>
        <v>5.4714296798639408</v>
      </c>
      <c r="AX22" s="901">
        <f t="shared" ca="1" si="13"/>
        <v>5.521098988831362</v>
      </c>
      <c r="AY22" s="901">
        <f ca="1"/>
        <v>5.570768297798784</v>
      </c>
      <c r="AZ22" s="901">
        <f ca="1"/>
        <v>5.7152663448756469</v>
      </c>
      <c r="BA22" s="905">
        <f t="shared" ca="1" si="2"/>
        <v>5.082119101242899</v>
      </c>
      <c r="BB22" s="905">
        <f t="shared" ca="1" si="3"/>
        <v>5.2536016080401646</v>
      </c>
      <c r="BC22" s="905">
        <f t="shared" ca="1" si="4"/>
        <v>5.3376809894683417</v>
      </c>
      <c r="BD22" s="905">
        <f t="shared" ca="1" si="5"/>
        <v>5.4217603708965187</v>
      </c>
      <c r="BE22" s="905">
        <f t="shared" ca="1" si="6"/>
        <v>5.4714296798639408</v>
      </c>
      <c r="BF22" s="905">
        <f t="shared" ca="1" si="7"/>
        <v>5.521098988831362</v>
      </c>
      <c r="BG22" s="905">
        <f t="shared" ca="1" si="8"/>
        <v>5.570768297798784</v>
      </c>
      <c r="BH22" s="905">
        <f t="shared" ca="1" si="9"/>
        <v>5.7152663448756469</v>
      </c>
      <c r="BI22" s="713" t="str">
        <v>3M</v>
      </c>
      <c r="BJ22" s="695"/>
      <c r="BK22" s="752">
        <f ca="1">IF(X23=0,0,           IF(ISNUMBER(BJ22),BJ22,               IF(ISTEXT(BJ22),INDEX(BA22:BH22,MATCH(BJ22,$BA$12:$BH$12,0)),             IF(BI22="INT",_xll.qInterp(X23,AK22:AR22,BA22:BH22),            INDEX(BA22:BH22,MATCH(BI22,$BA$12:$BH$12,0))))))</f>
        <v>5.4217603708965187</v>
      </c>
      <c r="BL22" s="389">
        <f t="shared" ca="1" si="14"/>
        <v>-661759.76074897521</v>
      </c>
      <c r="BM22" s="394">
        <f t="shared" si="15"/>
        <v>0</v>
      </c>
      <c r="BN22" s="389">
        <f t="shared" ca="1" si="16"/>
        <v>-661759.76074897521</v>
      </c>
    </row>
    <row r="23" spans="2:66">
      <c r="I23" s="150" t="s">
        <v>362</v>
      </c>
      <c r="J23" s="441" t="b">
        <f>FRM&lt;&gt;"OFF"</f>
        <v>1</v>
      </c>
      <c r="L23" s="511" t="s">
        <v>101</v>
      </c>
      <c r="M23" s="511" t="s">
        <v>140</v>
      </c>
      <c r="O23" s="136"/>
      <c r="P23" s="714">
        <v>41653</v>
      </c>
      <c r="Q23" s="715">
        <f t="shared" si="0"/>
        <v>90</v>
      </c>
      <c r="R23" s="712">
        <f>IF(P24,_xll.qDateYears(P23,P24,DCCfixed),0)</f>
        <v>0.24657534246575341</v>
      </c>
      <c r="S23" s="519">
        <f ca="1"/>
        <v>0.87972401228999486</v>
      </c>
      <c r="T23" s="720"/>
      <c r="U23" s="390">
        <f t="shared" ca="1" si="10"/>
        <v>650113.47955981689</v>
      </c>
      <c r="X23" s="345">
        <v>41653</v>
      </c>
      <c r="Y23" s="711">
        <f t="shared" si="1"/>
        <v>90</v>
      </c>
      <c r="Z23" s="712">
        <f>IF(X24,_xll.qDateYears(X23,X24,DCCfloat),0)</f>
        <v>0.24657534246575341</v>
      </c>
      <c r="AA23" s="519">
        <f ca="1"/>
        <v>0.87972401228999486</v>
      </c>
      <c r="AB23" s="890">
        <f>IF(X23=0,0,         IF(OR(CCY="AUD",CCY="NZD",CCY="GBP"),X23,   _xll.qDateNext(X23,"-2b",,,IF(CCY="EUR","TGT","LON"))))</f>
        <v>41653</v>
      </c>
      <c r="AC23" s="879" t="str">
        <v/>
      </c>
      <c r="AD23" s="879" t="str">
        <v/>
      </c>
      <c r="AE23" s="879" t="str">
        <v/>
      </c>
      <c r="AF23" s="879" t="str">
        <v/>
      </c>
      <c r="AG23" s="879" t="str">
        <v/>
      </c>
      <c r="AH23" s="879" t="str">
        <v/>
      </c>
      <c r="AI23" s="879" t="str">
        <v/>
      </c>
      <c r="AJ23" s="879" t="str">
        <v/>
      </c>
      <c r="AK23" s="882">
        <f>IF($X23=0,0,      _xll.qDateNext($X23,AK$12,$AR$11,FRM&lt;&gt;"Calypso",CCY))</f>
        <v>41654</v>
      </c>
      <c r="AL23" s="882">
        <f>IF($X23=0,0,      _xll.qDateNext($X23,AL$12,$AR$11,FRM&lt;&gt;"Calypso",CCY))</f>
        <v>41684</v>
      </c>
      <c r="AM23" s="882">
        <f>IF($X23=0,0,      _xll.qDateNext($X23,AM$12,$AR$11,FRM&lt;&gt;"Calypso",CCY))</f>
        <v>41712</v>
      </c>
      <c r="AN23" s="882">
        <f>IF($X23=0,0,      _xll.qDateNext($X23,AN$12,$AR$11,FRM&lt;&gt;"Calypso",CCY))</f>
        <v>41743</v>
      </c>
      <c r="AO23" s="882">
        <f>IF($X23=0,0,      _xll.qDateNext($X23,AO$12,$AR$11,FRM&lt;&gt;"Calypso",CCY))</f>
        <v>41773</v>
      </c>
      <c r="AP23" s="882">
        <f>IF($X23=0,0,      _xll.qDateNext($X23,AP$12,$AR$11,FRM&lt;&gt;"Calypso",CCY))</f>
        <v>41803</v>
      </c>
      <c r="AQ23" s="882">
        <f>IF($X23=0,0,      _xll.qDateNext($X23,AQ$12,$AR$11,FRM&lt;&gt;"Calypso",CCY))</f>
        <v>41834</v>
      </c>
      <c r="AR23" s="882">
        <f>IF($X23=0,0,      _xll.qDateNext($X23,AR$12,$AR$11,FRM&lt;&gt;"Calypso",CCY))</f>
        <v>42018</v>
      </c>
      <c r="AS23" s="901">
        <f ca="1"/>
        <v>5.1430234611057335</v>
      </c>
      <c r="AT23" s="901">
        <f ca="1"/>
        <v>5.3253140588738272</v>
      </c>
      <c r="AU23" s="901">
        <f t="shared" ca="1" si="11"/>
        <v>5.4089180955288718</v>
      </c>
      <c r="AV23" s="901">
        <f ca="1"/>
        <v>5.4925221321839173</v>
      </c>
      <c r="AW23" s="901">
        <f t="shared" ca="1" si="12"/>
        <v>5.5416532045663134</v>
      </c>
      <c r="AX23" s="901">
        <f t="shared" ca="1" si="13"/>
        <v>5.5907842769487095</v>
      </c>
      <c r="AY23" s="901">
        <f ca="1"/>
        <v>5.6399153493311056</v>
      </c>
      <c r="AZ23" s="901">
        <f ca="1"/>
        <v>5.7819659449628302</v>
      </c>
      <c r="BA23" s="905">
        <f t="shared" ca="1" si="2"/>
        <v>5.1430234611057335</v>
      </c>
      <c r="BB23" s="905">
        <f t="shared" ca="1" si="3"/>
        <v>5.3253140588738272</v>
      </c>
      <c r="BC23" s="905">
        <f t="shared" ca="1" si="4"/>
        <v>5.4089180955288718</v>
      </c>
      <c r="BD23" s="905">
        <f t="shared" ca="1" si="5"/>
        <v>5.4925221321839173</v>
      </c>
      <c r="BE23" s="905">
        <f t="shared" ca="1" si="6"/>
        <v>5.5416532045663134</v>
      </c>
      <c r="BF23" s="905">
        <f t="shared" ca="1" si="7"/>
        <v>5.5907842769487095</v>
      </c>
      <c r="BG23" s="905">
        <f t="shared" ca="1" si="8"/>
        <v>5.6399153493311056</v>
      </c>
      <c r="BH23" s="905">
        <f t="shared" ca="1" si="9"/>
        <v>5.7819659449628302</v>
      </c>
      <c r="BI23" s="713" t="str">
        <v>3M</v>
      </c>
      <c r="BJ23" s="695"/>
      <c r="BK23" s="752">
        <f ca="1">IF(X24=0,0,           IF(ISNUMBER(BJ23),BJ23,               IF(ISTEXT(BJ23),INDEX(BA23:BH23,MATCH(BJ23,$BA$12:$BH$12,0)),             IF(BI23="INT",_xll.qInterp(X24,AK23:AR23,BA23:BH23),            INDEX(BA23:BH23,MATCH(BI23,$BA$12:$BH$12,0))))))</f>
        <v>5.4925221321839173</v>
      </c>
      <c r="BL23" s="389">
        <f t="shared" ca="1" si="14"/>
        <v>-683290.34811298607</v>
      </c>
      <c r="BM23" s="394">
        <f t="shared" si="15"/>
        <v>0</v>
      </c>
      <c r="BN23" s="389">
        <f t="shared" ca="1" si="16"/>
        <v>-683290.34811298607</v>
      </c>
    </row>
    <row r="24" spans="2:66">
      <c r="D24" s="130" t="s">
        <v>131</v>
      </c>
      <c r="E24" s="129"/>
      <c r="F24" s="130" t="s">
        <v>138</v>
      </c>
      <c r="I24" s="150" t="s">
        <v>368</v>
      </c>
      <c r="J24" s="508" t="b">
        <f>FRM&lt;&gt;"CALYPSO"</f>
        <v>1</v>
      </c>
      <c r="K24" s="512"/>
      <c r="L24" s="513" t="s">
        <v>0</v>
      </c>
      <c r="M24" s="514">
        <f>J35/12</f>
        <v>30.416666666666668</v>
      </c>
      <c r="O24" s="136"/>
      <c r="P24" s="714">
        <v>41743</v>
      </c>
      <c r="Q24" s="715">
        <f t="shared" si="0"/>
        <v>91</v>
      </c>
      <c r="R24" s="712">
        <f>IF(P25,_xll.qDateYears(P24,P25,DCCfixed),0)</f>
        <v>0.24931506849315069</v>
      </c>
      <c r="S24" s="519">
        <f ca="1"/>
        <v>0.86796893090171234</v>
      </c>
      <c r="T24" s="720"/>
      <c r="U24" s="390">
        <f t="shared" ca="1" si="10"/>
        <v>635980.5778302555</v>
      </c>
      <c r="X24" s="345">
        <v>41743</v>
      </c>
      <c r="Y24" s="711">
        <f t="shared" si="1"/>
        <v>91</v>
      </c>
      <c r="Z24" s="712">
        <f>IF(X25,_xll.qDateYears(X24,X25,DCCfloat),0)</f>
        <v>0.24931506849315069</v>
      </c>
      <c r="AA24" s="519">
        <f ca="1"/>
        <v>0.86796893090171234</v>
      </c>
      <c r="AB24" s="890">
        <f>IF(X24=0,0,         IF(OR(CCY="AUD",CCY="NZD",CCY="GBP"),X24,   _xll.qDateNext(X24,"-2b",,,IF(CCY="EUR","TGT","LON"))))</f>
        <v>41743</v>
      </c>
      <c r="AC24" s="879" t="str">
        <v/>
      </c>
      <c r="AD24" s="879" t="str">
        <v/>
      </c>
      <c r="AE24" s="879" t="str">
        <v/>
      </c>
      <c r="AF24" s="879" t="str">
        <v/>
      </c>
      <c r="AG24" s="879" t="str">
        <v/>
      </c>
      <c r="AH24" s="879" t="str">
        <v/>
      </c>
      <c r="AI24" s="879" t="str">
        <v/>
      </c>
      <c r="AJ24" s="879" t="str">
        <v/>
      </c>
      <c r="AK24" s="882">
        <f>IF($X24=0,0,      _xll.qDateNext($X24,AK$12,$AR$11,FRM&lt;&gt;"Calypso",CCY))</f>
        <v>41744</v>
      </c>
      <c r="AL24" s="882">
        <f>IF($X24=0,0,      _xll.qDateNext($X24,AL$12,$AR$11,FRM&lt;&gt;"Calypso",CCY))</f>
        <v>41773</v>
      </c>
      <c r="AM24" s="882">
        <f>IF($X24=0,0,      _xll.qDateNext($X24,AM$12,$AR$11,FRM&lt;&gt;"Calypso",CCY))</f>
        <v>41803</v>
      </c>
      <c r="AN24" s="882">
        <f>IF($X24=0,0,      _xll.qDateNext($X24,AN$12,$AR$11,FRM&lt;&gt;"Calypso",CCY))</f>
        <v>41834</v>
      </c>
      <c r="AO24" s="882">
        <f>IF($X24=0,0,      _xll.qDateNext($X24,AO$12,$AR$11,FRM&lt;&gt;"Calypso",CCY))</f>
        <v>41865</v>
      </c>
      <c r="AP24" s="882">
        <f>IF($X24=0,0,      _xll.qDateNext($X24,AP$12,$AR$11,FRM&lt;&gt;"Calypso",CCY))</f>
        <v>41897</v>
      </c>
      <c r="AQ24" s="882">
        <f>IF($X24=0,0,      _xll.qDateNext($X24,AQ$12,$AR$11,FRM&lt;&gt;"Calypso",CCY))</f>
        <v>41926</v>
      </c>
      <c r="AR24" s="882">
        <f>IF($X24=0,0,      _xll.qDateNext($X24,AR$12,$AR$11,FRM&lt;&gt;"Calypso",CCY))</f>
        <v>42108</v>
      </c>
      <c r="AS24" s="901">
        <f ca="1"/>
        <v>5.2025971814100291</v>
      </c>
      <c r="AT24" s="901">
        <f ca="1"/>
        <v>5.3946746670852717</v>
      </c>
      <c r="AU24" s="901">
        <f t="shared" ca="1" si="11"/>
        <v>5.4783925062730061</v>
      </c>
      <c r="AV24" s="901">
        <f ca="1"/>
        <v>5.5621103454607406</v>
      </c>
      <c r="AW24" s="901">
        <f t="shared" ca="1" si="12"/>
        <v>5.6082820609176087</v>
      </c>
      <c r="AX24" s="901">
        <f t="shared" ca="1" si="13"/>
        <v>5.6544537763744778</v>
      </c>
      <c r="AY24" s="901">
        <f ca="1"/>
        <v>5.7006254918313459</v>
      </c>
      <c r="AZ24" s="901">
        <f ca="1"/>
        <v>5.8464782302651841</v>
      </c>
      <c r="BA24" s="905">
        <f t="shared" ca="1" si="2"/>
        <v>5.2025971814100291</v>
      </c>
      <c r="BB24" s="905">
        <f t="shared" ca="1" si="3"/>
        <v>5.3946746670852717</v>
      </c>
      <c r="BC24" s="905">
        <f t="shared" ca="1" si="4"/>
        <v>5.4783925062730061</v>
      </c>
      <c r="BD24" s="905">
        <f t="shared" ca="1" si="5"/>
        <v>5.5621103454607406</v>
      </c>
      <c r="BE24" s="905">
        <f t="shared" ca="1" si="6"/>
        <v>5.6082820609176087</v>
      </c>
      <c r="BF24" s="905">
        <f t="shared" ca="1" si="7"/>
        <v>5.6544537763744778</v>
      </c>
      <c r="BG24" s="905">
        <f t="shared" ca="1" si="8"/>
        <v>5.7006254918313459</v>
      </c>
      <c r="BH24" s="905">
        <f t="shared" ca="1" si="9"/>
        <v>5.8464782302651841</v>
      </c>
      <c r="BI24" s="713" t="str">
        <v>3M</v>
      </c>
      <c r="BJ24" s="695"/>
      <c r="BK24" s="752">
        <f ca="1">IF(X25=0,0,           IF(ISNUMBER(BJ24),BJ24,               IF(ISTEXT(BJ24),INDEX(BA24:BH24,MATCH(BJ24,$BA$12:$BH$12,0)),             IF(BI24="INT",_xll.qInterp(X25,AK24:AR24,BA24:BH24),            INDEX(BA24:BH24,MATCH(BI24,$BA$12:$BH$12,0))))))</f>
        <v>5.5621103454607406</v>
      </c>
      <c r="BL24" s="389">
        <f t="shared" ca="1" si="14"/>
        <v>-677160.26287198975</v>
      </c>
      <c r="BM24" s="394">
        <f t="shared" si="15"/>
        <v>0</v>
      </c>
      <c r="BN24" s="389">
        <f t="shared" ca="1" si="16"/>
        <v>-677160.26287198975</v>
      </c>
    </row>
    <row r="25" spans="2:66">
      <c r="B25" t="s">
        <v>130</v>
      </c>
      <c r="D25" s="119" t="s">
        <v>2</v>
      </c>
      <c r="F25" s="119" t="s">
        <v>2</v>
      </c>
      <c r="I25" s="150" t="s">
        <v>364</v>
      </c>
      <c r="J25" s="484">
        <f>INDEX(M24:M27,MATCH(FreqFloat,L24:L27,0))</f>
        <v>91.25</v>
      </c>
      <c r="K25" s="512" t="s">
        <v>365</v>
      </c>
      <c r="L25" s="513" t="s">
        <v>2</v>
      </c>
      <c r="M25" s="514">
        <f>$M$24*3</f>
        <v>91.25</v>
      </c>
      <c r="O25" s="136"/>
      <c r="P25" s="714">
        <v>41834</v>
      </c>
      <c r="Q25" s="715">
        <f t="shared" si="0"/>
        <v>0</v>
      </c>
      <c r="R25" s="712">
        <f>IF(P26,_xll.qDateYears(P25,P26,DCCfixed),0)</f>
        <v>0</v>
      </c>
      <c r="S25" s="519">
        <f ca="1"/>
        <v>0.85609727654035639</v>
      </c>
      <c r="T25" s="720"/>
      <c r="U25" s="390">
        <f t="shared" ca="1" si="10"/>
        <v>50643047.028695039</v>
      </c>
      <c r="X25" s="345">
        <v>41834</v>
      </c>
      <c r="Y25" s="711">
        <f t="shared" si="1"/>
        <v>0</v>
      </c>
      <c r="Z25" s="712">
        <f>IF(X26,_xll.qDateYears(X25,X26,DCCfloat),0)</f>
        <v>0</v>
      </c>
      <c r="AA25" s="519">
        <f ca="1"/>
        <v>0.85609727654035639</v>
      </c>
      <c r="AB25" s="890">
        <f>IF(X25=0,0,         IF(OR(CCY="AUD",CCY="NZD",CCY="GBP"),X25,   _xll.qDateNext(X25,"-2b",,,IF(CCY="EUR","TGT","LON"))))</f>
        <v>41834</v>
      </c>
      <c r="AC25" s="879" t="str">
        <v/>
      </c>
      <c r="AD25" s="879" t="str">
        <v/>
      </c>
      <c r="AE25" s="879" t="str">
        <v/>
      </c>
      <c r="AF25" s="879" t="str">
        <v/>
      </c>
      <c r="AG25" s="879" t="str">
        <v/>
      </c>
      <c r="AH25" s="879" t="str">
        <v/>
      </c>
      <c r="AI25" s="879" t="str">
        <v/>
      </c>
      <c r="AJ25" s="879" t="str">
        <v/>
      </c>
      <c r="AK25" s="882">
        <f>IF($X25=0,0,      _xll.qDateNext($X25,AK$12,$AR$11,FRM&lt;&gt;"Calypso",CCY))</f>
        <v>41835</v>
      </c>
      <c r="AL25" s="882">
        <f>IF($X25=0,0,      _xll.qDateNext($X25,AL$12,$AR$11,FRM&lt;&gt;"Calypso",CCY))</f>
        <v>41865</v>
      </c>
      <c r="AM25" s="882">
        <f>IF($X25=0,0,      _xll.qDateNext($X25,AM$12,$AR$11,FRM&lt;&gt;"Calypso",CCY))</f>
        <v>41897</v>
      </c>
      <c r="AN25" s="882">
        <f>IF($X25=0,0,      _xll.qDateNext($X25,AN$12,$AR$11,FRM&lt;&gt;"Calypso",CCY))</f>
        <v>41926</v>
      </c>
      <c r="AO25" s="882">
        <f>IF($X25=0,0,      _xll.qDateNext($X25,AO$12,$AR$11,FRM&lt;&gt;"Calypso",CCY))</f>
        <v>41957</v>
      </c>
      <c r="AP25" s="882">
        <f>IF($X25=0,0,      _xll.qDateNext($X25,AP$12,$AR$11,FRM&lt;&gt;"Calypso",CCY))</f>
        <v>41988</v>
      </c>
      <c r="AQ25" s="882">
        <f>IF($X25=0,0,      _xll.qDateNext($X25,AQ$12,$AR$11,FRM&lt;&gt;"Calypso",CCY))</f>
        <v>42018</v>
      </c>
      <c r="AR25" s="882">
        <f>IF($X25=0,0,      _xll.qDateNext($X25,AR$12,$AR$11,FRM&lt;&gt;"Calypso",CCY))</f>
        <v>42199</v>
      </c>
      <c r="AS25" s="901">
        <f ca="1"/>
        <v>5.2934376080534529</v>
      </c>
      <c r="AT25" s="901">
        <f ca="1"/>
        <v>5.4482034264149517</v>
      </c>
      <c r="AU25" s="901">
        <f t="shared" ca="1" si="11"/>
        <v>5.5281462644507551</v>
      </c>
      <c r="AV25" s="901">
        <f ca="1"/>
        <v>5.6080891024865585</v>
      </c>
      <c r="AW25" s="901">
        <f t="shared" ca="1" si="12"/>
        <v>5.6589225640091927</v>
      </c>
      <c r="AX25" s="901">
        <f t="shared" ca="1" si="13"/>
        <v>5.7097560255318278</v>
      </c>
      <c r="AY25" s="901">
        <f ca="1"/>
        <v>5.7605894870544621</v>
      </c>
      <c r="AZ25" s="901">
        <f ca="1"/>
        <v>5.9108477748136767</v>
      </c>
      <c r="BA25" s="905">
        <f t="shared" ca="1" si="2"/>
        <v>5.2934376080534529</v>
      </c>
      <c r="BB25" s="905">
        <f t="shared" ca="1" si="3"/>
        <v>5.4482034264149517</v>
      </c>
      <c r="BC25" s="905">
        <f t="shared" ca="1" si="4"/>
        <v>5.5281462644507551</v>
      </c>
      <c r="BD25" s="905">
        <f t="shared" ca="1" si="5"/>
        <v>5.6080891024865585</v>
      </c>
      <c r="BE25" s="905">
        <f t="shared" ca="1" si="6"/>
        <v>5.6589225640091927</v>
      </c>
      <c r="BF25" s="905">
        <f t="shared" ca="1" si="7"/>
        <v>5.7097560255318278</v>
      </c>
      <c r="BG25" s="905">
        <f t="shared" ca="1" si="8"/>
        <v>5.7605894870544621</v>
      </c>
      <c r="BH25" s="905">
        <f t="shared" ca="1" si="9"/>
        <v>5.9108477748136767</v>
      </c>
      <c r="BI25" s="713">
        <v>0</v>
      </c>
      <c r="BJ25" s="695"/>
      <c r="BK25" s="752">
        <f>IF(X26=0,0,           IF(ISNUMBER(BJ25),BJ25,               IF(ISTEXT(BJ25),INDEX(BA25:BH25,MATCH(BJ25,$BA$12:$BH$12,0)),             IF(BI25="INT",_xll.qInterp(X26,AK25:AR25,BA25:BH25),            INDEX(BA25:BH25,MATCH(BI25,$BA$12:$BH$12,0))))))</f>
        <v>0</v>
      </c>
      <c r="BL25" s="389">
        <f t="shared" ca="1" si="14"/>
        <v>-693358.96087250335</v>
      </c>
      <c r="BM25" s="394">
        <f t="shared" si="15"/>
        <v>0</v>
      </c>
      <c r="BN25" s="389">
        <f t="shared" ca="1" si="16"/>
        <v>-50693358.960872501</v>
      </c>
    </row>
    <row r="26" spans="2:66">
      <c r="L26" s="513" t="s">
        <v>5</v>
      </c>
      <c r="M26" s="514">
        <f>$M$24*6</f>
        <v>182.5</v>
      </c>
      <c r="O26" s="136"/>
      <c r="P26" s="714">
        <v>0</v>
      </c>
      <c r="Q26" s="715">
        <f t="shared" si="0"/>
        <v>0</v>
      </c>
      <c r="R26" s="712">
        <f>IF(P27,_xll.qDateYears(P26,P27,DCCfixed),0)</f>
        <v>0</v>
      </c>
      <c r="S26" s="519">
        <f ca="1"/>
        <v>0</v>
      </c>
      <c r="T26" s="720"/>
      <c r="U26" s="390">
        <f t="shared" si="10"/>
        <v>0</v>
      </c>
      <c r="X26" s="345">
        <v>0</v>
      </c>
      <c r="Y26" s="711">
        <f t="shared" si="1"/>
        <v>0</v>
      </c>
      <c r="Z26" s="712">
        <f>IF(X27,_xll.qDateYears(X26,X27,DCCfloat),0)</f>
        <v>0</v>
      </c>
      <c r="AA26" s="519">
        <f ca="1"/>
        <v>0</v>
      </c>
      <c r="AB26" s="890">
        <f>IF(X26=0,0,         IF(OR(CCY="AUD",CCY="NZD",CCY="GBP"),X26,   _xll.qDateNext(X26,"-2b",,,IF(CCY="EUR","TGT","LON"))))</f>
        <v>0</v>
      </c>
      <c r="AC26" s="879" t="str">
        <v/>
      </c>
      <c r="AD26" s="879" t="str">
        <v/>
      </c>
      <c r="AE26" s="879" t="str">
        <v/>
      </c>
      <c r="AF26" s="879" t="str">
        <v/>
      </c>
      <c r="AG26" s="879" t="str">
        <v/>
      </c>
      <c r="AH26" s="879" t="str">
        <v/>
      </c>
      <c r="AI26" s="879" t="str">
        <v/>
      </c>
      <c r="AJ26" s="879" t="str">
        <v/>
      </c>
      <c r="AK26" s="882">
        <f>IF($X26=0,0,      _xll.qDateNext($X26,AK$12,$AR$11,FRM&lt;&gt;"Calypso",CCY))</f>
        <v>0</v>
      </c>
      <c r="AL26" s="882">
        <f>IF($X26=0,0,      _xll.qDateNext($X26,AL$12,$AR$11,FRM&lt;&gt;"Calypso",CCY))</f>
        <v>0</v>
      </c>
      <c r="AM26" s="882">
        <f>IF($X26=0,0,      _xll.qDateNext($X26,AM$12,$AR$11,FRM&lt;&gt;"Calypso",CCY))</f>
        <v>0</v>
      </c>
      <c r="AN26" s="882">
        <f>IF($X26=0,0,      _xll.qDateNext($X26,AN$12,$AR$11,FRM&lt;&gt;"Calypso",CCY))</f>
        <v>0</v>
      </c>
      <c r="AO26" s="882">
        <f>IF($X26=0,0,      _xll.qDateNext($X26,AO$12,$AR$11,FRM&lt;&gt;"Calypso",CCY))</f>
        <v>0</v>
      </c>
      <c r="AP26" s="882">
        <f>IF($X26=0,0,      _xll.qDateNext($X26,AP$12,$AR$11,FRM&lt;&gt;"Calypso",CCY))</f>
        <v>0</v>
      </c>
      <c r="AQ26" s="882">
        <f>IF($X26=0,0,      _xll.qDateNext($X26,AQ$12,$AR$11,FRM&lt;&gt;"Calypso",CCY))</f>
        <v>0</v>
      </c>
      <c r="AR26" s="882">
        <f>IF($X26=0,0,      _xll.qDateNext($X26,AR$12,$AR$11,FRM&lt;&gt;"Calypso",CCY))</f>
        <v>0</v>
      </c>
      <c r="AS26" s="901">
        <f ca="1"/>
        <v>0</v>
      </c>
      <c r="AT26" s="901">
        <f ca="1"/>
        <v>0</v>
      </c>
      <c r="AU26" s="901">
        <f t="shared" si="11"/>
        <v>0</v>
      </c>
      <c r="AV26" s="901">
        <f ca="1"/>
        <v>0</v>
      </c>
      <c r="AW26" s="901">
        <f t="shared" si="12"/>
        <v>0</v>
      </c>
      <c r="AX26" s="901">
        <f t="shared" si="13"/>
        <v>0</v>
      </c>
      <c r="AY26" s="901">
        <f ca="1"/>
        <v>0</v>
      </c>
      <c r="AZ26" s="901">
        <f ca="1"/>
        <v>0</v>
      </c>
      <c r="BA26" s="905">
        <f t="shared" si="2"/>
        <v>0</v>
      </c>
      <c r="BB26" s="905">
        <f t="shared" si="3"/>
        <v>0</v>
      </c>
      <c r="BC26" s="905">
        <f t="shared" si="4"/>
        <v>0</v>
      </c>
      <c r="BD26" s="905">
        <f t="shared" si="5"/>
        <v>0</v>
      </c>
      <c r="BE26" s="905">
        <f t="shared" si="6"/>
        <v>0</v>
      </c>
      <c r="BF26" s="905">
        <f t="shared" si="7"/>
        <v>0</v>
      </c>
      <c r="BG26" s="905">
        <f t="shared" si="8"/>
        <v>0</v>
      </c>
      <c r="BH26" s="905">
        <f t="shared" si="9"/>
        <v>0</v>
      </c>
      <c r="BI26" s="713">
        <v>0</v>
      </c>
      <c r="BJ26" s="695"/>
      <c r="BK26" s="752">
        <f>IF(X27=0,0,           IF(ISNUMBER(BJ26),BJ26,               IF(ISTEXT(BJ26),INDEX(BA26:BH26,MATCH(BJ26,$BA$12:$BH$12,0)),             IF(BI26="INT",_xll.qInterp(X27,AK26:AR26,BA26:BH26),            INDEX(BA26:BH26,MATCH(BI26,$BA$12:$BH$12,0))))))</f>
        <v>0</v>
      </c>
      <c r="BL26" s="389">
        <f t="shared" si="14"/>
        <v>0</v>
      </c>
      <c r="BM26" s="394">
        <f t="shared" si="15"/>
        <v>0</v>
      </c>
      <c r="BN26" s="389">
        <f t="shared" si="16"/>
        <v>0</v>
      </c>
    </row>
    <row r="27" spans="2:66">
      <c r="B27" t="s">
        <v>147</v>
      </c>
      <c r="D27" s="119" t="s">
        <v>134</v>
      </c>
      <c r="F27" s="138" t="s">
        <v>134</v>
      </c>
      <c r="L27" s="513" t="s">
        <v>373</v>
      </c>
      <c r="M27" s="514">
        <f>$M$24*12</f>
        <v>365</v>
      </c>
      <c r="O27" s="136"/>
      <c r="P27" s="714">
        <v>0</v>
      </c>
      <c r="Q27" s="715">
        <f t="shared" si="0"/>
        <v>0</v>
      </c>
      <c r="R27" s="712">
        <f>IF(P28,_xll.qDateYears(P27,P28,DCCfixed),0)</f>
        <v>0</v>
      </c>
      <c r="S27" s="519">
        <f ca="1"/>
        <v>0</v>
      </c>
      <c r="T27" s="720"/>
      <c r="U27" s="390">
        <f t="shared" si="10"/>
        <v>0</v>
      </c>
      <c r="X27" s="345">
        <v>0</v>
      </c>
      <c r="Y27" s="711">
        <f t="shared" si="1"/>
        <v>0</v>
      </c>
      <c r="Z27" s="712">
        <f>IF(X28,_xll.qDateYears(X27,X28,DCCfloat),0)</f>
        <v>0</v>
      </c>
      <c r="AA27" s="519">
        <f ca="1"/>
        <v>0</v>
      </c>
      <c r="AB27" s="890">
        <f>IF(X27=0,0,         IF(OR(CCY="AUD",CCY="NZD",CCY="GBP"),X27,   _xll.qDateNext(X27,"-2b",,,IF(CCY="EUR","TGT","LON"))))</f>
        <v>0</v>
      </c>
      <c r="AC27" s="879" t="str">
        <v/>
      </c>
      <c r="AD27" s="879" t="str">
        <v/>
      </c>
      <c r="AE27" s="879" t="str">
        <v/>
      </c>
      <c r="AF27" s="879" t="str">
        <v/>
      </c>
      <c r="AG27" s="879" t="str">
        <v/>
      </c>
      <c r="AH27" s="879" t="str">
        <v/>
      </c>
      <c r="AI27" s="879" t="str">
        <v/>
      </c>
      <c r="AJ27" s="879" t="str">
        <v/>
      </c>
      <c r="AK27" s="882">
        <f>IF($X27=0,0,      _xll.qDateNext($X27,AK$12,$AR$11,FRM&lt;&gt;"Calypso",CCY))</f>
        <v>0</v>
      </c>
      <c r="AL27" s="882">
        <f>IF($X27=0,0,      _xll.qDateNext($X27,AL$12,$AR$11,FRM&lt;&gt;"Calypso",CCY))</f>
        <v>0</v>
      </c>
      <c r="AM27" s="882">
        <f>IF($X27=0,0,      _xll.qDateNext($X27,AM$12,$AR$11,FRM&lt;&gt;"Calypso",CCY))</f>
        <v>0</v>
      </c>
      <c r="AN27" s="882">
        <f>IF($X27=0,0,      _xll.qDateNext($X27,AN$12,$AR$11,FRM&lt;&gt;"Calypso",CCY))</f>
        <v>0</v>
      </c>
      <c r="AO27" s="882">
        <f>IF($X27=0,0,      _xll.qDateNext($X27,AO$12,$AR$11,FRM&lt;&gt;"Calypso",CCY))</f>
        <v>0</v>
      </c>
      <c r="AP27" s="882">
        <f>IF($X27=0,0,      _xll.qDateNext($X27,AP$12,$AR$11,FRM&lt;&gt;"Calypso",CCY))</f>
        <v>0</v>
      </c>
      <c r="AQ27" s="882">
        <f>IF($X27=0,0,      _xll.qDateNext($X27,AQ$12,$AR$11,FRM&lt;&gt;"Calypso",CCY))</f>
        <v>0</v>
      </c>
      <c r="AR27" s="882">
        <f>IF($X27=0,0,      _xll.qDateNext($X27,AR$12,$AR$11,FRM&lt;&gt;"Calypso",CCY))</f>
        <v>0</v>
      </c>
      <c r="AS27" s="901">
        <f ca="1"/>
        <v>0</v>
      </c>
      <c r="AT27" s="901">
        <f ca="1"/>
        <v>0</v>
      </c>
      <c r="AU27" s="901">
        <f t="shared" si="11"/>
        <v>0</v>
      </c>
      <c r="AV27" s="901">
        <f ca="1"/>
        <v>0</v>
      </c>
      <c r="AW27" s="901">
        <f t="shared" si="12"/>
        <v>0</v>
      </c>
      <c r="AX27" s="901">
        <f t="shared" si="13"/>
        <v>0</v>
      </c>
      <c r="AY27" s="901">
        <f ca="1"/>
        <v>0</v>
      </c>
      <c r="AZ27" s="901">
        <f ca="1"/>
        <v>0</v>
      </c>
      <c r="BA27" s="905">
        <f t="shared" si="2"/>
        <v>0</v>
      </c>
      <c r="BB27" s="905">
        <f t="shared" si="3"/>
        <v>0</v>
      </c>
      <c r="BC27" s="905">
        <f t="shared" si="4"/>
        <v>0</v>
      </c>
      <c r="BD27" s="905">
        <f t="shared" si="5"/>
        <v>0</v>
      </c>
      <c r="BE27" s="905">
        <f t="shared" si="6"/>
        <v>0</v>
      </c>
      <c r="BF27" s="905">
        <f t="shared" si="7"/>
        <v>0</v>
      </c>
      <c r="BG27" s="905">
        <f t="shared" si="8"/>
        <v>0</v>
      </c>
      <c r="BH27" s="905">
        <f t="shared" si="9"/>
        <v>0</v>
      </c>
      <c r="BI27" s="713">
        <v>0</v>
      </c>
      <c r="BJ27" s="695"/>
      <c r="BK27" s="752">
        <f>IF(X28=0,0,           IF(ISNUMBER(BJ27),BJ27,               IF(ISTEXT(BJ27),INDEX(BA27:BH27,MATCH(BJ27,$BA$12:$BH$12,0)),             IF(BI27="INT",_xll.qInterp(X28,AK27:AR27,BA27:BH27),            INDEX(BA27:BH27,MATCH(BI27,$BA$12:$BH$12,0))))))</f>
        <v>0</v>
      </c>
      <c r="BL27" s="389">
        <f t="shared" si="14"/>
        <v>0</v>
      </c>
      <c r="BM27" s="394">
        <f t="shared" si="15"/>
        <v>0</v>
      </c>
      <c r="BN27" s="389">
        <f t="shared" si="16"/>
        <v>0</v>
      </c>
    </row>
    <row r="28" spans="2:66">
      <c r="I28" s="391" t="s">
        <v>366</v>
      </c>
      <c r="O28" s="136"/>
      <c r="P28" s="714">
        <v>0</v>
      </c>
      <c r="Q28" s="715">
        <f t="shared" si="0"/>
        <v>0</v>
      </c>
      <c r="R28" s="712">
        <f>IF(P29,_xll.qDateYears(P28,P29,DCCfixed),0)</f>
        <v>0</v>
      </c>
      <c r="S28" s="519">
        <f ca="1"/>
        <v>0</v>
      </c>
      <c r="T28" s="720"/>
      <c r="U28" s="390">
        <f t="shared" si="10"/>
        <v>0</v>
      </c>
      <c r="X28" s="345">
        <v>0</v>
      </c>
      <c r="Y28" s="711">
        <f t="shared" si="1"/>
        <v>0</v>
      </c>
      <c r="Z28" s="712">
        <f>IF(X29,_xll.qDateYears(X28,X29,DCCfloat),0)</f>
        <v>0</v>
      </c>
      <c r="AA28" s="519">
        <f ca="1"/>
        <v>0</v>
      </c>
      <c r="AB28" s="890">
        <f>IF(X28=0,0,         IF(OR(CCY="AUD",CCY="NZD",CCY="GBP"),X28,   _xll.qDateNext(X28,"-2b",,,IF(CCY="EUR","TGT","LON"))))</f>
        <v>0</v>
      </c>
      <c r="AC28" s="879" t="str">
        <v/>
      </c>
      <c r="AD28" s="879" t="str">
        <v/>
      </c>
      <c r="AE28" s="879" t="str">
        <v/>
      </c>
      <c r="AF28" s="879" t="str">
        <v/>
      </c>
      <c r="AG28" s="879" t="str">
        <v/>
      </c>
      <c r="AH28" s="879" t="str">
        <v/>
      </c>
      <c r="AI28" s="879" t="str">
        <v/>
      </c>
      <c r="AJ28" s="879" t="str">
        <v/>
      </c>
      <c r="AK28" s="882">
        <f>IF($X28=0,0,      _xll.qDateNext($X28,AK$12,$AR$11,FRM&lt;&gt;"Calypso",CCY))</f>
        <v>0</v>
      </c>
      <c r="AL28" s="882">
        <f>IF($X28=0,0,      _xll.qDateNext($X28,AL$12,$AR$11,FRM&lt;&gt;"Calypso",CCY))</f>
        <v>0</v>
      </c>
      <c r="AM28" s="882">
        <f>IF($X28=0,0,      _xll.qDateNext($X28,AM$12,$AR$11,FRM&lt;&gt;"Calypso",CCY))</f>
        <v>0</v>
      </c>
      <c r="AN28" s="882">
        <f>IF($X28=0,0,      _xll.qDateNext($X28,AN$12,$AR$11,FRM&lt;&gt;"Calypso",CCY))</f>
        <v>0</v>
      </c>
      <c r="AO28" s="882">
        <f>IF($X28=0,0,      _xll.qDateNext($X28,AO$12,$AR$11,FRM&lt;&gt;"Calypso",CCY))</f>
        <v>0</v>
      </c>
      <c r="AP28" s="882">
        <f>IF($X28=0,0,      _xll.qDateNext($X28,AP$12,$AR$11,FRM&lt;&gt;"Calypso",CCY))</f>
        <v>0</v>
      </c>
      <c r="AQ28" s="882">
        <f>IF($X28=0,0,      _xll.qDateNext($X28,AQ$12,$AR$11,FRM&lt;&gt;"Calypso",CCY))</f>
        <v>0</v>
      </c>
      <c r="AR28" s="882">
        <f>IF($X28=0,0,      _xll.qDateNext($X28,AR$12,$AR$11,FRM&lt;&gt;"Calypso",CCY))</f>
        <v>0</v>
      </c>
      <c r="AS28" s="901">
        <f ca="1"/>
        <v>0</v>
      </c>
      <c r="AT28" s="901">
        <f ca="1"/>
        <v>0</v>
      </c>
      <c r="AU28" s="901">
        <f t="shared" si="11"/>
        <v>0</v>
      </c>
      <c r="AV28" s="901">
        <f ca="1"/>
        <v>0</v>
      </c>
      <c r="AW28" s="901">
        <f t="shared" si="12"/>
        <v>0</v>
      </c>
      <c r="AX28" s="901">
        <f t="shared" si="13"/>
        <v>0</v>
      </c>
      <c r="AY28" s="901">
        <f ca="1"/>
        <v>0</v>
      </c>
      <c r="AZ28" s="901">
        <f ca="1"/>
        <v>0</v>
      </c>
      <c r="BA28" s="905">
        <f t="shared" si="2"/>
        <v>0</v>
      </c>
      <c r="BB28" s="905">
        <f t="shared" si="3"/>
        <v>0</v>
      </c>
      <c r="BC28" s="905">
        <f t="shared" si="4"/>
        <v>0</v>
      </c>
      <c r="BD28" s="905">
        <f t="shared" si="5"/>
        <v>0</v>
      </c>
      <c r="BE28" s="905">
        <f t="shared" si="6"/>
        <v>0</v>
      </c>
      <c r="BF28" s="905">
        <f t="shared" si="7"/>
        <v>0</v>
      </c>
      <c r="BG28" s="905">
        <f t="shared" si="8"/>
        <v>0</v>
      </c>
      <c r="BH28" s="905">
        <f t="shared" si="9"/>
        <v>0</v>
      </c>
      <c r="BI28" s="713">
        <v>0</v>
      </c>
      <c r="BJ28" s="695"/>
      <c r="BK28" s="752">
        <f>IF(X29=0,0,           IF(ISNUMBER(BJ28),BJ28,               IF(ISTEXT(BJ28),INDEX(BA28:BH28,MATCH(BJ28,$BA$12:$BH$12,0)),             IF(BI28="INT",_xll.qInterp(X29,AK28:AR28,BA28:BH28),            INDEX(BA28:BH28,MATCH(BI28,$BA$12:$BH$12,0))))))</f>
        <v>0</v>
      </c>
      <c r="BL28" s="389">
        <f t="shared" si="14"/>
        <v>0</v>
      </c>
      <c r="BM28" s="394">
        <f t="shared" si="15"/>
        <v>0</v>
      </c>
      <c r="BN28" s="389">
        <f t="shared" si="16"/>
        <v>0</v>
      </c>
    </row>
    <row r="29" spans="2:66">
      <c r="B29" t="s">
        <v>141</v>
      </c>
      <c r="D29" s="119" t="s">
        <v>142</v>
      </c>
      <c r="F29" s="119" t="s">
        <v>142</v>
      </c>
      <c r="I29" s="150" t="s">
        <v>143</v>
      </c>
      <c r="J29" s="150">
        <f>COUNTIF(P13:P262,"&gt;0")</f>
        <v>13</v>
      </c>
      <c r="O29" s="136"/>
      <c r="P29" s="714">
        <v>0</v>
      </c>
      <c r="Q29" s="715">
        <f t="shared" si="0"/>
        <v>0</v>
      </c>
      <c r="R29" s="712">
        <f>IF(P30,_xll.qDateYears(P29,P30,DCCfixed),0)</f>
        <v>0</v>
      </c>
      <c r="S29" s="519">
        <f ca="1"/>
        <v>0</v>
      </c>
      <c r="T29" s="720"/>
      <c r="U29" s="390">
        <f t="shared" si="10"/>
        <v>0</v>
      </c>
      <c r="X29" s="345">
        <v>0</v>
      </c>
      <c r="Y29" s="711">
        <f t="shared" si="1"/>
        <v>0</v>
      </c>
      <c r="Z29" s="712">
        <f>IF(X30,_xll.qDateYears(X29,X30,DCCfloat),0)</f>
        <v>0</v>
      </c>
      <c r="AA29" s="519">
        <f ca="1"/>
        <v>0</v>
      </c>
      <c r="AB29" s="890">
        <f>IF(X29=0,0,         IF(OR(CCY="AUD",CCY="NZD",CCY="GBP"),X29,   _xll.qDateNext(X29,"-2b",,,IF(CCY="EUR","TGT","LON"))))</f>
        <v>0</v>
      </c>
      <c r="AC29" s="879" t="str">
        <v/>
      </c>
      <c r="AD29" s="879" t="str">
        <v/>
      </c>
      <c r="AE29" s="879" t="str">
        <v/>
      </c>
      <c r="AF29" s="879" t="str">
        <v/>
      </c>
      <c r="AG29" s="879" t="str">
        <v/>
      </c>
      <c r="AH29" s="879" t="str">
        <v/>
      </c>
      <c r="AI29" s="879" t="str">
        <v/>
      </c>
      <c r="AJ29" s="879" t="str">
        <v/>
      </c>
      <c r="AK29" s="882">
        <f>IF($X29=0,0,      _xll.qDateNext($X29,AK$12,$AR$11,FRM&lt;&gt;"Calypso",CCY))</f>
        <v>0</v>
      </c>
      <c r="AL29" s="882">
        <f>IF($X29=0,0,      _xll.qDateNext($X29,AL$12,$AR$11,FRM&lt;&gt;"Calypso",CCY))</f>
        <v>0</v>
      </c>
      <c r="AM29" s="882">
        <f>IF($X29=0,0,      _xll.qDateNext($X29,AM$12,$AR$11,FRM&lt;&gt;"Calypso",CCY))</f>
        <v>0</v>
      </c>
      <c r="AN29" s="882">
        <f>IF($X29=0,0,      _xll.qDateNext($X29,AN$12,$AR$11,FRM&lt;&gt;"Calypso",CCY))</f>
        <v>0</v>
      </c>
      <c r="AO29" s="882">
        <f>IF($X29=0,0,      _xll.qDateNext($X29,AO$12,$AR$11,FRM&lt;&gt;"Calypso",CCY))</f>
        <v>0</v>
      </c>
      <c r="AP29" s="882">
        <f>IF($X29=0,0,      _xll.qDateNext($X29,AP$12,$AR$11,FRM&lt;&gt;"Calypso",CCY))</f>
        <v>0</v>
      </c>
      <c r="AQ29" s="882">
        <f>IF($X29=0,0,      _xll.qDateNext($X29,AQ$12,$AR$11,FRM&lt;&gt;"Calypso",CCY))</f>
        <v>0</v>
      </c>
      <c r="AR29" s="882">
        <f>IF($X29=0,0,      _xll.qDateNext($X29,AR$12,$AR$11,FRM&lt;&gt;"Calypso",CCY))</f>
        <v>0</v>
      </c>
      <c r="AS29" s="901">
        <f ca="1"/>
        <v>0</v>
      </c>
      <c r="AT29" s="901">
        <f ca="1"/>
        <v>0</v>
      </c>
      <c r="AU29" s="901">
        <f t="shared" si="11"/>
        <v>0</v>
      </c>
      <c r="AV29" s="901">
        <f ca="1"/>
        <v>0</v>
      </c>
      <c r="AW29" s="901">
        <f t="shared" si="12"/>
        <v>0</v>
      </c>
      <c r="AX29" s="901">
        <f t="shared" si="13"/>
        <v>0</v>
      </c>
      <c r="AY29" s="901">
        <f ca="1"/>
        <v>0</v>
      </c>
      <c r="AZ29" s="901">
        <f ca="1"/>
        <v>0</v>
      </c>
      <c r="BA29" s="905">
        <f t="shared" si="2"/>
        <v>0</v>
      </c>
      <c r="BB29" s="905">
        <f t="shared" si="3"/>
        <v>0</v>
      </c>
      <c r="BC29" s="905">
        <f t="shared" si="4"/>
        <v>0</v>
      </c>
      <c r="BD29" s="905">
        <f t="shared" si="5"/>
        <v>0</v>
      </c>
      <c r="BE29" s="905">
        <f t="shared" si="6"/>
        <v>0</v>
      </c>
      <c r="BF29" s="905">
        <f t="shared" si="7"/>
        <v>0</v>
      </c>
      <c r="BG29" s="905">
        <f t="shared" si="8"/>
        <v>0</v>
      </c>
      <c r="BH29" s="905">
        <f t="shared" si="9"/>
        <v>0</v>
      </c>
      <c r="BI29" s="713">
        <v>0</v>
      </c>
      <c r="BJ29" s="695"/>
      <c r="BK29" s="752">
        <f>IF(X30=0,0,           IF(ISNUMBER(BJ29),BJ29,               IF(ISTEXT(BJ29),INDEX(BA29:BH29,MATCH(BJ29,$BA$12:$BH$12,0)),             IF(BI29="INT",_xll.qInterp(X30,AK29:AR29,BA29:BH29),            INDEX(BA29:BH29,MATCH(BI29,$BA$12:$BH$12,0))))))</f>
        <v>0</v>
      </c>
      <c r="BL29" s="389">
        <f t="shared" si="14"/>
        <v>0</v>
      </c>
      <c r="BM29" s="394">
        <f t="shared" si="15"/>
        <v>0</v>
      </c>
      <c r="BN29" s="389">
        <f t="shared" si="16"/>
        <v>0</v>
      </c>
    </row>
    <row r="30" spans="2:66">
      <c r="I30" s="150" t="s">
        <v>150</v>
      </c>
      <c r="J30" s="509">
        <f ca="1">SUMPRODUCT(AA13:AA262,BL13:BL262)+SUMPRODUCT(AA13:AA262,BM13:BM262)+SUMPRODUCT(S13:S262,T13:T262) - J15</f>
        <v>-7136346.5827666195</v>
      </c>
      <c r="K30" s="149">
        <f ca="1">-J30/Face*1000000/U7/100</f>
        <v>5.1585091312898506</v>
      </c>
      <c r="O30" s="136"/>
      <c r="P30" s="714">
        <v>0</v>
      </c>
      <c r="Q30" s="715">
        <f t="shared" si="0"/>
        <v>0</v>
      </c>
      <c r="R30" s="712">
        <f>IF(P31,_xll.qDateYears(P30,P31,DCCfixed),0)</f>
        <v>0</v>
      </c>
      <c r="S30" s="519">
        <f ca="1"/>
        <v>0</v>
      </c>
      <c r="T30" s="720"/>
      <c r="U30" s="390">
        <f t="shared" si="10"/>
        <v>0</v>
      </c>
      <c r="X30" s="345">
        <v>0</v>
      </c>
      <c r="Y30" s="711">
        <f t="shared" si="1"/>
        <v>0</v>
      </c>
      <c r="Z30" s="712">
        <f>IF(X31,_xll.qDateYears(X30,X31,DCCfloat),0)</f>
        <v>0</v>
      </c>
      <c r="AA30" s="519">
        <f ca="1"/>
        <v>0</v>
      </c>
      <c r="AB30" s="890">
        <f>IF(X30=0,0,         IF(OR(CCY="AUD",CCY="NZD",CCY="GBP"),X30,   _xll.qDateNext(X30,"-2b",,,IF(CCY="EUR","TGT","LON"))))</f>
        <v>0</v>
      </c>
      <c r="AC30" s="879" t="str">
        <v/>
      </c>
      <c r="AD30" s="879" t="str">
        <v/>
      </c>
      <c r="AE30" s="879" t="str">
        <v/>
      </c>
      <c r="AF30" s="879" t="str">
        <v/>
      </c>
      <c r="AG30" s="879" t="str">
        <v/>
      </c>
      <c r="AH30" s="879" t="str">
        <v/>
      </c>
      <c r="AI30" s="879" t="str">
        <v/>
      </c>
      <c r="AJ30" s="879" t="str">
        <v/>
      </c>
      <c r="AK30" s="882">
        <f>IF($X30=0,0,      _xll.qDateNext($X30,AK$12,$AR$11,FRM&lt;&gt;"Calypso",CCY))</f>
        <v>0</v>
      </c>
      <c r="AL30" s="882">
        <f>IF($X30=0,0,      _xll.qDateNext($X30,AL$12,$AR$11,FRM&lt;&gt;"Calypso",CCY))</f>
        <v>0</v>
      </c>
      <c r="AM30" s="882">
        <f>IF($X30=0,0,      _xll.qDateNext($X30,AM$12,$AR$11,FRM&lt;&gt;"Calypso",CCY))</f>
        <v>0</v>
      </c>
      <c r="AN30" s="882">
        <f>IF($X30=0,0,      _xll.qDateNext($X30,AN$12,$AR$11,FRM&lt;&gt;"Calypso",CCY))</f>
        <v>0</v>
      </c>
      <c r="AO30" s="882">
        <f>IF($X30=0,0,      _xll.qDateNext($X30,AO$12,$AR$11,FRM&lt;&gt;"Calypso",CCY))</f>
        <v>0</v>
      </c>
      <c r="AP30" s="882">
        <f>IF($X30=0,0,      _xll.qDateNext($X30,AP$12,$AR$11,FRM&lt;&gt;"Calypso",CCY))</f>
        <v>0</v>
      </c>
      <c r="AQ30" s="882">
        <f>IF($X30=0,0,      _xll.qDateNext($X30,AQ$12,$AR$11,FRM&lt;&gt;"Calypso",CCY))</f>
        <v>0</v>
      </c>
      <c r="AR30" s="882">
        <f>IF($X30=0,0,      _xll.qDateNext($X30,AR$12,$AR$11,FRM&lt;&gt;"Calypso",CCY))</f>
        <v>0</v>
      </c>
      <c r="AS30" s="901">
        <f ca="1"/>
        <v>0</v>
      </c>
      <c r="AT30" s="901">
        <f ca="1"/>
        <v>0</v>
      </c>
      <c r="AU30" s="901">
        <f t="shared" si="11"/>
        <v>0</v>
      </c>
      <c r="AV30" s="901">
        <f ca="1"/>
        <v>0</v>
      </c>
      <c r="AW30" s="901">
        <f t="shared" si="12"/>
        <v>0</v>
      </c>
      <c r="AX30" s="901">
        <f t="shared" si="13"/>
        <v>0</v>
      </c>
      <c r="AY30" s="901">
        <f ca="1"/>
        <v>0</v>
      </c>
      <c r="AZ30" s="901">
        <f ca="1"/>
        <v>0</v>
      </c>
      <c r="BA30" s="905">
        <f t="shared" si="2"/>
        <v>0</v>
      </c>
      <c r="BB30" s="905">
        <f t="shared" si="3"/>
        <v>0</v>
      </c>
      <c r="BC30" s="905">
        <f t="shared" si="4"/>
        <v>0</v>
      </c>
      <c r="BD30" s="905">
        <f t="shared" si="5"/>
        <v>0</v>
      </c>
      <c r="BE30" s="905">
        <f t="shared" si="6"/>
        <v>0</v>
      </c>
      <c r="BF30" s="905">
        <f t="shared" si="7"/>
        <v>0</v>
      </c>
      <c r="BG30" s="905">
        <f t="shared" si="8"/>
        <v>0</v>
      </c>
      <c r="BH30" s="905">
        <f t="shared" si="9"/>
        <v>0</v>
      </c>
      <c r="BI30" s="713">
        <v>0</v>
      </c>
      <c r="BJ30" s="695"/>
      <c r="BK30" s="752">
        <f>IF(X31=0,0,           IF(ISNUMBER(BJ30),BJ30,               IF(ISTEXT(BJ30),INDEX(BA30:BH30,MATCH(BJ30,$BA$12:$BH$12,0)),             IF(BI30="INT",_xll.qInterp(X31,AK30:AR30,BA30:BH30),            INDEX(BA30:BH30,MATCH(BI30,$BA$12:$BH$12,0))))))</f>
        <v>0</v>
      </c>
      <c r="BL30" s="389">
        <f t="shared" si="14"/>
        <v>0</v>
      </c>
      <c r="BM30" s="394">
        <f t="shared" si="15"/>
        <v>0</v>
      </c>
      <c r="BN30" s="389">
        <f t="shared" si="16"/>
        <v>0</v>
      </c>
    </row>
    <row r="31" spans="2:66">
      <c r="O31" s="136"/>
      <c r="P31" s="714">
        <v>0</v>
      </c>
      <c r="Q31" s="715">
        <f t="shared" si="0"/>
        <v>0</v>
      </c>
      <c r="R31" s="712">
        <f>IF(P32,_xll.qDateYears(P31,P32,DCCfixed),0)</f>
        <v>0</v>
      </c>
      <c r="S31" s="519">
        <f ca="1"/>
        <v>0</v>
      </c>
      <c r="T31" s="720"/>
      <c r="U31" s="390">
        <f t="shared" si="10"/>
        <v>0</v>
      </c>
      <c r="X31" s="345">
        <v>0</v>
      </c>
      <c r="Y31" s="711">
        <f t="shared" si="1"/>
        <v>0</v>
      </c>
      <c r="Z31" s="712">
        <f>IF(X32,_xll.qDateYears(X31,X32,DCCfloat),0)</f>
        <v>0</v>
      </c>
      <c r="AA31" s="519">
        <f ca="1"/>
        <v>0</v>
      </c>
      <c r="AB31" s="890">
        <f>IF(X31=0,0,         IF(OR(CCY="AUD",CCY="NZD",CCY="GBP"),X31,   _xll.qDateNext(X31,"-2b",,,IF(CCY="EUR","TGT","LON"))))</f>
        <v>0</v>
      </c>
      <c r="AC31" s="879" t="str">
        <v/>
      </c>
      <c r="AD31" s="879" t="str">
        <v/>
      </c>
      <c r="AE31" s="879" t="str">
        <v/>
      </c>
      <c r="AF31" s="879" t="str">
        <v/>
      </c>
      <c r="AG31" s="879" t="str">
        <v/>
      </c>
      <c r="AH31" s="879" t="str">
        <v/>
      </c>
      <c r="AI31" s="879" t="str">
        <v/>
      </c>
      <c r="AJ31" s="879" t="str">
        <v/>
      </c>
      <c r="AK31" s="882">
        <f>IF($X31=0,0,      _xll.qDateNext($X31,AK$12,$AR$11,FRM&lt;&gt;"Calypso",CCY))</f>
        <v>0</v>
      </c>
      <c r="AL31" s="882">
        <f>IF($X31=0,0,      _xll.qDateNext($X31,AL$12,$AR$11,FRM&lt;&gt;"Calypso",CCY))</f>
        <v>0</v>
      </c>
      <c r="AM31" s="882">
        <f>IF($X31=0,0,      _xll.qDateNext($X31,AM$12,$AR$11,FRM&lt;&gt;"Calypso",CCY))</f>
        <v>0</v>
      </c>
      <c r="AN31" s="882">
        <f>IF($X31=0,0,      _xll.qDateNext($X31,AN$12,$AR$11,FRM&lt;&gt;"Calypso",CCY))</f>
        <v>0</v>
      </c>
      <c r="AO31" s="882">
        <f>IF($X31=0,0,      _xll.qDateNext($X31,AO$12,$AR$11,FRM&lt;&gt;"Calypso",CCY))</f>
        <v>0</v>
      </c>
      <c r="AP31" s="882">
        <f>IF($X31=0,0,      _xll.qDateNext($X31,AP$12,$AR$11,FRM&lt;&gt;"Calypso",CCY))</f>
        <v>0</v>
      </c>
      <c r="AQ31" s="882">
        <f>IF($X31=0,0,      _xll.qDateNext($X31,AQ$12,$AR$11,FRM&lt;&gt;"Calypso",CCY))</f>
        <v>0</v>
      </c>
      <c r="AR31" s="882">
        <f>IF($X31=0,0,      _xll.qDateNext($X31,AR$12,$AR$11,FRM&lt;&gt;"Calypso",CCY))</f>
        <v>0</v>
      </c>
      <c r="AS31" s="901">
        <f ca="1"/>
        <v>0</v>
      </c>
      <c r="AT31" s="901">
        <f ca="1"/>
        <v>0</v>
      </c>
      <c r="AU31" s="901">
        <f t="shared" si="11"/>
        <v>0</v>
      </c>
      <c r="AV31" s="901">
        <f ca="1"/>
        <v>0</v>
      </c>
      <c r="AW31" s="901">
        <f t="shared" si="12"/>
        <v>0</v>
      </c>
      <c r="AX31" s="901">
        <f t="shared" si="13"/>
        <v>0</v>
      </c>
      <c r="AY31" s="901">
        <f ca="1"/>
        <v>0</v>
      </c>
      <c r="AZ31" s="901">
        <f ca="1"/>
        <v>0</v>
      </c>
      <c r="BA31" s="905">
        <f t="shared" si="2"/>
        <v>0</v>
      </c>
      <c r="BB31" s="905">
        <f t="shared" si="3"/>
        <v>0</v>
      </c>
      <c r="BC31" s="905">
        <f t="shared" si="4"/>
        <v>0</v>
      </c>
      <c r="BD31" s="905">
        <f t="shared" si="5"/>
        <v>0</v>
      </c>
      <c r="BE31" s="905">
        <f t="shared" si="6"/>
        <v>0</v>
      </c>
      <c r="BF31" s="905">
        <f t="shared" si="7"/>
        <v>0</v>
      </c>
      <c r="BG31" s="905">
        <f t="shared" si="8"/>
        <v>0</v>
      </c>
      <c r="BH31" s="905">
        <f t="shared" si="9"/>
        <v>0</v>
      </c>
      <c r="BI31" s="713">
        <v>0</v>
      </c>
      <c r="BJ31" s="695"/>
      <c r="BK31" s="752">
        <f>IF(X32=0,0,           IF(ISNUMBER(BJ31),BJ31,               IF(ISTEXT(BJ31),INDEX(BA31:BH31,MATCH(BJ31,$BA$12:$BH$12,0)),             IF(BI31="INT",_xll.qInterp(X32,AK31:AR31,BA31:BH31),            INDEX(BA31:BH31,MATCH(BI31,$BA$12:$BH$12,0))))))</f>
        <v>0</v>
      </c>
      <c r="BL31" s="389">
        <f t="shared" si="14"/>
        <v>0</v>
      </c>
      <c r="BM31" s="394">
        <f t="shared" si="15"/>
        <v>0</v>
      </c>
      <c r="BN31" s="389">
        <f t="shared" si="16"/>
        <v>0</v>
      </c>
    </row>
    <row r="32" spans="2:66">
      <c r="B32" s="137" t="s">
        <v>367</v>
      </c>
      <c r="I32" s="391" t="s">
        <v>367</v>
      </c>
      <c r="O32" s="136"/>
      <c r="P32" s="714">
        <v>0</v>
      </c>
      <c r="Q32" s="715">
        <f t="shared" si="0"/>
        <v>0</v>
      </c>
      <c r="R32" s="712">
        <f>IF(P33,_xll.qDateYears(P32,P33,DCCfixed),0)</f>
        <v>0</v>
      </c>
      <c r="S32" s="519">
        <f ca="1"/>
        <v>0</v>
      </c>
      <c r="T32" s="720"/>
      <c r="U32" s="390">
        <f t="shared" si="10"/>
        <v>0</v>
      </c>
      <c r="X32" s="345">
        <v>0</v>
      </c>
      <c r="Y32" s="711">
        <f t="shared" si="1"/>
        <v>0</v>
      </c>
      <c r="Z32" s="712">
        <f>IF(X33,_xll.qDateYears(X32,X33,DCCfloat),0)</f>
        <v>0</v>
      </c>
      <c r="AA32" s="519">
        <f ca="1"/>
        <v>0</v>
      </c>
      <c r="AB32" s="890">
        <f>IF(X32=0,0,         IF(OR(CCY="AUD",CCY="NZD",CCY="GBP"),X32,   _xll.qDateNext(X32,"-2b",,,IF(CCY="EUR","TGT","LON"))))</f>
        <v>0</v>
      </c>
      <c r="AC32" s="879" t="str">
        <v/>
      </c>
      <c r="AD32" s="879" t="str">
        <v/>
      </c>
      <c r="AE32" s="879" t="str">
        <v/>
      </c>
      <c r="AF32" s="879" t="str">
        <v/>
      </c>
      <c r="AG32" s="879" t="str">
        <v/>
      </c>
      <c r="AH32" s="879" t="str">
        <v/>
      </c>
      <c r="AI32" s="879" t="str">
        <v/>
      </c>
      <c r="AJ32" s="879" t="str">
        <v/>
      </c>
      <c r="AK32" s="882">
        <f>IF($X32=0,0,      _xll.qDateNext($X32,AK$12,$AR$11,FRM&lt;&gt;"Calypso",CCY))</f>
        <v>0</v>
      </c>
      <c r="AL32" s="882">
        <f>IF($X32=0,0,      _xll.qDateNext($X32,AL$12,$AR$11,FRM&lt;&gt;"Calypso",CCY))</f>
        <v>0</v>
      </c>
      <c r="AM32" s="882">
        <f>IF($X32=0,0,      _xll.qDateNext($X32,AM$12,$AR$11,FRM&lt;&gt;"Calypso",CCY))</f>
        <v>0</v>
      </c>
      <c r="AN32" s="882">
        <f>IF($X32=0,0,      _xll.qDateNext($X32,AN$12,$AR$11,FRM&lt;&gt;"Calypso",CCY))</f>
        <v>0</v>
      </c>
      <c r="AO32" s="882">
        <f>IF($X32=0,0,      _xll.qDateNext($X32,AO$12,$AR$11,FRM&lt;&gt;"Calypso",CCY))</f>
        <v>0</v>
      </c>
      <c r="AP32" s="882">
        <f>IF($X32=0,0,      _xll.qDateNext($X32,AP$12,$AR$11,FRM&lt;&gt;"Calypso",CCY))</f>
        <v>0</v>
      </c>
      <c r="AQ32" s="882">
        <f>IF($X32=0,0,      _xll.qDateNext($X32,AQ$12,$AR$11,FRM&lt;&gt;"Calypso",CCY))</f>
        <v>0</v>
      </c>
      <c r="AR32" s="882">
        <f>IF($X32=0,0,      _xll.qDateNext($X32,AR$12,$AR$11,FRM&lt;&gt;"Calypso",CCY))</f>
        <v>0</v>
      </c>
      <c r="AS32" s="901">
        <f ca="1"/>
        <v>0</v>
      </c>
      <c r="AT32" s="901">
        <f ca="1"/>
        <v>0</v>
      </c>
      <c r="AU32" s="901">
        <f t="shared" si="11"/>
        <v>0</v>
      </c>
      <c r="AV32" s="901">
        <f ca="1"/>
        <v>0</v>
      </c>
      <c r="AW32" s="901">
        <f t="shared" si="12"/>
        <v>0</v>
      </c>
      <c r="AX32" s="901">
        <f t="shared" si="13"/>
        <v>0</v>
      </c>
      <c r="AY32" s="901">
        <f ca="1"/>
        <v>0</v>
      </c>
      <c r="AZ32" s="901">
        <f ca="1"/>
        <v>0</v>
      </c>
      <c r="BA32" s="905">
        <f t="shared" si="2"/>
        <v>0</v>
      </c>
      <c r="BB32" s="905">
        <f t="shared" si="3"/>
        <v>0</v>
      </c>
      <c r="BC32" s="905">
        <f t="shared" si="4"/>
        <v>0</v>
      </c>
      <c r="BD32" s="905">
        <f t="shared" si="5"/>
        <v>0</v>
      </c>
      <c r="BE32" s="905">
        <f t="shared" si="6"/>
        <v>0</v>
      </c>
      <c r="BF32" s="905">
        <f t="shared" si="7"/>
        <v>0</v>
      </c>
      <c r="BG32" s="905">
        <f t="shared" si="8"/>
        <v>0</v>
      </c>
      <c r="BH32" s="905">
        <f t="shared" si="9"/>
        <v>0</v>
      </c>
      <c r="BI32" s="713">
        <v>0</v>
      </c>
      <c r="BJ32" s="695"/>
      <c r="BK32" s="752">
        <f>IF(X33=0,0,           IF(ISNUMBER(BJ32),BJ32,               IF(ISTEXT(BJ32),INDEX(BA32:BH32,MATCH(BJ32,$BA$12:$BH$12,0)),             IF(BI32="INT",_xll.qInterp(X33,AK32:AR32,BA32:BH32),            INDEX(BA32:BH32,MATCH(BI32,$BA$12:$BH$12,0))))))</f>
        <v>0</v>
      </c>
      <c r="BL32" s="389">
        <f t="shared" si="14"/>
        <v>0</v>
      </c>
      <c r="BM32" s="394">
        <f t="shared" si="15"/>
        <v>0</v>
      </c>
      <c r="BN32" s="389">
        <f t="shared" si="16"/>
        <v>0</v>
      </c>
    </row>
    <row r="33" spans="2:66">
      <c r="I33" s="150" t="s">
        <v>143</v>
      </c>
      <c r="J33" s="509">
        <f>COUNTIF(X13:X262,"&gt;0")</f>
        <v>13</v>
      </c>
      <c r="O33" s="136"/>
      <c r="P33" s="714">
        <v>0</v>
      </c>
      <c r="Q33" s="715">
        <f t="shared" si="0"/>
        <v>0</v>
      </c>
      <c r="R33" s="712">
        <f>IF(P34,_xll.qDateYears(P33,P34,DCCfixed),0)</f>
        <v>0</v>
      </c>
      <c r="S33" s="519">
        <f ca="1"/>
        <v>0</v>
      </c>
      <c r="T33" s="720"/>
      <c r="U33" s="390">
        <f t="shared" si="10"/>
        <v>0</v>
      </c>
      <c r="X33" s="345">
        <v>0</v>
      </c>
      <c r="Y33" s="711">
        <f t="shared" si="1"/>
        <v>0</v>
      </c>
      <c r="Z33" s="712">
        <f>IF(X34,_xll.qDateYears(X33,X34,DCCfloat),0)</f>
        <v>0</v>
      </c>
      <c r="AA33" s="519">
        <f ca="1"/>
        <v>0</v>
      </c>
      <c r="AB33" s="890">
        <f>IF(X33=0,0,         IF(OR(CCY="AUD",CCY="NZD",CCY="GBP"),X33,   _xll.qDateNext(X33,"-2b",,,IF(CCY="EUR","TGT","LON"))))</f>
        <v>0</v>
      </c>
      <c r="AC33" s="879" t="str">
        <v/>
      </c>
      <c r="AD33" s="879" t="str">
        <v/>
      </c>
      <c r="AE33" s="879" t="str">
        <v/>
      </c>
      <c r="AF33" s="879" t="str">
        <v/>
      </c>
      <c r="AG33" s="879" t="str">
        <v/>
      </c>
      <c r="AH33" s="879" t="str">
        <v/>
      </c>
      <c r="AI33" s="879" t="str">
        <v/>
      </c>
      <c r="AJ33" s="879" t="str">
        <v/>
      </c>
      <c r="AK33" s="882">
        <f>IF($X33=0,0,      _xll.qDateNext($X33,AK$12,$AR$11,FRM&lt;&gt;"Calypso",CCY))</f>
        <v>0</v>
      </c>
      <c r="AL33" s="882">
        <f>IF($X33=0,0,      _xll.qDateNext($X33,AL$12,$AR$11,FRM&lt;&gt;"Calypso",CCY))</f>
        <v>0</v>
      </c>
      <c r="AM33" s="882">
        <f>IF($X33=0,0,      _xll.qDateNext($X33,AM$12,$AR$11,FRM&lt;&gt;"Calypso",CCY))</f>
        <v>0</v>
      </c>
      <c r="AN33" s="882">
        <f>IF($X33=0,0,      _xll.qDateNext($X33,AN$12,$AR$11,FRM&lt;&gt;"Calypso",CCY))</f>
        <v>0</v>
      </c>
      <c r="AO33" s="882">
        <f>IF($X33=0,0,      _xll.qDateNext($X33,AO$12,$AR$11,FRM&lt;&gt;"Calypso",CCY))</f>
        <v>0</v>
      </c>
      <c r="AP33" s="882">
        <f>IF($X33=0,0,      _xll.qDateNext($X33,AP$12,$AR$11,FRM&lt;&gt;"Calypso",CCY))</f>
        <v>0</v>
      </c>
      <c r="AQ33" s="882">
        <f>IF($X33=0,0,      _xll.qDateNext($X33,AQ$12,$AR$11,FRM&lt;&gt;"Calypso",CCY))</f>
        <v>0</v>
      </c>
      <c r="AR33" s="882">
        <f>IF($X33=0,0,      _xll.qDateNext($X33,AR$12,$AR$11,FRM&lt;&gt;"Calypso",CCY))</f>
        <v>0</v>
      </c>
      <c r="AS33" s="901">
        <f ca="1"/>
        <v>0</v>
      </c>
      <c r="AT33" s="901">
        <f ca="1"/>
        <v>0</v>
      </c>
      <c r="AU33" s="901">
        <f t="shared" si="11"/>
        <v>0</v>
      </c>
      <c r="AV33" s="901">
        <f ca="1"/>
        <v>0</v>
      </c>
      <c r="AW33" s="901">
        <f t="shared" si="12"/>
        <v>0</v>
      </c>
      <c r="AX33" s="901">
        <f t="shared" si="13"/>
        <v>0</v>
      </c>
      <c r="AY33" s="901">
        <f ca="1"/>
        <v>0</v>
      </c>
      <c r="AZ33" s="901">
        <f ca="1"/>
        <v>0</v>
      </c>
      <c r="BA33" s="905">
        <f t="shared" si="2"/>
        <v>0</v>
      </c>
      <c r="BB33" s="905">
        <f t="shared" si="3"/>
        <v>0</v>
      </c>
      <c r="BC33" s="905">
        <f t="shared" si="4"/>
        <v>0</v>
      </c>
      <c r="BD33" s="905">
        <f t="shared" si="5"/>
        <v>0</v>
      </c>
      <c r="BE33" s="905">
        <f t="shared" si="6"/>
        <v>0</v>
      </c>
      <c r="BF33" s="905">
        <f t="shared" si="7"/>
        <v>0</v>
      </c>
      <c r="BG33" s="905">
        <f t="shared" si="8"/>
        <v>0</v>
      </c>
      <c r="BH33" s="905">
        <f t="shared" si="9"/>
        <v>0</v>
      </c>
      <c r="BI33" s="713">
        <v>0</v>
      </c>
      <c r="BJ33" s="695"/>
      <c r="BK33" s="752">
        <f>IF(X34=0,0,           IF(ISNUMBER(BJ33),BJ33,               IF(ISTEXT(BJ33),INDEX(BA33:BH33,MATCH(BJ33,$BA$12:$BH$12,0)),             IF(BI33="INT",_xll.qInterp(X34,AK33:AR33,BA33:BH33),            INDEX(BA33:BH33,MATCH(BI33,$BA$12:$BH$12,0))))))</f>
        <v>0</v>
      </c>
      <c r="BL33" s="389">
        <f t="shared" si="14"/>
        <v>0</v>
      </c>
      <c r="BM33" s="394">
        <f t="shared" si="15"/>
        <v>0</v>
      </c>
      <c r="BN33" s="389">
        <f t="shared" si="16"/>
        <v>0</v>
      </c>
    </row>
    <row r="34" spans="2:66">
      <c r="B34" t="s">
        <v>371</v>
      </c>
      <c r="D34" s="119"/>
      <c r="F34" s="120" t="s">
        <v>651</v>
      </c>
      <c r="I34" s="150" t="s">
        <v>130</v>
      </c>
      <c r="J34" s="441" t="str">
        <f>FreqFloat&amp;","&amp;BusDayAdj&amp;","&amp;EOM&amp;","&amp;F21</f>
        <v>3M,M,TRUE,AUD</v>
      </c>
      <c r="O34" s="136"/>
      <c r="P34" s="714">
        <v>0</v>
      </c>
      <c r="Q34" s="715">
        <f t="shared" si="0"/>
        <v>0</v>
      </c>
      <c r="R34" s="712">
        <f>IF(P35,_xll.qDateYears(P34,P35,DCCfixed),0)</f>
        <v>0</v>
      </c>
      <c r="S34" s="519">
        <f ca="1"/>
        <v>0</v>
      </c>
      <c r="T34" s="720"/>
      <c r="U34" s="390">
        <f t="shared" si="10"/>
        <v>0</v>
      </c>
      <c r="X34" s="345">
        <v>0</v>
      </c>
      <c r="Y34" s="711">
        <f t="shared" si="1"/>
        <v>0</v>
      </c>
      <c r="Z34" s="712">
        <f>IF(X35,_xll.qDateYears(X34,X35,DCCfloat),0)</f>
        <v>0</v>
      </c>
      <c r="AA34" s="519">
        <f ca="1"/>
        <v>0</v>
      </c>
      <c r="AB34" s="890">
        <f>IF(X34=0,0,         IF(OR(CCY="AUD",CCY="NZD",CCY="GBP"),X34,   _xll.qDateNext(X34,"-2b",,,IF(CCY="EUR","TGT","LON"))))</f>
        <v>0</v>
      </c>
      <c r="AC34" s="879" t="str">
        <v/>
      </c>
      <c r="AD34" s="879" t="str">
        <v/>
      </c>
      <c r="AE34" s="879" t="str">
        <v/>
      </c>
      <c r="AF34" s="879" t="str">
        <v/>
      </c>
      <c r="AG34" s="879" t="str">
        <v/>
      </c>
      <c r="AH34" s="879" t="str">
        <v/>
      </c>
      <c r="AI34" s="879" t="str">
        <v/>
      </c>
      <c r="AJ34" s="879" t="str">
        <v/>
      </c>
      <c r="AK34" s="882">
        <f>IF($X34=0,0,      _xll.qDateNext($X34,AK$12,$AR$11,FRM&lt;&gt;"Calypso",CCY))</f>
        <v>0</v>
      </c>
      <c r="AL34" s="882">
        <f>IF($X34=0,0,      _xll.qDateNext($X34,AL$12,$AR$11,FRM&lt;&gt;"Calypso",CCY))</f>
        <v>0</v>
      </c>
      <c r="AM34" s="882">
        <f>IF($X34=0,0,      _xll.qDateNext($X34,AM$12,$AR$11,FRM&lt;&gt;"Calypso",CCY))</f>
        <v>0</v>
      </c>
      <c r="AN34" s="882">
        <f>IF($X34=0,0,      _xll.qDateNext($X34,AN$12,$AR$11,FRM&lt;&gt;"Calypso",CCY))</f>
        <v>0</v>
      </c>
      <c r="AO34" s="882">
        <f>IF($X34=0,0,      _xll.qDateNext($X34,AO$12,$AR$11,FRM&lt;&gt;"Calypso",CCY))</f>
        <v>0</v>
      </c>
      <c r="AP34" s="882">
        <f>IF($X34=0,0,      _xll.qDateNext($X34,AP$12,$AR$11,FRM&lt;&gt;"Calypso",CCY))</f>
        <v>0</v>
      </c>
      <c r="AQ34" s="882">
        <f>IF($X34=0,0,      _xll.qDateNext($X34,AQ$12,$AR$11,FRM&lt;&gt;"Calypso",CCY))</f>
        <v>0</v>
      </c>
      <c r="AR34" s="882">
        <f>IF($X34=0,0,      _xll.qDateNext($X34,AR$12,$AR$11,FRM&lt;&gt;"Calypso",CCY))</f>
        <v>0</v>
      </c>
      <c r="AS34" s="901">
        <f ca="1"/>
        <v>0</v>
      </c>
      <c r="AT34" s="901">
        <f ca="1"/>
        <v>0</v>
      </c>
      <c r="AU34" s="901">
        <f t="shared" si="11"/>
        <v>0</v>
      </c>
      <c r="AV34" s="901">
        <f ca="1"/>
        <v>0</v>
      </c>
      <c r="AW34" s="901">
        <f t="shared" si="12"/>
        <v>0</v>
      </c>
      <c r="AX34" s="901">
        <f t="shared" si="13"/>
        <v>0</v>
      </c>
      <c r="AY34" s="901">
        <f ca="1"/>
        <v>0</v>
      </c>
      <c r="AZ34" s="901">
        <f ca="1"/>
        <v>0</v>
      </c>
      <c r="BA34" s="905">
        <f t="shared" si="2"/>
        <v>0</v>
      </c>
      <c r="BB34" s="905">
        <f t="shared" si="3"/>
        <v>0</v>
      </c>
      <c r="BC34" s="905">
        <f t="shared" si="4"/>
        <v>0</v>
      </c>
      <c r="BD34" s="905">
        <f t="shared" si="5"/>
        <v>0</v>
      </c>
      <c r="BE34" s="905">
        <f t="shared" si="6"/>
        <v>0</v>
      </c>
      <c r="BF34" s="905">
        <f t="shared" si="7"/>
        <v>0</v>
      </c>
      <c r="BG34" s="905">
        <f t="shared" si="8"/>
        <v>0</v>
      </c>
      <c r="BH34" s="905">
        <f t="shared" si="9"/>
        <v>0</v>
      </c>
      <c r="BI34" s="713">
        <v>0</v>
      </c>
      <c r="BJ34" s="695"/>
      <c r="BK34" s="752">
        <f>IF(X35=0,0,           IF(ISNUMBER(BJ34),BJ34,               IF(ISTEXT(BJ34),INDEX(BA34:BH34,MATCH(BJ34,$BA$12:$BH$12,0)),             IF(BI34="INT",_xll.qInterp(X35,AK34:AR34,BA34:BH34),            INDEX(BA34:BH34,MATCH(BI34,$BA$12:$BH$12,0))))))</f>
        <v>0</v>
      </c>
      <c r="BL34" s="389">
        <f t="shared" si="14"/>
        <v>0</v>
      </c>
      <c r="BM34" s="394">
        <f t="shared" si="15"/>
        <v>0</v>
      </c>
      <c r="BN34" s="389">
        <f t="shared" si="16"/>
        <v>0</v>
      </c>
    </row>
    <row r="35" spans="2:66">
      <c r="I35" s="150" t="s">
        <v>151</v>
      </c>
      <c r="J35" s="509">
        <f>IF(RIGHT(DCCfloat,3)="360",360,365)</f>
        <v>365</v>
      </c>
      <c r="O35" s="136"/>
      <c r="P35" s="714">
        <v>0</v>
      </c>
      <c r="Q35" s="715">
        <f t="shared" si="0"/>
        <v>0</v>
      </c>
      <c r="R35" s="712">
        <f>IF(P36,_xll.qDateYears(P35,P36,DCCfixed),0)</f>
        <v>0</v>
      </c>
      <c r="S35" s="519">
        <f ca="1"/>
        <v>0</v>
      </c>
      <c r="T35" s="720"/>
      <c r="U35" s="390">
        <f t="shared" si="10"/>
        <v>0</v>
      </c>
      <c r="X35" s="345">
        <v>0</v>
      </c>
      <c r="Y35" s="711">
        <f t="shared" si="1"/>
        <v>0</v>
      </c>
      <c r="Z35" s="712">
        <f>IF(X36,_xll.qDateYears(X35,X36,DCCfloat),0)</f>
        <v>0</v>
      </c>
      <c r="AA35" s="519">
        <f ca="1"/>
        <v>0</v>
      </c>
      <c r="AB35" s="890">
        <f>IF(X35=0,0,         IF(OR(CCY="AUD",CCY="NZD",CCY="GBP"),X35,   _xll.qDateNext(X35,"-2b",,,IF(CCY="EUR","TGT","LON"))))</f>
        <v>0</v>
      </c>
      <c r="AC35" s="879" t="str">
        <v/>
      </c>
      <c r="AD35" s="879" t="str">
        <v/>
      </c>
      <c r="AE35" s="879" t="str">
        <v/>
      </c>
      <c r="AF35" s="879" t="str">
        <v/>
      </c>
      <c r="AG35" s="879" t="str">
        <v/>
      </c>
      <c r="AH35" s="879" t="str">
        <v/>
      </c>
      <c r="AI35" s="879" t="str">
        <v/>
      </c>
      <c r="AJ35" s="879" t="str">
        <v/>
      </c>
      <c r="AK35" s="882">
        <f>IF($X35=0,0,      _xll.qDateNext($X35,AK$12,$AR$11,FRM&lt;&gt;"Calypso",CCY))</f>
        <v>0</v>
      </c>
      <c r="AL35" s="882">
        <f>IF($X35=0,0,      _xll.qDateNext($X35,AL$12,$AR$11,FRM&lt;&gt;"Calypso",CCY))</f>
        <v>0</v>
      </c>
      <c r="AM35" s="882">
        <f>IF($X35=0,0,      _xll.qDateNext($X35,AM$12,$AR$11,FRM&lt;&gt;"Calypso",CCY))</f>
        <v>0</v>
      </c>
      <c r="AN35" s="882">
        <f>IF($X35=0,0,      _xll.qDateNext($X35,AN$12,$AR$11,FRM&lt;&gt;"Calypso",CCY))</f>
        <v>0</v>
      </c>
      <c r="AO35" s="882">
        <f>IF($X35=0,0,      _xll.qDateNext($X35,AO$12,$AR$11,FRM&lt;&gt;"Calypso",CCY))</f>
        <v>0</v>
      </c>
      <c r="AP35" s="882">
        <f>IF($X35=0,0,      _xll.qDateNext($X35,AP$12,$AR$11,FRM&lt;&gt;"Calypso",CCY))</f>
        <v>0</v>
      </c>
      <c r="AQ35" s="882">
        <f>IF($X35=0,0,      _xll.qDateNext($X35,AQ$12,$AR$11,FRM&lt;&gt;"Calypso",CCY))</f>
        <v>0</v>
      </c>
      <c r="AR35" s="882">
        <f>IF($X35=0,0,      _xll.qDateNext($X35,AR$12,$AR$11,FRM&lt;&gt;"Calypso",CCY))</f>
        <v>0</v>
      </c>
      <c r="AS35" s="901">
        <f ca="1"/>
        <v>0</v>
      </c>
      <c r="AT35" s="901">
        <f ca="1"/>
        <v>0</v>
      </c>
      <c r="AU35" s="901">
        <f t="shared" si="11"/>
        <v>0</v>
      </c>
      <c r="AV35" s="901">
        <f ca="1"/>
        <v>0</v>
      </c>
      <c r="AW35" s="901">
        <f t="shared" si="12"/>
        <v>0</v>
      </c>
      <c r="AX35" s="901">
        <f t="shared" si="13"/>
        <v>0</v>
      </c>
      <c r="AY35" s="901">
        <f ca="1"/>
        <v>0</v>
      </c>
      <c r="AZ35" s="901">
        <f ca="1"/>
        <v>0</v>
      </c>
      <c r="BA35" s="905">
        <f t="shared" si="2"/>
        <v>0</v>
      </c>
      <c r="BB35" s="905">
        <f t="shared" si="3"/>
        <v>0</v>
      </c>
      <c r="BC35" s="905">
        <f t="shared" si="4"/>
        <v>0</v>
      </c>
      <c r="BD35" s="905">
        <f t="shared" si="5"/>
        <v>0</v>
      </c>
      <c r="BE35" s="905">
        <f t="shared" si="6"/>
        <v>0</v>
      </c>
      <c r="BF35" s="905">
        <f t="shared" si="7"/>
        <v>0</v>
      </c>
      <c r="BG35" s="905">
        <f t="shared" si="8"/>
        <v>0</v>
      </c>
      <c r="BH35" s="905">
        <f t="shared" si="9"/>
        <v>0</v>
      </c>
      <c r="BI35" s="713">
        <v>0</v>
      </c>
      <c r="BJ35" s="695"/>
      <c r="BK35" s="752">
        <f>IF(X36=0,0,           IF(ISNUMBER(BJ35),BJ35,               IF(ISTEXT(BJ35),INDEX(BA35:BH35,MATCH(BJ35,$BA$12:$BH$12,0)),             IF(BI35="INT",_xll.qInterp(X36,AK35:AR35,BA35:BH35),            INDEX(BA35:BH35,MATCH(BI35,$BA$12:$BH$12,0))))))</f>
        <v>0</v>
      </c>
      <c r="BL35" s="389">
        <f t="shared" si="14"/>
        <v>0</v>
      </c>
      <c r="BM35" s="394">
        <f t="shared" si="15"/>
        <v>0</v>
      </c>
      <c r="BN35" s="389">
        <f t="shared" si="16"/>
        <v>0</v>
      </c>
    </row>
    <row r="36" spans="2:66">
      <c r="B36" t="s">
        <v>135</v>
      </c>
      <c r="D36" s="119" t="s">
        <v>6</v>
      </c>
      <c r="F36" s="452"/>
      <c r="J36" s="441"/>
      <c r="O36" s="136"/>
      <c r="P36" s="714">
        <v>0</v>
      </c>
      <c r="Q36" s="715">
        <f t="shared" si="0"/>
        <v>0</v>
      </c>
      <c r="R36" s="712">
        <f>IF(P37,_xll.qDateYears(P36,P37,DCCfixed),0)</f>
        <v>0</v>
      </c>
      <c r="S36" s="519">
        <f ca="1"/>
        <v>0</v>
      </c>
      <c r="T36" s="720"/>
      <c r="U36" s="390">
        <f t="shared" si="10"/>
        <v>0</v>
      </c>
      <c r="X36" s="345">
        <v>0</v>
      </c>
      <c r="Y36" s="711">
        <f t="shared" si="1"/>
        <v>0</v>
      </c>
      <c r="Z36" s="712">
        <f>IF(X37,_xll.qDateYears(X36,X37,DCCfloat),0)</f>
        <v>0</v>
      </c>
      <c r="AA36" s="519">
        <f ca="1"/>
        <v>0</v>
      </c>
      <c r="AB36" s="890">
        <f>IF(X36=0,0,         IF(OR(CCY="AUD",CCY="NZD",CCY="GBP"),X36,   _xll.qDateNext(X36,"-2b",,,IF(CCY="EUR","TGT","LON"))))</f>
        <v>0</v>
      </c>
      <c r="AC36" s="879" t="str">
        <v/>
      </c>
      <c r="AD36" s="879" t="str">
        <v/>
      </c>
      <c r="AE36" s="879" t="str">
        <v/>
      </c>
      <c r="AF36" s="879" t="str">
        <v/>
      </c>
      <c r="AG36" s="879" t="str">
        <v/>
      </c>
      <c r="AH36" s="879" t="str">
        <v/>
      </c>
      <c r="AI36" s="879" t="str">
        <v/>
      </c>
      <c r="AJ36" s="879" t="str">
        <v/>
      </c>
      <c r="AK36" s="882">
        <f>IF($X36=0,0,      _xll.qDateNext($X36,AK$12,$AR$11,FRM&lt;&gt;"Calypso",CCY))</f>
        <v>0</v>
      </c>
      <c r="AL36" s="882">
        <f>IF($X36=0,0,      _xll.qDateNext($X36,AL$12,$AR$11,FRM&lt;&gt;"Calypso",CCY))</f>
        <v>0</v>
      </c>
      <c r="AM36" s="882">
        <f>IF($X36=0,0,      _xll.qDateNext($X36,AM$12,$AR$11,FRM&lt;&gt;"Calypso",CCY))</f>
        <v>0</v>
      </c>
      <c r="AN36" s="882">
        <f>IF($X36=0,0,      _xll.qDateNext($X36,AN$12,$AR$11,FRM&lt;&gt;"Calypso",CCY))</f>
        <v>0</v>
      </c>
      <c r="AO36" s="882">
        <f>IF($X36=0,0,      _xll.qDateNext($X36,AO$12,$AR$11,FRM&lt;&gt;"Calypso",CCY))</f>
        <v>0</v>
      </c>
      <c r="AP36" s="882">
        <f>IF($X36=0,0,      _xll.qDateNext($X36,AP$12,$AR$11,FRM&lt;&gt;"Calypso",CCY))</f>
        <v>0</v>
      </c>
      <c r="AQ36" s="882">
        <f>IF($X36=0,0,      _xll.qDateNext($X36,AQ$12,$AR$11,FRM&lt;&gt;"Calypso",CCY))</f>
        <v>0</v>
      </c>
      <c r="AR36" s="882">
        <f>IF($X36=0,0,      _xll.qDateNext($X36,AR$12,$AR$11,FRM&lt;&gt;"Calypso",CCY))</f>
        <v>0</v>
      </c>
      <c r="AS36" s="901">
        <f ca="1"/>
        <v>0</v>
      </c>
      <c r="AT36" s="901">
        <f ca="1"/>
        <v>0</v>
      </c>
      <c r="AU36" s="901">
        <f t="shared" si="11"/>
        <v>0</v>
      </c>
      <c r="AV36" s="901">
        <f ca="1"/>
        <v>0</v>
      </c>
      <c r="AW36" s="901">
        <f t="shared" si="12"/>
        <v>0</v>
      </c>
      <c r="AX36" s="901">
        <f t="shared" si="13"/>
        <v>0</v>
      </c>
      <c r="AY36" s="901">
        <f ca="1"/>
        <v>0</v>
      </c>
      <c r="AZ36" s="901">
        <f ca="1"/>
        <v>0</v>
      </c>
      <c r="BA36" s="905">
        <f t="shared" si="2"/>
        <v>0</v>
      </c>
      <c r="BB36" s="905">
        <f t="shared" si="3"/>
        <v>0</v>
      </c>
      <c r="BC36" s="905">
        <f t="shared" si="4"/>
        <v>0</v>
      </c>
      <c r="BD36" s="905">
        <f t="shared" si="5"/>
        <v>0</v>
      </c>
      <c r="BE36" s="905">
        <f t="shared" si="6"/>
        <v>0</v>
      </c>
      <c r="BF36" s="905">
        <f t="shared" si="7"/>
        <v>0</v>
      </c>
      <c r="BG36" s="905">
        <f t="shared" si="8"/>
        <v>0</v>
      </c>
      <c r="BH36" s="905">
        <f t="shared" si="9"/>
        <v>0</v>
      </c>
      <c r="BI36" s="713">
        <v>0</v>
      </c>
      <c r="BJ36" s="695"/>
      <c r="BK36" s="752">
        <f>IF(X37=0,0,           IF(ISNUMBER(BJ36),BJ36,               IF(ISTEXT(BJ36),INDEX(BA36:BH36,MATCH(BJ36,$BA$12:$BH$12,0)),             IF(BI36="INT",_xll.qInterp(X37,AK36:AR36,BA36:BH36),            INDEX(BA36:BH36,MATCH(BI36,$BA$12:$BH$12,0))))))</f>
        <v>0</v>
      </c>
      <c r="BL36" s="389">
        <f t="shared" si="14"/>
        <v>0</v>
      </c>
      <c r="BM36" s="394">
        <f t="shared" si="15"/>
        <v>0</v>
      </c>
      <c r="BN36" s="389">
        <f t="shared" si="16"/>
        <v>0</v>
      </c>
    </row>
    <row r="37" spans="2:66">
      <c r="O37" s="136"/>
      <c r="P37" s="714">
        <v>0</v>
      </c>
      <c r="Q37" s="715">
        <f t="shared" si="0"/>
        <v>0</v>
      </c>
      <c r="R37" s="712">
        <f>IF(P38,_xll.qDateYears(P37,P38,DCCfixed),0)</f>
        <v>0</v>
      </c>
      <c r="S37" s="519">
        <f ca="1"/>
        <v>0</v>
      </c>
      <c r="T37" s="720"/>
      <c r="U37" s="390">
        <f t="shared" si="10"/>
        <v>0</v>
      </c>
      <c r="X37" s="345">
        <v>0</v>
      </c>
      <c r="Y37" s="711">
        <f t="shared" si="1"/>
        <v>0</v>
      </c>
      <c r="Z37" s="712">
        <f>IF(X38,_xll.qDateYears(X37,X38,DCCfloat),0)</f>
        <v>0</v>
      </c>
      <c r="AA37" s="519">
        <f ca="1"/>
        <v>0</v>
      </c>
      <c r="AB37" s="890">
        <f>IF(X37=0,0,         IF(OR(CCY="AUD",CCY="NZD",CCY="GBP"),X37,   _xll.qDateNext(X37,"-2b",,,IF(CCY="EUR","TGT","LON"))))</f>
        <v>0</v>
      </c>
      <c r="AC37" s="879" t="str">
        <v/>
      </c>
      <c r="AD37" s="879" t="str">
        <v/>
      </c>
      <c r="AE37" s="879" t="str">
        <v/>
      </c>
      <c r="AF37" s="879" t="str">
        <v/>
      </c>
      <c r="AG37" s="879" t="str">
        <v/>
      </c>
      <c r="AH37" s="879" t="str">
        <v/>
      </c>
      <c r="AI37" s="879" t="str">
        <v/>
      </c>
      <c r="AJ37" s="879" t="str">
        <v/>
      </c>
      <c r="AK37" s="882">
        <f>IF($X37=0,0,      _xll.qDateNext($X37,AK$12,$AR$11,FRM&lt;&gt;"Calypso",CCY))</f>
        <v>0</v>
      </c>
      <c r="AL37" s="882">
        <f>IF($X37=0,0,      _xll.qDateNext($X37,AL$12,$AR$11,FRM&lt;&gt;"Calypso",CCY))</f>
        <v>0</v>
      </c>
      <c r="AM37" s="882">
        <f>IF($X37=0,0,      _xll.qDateNext($X37,AM$12,$AR$11,FRM&lt;&gt;"Calypso",CCY))</f>
        <v>0</v>
      </c>
      <c r="AN37" s="882">
        <f>IF($X37=0,0,      _xll.qDateNext($X37,AN$12,$AR$11,FRM&lt;&gt;"Calypso",CCY))</f>
        <v>0</v>
      </c>
      <c r="AO37" s="882">
        <f>IF($X37=0,0,      _xll.qDateNext($X37,AO$12,$AR$11,FRM&lt;&gt;"Calypso",CCY))</f>
        <v>0</v>
      </c>
      <c r="AP37" s="882">
        <f>IF($X37=0,0,      _xll.qDateNext($X37,AP$12,$AR$11,FRM&lt;&gt;"Calypso",CCY))</f>
        <v>0</v>
      </c>
      <c r="AQ37" s="882">
        <f>IF($X37=0,0,      _xll.qDateNext($X37,AQ$12,$AR$11,FRM&lt;&gt;"Calypso",CCY))</f>
        <v>0</v>
      </c>
      <c r="AR37" s="882">
        <f>IF($X37=0,0,      _xll.qDateNext($X37,AR$12,$AR$11,FRM&lt;&gt;"Calypso",CCY))</f>
        <v>0</v>
      </c>
      <c r="AS37" s="901">
        <f ca="1"/>
        <v>0</v>
      </c>
      <c r="AT37" s="901">
        <f ca="1"/>
        <v>0</v>
      </c>
      <c r="AU37" s="901">
        <f t="shared" si="11"/>
        <v>0</v>
      </c>
      <c r="AV37" s="901">
        <f ca="1"/>
        <v>0</v>
      </c>
      <c r="AW37" s="901">
        <f t="shared" si="12"/>
        <v>0</v>
      </c>
      <c r="AX37" s="901">
        <f t="shared" si="13"/>
        <v>0</v>
      </c>
      <c r="AY37" s="901">
        <f ca="1"/>
        <v>0</v>
      </c>
      <c r="AZ37" s="901">
        <f ca="1"/>
        <v>0</v>
      </c>
      <c r="BA37" s="905">
        <f t="shared" si="2"/>
        <v>0</v>
      </c>
      <c r="BB37" s="905">
        <f t="shared" si="3"/>
        <v>0</v>
      </c>
      <c r="BC37" s="905">
        <f t="shared" si="4"/>
        <v>0</v>
      </c>
      <c r="BD37" s="905">
        <f t="shared" si="5"/>
        <v>0</v>
      </c>
      <c r="BE37" s="905">
        <f t="shared" si="6"/>
        <v>0</v>
      </c>
      <c r="BF37" s="905">
        <f t="shared" si="7"/>
        <v>0</v>
      </c>
      <c r="BG37" s="905">
        <f t="shared" si="8"/>
        <v>0</v>
      </c>
      <c r="BH37" s="905">
        <f t="shared" si="9"/>
        <v>0</v>
      </c>
      <c r="BI37" s="713">
        <v>0</v>
      </c>
      <c r="BJ37" s="695"/>
      <c r="BK37" s="752">
        <f>IF(X38=0,0,           IF(ISNUMBER(BJ37),BJ37,               IF(ISTEXT(BJ37),INDEX(BA37:BH37,MATCH(BJ37,$BA$12:$BH$12,0)),             IF(BI37="INT",_xll.qInterp(X38,AK37:AR37,BA37:BH37),            INDEX(BA37:BH37,MATCH(BI37,$BA$12:$BH$12,0))))))</f>
        <v>0</v>
      </c>
      <c r="BL37" s="389">
        <f t="shared" si="14"/>
        <v>0</v>
      </c>
      <c r="BM37" s="394">
        <f t="shared" si="15"/>
        <v>0</v>
      </c>
      <c r="BN37" s="389">
        <f t="shared" si="16"/>
        <v>0</v>
      </c>
    </row>
    <row r="38" spans="2:66">
      <c r="B38" t="s">
        <v>646</v>
      </c>
      <c r="D38" s="119">
        <v>7</v>
      </c>
      <c r="I38" s="150" t="s">
        <v>843</v>
      </c>
      <c r="J38" s="829" t="b">
        <v>1</v>
      </c>
      <c r="O38" s="136"/>
      <c r="P38" s="714">
        <v>0</v>
      </c>
      <c r="Q38" s="715">
        <f t="shared" si="0"/>
        <v>0</v>
      </c>
      <c r="R38" s="712">
        <f>IF(P39,_xll.qDateYears(P38,P39,DCCfixed),0)</f>
        <v>0</v>
      </c>
      <c r="S38" s="519">
        <f ca="1"/>
        <v>0</v>
      </c>
      <c r="T38" s="720"/>
      <c r="U38" s="390">
        <f t="shared" si="10"/>
        <v>0</v>
      </c>
      <c r="X38" s="345">
        <v>0</v>
      </c>
      <c r="Y38" s="711">
        <f t="shared" si="1"/>
        <v>0</v>
      </c>
      <c r="Z38" s="712">
        <f>IF(X39,_xll.qDateYears(X38,X39,DCCfloat),0)</f>
        <v>0</v>
      </c>
      <c r="AA38" s="519">
        <f ca="1"/>
        <v>0</v>
      </c>
      <c r="AB38" s="890">
        <f>IF(X38=0,0,         IF(OR(CCY="AUD",CCY="NZD",CCY="GBP"),X38,   _xll.qDateNext(X38,"-2b",,,IF(CCY="EUR","TGT","LON"))))</f>
        <v>0</v>
      </c>
      <c r="AC38" s="879" t="str">
        <v/>
      </c>
      <c r="AD38" s="879" t="str">
        <v/>
      </c>
      <c r="AE38" s="879" t="str">
        <v/>
      </c>
      <c r="AF38" s="879" t="str">
        <v/>
      </c>
      <c r="AG38" s="879" t="str">
        <v/>
      </c>
      <c r="AH38" s="879" t="str">
        <v/>
      </c>
      <c r="AI38" s="879" t="str">
        <v/>
      </c>
      <c r="AJ38" s="879" t="str">
        <v/>
      </c>
      <c r="AK38" s="882">
        <f>IF($X38=0,0,      _xll.qDateNext($X38,AK$12,$AR$11,FRM&lt;&gt;"Calypso",CCY))</f>
        <v>0</v>
      </c>
      <c r="AL38" s="882">
        <f>IF($X38=0,0,      _xll.qDateNext($X38,AL$12,$AR$11,FRM&lt;&gt;"Calypso",CCY))</f>
        <v>0</v>
      </c>
      <c r="AM38" s="882">
        <f>IF($X38=0,0,      _xll.qDateNext($X38,AM$12,$AR$11,FRM&lt;&gt;"Calypso",CCY))</f>
        <v>0</v>
      </c>
      <c r="AN38" s="882">
        <f>IF($X38=0,0,      _xll.qDateNext($X38,AN$12,$AR$11,FRM&lt;&gt;"Calypso",CCY))</f>
        <v>0</v>
      </c>
      <c r="AO38" s="882">
        <f>IF($X38=0,0,      _xll.qDateNext($X38,AO$12,$AR$11,FRM&lt;&gt;"Calypso",CCY))</f>
        <v>0</v>
      </c>
      <c r="AP38" s="882">
        <f>IF($X38=0,0,      _xll.qDateNext($X38,AP$12,$AR$11,FRM&lt;&gt;"Calypso",CCY))</f>
        <v>0</v>
      </c>
      <c r="AQ38" s="882">
        <f>IF($X38=0,0,      _xll.qDateNext($X38,AQ$12,$AR$11,FRM&lt;&gt;"Calypso",CCY))</f>
        <v>0</v>
      </c>
      <c r="AR38" s="882">
        <f>IF($X38=0,0,      _xll.qDateNext($X38,AR$12,$AR$11,FRM&lt;&gt;"Calypso",CCY))</f>
        <v>0</v>
      </c>
      <c r="AS38" s="901">
        <f ca="1"/>
        <v>0</v>
      </c>
      <c r="AT38" s="901">
        <f ca="1"/>
        <v>0</v>
      </c>
      <c r="AU38" s="901">
        <f t="shared" si="11"/>
        <v>0</v>
      </c>
      <c r="AV38" s="901">
        <f ca="1"/>
        <v>0</v>
      </c>
      <c r="AW38" s="901">
        <f t="shared" si="12"/>
        <v>0</v>
      </c>
      <c r="AX38" s="901">
        <f t="shared" si="13"/>
        <v>0</v>
      </c>
      <c r="AY38" s="901">
        <f ca="1"/>
        <v>0</v>
      </c>
      <c r="AZ38" s="901">
        <f ca="1"/>
        <v>0</v>
      </c>
      <c r="BA38" s="905">
        <f t="shared" si="2"/>
        <v>0</v>
      </c>
      <c r="BB38" s="905">
        <f t="shared" si="3"/>
        <v>0</v>
      </c>
      <c r="BC38" s="905">
        <f t="shared" si="4"/>
        <v>0</v>
      </c>
      <c r="BD38" s="905">
        <f t="shared" si="5"/>
        <v>0</v>
      </c>
      <c r="BE38" s="905">
        <f t="shared" si="6"/>
        <v>0</v>
      </c>
      <c r="BF38" s="905">
        <f t="shared" si="7"/>
        <v>0</v>
      </c>
      <c r="BG38" s="905">
        <f t="shared" si="8"/>
        <v>0</v>
      </c>
      <c r="BH38" s="905">
        <f t="shared" si="9"/>
        <v>0</v>
      </c>
      <c r="BI38" s="713">
        <v>0</v>
      </c>
      <c r="BJ38" s="695"/>
      <c r="BK38" s="752">
        <f>IF(X39=0,0,           IF(ISNUMBER(BJ38),BJ38,               IF(ISTEXT(BJ38),INDEX(BA38:BH38,MATCH(BJ38,$BA$12:$BH$12,0)),             IF(BI38="INT",_xll.qInterp(X39,AK38:AR38,BA38:BH38),            INDEX(BA38:BH38,MATCH(BI38,$BA$12:$BH$12,0))))))</f>
        <v>0</v>
      </c>
      <c r="BL38" s="389">
        <f t="shared" si="14"/>
        <v>0</v>
      </c>
      <c r="BM38" s="394">
        <f t="shared" si="15"/>
        <v>0</v>
      </c>
      <c r="BN38" s="389">
        <f t="shared" si="16"/>
        <v>0</v>
      </c>
    </row>
    <row r="39" spans="2:66">
      <c r="O39" s="136"/>
      <c r="P39" s="714">
        <v>0</v>
      </c>
      <c r="Q39" s="715">
        <f t="shared" si="0"/>
        <v>0</v>
      </c>
      <c r="R39" s="712">
        <f>IF(P40,_xll.qDateYears(P39,P40,DCCfixed),0)</f>
        <v>0</v>
      </c>
      <c r="S39" s="519">
        <f ca="1"/>
        <v>0</v>
      </c>
      <c r="T39" s="720"/>
      <c r="U39" s="390">
        <f t="shared" si="10"/>
        <v>0</v>
      </c>
      <c r="X39" s="345">
        <v>0</v>
      </c>
      <c r="Y39" s="711">
        <f t="shared" si="1"/>
        <v>0</v>
      </c>
      <c r="Z39" s="712">
        <f>IF(X40,_xll.qDateYears(X39,X40,DCCfloat),0)</f>
        <v>0</v>
      </c>
      <c r="AA39" s="519">
        <f ca="1"/>
        <v>0</v>
      </c>
      <c r="AB39" s="890">
        <f>IF(X39=0,0,         IF(OR(CCY="AUD",CCY="NZD",CCY="GBP"),X39,   _xll.qDateNext(X39,"-2b",,,IF(CCY="EUR","TGT","LON"))))</f>
        <v>0</v>
      </c>
      <c r="AC39" s="879" t="str">
        <v/>
      </c>
      <c r="AD39" s="879" t="str">
        <v/>
      </c>
      <c r="AE39" s="879" t="str">
        <v/>
      </c>
      <c r="AF39" s="879" t="str">
        <v/>
      </c>
      <c r="AG39" s="879" t="str">
        <v/>
      </c>
      <c r="AH39" s="879" t="str">
        <v/>
      </c>
      <c r="AI39" s="879" t="str">
        <v/>
      </c>
      <c r="AJ39" s="879" t="str">
        <v/>
      </c>
      <c r="AK39" s="882">
        <f>IF($X39=0,0,      _xll.qDateNext($X39,AK$12,$AR$11,FRM&lt;&gt;"Calypso",CCY))</f>
        <v>0</v>
      </c>
      <c r="AL39" s="882">
        <f>IF($X39=0,0,      _xll.qDateNext($X39,AL$12,$AR$11,FRM&lt;&gt;"Calypso",CCY))</f>
        <v>0</v>
      </c>
      <c r="AM39" s="882">
        <f>IF($X39=0,0,      _xll.qDateNext($X39,AM$12,$AR$11,FRM&lt;&gt;"Calypso",CCY))</f>
        <v>0</v>
      </c>
      <c r="AN39" s="882">
        <f>IF($X39=0,0,      _xll.qDateNext($X39,AN$12,$AR$11,FRM&lt;&gt;"Calypso",CCY))</f>
        <v>0</v>
      </c>
      <c r="AO39" s="882">
        <f>IF($X39=0,0,      _xll.qDateNext($X39,AO$12,$AR$11,FRM&lt;&gt;"Calypso",CCY))</f>
        <v>0</v>
      </c>
      <c r="AP39" s="882">
        <f>IF($X39=0,0,      _xll.qDateNext($X39,AP$12,$AR$11,FRM&lt;&gt;"Calypso",CCY))</f>
        <v>0</v>
      </c>
      <c r="AQ39" s="882">
        <f>IF($X39=0,0,      _xll.qDateNext($X39,AQ$12,$AR$11,FRM&lt;&gt;"Calypso",CCY))</f>
        <v>0</v>
      </c>
      <c r="AR39" s="882">
        <f>IF($X39=0,0,      _xll.qDateNext($X39,AR$12,$AR$11,FRM&lt;&gt;"Calypso",CCY))</f>
        <v>0</v>
      </c>
      <c r="AS39" s="901">
        <f ca="1"/>
        <v>0</v>
      </c>
      <c r="AT39" s="901">
        <f ca="1"/>
        <v>0</v>
      </c>
      <c r="AU39" s="901">
        <f t="shared" si="11"/>
        <v>0</v>
      </c>
      <c r="AV39" s="901">
        <f ca="1"/>
        <v>0</v>
      </c>
      <c r="AW39" s="901">
        <f t="shared" si="12"/>
        <v>0</v>
      </c>
      <c r="AX39" s="901">
        <f t="shared" si="13"/>
        <v>0</v>
      </c>
      <c r="AY39" s="901">
        <f ca="1"/>
        <v>0</v>
      </c>
      <c r="AZ39" s="901">
        <f ca="1"/>
        <v>0</v>
      </c>
      <c r="BA39" s="905">
        <f t="shared" si="2"/>
        <v>0</v>
      </c>
      <c r="BB39" s="905">
        <f t="shared" si="3"/>
        <v>0</v>
      </c>
      <c r="BC39" s="905">
        <f t="shared" si="4"/>
        <v>0</v>
      </c>
      <c r="BD39" s="905">
        <f t="shared" si="5"/>
        <v>0</v>
      </c>
      <c r="BE39" s="905">
        <f t="shared" si="6"/>
        <v>0</v>
      </c>
      <c r="BF39" s="905">
        <f t="shared" si="7"/>
        <v>0</v>
      </c>
      <c r="BG39" s="905">
        <f t="shared" si="8"/>
        <v>0</v>
      </c>
      <c r="BH39" s="905">
        <f t="shared" si="9"/>
        <v>0</v>
      </c>
      <c r="BI39" s="713">
        <v>0</v>
      </c>
      <c r="BJ39" s="695"/>
      <c r="BK39" s="752">
        <f>IF(X40=0,0,           IF(ISNUMBER(BJ39),BJ39,               IF(ISTEXT(BJ39),INDEX(BA39:BH39,MATCH(BJ39,$BA$12:$BH$12,0)),             IF(BI39="INT",_xll.qInterp(X40,AK39:AR39,BA39:BH39),            INDEX(BA39:BH39,MATCH(BI39,$BA$12:$BH$12,0))))))</f>
        <v>0</v>
      </c>
      <c r="BL39" s="389">
        <f t="shared" si="14"/>
        <v>0</v>
      </c>
      <c r="BM39" s="394">
        <f t="shared" si="15"/>
        <v>0</v>
      </c>
      <c r="BN39" s="389">
        <f t="shared" si="16"/>
        <v>0</v>
      </c>
    </row>
    <row r="40" spans="2:66">
      <c r="B40" t="s">
        <v>650</v>
      </c>
      <c r="D40" s="119" t="b">
        <v>1</v>
      </c>
      <c r="O40" s="136"/>
      <c r="P40" s="714">
        <v>0</v>
      </c>
      <c r="Q40" s="715">
        <f t="shared" si="0"/>
        <v>0</v>
      </c>
      <c r="R40" s="712">
        <f>IF(P41,_xll.qDateYears(P40,P41,DCCfixed),0)</f>
        <v>0</v>
      </c>
      <c r="S40" s="519">
        <f ca="1"/>
        <v>0</v>
      </c>
      <c r="T40" s="720"/>
      <c r="U40" s="390">
        <f t="shared" si="10"/>
        <v>0</v>
      </c>
      <c r="X40" s="345">
        <v>0</v>
      </c>
      <c r="Y40" s="711">
        <f t="shared" si="1"/>
        <v>0</v>
      </c>
      <c r="Z40" s="712">
        <f>IF(X41,_xll.qDateYears(X40,X41,DCCfloat),0)</f>
        <v>0</v>
      </c>
      <c r="AA40" s="519">
        <f ca="1"/>
        <v>0</v>
      </c>
      <c r="AB40" s="890">
        <f>IF(X40=0,0,         IF(OR(CCY="AUD",CCY="NZD",CCY="GBP"),X40,   _xll.qDateNext(X40,"-2b",,,IF(CCY="EUR","TGT","LON"))))</f>
        <v>0</v>
      </c>
      <c r="AC40" s="879" t="str">
        <v/>
      </c>
      <c r="AD40" s="879" t="str">
        <v/>
      </c>
      <c r="AE40" s="879" t="str">
        <v/>
      </c>
      <c r="AF40" s="879" t="str">
        <v/>
      </c>
      <c r="AG40" s="879" t="str">
        <v/>
      </c>
      <c r="AH40" s="879" t="str">
        <v/>
      </c>
      <c r="AI40" s="879" t="str">
        <v/>
      </c>
      <c r="AJ40" s="879" t="str">
        <v/>
      </c>
      <c r="AK40" s="882">
        <f>IF($X40=0,0,      _xll.qDateNext($X40,AK$12,$AR$11,FRM&lt;&gt;"Calypso",CCY))</f>
        <v>0</v>
      </c>
      <c r="AL40" s="882">
        <f>IF($X40=0,0,      _xll.qDateNext($X40,AL$12,$AR$11,FRM&lt;&gt;"Calypso",CCY))</f>
        <v>0</v>
      </c>
      <c r="AM40" s="882">
        <f>IF($X40=0,0,      _xll.qDateNext($X40,AM$12,$AR$11,FRM&lt;&gt;"Calypso",CCY))</f>
        <v>0</v>
      </c>
      <c r="AN40" s="882">
        <f>IF($X40=0,0,      _xll.qDateNext($X40,AN$12,$AR$11,FRM&lt;&gt;"Calypso",CCY))</f>
        <v>0</v>
      </c>
      <c r="AO40" s="882">
        <f>IF($X40=0,0,      _xll.qDateNext($X40,AO$12,$AR$11,FRM&lt;&gt;"Calypso",CCY))</f>
        <v>0</v>
      </c>
      <c r="AP40" s="882">
        <f>IF($X40=0,0,      _xll.qDateNext($X40,AP$12,$AR$11,FRM&lt;&gt;"Calypso",CCY))</f>
        <v>0</v>
      </c>
      <c r="AQ40" s="882">
        <f>IF($X40=0,0,      _xll.qDateNext($X40,AQ$12,$AR$11,FRM&lt;&gt;"Calypso",CCY))</f>
        <v>0</v>
      </c>
      <c r="AR40" s="882">
        <f>IF($X40=0,0,      _xll.qDateNext($X40,AR$12,$AR$11,FRM&lt;&gt;"Calypso",CCY))</f>
        <v>0</v>
      </c>
      <c r="AS40" s="901">
        <f ca="1"/>
        <v>0</v>
      </c>
      <c r="AT40" s="901">
        <f ca="1"/>
        <v>0</v>
      </c>
      <c r="AU40" s="901">
        <f t="shared" si="11"/>
        <v>0</v>
      </c>
      <c r="AV40" s="901">
        <f ca="1"/>
        <v>0</v>
      </c>
      <c r="AW40" s="901">
        <f t="shared" si="12"/>
        <v>0</v>
      </c>
      <c r="AX40" s="901">
        <f t="shared" si="13"/>
        <v>0</v>
      </c>
      <c r="AY40" s="901">
        <f ca="1"/>
        <v>0</v>
      </c>
      <c r="AZ40" s="901">
        <f ca="1"/>
        <v>0</v>
      </c>
      <c r="BA40" s="905">
        <f t="shared" si="2"/>
        <v>0</v>
      </c>
      <c r="BB40" s="905">
        <f t="shared" si="3"/>
        <v>0</v>
      </c>
      <c r="BC40" s="905">
        <f t="shared" si="4"/>
        <v>0</v>
      </c>
      <c r="BD40" s="905">
        <f t="shared" si="5"/>
        <v>0</v>
      </c>
      <c r="BE40" s="905">
        <f t="shared" si="6"/>
        <v>0</v>
      </c>
      <c r="BF40" s="905">
        <f t="shared" si="7"/>
        <v>0</v>
      </c>
      <c r="BG40" s="905">
        <f t="shared" si="8"/>
        <v>0</v>
      </c>
      <c r="BH40" s="905">
        <f t="shared" si="9"/>
        <v>0</v>
      </c>
      <c r="BI40" s="713">
        <v>0</v>
      </c>
      <c r="BJ40" s="695"/>
      <c r="BK40" s="752">
        <f>IF(X41=0,0,           IF(ISNUMBER(BJ40),BJ40,               IF(ISTEXT(BJ40),INDEX(BA40:BH40,MATCH(BJ40,$BA$12:$BH$12,0)),             IF(BI40="INT",_xll.qInterp(X41,AK40:AR40,BA40:BH40),            INDEX(BA40:BH40,MATCH(BI40,$BA$12:$BH$12,0))))))</f>
        <v>0</v>
      </c>
      <c r="BL40" s="389">
        <f t="shared" si="14"/>
        <v>0</v>
      </c>
      <c r="BM40" s="394">
        <f t="shared" si="15"/>
        <v>0</v>
      </c>
      <c r="BN40" s="389">
        <f t="shared" si="16"/>
        <v>0</v>
      </c>
    </row>
    <row r="41" spans="2:66">
      <c r="O41" s="136"/>
      <c r="P41" s="714">
        <v>0</v>
      </c>
      <c r="Q41" s="715">
        <f t="shared" si="0"/>
        <v>0</v>
      </c>
      <c r="R41" s="712">
        <f>IF(P42,_xll.qDateYears(P41,P42,DCCfixed),0)</f>
        <v>0</v>
      </c>
      <c r="S41" s="519">
        <f ca="1"/>
        <v>0</v>
      </c>
      <c r="T41" s="720"/>
      <c r="U41" s="390">
        <f t="shared" si="10"/>
        <v>0</v>
      </c>
      <c r="X41" s="345">
        <v>0</v>
      </c>
      <c r="Y41" s="711">
        <f t="shared" si="1"/>
        <v>0</v>
      </c>
      <c r="Z41" s="712">
        <f>IF(X42,_xll.qDateYears(X41,X42,DCCfloat),0)</f>
        <v>0</v>
      </c>
      <c r="AA41" s="519">
        <f ca="1"/>
        <v>0</v>
      </c>
      <c r="AB41" s="890">
        <f>IF(X41=0,0,         IF(OR(CCY="AUD",CCY="NZD",CCY="GBP"),X41,   _xll.qDateNext(X41,"-2b",,,IF(CCY="EUR","TGT","LON"))))</f>
        <v>0</v>
      </c>
      <c r="AC41" s="879" t="str">
        <v/>
      </c>
      <c r="AD41" s="879" t="str">
        <v/>
      </c>
      <c r="AE41" s="879" t="str">
        <v/>
      </c>
      <c r="AF41" s="879" t="str">
        <v/>
      </c>
      <c r="AG41" s="879" t="str">
        <v/>
      </c>
      <c r="AH41" s="879" t="str">
        <v/>
      </c>
      <c r="AI41" s="879" t="str">
        <v/>
      </c>
      <c r="AJ41" s="879" t="str">
        <v/>
      </c>
      <c r="AK41" s="882">
        <f>IF($X41=0,0,      _xll.qDateNext($X41,AK$12,$AR$11,FRM&lt;&gt;"Calypso",CCY))</f>
        <v>0</v>
      </c>
      <c r="AL41" s="882">
        <f>IF($X41=0,0,      _xll.qDateNext($X41,AL$12,$AR$11,FRM&lt;&gt;"Calypso",CCY))</f>
        <v>0</v>
      </c>
      <c r="AM41" s="882">
        <f>IF($X41=0,0,      _xll.qDateNext($X41,AM$12,$AR$11,FRM&lt;&gt;"Calypso",CCY))</f>
        <v>0</v>
      </c>
      <c r="AN41" s="882">
        <f>IF($X41=0,0,      _xll.qDateNext($X41,AN$12,$AR$11,FRM&lt;&gt;"Calypso",CCY))</f>
        <v>0</v>
      </c>
      <c r="AO41" s="882">
        <f>IF($X41=0,0,      _xll.qDateNext($X41,AO$12,$AR$11,FRM&lt;&gt;"Calypso",CCY))</f>
        <v>0</v>
      </c>
      <c r="AP41" s="882">
        <f>IF($X41=0,0,      _xll.qDateNext($X41,AP$12,$AR$11,FRM&lt;&gt;"Calypso",CCY))</f>
        <v>0</v>
      </c>
      <c r="AQ41" s="882">
        <f>IF($X41=0,0,      _xll.qDateNext($X41,AQ$12,$AR$11,FRM&lt;&gt;"Calypso",CCY))</f>
        <v>0</v>
      </c>
      <c r="AR41" s="882">
        <f>IF($X41=0,0,      _xll.qDateNext($X41,AR$12,$AR$11,FRM&lt;&gt;"Calypso",CCY))</f>
        <v>0</v>
      </c>
      <c r="AS41" s="901">
        <f ca="1"/>
        <v>0</v>
      </c>
      <c r="AT41" s="901">
        <f ca="1"/>
        <v>0</v>
      </c>
      <c r="AU41" s="901">
        <f t="shared" si="11"/>
        <v>0</v>
      </c>
      <c r="AV41" s="901">
        <f ca="1"/>
        <v>0</v>
      </c>
      <c r="AW41" s="901">
        <f t="shared" si="12"/>
        <v>0</v>
      </c>
      <c r="AX41" s="901">
        <f t="shared" si="13"/>
        <v>0</v>
      </c>
      <c r="AY41" s="901">
        <f ca="1"/>
        <v>0</v>
      </c>
      <c r="AZ41" s="901">
        <f ca="1"/>
        <v>0</v>
      </c>
      <c r="BA41" s="905">
        <f t="shared" si="2"/>
        <v>0</v>
      </c>
      <c r="BB41" s="905">
        <f t="shared" si="3"/>
        <v>0</v>
      </c>
      <c r="BC41" s="905">
        <f t="shared" si="4"/>
        <v>0</v>
      </c>
      <c r="BD41" s="905">
        <f t="shared" si="5"/>
        <v>0</v>
      </c>
      <c r="BE41" s="905">
        <f t="shared" si="6"/>
        <v>0</v>
      </c>
      <c r="BF41" s="905">
        <f t="shared" si="7"/>
        <v>0</v>
      </c>
      <c r="BG41" s="905">
        <f t="shared" si="8"/>
        <v>0</v>
      </c>
      <c r="BH41" s="905">
        <f t="shared" si="9"/>
        <v>0</v>
      </c>
      <c r="BI41" s="713">
        <v>0</v>
      </c>
      <c r="BJ41" s="695"/>
      <c r="BK41" s="752">
        <f>IF(X42=0,0,           IF(ISNUMBER(BJ41),BJ41,               IF(ISTEXT(BJ41),INDEX(BA41:BH41,MATCH(BJ41,$BA$12:$BH$12,0)),             IF(BI41="INT",_xll.qInterp(X42,AK41:AR41,BA41:BH41),            INDEX(BA41:BH41,MATCH(BI41,$BA$12:$BH$12,0))))))</f>
        <v>0</v>
      </c>
      <c r="BL41" s="389">
        <f t="shared" si="14"/>
        <v>0</v>
      </c>
      <c r="BM41" s="394">
        <f t="shared" si="15"/>
        <v>0</v>
      </c>
      <c r="BN41" s="389">
        <f t="shared" si="16"/>
        <v>0</v>
      </c>
    </row>
    <row r="42" spans="2:66">
      <c r="I42" s="391" t="s">
        <v>891</v>
      </c>
      <c r="O42" s="136"/>
      <c r="P42" s="714">
        <v>0</v>
      </c>
      <c r="Q42" s="715">
        <f t="shared" si="0"/>
        <v>0</v>
      </c>
      <c r="R42" s="712">
        <f>IF(P43,_xll.qDateYears(P42,P43,DCCfixed),0)</f>
        <v>0</v>
      </c>
      <c r="S42" s="519">
        <f ca="1"/>
        <v>0</v>
      </c>
      <c r="T42" s="720"/>
      <c r="U42" s="390">
        <f t="shared" si="10"/>
        <v>0</v>
      </c>
      <c r="X42" s="345">
        <v>0</v>
      </c>
      <c r="Y42" s="711">
        <f t="shared" si="1"/>
        <v>0</v>
      </c>
      <c r="Z42" s="712">
        <f>IF(X43,_xll.qDateYears(X42,X43,DCCfloat),0)</f>
        <v>0</v>
      </c>
      <c r="AA42" s="519">
        <f ca="1"/>
        <v>0</v>
      </c>
      <c r="AB42" s="890">
        <f>IF(X42=0,0,         IF(OR(CCY="AUD",CCY="NZD",CCY="GBP"),X42,   _xll.qDateNext(X42,"-2b",,,IF(CCY="EUR","TGT","LON"))))</f>
        <v>0</v>
      </c>
      <c r="AC42" s="879" t="str">
        <v/>
      </c>
      <c r="AD42" s="879" t="str">
        <v/>
      </c>
      <c r="AE42" s="879" t="str">
        <v/>
      </c>
      <c r="AF42" s="879" t="str">
        <v/>
      </c>
      <c r="AG42" s="879" t="str">
        <v/>
      </c>
      <c r="AH42" s="879" t="str">
        <v/>
      </c>
      <c r="AI42" s="879" t="str">
        <v/>
      </c>
      <c r="AJ42" s="879" t="str">
        <v/>
      </c>
      <c r="AK42" s="882">
        <f>IF($X42=0,0,      _xll.qDateNext($X42,AK$12,$AR$11,FRM&lt;&gt;"Calypso",CCY))</f>
        <v>0</v>
      </c>
      <c r="AL42" s="882">
        <f>IF($X42=0,0,      _xll.qDateNext($X42,AL$12,$AR$11,FRM&lt;&gt;"Calypso",CCY))</f>
        <v>0</v>
      </c>
      <c r="AM42" s="882">
        <f>IF($X42=0,0,      _xll.qDateNext($X42,AM$12,$AR$11,FRM&lt;&gt;"Calypso",CCY))</f>
        <v>0</v>
      </c>
      <c r="AN42" s="882">
        <f>IF($X42=0,0,      _xll.qDateNext($X42,AN$12,$AR$11,FRM&lt;&gt;"Calypso",CCY))</f>
        <v>0</v>
      </c>
      <c r="AO42" s="882">
        <f>IF($X42=0,0,      _xll.qDateNext($X42,AO$12,$AR$11,FRM&lt;&gt;"Calypso",CCY))</f>
        <v>0</v>
      </c>
      <c r="AP42" s="882">
        <f>IF($X42=0,0,      _xll.qDateNext($X42,AP$12,$AR$11,FRM&lt;&gt;"Calypso",CCY))</f>
        <v>0</v>
      </c>
      <c r="AQ42" s="882">
        <f>IF($X42=0,0,      _xll.qDateNext($X42,AQ$12,$AR$11,FRM&lt;&gt;"Calypso",CCY))</f>
        <v>0</v>
      </c>
      <c r="AR42" s="882">
        <f>IF($X42=0,0,      _xll.qDateNext($X42,AR$12,$AR$11,FRM&lt;&gt;"Calypso",CCY))</f>
        <v>0</v>
      </c>
      <c r="AS42" s="901">
        <f ca="1"/>
        <v>0</v>
      </c>
      <c r="AT42" s="901">
        <f ca="1"/>
        <v>0</v>
      </c>
      <c r="AU42" s="901">
        <f t="shared" si="11"/>
        <v>0</v>
      </c>
      <c r="AV42" s="901">
        <f ca="1"/>
        <v>0</v>
      </c>
      <c r="AW42" s="901">
        <f t="shared" si="12"/>
        <v>0</v>
      </c>
      <c r="AX42" s="901">
        <f t="shared" si="13"/>
        <v>0</v>
      </c>
      <c r="AY42" s="901">
        <f ca="1"/>
        <v>0</v>
      </c>
      <c r="AZ42" s="901">
        <f ca="1"/>
        <v>0</v>
      </c>
      <c r="BA42" s="905">
        <f t="shared" si="2"/>
        <v>0</v>
      </c>
      <c r="BB42" s="905">
        <f t="shared" si="3"/>
        <v>0</v>
      </c>
      <c r="BC42" s="905">
        <f t="shared" si="4"/>
        <v>0</v>
      </c>
      <c r="BD42" s="905">
        <f t="shared" si="5"/>
        <v>0</v>
      </c>
      <c r="BE42" s="905">
        <f t="shared" si="6"/>
        <v>0</v>
      </c>
      <c r="BF42" s="905">
        <f t="shared" si="7"/>
        <v>0</v>
      </c>
      <c r="BG42" s="905">
        <f t="shared" si="8"/>
        <v>0</v>
      </c>
      <c r="BH42" s="905">
        <f t="shared" si="9"/>
        <v>0</v>
      </c>
      <c r="BI42" s="713">
        <v>0</v>
      </c>
      <c r="BJ42" s="695"/>
      <c r="BK42" s="752">
        <f>IF(X43=0,0,           IF(ISNUMBER(BJ42),BJ42,               IF(ISTEXT(BJ42),INDEX(BA42:BH42,MATCH(BJ42,$BA$12:$BH$12,0)),             IF(BI42="INT",_xll.qInterp(X43,AK42:AR42,BA42:BH42),            INDEX(BA42:BH42,MATCH(BI42,$BA$12:$BH$12,0))))))</f>
        <v>0</v>
      </c>
      <c r="BL42" s="389">
        <f t="shared" si="14"/>
        <v>0</v>
      </c>
      <c r="BM42" s="394">
        <f t="shared" si="15"/>
        <v>0</v>
      </c>
      <c r="BN42" s="389">
        <f t="shared" si="16"/>
        <v>0</v>
      </c>
    </row>
    <row r="43" spans="2:66">
      <c r="I43" s="150" t="s">
        <v>892</v>
      </c>
      <c r="J43" s="835" t="str">
        <f>"EFP to " &amp; CHOOSE(I45,"TYB","XYB")</f>
        <v>EFP to TYB</v>
      </c>
      <c r="K43" s="148">
        <f ca="1">100*(U5-(100-K44))</f>
        <v>34.350913128985283</v>
      </c>
      <c r="O43" s="136"/>
      <c r="P43" s="714">
        <v>0</v>
      </c>
      <c r="Q43" s="715">
        <f t="shared" si="0"/>
        <v>0</v>
      </c>
      <c r="R43" s="712">
        <f>IF(P44,_xll.qDateYears(P43,P44,DCCfixed),0)</f>
        <v>0</v>
      </c>
      <c r="S43" s="519">
        <f ca="1"/>
        <v>0</v>
      </c>
      <c r="T43" s="720"/>
      <c r="U43" s="390">
        <f t="shared" si="10"/>
        <v>0</v>
      </c>
      <c r="X43" s="345">
        <v>0</v>
      </c>
      <c r="Y43" s="711">
        <f t="shared" si="1"/>
        <v>0</v>
      </c>
      <c r="Z43" s="712">
        <f>IF(X44,_xll.qDateYears(X43,X44,DCCfloat),0)</f>
        <v>0</v>
      </c>
      <c r="AA43" s="519">
        <f ca="1"/>
        <v>0</v>
      </c>
      <c r="AB43" s="890">
        <f>IF(X43=0,0,         IF(OR(CCY="AUD",CCY="NZD",CCY="GBP"),X43,   _xll.qDateNext(X43,"-2b",,,IF(CCY="EUR","TGT","LON"))))</f>
        <v>0</v>
      </c>
      <c r="AC43" s="879" t="str">
        <v/>
      </c>
      <c r="AD43" s="879" t="str">
        <v/>
      </c>
      <c r="AE43" s="879" t="str">
        <v/>
      </c>
      <c r="AF43" s="879" t="str">
        <v/>
      </c>
      <c r="AG43" s="879" t="str">
        <v/>
      </c>
      <c r="AH43" s="879" t="str">
        <v/>
      </c>
      <c r="AI43" s="879" t="str">
        <v/>
      </c>
      <c r="AJ43" s="879" t="str">
        <v/>
      </c>
      <c r="AK43" s="882">
        <f>IF($X43=0,0,      _xll.qDateNext($X43,AK$12,$AR$11,FRM&lt;&gt;"Calypso",CCY))</f>
        <v>0</v>
      </c>
      <c r="AL43" s="882">
        <f>IF($X43=0,0,      _xll.qDateNext($X43,AL$12,$AR$11,FRM&lt;&gt;"Calypso",CCY))</f>
        <v>0</v>
      </c>
      <c r="AM43" s="882">
        <f>IF($X43=0,0,      _xll.qDateNext($X43,AM$12,$AR$11,FRM&lt;&gt;"Calypso",CCY))</f>
        <v>0</v>
      </c>
      <c r="AN43" s="882">
        <f>IF($X43=0,0,      _xll.qDateNext($X43,AN$12,$AR$11,FRM&lt;&gt;"Calypso",CCY))</f>
        <v>0</v>
      </c>
      <c r="AO43" s="882">
        <f>IF($X43=0,0,      _xll.qDateNext($X43,AO$12,$AR$11,FRM&lt;&gt;"Calypso",CCY))</f>
        <v>0</v>
      </c>
      <c r="AP43" s="882">
        <f>IF($X43=0,0,      _xll.qDateNext($X43,AP$12,$AR$11,FRM&lt;&gt;"Calypso",CCY))</f>
        <v>0</v>
      </c>
      <c r="AQ43" s="882">
        <f>IF($X43=0,0,      _xll.qDateNext($X43,AQ$12,$AR$11,FRM&lt;&gt;"Calypso",CCY))</f>
        <v>0</v>
      </c>
      <c r="AR43" s="882">
        <f>IF($X43=0,0,      _xll.qDateNext($X43,AR$12,$AR$11,FRM&lt;&gt;"Calypso",CCY))</f>
        <v>0</v>
      </c>
      <c r="AS43" s="901">
        <f ca="1"/>
        <v>0</v>
      </c>
      <c r="AT43" s="901">
        <f ca="1"/>
        <v>0</v>
      </c>
      <c r="AU43" s="901">
        <f t="shared" si="11"/>
        <v>0</v>
      </c>
      <c r="AV43" s="901">
        <f ca="1"/>
        <v>0</v>
      </c>
      <c r="AW43" s="901">
        <f t="shared" si="12"/>
        <v>0</v>
      </c>
      <c r="AX43" s="901">
        <f t="shared" si="13"/>
        <v>0</v>
      </c>
      <c r="AY43" s="901">
        <f ca="1"/>
        <v>0</v>
      </c>
      <c r="AZ43" s="901">
        <f ca="1"/>
        <v>0</v>
      </c>
      <c r="BA43" s="905">
        <f t="shared" si="2"/>
        <v>0</v>
      </c>
      <c r="BB43" s="905">
        <f t="shared" si="3"/>
        <v>0</v>
      </c>
      <c r="BC43" s="905">
        <f t="shared" si="4"/>
        <v>0</v>
      </c>
      <c r="BD43" s="905">
        <f t="shared" si="5"/>
        <v>0</v>
      </c>
      <c r="BE43" s="905">
        <f t="shared" si="6"/>
        <v>0</v>
      </c>
      <c r="BF43" s="905">
        <f t="shared" si="7"/>
        <v>0</v>
      </c>
      <c r="BG43" s="905">
        <f t="shared" si="8"/>
        <v>0</v>
      </c>
      <c r="BH43" s="905">
        <f t="shared" si="9"/>
        <v>0</v>
      </c>
      <c r="BI43" s="713">
        <v>0</v>
      </c>
      <c r="BJ43" s="695"/>
      <c r="BK43" s="752">
        <f>IF(X44=0,0,           IF(ISNUMBER(BJ43),BJ43,               IF(ISTEXT(BJ43),INDEX(BA43:BH43,MATCH(BJ43,$BA$12:$BH$12,0)),             IF(BI43="INT",_xll.qInterp(X44,AK43:AR43,BA43:BH43),            INDEX(BA43:BH43,MATCH(BI43,$BA$12:$BH$12,0))))))</f>
        <v>0</v>
      </c>
      <c r="BL43" s="389">
        <f t="shared" si="14"/>
        <v>0</v>
      </c>
      <c r="BM43" s="394">
        <f t="shared" si="15"/>
        <v>0</v>
      </c>
      <c r="BN43" s="389">
        <f t="shared" si="16"/>
        <v>0</v>
      </c>
    </row>
    <row r="44" spans="2:66">
      <c r="I44" s="150" t="s">
        <v>893</v>
      </c>
      <c r="J44" s="835" t="str">
        <f>CHOOSE(I45,"TYB","XYB")</f>
        <v>TYB</v>
      </c>
      <c r="K44" s="148">
        <f ca="1">INDIRECT(CHOOSE(I45,"YTT","YTC"))</f>
        <v>95.185000000000002</v>
      </c>
      <c r="P44" s="714">
        <v>0</v>
      </c>
      <c r="Q44" s="715">
        <f t="shared" si="0"/>
        <v>0</v>
      </c>
      <c r="R44" s="712">
        <f>IF(P45,_xll.qDateYears(P44,P45,DCCfixed),0)</f>
        <v>0</v>
      </c>
      <c r="S44" s="519">
        <f ca="1"/>
        <v>0</v>
      </c>
      <c r="T44" s="720"/>
      <c r="U44" s="390">
        <f t="shared" si="10"/>
        <v>0</v>
      </c>
      <c r="X44" s="345">
        <v>0</v>
      </c>
      <c r="Y44" s="711">
        <f t="shared" si="1"/>
        <v>0</v>
      </c>
      <c r="Z44" s="712">
        <f>IF(X45,_xll.qDateYears(X44,X45,DCCfloat),0)</f>
        <v>0</v>
      </c>
      <c r="AA44" s="519">
        <f ca="1"/>
        <v>0</v>
      </c>
      <c r="AB44" s="890">
        <f>IF(X44=0,0,         IF(OR(CCY="AUD",CCY="NZD",CCY="GBP"),X44,   _xll.qDateNext(X44,"-2b",,,IF(CCY="EUR","TGT","LON"))))</f>
        <v>0</v>
      </c>
      <c r="AC44" s="879" t="str">
        <v/>
      </c>
      <c r="AD44" s="879" t="str">
        <v/>
      </c>
      <c r="AE44" s="879" t="str">
        <v/>
      </c>
      <c r="AF44" s="879" t="str">
        <v/>
      </c>
      <c r="AG44" s="879" t="str">
        <v/>
      </c>
      <c r="AH44" s="879" t="str">
        <v/>
      </c>
      <c r="AI44" s="879" t="str">
        <v/>
      </c>
      <c r="AJ44" s="879" t="str">
        <v/>
      </c>
      <c r="AK44" s="882">
        <f>IF($X44=0,0,      _xll.qDateNext($X44,AK$12,$AR$11,FRM&lt;&gt;"Calypso",CCY))</f>
        <v>0</v>
      </c>
      <c r="AL44" s="882">
        <f>IF($X44=0,0,      _xll.qDateNext($X44,AL$12,$AR$11,FRM&lt;&gt;"Calypso",CCY))</f>
        <v>0</v>
      </c>
      <c r="AM44" s="882">
        <f>IF($X44=0,0,      _xll.qDateNext($X44,AM$12,$AR$11,FRM&lt;&gt;"Calypso",CCY))</f>
        <v>0</v>
      </c>
      <c r="AN44" s="882">
        <f>IF($X44=0,0,      _xll.qDateNext($X44,AN$12,$AR$11,FRM&lt;&gt;"Calypso",CCY))</f>
        <v>0</v>
      </c>
      <c r="AO44" s="882">
        <f>IF($X44=0,0,      _xll.qDateNext($X44,AO$12,$AR$11,FRM&lt;&gt;"Calypso",CCY))</f>
        <v>0</v>
      </c>
      <c r="AP44" s="882">
        <f>IF($X44=0,0,      _xll.qDateNext($X44,AP$12,$AR$11,FRM&lt;&gt;"Calypso",CCY))</f>
        <v>0</v>
      </c>
      <c r="AQ44" s="882">
        <f>IF($X44=0,0,      _xll.qDateNext($X44,AQ$12,$AR$11,FRM&lt;&gt;"Calypso",CCY))</f>
        <v>0</v>
      </c>
      <c r="AR44" s="882">
        <f>IF($X44=0,0,      _xll.qDateNext($X44,AR$12,$AR$11,FRM&lt;&gt;"Calypso",CCY))</f>
        <v>0</v>
      </c>
      <c r="AS44" s="901">
        <f ca="1"/>
        <v>0</v>
      </c>
      <c r="AT44" s="901">
        <f ca="1"/>
        <v>0</v>
      </c>
      <c r="AU44" s="901">
        <f t="shared" si="11"/>
        <v>0</v>
      </c>
      <c r="AV44" s="901">
        <f ca="1"/>
        <v>0</v>
      </c>
      <c r="AW44" s="901">
        <f t="shared" si="12"/>
        <v>0</v>
      </c>
      <c r="AX44" s="901">
        <f t="shared" si="13"/>
        <v>0</v>
      </c>
      <c r="AY44" s="901">
        <f ca="1"/>
        <v>0</v>
      </c>
      <c r="AZ44" s="901">
        <f ca="1"/>
        <v>0</v>
      </c>
      <c r="BA44" s="905">
        <f t="shared" si="2"/>
        <v>0</v>
      </c>
      <c r="BB44" s="905">
        <f t="shared" si="3"/>
        <v>0</v>
      </c>
      <c r="BC44" s="905">
        <f t="shared" si="4"/>
        <v>0</v>
      </c>
      <c r="BD44" s="905">
        <f t="shared" si="5"/>
        <v>0</v>
      </c>
      <c r="BE44" s="905">
        <f t="shared" si="6"/>
        <v>0</v>
      </c>
      <c r="BF44" s="905">
        <f t="shared" si="7"/>
        <v>0</v>
      </c>
      <c r="BG44" s="905">
        <f t="shared" si="8"/>
        <v>0</v>
      </c>
      <c r="BH44" s="905">
        <f t="shared" si="9"/>
        <v>0</v>
      </c>
      <c r="BI44" s="713">
        <v>0</v>
      </c>
      <c r="BJ44" s="695"/>
      <c r="BK44" s="752">
        <f>IF(X45=0,0,           IF(ISNUMBER(BJ44),BJ44,               IF(ISTEXT(BJ44),INDEX(BA44:BH44,MATCH(BJ44,$BA$12:$BH$12,0)),             IF(BI44="INT",_xll.qInterp(X45,AK44:AR44,BA44:BH44),            INDEX(BA44:BH44,MATCH(BI44,$BA$12:$BH$12,0))))))</f>
        <v>0</v>
      </c>
      <c r="BL44" s="389">
        <f t="shared" si="14"/>
        <v>0</v>
      </c>
      <c r="BM44" s="394">
        <f t="shared" si="15"/>
        <v>0</v>
      </c>
      <c r="BN44" s="389">
        <f t="shared" si="16"/>
        <v>0</v>
      </c>
    </row>
    <row r="45" spans="2:66">
      <c r="I45" s="150">
        <f xml:space="preserve"> IF(MAX(P13:P512)-Today &gt; 5*365,2,1)</f>
        <v>1</v>
      </c>
      <c r="J45" s="835"/>
      <c r="K45" s="148"/>
      <c r="P45" s="714">
        <v>0</v>
      </c>
      <c r="Q45" s="715">
        <f t="shared" si="0"/>
        <v>0</v>
      </c>
      <c r="R45" s="712">
        <f>IF(P46,_xll.qDateYears(P45,P46,DCCfixed),0)</f>
        <v>0</v>
      </c>
      <c r="S45" s="519">
        <f ca="1"/>
        <v>0</v>
      </c>
      <c r="T45" s="720"/>
      <c r="U45" s="390">
        <f t="shared" si="10"/>
        <v>0</v>
      </c>
      <c r="X45" s="345">
        <v>0</v>
      </c>
      <c r="Y45" s="711">
        <f t="shared" si="1"/>
        <v>0</v>
      </c>
      <c r="Z45" s="712">
        <f>IF(X46,_xll.qDateYears(X45,X46,DCCfloat),0)</f>
        <v>0</v>
      </c>
      <c r="AA45" s="519">
        <f ca="1"/>
        <v>0</v>
      </c>
      <c r="AB45" s="890">
        <f>IF(X45=0,0,         IF(OR(CCY="AUD",CCY="NZD",CCY="GBP"),X45,   _xll.qDateNext(X45,"-2b",,,IF(CCY="EUR","TGT","LON"))))</f>
        <v>0</v>
      </c>
      <c r="AC45" s="879" t="str">
        <v/>
      </c>
      <c r="AD45" s="879" t="str">
        <v/>
      </c>
      <c r="AE45" s="879" t="str">
        <v/>
      </c>
      <c r="AF45" s="879" t="str">
        <v/>
      </c>
      <c r="AG45" s="879" t="str">
        <v/>
      </c>
      <c r="AH45" s="879" t="str">
        <v/>
      </c>
      <c r="AI45" s="879" t="str">
        <v/>
      </c>
      <c r="AJ45" s="879" t="str">
        <v/>
      </c>
      <c r="AK45" s="882">
        <f>IF($X45=0,0,      _xll.qDateNext($X45,AK$12,$AR$11,FRM&lt;&gt;"Calypso",CCY))</f>
        <v>0</v>
      </c>
      <c r="AL45" s="882">
        <f>IF($X45=0,0,      _xll.qDateNext($X45,AL$12,$AR$11,FRM&lt;&gt;"Calypso",CCY))</f>
        <v>0</v>
      </c>
      <c r="AM45" s="882">
        <f>IF($X45=0,0,      _xll.qDateNext($X45,AM$12,$AR$11,FRM&lt;&gt;"Calypso",CCY))</f>
        <v>0</v>
      </c>
      <c r="AN45" s="882">
        <f>IF($X45=0,0,      _xll.qDateNext($X45,AN$12,$AR$11,FRM&lt;&gt;"Calypso",CCY))</f>
        <v>0</v>
      </c>
      <c r="AO45" s="882">
        <f>IF($X45=0,0,      _xll.qDateNext($X45,AO$12,$AR$11,FRM&lt;&gt;"Calypso",CCY))</f>
        <v>0</v>
      </c>
      <c r="AP45" s="882">
        <f>IF($X45=0,0,      _xll.qDateNext($X45,AP$12,$AR$11,FRM&lt;&gt;"Calypso",CCY))</f>
        <v>0</v>
      </c>
      <c r="AQ45" s="882">
        <f>IF($X45=0,0,      _xll.qDateNext($X45,AQ$12,$AR$11,FRM&lt;&gt;"Calypso",CCY))</f>
        <v>0</v>
      </c>
      <c r="AR45" s="882">
        <f>IF($X45=0,0,      _xll.qDateNext($X45,AR$12,$AR$11,FRM&lt;&gt;"Calypso",CCY))</f>
        <v>0</v>
      </c>
      <c r="AS45" s="901">
        <f ca="1"/>
        <v>0</v>
      </c>
      <c r="AT45" s="901">
        <f ca="1"/>
        <v>0</v>
      </c>
      <c r="AU45" s="901">
        <f t="shared" si="11"/>
        <v>0</v>
      </c>
      <c r="AV45" s="901">
        <f ca="1"/>
        <v>0</v>
      </c>
      <c r="AW45" s="901">
        <f t="shared" si="12"/>
        <v>0</v>
      </c>
      <c r="AX45" s="901">
        <f t="shared" si="13"/>
        <v>0</v>
      </c>
      <c r="AY45" s="901">
        <f ca="1"/>
        <v>0</v>
      </c>
      <c r="AZ45" s="901">
        <f ca="1"/>
        <v>0</v>
      </c>
      <c r="BA45" s="905">
        <f t="shared" si="2"/>
        <v>0</v>
      </c>
      <c r="BB45" s="905">
        <f t="shared" si="3"/>
        <v>0</v>
      </c>
      <c r="BC45" s="905">
        <f t="shared" si="4"/>
        <v>0</v>
      </c>
      <c r="BD45" s="905">
        <f t="shared" si="5"/>
        <v>0</v>
      </c>
      <c r="BE45" s="905">
        <f t="shared" si="6"/>
        <v>0</v>
      </c>
      <c r="BF45" s="905">
        <f t="shared" si="7"/>
        <v>0</v>
      </c>
      <c r="BG45" s="905">
        <f t="shared" si="8"/>
        <v>0</v>
      </c>
      <c r="BH45" s="905">
        <f t="shared" si="9"/>
        <v>0</v>
      </c>
      <c r="BI45" s="713">
        <v>0</v>
      </c>
      <c r="BJ45" s="695"/>
      <c r="BK45" s="752">
        <f>IF(X46=0,0,           IF(ISNUMBER(BJ45),BJ45,               IF(ISTEXT(BJ45),INDEX(BA45:BH45,MATCH(BJ45,$BA$12:$BH$12,0)),             IF(BI45="INT",_xll.qInterp(X46,AK45:AR45,BA45:BH45),            INDEX(BA45:BH45,MATCH(BI45,$BA$12:$BH$12,0))))))</f>
        <v>0</v>
      </c>
      <c r="BL45" s="389">
        <f t="shared" si="14"/>
        <v>0</v>
      </c>
      <c r="BM45" s="394">
        <f t="shared" si="15"/>
        <v>0</v>
      </c>
      <c r="BN45" s="389">
        <f t="shared" si="16"/>
        <v>0</v>
      </c>
    </row>
    <row r="46" spans="2:66">
      <c r="P46" s="714">
        <v>0</v>
      </c>
      <c r="Q46" s="715">
        <f t="shared" si="0"/>
        <v>0</v>
      </c>
      <c r="R46" s="712">
        <f>IF(P47,_xll.qDateYears(P46,P47,DCCfixed),0)</f>
        <v>0</v>
      </c>
      <c r="S46" s="519">
        <f ca="1"/>
        <v>0</v>
      </c>
      <c r="T46" s="720"/>
      <c r="U46" s="390">
        <f t="shared" si="10"/>
        <v>0</v>
      </c>
      <c r="X46" s="345">
        <v>0</v>
      </c>
      <c r="Y46" s="711">
        <f t="shared" si="1"/>
        <v>0</v>
      </c>
      <c r="Z46" s="712">
        <f>IF(X47,_xll.qDateYears(X46,X47,DCCfloat),0)</f>
        <v>0</v>
      </c>
      <c r="AA46" s="519">
        <f ca="1"/>
        <v>0</v>
      </c>
      <c r="AB46" s="890">
        <f>IF(X46=0,0,         IF(OR(CCY="AUD",CCY="NZD",CCY="GBP"),X46,   _xll.qDateNext(X46,"-2b",,,IF(CCY="EUR","TGT","LON"))))</f>
        <v>0</v>
      </c>
      <c r="AC46" s="879" t="str">
        <v/>
      </c>
      <c r="AD46" s="879" t="str">
        <v/>
      </c>
      <c r="AE46" s="879" t="str">
        <v/>
      </c>
      <c r="AF46" s="879" t="str">
        <v/>
      </c>
      <c r="AG46" s="879" t="str">
        <v/>
      </c>
      <c r="AH46" s="879" t="str">
        <v/>
      </c>
      <c r="AI46" s="879" t="str">
        <v/>
      </c>
      <c r="AJ46" s="879" t="str">
        <v/>
      </c>
      <c r="AK46" s="882">
        <f>IF($X46=0,0,      _xll.qDateNext($X46,AK$12,$AR$11,FRM&lt;&gt;"Calypso",CCY))</f>
        <v>0</v>
      </c>
      <c r="AL46" s="882">
        <f>IF($X46=0,0,      _xll.qDateNext($X46,AL$12,$AR$11,FRM&lt;&gt;"Calypso",CCY))</f>
        <v>0</v>
      </c>
      <c r="AM46" s="882">
        <f>IF($X46=0,0,      _xll.qDateNext($X46,AM$12,$AR$11,FRM&lt;&gt;"Calypso",CCY))</f>
        <v>0</v>
      </c>
      <c r="AN46" s="882">
        <f>IF($X46=0,0,      _xll.qDateNext($X46,AN$12,$AR$11,FRM&lt;&gt;"Calypso",CCY))</f>
        <v>0</v>
      </c>
      <c r="AO46" s="882">
        <f>IF($X46=0,0,      _xll.qDateNext($X46,AO$12,$AR$11,FRM&lt;&gt;"Calypso",CCY))</f>
        <v>0</v>
      </c>
      <c r="AP46" s="882">
        <f>IF($X46=0,0,      _xll.qDateNext($X46,AP$12,$AR$11,FRM&lt;&gt;"Calypso",CCY))</f>
        <v>0</v>
      </c>
      <c r="AQ46" s="882">
        <f>IF($X46=0,0,      _xll.qDateNext($X46,AQ$12,$AR$11,FRM&lt;&gt;"Calypso",CCY))</f>
        <v>0</v>
      </c>
      <c r="AR46" s="882">
        <f>IF($X46=0,0,      _xll.qDateNext($X46,AR$12,$AR$11,FRM&lt;&gt;"Calypso",CCY))</f>
        <v>0</v>
      </c>
      <c r="AS46" s="901">
        <f ca="1"/>
        <v>0</v>
      </c>
      <c r="AT46" s="901">
        <f ca="1"/>
        <v>0</v>
      </c>
      <c r="AU46" s="901">
        <f t="shared" si="11"/>
        <v>0</v>
      </c>
      <c r="AV46" s="901">
        <f ca="1"/>
        <v>0</v>
      </c>
      <c r="AW46" s="901">
        <f t="shared" si="12"/>
        <v>0</v>
      </c>
      <c r="AX46" s="901">
        <f t="shared" si="13"/>
        <v>0</v>
      </c>
      <c r="AY46" s="901">
        <f ca="1"/>
        <v>0</v>
      </c>
      <c r="AZ46" s="901">
        <f ca="1"/>
        <v>0</v>
      </c>
      <c r="BA46" s="905">
        <f t="shared" si="2"/>
        <v>0</v>
      </c>
      <c r="BB46" s="905">
        <f t="shared" si="3"/>
        <v>0</v>
      </c>
      <c r="BC46" s="905">
        <f t="shared" si="4"/>
        <v>0</v>
      </c>
      <c r="BD46" s="905">
        <f t="shared" si="5"/>
        <v>0</v>
      </c>
      <c r="BE46" s="905">
        <f t="shared" si="6"/>
        <v>0</v>
      </c>
      <c r="BF46" s="905">
        <f t="shared" si="7"/>
        <v>0</v>
      </c>
      <c r="BG46" s="905">
        <f t="shared" si="8"/>
        <v>0</v>
      </c>
      <c r="BH46" s="905">
        <f t="shared" si="9"/>
        <v>0</v>
      </c>
      <c r="BI46" s="713">
        <v>0</v>
      </c>
      <c r="BJ46" s="695"/>
      <c r="BK46" s="752">
        <f>IF(X47=0,0,           IF(ISNUMBER(BJ46),BJ46,               IF(ISTEXT(BJ46),INDEX(BA46:BH46,MATCH(BJ46,$BA$12:$BH$12,0)),             IF(BI46="INT",_xll.qInterp(X47,AK46:AR46,BA46:BH46),            INDEX(BA46:BH46,MATCH(BI46,$BA$12:$BH$12,0))))))</f>
        <v>0</v>
      </c>
      <c r="BL46" s="389">
        <f t="shared" si="14"/>
        <v>0</v>
      </c>
      <c r="BM46" s="394">
        <f t="shared" si="15"/>
        <v>0</v>
      </c>
      <c r="BN46" s="389">
        <f t="shared" si="16"/>
        <v>0</v>
      </c>
    </row>
    <row r="47" spans="2:66">
      <c r="P47" s="714">
        <v>0</v>
      </c>
      <c r="Q47" s="715">
        <f t="shared" si="0"/>
        <v>0</v>
      </c>
      <c r="R47" s="712">
        <f>IF(P48,_xll.qDateYears(P47,P48,DCCfixed),0)</f>
        <v>0</v>
      </c>
      <c r="S47" s="519">
        <f ca="1"/>
        <v>0</v>
      </c>
      <c r="T47" s="720"/>
      <c r="U47" s="390">
        <f t="shared" si="10"/>
        <v>0</v>
      </c>
      <c r="X47" s="345">
        <v>0</v>
      </c>
      <c r="Y47" s="711">
        <f t="shared" si="1"/>
        <v>0</v>
      </c>
      <c r="Z47" s="712">
        <f>IF(X48,_xll.qDateYears(X47,X48,DCCfloat),0)</f>
        <v>0</v>
      </c>
      <c r="AA47" s="519">
        <f ca="1"/>
        <v>0</v>
      </c>
      <c r="AB47" s="890">
        <f>IF(X47=0,0,         IF(OR(CCY="AUD",CCY="NZD",CCY="GBP"),X47,   _xll.qDateNext(X47,"-2b",,,IF(CCY="EUR","TGT","LON"))))</f>
        <v>0</v>
      </c>
      <c r="AC47" s="879" t="str">
        <v/>
      </c>
      <c r="AD47" s="879" t="str">
        <v/>
      </c>
      <c r="AE47" s="879" t="str">
        <v/>
      </c>
      <c r="AF47" s="879" t="str">
        <v/>
      </c>
      <c r="AG47" s="879" t="str">
        <v/>
      </c>
      <c r="AH47" s="879" t="str">
        <v/>
      </c>
      <c r="AI47" s="879" t="str">
        <v/>
      </c>
      <c r="AJ47" s="879" t="str">
        <v/>
      </c>
      <c r="AK47" s="882">
        <f>IF($X47=0,0,      _xll.qDateNext($X47,AK$12,$AR$11,FRM&lt;&gt;"Calypso",CCY))</f>
        <v>0</v>
      </c>
      <c r="AL47" s="882">
        <f>IF($X47=0,0,      _xll.qDateNext($X47,AL$12,$AR$11,FRM&lt;&gt;"Calypso",CCY))</f>
        <v>0</v>
      </c>
      <c r="AM47" s="882">
        <f>IF($X47=0,0,      _xll.qDateNext($X47,AM$12,$AR$11,FRM&lt;&gt;"Calypso",CCY))</f>
        <v>0</v>
      </c>
      <c r="AN47" s="882">
        <f>IF($X47=0,0,      _xll.qDateNext($X47,AN$12,$AR$11,FRM&lt;&gt;"Calypso",CCY))</f>
        <v>0</v>
      </c>
      <c r="AO47" s="882">
        <f>IF($X47=0,0,      _xll.qDateNext($X47,AO$12,$AR$11,FRM&lt;&gt;"Calypso",CCY))</f>
        <v>0</v>
      </c>
      <c r="AP47" s="882">
        <f>IF($X47=0,0,      _xll.qDateNext($X47,AP$12,$AR$11,FRM&lt;&gt;"Calypso",CCY))</f>
        <v>0</v>
      </c>
      <c r="AQ47" s="882">
        <f>IF($X47=0,0,      _xll.qDateNext($X47,AQ$12,$AR$11,FRM&lt;&gt;"Calypso",CCY))</f>
        <v>0</v>
      </c>
      <c r="AR47" s="882">
        <f>IF($X47=0,0,      _xll.qDateNext($X47,AR$12,$AR$11,FRM&lt;&gt;"Calypso",CCY))</f>
        <v>0</v>
      </c>
      <c r="AS47" s="901">
        <f ca="1"/>
        <v>0</v>
      </c>
      <c r="AT47" s="901">
        <f ca="1"/>
        <v>0</v>
      </c>
      <c r="AU47" s="901">
        <f t="shared" si="11"/>
        <v>0</v>
      </c>
      <c r="AV47" s="901">
        <f ca="1"/>
        <v>0</v>
      </c>
      <c r="AW47" s="901">
        <f t="shared" si="12"/>
        <v>0</v>
      </c>
      <c r="AX47" s="901">
        <f t="shared" si="13"/>
        <v>0</v>
      </c>
      <c r="AY47" s="901">
        <f ca="1"/>
        <v>0</v>
      </c>
      <c r="AZ47" s="901">
        <f ca="1"/>
        <v>0</v>
      </c>
      <c r="BA47" s="905">
        <f t="shared" si="2"/>
        <v>0</v>
      </c>
      <c r="BB47" s="905">
        <f t="shared" si="3"/>
        <v>0</v>
      </c>
      <c r="BC47" s="905">
        <f t="shared" si="4"/>
        <v>0</v>
      </c>
      <c r="BD47" s="905">
        <f t="shared" si="5"/>
        <v>0</v>
      </c>
      <c r="BE47" s="905">
        <f t="shared" si="6"/>
        <v>0</v>
      </c>
      <c r="BF47" s="905">
        <f t="shared" si="7"/>
        <v>0</v>
      </c>
      <c r="BG47" s="905">
        <f t="shared" si="8"/>
        <v>0</v>
      </c>
      <c r="BH47" s="905">
        <f t="shared" si="9"/>
        <v>0</v>
      </c>
      <c r="BI47" s="713">
        <v>0</v>
      </c>
      <c r="BJ47" s="695"/>
      <c r="BK47" s="752">
        <f>IF(X48=0,0,           IF(ISNUMBER(BJ47),BJ47,               IF(ISTEXT(BJ47),INDEX(BA47:BH47,MATCH(BJ47,$BA$12:$BH$12,0)),             IF(BI47="INT",_xll.qInterp(X48,AK47:AR47,BA47:BH47),            INDEX(BA47:BH47,MATCH(BI47,$BA$12:$BH$12,0))))))</f>
        <v>0</v>
      </c>
      <c r="BL47" s="389">
        <f t="shared" si="14"/>
        <v>0</v>
      </c>
      <c r="BM47" s="394">
        <f t="shared" si="15"/>
        <v>0</v>
      </c>
      <c r="BN47" s="389">
        <f t="shared" si="16"/>
        <v>0</v>
      </c>
    </row>
    <row r="48" spans="2:66">
      <c r="J48" s="441"/>
      <c r="P48" s="714">
        <v>0</v>
      </c>
      <c r="Q48" s="715">
        <f t="shared" si="0"/>
        <v>0</v>
      </c>
      <c r="R48" s="712">
        <f>IF(P49,_xll.qDateYears(P48,P49,DCCfixed),0)</f>
        <v>0</v>
      </c>
      <c r="S48" s="519">
        <f ca="1"/>
        <v>0</v>
      </c>
      <c r="T48" s="720"/>
      <c r="U48" s="390">
        <f t="shared" si="10"/>
        <v>0</v>
      </c>
      <c r="X48" s="345">
        <v>0</v>
      </c>
      <c r="Y48" s="711">
        <f t="shared" si="1"/>
        <v>0</v>
      </c>
      <c r="Z48" s="712">
        <f>IF(X49,_xll.qDateYears(X48,X49,DCCfloat),0)</f>
        <v>0</v>
      </c>
      <c r="AA48" s="519">
        <f ca="1"/>
        <v>0</v>
      </c>
      <c r="AB48" s="890">
        <f>IF(X48=0,0,         IF(OR(CCY="AUD",CCY="NZD",CCY="GBP"),X48,   _xll.qDateNext(X48,"-2b",,,IF(CCY="EUR","TGT","LON"))))</f>
        <v>0</v>
      </c>
      <c r="AC48" s="879" t="str">
        <v/>
      </c>
      <c r="AD48" s="879" t="str">
        <v/>
      </c>
      <c r="AE48" s="879" t="str">
        <v/>
      </c>
      <c r="AF48" s="879" t="str">
        <v/>
      </c>
      <c r="AG48" s="879" t="str">
        <v/>
      </c>
      <c r="AH48" s="879" t="str">
        <v/>
      </c>
      <c r="AI48" s="879" t="str">
        <v/>
      </c>
      <c r="AJ48" s="879" t="str">
        <v/>
      </c>
      <c r="AK48" s="882">
        <f>IF($X48=0,0,      _xll.qDateNext($X48,AK$12,$AR$11,FRM&lt;&gt;"Calypso",CCY))</f>
        <v>0</v>
      </c>
      <c r="AL48" s="882">
        <f>IF($X48=0,0,      _xll.qDateNext($X48,AL$12,$AR$11,FRM&lt;&gt;"Calypso",CCY))</f>
        <v>0</v>
      </c>
      <c r="AM48" s="882">
        <f>IF($X48=0,0,      _xll.qDateNext($X48,AM$12,$AR$11,FRM&lt;&gt;"Calypso",CCY))</f>
        <v>0</v>
      </c>
      <c r="AN48" s="882">
        <f>IF($X48=0,0,      _xll.qDateNext($X48,AN$12,$AR$11,FRM&lt;&gt;"Calypso",CCY))</f>
        <v>0</v>
      </c>
      <c r="AO48" s="882">
        <f>IF($X48=0,0,      _xll.qDateNext($X48,AO$12,$AR$11,FRM&lt;&gt;"Calypso",CCY))</f>
        <v>0</v>
      </c>
      <c r="AP48" s="882">
        <f>IF($X48=0,0,      _xll.qDateNext($X48,AP$12,$AR$11,FRM&lt;&gt;"Calypso",CCY))</f>
        <v>0</v>
      </c>
      <c r="AQ48" s="882">
        <f>IF($X48=0,0,      _xll.qDateNext($X48,AQ$12,$AR$11,FRM&lt;&gt;"Calypso",CCY))</f>
        <v>0</v>
      </c>
      <c r="AR48" s="882">
        <f>IF($X48=0,0,      _xll.qDateNext($X48,AR$12,$AR$11,FRM&lt;&gt;"Calypso",CCY))</f>
        <v>0</v>
      </c>
      <c r="AS48" s="901">
        <f ca="1"/>
        <v>0</v>
      </c>
      <c r="AT48" s="901">
        <f ca="1"/>
        <v>0</v>
      </c>
      <c r="AU48" s="901">
        <f t="shared" si="11"/>
        <v>0</v>
      </c>
      <c r="AV48" s="901">
        <f ca="1"/>
        <v>0</v>
      </c>
      <c r="AW48" s="901">
        <f t="shared" si="12"/>
        <v>0</v>
      </c>
      <c r="AX48" s="901">
        <f t="shared" si="13"/>
        <v>0</v>
      </c>
      <c r="AY48" s="901">
        <f ca="1"/>
        <v>0</v>
      </c>
      <c r="AZ48" s="901">
        <f ca="1"/>
        <v>0</v>
      </c>
      <c r="BA48" s="905">
        <f t="shared" si="2"/>
        <v>0</v>
      </c>
      <c r="BB48" s="905">
        <f t="shared" si="3"/>
        <v>0</v>
      </c>
      <c r="BC48" s="905">
        <f t="shared" si="4"/>
        <v>0</v>
      </c>
      <c r="BD48" s="905">
        <f t="shared" si="5"/>
        <v>0</v>
      </c>
      <c r="BE48" s="905">
        <f t="shared" si="6"/>
        <v>0</v>
      </c>
      <c r="BF48" s="905">
        <f t="shared" si="7"/>
        <v>0</v>
      </c>
      <c r="BG48" s="905">
        <f t="shared" si="8"/>
        <v>0</v>
      </c>
      <c r="BH48" s="905">
        <f t="shared" si="9"/>
        <v>0</v>
      </c>
      <c r="BI48" s="713">
        <v>0</v>
      </c>
      <c r="BJ48" s="695"/>
      <c r="BK48" s="752">
        <f>IF(X49=0,0,           IF(ISNUMBER(BJ48),BJ48,               IF(ISTEXT(BJ48),INDEX(BA48:BH48,MATCH(BJ48,$BA$12:$BH$12,0)),             IF(BI48="INT",_xll.qInterp(X49,AK48:AR48,BA48:BH48),            INDEX(BA48:BH48,MATCH(BI48,$BA$12:$BH$12,0))))))</f>
        <v>0</v>
      </c>
      <c r="BL48" s="389">
        <f t="shared" si="14"/>
        <v>0</v>
      </c>
      <c r="BM48" s="394">
        <f t="shared" si="15"/>
        <v>0</v>
      </c>
      <c r="BN48" s="389">
        <f t="shared" si="16"/>
        <v>0</v>
      </c>
    </row>
    <row r="49" spans="10:66">
      <c r="J49" s="441"/>
      <c r="P49" s="714">
        <v>0</v>
      </c>
      <c r="Q49" s="715">
        <f t="shared" si="0"/>
        <v>0</v>
      </c>
      <c r="R49" s="712">
        <f>IF(P50,_xll.qDateYears(P49,P50,DCCfixed),0)</f>
        <v>0</v>
      </c>
      <c r="S49" s="519">
        <f ca="1"/>
        <v>0</v>
      </c>
      <c r="T49" s="720"/>
      <c r="U49" s="390">
        <f t="shared" si="10"/>
        <v>0</v>
      </c>
      <c r="X49" s="345">
        <v>0</v>
      </c>
      <c r="Y49" s="711">
        <f t="shared" si="1"/>
        <v>0</v>
      </c>
      <c r="Z49" s="712">
        <f>IF(X50,_xll.qDateYears(X49,X50,DCCfloat),0)</f>
        <v>0</v>
      </c>
      <c r="AA49" s="519">
        <f ca="1"/>
        <v>0</v>
      </c>
      <c r="AB49" s="890">
        <f>IF(X49=0,0,         IF(OR(CCY="AUD",CCY="NZD",CCY="GBP"),X49,   _xll.qDateNext(X49,"-2b",,,IF(CCY="EUR","TGT","LON"))))</f>
        <v>0</v>
      </c>
      <c r="AC49" s="879" t="str">
        <v/>
      </c>
      <c r="AD49" s="879" t="str">
        <v/>
      </c>
      <c r="AE49" s="879" t="str">
        <v/>
      </c>
      <c r="AF49" s="879" t="str">
        <v/>
      </c>
      <c r="AG49" s="879" t="str">
        <v/>
      </c>
      <c r="AH49" s="879" t="str">
        <v/>
      </c>
      <c r="AI49" s="879" t="str">
        <v/>
      </c>
      <c r="AJ49" s="879" t="str">
        <v/>
      </c>
      <c r="AK49" s="882">
        <f>IF($X49=0,0,      _xll.qDateNext($X49,AK$12,$AR$11,FRM&lt;&gt;"Calypso",CCY))</f>
        <v>0</v>
      </c>
      <c r="AL49" s="882">
        <f>IF($X49=0,0,      _xll.qDateNext($X49,AL$12,$AR$11,FRM&lt;&gt;"Calypso",CCY))</f>
        <v>0</v>
      </c>
      <c r="AM49" s="882">
        <f>IF($X49=0,0,      _xll.qDateNext($X49,AM$12,$AR$11,FRM&lt;&gt;"Calypso",CCY))</f>
        <v>0</v>
      </c>
      <c r="AN49" s="882">
        <f>IF($X49=0,0,      _xll.qDateNext($X49,AN$12,$AR$11,FRM&lt;&gt;"Calypso",CCY))</f>
        <v>0</v>
      </c>
      <c r="AO49" s="882">
        <f>IF($X49=0,0,      _xll.qDateNext($X49,AO$12,$AR$11,FRM&lt;&gt;"Calypso",CCY))</f>
        <v>0</v>
      </c>
      <c r="AP49" s="882">
        <f>IF($X49=0,0,      _xll.qDateNext($X49,AP$12,$AR$11,FRM&lt;&gt;"Calypso",CCY))</f>
        <v>0</v>
      </c>
      <c r="AQ49" s="882">
        <f>IF($X49=0,0,      _xll.qDateNext($X49,AQ$12,$AR$11,FRM&lt;&gt;"Calypso",CCY))</f>
        <v>0</v>
      </c>
      <c r="AR49" s="882">
        <f>IF($X49=0,0,      _xll.qDateNext($X49,AR$12,$AR$11,FRM&lt;&gt;"Calypso",CCY))</f>
        <v>0</v>
      </c>
      <c r="AS49" s="901">
        <f ca="1"/>
        <v>0</v>
      </c>
      <c r="AT49" s="901">
        <f ca="1"/>
        <v>0</v>
      </c>
      <c r="AU49" s="901">
        <f t="shared" si="11"/>
        <v>0</v>
      </c>
      <c r="AV49" s="901">
        <f ca="1"/>
        <v>0</v>
      </c>
      <c r="AW49" s="901">
        <f t="shared" si="12"/>
        <v>0</v>
      </c>
      <c r="AX49" s="901">
        <f t="shared" si="13"/>
        <v>0</v>
      </c>
      <c r="AY49" s="901">
        <f ca="1"/>
        <v>0</v>
      </c>
      <c r="AZ49" s="901">
        <f ca="1"/>
        <v>0</v>
      </c>
      <c r="BA49" s="905">
        <f t="shared" si="2"/>
        <v>0</v>
      </c>
      <c r="BB49" s="905">
        <f t="shared" si="3"/>
        <v>0</v>
      </c>
      <c r="BC49" s="905">
        <f t="shared" si="4"/>
        <v>0</v>
      </c>
      <c r="BD49" s="905">
        <f t="shared" si="5"/>
        <v>0</v>
      </c>
      <c r="BE49" s="905">
        <f t="shared" si="6"/>
        <v>0</v>
      </c>
      <c r="BF49" s="905">
        <f t="shared" si="7"/>
        <v>0</v>
      </c>
      <c r="BG49" s="905">
        <f t="shared" si="8"/>
        <v>0</v>
      </c>
      <c r="BH49" s="905">
        <f t="shared" si="9"/>
        <v>0</v>
      </c>
      <c r="BI49" s="713">
        <v>0</v>
      </c>
      <c r="BJ49" s="695"/>
      <c r="BK49" s="752">
        <f>IF(X50=0,0,           IF(ISNUMBER(BJ49),BJ49,               IF(ISTEXT(BJ49),INDEX(BA49:BH49,MATCH(BJ49,$BA$12:$BH$12,0)),             IF(BI49="INT",_xll.qInterp(X50,AK49:AR49,BA49:BH49),            INDEX(BA49:BH49,MATCH(BI49,$BA$12:$BH$12,0))))))</f>
        <v>0</v>
      </c>
      <c r="BL49" s="389">
        <f t="shared" si="14"/>
        <v>0</v>
      </c>
      <c r="BM49" s="394">
        <f t="shared" si="15"/>
        <v>0</v>
      </c>
      <c r="BN49" s="389">
        <f t="shared" si="16"/>
        <v>0</v>
      </c>
    </row>
    <row r="50" spans="10:66">
      <c r="J50" s="441"/>
      <c r="P50" s="714">
        <v>0</v>
      </c>
      <c r="Q50" s="715">
        <f t="shared" si="0"/>
        <v>0</v>
      </c>
      <c r="R50" s="712">
        <f>IF(P51,_xll.qDateYears(P50,P51,DCCfixed),0)</f>
        <v>0</v>
      </c>
      <c r="S50" s="519">
        <f ca="1"/>
        <v>0</v>
      </c>
      <c r="T50" s="720"/>
      <c r="U50" s="390">
        <f t="shared" si="10"/>
        <v>0</v>
      </c>
      <c r="X50" s="345">
        <v>0</v>
      </c>
      <c r="Y50" s="711">
        <f t="shared" si="1"/>
        <v>0</v>
      </c>
      <c r="Z50" s="712">
        <f>IF(X51,_xll.qDateYears(X50,X51,DCCfloat),0)</f>
        <v>0</v>
      </c>
      <c r="AA50" s="519">
        <f ca="1"/>
        <v>0</v>
      </c>
      <c r="AB50" s="890">
        <f>IF(X50=0,0,         IF(OR(CCY="AUD",CCY="NZD",CCY="GBP"),X50,   _xll.qDateNext(X50,"-2b",,,IF(CCY="EUR","TGT","LON"))))</f>
        <v>0</v>
      </c>
      <c r="AC50" s="879" t="str">
        <v/>
      </c>
      <c r="AD50" s="879" t="str">
        <v/>
      </c>
      <c r="AE50" s="879" t="str">
        <v/>
      </c>
      <c r="AF50" s="879" t="str">
        <v/>
      </c>
      <c r="AG50" s="879" t="str">
        <v/>
      </c>
      <c r="AH50" s="879" t="str">
        <v/>
      </c>
      <c r="AI50" s="879" t="str">
        <v/>
      </c>
      <c r="AJ50" s="879" t="str">
        <v/>
      </c>
      <c r="AK50" s="882">
        <f>IF($X50=0,0,      _xll.qDateNext($X50,AK$12,$AR$11,FRM&lt;&gt;"Calypso",CCY))</f>
        <v>0</v>
      </c>
      <c r="AL50" s="882">
        <f>IF($X50=0,0,      _xll.qDateNext($X50,AL$12,$AR$11,FRM&lt;&gt;"Calypso",CCY))</f>
        <v>0</v>
      </c>
      <c r="AM50" s="882">
        <f>IF($X50=0,0,      _xll.qDateNext($X50,AM$12,$AR$11,FRM&lt;&gt;"Calypso",CCY))</f>
        <v>0</v>
      </c>
      <c r="AN50" s="882">
        <f>IF($X50=0,0,      _xll.qDateNext($X50,AN$12,$AR$11,FRM&lt;&gt;"Calypso",CCY))</f>
        <v>0</v>
      </c>
      <c r="AO50" s="882">
        <f>IF($X50=0,0,      _xll.qDateNext($X50,AO$12,$AR$11,FRM&lt;&gt;"Calypso",CCY))</f>
        <v>0</v>
      </c>
      <c r="AP50" s="882">
        <f>IF($X50=0,0,      _xll.qDateNext($X50,AP$12,$AR$11,FRM&lt;&gt;"Calypso",CCY))</f>
        <v>0</v>
      </c>
      <c r="AQ50" s="882">
        <f>IF($X50=0,0,      _xll.qDateNext($X50,AQ$12,$AR$11,FRM&lt;&gt;"Calypso",CCY))</f>
        <v>0</v>
      </c>
      <c r="AR50" s="882">
        <f>IF($X50=0,0,      _xll.qDateNext($X50,AR$12,$AR$11,FRM&lt;&gt;"Calypso",CCY))</f>
        <v>0</v>
      </c>
      <c r="AS50" s="901">
        <f ca="1"/>
        <v>0</v>
      </c>
      <c r="AT50" s="901">
        <f ca="1"/>
        <v>0</v>
      </c>
      <c r="AU50" s="901">
        <f t="shared" si="11"/>
        <v>0</v>
      </c>
      <c r="AV50" s="901">
        <f ca="1"/>
        <v>0</v>
      </c>
      <c r="AW50" s="901">
        <f t="shared" si="12"/>
        <v>0</v>
      </c>
      <c r="AX50" s="901">
        <f t="shared" si="13"/>
        <v>0</v>
      </c>
      <c r="AY50" s="901">
        <f ca="1"/>
        <v>0</v>
      </c>
      <c r="AZ50" s="901">
        <f ca="1"/>
        <v>0</v>
      </c>
      <c r="BA50" s="905">
        <f t="shared" si="2"/>
        <v>0</v>
      </c>
      <c r="BB50" s="905">
        <f t="shared" si="3"/>
        <v>0</v>
      </c>
      <c r="BC50" s="905">
        <f t="shared" si="4"/>
        <v>0</v>
      </c>
      <c r="BD50" s="905">
        <f t="shared" si="5"/>
        <v>0</v>
      </c>
      <c r="BE50" s="905">
        <f t="shared" si="6"/>
        <v>0</v>
      </c>
      <c r="BF50" s="905">
        <f t="shared" si="7"/>
        <v>0</v>
      </c>
      <c r="BG50" s="905">
        <f t="shared" si="8"/>
        <v>0</v>
      </c>
      <c r="BH50" s="905">
        <f t="shared" si="9"/>
        <v>0</v>
      </c>
      <c r="BI50" s="713">
        <v>0</v>
      </c>
      <c r="BJ50" s="695"/>
      <c r="BK50" s="752">
        <f>IF(X51=0,0,           IF(ISNUMBER(BJ50),BJ50,               IF(ISTEXT(BJ50),INDEX(BA50:BH50,MATCH(BJ50,$BA$12:$BH$12,0)),             IF(BI50="INT",_xll.qInterp(X51,AK50:AR50,BA50:BH50),            INDEX(BA50:BH50,MATCH(BI50,$BA$12:$BH$12,0))))))</f>
        <v>0</v>
      </c>
      <c r="BL50" s="389">
        <f t="shared" si="14"/>
        <v>0</v>
      </c>
      <c r="BM50" s="394">
        <f t="shared" si="15"/>
        <v>0</v>
      </c>
      <c r="BN50" s="389">
        <f t="shared" si="16"/>
        <v>0</v>
      </c>
    </row>
    <row r="51" spans="10:66">
      <c r="J51" s="441"/>
      <c r="P51" s="714">
        <v>0</v>
      </c>
      <c r="Q51" s="715">
        <f t="shared" si="0"/>
        <v>0</v>
      </c>
      <c r="R51" s="712">
        <f>IF(P52,_xll.qDateYears(P51,P52,DCCfixed),0)</f>
        <v>0</v>
      </c>
      <c r="S51" s="519">
        <f ca="1"/>
        <v>0</v>
      </c>
      <c r="T51" s="720"/>
      <c r="U51" s="390">
        <f t="shared" si="10"/>
        <v>0</v>
      </c>
      <c r="X51" s="345">
        <v>0</v>
      </c>
      <c r="Y51" s="711">
        <f t="shared" si="1"/>
        <v>0</v>
      </c>
      <c r="Z51" s="712">
        <f>IF(X52,_xll.qDateYears(X51,X52,DCCfloat),0)</f>
        <v>0</v>
      </c>
      <c r="AA51" s="519">
        <f ca="1"/>
        <v>0</v>
      </c>
      <c r="AB51" s="890">
        <f>IF(X51=0,0,         IF(OR(CCY="AUD",CCY="NZD",CCY="GBP"),X51,   _xll.qDateNext(X51,"-2b",,,IF(CCY="EUR","TGT","LON"))))</f>
        <v>0</v>
      </c>
      <c r="AC51" s="879" t="str">
        <v/>
      </c>
      <c r="AD51" s="879" t="str">
        <v/>
      </c>
      <c r="AE51" s="879" t="str">
        <v/>
      </c>
      <c r="AF51" s="879" t="str">
        <v/>
      </c>
      <c r="AG51" s="879" t="str">
        <v/>
      </c>
      <c r="AH51" s="879" t="str">
        <v/>
      </c>
      <c r="AI51" s="879" t="str">
        <v/>
      </c>
      <c r="AJ51" s="879" t="str">
        <v/>
      </c>
      <c r="AK51" s="882">
        <f>IF($X51=0,0,      _xll.qDateNext($X51,AK$12,$AR$11,FRM&lt;&gt;"Calypso",CCY))</f>
        <v>0</v>
      </c>
      <c r="AL51" s="882">
        <f>IF($X51=0,0,      _xll.qDateNext($X51,AL$12,$AR$11,FRM&lt;&gt;"Calypso",CCY))</f>
        <v>0</v>
      </c>
      <c r="AM51" s="882">
        <f>IF($X51=0,0,      _xll.qDateNext($X51,AM$12,$AR$11,FRM&lt;&gt;"Calypso",CCY))</f>
        <v>0</v>
      </c>
      <c r="AN51" s="882">
        <f>IF($X51=0,0,      _xll.qDateNext($X51,AN$12,$AR$11,FRM&lt;&gt;"Calypso",CCY))</f>
        <v>0</v>
      </c>
      <c r="AO51" s="882">
        <f>IF($X51=0,0,      _xll.qDateNext($X51,AO$12,$AR$11,FRM&lt;&gt;"Calypso",CCY))</f>
        <v>0</v>
      </c>
      <c r="AP51" s="882">
        <f>IF($X51=0,0,      _xll.qDateNext($X51,AP$12,$AR$11,FRM&lt;&gt;"Calypso",CCY))</f>
        <v>0</v>
      </c>
      <c r="AQ51" s="882">
        <f>IF($X51=0,0,      _xll.qDateNext($X51,AQ$12,$AR$11,FRM&lt;&gt;"Calypso",CCY))</f>
        <v>0</v>
      </c>
      <c r="AR51" s="882">
        <f>IF($X51=0,0,      _xll.qDateNext($X51,AR$12,$AR$11,FRM&lt;&gt;"Calypso",CCY))</f>
        <v>0</v>
      </c>
      <c r="AS51" s="901">
        <f ca="1"/>
        <v>0</v>
      </c>
      <c r="AT51" s="901">
        <f ca="1"/>
        <v>0</v>
      </c>
      <c r="AU51" s="901">
        <f t="shared" si="11"/>
        <v>0</v>
      </c>
      <c r="AV51" s="901">
        <f ca="1"/>
        <v>0</v>
      </c>
      <c r="AW51" s="901">
        <f t="shared" si="12"/>
        <v>0</v>
      </c>
      <c r="AX51" s="901">
        <f t="shared" si="13"/>
        <v>0</v>
      </c>
      <c r="AY51" s="901">
        <f ca="1"/>
        <v>0</v>
      </c>
      <c r="AZ51" s="901">
        <f ca="1"/>
        <v>0</v>
      </c>
      <c r="BA51" s="905">
        <f t="shared" si="2"/>
        <v>0</v>
      </c>
      <c r="BB51" s="905">
        <f t="shared" si="3"/>
        <v>0</v>
      </c>
      <c r="BC51" s="905">
        <f t="shared" si="4"/>
        <v>0</v>
      </c>
      <c r="BD51" s="905">
        <f t="shared" si="5"/>
        <v>0</v>
      </c>
      <c r="BE51" s="905">
        <f t="shared" si="6"/>
        <v>0</v>
      </c>
      <c r="BF51" s="905">
        <f t="shared" si="7"/>
        <v>0</v>
      </c>
      <c r="BG51" s="905">
        <f t="shared" si="8"/>
        <v>0</v>
      </c>
      <c r="BH51" s="905">
        <f t="shared" si="9"/>
        <v>0</v>
      </c>
      <c r="BI51" s="713">
        <v>0</v>
      </c>
      <c r="BJ51" s="695"/>
      <c r="BK51" s="752">
        <f>IF(X52=0,0,           IF(ISNUMBER(BJ51),BJ51,               IF(ISTEXT(BJ51),INDEX(BA51:BH51,MATCH(BJ51,$BA$12:$BH$12,0)),             IF(BI51="INT",_xll.qInterp(X52,AK51:AR51,BA51:BH51),            INDEX(BA51:BH51,MATCH(BI51,$BA$12:$BH$12,0))))))</f>
        <v>0</v>
      </c>
      <c r="BL51" s="389">
        <f t="shared" si="14"/>
        <v>0</v>
      </c>
      <c r="BM51" s="394">
        <f t="shared" si="15"/>
        <v>0</v>
      </c>
      <c r="BN51" s="389">
        <f t="shared" si="16"/>
        <v>0</v>
      </c>
    </row>
    <row r="52" spans="10:66">
      <c r="J52" s="441"/>
      <c r="P52" s="714">
        <v>0</v>
      </c>
      <c r="Q52" s="715">
        <f t="shared" si="0"/>
        <v>0</v>
      </c>
      <c r="R52" s="712">
        <f>IF(P53,_xll.qDateYears(P52,P53,DCCfixed),0)</f>
        <v>0</v>
      </c>
      <c r="S52" s="519">
        <f ca="1"/>
        <v>0</v>
      </c>
      <c r="T52" s="720"/>
      <c r="U52" s="390">
        <f t="shared" si="10"/>
        <v>0</v>
      </c>
      <c r="X52" s="345">
        <v>0</v>
      </c>
      <c r="Y52" s="711">
        <f t="shared" si="1"/>
        <v>0</v>
      </c>
      <c r="Z52" s="712">
        <f>IF(X53,_xll.qDateYears(X52,X53,DCCfloat),0)</f>
        <v>0</v>
      </c>
      <c r="AA52" s="519">
        <f ca="1"/>
        <v>0</v>
      </c>
      <c r="AB52" s="890">
        <f>IF(X52=0,0,         IF(OR(CCY="AUD",CCY="NZD",CCY="GBP"),X52,   _xll.qDateNext(X52,"-2b",,,IF(CCY="EUR","TGT","LON"))))</f>
        <v>0</v>
      </c>
      <c r="AC52" s="879" t="str">
        <v/>
      </c>
      <c r="AD52" s="879" t="str">
        <v/>
      </c>
      <c r="AE52" s="879" t="str">
        <v/>
      </c>
      <c r="AF52" s="879" t="str">
        <v/>
      </c>
      <c r="AG52" s="879" t="str">
        <v/>
      </c>
      <c r="AH52" s="879" t="str">
        <v/>
      </c>
      <c r="AI52" s="879" t="str">
        <v/>
      </c>
      <c r="AJ52" s="879" t="str">
        <v/>
      </c>
      <c r="AK52" s="882">
        <f>IF($X52=0,0,      _xll.qDateNext($X52,AK$12,$AR$11,FRM&lt;&gt;"Calypso",CCY))</f>
        <v>0</v>
      </c>
      <c r="AL52" s="882">
        <f>IF($X52=0,0,      _xll.qDateNext($X52,AL$12,$AR$11,FRM&lt;&gt;"Calypso",CCY))</f>
        <v>0</v>
      </c>
      <c r="AM52" s="882">
        <f>IF($X52=0,0,      _xll.qDateNext($X52,AM$12,$AR$11,FRM&lt;&gt;"Calypso",CCY))</f>
        <v>0</v>
      </c>
      <c r="AN52" s="882">
        <f>IF($X52=0,0,      _xll.qDateNext($X52,AN$12,$AR$11,FRM&lt;&gt;"Calypso",CCY))</f>
        <v>0</v>
      </c>
      <c r="AO52" s="882">
        <f>IF($X52=0,0,      _xll.qDateNext($X52,AO$12,$AR$11,FRM&lt;&gt;"Calypso",CCY))</f>
        <v>0</v>
      </c>
      <c r="AP52" s="882">
        <f>IF($X52=0,0,      _xll.qDateNext($X52,AP$12,$AR$11,FRM&lt;&gt;"Calypso",CCY))</f>
        <v>0</v>
      </c>
      <c r="AQ52" s="882">
        <f>IF($X52=0,0,      _xll.qDateNext($X52,AQ$12,$AR$11,FRM&lt;&gt;"Calypso",CCY))</f>
        <v>0</v>
      </c>
      <c r="AR52" s="882">
        <f>IF($X52=0,0,      _xll.qDateNext($X52,AR$12,$AR$11,FRM&lt;&gt;"Calypso",CCY))</f>
        <v>0</v>
      </c>
      <c r="AS52" s="901">
        <f ca="1"/>
        <v>0</v>
      </c>
      <c r="AT52" s="901">
        <f ca="1"/>
        <v>0</v>
      </c>
      <c r="AU52" s="901">
        <f t="shared" si="11"/>
        <v>0</v>
      </c>
      <c r="AV52" s="901">
        <f ca="1"/>
        <v>0</v>
      </c>
      <c r="AW52" s="901">
        <f t="shared" si="12"/>
        <v>0</v>
      </c>
      <c r="AX52" s="901">
        <f t="shared" si="13"/>
        <v>0</v>
      </c>
      <c r="AY52" s="901">
        <f ca="1"/>
        <v>0</v>
      </c>
      <c r="AZ52" s="901">
        <f ca="1"/>
        <v>0</v>
      </c>
      <c r="BA52" s="905">
        <f t="shared" si="2"/>
        <v>0</v>
      </c>
      <c r="BB52" s="905">
        <f t="shared" si="3"/>
        <v>0</v>
      </c>
      <c r="BC52" s="905">
        <f t="shared" si="4"/>
        <v>0</v>
      </c>
      <c r="BD52" s="905">
        <f t="shared" si="5"/>
        <v>0</v>
      </c>
      <c r="BE52" s="905">
        <f t="shared" si="6"/>
        <v>0</v>
      </c>
      <c r="BF52" s="905">
        <f t="shared" si="7"/>
        <v>0</v>
      </c>
      <c r="BG52" s="905">
        <f t="shared" si="8"/>
        <v>0</v>
      </c>
      <c r="BH52" s="905">
        <f t="shared" si="9"/>
        <v>0</v>
      </c>
      <c r="BI52" s="713">
        <v>0</v>
      </c>
      <c r="BJ52" s="695"/>
      <c r="BK52" s="752">
        <f>IF(X53=0,0,           IF(ISNUMBER(BJ52),BJ52,               IF(ISTEXT(BJ52),INDEX(BA52:BH52,MATCH(BJ52,$BA$12:$BH$12,0)),             IF(BI52="INT",_xll.qInterp(X53,AK52:AR52,BA52:BH52),            INDEX(BA52:BH52,MATCH(BI52,$BA$12:$BH$12,0))))))</f>
        <v>0</v>
      </c>
      <c r="BL52" s="389">
        <f t="shared" si="14"/>
        <v>0</v>
      </c>
      <c r="BM52" s="394">
        <f t="shared" si="15"/>
        <v>0</v>
      </c>
      <c r="BN52" s="389">
        <f t="shared" si="16"/>
        <v>0</v>
      </c>
    </row>
    <row r="53" spans="10:66">
      <c r="J53" s="441"/>
      <c r="P53" s="714">
        <v>0</v>
      </c>
      <c r="Q53" s="715">
        <f t="shared" si="0"/>
        <v>0</v>
      </c>
      <c r="R53" s="712">
        <f>IF(P54,_xll.qDateYears(P53,P54,DCCfixed),0)</f>
        <v>0</v>
      </c>
      <c r="S53" s="519">
        <f ca="1"/>
        <v>0</v>
      </c>
      <c r="T53" s="720"/>
      <c r="U53" s="390">
        <f t="shared" si="10"/>
        <v>0</v>
      </c>
      <c r="X53" s="345">
        <v>0</v>
      </c>
      <c r="Y53" s="711">
        <f t="shared" si="1"/>
        <v>0</v>
      </c>
      <c r="Z53" s="712">
        <f>IF(X54,_xll.qDateYears(X53,X54,DCCfloat),0)</f>
        <v>0</v>
      </c>
      <c r="AA53" s="519">
        <f ca="1"/>
        <v>0</v>
      </c>
      <c r="AB53" s="890">
        <f>IF(X53=0,0,         IF(OR(CCY="AUD",CCY="NZD",CCY="GBP"),X53,   _xll.qDateNext(X53,"-2b",,,IF(CCY="EUR","TGT","LON"))))</f>
        <v>0</v>
      </c>
      <c r="AC53" s="879" t="str">
        <v/>
      </c>
      <c r="AD53" s="879" t="str">
        <v/>
      </c>
      <c r="AE53" s="879" t="str">
        <v/>
      </c>
      <c r="AF53" s="879" t="str">
        <v/>
      </c>
      <c r="AG53" s="879" t="str">
        <v/>
      </c>
      <c r="AH53" s="879" t="str">
        <v/>
      </c>
      <c r="AI53" s="879" t="str">
        <v/>
      </c>
      <c r="AJ53" s="879" t="str">
        <v/>
      </c>
      <c r="AK53" s="882">
        <f>IF($X53=0,0,      _xll.qDateNext($X53,AK$12,$AR$11,FRM&lt;&gt;"Calypso",CCY))</f>
        <v>0</v>
      </c>
      <c r="AL53" s="882">
        <f>IF($X53=0,0,      _xll.qDateNext($X53,AL$12,$AR$11,FRM&lt;&gt;"Calypso",CCY))</f>
        <v>0</v>
      </c>
      <c r="AM53" s="882">
        <f>IF($X53=0,0,      _xll.qDateNext($X53,AM$12,$AR$11,FRM&lt;&gt;"Calypso",CCY))</f>
        <v>0</v>
      </c>
      <c r="AN53" s="882">
        <f>IF($X53=0,0,      _xll.qDateNext($X53,AN$12,$AR$11,FRM&lt;&gt;"Calypso",CCY))</f>
        <v>0</v>
      </c>
      <c r="AO53" s="882">
        <f>IF($X53=0,0,      _xll.qDateNext($X53,AO$12,$AR$11,FRM&lt;&gt;"Calypso",CCY))</f>
        <v>0</v>
      </c>
      <c r="AP53" s="882">
        <f>IF($X53=0,0,      _xll.qDateNext($X53,AP$12,$AR$11,FRM&lt;&gt;"Calypso",CCY))</f>
        <v>0</v>
      </c>
      <c r="AQ53" s="882">
        <f>IF($X53=0,0,      _xll.qDateNext($X53,AQ$12,$AR$11,FRM&lt;&gt;"Calypso",CCY))</f>
        <v>0</v>
      </c>
      <c r="AR53" s="882">
        <f>IF($X53=0,0,      _xll.qDateNext($X53,AR$12,$AR$11,FRM&lt;&gt;"Calypso",CCY))</f>
        <v>0</v>
      </c>
      <c r="AS53" s="901">
        <f ca="1"/>
        <v>0</v>
      </c>
      <c r="AT53" s="901">
        <f ca="1"/>
        <v>0</v>
      </c>
      <c r="AU53" s="901">
        <f t="shared" si="11"/>
        <v>0</v>
      </c>
      <c r="AV53" s="901">
        <f ca="1"/>
        <v>0</v>
      </c>
      <c r="AW53" s="901">
        <f t="shared" si="12"/>
        <v>0</v>
      </c>
      <c r="AX53" s="901">
        <f t="shared" si="13"/>
        <v>0</v>
      </c>
      <c r="AY53" s="901">
        <f ca="1"/>
        <v>0</v>
      </c>
      <c r="AZ53" s="901">
        <f ca="1"/>
        <v>0</v>
      </c>
      <c r="BA53" s="905">
        <f t="shared" si="2"/>
        <v>0</v>
      </c>
      <c r="BB53" s="905">
        <f t="shared" si="3"/>
        <v>0</v>
      </c>
      <c r="BC53" s="905">
        <f t="shared" si="4"/>
        <v>0</v>
      </c>
      <c r="BD53" s="905">
        <f t="shared" si="5"/>
        <v>0</v>
      </c>
      <c r="BE53" s="905">
        <f t="shared" si="6"/>
        <v>0</v>
      </c>
      <c r="BF53" s="905">
        <f t="shared" si="7"/>
        <v>0</v>
      </c>
      <c r="BG53" s="905">
        <f t="shared" si="8"/>
        <v>0</v>
      </c>
      <c r="BH53" s="905">
        <f t="shared" si="9"/>
        <v>0</v>
      </c>
      <c r="BI53" s="713">
        <v>0</v>
      </c>
      <c r="BJ53" s="695"/>
      <c r="BK53" s="752">
        <f>IF(X54=0,0,           IF(ISNUMBER(BJ53),BJ53,               IF(ISTEXT(BJ53),INDEX(BA53:BH53,MATCH(BJ53,$BA$12:$BH$12,0)),             IF(BI53="INT",_xll.qInterp(X54,AK53:AR53,BA53:BH53),            INDEX(BA53:BH53,MATCH(BI53,$BA$12:$BH$12,0))))))</f>
        <v>0</v>
      </c>
      <c r="BL53" s="389">
        <f t="shared" si="14"/>
        <v>0</v>
      </c>
      <c r="BM53" s="394">
        <f t="shared" si="15"/>
        <v>0</v>
      </c>
      <c r="BN53" s="389">
        <f t="shared" si="16"/>
        <v>0</v>
      </c>
    </row>
    <row r="54" spans="10:66">
      <c r="J54" s="441"/>
      <c r="P54" s="714">
        <v>0</v>
      </c>
      <c r="Q54" s="715">
        <f t="shared" si="0"/>
        <v>0</v>
      </c>
      <c r="R54" s="712">
        <f>IF(P55,_xll.qDateYears(P54,P55,DCCfixed),0)</f>
        <v>0</v>
      </c>
      <c r="S54" s="519">
        <f ca="1"/>
        <v>0</v>
      </c>
      <c r="T54" s="720"/>
      <c r="U54" s="390">
        <f t="shared" si="10"/>
        <v>0</v>
      </c>
      <c r="X54" s="345">
        <v>0</v>
      </c>
      <c r="Y54" s="711">
        <f t="shared" si="1"/>
        <v>0</v>
      </c>
      <c r="Z54" s="712">
        <f>IF(X55,_xll.qDateYears(X54,X55,DCCfloat),0)</f>
        <v>0</v>
      </c>
      <c r="AA54" s="519">
        <f ca="1"/>
        <v>0</v>
      </c>
      <c r="AB54" s="890">
        <f>IF(X54=0,0,         IF(OR(CCY="AUD",CCY="NZD",CCY="GBP"),X54,   _xll.qDateNext(X54,"-2b",,,IF(CCY="EUR","TGT","LON"))))</f>
        <v>0</v>
      </c>
      <c r="AC54" s="879" t="str">
        <v/>
      </c>
      <c r="AD54" s="879" t="str">
        <v/>
      </c>
      <c r="AE54" s="879" t="str">
        <v/>
      </c>
      <c r="AF54" s="879" t="str">
        <v/>
      </c>
      <c r="AG54" s="879" t="str">
        <v/>
      </c>
      <c r="AH54" s="879" t="str">
        <v/>
      </c>
      <c r="AI54" s="879" t="str">
        <v/>
      </c>
      <c r="AJ54" s="879" t="str">
        <v/>
      </c>
      <c r="AK54" s="882">
        <f>IF($X54=0,0,      _xll.qDateNext($X54,AK$12,$AR$11,FRM&lt;&gt;"Calypso",CCY))</f>
        <v>0</v>
      </c>
      <c r="AL54" s="882">
        <f>IF($X54=0,0,      _xll.qDateNext($X54,AL$12,$AR$11,FRM&lt;&gt;"Calypso",CCY))</f>
        <v>0</v>
      </c>
      <c r="AM54" s="882">
        <f>IF($X54=0,0,      _xll.qDateNext($X54,AM$12,$AR$11,FRM&lt;&gt;"Calypso",CCY))</f>
        <v>0</v>
      </c>
      <c r="AN54" s="882">
        <f>IF($X54=0,0,      _xll.qDateNext($X54,AN$12,$AR$11,FRM&lt;&gt;"Calypso",CCY))</f>
        <v>0</v>
      </c>
      <c r="AO54" s="882">
        <f>IF($X54=0,0,      _xll.qDateNext($X54,AO$12,$AR$11,FRM&lt;&gt;"Calypso",CCY))</f>
        <v>0</v>
      </c>
      <c r="AP54" s="882">
        <f>IF($X54=0,0,      _xll.qDateNext($X54,AP$12,$AR$11,FRM&lt;&gt;"Calypso",CCY))</f>
        <v>0</v>
      </c>
      <c r="AQ54" s="882">
        <f>IF($X54=0,0,      _xll.qDateNext($X54,AQ$12,$AR$11,FRM&lt;&gt;"Calypso",CCY))</f>
        <v>0</v>
      </c>
      <c r="AR54" s="882">
        <f>IF($X54=0,0,      _xll.qDateNext($X54,AR$12,$AR$11,FRM&lt;&gt;"Calypso",CCY))</f>
        <v>0</v>
      </c>
      <c r="AS54" s="901">
        <f ca="1"/>
        <v>0</v>
      </c>
      <c r="AT54" s="901">
        <f ca="1"/>
        <v>0</v>
      </c>
      <c r="AU54" s="901">
        <f t="shared" si="11"/>
        <v>0</v>
      </c>
      <c r="AV54" s="901">
        <f ca="1"/>
        <v>0</v>
      </c>
      <c r="AW54" s="901">
        <f t="shared" si="12"/>
        <v>0</v>
      </c>
      <c r="AX54" s="901">
        <f t="shared" si="13"/>
        <v>0</v>
      </c>
      <c r="AY54" s="901">
        <f ca="1"/>
        <v>0</v>
      </c>
      <c r="AZ54" s="901">
        <f ca="1"/>
        <v>0</v>
      </c>
      <c r="BA54" s="905">
        <f t="shared" si="2"/>
        <v>0</v>
      </c>
      <c r="BB54" s="905">
        <f t="shared" si="3"/>
        <v>0</v>
      </c>
      <c r="BC54" s="905">
        <f t="shared" si="4"/>
        <v>0</v>
      </c>
      <c r="BD54" s="905">
        <f t="shared" si="5"/>
        <v>0</v>
      </c>
      <c r="BE54" s="905">
        <f t="shared" si="6"/>
        <v>0</v>
      </c>
      <c r="BF54" s="905">
        <f t="shared" si="7"/>
        <v>0</v>
      </c>
      <c r="BG54" s="905">
        <f t="shared" si="8"/>
        <v>0</v>
      </c>
      <c r="BH54" s="905">
        <f t="shared" si="9"/>
        <v>0</v>
      </c>
      <c r="BI54" s="713">
        <v>0</v>
      </c>
      <c r="BJ54" s="695"/>
      <c r="BK54" s="752">
        <f>IF(X55=0,0,           IF(ISNUMBER(BJ54),BJ54,               IF(ISTEXT(BJ54),INDEX(BA54:BH54,MATCH(BJ54,$BA$12:$BH$12,0)),             IF(BI54="INT",_xll.qInterp(X55,AK54:AR54,BA54:BH54),            INDEX(BA54:BH54,MATCH(BI54,$BA$12:$BH$12,0))))))</f>
        <v>0</v>
      </c>
      <c r="BL54" s="389">
        <f t="shared" si="14"/>
        <v>0</v>
      </c>
      <c r="BM54" s="394">
        <f t="shared" si="15"/>
        <v>0</v>
      </c>
      <c r="BN54" s="389">
        <f t="shared" si="16"/>
        <v>0</v>
      </c>
    </row>
    <row r="55" spans="10:66">
      <c r="J55" s="441"/>
      <c r="P55" s="714">
        <v>0</v>
      </c>
      <c r="Q55" s="715">
        <f t="shared" si="0"/>
        <v>0</v>
      </c>
      <c r="R55" s="712">
        <f>IF(P56,_xll.qDateYears(P55,P56,DCCfixed),0)</f>
        <v>0</v>
      </c>
      <c r="S55" s="519">
        <f ca="1"/>
        <v>0</v>
      </c>
      <c r="T55" s="720"/>
      <c r="U55" s="390">
        <f t="shared" si="10"/>
        <v>0</v>
      </c>
      <c r="X55" s="345">
        <v>0</v>
      </c>
      <c r="Y55" s="711">
        <f t="shared" si="1"/>
        <v>0</v>
      </c>
      <c r="Z55" s="712">
        <f>IF(X56,_xll.qDateYears(X55,X56,DCCfloat),0)</f>
        <v>0</v>
      </c>
      <c r="AA55" s="519">
        <f ca="1"/>
        <v>0</v>
      </c>
      <c r="AB55" s="890">
        <f>IF(X55=0,0,         IF(OR(CCY="AUD",CCY="NZD",CCY="GBP"),X55,   _xll.qDateNext(X55,"-2b",,,IF(CCY="EUR","TGT","LON"))))</f>
        <v>0</v>
      </c>
      <c r="AC55" s="879" t="str">
        <v/>
      </c>
      <c r="AD55" s="879" t="str">
        <v/>
      </c>
      <c r="AE55" s="879" t="str">
        <v/>
      </c>
      <c r="AF55" s="879" t="str">
        <v/>
      </c>
      <c r="AG55" s="879" t="str">
        <v/>
      </c>
      <c r="AH55" s="879" t="str">
        <v/>
      </c>
      <c r="AI55" s="879" t="str">
        <v/>
      </c>
      <c r="AJ55" s="879" t="str">
        <v/>
      </c>
      <c r="AK55" s="882">
        <f>IF($X55=0,0,      _xll.qDateNext($X55,AK$12,$AR$11,FRM&lt;&gt;"Calypso",CCY))</f>
        <v>0</v>
      </c>
      <c r="AL55" s="882">
        <f>IF($X55=0,0,      _xll.qDateNext($X55,AL$12,$AR$11,FRM&lt;&gt;"Calypso",CCY))</f>
        <v>0</v>
      </c>
      <c r="AM55" s="882">
        <f>IF($X55=0,0,      _xll.qDateNext($X55,AM$12,$AR$11,FRM&lt;&gt;"Calypso",CCY))</f>
        <v>0</v>
      </c>
      <c r="AN55" s="882">
        <f>IF($X55=0,0,      _xll.qDateNext($X55,AN$12,$AR$11,FRM&lt;&gt;"Calypso",CCY))</f>
        <v>0</v>
      </c>
      <c r="AO55" s="882">
        <f>IF($X55=0,0,      _xll.qDateNext($X55,AO$12,$AR$11,FRM&lt;&gt;"Calypso",CCY))</f>
        <v>0</v>
      </c>
      <c r="AP55" s="882">
        <f>IF($X55=0,0,      _xll.qDateNext($X55,AP$12,$AR$11,FRM&lt;&gt;"Calypso",CCY))</f>
        <v>0</v>
      </c>
      <c r="AQ55" s="882">
        <f>IF($X55=0,0,      _xll.qDateNext($X55,AQ$12,$AR$11,FRM&lt;&gt;"Calypso",CCY))</f>
        <v>0</v>
      </c>
      <c r="AR55" s="882">
        <f>IF($X55=0,0,      _xll.qDateNext($X55,AR$12,$AR$11,FRM&lt;&gt;"Calypso",CCY))</f>
        <v>0</v>
      </c>
      <c r="AS55" s="901">
        <f ca="1"/>
        <v>0</v>
      </c>
      <c r="AT55" s="901">
        <f ca="1"/>
        <v>0</v>
      </c>
      <c r="AU55" s="901">
        <f t="shared" si="11"/>
        <v>0</v>
      </c>
      <c r="AV55" s="901">
        <f ca="1"/>
        <v>0</v>
      </c>
      <c r="AW55" s="901">
        <f t="shared" si="12"/>
        <v>0</v>
      </c>
      <c r="AX55" s="901">
        <f t="shared" si="13"/>
        <v>0</v>
      </c>
      <c r="AY55" s="901">
        <f ca="1"/>
        <v>0</v>
      </c>
      <c r="AZ55" s="901">
        <f ca="1"/>
        <v>0</v>
      </c>
      <c r="BA55" s="905">
        <f t="shared" si="2"/>
        <v>0</v>
      </c>
      <c r="BB55" s="905">
        <f t="shared" si="3"/>
        <v>0</v>
      </c>
      <c r="BC55" s="905">
        <f t="shared" si="4"/>
        <v>0</v>
      </c>
      <c r="BD55" s="905">
        <f t="shared" si="5"/>
        <v>0</v>
      </c>
      <c r="BE55" s="905">
        <f t="shared" si="6"/>
        <v>0</v>
      </c>
      <c r="BF55" s="905">
        <f t="shared" si="7"/>
        <v>0</v>
      </c>
      <c r="BG55" s="905">
        <f t="shared" si="8"/>
        <v>0</v>
      </c>
      <c r="BH55" s="905">
        <f t="shared" si="9"/>
        <v>0</v>
      </c>
      <c r="BI55" s="713">
        <v>0</v>
      </c>
      <c r="BJ55" s="695"/>
      <c r="BK55" s="752">
        <f>IF(X56=0,0,           IF(ISNUMBER(BJ55),BJ55,               IF(ISTEXT(BJ55),INDEX(BA55:BH55,MATCH(BJ55,$BA$12:$BH$12,0)),             IF(BI55="INT",_xll.qInterp(X56,AK55:AR55,BA55:BH55),            INDEX(BA55:BH55,MATCH(BI55,$BA$12:$BH$12,0))))))</f>
        <v>0</v>
      </c>
      <c r="BL55" s="389">
        <f t="shared" si="14"/>
        <v>0</v>
      </c>
      <c r="BM55" s="394">
        <f t="shared" si="15"/>
        <v>0</v>
      </c>
      <c r="BN55" s="389">
        <f t="shared" si="16"/>
        <v>0</v>
      </c>
    </row>
    <row r="56" spans="10:66">
      <c r="J56" s="441"/>
      <c r="P56" s="714">
        <v>0</v>
      </c>
      <c r="Q56" s="715">
        <f t="shared" si="0"/>
        <v>0</v>
      </c>
      <c r="R56" s="712">
        <f>IF(P57,_xll.qDateYears(P56,P57,DCCfixed),0)</f>
        <v>0</v>
      </c>
      <c r="S56" s="519">
        <f ca="1"/>
        <v>0</v>
      </c>
      <c r="T56" s="720"/>
      <c r="U56" s="390">
        <f t="shared" si="10"/>
        <v>0</v>
      </c>
      <c r="X56" s="345">
        <v>0</v>
      </c>
      <c r="Y56" s="711">
        <f t="shared" si="1"/>
        <v>0</v>
      </c>
      <c r="Z56" s="712">
        <f>IF(X57,_xll.qDateYears(X56,X57,DCCfloat),0)</f>
        <v>0</v>
      </c>
      <c r="AA56" s="519">
        <f ca="1"/>
        <v>0</v>
      </c>
      <c r="AB56" s="890">
        <f>IF(X56=0,0,         IF(OR(CCY="AUD",CCY="NZD",CCY="GBP"),X56,   _xll.qDateNext(X56,"-2b",,,IF(CCY="EUR","TGT","LON"))))</f>
        <v>0</v>
      </c>
      <c r="AC56" s="879" t="str">
        <v/>
      </c>
      <c r="AD56" s="879" t="str">
        <v/>
      </c>
      <c r="AE56" s="879" t="str">
        <v/>
      </c>
      <c r="AF56" s="879" t="str">
        <v/>
      </c>
      <c r="AG56" s="879" t="str">
        <v/>
      </c>
      <c r="AH56" s="879" t="str">
        <v/>
      </c>
      <c r="AI56" s="879" t="str">
        <v/>
      </c>
      <c r="AJ56" s="879" t="str">
        <v/>
      </c>
      <c r="AK56" s="882">
        <f>IF($X56=0,0,      _xll.qDateNext($X56,AK$12,$AR$11,FRM&lt;&gt;"Calypso",CCY))</f>
        <v>0</v>
      </c>
      <c r="AL56" s="882">
        <f>IF($X56=0,0,      _xll.qDateNext($X56,AL$12,$AR$11,FRM&lt;&gt;"Calypso",CCY))</f>
        <v>0</v>
      </c>
      <c r="AM56" s="882">
        <f>IF($X56=0,0,      _xll.qDateNext($X56,AM$12,$AR$11,FRM&lt;&gt;"Calypso",CCY))</f>
        <v>0</v>
      </c>
      <c r="AN56" s="882">
        <f>IF($X56=0,0,      _xll.qDateNext($X56,AN$12,$AR$11,FRM&lt;&gt;"Calypso",CCY))</f>
        <v>0</v>
      </c>
      <c r="AO56" s="882">
        <f>IF($X56=0,0,      _xll.qDateNext($X56,AO$12,$AR$11,FRM&lt;&gt;"Calypso",CCY))</f>
        <v>0</v>
      </c>
      <c r="AP56" s="882">
        <f>IF($X56=0,0,      _xll.qDateNext($X56,AP$12,$AR$11,FRM&lt;&gt;"Calypso",CCY))</f>
        <v>0</v>
      </c>
      <c r="AQ56" s="882">
        <f>IF($X56=0,0,      _xll.qDateNext($X56,AQ$12,$AR$11,FRM&lt;&gt;"Calypso",CCY))</f>
        <v>0</v>
      </c>
      <c r="AR56" s="882">
        <f>IF($X56=0,0,      _xll.qDateNext($X56,AR$12,$AR$11,FRM&lt;&gt;"Calypso",CCY))</f>
        <v>0</v>
      </c>
      <c r="AS56" s="901">
        <f ca="1"/>
        <v>0</v>
      </c>
      <c r="AT56" s="901">
        <f ca="1"/>
        <v>0</v>
      </c>
      <c r="AU56" s="901">
        <f t="shared" si="11"/>
        <v>0</v>
      </c>
      <c r="AV56" s="901">
        <f ca="1"/>
        <v>0</v>
      </c>
      <c r="AW56" s="901">
        <f t="shared" si="12"/>
        <v>0</v>
      </c>
      <c r="AX56" s="901">
        <f t="shared" si="13"/>
        <v>0</v>
      </c>
      <c r="AY56" s="901">
        <f ca="1"/>
        <v>0</v>
      </c>
      <c r="AZ56" s="901">
        <f ca="1"/>
        <v>0</v>
      </c>
      <c r="BA56" s="905">
        <f t="shared" si="2"/>
        <v>0</v>
      </c>
      <c r="BB56" s="905">
        <f t="shared" si="3"/>
        <v>0</v>
      </c>
      <c r="BC56" s="905">
        <f t="shared" si="4"/>
        <v>0</v>
      </c>
      <c r="BD56" s="905">
        <f t="shared" si="5"/>
        <v>0</v>
      </c>
      <c r="BE56" s="905">
        <f t="shared" si="6"/>
        <v>0</v>
      </c>
      <c r="BF56" s="905">
        <f t="shared" si="7"/>
        <v>0</v>
      </c>
      <c r="BG56" s="905">
        <f t="shared" si="8"/>
        <v>0</v>
      </c>
      <c r="BH56" s="905">
        <f t="shared" si="9"/>
        <v>0</v>
      </c>
      <c r="BI56" s="713">
        <v>0</v>
      </c>
      <c r="BJ56" s="695"/>
      <c r="BK56" s="752">
        <f>IF(X57=0,0,           IF(ISNUMBER(BJ56),BJ56,               IF(ISTEXT(BJ56),INDEX(BA56:BH56,MATCH(BJ56,$BA$12:$BH$12,0)),             IF(BI56="INT",_xll.qInterp(X57,AK56:AR56,BA56:BH56),            INDEX(BA56:BH56,MATCH(BI56,$BA$12:$BH$12,0))))))</f>
        <v>0</v>
      </c>
      <c r="BL56" s="389">
        <f t="shared" si="14"/>
        <v>0</v>
      </c>
      <c r="BM56" s="394">
        <f t="shared" si="15"/>
        <v>0</v>
      </c>
      <c r="BN56" s="389">
        <f t="shared" si="16"/>
        <v>0</v>
      </c>
    </row>
    <row r="57" spans="10:66">
      <c r="J57" s="441"/>
      <c r="P57" s="714">
        <v>0</v>
      </c>
      <c r="Q57" s="715">
        <f t="shared" si="0"/>
        <v>0</v>
      </c>
      <c r="R57" s="712">
        <f>IF(P58,_xll.qDateYears(P57,P58,DCCfixed),0)</f>
        <v>0</v>
      </c>
      <c r="S57" s="519">
        <f ca="1"/>
        <v>0</v>
      </c>
      <c r="T57" s="720"/>
      <c r="U57" s="390">
        <f t="shared" si="10"/>
        <v>0</v>
      </c>
      <c r="X57" s="345">
        <v>0</v>
      </c>
      <c r="Y57" s="711">
        <f t="shared" si="1"/>
        <v>0</v>
      </c>
      <c r="Z57" s="712">
        <f>IF(X58,_xll.qDateYears(X57,X58,DCCfloat),0)</f>
        <v>0</v>
      </c>
      <c r="AA57" s="519">
        <f ca="1"/>
        <v>0</v>
      </c>
      <c r="AB57" s="890">
        <f>IF(X57=0,0,         IF(OR(CCY="AUD",CCY="NZD",CCY="GBP"),X57,   _xll.qDateNext(X57,"-2b",,,IF(CCY="EUR","TGT","LON"))))</f>
        <v>0</v>
      </c>
      <c r="AC57" s="879" t="str">
        <v/>
      </c>
      <c r="AD57" s="879" t="str">
        <v/>
      </c>
      <c r="AE57" s="879" t="str">
        <v/>
      </c>
      <c r="AF57" s="879" t="str">
        <v/>
      </c>
      <c r="AG57" s="879" t="str">
        <v/>
      </c>
      <c r="AH57" s="879" t="str">
        <v/>
      </c>
      <c r="AI57" s="879" t="str">
        <v/>
      </c>
      <c r="AJ57" s="879" t="str">
        <v/>
      </c>
      <c r="AK57" s="882">
        <f>IF($X57=0,0,      _xll.qDateNext($X57,AK$12,$AR$11,FRM&lt;&gt;"Calypso",CCY))</f>
        <v>0</v>
      </c>
      <c r="AL57" s="882">
        <f>IF($X57=0,0,      _xll.qDateNext($X57,AL$12,$AR$11,FRM&lt;&gt;"Calypso",CCY))</f>
        <v>0</v>
      </c>
      <c r="AM57" s="882">
        <f>IF($X57=0,0,      _xll.qDateNext($X57,AM$12,$AR$11,FRM&lt;&gt;"Calypso",CCY))</f>
        <v>0</v>
      </c>
      <c r="AN57" s="882">
        <f>IF($X57=0,0,      _xll.qDateNext($X57,AN$12,$AR$11,FRM&lt;&gt;"Calypso",CCY))</f>
        <v>0</v>
      </c>
      <c r="AO57" s="882">
        <f>IF($X57=0,0,      _xll.qDateNext($X57,AO$12,$AR$11,FRM&lt;&gt;"Calypso",CCY))</f>
        <v>0</v>
      </c>
      <c r="AP57" s="882">
        <f>IF($X57=0,0,      _xll.qDateNext($X57,AP$12,$AR$11,FRM&lt;&gt;"Calypso",CCY))</f>
        <v>0</v>
      </c>
      <c r="AQ57" s="882">
        <f>IF($X57=0,0,      _xll.qDateNext($X57,AQ$12,$AR$11,FRM&lt;&gt;"Calypso",CCY))</f>
        <v>0</v>
      </c>
      <c r="AR57" s="882">
        <f>IF($X57=0,0,      _xll.qDateNext($X57,AR$12,$AR$11,FRM&lt;&gt;"Calypso",CCY))</f>
        <v>0</v>
      </c>
      <c r="AS57" s="901">
        <f ca="1"/>
        <v>0</v>
      </c>
      <c r="AT57" s="901">
        <f ca="1"/>
        <v>0</v>
      </c>
      <c r="AU57" s="901">
        <f t="shared" si="11"/>
        <v>0</v>
      </c>
      <c r="AV57" s="901">
        <f ca="1"/>
        <v>0</v>
      </c>
      <c r="AW57" s="901">
        <f t="shared" si="12"/>
        <v>0</v>
      </c>
      <c r="AX57" s="901">
        <f t="shared" si="13"/>
        <v>0</v>
      </c>
      <c r="AY57" s="901">
        <f ca="1"/>
        <v>0</v>
      </c>
      <c r="AZ57" s="901">
        <f ca="1"/>
        <v>0</v>
      </c>
      <c r="BA57" s="905">
        <f t="shared" si="2"/>
        <v>0</v>
      </c>
      <c r="BB57" s="905">
        <f t="shared" si="3"/>
        <v>0</v>
      </c>
      <c r="BC57" s="905">
        <f t="shared" si="4"/>
        <v>0</v>
      </c>
      <c r="BD57" s="905">
        <f t="shared" si="5"/>
        <v>0</v>
      </c>
      <c r="BE57" s="905">
        <f t="shared" si="6"/>
        <v>0</v>
      </c>
      <c r="BF57" s="905">
        <f t="shared" si="7"/>
        <v>0</v>
      </c>
      <c r="BG57" s="905">
        <f t="shared" si="8"/>
        <v>0</v>
      </c>
      <c r="BH57" s="905">
        <f t="shared" si="9"/>
        <v>0</v>
      </c>
      <c r="BI57" s="713">
        <v>0</v>
      </c>
      <c r="BJ57" s="695"/>
      <c r="BK57" s="752">
        <f>IF(X58=0,0,           IF(ISNUMBER(BJ57),BJ57,               IF(ISTEXT(BJ57),INDEX(BA57:BH57,MATCH(BJ57,$BA$12:$BH$12,0)),             IF(BI57="INT",_xll.qInterp(X58,AK57:AR57,BA57:BH57),            INDEX(BA57:BH57,MATCH(BI57,$BA$12:$BH$12,0))))))</f>
        <v>0</v>
      </c>
      <c r="BL57" s="389">
        <f t="shared" si="14"/>
        <v>0</v>
      </c>
      <c r="BM57" s="394">
        <f t="shared" si="15"/>
        <v>0</v>
      </c>
      <c r="BN57" s="389">
        <f t="shared" si="16"/>
        <v>0</v>
      </c>
    </row>
    <row r="58" spans="10:66">
      <c r="J58" s="441"/>
      <c r="P58" s="714">
        <v>0</v>
      </c>
      <c r="Q58" s="715">
        <f t="shared" si="0"/>
        <v>0</v>
      </c>
      <c r="R58" s="712">
        <f>IF(P59,_xll.qDateYears(P58,P59,DCCfixed),0)</f>
        <v>0</v>
      </c>
      <c r="S58" s="519">
        <f ca="1"/>
        <v>0</v>
      </c>
      <c r="T58" s="720"/>
      <c r="U58" s="390">
        <f t="shared" si="10"/>
        <v>0</v>
      </c>
      <c r="X58" s="345">
        <v>0</v>
      </c>
      <c r="Y58" s="711">
        <f t="shared" si="1"/>
        <v>0</v>
      </c>
      <c r="Z58" s="712">
        <f>IF(X59,_xll.qDateYears(X58,X59,DCCfloat),0)</f>
        <v>0</v>
      </c>
      <c r="AA58" s="519">
        <f ca="1"/>
        <v>0</v>
      </c>
      <c r="AB58" s="890">
        <f>IF(X58=0,0,         IF(OR(CCY="AUD",CCY="NZD",CCY="GBP"),X58,   _xll.qDateNext(X58,"-2b",,,IF(CCY="EUR","TGT","LON"))))</f>
        <v>0</v>
      </c>
      <c r="AC58" s="879" t="str">
        <v/>
      </c>
      <c r="AD58" s="879" t="str">
        <v/>
      </c>
      <c r="AE58" s="879" t="str">
        <v/>
      </c>
      <c r="AF58" s="879" t="str">
        <v/>
      </c>
      <c r="AG58" s="879" t="str">
        <v/>
      </c>
      <c r="AH58" s="879" t="str">
        <v/>
      </c>
      <c r="AI58" s="879" t="str">
        <v/>
      </c>
      <c r="AJ58" s="879" t="str">
        <v/>
      </c>
      <c r="AK58" s="882">
        <f>IF($X58=0,0,      _xll.qDateNext($X58,AK$12,$AR$11,FRM&lt;&gt;"Calypso",CCY))</f>
        <v>0</v>
      </c>
      <c r="AL58" s="882">
        <f>IF($X58=0,0,      _xll.qDateNext($X58,AL$12,$AR$11,FRM&lt;&gt;"Calypso",CCY))</f>
        <v>0</v>
      </c>
      <c r="AM58" s="882">
        <f>IF($X58=0,0,      _xll.qDateNext($X58,AM$12,$AR$11,FRM&lt;&gt;"Calypso",CCY))</f>
        <v>0</v>
      </c>
      <c r="AN58" s="882">
        <f>IF($X58=0,0,      _xll.qDateNext($X58,AN$12,$AR$11,FRM&lt;&gt;"Calypso",CCY))</f>
        <v>0</v>
      </c>
      <c r="AO58" s="882">
        <f>IF($X58=0,0,      _xll.qDateNext($X58,AO$12,$AR$11,FRM&lt;&gt;"Calypso",CCY))</f>
        <v>0</v>
      </c>
      <c r="AP58" s="882">
        <f>IF($X58=0,0,      _xll.qDateNext($X58,AP$12,$AR$11,FRM&lt;&gt;"Calypso",CCY))</f>
        <v>0</v>
      </c>
      <c r="AQ58" s="882">
        <f>IF($X58=0,0,      _xll.qDateNext($X58,AQ$12,$AR$11,FRM&lt;&gt;"Calypso",CCY))</f>
        <v>0</v>
      </c>
      <c r="AR58" s="882">
        <f>IF($X58=0,0,      _xll.qDateNext($X58,AR$12,$AR$11,FRM&lt;&gt;"Calypso",CCY))</f>
        <v>0</v>
      </c>
      <c r="AS58" s="901">
        <f ca="1"/>
        <v>0</v>
      </c>
      <c r="AT58" s="901">
        <f ca="1"/>
        <v>0</v>
      </c>
      <c r="AU58" s="901">
        <f t="shared" si="11"/>
        <v>0</v>
      </c>
      <c r="AV58" s="901">
        <f ca="1"/>
        <v>0</v>
      </c>
      <c r="AW58" s="901">
        <f t="shared" si="12"/>
        <v>0</v>
      </c>
      <c r="AX58" s="901">
        <f t="shared" si="13"/>
        <v>0</v>
      </c>
      <c r="AY58" s="901">
        <f ca="1"/>
        <v>0</v>
      </c>
      <c r="AZ58" s="901">
        <f ca="1"/>
        <v>0</v>
      </c>
      <c r="BA58" s="905">
        <f t="shared" si="2"/>
        <v>0</v>
      </c>
      <c r="BB58" s="905">
        <f t="shared" si="3"/>
        <v>0</v>
      </c>
      <c r="BC58" s="905">
        <f t="shared" si="4"/>
        <v>0</v>
      </c>
      <c r="BD58" s="905">
        <f t="shared" si="5"/>
        <v>0</v>
      </c>
      <c r="BE58" s="905">
        <f t="shared" si="6"/>
        <v>0</v>
      </c>
      <c r="BF58" s="905">
        <f t="shared" si="7"/>
        <v>0</v>
      </c>
      <c r="BG58" s="905">
        <f t="shared" si="8"/>
        <v>0</v>
      </c>
      <c r="BH58" s="905">
        <f t="shared" si="9"/>
        <v>0</v>
      </c>
      <c r="BI58" s="713">
        <v>0</v>
      </c>
      <c r="BJ58" s="695"/>
      <c r="BK58" s="752">
        <f>IF(X59=0,0,           IF(ISNUMBER(BJ58),BJ58,               IF(ISTEXT(BJ58),INDEX(BA58:BH58,MATCH(BJ58,$BA$12:$BH$12,0)),             IF(BI58="INT",_xll.qInterp(X59,AK58:AR58,BA58:BH58),            INDEX(BA58:BH58,MATCH(BI58,$BA$12:$BH$12,0))))))</f>
        <v>0</v>
      </c>
      <c r="BL58" s="389">
        <f t="shared" si="14"/>
        <v>0</v>
      </c>
      <c r="BM58" s="394">
        <f t="shared" si="15"/>
        <v>0</v>
      </c>
      <c r="BN58" s="389">
        <f t="shared" si="16"/>
        <v>0</v>
      </c>
    </row>
    <row r="59" spans="10:66">
      <c r="J59" s="441"/>
      <c r="P59" s="714">
        <v>0</v>
      </c>
      <c r="Q59" s="715">
        <f t="shared" si="0"/>
        <v>0</v>
      </c>
      <c r="R59" s="712">
        <f>IF(P60,_xll.qDateYears(P59,P60,DCCfixed),0)</f>
        <v>0</v>
      </c>
      <c r="S59" s="519">
        <f ca="1"/>
        <v>0</v>
      </c>
      <c r="T59" s="720"/>
      <c r="U59" s="390">
        <f t="shared" si="10"/>
        <v>0</v>
      </c>
      <c r="X59" s="345">
        <v>0</v>
      </c>
      <c r="Y59" s="711">
        <f t="shared" si="1"/>
        <v>0</v>
      </c>
      <c r="Z59" s="712">
        <f>IF(X60,_xll.qDateYears(X59,X60,DCCfloat),0)</f>
        <v>0</v>
      </c>
      <c r="AA59" s="519">
        <f ca="1"/>
        <v>0</v>
      </c>
      <c r="AB59" s="890">
        <f>IF(X59=0,0,         IF(OR(CCY="AUD",CCY="NZD",CCY="GBP"),X59,   _xll.qDateNext(X59,"-2b",,,IF(CCY="EUR","TGT","LON"))))</f>
        <v>0</v>
      </c>
      <c r="AC59" s="879" t="str">
        <v/>
      </c>
      <c r="AD59" s="879" t="str">
        <v/>
      </c>
      <c r="AE59" s="879" t="str">
        <v/>
      </c>
      <c r="AF59" s="879" t="str">
        <v/>
      </c>
      <c r="AG59" s="879" t="str">
        <v/>
      </c>
      <c r="AH59" s="879" t="str">
        <v/>
      </c>
      <c r="AI59" s="879" t="str">
        <v/>
      </c>
      <c r="AJ59" s="879" t="str">
        <v/>
      </c>
      <c r="AK59" s="882">
        <f>IF($X59=0,0,      _xll.qDateNext($X59,AK$12,$AR$11,FRM&lt;&gt;"Calypso",CCY))</f>
        <v>0</v>
      </c>
      <c r="AL59" s="882">
        <f>IF($X59=0,0,      _xll.qDateNext($X59,AL$12,$AR$11,FRM&lt;&gt;"Calypso",CCY))</f>
        <v>0</v>
      </c>
      <c r="AM59" s="882">
        <f>IF($X59=0,0,      _xll.qDateNext($X59,AM$12,$AR$11,FRM&lt;&gt;"Calypso",CCY))</f>
        <v>0</v>
      </c>
      <c r="AN59" s="882">
        <f>IF($X59=0,0,      _xll.qDateNext($X59,AN$12,$AR$11,FRM&lt;&gt;"Calypso",CCY))</f>
        <v>0</v>
      </c>
      <c r="AO59" s="882">
        <f>IF($X59=0,0,      _xll.qDateNext($X59,AO$12,$AR$11,FRM&lt;&gt;"Calypso",CCY))</f>
        <v>0</v>
      </c>
      <c r="AP59" s="882">
        <f>IF($X59=0,0,      _xll.qDateNext($X59,AP$12,$AR$11,FRM&lt;&gt;"Calypso",CCY))</f>
        <v>0</v>
      </c>
      <c r="AQ59" s="882">
        <f>IF($X59=0,0,      _xll.qDateNext($X59,AQ$12,$AR$11,FRM&lt;&gt;"Calypso",CCY))</f>
        <v>0</v>
      </c>
      <c r="AR59" s="882">
        <f>IF($X59=0,0,      _xll.qDateNext($X59,AR$12,$AR$11,FRM&lt;&gt;"Calypso",CCY))</f>
        <v>0</v>
      </c>
      <c r="AS59" s="901">
        <f ca="1"/>
        <v>0</v>
      </c>
      <c r="AT59" s="901">
        <f ca="1"/>
        <v>0</v>
      </c>
      <c r="AU59" s="901">
        <f t="shared" si="11"/>
        <v>0</v>
      </c>
      <c r="AV59" s="901">
        <f ca="1"/>
        <v>0</v>
      </c>
      <c r="AW59" s="901">
        <f t="shared" si="12"/>
        <v>0</v>
      </c>
      <c r="AX59" s="901">
        <f t="shared" si="13"/>
        <v>0</v>
      </c>
      <c r="AY59" s="901">
        <f ca="1"/>
        <v>0</v>
      </c>
      <c r="AZ59" s="901">
        <f ca="1"/>
        <v>0</v>
      </c>
      <c r="BA59" s="905">
        <f t="shared" si="2"/>
        <v>0</v>
      </c>
      <c r="BB59" s="905">
        <f t="shared" si="3"/>
        <v>0</v>
      </c>
      <c r="BC59" s="905">
        <f t="shared" si="4"/>
        <v>0</v>
      </c>
      <c r="BD59" s="905">
        <f t="shared" si="5"/>
        <v>0</v>
      </c>
      <c r="BE59" s="905">
        <f t="shared" si="6"/>
        <v>0</v>
      </c>
      <c r="BF59" s="905">
        <f t="shared" si="7"/>
        <v>0</v>
      </c>
      <c r="BG59" s="905">
        <f t="shared" si="8"/>
        <v>0</v>
      </c>
      <c r="BH59" s="905">
        <f t="shared" si="9"/>
        <v>0</v>
      </c>
      <c r="BI59" s="713">
        <v>0</v>
      </c>
      <c r="BJ59" s="695"/>
      <c r="BK59" s="752">
        <f>IF(X60=0,0,           IF(ISNUMBER(BJ59),BJ59,               IF(ISTEXT(BJ59),INDEX(BA59:BH59,MATCH(BJ59,$BA$12:$BH$12,0)),             IF(BI59="INT",_xll.qInterp(X60,AK59:AR59,BA59:BH59),            INDEX(BA59:BH59,MATCH(BI59,$BA$12:$BH$12,0))))))</f>
        <v>0</v>
      </c>
      <c r="BL59" s="389">
        <f t="shared" si="14"/>
        <v>0</v>
      </c>
      <c r="BM59" s="394">
        <f t="shared" si="15"/>
        <v>0</v>
      </c>
      <c r="BN59" s="389">
        <f t="shared" si="16"/>
        <v>0</v>
      </c>
    </row>
    <row r="60" spans="10:66">
      <c r="J60" s="441"/>
      <c r="P60" s="714">
        <v>0</v>
      </c>
      <c r="Q60" s="715">
        <f t="shared" si="0"/>
        <v>0</v>
      </c>
      <c r="R60" s="712">
        <f>IF(P61,_xll.qDateYears(P60,P61,DCCfixed),0)</f>
        <v>0</v>
      </c>
      <c r="S60" s="519">
        <f ca="1"/>
        <v>0</v>
      </c>
      <c r="T60" s="720"/>
      <c r="U60" s="390">
        <f t="shared" si="10"/>
        <v>0</v>
      </c>
      <c r="X60" s="345">
        <v>0</v>
      </c>
      <c r="Y60" s="711">
        <f t="shared" si="1"/>
        <v>0</v>
      </c>
      <c r="Z60" s="712">
        <f>IF(X61,_xll.qDateYears(X60,X61,DCCfloat),0)</f>
        <v>0</v>
      </c>
      <c r="AA60" s="519">
        <f ca="1"/>
        <v>0</v>
      </c>
      <c r="AB60" s="890">
        <f>IF(X60=0,0,         IF(OR(CCY="AUD",CCY="NZD",CCY="GBP"),X60,   _xll.qDateNext(X60,"-2b",,,IF(CCY="EUR","TGT","LON"))))</f>
        <v>0</v>
      </c>
      <c r="AC60" s="879" t="str">
        <v/>
      </c>
      <c r="AD60" s="879" t="str">
        <v/>
      </c>
      <c r="AE60" s="879" t="str">
        <v/>
      </c>
      <c r="AF60" s="879" t="str">
        <v/>
      </c>
      <c r="AG60" s="879" t="str">
        <v/>
      </c>
      <c r="AH60" s="879" t="str">
        <v/>
      </c>
      <c r="AI60" s="879" t="str">
        <v/>
      </c>
      <c r="AJ60" s="879" t="str">
        <v/>
      </c>
      <c r="AK60" s="882">
        <f>IF($X60=0,0,      _xll.qDateNext($X60,AK$12,$AR$11,FRM&lt;&gt;"Calypso",CCY))</f>
        <v>0</v>
      </c>
      <c r="AL60" s="882">
        <f>IF($X60=0,0,      _xll.qDateNext($X60,AL$12,$AR$11,FRM&lt;&gt;"Calypso",CCY))</f>
        <v>0</v>
      </c>
      <c r="AM60" s="882">
        <f>IF($X60=0,0,      _xll.qDateNext($X60,AM$12,$AR$11,FRM&lt;&gt;"Calypso",CCY))</f>
        <v>0</v>
      </c>
      <c r="AN60" s="882">
        <f>IF($X60=0,0,      _xll.qDateNext($X60,AN$12,$AR$11,FRM&lt;&gt;"Calypso",CCY))</f>
        <v>0</v>
      </c>
      <c r="AO60" s="882">
        <f>IF($X60=0,0,      _xll.qDateNext($X60,AO$12,$AR$11,FRM&lt;&gt;"Calypso",CCY))</f>
        <v>0</v>
      </c>
      <c r="AP60" s="882">
        <f>IF($X60=0,0,      _xll.qDateNext($X60,AP$12,$AR$11,FRM&lt;&gt;"Calypso",CCY))</f>
        <v>0</v>
      </c>
      <c r="AQ60" s="882">
        <f>IF($X60=0,0,      _xll.qDateNext($X60,AQ$12,$AR$11,FRM&lt;&gt;"Calypso",CCY))</f>
        <v>0</v>
      </c>
      <c r="AR60" s="882">
        <f>IF($X60=0,0,      _xll.qDateNext($X60,AR$12,$AR$11,FRM&lt;&gt;"Calypso",CCY))</f>
        <v>0</v>
      </c>
      <c r="AS60" s="901">
        <f ca="1"/>
        <v>0</v>
      </c>
      <c r="AT60" s="901">
        <f ca="1"/>
        <v>0</v>
      </c>
      <c r="AU60" s="901">
        <f t="shared" si="11"/>
        <v>0</v>
      </c>
      <c r="AV60" s="901">
        <f ca="1"/>
        <v>0</v>
      </c>
      <c r="AW60" s="901">
        <f t="shared" si="12"/>
        <v>0</v>
      </c>
      <c r="AX60" s="901">
        <f t="shared" si="13"/>
        <v>0</v>
      </c>
      <c r="AY60" s="901">
        <f ca="1"/>
        <v>0</v>
      </c>
      <c r="AZ60" s="901">
        <f ca="1"/>
        <v>0</v>
      </c>
      <c r="BA60" s="905">
        <f t="shared" si="2"/>
        <v>0</v>
      </c>
      <c r="BB60" s="905">
        <f t="shared" si="3"/>
        <v>0</v>
      </c>
      <c r="BC60" s="905">
        <f t="shared" si="4"/>
        <v>0</v>
      </c>
      <c r="BD60" s="905">
        <f t="shared" si="5"/>
        <v>0</v>
      </c>
      <c r="BE60" s="905">
        <f t="shared" si="6"/>
        <v>0</v>
      </c>
      <c r="BF60" s="905">
        <f t="shared" si="7"/>
        <v>0</v>
      </c>
      <c r="BG60" s="905">
        <f t="shared" si="8"/>
        <v>0</v>
      </c>
      <c r="BH60" s="905">
        <f t="shared" si="9"/>
        <v>0</v>
      </c>
      <c r="BI60" s="713">
        <v>0</v>
      </c>
      <c r="BJ60" s="695"/>
      <c r="BK60" s="752">
        <f>IF(X61=0,0,           IF(ISNUMBER(BJ60),BJ60,               IF(ISTEXT(BJ60),INDEX(BA60:BH60,MATCH(BJ60,$BA$12:$BH$12,0)),             IF(BI60="INT",_xll.qInterp(X61,AK60:AR60,BA60:BH60),            INDEX(BA60:BH60,MATCH(BI60,$BA$12:$BH$12,0))))))</f>
        <v>0</v>
      </c>
      <c r="BL60" s="389">
        <f t="shared" si="14"/>
        <v>0</v>
      </c>
      <c r="BM60" s="394">
        <f t="shared" si="15"/>
        <v>0</v>
      </c>
      <c r="BN60" s="389">
        <f t="shared" si="16"/>
        <v>0</v>
      </c>
    </row>
    <row r="61" spans="10:66">
      <c r="P61" s="714">
        <v>0</v>
      </c>
      <c r="Q61" s="715">
        <f t="shared" si="0"/>
        <v>0</v>
      </c>
      <c r="R61" s="712">
        <f>IF(P62,_xll.qDateYears(P61,P62,DCCfixed),0)</f>
        <v>0</v>
      </c>
      <c r="S61" s="519">
        <f ca="1"/>
        <v>0</v>
      </c>
      <c r="T61" s="720"/>
      <c r="U61" s="390">
        <f t="shared" si="10"/>
        <v>0</v>
      </c>
      <c r="X61" s="345">
        <v>0</v>
      </c>
      <c r="Y61" s="711">
        <f t="shared" si="1"/>
        <v>0</v>
      </c>
      <c r="Z61" s="712">
        <f>IF(X62,_xll.qDateYears(X61,X62,DCCfloat),0)</f>
        <v>0</v>
      </c>
      <c r="AA61" s="519">
        <f ca="1"/>
        <v>0</v>
      </c>
      <c r="AB61" s="890">
        <f>IF(X61=0,0,         IF(OR(CCY="AUD",CCY="NZD",CCY="GBP"),X61,   _xll.qDateNext(X61,"-2b",,,IF(CCY="EUR","TGT","LON"))))</f>
        <v>0</v>
      </c>
      <c r="AC61" s="879" t="str">
        <v/>
      </c>
      <c r="AD61" s="879" t="str">
        <v/>
      </c>
      <c r="AE61" s="879" t="str">
        <v/>
      </c>
      <c r="AF61" s="879" t="str">
        <v/>
      </c>
      <c r="AG61" s="879" t="str">
        <v/>
      </c>
      <c r="AH61" s="879" t="str">
        <v/>
      </c>
      <c r="AI61" s="879" t="str">
        <v/>
      </c>
      <c r="AJ61" s="879" t="str">
        <v/>
      </c>
      <c r="AK61" s="882">
        <f>IF($X61=0,0,      _xll.qDateNext($X61,AK$12,$AR$11,FRM&lt;&gt;"Calypso",CCY))</f>
        <v>0</v>
      </c>
      <c r="AL61" s="882">
        <f>IF($X61=0,0,      _xll.qDateNext($X61,AL$12,$AR$11,FRM&lt;&gt;"Calypso",CCY))</f>
        <v>0</v>
      </c>
      <c r="AM61" s="882">
        <f>IF($X61=0,0,      _xll.qDateNext($X61,AM$12,$AR$11,FRM&lt;&gt;"Calypso",CCY))</f>
        <v>0</v>
      </c>
      <c r="AN61" s="882">
        <f>IF($X61=0,0,      _xll.qDateNext($X61,AN$12,$AR$11,FRM&lt;&gt;"Calypso",CCY))</f>
        <v>0</v>
      </c>
      <c r="AO61" s="882">
        <f>IF($X61=0,0,      _xll.qDateNext($X61,AO$12,$AR$11,FRM&lt;&gt;"Calypso",CCY))</f>
        <v>0</v>
      </c>
      <c r="AP61" s="882">
        <f>IF($X61=0,0,      _xll.qDateNext($X61,AP$12,$AR$11,FRM&lt;&gt;"Calypso",CCY))</f>
        <v>0</v>
      </c>
      <c r="AQ61" s="882">
        <f>IF($X61=0,0,      _xll.qDateNext($X61,AQ$12,$AR$11,FRM&lt;&gt;"Calypso",CCY))</f>
        <v>0</v>
      </c>
      <c r="AR61" s="882">
        <f>IF($X61=0,0,      _xll.qDateNext($X61,AR$12,$AR$11,FRM&lt;&gt;"Calypso",CCY))</f>
        <v>0</v>
      </c>
      <c r="AS61" s="901">
        <f ca="1"/>
        <v>0</v>
      </c>
      <c r="AT61" s="901">
        <f ca="1"/>
        <v>0</v>
      </c>
      <c r="AU61" s="901">
        <f t="shared" si="11"/>
        <v>0</v>
      </c>
      <c r="AV61" s="901">
        <f ca="1"/>
        <v>0</v>
      </c>
      <c r="AW61" s="901">
        <f t="shared" si="12"/>
        <v>0</v>
      </c>
      <c r="AX61" s="901">
        <f t="shared" si="13"/>
        <v>0</v>
      </c>
      <c r="AY61" s="901">
        <f ca="1"/>
        <v>0</v>
      </c>
      <c r="AZ61" s="901">
        <f ca="1"/>
        <v>0</v>
      </c>
      <c r="BA61" s="905">
        <f t="shared" si="2"/>
        <v>0</v>
      </c>
      <c r="BB61" s="905">
        <f t="shared" si="3"/>
        <v>0</v>
      </c>
      <c r="BC61" s="905">
        <f t="shared" si="4"/>
        <v>0</v>
      </c>
      <c r="BD61" s="905">
        <f t="shared" si="5"/>
        <v>0</v>
      </c>
      <c r="BE61" s="905">
        <f t="shared" si="6"/>
        <v>0</v>
      </c>
      <c r="BF61" s="905">
        <f t="shared" si="7"/>
        <v>0</v>
      </c>
      <c r="BG61" s="905">
        <f t="shared" si="8"/>
        <v>0</v>
      </c>
      <c r="BH61" s="905">
        <f t="shared" si="9"/>
        <v>0</v>
      </c>
      <c r="BI61" s="713">
        <v>0</v>
      </c>
      <c r="BJ61" s="695"/>
      <c r="BK61" s="752">
        <f>IF(X62=0,0,           IF(ISNUMBER(BJ61),BJ61,               IF(ISTEXT(BJ61),INDEX(BA61:BH61,MATCH(BJ61,$BA$12:$BH$12,0)),             IF(BI61="INT",_xll.qInterp(X62,AK61:AR61,BA61:BH61),            INDEX(BA61:BH61,MATCH(BI61,$BA$12:$BH$12,0))))))</f>
        <v>0</v>
      </c>
      <c r="BL61" s="389">
        <f t="shared" si="14"/>
        <v>0</v>
      </c>
      <c r="BM61" s="394">
        <f t="shared" si="15"/>
        <v>0</v>
      </c>
      <c r="BN61" s="389">
        <f t="shared" si="16"/>
        <v>0</v>
      </c>
    </row>
    <row r="62" spans="10:66">
      <c r="P62" s="714">
        <v>0</v>
      </c>
      <c r="Q62" s="715">
        <f t="shared" si="0"/>
        <v>0</v>
      </c>
      <c r="R62" s="712">
        <f>IF(P63,_xll.qDateYears(P62,P63,DCCfixed),0)</f>
        <v>0</v>
      </c>
      <c r="S62" s="519">
        <f ca="1"/>
        <v>0</v>
      </c>
      <c r="T62" s="720"/>
      <c r="U62" s="390">
        <f t="shared" si="10"/>
        <v>0</v>
      </c>
      <c r="X62" s="345">
        <v>0</v>
      </c>
      <c r="Y62" s="711">
        <f t="shared" si="1"/>
        <v>0</v>
      </c>
      <c r="Z62" s="712">
        <f>IF(X63,_xll.qDateYears(X62,X63,DCCfloat),0)</f>
        <v>0</v>
      </c>
      <c r="AA62" s="519">
        <f ca="1"/>
        <v>0</v>
      </c>
      <c r="AB62" s="890">
        <f>IF(X62=0,0,         IF(OR(CCY="AUD",CCY="NZD",CCY="GBP"),X62,   _xll.qDateNext(X62,"-2b",,,IF(CCY="EUR","TGT","LON"))))</f>
        <v>0</v>
      </c>
      <c r="AC62" s="879" t="str">
        <v/>
      </c>
      <c r="AD62" s="879" t="str">
        <v/>
      </c>
      <c r="AE62" s="879" t="str">
        <v/>
      </c>
      <c r="AF62" s="879" t="str">
        <v/>
      </c>
      <c r="AG62" s="879" t="str">
        <v/>
      </c>
      <c r="AH62" s="879" t="str">
        <v/>
      </c>
      <c r="AI62" s="879" t="str">
        <v/>
      </c>
      <c r="AJ62" s="879" t="str">
        <v/>
      </c>
      <c r="AK62" s="882">
        <f>IF($X62=0,0,      _xll.qDateNext($X62,AK$12,$AR$11,FRM&lt;&gt;"Calypso",CCY))</f>
        <v>0</v>
      </c>
      <c r="AL62" s="882">
        <f>IF($X62=0,0,      _xll.qDateNext($X62,AL$12,$AR$11,FRM&lt;&gt;"Calypso",CCY))</f>
        <v>0</v>
      </c>
      <c r="AM62" s="882">
        <f>IF($X62=0,0,      _xll.qDateNext($X62,AM$12,$AR$11,FRM&lt;&gt;"Calypso",CCY))</f>
        <v>0</v>
      </c>
      <c r="AN62" s="882">
        <f>IF($X62=0,0,      _xll.qDateNext($X62,AN$12,$AR$11,FRM&lt;&gt;"Calypso",CCY))</f>
        <v>0</v>
      </c>
      <c r="AO62" s="882">
        <f>IF($X62=0,0,      _xll.qDateNext($X62,AO$12,$AR$11,FRM&lt;&gt;"Calypso",CCY))</f>
        <v>0</v>
      </c>
      <c r="AP62" s="882">
        <f>IF($X62=0,0,      _xll.qDateNext($X62,AP$12,$AR$11,FRM&lt;&gt;"Calypso",CCY))</f>
        <v>0</v>
      </c>
      <c r="AQ62" s="882">
        <f>IF($X62=0,0,      _xll.qDateNext($X62,AQ$12,$AR$11,FRM&lt;&gt;"Calypso",CCY))</f>
        <v>0</v>
      </c>
      <c r="AR62" s="882">
        <f>IF($X62=0,0,      _xll.qDateNext($X62,AR$12,$AR$11,FRM&lt;&gt;"Calypso",CCY))</f>
        <v>0</v>
      </c>
      <c r="AS62" s="901">
        <f ca="1"/>
        <v>0</v>
      </c>
      <c r="AT62" s="901">
        <f ca="1"/>
        <v>0</v>
      </c>
      <c r="AU62" s="901">
        <f t="shared" si="11"/>
        <v>0</v>
      </c>
      <c r="AV62" s="901">
        <f ca="1"/>
        <v>0</v>
      </c>
      <c r="AW62" s="901">
        <f t="shared" si="12"/>
        <v>0</v>
      </c>
      <c r="AX62" s="901">
        <f t="shared" si="13"/>
        <v>0</v>
      </c>
      <c r="AY62" s="901">
        <f ca="1"/>
        <v>0</v>
      </c>
      <c r="AZ62" s="901">
        <f ca="1"/>
        <v>0</v>
      </c>
      <c r="BA62" s="905">
        <f t="shared" si="2"/>
        <v>0</v>
      </c>
      <c r="BB62" s="905">
        <f t="shared" si="3"/>
        <v>0</v>
      </c>
      <c r="BC62" s="905">
        <f t="shared" si="4"/>
        <v>0</v>
      </c>
      <c r="BD62" s="905">
        <f t="shared" si="5"/>
        <v>0</v>
      </c>
      <c r="BE62" s="905">
        <f t="shared" si="6"/>
        <v>0</v>
      </c>
      <c r="BF62" s="905">
        <f t="shared" si="7"/>
        <v>0</v>
      </c>
      <c r="BG62" s="905">
        <f t="shared" si="8"/>
        <v>0</v>
      </c>
      <c r="BH62" s="905">
        <f t="shared" si="9"/>
        <v>0</v>
      </c>
      <c r="BI62" s="713">
        <v>0</v>
      </c>
      <c r="BJ62" s="695"/>
      <c r="BK62" s="752">
        <f>IF(X63=0,0,           IF(ISNUMBER(BJ62),BJ62,               IF(ISTEXT(BJ62),INDEX(BA62:BH62,MATCH(BJ62,$BA$12:$BH$12,0)),             IF(BI62="INT",_xll.qInterp(X63,AK62:AR62,BA62:BH62),            INDEX(BA62:BH62,MATCH(BI62,$BA$12:$BH$12,0))))))</f>
        <v>0</v>
      </c>
      <c r="BL62" s="389">
        <f t="shared" si="14"/>
        <v>0</v>
      </c>
      <c r="BM62" s="394">
        <f t="shared" si="15"/>
        <v>0</v>
      </c>
      <c r="BN62" s="389">
        <f t="shared" si="16"/>
        <v>0</v>
      </c>
    </row>
    <row r="63" spans="10:66">
      <c r="P63" s="714">
        <v>0</v>
      </c>
      <c r="Q63" s="715">
        <f t="shared" si="0"/>
        <v>0</v>
      </c>
      <c r="R63" s="712">
        <f>IF(P64,_xll.qDateYears(P63,P64,DCCfixed),0)</f>
        <v>0</v>
      </c>
      <c r="S63" s="519">
        <f ca="1"/>
        <v>0</v>
      </c>
      <c r="T63" s="720"/>
      <c r="U63" s="390">
        <f t="shared" si="10"/>
        <v>0</v>
      </c>
      <c r="X63" s="345">
        <v>0</v>
      </c>
      <c r="Y63" s="711">
        <f t="shared" si="1"/>
        <v>0</v>
      </c>
      <c r="Z63" s="712">
        <f>IF(X64,_xll.qDateYears(X63,X64,DCCfloat),0)</f>
        <v>0</v>
      </c>
      <c r="AA63" s="519">
        <f ca="1"/>
        <v>0</v>
      </c>
      <c r="AB63" s="890">
        <f>IF(X63=0,0,         IF(OR(CCY="AUD",CCY="NZD",CCY="GBP"),X63,   _xll.qDateNext(X63,"-2b",,,IF(CCY="EUR","TGT","LON"))))</f>
        <v>0</v>
      </c>
      <c r="AC63" s="879" t="str">
        <v/>
      </c>
      <c r="AD63" s="879" t="str">
        <v/>
      </c>
      <c r="AE63" s="879" t="str">
        <v/>
      </c>
      <c r="AF63" s="879" t="str">
        <v/>
      </c>
      <c r="AG63" s="879" t="str">
        <v/>
      </c>
      <c r="AH63" s="879" t="str">
        <v/>
      </c>
      <c r="AI63" s="879" t="str">
        <v/>
      </c>
      <c r="AJ63" s="879" t="str">
        <v/>
      </c>
      <c r="AK63" s="882">
        <f>IF($X63=0,0,      _xll.qDateNext($X63,AK$12,$AR$11,FRM&lt;&gt;"Calypso",CCY))</f>
        <v>0</v>
      </c>
      <c r="AL63" s="882">
        <f>IF($X63=0,0,      _xll.qDateNext($X63,AL$12,$AR$11,FRM&lt;&gt;"Calypso",CCY))</f>
        <v>0</v>
      </c>
      <c r="AM63" s="882">
        <f>IF($X63=0,0,      _xll.qDateNext($X63,AM$12,$AR$11,FRM&lt;&gt;"Calypso",CCY))</f>
        <v>0</v>
      </c>
      <c r="AN63" s="882">
        <f>IF($X63=0,0,      _xll.qDateNext($X63,AN$12,$AR$11,FRM&lt;&gt;"Calypso",CCY))</f>
        <v>0</v>
      </c>
      <c r="AO63" s="882">
        <f>IF($X63=0,0,      _xll.qDateNext($X63,AO$12,$AR$11,FRM&lt;&gt;"Calypso",CCY))</f>
        <v>0</v>
      </c>
      <c r="AP63" s="882">
        <f>IF($X63=0,0,      _xll.qDateNext($X63,AP$12,$AR$11,FRM&lt;&gt;"Calypso",CCY))</f>
        <v>0</v>
      </c>
      <c r="AQ63" s="882">
        <f>IF($X63=0,0,      _xll.qDateNext($X63,AQ$12,$AR$11,FRM&lt;&gt;"Calypso",CCY))</f>
        <v>0</v>
      </c>
      <c r="AR63" s="882">
        <f>IF($X63=0,0,      _xll.qDateNext($X63,AR$12,$AR$11,FRM&lt;&gt;"Calypso",CCY))</f>
        <v>0</v>
      </c>
      <c r="AS63" s="901">
        <f ca="1"/>
        <v>0</v>
      </c>
      <c r="AT63" s="901">
        <f ca="1"/>
        <v>0</v>
      </c>
      <c r="AU63" s="901">
        <f t="shared" si="11"/>
        <v>0</v>
      </c>
      <c r="AV63" s="901">
        <f ca="1"/>
        <v>0</v>
      </c>
      <c r="AW63" s="901">
        <f t="shared" si="12"/>
        <v>0</v>
      </c>
      <c r="AX63" s="901">
        <f t="shared" si="13"/>
        <v>0</v>
      </c>
      <c r="AY63" s="901">
        <f ca="1"/>
        <v>0</v>
      </c>
      <c r="AZ63" s="901">
        <f ca="1"/>
        <v>0</v>
      </c>
      <c r="BA63" s="905">
        <f t="shared" si="2"/>
        <v>0</v>
      </c>
      <c r="BB63" s="905">
        <f t="shared" si="3"/>
        <v>0</v>
      </c>
      <c r="BC63" s="905">
        <f t="shared" si="4"/>
        <v>0</v>
      </c>
      <c r="BD63" s="905">
        <f t="shared" si="5"/>
        <v>0</v>
      </c>
      <c r="BE63" s="905">
        <f t="shared" si="6"/>
        <v>0</v>
      </c>
      <c r="BF63" s="905">
        <f t="shared" si="7"/>
        <v>0</v>
      </c>
      <c r="BG63" s="905">
        <f t="shared" si="8"/>
        <v>0</v>
      </c>
      <c r="BH63" s="905">
        <f t="shared" si="9"/>
        <v>0</v>
      </c>
      <c r="BI63" s="713">
        <v>0</v>
      </c>
      <c r="BJ63" s="695"/>
      <c r="BK63" s="752">
        <f>IF(X64=0,0,           IF(ISNUMBER(BJ63),BJ63,               IF(ISTEXT(BJ63),INDEX(BA63:BH63,MATCH(BJ63,$BA$12:$BH$12,0)),             IF(BI63="INT",_xll.qInterp(X64,AK63:AR63,BA63:BH63),            INDEX(BA63:BH63,MATCH(BI63,$BA$12:$BH$12,0))))))</f>
        <v>0</v>
      </c>
      <c r="BL63" s="389">
        <f t="shared" si="14"/>
        <v>0</v>
      </c>
      <c r="BM63" s="394">
        <f t="shared" si="15"/>
        <v>0</v>
      </c>
      <c r="BN63" s="389">
        <f t="shared" si="16"/>
        <v>0</v>
      </c>
    </row>
    <row r="64" spans="10:66">
      <c r="P64" s="714">
        <v>0</v>
      </c>
      <c r="Q64" s="715">
        <f t="shared" si="0"/>
        <v>0</v>
      </c>
      <c r="R64" s="712">
        <f>IF(P65,_xll.qDateYears(P64,P65,DCCfixed),0)</f>
        <v>0</v>
      </c>
      <c r="S64" s="519">
        <f ca="1"/>
        <v>0</v>
      </c>
      <c r="T64" s="720"/>
      <c r="U64" s="390">
        <f t="shared" si="10"/>
        <v>0</v>
      </c>
      <c r="X64" s="345">
        <v>0</v>
      </c>
      <c r="Y64" s="711">
        <f t="shared" si="1"/>
        <v>0</v>
      </c>
      <c r="Z64" s="712">
        <f>IF(X65,_xll.qDateYears(X64,X65,DCCfloat),0)</f>
        <v>0</v>
      </c>
      <c r="AA64" s="519">
        <f ca="1"/>
        <v>0</v>
      </c>
      <c r="AB64" s="890">
        <f>IF(X64=0,0,         IF(OR(CCY="AUD",CCY="NZD",CCY="GBP"),X64,   _xll.qDateNext(X64,"-2b",,,IF(CCY="EUR","TGT","LON"))))</f>
        <v>0</v>
      </c>
      <c r="AC64" s="879" t="str">
        <v/>
      </c>
      <c r="AD64" s="879" t="str">
        <v/>
      </c>
      <c r="AE64" s="879" t="str">
        <v/>
      </c>
      <c r="AF64" s="879" t="str">
        <v/>
      </c>
      <c r="AG64" s="879" t="str">
        <v/>
      </c>
      <c r="AH64" s="879" t="str">
        <v/>
      </c>
      <c r="AI64" s="879" t="str">
        <v/>
      </c>
      <c r="AJ64" s="879" t="str">
        <v/>
      </c>
      <c r="AK64" s="882">
        <f>IF($X64=0,0,      _xll.qDateNext($X64,AK$12,$AR$11,FRM&lt;&gt;"Calypso",CCY))</f>
        <v>0</v>
      </c>
      <c r="AL64" s="882">
        <f>IF($X64=0,0,      _xll.qDateNext($X64,AL$12,$AR$11,FRM&lt;&gt;"Calypso",CCY))</f>
        <v>0</v>
      </c>
      <c r="AM64" s="882">
        <f>IF($X64=0,0,      _xll.qDateNext($X64,AM$12,$AR$11,FRM&lt;&gt;"Calypso",CCY))</f>
        <v>0</v>
      </c>
      <c r="AN64" s="882">
        <f>IF($X64=0,0,      _xll.qDateNext($X64,AN$12,$AR$11,FRM&lt;&gt;"Calypso",CCY))</f>
        <v>0</v>
      </c>
      <c r="AO64" s="882">
        <f>IF($X64=0,0,      _xll.qDateNext($X64,AO$12,$AR$11,FRM&lt;&gt;"Calypso",CCY))</f>
        <v>0</v>
      </c>
      <c r="AP64" s="882">
        <f>IF($X64=0,0,      _xll.qDateNext($X64,AP$12,$AR$11,FRM&lt;&gt;"Calypso",CCY))</f>
        <v>0</v>
      </c>
      <c r="AQ64" s="882">
        <f>IF($X64=0,0,      _xll.qDateNext($X64,AQ$12,$AR$11,FRM&lt;&gt;"Calypso",CCY))</f>
        <v>0</v>
      </c>
      <c r="AR64" s="882">
        <f>IF($X64=0,0,      _xll.qDateNext($X64,AR$12,$AR$11,FRM&lt;&gt;"Calypso",CCY))</f>
        <v>0</v>
      </c>
      <c r="AS64" s="901">
        <f ca="1"/>
        <v>0</v>
      </c>
      <c r="AT64" s="901">
        <f ca="1"/>
        <v>0</v>
      </c>
      <c r="AU64" s="901">
        <f t="shared" si="11"/>
        <v>0</v>
      </c>
      <c r="AV64" s="901">
        <f ca="1"/>
        <v>0</v>
      </c>
      <c r="AW64" s="901">
        <f t="shared" si="12"/>
        <v>0</v>
      </c>
      <c r="AX64" s="901">
        <f t="shared" si="13"/>
        <v>0</v>
      </c>
      <c r="AY64" s="901">
        <f ca="1"/>
        <v>0</v>
      </c>
      <c r="AZ64" s="901">
        <f ca="1"/>
        <v>0</v>
      </c>
      <c r="BA64" s="905">
        <f t="shared" si="2"/>
        <v>0</v>
      </c>
      <c r="BB64" s="905">
        <f t="shared" si="3"/>
        <v>0</v>
      </c>
      <c r="BC64" s="905">
        <f t="shared" si="4"/>
        <v>0</v>
      </c>
      <c r="BD64" s="905">
        <f t="shared" si="5"/>
        <v>0</v>
      </c>
      <c r="BE64" s="905">
        <f t="shared" si="6"/>
        <v>0</v>
      </c>
      <c r="BF64" s="905">
        <f t="shared" si="7"/>
        <v>0</v>
      </c>
      <c r="BG64" s="905">
        <f t="shared" si="8"/>
        <v>0</v>
      </c>
      <c r="BH64" s="905">
        <f t="shared" si="9"/>
        <v>0</v>
      </c>
      <c r="BI64" s="713">
        <v>0</v>
      </c>
      <c r="BJ64" s="695"/>
      <c r="BK64" s="752">
        <f>IF(X65=0,0,           IF(ISNUMBER(BJ64),BJ64,               IF(ISTEXT(BJ64),INDEX(BA64:BH64,MATCH(BJ64,$BA$12:$BH$12,0)),             IF(BI64="INT",_xll.qInterp(X65,AK64:AR64,BA64:BH64),            INDEX(BA64:BH64,MATCH(BI64,$BA$12:$BH$12,0))))))</f>
        <v>0</v>
      </c>
      <c r="BL64" s="389">
        <f t="shared" si="14"/>
        <v>0</v>
      </c>
      <c r="BM64" s="394">
        <f t="shared" si="15"/>
        <v>0</v>
      </c>
      <c r="BN64" s="389">
        <f t="shared" si="16"/>
        <v>0</v>
      </c>
    </row>
    <row r="65" spans="16:66">
      <c r="P65" s="714">
        <v>0</v>
      </c>
      <c r="Q65" s="715">
        <f t="shared" si="0"/>
        <v>0</v>
      </c>
      <c r="R65" s="712">
        <f>IF(P66,_xll.qDateYears(P65,P66,DCCfixed),0)</f>
        <v>0</v>
      </c>
      <c r="S65" s="519">
        <f ca="1"/>
        <v>0</v>
      </c>
      <c r="T65" s="720"/>
      <c r="U65" s="390">
        <f t="shared" si="10"/>
        <v>0</v>
      </c>
      <c r="X65" s="345">
        <v>0</v>
      </c>
      <c r="Y65" s="711">
        <f t="shared" si="1"/>
        <v>0</v>
      </c>
      <c r="Z65" s="712">
        <f>IF(X66,_xll.qDateYears(X65,X66,DCCfloat),0)</f>
        <v>0</v>
      </c>
      <c r="AA65" s="519">
        <f ca="1"/>
        <v>0</v>
      </c>
      <c r="AB65" s="890">
        <f>IF(X65=0,0,         IF(OR(CCY="AUD",CCY="NZD",CCY="GBP"),X65,   _xll.qDateNext(X65,"-2b",,,IF(CCY="EUR","TGT","LON"))))</f>
        <v>0</v>
      </c>
      <c r="AC65" s="879" t="str">
        <v/>
      </c>
      <c r="AD65" s="879" t="str">
        <v/>
      </c>
      <c r="AE65" s="879" t="str">
        <v/>
      </c>
      <c r="AF65" s="879" t="str">
        <v/>
      </c>
      <c r="AG65" s="879" t="str">
        <v/>
      </c>
      <c r="AH65" s="879" t="str">
        <v/>
      </c>
      <c r="AI65" s="879" t="str">
        <v/>
      </c>
      <c r="AJ65" s="879" t="str">
        <v/>
      </c>
      <c r="AK65" s="882">
        <f>IF($X65=0,0,      _xll.qDateNext($X65,AK$12,$AR$11,FRM&lt;&gt;"Calypso",CCY))</f>
        <v>0</v>
      </c>
      <c r="AL65" s="882">
        <f>IF($X65=0,0,      _xll.qDateNext($X65,AL$12,$AR$11,FRM&lt;&gt;"Calypso",CCY))</f>
        <v>0</v>
      </c>
      <c r="AM65" s="882">
        <f>IF($X65=0,0,      _xll.qDateNext($X65,AM$12,$AR$11,FRM&lt;&gt;"Calypso",CCY))</f>
        <v>0</v>
      </c>
      <c r="AN65" s="882">
        <f>IF($X65=0,0,      _xll.qDateNext($X65,AN$12,$AR$11,FRM&lt;&gt;"Calypso",CCY))</f>
        <v>0</v>
      </c>
      <c r="AO65" s="882">
        <f>IF($X65=0,0,      _xll.qDateNext($X65,AO$12,$AR$11,FRM&lt;&gt;"Calypso",CCY))</f>
        <v>0</v>
      </c>
      <c r="AP65" s="882">
        <f>IF($X65=0,0,      _xll.qDateNext($X65,AP$12,$AR$11,FRM&lt;&gt;"Calypso",CCY))</f>
        <v>0</v>
      </c>
      <c r="AQ65" s="882">
        <f>IF($X65=0,0,      _xll.qDateNext($X65,AQ$12,$AR$11,FRM&lt;&gt;"Calypso",CCY))</f>
        <v>0</v>
      </c>
      <c r="AR65" s="882">
        <f>IF($X65=0,0,      _xll.qDateNext($X65,AR$12,$AR$11,FRM&lt;&gt;"Calypso",CCY))</f>
        <v>0</v>
      </c>
      <c r="AS65" s="901">
        <f ca="1"/>
        <v>0</v>
      </c>
      <c r="AT65" s="901">
        <f ca="1"/>
        <v>0</v>
      </c>
      <c r="AU65" s="901">
        <f t="shared" si="11"/>
        <v>0</v>
      </c>
      <c r="AV65" s="901">
        <f ca="1"/>
        <v>0</v>
      </c>
      <c r="AW65" s="901">
        <f t="shared" si="12"/>
        <v>0</v>
      </c>
      <c r="AX65" s="901">
        <f t="shared" si="13"/>
        <v>0</v>
      </c>
      <c r="AY65" s="901">
        <f ca="1"/>
        <v>0</v>
      </c>
      <c r="AZ65" s="901">
        <f ca="1"/>
        <v>0</v>
      </c>
      <c r="BA65" s="905">
        <f t="shared" si="2"/>
        <v>0</v>
      </c>
      <c r="BB65" s="905">
        <f t="shared" si="3"/>
        <v>0</v>
      </c>
      <c r="BC65" s="905">
        <f t="shared" si="4"/>
        <v>0</v>
      </c>
      <c r="BD65" s="905">
        <f t="shared" si="5"/>
        <v>0</v>
      </c>
      <c r="BE65" s="905">
        <f t="shared" si="6"/>
        <v>0</v>
      </c>
      <c r="BF65" s="905">
        <f t="shared" si="7"/>
        <v>0</v>
      </c>
      <c r="BG65" s="905">
        <f t="shared" si="8"/>
        <v>0</v>
      </c>
      <c r="BH65" s="905">
        <f t="shared" si="9"/>
        <v>0</v>
      </c>
      <c r="BI65" s="713">
        <v>0</v>
      </c>
      <c r="BJ65" s="695"/>
      <c r="BK65" s="752">
        <f>IF(X66=0,0,           IF(ISNUMBER(BJ65),BJ65,               IF(ISTEXT(BJ65),INDEX(BA65:BH65,MATCH(BJ65,$BA$12:$BH$12,0)),             IF(BI65="INT",_xll.qInterp(X66,AK65:AR65,BA65:BH65),            INDEX(BA65:BH65,MATCH(BI65,$BA$12:$BH$12,0))))))</f>
        <v>0</v>
      </c>
      <c r="BL65" s="389">
        <f t="shared" si="14"/>
        <v>0</v>
      </c>
      <c r="BM65" s="394">
        <f t="shared" si="15"/>
        <v>0</v>
      </c>
      <c r="BN65" s="389">
        <f t="shared" si="16"/>
        <v>0</v>
      </c>
    </row>
    <row r="66" spans="16:66">
      <c r="P66" s="714">
        <v>0</v>
      </c>
      <c r="Q66" s="715">
        <f t="shared" si="0"/>
        <v>0</v>
      </c>
      <c r="R66" s="712">
        <f>IF(P67,_xll.qDateYears(P66,P67,DCCfixed),0)</f>
        <v>0</v>
      </c>
      <c r="S66" s="519">
        <f ca="1"/>
        <v>0</v>
      </c>
      <c r="T66" s="720"/>
      <c r="U66" s="390">
        <f t="shared" si="10"/>
        <v>0</v>
      </c>
      <c r="X66" s="345">
        <v>0</v>
      </c>
      <c r="Y66" s="711">
        <f t="shared" si="1"/>
        <v>0</v>
      </c>
      <c r="Z66" s="712">
        <f>IF(X67,_xll.qDateYears(X66,X67,DCCfloat),0)</f>
        <v>0</v>
      </c>
      <c r="AA66" s="519">
        <f ca="1"/>
        <v>0</v>
      </c>
      <c r="AB66" s="890">
        <f>IF(X66=0,0,         IF(OR(CCY="AUD",CCY="NZD",CCY="GBP"),X66,   _xll.qDateNext(X66,"-2b",,,IF(CCY="EUR","TGT","LON"))))</f>
        <v>0</v>
      </c>
      <c r="AC66" s="879" t="str">
        <v/>
      </c>
      <c r="AD66" s="879" t="str">
        <v/>
      </c>
      <c r="AE66" s="879" t="str">
        <v/>
      </c>
      <c r="AF66" s="879" t="str">
        <v/>
      </c>
      <c r="AG66" s="879" t="str">
        <v/>
      </c>
      <c r="AH66" s="879" t="str">
        <v/>
      </c>
      <c r="AI66" s="879" t="str">
        <v/>
      </c>
      <c r="AJ66" s="879" t="str">
        <v/>
      </c>
      <c r="AK66" s="882">
        <f>IF($X66=0,0,      _xll.qDateNext($X66,AK$12,$AR$11,FRM&lt;&gt;"Calypso",CCY))</f>
        <v>0</v>
      </c>
      <c r="AL66" s="882">
        <f>IF($X66=0,0,      _xll.qDateNext($X66,AL$12,$AR$11,FRM&lt;&gt;"Calypso",CCY))</f>
        <v>0</v>
      </c>
      <c r="AM66" s="882">
        <f>IF($X66=0,0,      _xll.qDateNext($X66,AM$12,$AR$11,FRM&lt;&gt;"Calypso",CCY))</f>
        <v>0</v>
      </c>
      <c r="AN66" s="882">
        <f>IF($X66=0,0,      _xll.qDateNext($X66,AN$12,$AR$11,FRM&lt;&gt;"Calypso",CCY))</f>
        <v>0</v>
      </c>
      <c r="AO66" s="882">
        <f>IF($X66=0,0,      _xll.qDateNext($X66,AO$12,$AR$11,FRM&lt;&gt;"Calypso",CCY))</f>
        <v>0</v>
      </c>
      <c r="AP66" s="882">
        <f>IF($X66=0,0,      _xll.qDateNext($X66,AP$12,$AR$11,FRM&lt;&gt;"Calypso",CCY))</f>
        <v>0</v>
      </c>
      <c r="AQ66" s="882">
        <f>IF($X66=0,0,      _xll.qDateNext($X66,AQ$12,$AR$11,FRM&lt;&gt;"Calypso",CCY))</f>
        <v>0</v>
      </c>
      <c r="AR66" s="882">
        <f>IF($X66=0,0,      _xll.qDateNext($X66,AR$12,$AR$11,FRM&lt;&gt;"Calypso",CCY))</f>
        <v>0</v>
      </c>
      <c r="AS66" s="901">
        <f ca="1"/>
        <v>0</v>
      </c>
      <c r="AT66" s="901">
        <f ca="1"/>
        <v>0</v>
      </c>
      <c r="AU66" s="901">
        <f t="shared" si="11"/>
        <v>0</v>
      </c>
      <c r="AV66" s="901">
        <f ca="1"/>
        <v>0</v>
      </c>
      <c r="AW66" s="901">
        <f t="shared" si="12"/>
        <v>0</v>
      </c>
      <c r="AX66" s="901">
        <f t="shared" si="13"/>
        <v>0</v>
      </c>
      <c r="AY66" s="901">
        <f ca="1"/>
        <v>0</v>
      </c>
      <c r="AZ66" s="901">
        <f ca="1"/>
        <v>0</v>
      </c>
      <c r="BA66" s="905">
        <f t="shared" si="2"/>
        <v>0</v>
      </c>
      <c r="BB66" s="905">
        <f t="shared" si="3"/>
        <v>0</v>
      </c>
      <c r="BC66" s="905">
        <f t="shared" si="4"/>
        <v>0</v>
      </c>
      <c r="BD66" s="905">
        <f t="shared" si="5"/>
        <v>0</v>
      </c>
      <c r="BE66" s="905">
        <f t="shared" si="6"/>
        <v>0</v>
      </c>
      <c r="BF66" s="905">
        <f t="shared" si="7"/>
        <v>0</v>
      </c>
      <c r="BG66" s="905">
        <f t="shared" si="8"/>
        <v>0</v>
      </c>
      <c r="BH66" s="905">
        <f t="shared" si="9"/>
        <v>0</v>
      </c>
      <c r="BI66" s="713">
        <v>0</v>
      </c>
      <c r="BJ66" s="695"/>
      <c r="BK66" s="752">
        <f>IF(X67=0,0,           IF(ISNUMBER(BJ66),BJ66,               IF(ISTEXT(BJ66),INDEX(BA66:BH66,MATCH(BJ66,$BA$12:$BH$12,0)),             IF(BI66="INT",_xll.qInterp(X67,AK66:AR66,BA66:BH66),            INDEX(BA66:BH66,MATCH(BI66,$BA$12:$BH$12,0))))))</f>
        <v>0</v>
      </c>
      <c r="BL66" s="389">
        <f t="shared" si="14"/>
        <v>0</v>
      </c>
      <c r="BM66" s="394">
        <f t="shared" si="15"/>
        <v>0</v>
      </c>
      <c r="BN66" s="389">
        <f t="shared" si="16"/>
        <v>0</v>
      </c>
    </row>
    <row r="67" spans="16:66">
      <c r="P67" s="714">
        <v>0</v>
      </c>
      <c r="Q67" s="715">
        <f t="shared" si="0"/>
        <v>0</v>
      </c>
      <c r="R67" s="712">
        <f>IF(P68,_xll.qDateYears(P67,P68,DCCfixed),0)</f>
        <v>0</v>
      </c>
      <c r="S67" s="519">
        <f ca="1"/>
        <v>0</v>
      </c>
      <c r="T67" s="720"/>
      <c r="U67" s="390">
        <f t="shared" si="10"/>
        <v>0</v>
      </c>
      <c r="X67" s="345">
        <v>0</v>
      </c>
      <c r="Y67" s="711">
        <f t="shared" si="1"/>
        <v>0</v>
      </c>
      <c r="Z67" s="712">
        <f>IF(X68,_xll.qDateYears(X67,X68,DCCfloat),0)</f>
        <v>0</v>
      </c>
      <c r="AA67" s="519">
        <f ca="1"/>
        <v>0</v>
      </c>
      <c r="AB67" s="890">
        <f>IF(X67=0,0,         IF(OR(CCY="AUD",CCY="NZD",CCY="GBP"),X67,   _xll.qDateNext(X67,"-2b",,,IF(CCY="EUR","TGT","LON"))))</f>
        <v>0</v>
      </c>
      <c r="AC67" s="879" t="str">
        <v/>
      </c>
      <c r="AD67" s="879" t="str">
        <v/>
      </c>
      <c r="AE67" s="879" t="str">
        <v/>
      </c>
      <c r="AF67" s="879" t="str">
        <v/>
      </c>
      <c r="AG67" s="879" t="str">
        <v/>
      </c>
      <c r="AH67" s="879" t="str">
        <v/>
      </c>
      <c r="AI67" s="879" t="str">
        <v/>
      </c>
      <c r="AJ67" s="879" t="str">
        <v/>
      </c>
      <c r="AK67" s="882">
        <f>IF($X67=0,0,      _xll.qDateNext($X67,AK$12,$AR$11,FRM&lt;&gt;"Calypso",CCY))</f>
        <v>0</v>
      </c>
      <c r="AL67" s="882">
        <f>IF($X67=0,0,      _xll.qDateNext($X67,AL$12,$AR$11,FRM&lt;&gt;"Calypso",CCY))</f>
        <v>0</v>
      </c>
      <c r="AM67" s="882">
        <f>IF($X67=0,0,      _xll.qDateNext($X67,AM$12,$AR$11,FRM&lt;&gt;"Calypso",CCY))</f>
        <v>0</v>
      </c>
      <c r="AN67" s="882">
        <f>IF($X67=0,0,      _xll.qDateNext($X67,AN$12,$AR$11,FRM&lt;&gt;"Calypso",CCY))</f>
        <v>0</v>
      </c>
      <c r="AO67" s="882">
        <f>IF($X67=0,0,      _xll.qDateNext($X67,AO$12,$AR$11,FRM&lt;&gt;"Calypso",CCY))</f>
        <v>0</v>
      </c>
      <c r="AP67" s="882">
        <f>IF($X67=0,0,      _xll.qDateNext($X67,AP$12,$AR$11,FRM&lt;&gt;"Calypso",CCY))</f>
        <v>0</v>
      </c>
      <c r="AQ67" s="882">
        <f>IF($X67=0,0,      _xll.qDateNext($X67,AQ$12,$AR$11,FRM&lt;&gt;"Calypso",CCY))</f>
        <v>0</v>
      </c>
      <c r="AR67" s="882">
        <f>IF($X67=0,0,      _xll.qDateNext($X67,AR$12,$AR$11,FRM&lt;&gt;"Calypso",CCY))</f>
        <v>0</v>
      </c>
      <c r="AS67" s="901">
        <f ca="1"/>
        <v>0</v>
      </c>
      <c r="AT67" s="901">
        <f ca="1"/>
        <v>0</v>
      </c>
      <c r="AU67" s="901">
        <f t="shared" si="11"/>
        <v>0</v>
      </c>
      <c r="AV67" s="901">
        <f ca="1"/>
        <v>0</v>
      </c>
      <c r="AW67" s="901">
        <f t="shared" si="12"/>
        <v>0</v>
      </c>
      <c r="AX67" s="901">
        <f t="shared" si="13"/>
        <v>0</v>
      </c>
      <c r="AY67" s="901">
        <f ca="1"/>
        <v>0</v>
      </c>
      <c r="AZ67" s="901">
        <f ca="1"/>
        <v>0</v>
      </c>
      <c r="BA67" s="905">
        <f t="shared" si="2"/>
        <v>0</v>
      </c>
      <c r="BB67" s="905">
        <f t="shared" si="3"/>
        <v>0</v>
      </c>
      <c r="BC67" s="905">
        <f t="shared" si="4"/>
        <v>0</v>
      </c>
      <c r="BD67" s="905">
        <f t="shared" si="5"/>
        <v>0</v>
      </c>
      <c r="BE67" s="905">
        <f t="shared" si="6"/>
        <v>0</v>
      </c>
      <c r="BF67" s="905">
        <f t="shared" si="7"/>
        <v>0</v>
      </c>
      <c r="BG67" s="905">
        <f t="shared" si="8"/>
        <v>0</v>
      </c>
      <c r="BH67" s="905">
        <f t="shared" si="9"/>
        <v>0</v>
      </c>
      <c r="BI67" s="713">
        <v>0</v>
      </c>
      <c r="BJ67" s="695"/>
      <c r="BK67" s="752">
        <f>IF(X68=0,0,           IF(ISNUMBER(BJ67),BJ67,               IF(ISTEXT(BJ67),INDEX(BA67:BH67,MATCH(BJ67,$BA$12:$BH$12,0)),             IF(BI67="INT",_xll.qInterp(X68,AK67:AR67,BA67:BH67),            INDEX(BA67:BH67,MATCH(BI67,$BA$12:$BH$12,0))))))</f>
        <v>0</v>
      </c>
      <c r="BL67" s="389">
        <f t="shared" si="14"/>
        <v>0</v>
      </c>
      <c r="BM67" s="394">
        <f t="shared" si="15"/>
        <v>0</v>
      </c>
      <c r="BN67" s="389">
        <f t="shared" si="16"/>
        <v>0</v>
      </c>
    </row>
    <row r="68" spans="16:66">
      <c r="P68" s="714">
        <v>0</v>
      </c>
      <c r="Q68" s="715">
        <f t="shared" si="0"/>
        <v>0</v>
      </c>
      <c r="R68" s="712">
        <f>IF(P69,_xll.qDateYears(P68,P69,DCCfixed),0)</f>
        <v>0</v>
      </c>
      <c r="S68" s="519">
        <f ca="1"/>
        <v>0</v>
      </c>
      <c r="T68" s="720"/>
      <c r="U68" s="390">
        <f t="shared" si="10"/>
        <v>0</v>
      </c>
      <c r="X68" s="345">
        <v>0</v>
      </c>
      <c r="Y68" s="711">
        <f t="shared" si="1"/>
        <v>0</v>
      </c>
      <c r="Z68" s="712">
        <f>IF(X69,_xll.qDateYears(X68,X69,DCCfloat),0)</f>
        <v>0</v>
      </c>
      <c r="AA68" s="519">
        <f ca="1"/>
        <v>0</v>
      </c>
      <c r="AB68" s="890">
        <f>IF(X68=0,0,         IF(OR(CCY="AUD",CCY="NZD",CCY="GBP"),X68,   _xll.qDateNext(X68,"-2b",,,IF(CCY="EUR","TGT","LON"))))</f>
        <v>0</v>
      </c>
      <c r="AC68" s="879" t="str">
        <v/>
      </c>
      <c r="AD68" s="879" t="str">
        <v/>
      </c>
      <c r="AE68" s="879" t="str">
        <v/>
      </c>
      <c r="AF68" s="879" t="str">
        <v/>
      </c>
      <c r="AG68" s="879" t="str">
        <v/>
      </c>
      <c r="AH68" s="879" t="str">
        <v/>
      </c>
      <c r="AI68" s="879" t="str">
        <v/>
      </c>
      <c r="AJ68" s="879" t="str">
        <v/>
      </c>
      <c r="AK68" s="882">
        <f>IF($X68=0,0,      _xll.qDateNext($X68,AK$12,$AR$11,FRM&lt;&gt;"Calypso",CCY))</f>
        <v>0</v>
      </c>
      <c r="AL68" s="882">
        <f>IF($X68=0,0,      _xll.qDateNext($X68,AL$12,$AR$11,FRM&lt;&gt;"Calypso",CCY))</f>
        <v>0</v>
      </c>
      <c r="AM68" s="882">
        <f>IF($X68=0,0,      _xll.qDateNext($X68,AM$12,$AR$11,FRM&lt;&gt;"Calypso",CCY))</f>
        <v>0</v>
      </c>
      <c r="AN68" s="882">
        <f>IF($X68=0,0,      _xll.qDateNext($X68,AN$12,$AR$11,FRM&lt;&gt;"Calypso",CCY))</f>
        <v>0</v>
      </c>
      <c r="AO68" s="882">
        <f>IF($X68=0,0,      _xll.qDateNext($X68,AO$12,$AR$11,FRM&lt;&gt;"Calypso",CCY))</f>
        <v>0</v>
      </c>
      <c r="AP68" s="882">
        <f>IF($X68=0,0,      _xll.qDateNext($X68,AP$12,$AR$11,FRM&lt;&gt;"Calypso",CCY))</f>
        <v>0</v>
      </c>
      <c r="AQ68" s="882">
        <f>IF($X68=0,0,      _xll.qDateNext($X68,AQ$12,$AR$11,FRM&lt;&gt;"Calypso",CCY))</f>
        <v>0</v>
      </c>
      <c r="AR68" s="882">
        <f>IF($X68=0,0,      _xll.qDateNext($X68,AR$12,$AR$11,FRM&lt;&gt;"Calypso",CCY))</f>
        <v>0</v>
      </c>
      <c r="AS68" s="901">
        <f ca="1"/>
        <v>0</v>
      </c>
      <c r="AT68" s="901">
        <f ca="1"/>
        <v>0</v>
      </c>
      <c r="AU68" s="901">
        <f t="shared" si="11"/>
        <v>0</v>
      </c>
      <c r="AV68" s="901">
        <f ca="1"/>
        <v>0</v>
      </c>
      <c r="AW68" s="901">
        <f t="shared" si="12"/>
        <v>0</v>
      </c>
      <c r="AX68" s="901">
        <f t="shared" si="13"/>
        <v>0</v>
      </c>
      <c r="AY68" s="901">
        <f ca="1"/>
        <v>0</v>
      </c>
      <c r="AZ68" s="901">
        <f ca="1"/>
        <v>0</v>
      </c>
      <c r="BA68" s="905">
        <f t="shared" si="2"/>
        <v>0</v>
      </c>
      <c r="BB68" s="905">
        <f t="shared" si="3"/>
        <v>0</v>
      </c>
      <c r="BC68" s="905">
        <f t="shared" si="4"/>
        <v>0</v>
      </c>
      <c r="BD68" s="905">
        <f t="shared" si="5"/>
        <v>0</v>
      </c>
      <c r="BE68" s="905">
        <f t="shared" si="6"/>
        <v>0</v>
      </c>
      <c r="BF68" s="905">
        <f t="shared" si="7"/>
        <v>0</v>
      </c>
      <c r="BG68" s="905">
        <f t="shared" si="8"/>
        <v>0</v>
      </c>
      <c r="BH68" s="905">
        <f t="shared" si="9"/>
        <v>0</v>
      </c>
      <c r="BI68" s="713">
        <v>0</v>
      </c>
      <c r="BJ68" s="695"/>
      <c r="BK68" s="752">
        <f>IF(X69=0,0,           IF(ISNUMBER(BJ68),BJ68,               IF(ISTEXT(BJ68),INDEX(BA68:BH68,MATCH(BJ68,$BA$12:$BH$12,0)),             IF(BI68="INT",_xll.qInterp(X69,AK68:AR68,BA68:BH68),            INDEX(BA68:BH68,MATCH(BI68,$BA$12:$BH$12,0))))))</f>
        <v>0</v>
      </c>
      <c r="BL68" s="389">
        <f t="shared" si="14"/>
        <v>0</v>
      </c>
      <c r="BM68" s="394">
        <f t="shared" si="15"/>
        <v>0</v>
      </c>
      <c r="BN68" s="389">
        <f t="shared" si="16"/>
        <v>0</v>
      </c>
    </row>
    <row r="69" spans="16:66">
      <c r="P69" s="714">
        <v>0</v>
      </c>
      <c r="Q69" s="715">
        <f t="shared" si="0"/>
        <v>0</v>
      </c>
      <c r="R69" s="712">
        <f>IF(P70,_xll.qDateYears(P69,P70,DCCfixed),0)</f>
        <v>0</v>
      </c>
      <c r="S69" s="519">
        <f ca="1"/>
        <v>0</v>
      </c>
      <c r="T69" s="720"/>
      <c r="U69" s="390">
        <f t="shared" si="10"/>
        <v>0</v>
      </c>
      <c r="X69" s="345">
        <v>0</v>
      </c>
      <c r="Y69" s="711">
        <f t="shared" si="1"/>
        <v>0</v>
      </c>
      <c r="Z69" s="712">
        <f>IF(X70,_xll.qDateYears(X69,X70,DCCfloat),0)</f>
        <v>0</v>
      </c>
      <c r="AA69" s="519">
        <f ca="1"/>
        <v>0</v>
      </c>
      <c r="AB69" s="890">
        <f>IF(X69=0,0,         IF(OR(CCY="AUD",CCY="NZD",CCY="GBP"),X69,   _xll.qDateNext(X69,"-2b",,,IF(CCY="EUR","TGT","LON"))))</f>
        <v>0</v>
      </c>
      <c r="AC69" s="879" t="str">
        <v/>
      </c>
      <c r="AD69" s="879" t="str">
        <v/>
      </c>
      <c r="AE69" s="879" t="str">
        <v/>
      </c>
      <c r="AF69" s="879" t="str">
        <v/>
      </c>
      <c r="AG69" s="879" t="str">
        <v/>
      </c>
      <c r="AH69" s="879" t="str">
        <v/>
      </c>
      <c r="AI69" s="879" t="str">
        <v/>
      </c>
      <c r="AJ69" s="879" t="str">
        <v/>
      </c>
      <c r="AK69" s="882">
        <f>IF($X69=0,0,      _xll.qDateNext($X69,AK$12,$AR$11,FRM&lt;&gt;"Calypso",CCY))</f>
        <v>0</v>
      </c>
      <c r="AL69" s="882">
        <f>IF($X69=0,0,      _xll.qDateNext($X69,AL$12,$AR$11,FRM&lt;&gt;"Calypso",CCY))</f>
        <v>0</v>
      </c>
      <c r="AM69" s="882">
        <f>IF($X69=0,0,      _xll.qDateNext($X69,AM$12,$AR$11,FRM&lt;&gt;"Calypso",CCY))</f>
        <v>0</v>
      </c>
      <c r="AN69" s="882">
        <f>IF($X69=0,0,      _xll.qDateNext($X69,AN$12,$AR$11,FRM&lt;&gt;"Calypso",CCY))</f>
        <v>0</v>
      </c>
      <c r="AO69" s="882">
        <f>IF($X69=0,0,      _xll.qDateNext($X69,AO$12,$AR$11,FRM&lt;&gt;"Calypso",CCY))</f>
        <v>0</v>
      </c>
      <c r="AP69" s="882">
        <f>IF($X69=0,0,      _xll.qDateNext($X69,AP$12,$AR$11,FRM&lt;&gt;"Calypso",CCY))</f>
        <v>0</v>
      </c>
      <c r="AQ69" s="882">
        <f>IF($X69=0,0,      _xll.qDateNext($X69,AQ$12,$AR$11,FRM&lt;&gt;"Calypso",CCY))</f>
        <v>0</v>
      </c>
      <c r="AR69" s="882">
        <f>IF($X69=0,0,      _xll.qDateNext($X69,AR$12,$AR$11,FRM&lt;&gt;"Calypso",CCY))</f>
        <v>0</v>
      </c>
      <c r="AS69" s="901">
        <f ca="1"/>
        <v>0</v>
      </c>
      <c r="AT69" s="901">
        <f ca="1"/>
        <v>0</v>
      </c>
      <c r="AU69" s="901">
        <f t="shared" si="11"/>
        <v>0</v>
      </c>
      <c r="AV69" s="901">
        <f ca="1"/>
        <v>0</v>
      </c>
      <c r="AW69" s="901">
        <f t="shared" si="12"/>
        <v>0</v>
      </c>
      <c r="AX69" s="901">
        <f t="shared" si="13"/>
        <v>0</v>
      </c>
      <c r="AY69" s="901">
        <f ca="1"/>
        <v>0</v>
      </c>
      <c r="AZ69" s="901">
        <f ca="1"/>
        <v>0</v>
      </c>
      <c r="BA69" s="905">
        <f t="shared" si="2"/>
        <v>0</v>
      </c>
      <c r="BB69" s="905">
        <f t="shared" si="3"/>
        <v>0</v>
      </c>
      <c r="BC69" s="905">
        <f t="shared" si="4"/>
        <v>0</v>
      </c>
      <c r="BD69" s="905">
        <f t="shared" si="5"/>
        <v>0</v>
      </c>
      <c r="BE69" s="905">
        <f t="shared" si="6"/>
        <v>0</v>
      </c>
      <c r="BF69" s="905">
        <f t="shared" si="7"/>
        <v>0</v>
      </c>
      <c r="BG69" s="905">
        <f t="shared" si="8"/>
        <v>0</v>
      </c>
      <c r="BH69" s="905">
        <f t="shared" si="9"/>
        <v>0</v>
      </c>
      <c r="BI69" s="713">
        <v>0</v>
      </c>
      <c r="BJ69" s="695"/>
      <c r="BK69" s="752">
        <f>IF(X70=0,0,           IF(ISNUMBER(BJ69),BJ69,               IF(ISTEXT(BJ69),INDEX(BA69:BH69,MATCH(BJ69,$BA$12:$BH$12,0)),             IF(BI69="INT",_xll.qInterp(X70,AK69:AR69,BA69:BH69),            INDEX(BA69:BH69,MATCH(BI69,$BA$12:$BH$12,0))))))</f>
        <v>0</v>
      </c>
      <c r="BL69" s="389">
        <f t="shared" si="14"/>
        <v>0</v>
      </c>
      <c r="BM69" s="394">
        <f t="shared" si="15"/>
        <v>0</v>
      </c>
      <c r="BN69" s="389">
        <f t="shared" si="16"/>
        <v>0</v>
      </c>
    </row>
    <row r="70" spans="16:66">
      <c r="P70" s="714">
        <v>0</v>
      </c>
      <c r="Q70" s="715">
        <f t="shared" si="0"/>
        <v>0</v>
      </c>
      <c r="R70" s="712">
        <f>IF(P71,_xll.qDateYears(P70,P71,DCCfixed),0)</f>
        <v>0</v>
      </c>
      <c r="S70" s="519">
        <f ca="1"/>
        <v>0</v>
      </c>
      <c r="T70" s="720"/>
      <c r="U70" s="390">
        <f t="shared" si="10"/>
        <v>0</v>
      </c>
      <c r="X70" s="345">
        <v>0</v>
      </c>
      <c r="Y70" s="711">
        <f t="shared" si="1"/>
        <v>0</v>
      </c>
      <c r="Z70" s="712">
        <f>IF(X71,_xll.qDateYears(X70,X71,DCCfloat),0)</f>
        <v>0</v>
      </c>
      <c r="AA70" s="519">
        <f ca="1"/>
        <v>0</v>
      </c>
      <c r="AB70" s="890">
        <f>IF(X70=0,0,         IF(OR(CCY="AUD",CCY="NZD",CCY="GBP"),X70,   _xll.qDateNext(X70,"-2b",,,IF(CCY="EUR","TGT","LON"))))</f>
        <v>0</v>
      </c>
      <c r="AC70" s="879" t="str">
        <v/>
      </c>
      <c r="AD70" s="879" t="str">
        <v/>
      </c>
      <c r="AE70" s="879" t="str">
        <v/>
      </c>
      <c r="AF70" s="879" t="str">
        <v/>
      </c>
      <c r="AG70" s="879" t="str">
        <v/>
      </c>
      <c r="AH70" s="879" t="str">
        <v/>
      </c>
      <c r="AI70" s="879" t="str">
        <v/>
      </c>
      <c r="AJ70" s="879" t="str">
        <v/>
      </c>
      <c r="AK70" s="882">
        <f>IF($X70=0,0,      _xll.qDateNext($X70,AK$12,$AR$11,FRM&lt;&gt;"Calypso",CCY))</f>
        <v>0</v>
      </c>
      <c r="AL70" s="882">
        <f>IF($X70=0,0,      _xll.qDateNext($X70,AL$12,$AR$11,FRM&lt;&gt;"Calypso",CCY))</f>
        <v>0</v>
      </c>
      <c r="AM70" s="882">
        <f>IF($X70=0,0,      _xll.qDateNext($X70,AM$12,$AR$11,FRM&lt;&gt;"Calypso",CCY))</f>
        <v>0</v>
      </c>
      <c r="AN70" s="882">
        <f>IF($X70=0,0,      _xll.qDateNext($X70,AN$12,$AR$11,FRM&lt;&gt;"Calypso",CCY))</f>
        <v>0</v>
      </c>
      <c r="AO70" s="882">
        <f>IF($X70=0,0,      _xll.qDateNext($X70,AO$12,$AR$11,FRM&lt;&gt;"Calypso",CCY))</f>
        <v>0</v>
      </c>
      <c r="AP70" s="882">
        <f>IF($X70=0,0,      _xll.qDateNext($X70,AP$12,$AR$11,FRM&lt;&gt;"Calypso",CCY))</f>
        <v>0</v>
      </c>
      <c r="AQ70" s="882">
        <f>IF($X70=0,0,      _xll.qDateNext($X70,AQ$12,$AR$11,FRM&lt;&gt;"Calypso",CCY))</f>
        <v>0</v>
      </c>
      <c r="AR70" s="882">
        <f>IF($X70=0,0,      _xll.qDateNext($X70,AR$12,$AR$11,FRM&lt;&gt;"Calypso",CCY))</f>
        <v>0</v>
      </c>
      <c r="AS70" s="901">
        <f ca="1"/>
        <v>0</v>
      </c>
      <c r="AT70" s="901">
        <f ca="1"/>
        <v>0</v>
      </c>
      <c r="AU70" s="901">
        <f t="shared" si="11"/>
        <v>0</v>
      </c>
      <c r="AV70" s="901">
        <f ca="1"/>
        <v>0</v>
      </c>
      <c r="AW70" s="901">
        <f t="shared" si="12"/>
        <v>0</v>
      </c>
      <c r="AX70" s="901">
        <f t="shared" si="13"/>
        <v>0</v>
      </c>
      <c r="AY70" s="901">
        <f ca="1"/>
        <v>0</v>
      </c>
      <c r="AZ70" s="901">
        <f ca="1"/>
        <v>0</v>
      </c>
      <c r="BA70" s="905">
        <f t="shared" si="2"/>
        <v>0</v>
      </c>
      <c r="BB70" s="905">
        <f t="shared" si="3"/>
        <v>0</v>
      </c>
      <c r="BC70" s="905">
        <f t="shared" si="4"/>
        <v>0</v>
      </c>
      <c r="BD70" s="905">
        <f t="shared" si="5"/>
        <v>0</v>
      </c>
      <c r="BE70" s="905">
        <f t="shared" si="6"/>
        <v>0</v>
      </c>
      <c r="BF70" s="905">
        <f t="shared" si="7"/>
        <v>0</v>
      </c>
      <c r="BG70" s="905">
        <f t="shared" si="8"/>
        <v>0</v>
      </c>
      <c r="BH70" s="905">
        <f t="shared" si="9"/>
        <v>0</v>
      </c>
      <c r="BI70" s="713">
        <v>0</v>
      </c>
      <c r="BJ70" s="695"/>
      <c r="BK70" s="752">
        <f>IF(X71=0,0,           IF(ISNUMBER(BJ70),BJ70,               IF(ISTEXT(BJ70),INDEX(BA70:BH70,MATCH(BJ70,$BA$12:$BH$12,0)),             IF(BI70="INT",_xll.qInterp(X71,AK70:AR70,BA70:BH70),            INDEX(BA70:BH70,MATCH(BI70,$BA$12:$BH$12,0))))))</f>
        <v>0</v>
      </c>
      <c r="BL70" s="389">
        <f t="shared" si="14"/>
        <v>0</v>
      </c>
      <c r="BM70" s="394">
        <f t="shared" si="15"/>
        <v>0</v>
      </c>
      <c r="BN70" s="389">
        <f t="shared" si="16"/>
        <v>0</v>
      </c>
    </row>
    <row r="71" spans="16:66">
      <c r="P71" s="714">
        <v>0</v>
      </c>
      <c r="Q71" s="715">
        <f t="shared" si="0"/>
        <v>0</v>
      </c>
      <c r="R71" s="712">
        <f>IF(P72,_xll.qDateYears(P71,P72,DCCfixed),0)</f>
        <v>0</v>
      </c>
      <c r="S71" s="519">
        <f ca="1"/>
        <v>0</v>
      </c>
      <c r="T71" s="720"/>
      <c r="U71" s="390">
        <f t="shared" si="10"/>
        <v>0</v>
      </c>
      <c r="X71" s="345">
        <v>0</v>
      </c>
      <c r="Y71" s="711">
        <f t="shared" si="1"/>
        <v>0</v>
      </c>
      <c r="Z71" s="712">
        <f>IF(X72,_xll.qDateYears(X71,X72,DCCfloat),0)</f>
        <v>0</v>
      </c>
      <c r="AA71" s="519">
        <f ca="1"/>
        <v>0</v>
      </c>
      <c r="AB71" s="890">
        <f>IF(X71=0,0,         IF(OR(CCY="AUD",CCY="NZD",CCY="GBP"),X71,   _xll.qDateNext(X71,"-2b",,,IF(CCY="EUR","TGT","LON"))))</f>
        <v>0</v>
      </c>
      <c r="AC71" s="879" t="str">
        <v/>
      </c>
      <c r="AD71" s="879" t="str">
        <v/>
      </c>
      <c r="AE71" s="879" t="str">
        <v/>
      </c>
      <c r="AF71" s="879" t="str">
        <v/>
      </c>
      <c r="AG71" s="879" t="str">
        <v/>
      </c>
      <c r="AH71" s="879" t="str">
        <v/>
      </c>
      <c r="AI71" s="879" t="str">
        <v/>
      </c>
      <c r="AJ71" s="879" t="str">
        <v/>
      </c>
      <c r="AK71" s="882">
        <f>IF($X71=0,0,      _xll.qDateNext($X71,AK$12,$AR$11,FRM&lt;&gt;"Calypso",CCY))</f>
        <v>0</v>
      </c>
      <c r="AL71" s="882">
        <f>IF($X71=0,0,      _xll.qDateNext($X71,AL$12,$AR$11,FRM&lt;&gt;"Calypso",CCY))</f>
        <v>0</v>
      </c>
      <c r="AM71" s="882">
        <f>IF($X71=0,0,      _xll.qDateNext($X71,AM$12,$AR$11,FRM&lt;&gt;"Calypso",CCY))</f>
        <v>0</v>
      </c>
      <c r="AN71" s="882">
        <f>IF($X71=0,0,      _xll.qDateNext($X71,AN$12,$AR$11,FRM&lt;&gt;"Calypso",CCY))</f>
        <v>0</v>
      </c>
      <c r="AO71" s="882">
        <f>IF($X71=0,0,      _xll.qDateNext($X71,AO$12,$AR$11,FRM&lt;&gt;"Calypso",CCY))</f>
        <v>0</v>
      </c>
      <c r="AP71" s="882">
        <f>IF($X71=0,0,      _xll.qDateNext($X71,AP$12,$AR$11,FRM&lt;&gt;"Calypso",CCY))</f>
        <v>0</v>
      </c>
      <c r="AQ71" s="882">
        <f>IF($X71=0,0,      _xll.qDateNext($X71,AQ$12,$AR$11,FRM&lt;&gt;"Calypso",CCY))</f>
        <v>0</v>
      </c>
      <c r="AR71" s="882">
        <f>IF($X71=0,0,      _xll.qDateNext($X71,AR$12,$AR$11,FRM&lt;&gt;"Calypso",CCY))</f>
        <v>0</v>
      </c>
      <c r="AS71" s="901">
        <f ca="1"/>
        <v>0</v>
      </c>
      <c r="AT71" s="901">
        <f ca="1"/>
        <v>0</v>
      </c>
      <c r="AU71" s="901">
        <f t="shared" si="11"/>
        <v>0</v>
      </c>
      <c r="AV71" s="901">
        <f ca="1"/>
        <v>0</v>
      </c>
      <c r="AW71" s="901">
        <f t="shared" si="12"/>
        <v>0</v>
      </c>
      <c r="AX71" s="901">
        <f t="shared" si="13"/>
        <v>0</v>
      </c>
      <c r="AY71" s="901">
        <f ca="1"/>
        <v>0</v>
      </c>
      <c r="AZ71" s="901">
        <f ca="1"/>
        <v>0</v>
      </c>
      <c r="BA71" s="905">
        <f t="shared" si="2"/>
        <v>0</v>
      </c>
      <c r="BB71" s="905">
        <f t="shared" si="3"/>
        <v>0</v>
      </c>
      <c r="BC71" s="905">
        <f t="shared" si="4"/>
        <v>0</v>
      </c>
      <c r="BD71" s="905">
        <f t="shared" si="5"/>
        <v>0</v>
      </c>
      <c r="BE71" s="905">
        <f t="shared" si="6"/>
        <v>0</v>
      </c>
      <c r="BF71" s="905">
        <f t="shared" si="7"/>
        <v>0</v>
      </c>
      <c r="BG71" s="905">
        <f t="shared" si="8"/>
        <v>0</v>
      </c>
      <c r="BH71" s="905">
        <f t="shared" si="9"/>
        <v>0</v>
      </c>
      <c r="BI71" s="713">
        <v>0</v>
      </c>
      <c r="BJ71" s="695"/>
      <c r="BK71" s="752">
        <f>IF(X72=0,0,           IF(ISNUMBER(BJ71),BJ71,               IF(ISTEXT(BJ71),INDEX(BA71:BH71,MATCH(BJ71,$BA$12:$BH$12,0)),             IF(BI71="INT",_xll.qInterp(X72,AK71:AR71,BA71:BH71),            INDEX(BA71:BH71,MATCH(BI71,$BA$12:$BH$12,0))))))</f>
        <v>0</v>
      </c>
      <c r="BL71" s="389">
        <f t="shared" si="14"/>
        <v>0</v>
      </c>
      <c r="BM71" s="394">
        <f t="shared" si="15"/>
        <v>0</v>
      </c>
      <c r="BN71" s="389">
        <f t="shared" si="16"/>
        <v>0</v>
      </c>
    </row>
    <row r="72" spans="16:66">
      <c r="P72" s="714">
        <v>0</v>
      </c>
      <c r="Q72" s="715">
        <f t="shared" si="0"/>
        <v>0</v>
      </c>
      <c r="R72" s="712">
        <f>IF(P73,_xll.qDateYears(P72,P73,DCCfixed),0)</f>
        <v>0</v>
      </c>
      <c r="S72" s="519">
        <f ca="1"/>
        <v>0</v>
      </c>
      <c r="T72" s="720"/>
      <c r="U72" s="390">
        <f t="shared" si="10"/>
        <v>0</v>
      </c>
      <c r="X72" s="345">
        <v>0</v>
      </c>
      <c r="Y72" s="711">
        <f t="shared" si="1"/>
        <v>0</v>
      </c>
      <c r="Z72" s="712">
        <f>IF(X73,_xll.qDateYears(X72,X73,DCCfloat),0)</f>
        <v>0</v>
      </c>
      <c r="AA72" s="519">
        <f ca="1"/>
        <v>0</v>
      </c>
      <c r="AB72" s="890">
        <f>IF(X72=0,0,         IF(OR(CCY="AUD",CCY="NZD",CCY="GBP"),X72,   _xll.qDateNext(X72,"-2b",,,IF(CCY="EUR","TGT","LON"))))</f>
        <v>0</v>
      </c>
      <c r="AC72" s="879" t="str">
        <v/>
      </c>
      <c r="AD72" s="879" t="str">
        <v/>
      </c>
      <c r="AE72" s="879" t="str">
        <v/>
      </c>
      <c r="AF72" s="879" t="str">
        <v/>
      </c>
      <c r="AG72" s="879" t="str">
        <v/>
      </c>
      <c r="AH72" s="879" t="str">
        <v/>
      </c>
      <c r="AI72" s="879" t="str">
        <v/>
      </c>
      <c r="AJ72" s="879" t="str">
        <v/>
      </c>
      <c r="AK72" s="882">
        <f>IF($X72=0,0,      _xll.qDateNext($X72,AK$12,$AR$11,FRM&lt;&gt;"Calypso",CCY))</f>
        <v>0</v>
      </c>
      <c r="AL72" s="882">
        <f>IF($X72=0,0,      _xll.qDateNext($X72,AL$12,$AR$11,FRM&lt;&gt;"Calypso",CCY))</f>
        <v>0</v>
      </c>
      <c r="AM72" s="882">
        <f>IF($X72=0,0,      _xll.qDateNext($X72,AM$12,$AR$11,FRM&lt;&gt;"Calypso",CCY))</f>
        <v>0</v>
      </c>
      <c r="AN72" s="882">
        <f>IF($X72=0,0,      _xll.qDateNext($X72,AN$12,$AR$11,FRM&lt;&gt;"Calypso",CCY))</f>
        <v>0</v>
      </c>
      <c r="AO72" s="882">
        <f>IF($X72=0,0,      _xll.qDateNext($X72,AO$12,$AR$11,FRM&lt;&gt;"Calypso",CCY))</f>
        <v>0</v>
      </c>
      <c r="AP72" s="882">
        <f>IF($X72=0,0,      _xll.qDateNext($X72,AP$12,$AR$11,FRM&lt;&gt;"Calypso",CCY))</f>
        <v>0</v>
      </c>
      <c r="AQ72" s="882">
        <f>IF($X72=0,0,      _xll.qDateNext($X72,AQ$12,$AR$11,FRM&lt;&gt;"Calypso",CCY))</f>
        <v>0</v>
      </c>
      <c r="AR72" s="882">
        <f>IF($X72=0,0,      _xll.qDateNext($X72,AR$12,$AR$11,FRM&lt;&gt;"Calypso",CCY))</f>
        <v>0</v>
      </c>
      <c r="AS72" s="901">
        <f ca="1"/>
        <v>0</v>
      </c>
      <c r="AT72" s="901">
        <f ca="1"/>
        <v>0</v>
      </c>
      <c r="AU72" s="901">
        <f t="shared" si="11"/>
        <v>0</v>
      </c>
      <c r="AV72" s="901">
        <f ca="1"/>
        <v>0</v>
      </c>
      <c r="AW72" s="901">
        <f t="shared" si="12"/>
        <v>0</v>
      </c>
      <c r="AX72" s="901">
        <f t="shared" si="13"/>
        <v>0</v>
      </c>
      <c r="AY72" s="901">
        <f ca="1"/>
        <v>0</v>
      </c>
      <c r="AZ72" s="901">
        <f ca="1"/>
        <v>0</v>
      </c>
      <c r="BA72" s="905">
        <f t="shared" si="2"/>
        <v>0</v>
      </c>
      <c r="BB72" s="905">
        <f t="shared" si="3"/>
        <v>0</v>
      </c>
      <c r="BC72" s="905">
        <f t="shared" si="4"/>
        <v>0</v>
      </c>
      <c r="BD72" s="905">
        <f t="shared" si="5"/>
        <v>0</v>
      </c>
      <c r="BE72" s="905">
        <f t="shared" si="6"/>
        <v>0</v>
      </c>
      <c r="BF72" s="905">
        <f t="shared" si="7"/>
        <v>0</v>
      </c>
      <c r="BG72" s="905">
        <f t="shared" si="8"/>
        <v>0</v>
      </c>
      <c r="BH72" s="905">
        <f t="shared" si="9"/>
        <v>0</v>
      </c>
      <c r="BI72" s="713">
        <v>0</v>
      </c>
      <c r="BJ72" s="695"/>
      <c r="BK72" s="752">
        <f>IF(X73=0,0,           IF(ISNUMBER(BJ72),BJ72,               IF(ISTEXT(BJ72),INDEX(BA72:BH72,MATCH(BJ72,$BA$12:$BH$12,0)),             IF(BI72="INT",_xll.qInterp(X73,AK72:AR72,BA72:BH72),            INDEX(BA72:BH72,MATCH(BI72,$BA$12:$BH$12,0))))))</f>
        <v>0</v>
      </c>
      <c r="BL72" s="389">
        <f t="shared" si="14"/>
        <v>0</v>
      </c>
      <c r="BM72" s="394">
        <f t="shared" si="15"/>
        <v>0</v>
      </c>
      <c r="BN72" s="389">
        <f t="shared" si="16"/>
        <v>0</v>
      </c>
    </row>
    <row r="73" spans="16:66">
      <c r="P73" s="714">
        <v>0</v>
      </c>
      <c r="Q73" s="715">
        <f t="shared" si="0"/>
        <v>0</v>
      </c>
      <c r="R73" s="712">
        <f>IF(P74,_xll.qDateYears(P73,P74,DCCfixed),0)</f>
        <v>0</v>
      </c>
      <c r="S73" s="519">
        <f ca="1"/>
        <v>0</v>
      </c>
      <c r="T73" s="720"/>
      <c r="U73" s="390">
        <f t="shared" si="10"/>
        <v>0</v>
      </c>
      <c r="X73" s="345">
        <v>0</v>
      </c>
      <c r="Y73" s="711">
        <f t="shared" si="1"/>
        <v>0</v>
      </c>
      <c r="Z73" s="712">
        <f>IF(X74,_xll.qDateYears(X73,X74,DCCfloat),0)</f>
        <v>0</v>
      </c>
      <c r="AA73" s="519">
        <f ca="1"/>
        <v>0</v>
      </c>
      <c r="AB73" s="890">
        <f>IF(X73=0,0,         IF(OR(CCY="AUD",CCY="NZD",CCY="GBP"),X73,   _xll.qDateNext(X73,"-2b",,,IF(CCY="EUR","TGT","LON"))))</f>
        <v>0</v>
      </c>
      <c r="AC73" s="879" t="str">
        <v/>
      </c>
      <c r="AD73" s="879" t="str">
        <v/>
      </c>
      <c r="AE73" s="879" t="str">
        <v/>
      </c>
      <c r="AF73" s="879" t="str">
        <v/>
      </c>
      <c r="AG73" s="879" t="str">
        <v/>
      </c>
      <c r="AH73" s="879" t="str">
        <v/>
      </c>
      <c r="AI73" s="879" t="str">
        <v/>
      </c>
      <c r="AJ73" s="879" t="str">
        <v/>
      </c>
      <c r="AK73" s="882">
        <f>IF($X73=0,0,      _xll.qDateNext($X73,AK$12,$AR$11,FRM&lt;&gt;"Calypso",CCY))</f>
        <v>0</v>
      </c>
      <c r="AL73" s="882">
        <f>IF($X73=0,0,      _xll.qDateNext($X73,AL$12,$AR$11,FRM&lt;&gt;"Calypso",CCY))</f>
        <v>0</v>
      </c>
      <c r="AM73" s="882">
        <f>IF($X73=0,0,      _xll.qDateNext($X73,AM$12,$AR$11,FRM&lt;&gt;"Calypso",CCY))</f>
        <v>0</v>
      </c>
      <c r="AN73" s="882">
        <f>IF($X73=0,0,      _xll.qDateNext($X73,AN$12,$AR$11,FRM&lt;&gt;"Calypso",CCY))</f>
        <v>0</v>
      </c>
      <c r="AO73" s="882">
        <f>IF($X73=0,0,      _xll.qDateNext($X73,AO$12,$AR$11,FRM&lt;&gt;"Calypso",CCY))</f>
        <v>0</v>
      </c>
      <c r="AP73" s="882">
        <f>IF($X73=0,0,      _xll.qDateNext($X73,AP$12,$AR$11,FRM&lt;&gt;"Calypso",CCY))</f>
        <v>0</v>
      </c>
      <c r="AQ73" s="882">
        <f>IF($X73=0,0,      _xll.qDateNext($X73,AQ$12,$AR$11,FRM&lt;&gt;"Calypso",CCY))</f>
        <v>0</v>
      </c>
      <c r="AR73" s="882">
        <f>IF($X73=0,0,      _xll.qDateNext($X73,AR$12,$AR$11,FRM&lt;&gt;"Calypso",CCY))</f>
        <v>0</v>
      </c>
      <c r="AS73" s="901">
        <f ca="1"/>
        <v>0</v>
      </c>
      <c r="AT73" s="901">
        <f ca="1"/>
        <v>0</v>
      </c>
      <c r="AU73" s="901">
        <f t="shared" si="11"/>
        <v>0</v>
      </c>
      <c r="AV73" s="901">
        <f ca="1"/>
        <v>0</v>
      </c>
      <c r="AW73" s="901">
        <f t="shared" si="12"/>
        <v>0</v>
      </c>
      <c r="AX73" s="901">
        <f t="shared" si="13"/>
        <v>0</v>
      </c>
      <c r="AY73" s="901">
        <f ca="1"/>
        <v>0</v>
      </c>
      <c r="AZ73" s="901">
        <f ca="1"/>
        <v>0</v>
      </c>
      <c r="BA73" s="905">
        <f t="shared" si="2"/>
        <v>0</v>
      </c>
      <c r="BB73" s="905">
        <f t="shared" si="3"/>
        <v>0</v>
      </c>
      <c r="BC73" s="905">
        <f t="shared" si="4"/>
        <v>0</v>
      </c>
      <c r="BD73" s="905">
        <f t="shared" si="5"/>
        <v>0</v>
      </c>
      <c r="BE73" s="905">
        <f t="shared" si="6"/>
        <v>0</v>
      </c>
      <c r="BF73" s="905">
        <f t="shared" si="7"/>
        <v>0</v>
      </c>
      <c r="BG73" s="905">
        <f t="shared" si="8"/>
        <v>0</v>
      </c>
      <c r="BH73" s="905">
        <f t="shared" si="9"/>
        <v>0</v>
      </c>
      <c r="BI73" s="713">
        <v>0</v>
      </c>
      <c r="BJ73" s="695"/>
      <c r="BK73" s="752">
        <f>IF(X74=0,0,           IF(ISNUMBER(BJ73),BJ73,               IF(ISTEXT(BJ73),INDEX(BA73:BH73,MATCH(BJ73,$BA$12:$BH$12,0)),             IF(BI73="INT",_xll.qInterp(X74,AK73:AR73,BA73:BH73),            INDEX(BA73:BH73,MATCH(BI73,$BA$12:$BH$12,0))))))</f>
        <v>0</v>
      </c>
      <c r="BL73" s="389">
        <f t="shared" si="14"/>
        <v>0</v>
      </c>
      <c r="BM73" s="394">
        <f t="shared" si="15"/>
        <v>0</v>
      </c>
      <c r="BN73" s="389">
        <f t="shared" si="16"/>
        <v>0</v>
      </c>
    </row>
    <row r="74" spans="16:66">
      <c r="P74" s="714">
        <v>0</v>
      </c>
      <c r="Q74" s="715">
        <f t="shared" si="0"/>
        <v>0</v>
      </c>
      <c r="R74" s="712">
        <f>IF(P75,_xll.qDateYears(P74,P75,DCCfixed),0)</f>
        <v>0</v>
      </c>
      <c r="S74" s="519">
        <f ca="1"/>
        <v>0</v>
      </c>
      <c r="T74" s="720"/>
      <c r="U74" s="390">
        <f t="shared" si="10"/>
        <v>0</v>
      </c>
      <c r="X74" s="345">
        <v>0</v>
      </c>
      <c r="Y74" s="711">
        <f t="shared" si="1"/>
        <v>0</v>
      </c>
      <c r="Z74" s="712">
        <f>IF(X75,_xll.qDateYears(X74,X75,DCCfloat),0)</f>
        <v>0</v>
      </c>
      <c r="AA74" s="519">
        <f ca="1"/>
        <v>0</v>
      </c>
      <c r="AB74" s="890">
        <f>IF(X74=0,0,         IF(OR(CCY="AUD",CCY="NZD",CCY="GBP"),X74,   _xll.qDateNext(X74,"-2b",,,IF(CCY="EUR","TGT","LON"))))</f>
        <v>0</v>
      </c>
      <c r="AC74" s="879" t="str">
        <v/>
      </c>
      <c r="AD74" s="879" t="str">
        <v/>
      </c>
      <c r="AE74" s="879" t="str">
        <v/>
      </c>
      <c r="AF74" s="879" t="str">
        <v/>
      </c>
      <c r="AG74" s="879" t="str">
        <v/>
      </c>
      <c r="AH74" s="879" t="str">
        <v/>
      </c>
      <c r="AI74" s="879" t="str">
        <v/>
      </c>
      <c r="AJ74" s="879" t="str">
        <v/>
      </c>
      <c r="AK74" s="882">
        <f>IF($X74=0,0,      _xll.qDateNext($X74,AK$12,$AR$11,FRM&lt;&gt;"Calypso",CCY))</f>
        <v>0</v>
      </c>
      <c r="AL74" s="882">
        <f>IF($X74=0,0,      _xll.qDateNext($X74,AL$12,$AR$11,FRM&lt;&gt;"Calypso",CCY))</f>
        <v>0</v>
      </c>
      <c r="AM74" s="882">
        <f>IF($X74=0,0,      _xll.qDateNext($X74,AM$12,$AR$11,FRM&lt;&gt;"Calypso",CCY))</f>
        <v>0</v>
      </c>
      <c r="AN74" s="882">
        <f>IF($X74=0,0,      _xll.qDateNext($X74,AN$12,$AR$11,FRM&lt;&gt;"Calypso",CCY))</f>
        <v>0</v>
      </c>
      <c r="AO74" s="882">
        <f>IF($X74=0,0,      _xll.qDateNext($X74,AO$12,$AR$11,FRM&lt;&gt;"Calypso",CCY))</f>
        <v>0</v>
      </c>
      <c r="AP74" s="882">
        <f>IF($X74=0,0,      _xll.qDateNext($X74,AP$12,$AR$11,FRM&lt;&gt;"Calypso",CCY))</f>
        <v>0</v>
      </c>
      <c r="AQ74" s="882">
        <f>IF($X74=0,0,      _xll.qDateNext($X74,AQ$12,$AR$11,FRM&lt;&gt;"Calypso",CCY))</f>
        <v>0</v>
      </c>
      <c r="AR74" s="882">
        <f>IF($X74=0,0,      _xll.qDateNext($X74,AR$12,$AR$11,FRM&lt;&gt;"Calypso",CCY))</f>
        <v>0</v>
      </c>
      <c r="AS74" s="901">
        <f ca="1"/>
        <v>0</v>
      </c>
      <c r="AT74" s="901">
        <f ca="1"/>
        <v>0</v>
      </c>
      <c r="AU74" s="901">
        <f t="shared" si="11"/>
        <v>0</v>
      </c>
      <c r="AV74" s="901">
        <f ca="1"/>
        <v>0</v>
      </c>
      <c r="AW74" s="901">
        <f t="shared" si="12"/>
        <v>0</v>
      </c>
      <c r="AX74" s="901">
        <f t="shared" si="13"/>
        <v>0</v>
      </c>
      <c r="AY74" s="901">
        <f ca="1"/>
        <v>0</v>
      </c>
      <c r="AZ74" s="901">
        <f ca="1"/>
        <v>0</v>
      </c>
      <c r="BA74" s="905">
        <f t="shared" si="2"/>
        <v>0</v>
      </c>
      <c r="BB74" s="905">
        <f t="shared" si="3"/>
        <v>0</v>
      </c>
      <c r="BC74" s="905">
        <f t="shared" si="4"/>
        <v>0</v>
      </c>
      <c r="BD74" s="905">
        <f t="shared" si="5"/>
        <v>0</v>
      </c>
      <c r="BE74" s="905">
        <f t="shared" si="6"/>
        <v>0</v>
      </c>
      <c r="BF74" s="905">
        <f t="shared" si="7"/>
        <v>0</v>
      </c>
      <c r="BG74" s="905">
        <f t="shared" si="8"/>
        <v>0</v>
      </c>
      <c r="BH74" s="905">
        <f t="shared" si="9"/>
        <v>0</v>
      </c>
      <c r="BI74" s="713">
        <v>0</v>
      </c>
      <c r="BJ74" s="695"/>
      <c r="BK74" s="752">
        <f>IF(X75=0,0,           IF(ISNUMBER(BJ74),BJ74,               IF(ISTEXT(BJ74),INDEX(BA74:BH74,MATCH(BJ74,$BA$12:$BH$12,0)),             IF(BI74="INT",_xll.qInterp(X75,AK74:AR74,BA74:BH74),            INDEX(BA74:BH74,MATCH(BI74,$BA$12:$BH$12,0))))))</f>
        <v>0</v>
      </c>
      <c r="BL74" s="389">
        <f t="shared" si="14"/>
        <v>0</v>
      </c>
      <c r="BM74" s="394">
        <f t="shared" si="15"/>
        <v>0</v>
      </c>
      <c r="BN74" s="389">
        <f t="shared" si="16"/>
        <v>0</v>
      </c>
    </row>
    <row r="75" spans="16:66">
      <c r="P75" s="714">
        <v>0</v>
      </c>
      <c r="Q75" s="715">
        <f t="shared" si="0"/>
        <v>0</v>
      </c>
      <c r="R75" s="712">
        <f>IF(P76,_xll.qDateYears(P75,P76,DCCfixed),0)</f>
        <v>0</v>
      </c>
      <c r="S75" s="519">
        <f ca="1"/>
        <v>0</v>
      </c>
      <c r="T75" s="720"/>
      <c r="U75" s="390">
        <f t="shared" si="10"/>
        <v>0</v>
      </c>
      <c r="X75" s="345">
        <v>0</v>
      </c>
      <c r="Y75" s="711">
        <f t="shared" si="1"/>
        <v>0</v>
      </c>
      <c r="Z75" s="712">
        <f>IF(X76,_xll.qDateYears(X75,X76,DCCfloat),0)</f>
        <v>0</v>
      </c>
      <c r="AA75" s="519">
        <f ca="1"/>
        <v>0</v>
      </c>
      <c r="AB75" s="890">
        <f>IF(X75=0,0,         IF(OR(CCY="AUD",CCY="NZD",CCY="GBP"),X75,   _xll.qDateNext(X75,"-2b",,,IF(CCY="EUR","TGT","LON"))))</f>
        <v>0</v>
      </c>
      <c r="AC75" s="879" t="str">
        <v/>
      </c>
      <c r="AD75" s="879" t="str">
        <v/>
      </c>
      <c r="AE75" s="879" t="str">
        <v/>
      </c>
      <c r="AF75" s="879" t="str">
        <v/>
      </c>
      <c r="AG75" s="879" t="str">
        <v/>
      </c>
      <c r="AH75" s="879" t="str">
        <v/>
      </c>
      <c r="AI75" s="879" t="str">
        <v/>
      </c>
      <c r="AJ75" s="879" t="str">
        <v/>
      </c>
      <c r="AK75" s="882">
        <f>IF($X75=0,0,      _xll.qDateNext($X75,AK$12,$AR$11,FRM&lt;&gt;"Calypso",CCY))</f>
        <v>0</v>
      </c>
      <c r="AL75" s="882">
        <f>IF($X75=0,0,      _xll.qDateNext($X75,AL$12,$AR$11,FRM&lt;&gt;"Calypso",CCY))</f>
        <v>0</v>
      </c>
      <c r="AM75" s="882">
        <f>IF($X75=0,0,      _xll.qDateNext($X75,AM$12,$AR$11,FRM&lt;&gt;"Calypso",CCY))</f>
        <v>0</v>
      </c>
      <c r="AN75" s="882">
        <f>IF($X75=0,0,      _xll.qDateNext($X75,AN$12,$AR$11,FRM&lt;&gt;"Calypso",CCY))</f>
        <v>0</v>
      </c>
      <c r="AO75" s="882">
        <f>IF($X75=0,0,      _xll.qDateNext($X75,AO$12,$AR$11,FRM&lt;&gt;"Calypso",CCY))</f>
        <v>0</v>
      </c>
      <c r="AP75" s="882">
        <f>IF($X75=0,0,      _xll.qDateNext($X75,AP$12,$AR$11,FRM&lt;&gt;"Calypso",CCY))</f>
        <v>0</v>
      </c>
      <c r="AQ75" s="882">
        <f>IF($X75=0,0,      _xll.qDateNext($X75,AQ$12,$AR$11,FRM&lt;&gt;"Calypso",CCY))</f>
        <v>0</v>
      </c>
      <c r="AR75" s="882">
        <f>IF($X75=0,0,      _xll.qDateNext($X75,AR$12,$AR$11,FRM&lt;&gt;"Calypso",CCY))</f>
        <v>0</v>
      </c>
      <c r="AS75" s="901">
        <f ca="1"/>
        <v>0</v>
      </c>
      <c r="AT75" s="901">
        <f ca="1"/>
        <v>0</v>
      </c>
      <c r="AU75" s="901">
        <f t="shared" si="11"/>
        <v>0</v>
      </c>
      <c r="AV75" s="901">
        <f ca="1"/>
        <v>0</v>
      </c>
      <c r="AW75" s="901">
        <f t="shared" si="12"/>
        <v>0</v>
      </c>
      <c r="AX75" s="901">
        <f t="shared" si="13"/>
        <v>0</v>
      </c>
      <c r="AY75" s="901">
        <f ca="1"/>
        <v>0</v>
      </c>
      <c r="AZ75" s="901">
        <f ca="1"/>
        <v>0</v>
      </c>
      <c r="BA75" s="905">
        <f t="shared" si="2"/>
        <v>0</v>
      </c>
      <c r="BB75" s="905">
        <f t="shared" si="3"/>
        <v>0</v>
      </c>
      <c r="BC75" s="905">
        <f t="shared" si="4"/>
        <v>0</v>
      </c>
      <c r="BD75" s="905">
        <f t="shared" si="5"/>
        <v>0</v>
      </c>
      <c r="BE75" s="905">
        <f t="shared" si="6"/>
        <v>0</v>
      </c>
      <c r="BF75" s="905">
        <f t="shared" si="7"/>
        <v>0</v>
      </c>
      <c r="BG75" s="905">
        <f t="shared" si="8"/>
        <v>0</v>
      </c>
      <c r="BH75" s="905">
        <f t="shared" si="9"/>
        <v>0</v>
      </c>
      <c r="BI75" s="713">
        <v>0</v>
      </c>
      <c r="BJ75" s="695"/>
      <c r="BK75" s="752">
        <f>IF(X76=0,0,           IF(ISNUMBER(BJ75),BJ75,               IF(ISTEXT(BJ75),INDEX(BA75:BH75,MATCH(BJ75,$BA$12:$BH$12,0)),             IF(BI75="INT",_xll.qInterp(X76,AK75:AR75,BA75:BH75),            INDEX(BA75:BH75,MATCH(BI75,$BA$12:$BH$12,0))))))</f>
        <v>0</v>
      </c>
      <c r="BL75" s="389">
        <f t="shared" si="14"/>
        <v>0</v>
      </c>
      <c r="BM75" s="394">
        <f t="shared" si="15"/>
        <v>0</v>
      </c>
      <c r="BN75" s="389">
        <f t="shared" si="16"/>
        <v>0</v>
      </c>
    </row>
    <row r="76" spans="16:66">
      <c r="P76" s="714">
        <v>0</v>
      </c>
      <c r="Q76" s="715">
        <f t="shared" si="0"/>
        <v>0</v>
      </c>
      <c r="R76" s="712">
        <f>IF(P77,_xll.qDateYears(P76,P77,DCCfixed),0)</f>
        <v>0</v>
      </c>
      <c r="S76" s="519">
        <f ca="1"/>
        <v>0</v>
      </c>
      <c r="T76" s="720"/>
      <c r="U76" s="390">
        <f t="shared" si="10"/>
        <v>0</v>
      </c>
      <c r="X76" s="345">
        <v>0</v>
      </c>
      <c r="Y76" s="711">
        <f t="shared" si="1"/>
        <v>0</v>
      </c>
      <c r="Z76" s="712">
        <f>IF(X77,_xll.qDateYears(X76,X77,DCCfloat),0)</f>
        <v>0</v>
      </c>
      <c r="AA76" s="519">
        <f ca="1"/>
        <v>0</v>
      </c>
      <c r="AB76" s="890">
        <f>IF(X76=0,0,         IF(OR(CCY="AUD",CCY="NZD",CCY="GBP"),X76,   _xll.qDateNext(X76,"-2b",,,IF(CCY="EUR","TGT","LON"))))</f>
        <v>0</v>
      </c>
      <c r="AC76" s="879" t="str">
        <v/>
      </c>
      <c r="AD76" s="879" t="str">
        <v/>
      </c>
      <c r="AE76" s="879" t="str">
        <v/>
      </c>
      <c r="AF76" s="879" t="str">
        <v/>
      </c>
      <c r="AG76" s="879" t="str">
        <v/>
      </c>
      <c r="AH76" s="879" t="str">
        <v/>
      </c>
      <c r="AI76" s="879" t="str">
        <v/>
      </c>
      <c r="AJ76" s="879" t="str">
        <v/>
      </c>
      <c r="AK76" s="882">
        <f>IF($X76=0,0,      _xll.qDateNext($X76,AK$12,$AR$11,FRM&lt;&gt;"Calypso",CCY))</f>
        <v>0</v>
      </c>
      <c r="AL76" s="882">
        <f>IF($X76=0,0,      _xll.qDateNext($X76,AL$12,$AR$11,FRM&lt;&gt;"Calypso",CCY))</f>
        <v>0</v>
      </c>
      <c r="AM76" s="882">
        <f>IF($X76=0,0,      _xll.qDateNext($X76,AM$12,$AR$11,FRM&lt;&gt;"Calypso",CCY))</f>
        <v>0</v>
      </c>
      <c r="AN76" s="882">
        <f>IF($X76=0,0,      _xll.qDateNext($X76,AN$12,$AR$11,FRM&lt;&gt;"Calypso",CCY))</f>
        <v>0</v>
      </c>
      <c r="AO76" s="882">
        <f>IF($X76=0,0,      _xll.qDateNext($X76,AO$12,$AR$11,FRM&lt;&gt;"Calypso",CCY))</f>
        <v>0</v>
      </c>
      <c r="AP76" s="882">
        <f>IF($X76=0,0,      _xll.qDateNext($X76,AP$12,$AR$11,FRM&lt;&gt;"Calypso",CCY))</f>
        <v>0</v>
      </c>
      <c r="AQ76" s="882">
        <f>IF($X76=0,0,      _xll.qDateNext($X76,AQ$12,$AR$11,FRM&lt;&gt;"Calypso",CCY))</f>
        <v>0</v>
      </c>
      <c r="AR76" s="882">
        <f>IF($X76=0,0,      _xll.qDateNext($X76,AR$12,$AR$11,FRM&lt;&gt;"Calypso",CCY))</f>
        <v>0</v>
      </c>
      <c r="AS76" s="901">
        <f ca="1"/>
        <v>0</v>
      </c>
      <c r="AT76" s="901">
        <f ca="1"/>
        <v>0</v>
      </c>
      <c r="AU76" s="901">
        <f t="shared" si="11"/>
        <v>0</v>
      </c>
      <c r="AV76" s="901">
        <f ca="1"/>
        <v>0</v>
      </c>
      <c r="AW76" s="901">
        <f t="shared" si="12"/>
        <v>0</v>
      </c>
      <c r="AX76" s="901">
        <f t="shared" si="13"/>
        <v>0</v>
      </c>
      <c r="AY76" s="901">
        <f ca="1"/>
        <v>0</v>
      </c>
      <c r="AZ76" s="901">
        <f ca="1"/>
        <v>0</v>
      </c>
      <c r="BA76" s="905">
        <f t="shared" si="2"/>
        <v>0</v>
      </c>
      <c r="BB76" s="905">
        <f t="shared" si="3"/>
        <v>0</v>
      </c>
      <c r="BC76" s="905">
        <f t="shared" si="4"/>
        <v>0</v>
      </c>
      <c r="BD76" s="905">
        <f t="shared" si="5"/>
        <v>0</v>
      </c>
      <c r="BE76" s="905">
        <f t="shared" si="6"/>
        <v>0</v>
      </c>
      <c r="BF76" s="905">
        <f t="shared" si="7"/>
        <v>0</v>
      </c>
      <c r="BG76" s="905">
        <f t="shared" si="8"/>
        <v>0</v>
      </c>
      <c r="BH76" s="905">
        <f t="shared" si="9"/>
        <v>0</v>
      </c>
      <c r="BI76" s="713">
        <v>0</v>
      </c>
      <c r="BJ76" s="695"/>
      <c r="BK76" s="752">
        <f>IF(X77=0,0,           IF(ISNUMBER(BJ76),BJ76,               IF(ISTEXT(BJ76),INDEX(BA76:BH76,MATCH(BJ76,$BA$12:$BH$12,0)),             IF(BI76="INT",_xll.qInterp(X77,AK76:AR76,BA76:BH76),            INDEX(BA76:BH76,MATCH(BI76,$BA$12:$BH$12,0))))))</f>
        <v>0</v>
      </c>
      <c r="BL76" s="389">
        <f t="shared" si="14"/>
        <v>0</v>
      </c>
      <c r="BM76" s="394">
        <f t="shared" si="15"/>
        <v>0</v>
      </c>
      <c r="BN76" s="389">
        <f t="shared" si="16"/>
        <v>0</v>
      </c>
    </row>
    <row r="77" spans="16:66">
      <c r="P77" s="714">
        <v>0</v>
      </c>
      <c r="Q77" s="715">
        <f t="shared" ref="Q77:Q140" si="17">IF(P78,IF(LEFT(DCCfixed,3)="Act",P78-P77,DAYS360(P77,P78)),0)</f>
        <v>0</v>
      </c>
      <c r="R77" s="712">
        <f>IF(P78,_xll.qDateYears(P77,P78,DCCfixed),0)</f>
        <v>0</v>
      </c>
      <c r="S77" s="519">
        <f ca="1"/>
        <v>0</v>
      </c>
      <c r="T77" s="720"/>
      <c r="U77" s="390">
        <f t="shared" si="10"/>
        <v>0</v>
      </c>
      <c r="X77" s="345">
        <v>0</v>
      </c>
      <c r="Y77" s="711">
        <f t="shared" ref="Y77:Y140" si="18">IF(X78,IF(LEFT(DCCfloat,3)="Act",X78-X77,DAYS360(X77,X78)),0)</f>
        <v>0</v>
      </c>
      <c r="Z77" s="712">
        <f>IF(X78,_xll.qDateYears(X77,X78,DCCfloat),0)</f>
        <v>0</v>
      </c>
      <c r="AA77" s="519">
        <f ca="1"/>
        <v>0</v>
      </c>
      <c r="AB77" s="890">
        <f>IF(X77=0,0,         IF(OR(CCY="AUD",CCY="NZD",CCY="GBP"),X77,   _xll.qDateNext(X77,"-2b",,,IF(CCY="EUR","TGT","LON"))))</f>
        <v>0</v>
      </c>
      <c r="AC77" s="879" t="str">
        <v/>
      </c>
      <c r="AD77" s="879" t="str">
        <v/>
      </c>
      <c r="AE77" s="879" t="str">
        <v/>
      </c>
      <c r="AF77" s="879" t="str">
        <v/>
      </c>
      <c r="AG77" s="879" t="str">
        <v/>
      </c>
      <c r="AH77" s="879" t="str">
        <v/>
      </c>
      <c r="AI77" s="879" t="str">
        <v/>
      </c>
      <c r="AJ77" s="879" t="str">
        <v/>
      </c>
      <c r="AK77" s="882">
        <f>IF($X77=0,0,      _xll.qDateNext($X77,AK$12,$AR$11,FRM&lt;&gt;"Calypso",CCY))</f>
        <v>0</v>
      </c>
      <c r="AL77" s="882">
        <f>IF($X77=0,0,      _xll.qDateNext($X77,AL$12,$AR$11,FRM&lt;&gt;"Calypso",CCY))</f>
        <v>0</v>
      </c>
      <c r="AM77" s="882">
        <f>IF($X77=0,0,      _xll.qDateNext($X77,AM$12,$AR$11,FRM&lt;&gt;"Calypso",CCY))</f>
        <v>0</v>
      </c>
      <c r="AN77" s="882">
        <f>IF($X77=0,0,      _xll.qDateNext($X77,AN$12,$AR$11,FRM&lt;&gt;"Calypso",CCY))</f>
        <v>0</v>
      </c>
      <c r="AO77" s="882">
        <f>IF($X77=0,0,      _xll.qDateNext($X77,AO$12,$AR$11,FRM&lt;&gt;"Calypso",CCY))</f>
        <v>0</v>
      </c>
      <c r="AP77" s="882">
        <f>IF($X77=0,0,      _xll.qDateNext($X77,AP$12,$AR$11,FRM&lt;&gt;"Calypso",CCY))</f>
        <v>0</v>
      </c>
      <c r="AQ77" s="882">
        <f>IF($X77=0,0,      _xll.qDateNext($X77,AQ$12,$AR$11,FRM&lt;&gt;"Calypso",CCY))</f>
        <v>0</v>
      </c>
      <c r="AR77" s="882">
        <f>IF($X77=0,0,      _xll.qDateNext($X77,AR$12,$AR$11,FRM&lt;&gt;"Calypso",CCY))</f>
        <v>0</v>
      </c>
      <c r="AS77" s="901">
        <f ca="1"/>
        <v>0</v>
      </c>
      <c r="AT77" s="901">
        <f ca="1"/>
        <v>0</v>
      </c>
      <c r="AU77" s="901">
        <f t="shared" si="11"/>
        <v>0</v>
      </c>
      <c r="AV77" s="901">
        <f ca="1"/>
        <v>0</v>
      </c>
      <c r="AW77" s="901">
        <f t="shared" si="12"/>
        <v>0</v>
      </c>
      <c r="AX77" s="901">
        <f t="shared" si="13"/>
        <v>0</v>
      </c>
      <c r="AY77" s="901">
        <f ca="1"/>
        <v>0</v>
      </c>
      <c r="AZ77" s="901">
        <f ca="1"/>
        <v>0</v>
      </c>
      <c r="BA77" s="905">
        <f t="shared" ref="BA77:BA140" si="19">IF($X77=0,0,   IF(ISNUMBER(AC77),AC77,AS77))</f>
        <v>0</v>
      </c>
      <c r="BB77" s="905">
        <f t="shared" ref="BB77:BB140" si="20">IF($X77=0,0,   IF(ISNUMBER(AD77),AD77,AT77))</f>
        <v>0</v>
      </c>
      <c r="BC77" s="905">
        <f t="shared" ref="BC77:BC140" si="21">IF($X77=0,0,   IF(ISNUMBER(AE77),AE77,AU77))</f>
        <v>0</v>
      </c>
      <c r="BD77" s="905">
        <f t="shared" ref="BD77:BD140" si="22">IF($X77=0,0,   IF(ISNUMBER(AF77),AF77,AV77))</f>
        <v>0</v>
      </c>
      <c r="BE77" s="905">
        <f t="shared" ref="BE77:BE140" si="23">IF($X77=0,0,   IF(ISNUMBER(AG77),AG77,AW77))</f>
        <v>0</v>
      </c>
      <c r="BF77" s="905">
        <f t="shared" ref="BF77:BF140" si="24">IF($X77=0,0,   IF(ISNUMBER(AH77),AH77,AX77))</f>
        <v>0</v>
      </c>
      <c r="BG77" s="905">
        <f t="shared" ref="BG77:BG140" si="25">IF($X77=0,0,   IF(ISNUMBER(AI77),AI77,AY77))</f>
        <v>0</v>
      </c>
      <c r="BH77" s="905">
        <f t="shared" ref="BH77:BH140" si="26">IF($X77=0,0,   IF(ISNUMBER(AJ77),AJ77,AZ77))</f>
        <v>0</v>
      </c>
      <c r="BI77" s="713">
        <v>0</v>
      </c>
      <c r="BJ77" s="695"/>
      <c r="BK77" s="752">
        <f>IF(X78=0,0,           IF(ISNUMBER(BJ77),BJ77,               IF(ISTEXT(BJ77),INDEX(BA77:BH77,MATCH(BJ77,$BA$12:$BH$12,0)),             IF(BI77="INT",_xll.qInterp(X78,AK77:AR77,BA77:BH77),            INDEX(BA77:BH77,MATCH(BI77,$BA$12:$BH$12,0))))))</f>
        <v>0</v>
      </c>
      <c r="BL77" s="389">
        <f t="shared" si="14"/>
        <v>0</v>
      </c>
      <c r="BM77" s="394">
        <f t="shared" si="15"/>
        <v>0</v>
      </c>
      <c r="BN77" s="389">
        <f t="shared" si="16"/>
        <v>0</v>
      </c>
    </row>
    <row r="78" spans="16:66">
      <c r="P78" s="714">
        <v>0</v>
      </c>
      <c r="Q78" s="715">
        <f t="shared" si="17"/>
        <v>0</v>
      </c>
      <c r="R78" s="712">
        <f>IF(P79,_xll.qDateYears(P78,P79,DCCfixed),0)</f>
        <v>0</v>
      </c>
      <c r="S78" s="519">
        <f ca="1"/>
        <v>0</v>
      </c>
      <c r="T78" s="720"/>
      <c r="U78" s="390">
        <f t="shared" ref="U78:U141" si="27">IF(P78,$U$5%*R77*Face,0) + IF(AND(IncludePrincipals,P78&gt;0,P79=0),Face,0) + IF(P78,T78,0)</f>
        <v>0</v>
      </c>
      <c r="X78" s="345">
        <v>0</v>
      </c>
      <c r="Y78" s="711">
        <f t="shared" si="18"/>
        <v>0</v>
      </c>
      <c r="Z78" s="712">
        <f>IF(X79,_xll.qDateYears(X78,X79,DCCfloat),0)</f>
        <v>0</v>
      </c>
      <c r="AA78" s="519">
        <f ca="1"/>
        <v>0</v>
      </c>
      <c r="AB78" s="890">
        <f>IF(X78=0,0,         IF(OR(CCY="AUD",CCY="NZD",CCY="GBP"),X78,   _xll.qDateNext(X78,"-2b",,,IF(CCY="EUR","TGT","LON"))))</f>
        <v>0</v>
      </c>
      <c r="AC78" s="879" t="str">
        <v/>
      </c>
      <c r="AD78" s="879" t="str">
        <v/>
      </c>
      <c r="AE78" s="879" t="str">
        <v/>
      </c>
      <c r="AF78" s="879" t="str">
        <v/>
      </c>
      <c r="AG78" s="879" t="str">
        <v/>
      </c>
      <c r="AH78" s="879" t="str">
        <v/>
      </c>
      <c r="AI78" s="879" t="str">
        <v/>
      </c>
      <c r="AJ78" s="879" t="str">
        <v/>
      </c>
      <c r="AK78" s="882">
        <f>IF($X78=0,0,      _xll.qDateNext($X78,AK$12,$AR$11,FRM&lt;&gt;"Calypso",CCY))</f>
        <v>0</v>
      </c>
      <c r="AL78" s="882">
        <f>IF($X78=0,0,      _xll.qDateNext($X78,AL$12,$AR$11,FRM&lt;&gt;"Calypso",CCY))</f>
        <v>0</v>
      </c>
      <c r="AM78" s="882">
        <f>IF($X78=0,0,      _xll.qDateNext($X78,AM$12,$AR$11,FRM&lt;&gt;"Calypso",CCY))</f>
        <v>0</v>
      </c>
      <c r="AN78" s="882">
        <f>IF($X78=0,0,      _xll.qDateNext($X78,AN$12,$AR$11,FRM&lt;&gt;"Calypso",CCY))</f>
        <v>0</v>
      </c>
      <c r="AO78" s="882">
        <f>IF($X78=0,0,      _xll.qDateNext($X78,AO$12,$AR$11,FRM&lt;&gt;"Calypso",CCY))</f>
        <v>0</v>
      </c>
      <c r="AP78" s="882">
        <f>IF($X78=0,0,      _xll.qDateNext($X78,AP$12,$AR$11,FRM&lt;&gt;"Calypso",CCY))</f>
        <v>0</v>
      </c>
      <c r="AQ78" s="882">
        <f>IF($X78=0,0,      _xll.qDateNext($X78,AQ$12,$AR$11,FRM&lt;&gt;"Calypso",CCY))</f>
        <v>0</v>
      </c>
      <c r="AR78" s="882">
        <f>IF($X78=0,0,      _xll.qDateNext($X78,AR$12,$AR$11,FRM&lt;&gt;"Calypso",CCY))</f>
        <v>0</v>
      </c>
      <c r="AS78" s="901">
        <f ca="1"/>
        <v>0</v>
      </c>
      <c r="AT78" s="901">
        <f ca="1"/>
        <v>0</v>
      </c>
      <c r="AU78" s="901">
        <f t="shared" ref="AU78:AU141" si="28">IF($X78,AVERAGE(AT78,AV78),0)</f>
        <v>0</v>
      </c>
      <c r="AV78" s="901">
        <f ca="1"/>
        <v>0</v>
      </c>
      <c r="AW78" s="901">
        <f t="shared" ref="AW78:AW141" si="29">IF($X78,AV78+(AY78-AV78)/3,0)</f>
        <v>0</v>
      </c>
      <c r="AX78" s="901">
        <f t="shared" ref="AX78:AX141" si="30">IF($X78,AVERAGE(AW78,AY78),0)</f>
        <v>0</v>
      </c>
      <c r="AY78" s="901">
        <f ca="1"/>
        <v>0</v>
      </c>
      <c r="AZ78" s="901">
        <f ca="1"/>
        <v>0</v>
      </c>
      <c r="BA78" s="905">
        <f t="shared" si="19"/>
        <v>0</v>
      </c>
      <c r="BB78" s="905">
        <f t="shared" si="20"/>
        <v>0</v>
      </c>
      <c r="BC78" s="905">
        <f t="shared" si="21"/>
        <v>0</v>
      </c>
      <c r="BD78" s="905">
        <f t="shared" si="22"/>
        <v>0</v>
      </c>
      <c r="BE78" s="905">
        <f t="shared" si="23"/>
        <v>0</v>
      </c>
      <c r="BF78" s="905">
        <f t="shared" si="24"/>
        <v>0</v>
      </c>
      <c r="BG78" s="905">
        <f t="shared" si="25"/>
        <v>0</v>
      </c>
      <c r="BH78" s="905">
        <f t="shared" si="26"/>
        <v>0</v>
      </c>
      <c r="BI78" s="713">
        <v>0</v>
      </c>
      <c r="BJ78" s="695"/>
      <c r="BK78" s="752">
        <f>IF(X79=0,0,           IF(ISNUMBER(BJ78),BJ78,               IF(ISTEXT(BJ78),INDEX(BA78:BH78,MATCH(BJ78,$BA$12:$BH$12,0)),             IF(BI78="INT",_xll.qInterp(X79,AK78:AR78,BA78:BH78),            INDEX(BA78:BH78,MATCH(BI78,$BA$12:$BH$12,0))))))</f>
        <v>0</v>
      </c>
      <c r="BL78" s="389">
        <f t="shared" ref="BL78:BL141" si="31">IF(X78,-BK77%*Face*Z77,0)</f>
        <v>0</v>
      </c>
      <c r="BM78" s="394">
        <f t="shared" ref="BM78:BM141" si="32">IF(X78,-Margin%%*Z77*Face,0)</f>
        <v>0</v>
      </c>
      <c r="BN78" s="389">
        <f t="shared" ref="BN78:BN141" si="33">SUM(BL78:BM78)+IF(AND(IncludePrincipals,X78&lt;&gt;0,X79=0),-Face,0)</f>
        <v>0</v>
      </c>
    </row>
    <row r="79" spans="16:66">
      <c r="P79" s="714">
        <v>0</v>
      </c>
      <c r="Q79" s="715">
        <f t="shared" si="17"/>
        <v>0</v>
      </c>
      <c r="R79" s="712">
        <f>IF(P80,_xll.qDateYears(P79,P80,DCCfixed),0)</f>
        <v>0</v>
      </c>
      <c r="S79" s="519">
        <f ca="1"/>
        <v>0</v>
      </c>
      <c r="T79" s="720"/>
      <c r="U79" s="390">
        <f t="shared" si="27"/>
        <v>0</v>
      </c>
      <c r="X79" s="345">
        <v>0</v>
      </c>
      <c r="Y79" s="711">
        <f t="shared" si="18"/>
        <v>0</v>
      </c>
      <c r="Z79" s="712">
        <f>IF(X80,_xll.qDateYears(X79,X80,DCCfloat),0)</f>
        <v>0</v>
      </c>
      <c r="AA79" s="519">
        <f ca="1"/>
        <v>0</v>
      </c>
      <c r="AB79" s="890">
        <f>IF(X79=0,0,         IF(OR(CCY="AUD",CCY="NZD",CCY="GBP"),X79,   _xll.qDateNext(X79,"-2b",,,IF(CCY="EUR","TGT","LON"))))</f>
        <v>0</v>
      </c>
      <c r="AC79" s="879" t="str">
        <v/>
      </c>
      <c r="AD79" s="879" t="str">
        <v/>
      </c>
      <c r="AE79" s="879" t="str">
        <v/>
      </c>
      <c r="AF79" s="879" t="str">
        <v/>
      </c>
      <c r="AG79" s="879" t="str">
        <v/>
      </c>
      <c r="AH79" s="879" t="str">
        <v/>
      </c>
      <c r="AI79" s="879" t="str">
        <v/>
      </c>
      <c r="AJ79" s="879" t="str">
        <v/>
      </c>
      <c r="AK79" s="882">
        <f>IF($X79=0,0,      _xll.qDateNext($X79,AK$12,$AR$11,FRM&lt;&gt;"Calypso",CCY))</f>
        <v>0</v>
      </c>
      <c r="AL79" s="882">
        <f>IF($X79=0,0,      _xll.qDateNext($X79,AL$12,$AR$11,FRM&lt;&gt;"Calypso",CCY))</f>
        <v>0</v>
      </c>
      <c r="AM79" s="882">
        <f>IF($X79=0,0,      _xll.qDateNext($X79,AM$12,$AR$11,FRM&lt;&gt;"Calypso",CCY))</f>
        <v>0</v>
      </c>
      <c r="AN79" s="882">
        <f>IF($X79=0,0,      _xll.qDateNext($X79,AN$12,$AR$11,FRM&lt;&gt;"Calypso",CCY))</f>
        <v>0</v>
      </c>
      <c r="AO79" s="882">
        <f>IF($X79=0,0,      _xll.qDateNext($X79,AO$12,$AR$11,FRM&lt;&gt;"Calypso",CCY))</f>
        <v>0</v>
      </c>
      <c r="AP79" s="882">
        <f>IF($X79=0,0,      _xll.qDateNext($X79,AP$12,$AR$11,FRM&lt;&gt;"Calypso",CCY))</f>
        <v>0</v>
      </c>
      <c r="AQ79" s="882">
        <f>IF($X79=0,0,      _xll.qDateNext($X79,AQ$12,$AR$11,FRM&lt;&gt;"Calypso",CCY))</f>
        <v>0</v>
      </c>
      <c r="AR79" s="882">
        <f>IF($X79=0,0,      _xll.qDateNext($X79,AR$12,$AR$11,FRM&lt;&gt;"Calypso",CCY))</f>
        <v>0</v>
      </c>
      <c r="AS79" s="901">
        <f ca="1"/>
        <v>0</v>
      </c>
      <c r="AT79" s="901">
        <f ca="1"/>
        <v>0</v>
      </c>
      <c r="AU79" s="901">
        <f t="shared" si="28"/>
        <v>0</v>
      </c>
      <c r="AV79" s="901">
        <f ca="1"/>
        <v>0</v>
      </c>
      <c r="AW79" s="901">
        <f t="shared" si="29"/>
        <v>0</v>
      </c>
      <c r="AX79" s="901">
        <f t="shared" si="30"/>
        <v>0</v>
      </c>
      <c r="AY79" s="901">
        <f ca="1"/>
        <v>0</v>
      </c>
      <c r="AZ79" s="901">
        <f ca="1"/>
        <v>0</v>
      </c>
      <c r="BA79" s="905">
        <f t="shared" si="19"/>
        <v>0</v>
      </c>
      <c r="BB79" s="905">
        <f t="shared" si="20"/>
        <v>0</v>
      </c>
      <c r="BC79" s="905">
        <f t="shared" si="21"/>
        <v>0</v>
      </c>
      <c r="BD79" s="905">
        <f t="shared" si="22"/>
        <v>0</v>
      </c>
      <c r="BE79" s="905">
        <f t="shared" si="23"/>
        <v>0</v>
      </c>
      <c r="BF79" s="905">
        <f t="shared" si="24"/>
        <v>0</v>
      </c>
      <c r="BG79" s="905">
        <f t="shared" si="25"/>
        <v>0</v>
      </c>
      <c r="BH79" s="905">
        <f t="shared" si="26"/>
        <v>0</v>
      </c>
      <c r="BI79" s="713">
        <v>0</v>
      </c>
      <c r="BJ79" s="695"/>
      <c r="BK79" s="752">
        <f>IF(X80=0,0,           IF(ISNUMBER(BJ79),BJ79,               IF(ISTEXT(BJ79),INDEX(BA79:BH79,MATCH(BJ79,$BA$12:$BH$12,0)),             IF(BI79="INT",_xll.qInterp(X80,AK79:AR79,BA79:BH79),            INDEX(BA79:BH79,MATCH(BI79,$BA$12:$BH$12,0))))))</f>
        <v>0</v>
      </c>
      <c r="BL79" s="389">
        <f t="shared" si="31"/>
        <v>0</v>
      </c>
      <c r="BM79" s="394">
        <f t="shared" si="32"/>
        <v>0</v>
      </c>
      <c r="BN79" s="389">
        <f t="shared" si="33"/>
        <v>0</v>
      </c>
    </row>
    <row r="80" spans="16:66">
      <c r="P80" s="714">
        <v>0</v>
      </c>
      <c r="Q80" s="715">
        <f t="shared" si="17"/>
        <v>0</v>
      </c>
      <c r="R80" s="712">
        <f>IF(P81,_xll.qDateYears(P80,P81,DCCfixed),0)</f>
        <v>0</v>
      </c>
      <c r="S80" s="519">
        <f ca="1"/>
        <v>0</v>
      </c>
      <c r="T80" s="720"/>
      <c r="U80" s="390">
        <f t="shared" si="27"/>
        <v>0</v>
      </c>
      <c r="X80" s="345">
        <v>0</v>
      </c>
      <c r="Y80" s="711">
        <f t="shared" si="18"/>
        <v>0</v>
      </c>
      <c r="Z80" s="712">
        <f>IF(X81,_xll.qDateYears(X80,X81,DCCfloat),0)</f>
        <v>0</v>
      </c>
      <c r="AA80" s="519">
        <f ca="1"/>
        <v>0</v>
      </c>
      <c r="AB80" s="890">
        <f>IF(X80=0,0,         IF(OR(CCY="AUD",CCY="NZD",CCY="GBP"),X80,   _xll.qDateNext(X80,"-2b",,,IF(CCY="EUR","TGT","LON"))))</f>
        <v>0</v>
      </c>
      <c r="AC80" s="879" t="str">
        <v/>
      </c>
      <c r="AD80" s="879" t="str">
        <v/>
      </c>
      <c r="AE80" s="879" t="str">
        <v/>
      </c>
      <c r="AF80" s="879" t="str">
        <v/>
      </c>
      <c r="AG80" s="879" t="str">
        <v/>
      </c>
      <c r="AH80" s="879" t="str">
        <v/>
      </c>
      <c r="AI80" s="879" t="str">
        <v/>
      </c>
      <c r="AJ80" s="879" t="str">
        <v/>
      </c>
      <c r="AK80" s="882">
        <f>IF($X80=0,0,      _xll.qDateNext($X80,AK$12,$AR$11,FRM&lt;&gt;"Calypso",CCY))</f>
        <v>0</v>
      </c>
      <c r="AL80" s="882">
        <f>IF($X80=0,0,      _xll.qDateNext($X80,AL$12,$AR$11,FRM&lt;&gt;"Calypso",CCY))</f>
        <v>0</v>
      </c>
      <c r="AM80" s="882">
        <f>IF($X80=0,0,      _xll.qDateNext($X80,AM$12,$AR$11,FRM&lt;&gt;"Calypso",CCY))</f>
        <v>0</v>
      </c>
      <c r="AN80" s="882">
        <f>IF($X80=0,0,      _xll.qDateNext($X80,AN$12,$AR$11,FRM&lt;&gt;"Calypso",CCY))</f>
        <v>0</v>
      </c>
      <c r="AO80" s="882">
        <f>IF($X80=0,0,      _xll.qDateNext($X80,AO$12,$AR$11,FRM&lt;&gt;"Calypso",CCY))</f>
        <v>0</v>
      </c>
      <c r="AP80" s="882">
        <f>IF($X80=0,0,      _xll.qDateNext($X80,AP$12,$AR$11,FRM&lt;&gt;"Calypso",CCY))</f>
        <v>0</v>
      </c>
      <c r="AQ80" s="882">
        <f>IF($X80=0,0,      _xll.qDateNext($X80,AQ$12,$AR$11,FRM&lt;&gt;"Calypso",CCY))</f>
        <v>0</v>
      </c>
      <c r="AR80" s="882">
        <f>IF($X80=0,0,      _xll.qDateNext($X80,AR$12,$AR$11,FRM&lt;&gt;"Calypso",CCY))</f>
        <v>0</v>
      </c>
      <c r="AS80" s="901">
        <f ca="1"/>
        <v>0</v>
      </c>
      <c r="AT80" s="901">
        <f ca="1"/>
        <v>0</v>
      </c>
      <c r="AU80" s="901">
        <f t="shared" si="28"/>
        <v>0</v>
      </c>
      <c r="AV80" s="901">
        <f ca="1"/>
        <v>0</v>
      </c>
      <c r="AW80" s="901">
        <f t="shared" si="29"/>
        <v>0</v>
      </c>
      <c r="AX80" s="901">
        <f t="shared" si="30"/>
        <v>0</v>
      </c>
      <c r="AY80" s="901">
        <f ca="1"/>
        <v>0</v>
      </c>
      <c r="AZ80" s="901">
        <f ca="1"/>
        <v>0</v>
      </c>
      <c r="BA80" s="905">
        <f t="shared" si="19"/>
        <v>0</v>
      </c>
      <c r="BB80" s="905">
        <f t="shared" si="20"/>
        <v>0</v>
      </c>
      <c r="BC80" s="905">
        <f t="shared" si="21"/>
        <v>0</v>
      </c>
      <c r="BD80" s="905">
        <f t="shared" si="22"/>
        <v>0</v>
      </c>
      <c r="BE80" s="905">
        <f t="shared" si="23"/>
        <v>0</v>
      </c>
      <c r="BF80" s="905">
        <f t="shared" si="24"/>
        <v>0</v>
      </c>
      <c r="BG80" s="905">
        <f t="shared" si="25"/>
        <v>0</v>
      </c>
      <c r="BH80" s="905">
        <f t="shared" si="26"/>
        <v>0</v>
      </c>
      <c r="BI80" s="713">
        <v>0</v>
      </c>
      <c r="BJ80" s="695"/>
      <c r="BK80" s="752">
        <f>IF(X81=0,0,           IF(ISNUMBER(BJ80),BJ80,               IF(ISTEXT(BJ80),INDEX(BA80:BH80,MATCH(BJ80,$BA$12:$BH$12,0)),             IF(BI80="INT",_xll.qInterp(X81,AK80:AR80,BA80:BH80),            INDEX(BA80:BH80,MATCH(BI80,$BA$12:$BH$12,0))))))</f>
        <v>0</v>
      </c>
      <c r="BL80" s="389">
        <f t="shared" si="31"/>
        <v>0</v>
      </c>
      <c r="BM80" s="394">
        <f t="shared" si="32"/>
        <v>0</v>
      </c>
      <c r="BN80" s="389">
        <f t="shared" si="33"/>
        <v>0</v>
      </c>
    </row>
    <row r="81" spans="16:66">
      <c r="P81" s="714">
        <v>0</v>
      </c>
      <c r="Q81" s="715">
        <f t="shared" si="17"/>
        <v>0</v>
      </c>
      <c r="R81" s="712">
        <f>IF(P82,_xll.qDateYears(P81,P82,DCCfixed),0)</f>
        <v>0</v>
      </c>
      <c r="S81" s="519">
        <f ca="1"/>
        <v>0</v>
      </c>
      <c r="T81" s="720"/>
      <c r="U81" s="390">
        <f t="shared" si="27"/>
        <v>0</v>
      </c>
      <c r="X81" s="345">
        <v>0</v>
      </c>
      <c r="Y81" s="711">
        <f t="shared" si="18"/>
        <v>0</v>
      </c>
      <c r="Z81" s="712">
        <f>IF(X82,_xll.qDateYears(X81,X82,DCCfloat),0)</f>
        <v>0</v>
      </c>
      <c r="AA81" s="519">
        <f ca="1"/>
        <v>0</v>
      </c>
      <c r="AB81" s="890">
        <f>IF(X81=0,0,         IF(OR(CCY="AUD",CCY="NZD",CCY="GBP"),X81,   _xll.qDateNext(X81,"-2b",,,IF(CCY="EUR","TGT","LON"))))</f>
        <v>0</v>
      </c>
      <c r="AC81" s="879" t="str">
        <v/>
      </c>
      <c r="AD81" s="879" t="str">
        <v/>
      </c>
      <c r="AE81" s="879" t="str">
        <v/>
      </c>
      <c r="AF81" s="879" t="str">
        <v/>
      </c>
      <c r="AG81" s="879" t="str">
        <v/>
      </c>
      <c r="AH81" s="879" t="str">
        <v/>
      </c>
      <c r="AI81" s="879" t="str">
        <v/>
      </c>
      <c r="AJ81" s="879" t="str">
        <v/>
      </c>
      <c r="AK81" s="882">
        <f>IF($X81=0,0,      _xll.qDateNext($X81,AK$12,$AR$11,FRM&lt;&gt;"Calypso",CCY))</f>
        <v>0</v>
      </c>
      <c r="AL81" s="882">
        <f>IF($X81=0,0,      _xll.qDateNext($X81,AL$12,$AR$11,FRM&lt;&gt;"Calypso",CCY))</f>
        <v>0</v>
      </c>
      <c r="AM81" s="882">
        <f>IF($X81=0,0,      _xll.qDateNext($X81,AM$12,$AR$11,FRM&lt;&gt;"Calypso",CCY))</f>
        <v>0</v>
      </c>
      <c r="AN81" s="882">
        <f>IF($X81=0,0,      _xll.qDateNext($X81,AN$12,$AR$11,FRM&lt;&gt;"Calypso",CCY))</f>
        <v>0</v>
      </c>
      <c r="AO81" s="882">
        <f>IF($X81=0,0,      _xll.qDateNext($X81,AO$12,$AR$11,FRM&lt;&gt;"Calypso",CCY))</f>
        <v>0</v>
      </c>
      <c r="AP81" s="882">
        <f>IF($X81=0,0,      _xll.qDateNext($X81,AP$12,$AR$11,FRM&lt;&gt;"Calypso",CCY))</f>
        <v>0</v>
      </c>
      <c r="AQ81" s="882">
        <f>IF($X81=0,0,      _xll.qDateNext($X81,AQ$12,$AR$11,FRM&lt;&gt;"Calypso",CCY))</f>
        <v>0</v>
      </c>
      <c r="AR81" s="882">
        <f>IF($X81=0,0,      _xll.qDateNext($X81,AR$12,$AR$11,FRM&lt;&gt;"Calypso",CCY))</f>
        <v>0</v>
      </c>
      <c r="AS81" s="901">
        <f ca="1"/>
        <v>0</v>
      </c>
      <c r="AT81" s="901">
        <f ca="1"/>
        <v>0</v>
      </c>
      <c r="AU81" s="901">
        <f t="shared" si="28"/>
        <v>0</v>
      </c>
      <c r="AV81" s="901">
        <f ca="1"/>
        <v>0</v>
      </c>
      <c r="AW81" s="901">
        <f t="shared" si="29"/>
        <v>0</v>
      </c>
      <c r="AX81" s="901">
        <f t="shared" si="30"/>
        <v>0</v>
      </c>
      <c r="AY81" s="901">
        <f ca="1"/>
        <v>0</v>
      </c>
      <c r="AZ81" s="901">
        <f ca="1"/>
        <v>0</v>
      </c>
      <c r="BA81" s="905">
        <f t="shared" si="19"/>
        <v>0</v>
      </c>
      <c r="BB81" s="905">
        <f t="shared" si="20"/>
        <v>0</v>
      </c>
      <c r="BC81" s="905">
        <f t="shared" si="21"/>
        <v>0</v>
      </c>
      <c r="BD81" s="905">
        <f t="shared" si="22"/>
        <v>0</v>
      </c>
      <c r="BE81" s="905">
        <f t="shared" si="23"/>
        <v>0</v>
      </c>
      <c r="BF81" s="905">
        <f t="shared" si="24"/>
        <v>0</v>
      </c>
      <c r="BG81" s="905">
        <f t="shared" si="25"/>
        <v>0</v>
      </c>
      <c r="BH81" s="905">
        <f t="shared" si="26"/>
        <v>0</v>
      </c>
      <c r="BI81" s="713">
        <v>0</v>
      </c>
      <c r="BJ81" s="695"/>
      <c r="BK81" s="752">
        <f>IF(X82=0,0,           IF(ISNUMBER(BJ81),BJ81,               IF(ISTEXT(BJ81),INDEX(BA81:BH81,MATCH(BJ81,$BA$12:$BH$12,0)),             IF(BI81="INT",_xll.qInterp(X82,AK81:AR81,BA81:BH81),            INDEX(BA81:BH81,MATCH(BI81,$BA$12:$BH$12,0))))))</f>
        <v>0</v>
      </c>
      <c r="BL81" s="389">
        <f t="shared" si="31"/>
        <v>0</v>
      </c>
      <c r="BM81" s="394">
        <f t="shared" si="32"/>
        <v>0</v>
      </c>
      <c r="BN81" s="389">
        <f t="shared" si="33"/>
        <v>0</v>
      </c>
    </row>
    <row r="82" spans="16:66">
      <c r="P82" s="714">
        <v>0</v>
      </c>
      <c r="Q82" s="715">
        <f t="shared" si="17"/>
        <v>0</v>
      </c>
      <c r="R82" s="712">
        <f>IF(P83,_xll.qDateYears(P82,P83,DCCfixed),0)</f>
        <v>0</v>
      </c>
      <c r="S82" s="519">
        <f ca="1"/>
        <v>0</v>
      </c>
      <c r="T82" s="720"/>
      <c r="U82" s="390">
        <f t="shared" si="27"/>
        <v>0</v>
      </c>
      <c r="X82" s="345">
        <v>0</v>
      </c>
      <c r="Y82" s="711">
        <f t="shared" si="18"/>
        <v>0</v>
      </c>
      <c r="Z82" s="712">
        <f>IF(X83,_xll.qDateYears(X82,X83,DCCfloat),0)</f>
        <v>0</v>
      </c>
      <c r="AA82" s="519">
        <f ca="1"/>
        <v>0</v>
      </c>
      <c r="AB82" s="890">
        <f>IF(X82=0,0,         IF(OR(CCY="AUD",CCY="NZD",CCY="GBP"),X82,   _xll.qDateNext(X82,"-2b",,,IF(CCY="EUR","TGT","LON"))))</f>
        <v>0</v>
      </c>
      <c r="AC82" s="879" t="str">
        <v/>
      </c>
      <c r="AD82" s="879" t="str">
        <v/>
      </c>
      <c r="AE82" s="879" t="str">
        <v/>
      </c>
      <c r="AF82" s="879" t="str">
        <v/>
      </c>
      <c r="AG82" s="879" t="str">
        <v/>
      </c>
      <c r="AH82" s="879" t="str">
        <v/>
      </c>
      <c r="AI82" s="879" t="str">
        <v/>
      </c>
      <c r="AJ82" s="879" t="str">
        <v/>
      </c>
      <c r="AK82" s="882">
        <f>IF($X82=0,0,      _xll.qDateNext($X82,AK$12,$AR$11,FRM&lt;&gt;"Calypso",CCY))</f>
        <v>0</v>
      </c>
      <c r="AL82" s="882">
        <f>IF($X82=0,0,      _xll.qDateNext($X82,AL$12,$AR$11,FRM&lt;&gt;"Calypso",CCY))</f>
        <v>0</v>
      </c>
      <c r="AM82" s="882">
        <f>IF($X82=0,0,      _xll.qDateNext($X82,AM$12,$AR$11,FRM&lt;&gt;"Calypso",CCY))</f>
        <v>0</v>
      </c>
      <c r="AN82" s="882">
        <f>IF($X82=0,0,      _xll.qDateNext($X82,AN$12,$AR$11,FRM&lt;&gt;"Calypso",CCY))</f>
        <v>0</v>
      </c>
      <c r="AO82" s="882">
        <f>IF($X82=0,0,      _xll.qDateNext($X82,AO$12,$AR$11,FRM&lt;&gt;"Calypso",CCY))</f>
        <v>0</v>
      </c>
      <c r="AP82" s="882">
        <f>IF($X82=0,0,      _xll.qDateNext($X82,AP$12,$AR$11,FRM&lt;&gt;"Calypso",CCY))</f>
        <v>0</v>
      </c>
      <c r="AQ82" s="882">
        <f>IF($X82=0,0,      _xll.qDateNext($X82,AQ$12,$AR$11,FRM&lt;&gt;"Calypso",CCY))</f>
        <v>0</v>
      </c>
      <c r="AR82" s="882">
        <f>IF($X82=0,0,      _xll.qDateNext($X82,AR$12,$AR$11,FRM&lt;&gt;"Calypso",CCY))</f>
        <v>0</v>
      </c>
      <c r="AS82" s="901">
        <f ca="1"/>
        <v>0</v>
      </c>
      <c r="AT82" s="901">
        <f ca="1"/>
        <v>0</v>
      </c>
      <c r="AU82" s="901">
        <f t="shared" si="28"/>
        <v>0</v>
      </c>
      <c r="AV82" s="901">
        <f ca="1"/>
        <v>0</v>
      </c>
      <c r="AW82" s="901">
        <f t="shared" si="29"/>
        <v>0</v>
      </c>
      <c r="AX82" s="901">
        <f t="shared" si="30"/>
        <v>0</v>
      </c>
      <c r="AY82" s="901">
        <f ca="1"/>
        <v>0</v>
      </c>
      <c r="AZ82" s="901">
        <f ca="1"/>
        <v>0</v>
      </c>
      <c r="BA82" s="905">
        <f t="shared" si="19"/>
        <v>0</v>
      </c>
      <c r="BB82" s="905">
        <f t="shared" si="20"/>
        <v>0</v>
      </c>
      <c r="BC82" s="905">
        <f t="shared" si="21"/>
        <v>0</v>
      </c>
      <c r="BD82" s="905">
        <f t="shared" si="22"/>
        <v>0</v>
      </c>
      <c r="BE82" s="905">
        <f t="shared" si="23"/>
        <v>0</v>
      </c>
      <c r="BF82" s="905">
        <f t="shared" si="24"/>
        <v>0</v>
      </c>
      <c r="BG82" s="905">
        <f t="shared" si="25"/>
        <v>0</v>
      </c>
      <c r="BH82" s="905">
        <f t="shared" si="26"/>
        <v>0</v>
      </c>
      <c r="BI82" s="713">
        <v>0</v>
      </c>
      <c r="BJ82" s="695"/>
      <c r="BK82" s="752">
        <f>IF(X83=0,0,           IF(ISNUMBER(BJ82),BJ82,               IF(ISTEXT(BJ82),INDEX(BA82:BH82,MATCH(BJ82,$BA$12:$BH$12,0)),             IF(BI82="INT",_xll.qInterp(X83,AK82:AR82,BA82:BH82),            INDEX(BA82:BH82,MATCH(BI82,$BA$12:$BH$12,0))))))</f>
        <v>0</v>
      </c>
      <c r="BL82" s="389">
        <f t="shared" si="31"/>
        <v>0</v>
      </c>
      <c r="BM82" s="394">
        <f t="shared" si="32"/>
        <v>0</v>
      </c>
      <c r="BN82" s="389">
        <f t="shared" si="33"/>
        <v>0</v>
      </c>
    </row>
    <row r="83" spans="16:66">
      <c r="P83" s="714">
        <v>0</v>
      </c>
      <c r="Q83" s="715">
        <f t="shared" si="17"/>
        <v>0</v>
      </c>
      <c r="R83" s="712">
        <f>IF(P84,_xll.qDateYears(P83,P84,DCCfixed),0)</f>
        <v>0</v>
      </c>
      <c r="S83" s="519">
        <f ca="1"/>
        <v>0</v>
      </c>
      <c r="T83" s="720"/>
      <c r="U83" s="390">
        <f t="shared" si="27"/>
        <v>0</v>
      </c>
      <c r="X83" s="345">
        <v>0</v>
      </c>
      <c r="Y83" s="711">
        <f t="shared" si="18"/>
        <v>0</v>
      </c>
      <c r="Z83" s="712">
        <f>IF(X84,_xll.qDateYears(X83,X84,DCCfloat),0)</f>
        <v>0</v>
      </c>
      <c r="AA83" s="519">
        <f ca="1"/>
        <v>0</v>
      </c>
      <c r="AB83" s="890">
        <f>IF(X83=0,0,         IF(OR(CCY="AUD",CCY="NZD",CCY="GBP"),X83,   _xll.qDateNext(X83,"-2b",,,IF(CCY="EUR","TGT","LON"))))</f>
        <v>0</v>
      </c>
      <c r="AC83" s="879" t="str">
        <v/>
      </c>
      <c r="AD83" s="879" t="str">
        <v/>
      </c>
      <c r="AE83" s="879" t="str">
        <v/>
      </c>
      <c r="AF83" s="879" t="str">
        <v/>
      </c>
      <c r="AG83" s="879" t="str">
        <v/>
      </c>
      <c r="AH83" s="879" t="str">
        <v/>
      </c>
      <c r="AI83" s="879" t="str">
        <v/>
      </c>
      <c r="AJ83" s="879" t="str">
        <v/>
      </c>
      <c r="AK83" s="882">
        <f>IF($X83=0,0,      _xll.qDateNext($X83,AK$12,$AR$11,FRM&lt;&gt;"Calypso",CCY))</f>
        <v>0</v>
      </c>
      <c r="AL83" s="882">
        <f>IF($X83=0,0,      _xll.qDateNext($X83,AL$12,$AR$11,FRM&lt;&gt;"Calypso",CCY))</f>
        <v>0</v>
      </c>
      <c r="AM83" s="882">
        <f>IF($X83=0,0,      _xll.qDateNext($X83,AM$12,$AR$11,FRM&lt;&gt;"Calypso",CCY))</f>
        <v>0</v>
      </c>
      <c r="AN83" s="882">
        <f>IF($X83=0,0,      _xll.qDateNext($X83,AN$12,$AR$11,FRM&lt;&gt;"Calypso",CCY))</f>
        <v>0</v>
      </c>
      <c r="AO83" s="882">
        <f>IF($X83=0,0,      _xll.qDateNext($X83,AO$12,$AR$11,FRM&lt;&gt;"Calypso",CCY))</f>
        <v>0</v>
      </c>
      <c r="AP83" s="882">
        <f>IF($X83=0,0,      _xll.qDateNext($X83,AP$12,$AR$11,FRM&lt;&gt;"Calypso",CCY))</f>
        <v>0</v>
      </c>
      <c r="AQ83" s="882">
        <f>IF($X83=0,0,      _xll.qDateNext($X83,AQ$12,$AR$11,FRM&lt;&gt;"Calypso",CCY))</f>
        <v>0</v>
      </c>
      <c r="AR83" s="882">
        <f>IF($X83=0,0,      _xll.qDateNext($X83,AR$12,$AR$11,FRM&lt;&gt;"Calypso",CCY))</f>
        <v>0</v>
      </c>
      <c r="AS83" s="901">
        <f ca="1"/>
        <v>0</v>
      </c>
      <c r="AT83" s="901">
        <f ca="1"/>
        <v>0</v>
      </c>
      <c r="AU83" s="901">
        <f t="shared" si="28"/>
        <v>0</v>
      </c>
      <c r="AV83" s="901">
        <f ca="1"/>
        <v>0</v>
      </c>
      <c r="AW83" s="901">
        <f t="shared" si="29"/>
        <v>0</v>
      </c>
      <c r="AX83" s="901">
        <f t="shared" si="30"/>
        <v>0</v>
      </c>
      <c r="AY83" s="901">
        <f ca="1"/>
        <v>0</v>
      </c>
      <c r="AZ83" s="901">
        <f ca="1"/>
        <v>0</v>
      </c>
      <c r="BA83" s="905">
        <f t="shared" si="19"/>
        <v>0</v>
      </c>
      <c r="BB83" s="905">
        <f t="shared" si="20"/>
        <v>0</v>
      </c>
      <c r="BC83" s="905">
        <f t="shared" si="21"/>
        <v>0</v>
      </c>
      <c r="BD83" s="905">
        <f t="shared" si="22"/>
        <v>0</v>
      </c>
      <c r="BE83" s="905">
        <f t="shared" si="23"/>
        <v>0</v>
      </c>
      <c r="BF83" s="905">
        <f t="shared" si="24"/>
        <v>0</v>
      </c>
      <c r="BG83" s="905">
        <f t="shared" si="25"/>
        <v>0</v>
      </c>
      <c r="BH83" s="905">
        <f t="shared" si="26"/>
        <v>0</v>
      </c>
      <c r="BI83" s="713">
        <v>0</v>
      </c>
      <c r="BJ83" s="695"/>
      <c r="BK83" s="752">
        <f>IF(X84=0,0,           IF(ISNUMBER(BJ83),BJ83,               IF(ISTEXT(BJ83),INDEX(BA83:BH83,MATCH(BJ83,$BA$12:$BH$12,0)),             IF(BI83="INT",_xll.qInterp(X84,AK83:AR83,BA83:BH83),            INDEX(BA83:BH83,MATCH(BI83,$BA$12:$BH$12,0))))))</f>
        <v>0</v>
      </c>
      <c r="BL83" s="389">
        <f t="shared" si="31"/>
        <v>0</v>
      </c>
      <c r="BM83" s="394">
        <f t="shared" si="32"/>
        <v>0</v>
      </c>
      <c r="BN83" s="389">
        <f t="shared" si="33"/>
        <v>0</v>
      </c>
    </row>
    <row r="84" spans="16:66">
      <c r="P84" s="714">
        <v>0</v>
      </c>
      <c r="Q84" s="715">
        <f t="shared" si="17"/>
        <v>0</v>
      </c>
      <c r="R84" s="712">
        <f>IF(P85,_xll.qDateYears(P84,P85,DCCfixed),0)</f>
        <v>0</v>
      </c>
      <c r="S84" s="519">
        <f ca="1"/>
        <v>0</v>
      </c>
      <c r="T84" s="720"/>
      <c r="U84" s="390">
        <f t="shared" si="27"/>
        <v>0</v>
      </c>
      <c r="X84" s="345">
        <v>0</v>
      </c>
      <c r="Y84" s="711">
        <f t="shared" si="18"/>
        <v>0</v>
      </c>
      <c r="Z84" s="712">
        <f>IF(X85,_xll.qDateYears(X84,X85,DCCfloat),0)</f>
        <v>0</v>
      </c>
      <c r="AA84" s="519">
        <f ca="1"/>
        <v>0</v>
      </c>
      <c r="AB84" s="890">
        <f>IF(X84=0,0,         IF(OR(CCY="AUD",CCY="NZD",CCY="GBP"),X84,   _xll.qDateNext(X84,"-2b",,,IF(CCY="EUR","TGT","LON"))))</f>
        <v>0</v>
      </c>
      <c r="AC84" s="879" t="str">
        <v/>
      </c>
      <c r="AD84" s="879" t="str">
        <v/>
      </c>
      <c r="AE84" s="879" t="str">
        <v/>
      </c>
      <c r="AF84" s="879" t="str">
        <v/>
      </c>
      <c r="AG84" s="879" t="str">
        <v/>
      </c>
      <c r="AH84" s="879" t="str">
        <v/>
      </c>
      <c r="AI84" s="879" t="str">
        <v/>
      </c>
      <c r="AJ84" s="879" t="str">
        <v/>
      </c>
      <c r="AK84" s="882">
        <f>IF($X84=0,0,      _xll.qDateNext($X84,AK$12,$AR$11,FRM&lt;&gt;"Calypso",CCY))</f>
        <v>0</v>
      </c>
      <c r="AL84" s="882">
        <f>IF($X84=0,0,      _xll.qDateNext($X84,AL$12,$AR$11,FRM&lt;&gt;"Calypso",CCY))</f>
        <v>0</v>
      </c>
      <c r="AM84" s="882">
        <f>IF($X84=0,0,      _xll.qDateNext($X84,AM$12,$AR$11,FRM&lt;&gt;"Calypso",CCY))</f>
        <v>0</v>
      </c>
      <c r="AN84" s="882">
        <f>IF($X84=0,0,      _xll.qDateNext($X84,AN$12,$AR$11,FRM&lt;&gt;"Calypso",CCY))</f>
        <v>0</v>
      </c>
      <c r="AO84" s="882">
        <f>IF($X84=0,0,      _xll.qDateNext($X84,AO$12,$AR$11,FRM&lt;&gt;"Calypso",CCY))</f>
        <v>0</v>
      </c>
      <c r="AP84" s="882">
        <f>IF($X84=0,0,      _xll.qDateNext($X84,AP$12,$AR$11,FRM&lt;&gt;"Calypso",CCY))</f>
        <v>0</v>
      </c>
      <c r="AQ84" s="882">
        <f>IF($X84=0,0,      _xll.qDateNext($X84,AQ$12,$AR$11,FRM&lt;&gt;"Calypso",CCY))</f>
        <v>0</v>
      </c>
      <c r="AR84" s="882">
        <f>IF($X84=0,0,      _xll.qDateNext($X84,AR$12,$AR$11,FRM&lt;&gt;"Calypso",CCY))</f>
        <v>0</v>
      </c>
      <c r="AS84" s="901">
        <f ca="1"/>
        <v>0</v>
      </c>
      <c r="AT84" s="901">
        <f ca="1"/>
        <v>0</v>
      </c>
      <c r="AU84" s="901">
        <f t="shared" si="28"/>
        <v>0</v>
      </c>
      <c r="AV84" s="901">
        <f ca="1"/>
        <v>0</v>
      </c>
      <c r="AW84" s="901">
        <f t="shared" si="29"/>
        <v>0</v>
      </c>
      <c r="AX84" s="901">
        <f t="shared" si="30"/>
        <v>0</v>
      </c>
      <c r="AY84" s="901">
        <f ca="1"/>
        <v>0</v>
      </c>
      <c r="AZ84" s="901">
        <f ca="1"/>
        <v>0</v>
      </c>
      <c r="BA84" s="905">
        <f t="shared" si="19"/>
        <v>0</v>
      </c>
      <c r="BB84" s="905">
        <f t="shared" si="20"/>
        <v>0</v>
      </c>
      <c r="BC84" s="905">
        <f t="shared" si="21"/>
        <v>0</v>
      </c>
      <c r="BD84" s="905">
        <f t="shared" si="22"/>
        <v>0</v>
      </c>
      <c r="BE84" s="905">
        <f t="shared" si="23"/>
        <v>0</v>
      </c>
      <c r="BF84" s="905">
        <f t="shared" si="24"/>
        <v>0</v>
      </c>
      <c r="BG84" s="905">
        <f t="shared" si="25"/>
        <v>0</v>
      </c>
      <c r="BH84" s="905">
        <f t="shared" si="26"/>
        <v>0</v>
      </c>
      <c r="BI84" s="713">
        <v>0</v>
      </c>
      <c r="BJ84" s="695"/>
      <c r="BK84" s="752">
        <f>IF(X85=0,0,           IF(ISNUMBER(BJ84),BJ84,               IF(ISTEXT(BJ84),INDEX(BA84:BH84,MATCH(BJ84,$BA$12:$BH$12,0)),             IF(BI84="INT",_xll.qInterp(X85,AK84:AR84,BA84:BH84),            INDEX(BA84:BH84,MATCH(BI84,$BA$12:$BH$12,0))))))</f>
        <v>0</v>
      </c>
      <c r="BL84" s="389">
        <f t="shared" si="31"/>
        <v>0</v>
      </c>
      <c r="BM84" s="394">
        <f t="shared" si="32"/>
        <v>0</v>
      </c>
      <c r="BN84" s="389">
        <f t="shared" si="33"/>
        <v>0</v>
      </c>
    </row>
    <row r="85" spans="16:66">
      <c r="P85" s="714">
        <v>0</v>
      </c>
      <c r="Q85" s="715">
        <f t="shared" si="17"/>
        <v>0</v>
      </c>
      <c r="R85" s="712">
        <f>IF(P86,_xll.qDateYears(P85,P86,DCCfixed),0)</f>
        <v>0</v>
      </c>
      <c r="S85" s="519">
        <f ca="1"/>
        <v>0</v>
      </c>
      <c r="T85" s="720"/>
      <c r="U85" s="390">
        <f t="shared" si="27"/>
        <v>0</v>
      </c>
      <c r="X85" s="345">
        <v>0</v>
      </c>
      <c r="Y85" s="711">
        <f t="shared" si="18"/>
        <v>0</v>
      </c>
      <c r="Z85" s="712">
        <f>IF(X86,_xll.qDateYears(X85,X86,DCCfloat),0)</f>
        <v>0</v>
      </c>
      <c r="AA85" s="519">
        <f ca="1"/>
        <v>0</v>
      </c>
      <c r="AB85" s="890">
        <f>IF(X85=0,0,         IF(OR(CCY="AUD",CCY="NZD",CCY="GBP"),X85,   _xll.qDateNext(X85,"-2b",,,IF(CCY="EUR","TGT","LON"))))</f>
        <v>0</v>
      </c>
      <c r="AC85" s="879" t="str">
        <v/>
      </c>
      <c r="AD85" s="879" t="str">
        <v/>
      </c>
      <c r="AE85" s="879" t="str">
        <v/>
      </c>
      <c r="AF85" s="879" t="str">
        <v/>
      </c>
      <c r="AG85" s="879" t="str">
        <v/>
      </c>
      <c r="AH85" s="879" t="str">
        <v/>
      </c>
      <c r="AI85" s="879" t="str">
        <v/>
      </c>
      <c r="AJ85" s="879" t="str">
        <v/>
      </c>
      <c r="AK85" s="882">
        <f>IF($X85=0,0,      _xll.qDateNext($X85,AK$12,$AR$11,FRM&lt;&gt;"Calypso",CCY))</f>
        <v>0</v>
      </c>
      <c r="AL85" s="882">
        <f>IF($X85=0,0,      _xll.qDateNext($X85,AL$12,$AR$11,FRM&lt;&gt;"Calypso",CCY))</f>
        <v>0</v>
      </c>
      <c r="AM85" s="882">
        <f>IF($X85=0,0,      _xll.qDateNext($X85,AM$12,$AR$11,FRM&lt;&gt;"Calypso",CCY))</f>
        <v>0</v>
      </c>
      <c r="AN85" s="882">
        <f>IF($X85=0,0,      _xll.qDateNext($X85,AN$12,$AR$11,FRM&lt;&gt;"Calypso",CCY))</f>
        <v>0</v>
      </c>
      <c r="AO85" s="882">
        <f>IF($X85=0,0,      _xll.qDateNext($X85,AO$12,$AR$11,FRM&lt;&gt;"Calypso",CCY))</f>
        <v>0</v>
      </c>
      <c r="AP85" s="882">
        <f>IF($X85=0,0,      _xll.qDateNext($X85,AP$12,$AR$11,FRM&lt;&gt;"Calypso",CCY))</f>
        <v>0</v>
      </c>
      <c r="AQ85" s="882">
        <f>IF($X85=0,0,      _xll.qDateNext($X85,AQ$12,$AR$11,FRM&lt;&gt;"Calypso",CCY))</f>
        <v>0</v>
      </c>
      <c r="AR85" s="882">
        <f>IF($X85=0,0,      _xll.qDateNext($X85,AR$12,$AR$11,FRM&lt;&gt;"Calypso",CCY))</f>
        <v>0</v>
      </c>
      <c r="AS85" s="901">
        <f ca="1"/>
        <v>0</v>
      </c>
      <c r="AT85" s="901">
        <f ca="1"/>
        <v>0</v>
      </c>
      <c r="AU85" s="901">
        <f t="shared" si="28"/>
        <v>0</v>
      </c>
      <c r="AV85" s="901">
        <f ca="1"/>
        <v>0</v>
      </c>
      <c r="AW85" s="901">
        <f t="shared" si="29"/>
        <v>0</v>
      </c>
      <c r="AX85" s="901">
        <f t="shared" si="30"/>
        <v>0</v>
      </c>
      <c r="AY85" s="901">
        <f ca="1"/>
        <v>0</v>
      </c>
      <c r="AZ85" s="901">
        <f ca="1"/>
        <v>0</v>
      </c>
      <c r="BA85" s="905">
        <f t="shared" si="19"/>
        <v>0</v>
      </c>
      <c r="BB85" s="905">
        <f t="shared" si="20"/>
        <v>0</v>
      </c>
      <c r="BC85" s="905">
        <f t="shared" si="21"/>
        <v>0</v>
      </c>
      <c r="BD85" s="905">
        <f t="shared" si="22"/>
        <v>0</v>
      </c>
      <c r="BE85" s="905">
        <f t="shared" si="23"/>
        <v>0</v>
      </c>
      <c r="BF85" s="905">
        <f t="shared" si="24"/>
        <v>0</v>
      </c>
      <c r="BG85" s="905">
        <f t="shared" si="25"/>
        <v>0</v>
      </c>
      <c r="BH85" s="905">
        <f t="shared" si="26"/>
        <v>0</v>
      </c>
      <c r="BI85" s="713">
        <v>0</v>
      </c>
      <c r="BJ85" s="695"/>
      <c r="BK85" s="752">
        <f>IF(X86=0,0,           IF(ISNUMBER(BJ85),BJ85,               IF(ISTEXT(BJ85),INDEX(BA85:BH85,MATCH(BJ85,$BA$12:$BH$12,0)),             IF(BI85="INT",_xll.qInterp(X86,AK85:AR85,BA85:BH85),            INDEX(BA85:BH85,MATCH(BI85,$BA$12:$BH$12,0))))))</f>
        <v>0</v>
      </c>
      <c r="BL85" s="389">
        <f t="shared" si="31"/>
        <v>0</v>
      </c>
      <c r="BM85" s="394">
        <f t="shared" si="32"/>
        <v>0</v>
      </c>
      <c r="BN85" s="389">
        <f t="shared" si="33"/>
        <v>0</v>
      </c>
    </row>
    <row r="86" spans="16:66">
      <c r="P86" s="714">
        <v>0</v>
      </c>
      <c r="Q86" s="715">
        <f t="shared" si="17"/>
        <v>0</v>
      </c>
      <c r="R86" s="712">
        <f>IF(P87,_xll.qDateYears(P86,P87,DCCfixed),0)</f>
        <v>0</v>
      </c>
      <c r="S86" s="519">
        <f ca="1"/>
        <v>0</v>
      </c>
      <c r="T86" s="720"/>
      <c r="U86" s="390">
        <f t="shared" si="27"/>
        <v>0</v>
      </c>
      <c r="X86" s="345">
        <v>0</v>
      </c>
      <c r="Y86" s="711">
        <f t="shared" si="18"/>
        <v>0</v>
      </c>
      <c r="Z86" s="712">
        <f>IF(X87,_xll.qDateYears(X86,X87,DCCfloat),0)</f>
        <v>0</v>
      </c>
      <c r="AA86" s="519">
        <f ca="1"/>
        <v>0</v>
      </c>
      <c r="AB86" s="890">
        <f>IF(X86=0,0,         IF(OR(CCY="AUD",CCY="NZD",CCY="GBP"),X86,   _xll.qDateNext(X86,"-2b",,,IF(CCY="EUR","TGT","LON"))))</f>
        <v>0</v>
      </c>
      <c r="AC86" s="879" t="str">
        <v/>
      </c>
      <c r="AD86" s="879" t="str">
        <v/>
      </c>
      <c r="AE86" s="879" t="str">
        <v/>
      </c>
      <c r="AF86" s="879" t="str">
        <v/>
      </c>
      <c r="AG86" s="879" t="str">
        <v/>
      </c>
      <c r="AH86" s="879" t="str">
        <v/>
      </c>
      <c r="AI86" s="879" t="str">
        <v/>
      </c>
      <c r="AJ86" s="879" t="str">
        <v/>
      </c>
      <c r="AK86" s="882">
        <f>IF($X86=0,0,      _xll.qDateNext($X86,AK$12,$AR$11,FRM&lt;&gt;"Calypso",CCY))</f>
        <v>0</v>
      </c>
      <c r="AL86" s="882">
        <f>IF($X86=0,0,      _xll.qDateNext($X86,AL$12,$AR$11,FRM&lt;&gt;"Calypso",CCY))</f>
        <v>0</v>
      </c>
      <c r="AM86" s="882">
        <f>IF($X86=0,0,      _xll.qDateNext($X86,AM$12,$AR$11,FRM&lt;&gt;"Calypso",CCY))</f>
        <v>0</v>
      </c>
      <c r="AN86" s="882">
        <f>IF($X86=0,0,      _xll.qDateNext($X86,AN$12,$AR$11,FRM&lt;&gt;"Calypso",CCY))</f>
        <v>0</v>
      </c>
      <c r="AO86" s="882">
        <f>IF($X86=0,0,      _xll.qDateNext($X86,AO$12,$AR$11,FRM&lt;&gt;"Calypso",CCY))</f>
        <v>0</v>
      </c>
      <c r="AP86" s="882">
        <f>IF($X86=0,0,      _xll.qDateNext($X86,AP$12,$AR$11,FRM&lt;&gt;"Calypso",CCY))</f>
        <v>0</v>
      </c>
      <c r="AQ86" s="882">
        <f>IF($X86=0,0,      _xll.qDateNext($X86,AQ$12,$AR$11,FRM&lt;&gt;"Calypso",CCY))</f>
        <v>0</v>
      </c>
      <c r="AR86" s="882">
        <f>IF($X86=0,0,      _xll.qDateNext($X86,AR$12,$AR$11,FRM&lt;&gt;"Calypso",CCY))</f>
        <v>0</v>
      </c>
      <c r="AS86" s="901">
        <f ca="1"/>
        <v>0</v>
      </c>
      <c r="AT86" s="901">
        <f ca="1"/>
        <v>0</v>
      </c>
      <c r="AU86" s="901">
        <f t="shared" si="28"/>
        <v>0</v>
      </c>
      <c r="AV86" s="901">
        <f ca="1"/>
        <v>0</v>
      </c>
      <c r="AW86" s="901">
        <f t="shared" si="29"/>
        <v>0</v>
      </c>
      <c r="AX86" s="901">
        <f t="shared" si="30"/>
        <v>0</v>
      </c>
      <c r="AY86" s="901">
        <f ca="1"/>
        <v>0</v>
      </c>
      <c r="AZ86" s="901">
        <f ca="1"/>
        <v>0</v>
      </c>
      <c r="BA86" s="905">
        <f t="shared" si="19"/>
        <v>0</v>
      </c>
      <c r="BB86" s="905">
        <f t="shared" si="20"/>
        <v>0</v>
      </c>
      <c r="BC86" s="905">
        <f t="shared" si="21"/>
        <v>0</v>
      </c>
      <c r="BD86" s="905">
        <f t="shared" si="22"/>
        <v>0</v>
      </c>
      <c r="BE86" s="905">
        <f t="shared" si="23"/>
        <v>0</v>
      </c>
      <c r="BF86" s="905">
        <f t="shared" si="24"/>
        <v>0</v>
      </c>
      <c r="BG86" s="905">
        <f t="shared" si="25"/>
        <v>0</v>
      </c>
      <c r="BH86" s="905">
        <f t="shared" si="26"/>
        <v>0</v>
      </c>
      <c r="BI86" s="713">
        <v>0</v>
      </c>
      <c r="BJ86" s="695"/>
      <c r="BK86" s="752">
        <f>IF(X87=0,0,           IF(ISNUMBER(BJ86),BJ86,               IF(ISTEXT(BJ86),INDEX(BA86:BH86,MATCH(BJ86,$BA$12:$BH$12,0)),             IF(BI86="INT",_xll.qInterp(X87,AK86:AR86,BA86:BH86),            INDEX(BA86:BH86,MATCH(BI86,$BA$12:$BH$12,0))))))</f>
        <v>0</v>
      </c>
      <c r="BL86" s="389">
        <f t="shared" si="31"/>
        <v>0</v>
      </c>
      <c r="BM86" s="394">
        <f t="shared" si="32"/>
        <v>0</v>
      </c>
      <c r="BN86" s="389">
        <f t="shared" si="33"/>
        <v>0</v>
      </c>
    </row>
    <row r="87" spans="16:66">
      <c r="P87" s="714">
        <v>0</v>
      </c>
      <c r="Q87" s="715">
        <f t="shared" si="17"/>
        <v>0</v>
      </c>
      <c r="R87" s="712">
        <f>IF(P88,_xll.qDateYears(P87,P88,DCCfixed),0)</f>
        <v>0</v>
      </c>
      <c r="S87" s="519">
        <f ca="1"/>
        <v>0</v>
      </c>
      <c r="T87" s="720"/>
      <c r="U87" s="390">
        <f t="shared" si="27"/>
        <v>0</v>
      </c>
      <c r="X87" s="345">
        <v>0</v>
      </c>
      <c r="Y87" s="711">
        <f t="shared" si="18"/>
        <v>0</v>
      </c>
      <c r="Z87" s="712">
        <f>IF(X88,_xll.qDateYears(X87,X88,DCCfloat),0)</f>
        <v>0</v>
      </c>
      <c r="AA87" s="519">
        <f ca="1"/>
        <v>0</v>
      </c>
      <c r="AB87" s="890">
        <f>IF(X87=0,0,         IF(OR(CCY="AUD",CCY="NZD",CCY="GBP"),X87,   _xll.qDateNext(X87,"-2b",,,IF(CCY="EUR","TGT","LON"))))</f>
        <v>0</v>
      </c>
      <c r="AC87" s="879" t="str">
        <v/>
      </c>
      <c r="AD87" s="879" t="str">
        <v/>
      </c>
      <c r="AE87" s="879" t="str">
        <v/>
      </c>
      <c r="AF87" s="879" t="str">
        <v/>
      </c>
      <c r="AG87" s="879" t="str">
        <v/>
      </c>
      <c r="AH87" s="879" t="str">
        <v/>
      </c>
      <c r="AI87" s="879" t="str">
        <v/>
      </c>
      <c r="AJ87" s="879" t="str">
        <v/>
      </c>
      <c r="AK87" s="882">
        <f>IF($X87=0,0,      _xll.qDateNext($X87,AK$12,$AR$11,FRM&lt;&gt;"Calypso",CCY))</f>
        <v>0</v>
      </c>
      <c r="AL87" s="882">
        <f>IF($X87=0,0,      _xll.qDateNext($X87,AL$12,$AR$11,FRM&lt;&gt;"Calypso",CCY))</f>
        <v>0</v>
      </c>
      <c r="AM87" s="882">
        <f>IF($X87=0,0,      _xll.qDateNext($X87,AM$12,$AR$11,FRM&lt;&gt;"Calypso",CCY))</f>
        <v>0</v>
      </c>
      <c r="AN87" s="882">
        <f>IF($X87=0,0,      _xll.qDateNext($X87,AN$12,$AR$11,FRM&lt;&gt;"Calypso",CCY))</f>
        <v>0</v>
      </c>
      <c r="AO87" s="882">
        <f>IF($X87=0,0,      _xll.qDateNext($X87,AO$12,$AR$11,FRM&lt;&gt;"Calypso",CCY))</f>
        <v>0</v>
      </c>
      <c r="AP87" s="882">
        <f>IF($X87=0,0,      _xll.qDateNext($X87,AP$12,$AR$11,FRM&lt;&gt;"Calypso",CCY))</f>
        <v>0</v>
      </c>
      <c r="AQ87" s="882">
        <f>IF($X87=0,0,      _xll.qDateNext($X87,AQ$12,$AR$11,FRM&lt;&gt;"Calypso",CCY))</f>
        <v>0</v>
      </c>
      <c r="AR87" s="882">
        <f>IF($X87=0,0,      _xll.qDateNext($X87,AR$12,$AR$11,FRM&lt;&gt;"Calypso",CCY))</f>
        <v>0</v>
      </c>
      <c r="AS87" s="901">
        <f ca="1"/>
        <v>0</v>
      </c>
      <c r="AT87" s="901">
        <f ca="1"/>
        <v>0</v>
      </c>
      <c r="AU87" s="901">
        <f t="shared" si="28"/>
        <v>0</v>
      </c>
      <c r="AV87" s="901">
        <f ca="1"/>
        <v>0</v>
      </c>
      <c r="AW87" s="901">
        <f t="shared" si="29"/>
        <v>0</v>
      </c>
      <c r="AX87" s="901">
        <f t="shared" si="30"/>
        <v>0</v>
      </c>
      <c r="AY87" s="901">
        <f ca="1"/>
        <v>0</v>
      </c>
      <c r="AZ87" s="901">
        <f ca="1"/>
        <v>0</v>
      </c>
      <c r="BA87" s="905">
        <f t="shared" si="19"/>
        <v>0</v>
      </c>
      <c r="BB87" s="905">
        <f t="shared" si="20"/>
        <v>0</v>
      </c>
      <c r="BC87" s="905">
        <f t="shared" si="21"/>
        <v>0</v>
      </c>
      <c r="BD87" s="905">
        <f t="shared" si="22"/>
        <v>0</v>
      </c>
      <c r="BE87" s="905">
        <f t="shared" si="23"/>
        <v>0</v>
      </c>
      <c r="BF87" s="905">
        <f t="shared" si="24"/>
        <v>0</v>
      </c>
      <c r="BG87" s="905">
        <f t="shared" si="25"/>
        <v>0</v>
      </c>
      <c r="BH87" s="905">
        <f t="shared" si="26"/>
        <v>0</v>
      </c>
      <c r="BI87" s="713">
        <v>0</v>
      </c>
      <c r="BJ87" s="695"/>
      <c r="BK87" s="752">
        <f>IF(X88=0,0,           IF(ISNUMBER(BJ87),BJ87,               IF(ISTEXT(BJ87),INDEX(BA87:BH87,MATCH(BJ87,$BA$12:$BH$12,0)),             IF(BI87="INT",_xll.qInterp(X88,AK87:AR87,BA87:BH87),            INDEX(BA87:BH87,MATCH(BI87,$BA$12:$BH$12,0))))))</f>
        <v>0</v>
      </c>
      <c r="BL87" s="389">
        <f t="shared" si="31"/>
        <v>0</v>
      </c>
      <c r="BM87" s="394">
        <f t="shared" si="32"/>
        <v>0</v>
      </c>
      <c r="BN87" s="389">
        <f t="shared" si="33"/>
        <v>0</v>
      </c>
    </row>
    <row r="88" spans="16:66">
      <c r="P88" s="714">
        <v>0</v>
      </c>
      <c r="Q88" s="715">
        <f t="shared" si="17"/>
        <v>0</v>
      </c>
      <c r="R88" s="712">
        <f>IF(P89,_xll.qDateYears(P88,P89,DCCfixed),0)</f>
        <v>0</v>
      </c>
      <c r="S88" s="519">
        <f ca="1"/>
        <v>0</v>
      </c>
      <c r="T88" s="720"/>
      <c r="U88" s="390">
        <f t="shared" si="27"/>
        <v>0</v>
      </c>
      <c r="X88" s="345">
        <v>0</v>
      </c>
      <c r="Y88" s="711">
        <f t="shared" si="18"/>
        <v>0</v>
      </c>
      <c r="Z88" s="712">
        <f>IF(X89,_xll.qDateYears(X88,X89,DCCfloat),0)</f>
        <v>0</v>
      </c>
      <c r="AA88" s="519">
        <f ca="1"/>
        <v>0</v>
      </c>
      <c r="AB88" s="890">
        <f>IF(X88=0,0,         IF(OR(CCY="AUD",CCY="NZD",CCY="GBP"),X88,   _xll.qDateNext(X88,"-2b",,,IF(CCY="EUR","TGT","LON"))))</f>
        <v>0</v>
      </c>
      <c r="AC88" s="879" t="str">
        <v/>
      </c>
      <c r="AD88" s="879" t="str">
        <v/>
      </c>
      <c r="AE88" s="879" t="str">
        <v/>
      </c>
      <c r="AF88" s="879" t="str">
        <v/>
      </c>
      <c r="AG88" s="879" t="str">
        <v/>
      </c>
      <c r="AH88" s="879" t="str">
        <v/>
      </c>
      <c r="AI88" s="879" t="str">
        <v/>
      </c>
      <c r="AJ88" s="879" t="str">
        <v/>
      </c>
      <c r="AK88" s="882">
        <f>IF($X88=0,0,      _xll.qDateNext($X88,AK$12,$AR$11,FRM&lt;&gt;"Calypso",CCY))</f>
        <v>0</v>
      </c>
      <c r="AL88" s="882">
        <f>IF($X88=0,0,      _xll.qDateNext($X88,AL$12,$AR$11,FRM&lt;&gt;"Calypso",CCY))</f>
        <v>0</v>
      </c>
      <c r="AM88" s="882">
        <f>IF($X88=0,0,      _xll.qDateNext($X88,AM$12,$AR$11,FRM&lt;&gt;"Calypso",CCY))</f>
        <v>0</v>
      </c>
      <c r="AN88" s="882">
        <f>IF($X88=0,0,      _xll.qDateNext($X88,AN$12,$AR$11,FRM&lt;&gt;"Calypso",CCY))</f>
        <v>0</v>
      </c>
      <c r="AO88" s="882">
        <f>IF($X88=0,0,      _xll.qDateNext($X88,AO$12,$AR$11,FRM&lt;&gt;"Calypso",CCY))</f>
        <v>0</v>
      </c>
      <c r="AP88" s="882">
        <f>IF($X88=0,0,      _xll.qDateNext($X88,AP$12,$AR$11,FRM&lt;&gt;"Calypso",CCY))</f>
        <v>0</v>
      </c>
      <c r="AQ88" s="882">
        <f>IF($X88=0,0,      _xll.qDateNext($X88,AQ$12,$AR$11,FRM&lt;&gt;"Calypso",CCY))</f>
        <v>0</v>
      </c>
      <c r="AR88" s="882">
        <f>IF($X88=0,0,      _xll.qDateNext($X88,AR$12,$AR$11,FRM&lt;&gt;"Calypso",CCY))</f>
        <v>0</v>
      </c>
      <c r="AS88" s="901">
        <f ca="1"/>
        <v>0</v>
      </c>
      <c r="AT88" s="901">
        <f ca="1"/>
        <v>0</v>
      </c>
      <c r="AU88" s="901">
        <f t="shared" si="28"/>
        <v>0</v>
      </c>
      <c r="AV88" s="901">
        <f ca="1"/>
        <v>0</v>
      </c>
      <c r="AW88" s="901">
        <f t="shared" si="29"/>
        <v>0</v>
      </c>
      <c r="AX88" s="901">
        <f t="shared" si="30"/>
        <v>0</v>
      </c>
      <c r="AY88" s="901">
        <f ca="1"/>
        <v>0</v>
      </c>
      <c r="AZ88" s="901">
        <f ca="1"/>
        <v>0</v>
      </c>
      <c r="BA88" s="905">
        <f t="shared" si="19"/>
        <v>0</v>
      </c>
      <c r="BB88" s="905">
        <f t="shared" si="20"/>
        <v>0</v>
      </c>
      <c r="BC88" s="905">
        <f t="shared" si="21"/>
        <v>0</v>
      </c>
      <c r="BD88" s="905">
        <f t="shared" si="22"/>
        <v>0</v>
      </c>
      <c r="BE88" s="905">
        <f t="shared" si="23"/>
        <v>0</v>
      </c>
      <c r="BF88" s="905">
        <f t="shared" si="24"/>
        <v>0</v>
      </c>
      <c r="BG88" s="905">
        <f t="shared" si="25"/>
        <v>0</v>
      </c>
      <c r="BH88" s="905">
        <f t="shared" si="26"/>
        <v>0</v>
      </c>
      <c r="BI88" s="713">
        <v>0</v>
      </c>
      <c r="BJ88" s="695"/>
      <c r="BK88" s="752">
        <f>IF(X89=0,0,           IF(ISNUMBER(BJ88),BJ88,               IF(ISTEXT(BJ88),INDEX(BA88:BH88,MATCH(BJ88,$BA$12:$BH$12,0)),             IF(BI88="INT",_xll.qInterp(X89,AK88:AR88,BA88:BH88),            INDEX(BA88:BH88,MATCH(BI88,$BA$12:$BH$12,0))))))</f>
        <v>0</v>
      </c>
      <c r="BL88" s="389">
        <f t="shared" si="31"/>
        <v>0</v>
      </c>
      <c r="BM88" s="394">
        <f t="shared" si="32"/>
        <v>0</v>
      </c>
      <c r="BN88" s="389">
        <f t="shared" si="33"/>
        <v>0</v>
      </c>
    </row>
    <row r="89" spans="16:66">
      <c r="P89" s="714">
        <v>0</v>
      </c>
      <c r="Q89" s="715">
        <f t="shared" si="17"/>
        <v>0</v>
      </c>
      <c r="R89" s="712">
        <f>IF(P90,_xll.qDateYears(P89,P90,DCCfixed),0)</f>
        <v>0</v>
      </c>
      <c r="S89" s="519">
        <f ca="1"/>
        <v>0</v>
      </c>
      <c r="T89" s="720"/>
      <c r="U89" s="390">
        <f t="shared" si="27"/>
        <v>0</v>
      </c>
      <c r="X89" s="345">
        <v>0</v>
      </c>
      <c r="Y89" s="711">
        <f t="shared" si="18"/>
        <v>0</v>
      </c>
      <c r="Z89" s="712">
        <f>IF(X90,_xll.qDateYears(X89,X90,DCCfloat),0)</f>
        <v>0</v>
      </c>
      <c r="AA89" s="519">
        <f ca="1"/>
        <v>0</v>
      </c>
      <c r="AB89" s="890">
        <f>IF(X89=0,0,         IF(OR(CCY="AUD",CCY="NZD",CCY="GBP"),X89,   _xll.qDateNext(X89,"-2b",,,IF(CCY="EUR","TGT","LON"))))</f>
        <v>0</v>
      </c>
      <c r="AC89" s="879" t="str">
        <v/>
      </c>
      <c r="AD89" s="879" t="str">
        <v/>
      </c>
      <c r="AE89" s="879" t="str">
        <v/>
      </c>
      <c r="AF89" s="879" t="str">
        <v/>
      </c>
      <c r="AG89" s="879" t="str">
        <v/>
      </c>
      <c r="AH89" s="879" t="str">
        <v/>
      </c>
      <c r="AI89" s="879" t="str">
        <v/>
      </c>
      <c r="AJ89" s="879" t="str">
        <v/>
      </c>
      <c r="AK89" s="882">
        <f>IF($X89=0,0,      _xll.qDateNext($X89,AK$12,$AR$11,FRM&lt;&gt;"Calypso",CCY))</f>
        <v>0</v>
      </c>
      <c r="AL89" s="882">
        <f>IF($X89=0,0,      _xll.qDateNext($X89,AL$12,$AR$11,FRM&lt;&gt;"Calypso",CCY))</f>
        <v>0</v>
      </c>
      <c r="AM89" s="882">
        <f>IF($X89=0,0,      _xll.qDateNext($X89,AM$12,$AR$11,FRM&lt;&gt;"Calypso",CCY))</f>
        <v>0</v>
      </c>
      <c r="AN89" s="882">
        <f>IF($X89=0,0,      _xll.qDateNext($X89,AN$12,$AR$11,FRM&lt;&gt;"Calypso",CCY))</f>
        <v>0</v>
      </c>
      <c r="AO89" s="882">
        <f>IF($X89=0,0,      _xll.qDateNext($X89,AO$12,$AR$11,FRM&lt;&gt;"Calypso",CCY))</f>
        <v>0</v>
      </c>
      <c r="AP89" s="882">
        <f>IF($X89=0,0,      _xll.qDateNext($X89,AP$12,$AR$11,FRM&lt;&gt;"Calypso",CCY))</f>
        <v>0</v>
      </c>
      <c r="AQ89" s="882">
        <f>IF($X89=0,0,      _xll.qDateNext($X89,AQ$12,$AR$11,FRM&lt;&gt;"Calypso",CCY))</f>
        <v>0</v>
      </c>
      <c r="AR89" s="882">
        <f>IF($X89=0,0,      _xll.qDateNext($X89,AR$12,$AR$11,FRM&lt;&gt;"Calypso",CCY))</f>
        <v>0</v>
      </c>
      <c r="AS89" s="901">
        <f ca="1"/>
        <v>0</v>
      </c>
      <c r="AT89" s="901">
        <f ca="1"/>
        <v>0</v>
      </c>
      <c r="AU89" s="901">
        <f t="shared" si="28"/>
        <v>0</v>
      </c>
      <c r="AV89" s="901">
        <f ca="1"/>
        <v>0</v>
      </c>
      <c r="AW89" s="901">
        <f t="shared" si="29"/>
        <v>0</v>
      </c>
      <c r="AX89" s="901">
        <f t="shared" si="30"/>
        <v>0</v>
      </c>
      <c r="AY89" s="901">
        <f ca="1"/>
        <v>0</v>
      </c>
      <c r="AZ89" s="901">
        <f ca="1"/>
        <v>0</v>
      </c>
      <c r="BA89" s="905">
        <f t="shared" si="19"/>
        <v>0</v>
      </c>
      <c r="BB89" s="905">
        <f t="shared" si="20"/>
        <v>0</v>
      </c>
      <c r="BC89" s="905">
        <f t="shared" si="21"/>
        <v>0</v>
      </c>
      <c r="BD89" s="905">
        <f t="shared" si="22"/>
        <v>0</v>
      </c>
      <c r="BE89" s="905">
        <f t="shared" si="23"/>
        <v>0</v>
      </c>
      <c r="BF89" s="905">
        <f t="shared" si="24"/>
        <v>0</v>
      </c>
      <c r="BG89" s="905">
        <f t="shared" si="25"/>
        <v>0</v>
      </c>
      <c r="BH89" s="905">
        <f t="shared" si="26"/>
        <v>0</v>
      </c>
      <c r="BI89" s="713">
        <v>0</v>
      </c>
      <c r="BJ89" s="695"/>
      <c r="BK89" s="752">
        <f>IF(X90=0,0,           IF(ISNUMBER(BJ89),BJ89,               IF(ISTEXT(BJ89),INDEX(BA89:BH89,MATCH(BJ89,$BA$12:$BH$12,0)),             IF(BI89="INT",_xll.qInterp(X90,AK89:AR89,BA89:BH89),            INDEX(BA89:BH89,MATCH(BI89,$BA$12:$BH$12,0))))))</f>
        <v>0</v>
      </c>
      <c r="BL89" s="389">
        <f t="shared" si="31"/>
        <v>0</v>
      </c>
      <c r="BM89" s="394">
        <f t="shared" si="32"/>
        <v>0</v>
      </c>
      <c r="BN89" s="389">
        <f t="shared" si="33"/>
        <v>0</v>
      </c>
    </row>
    <row r="90" spans="16:66">
      <c r="P90" s="714">
        <v>0</v>
      </c>
      <c r="Q90" s="715">
        <f t="shared" si="17"/>
        <v>0</v>
      </c>
      <c r="R90" s="712">
        <f>IF(P91,_xll.qDateYears(P90,P91,DCCfixed),0)</f>
        <v>0</v>
      </c>
      <c r="S90" s="519">
        <f ca="1"/>
        <v>0</v>
      </c>
      <c r="T90" s="720"/>
      <c r="U90" s="390">
        <f t="shared" si="27"/>
        <v>0</v>
      </c>
      <c r="X90" s="345">
        <v>0</v>
      </c>
      <c r="Y90" s="711">
        <f t="shared" si="18"/>
        <v>0</v>
      </c>
      <c r="Z90" s="712">
        <f>IF(X91,_xll.qDateYears(X90,X91,DCCfloat),0)</f>
        <v>0</v>
      </c>
      <c r="AA90" s="519">
        <f ca="1"/>
        <v>0</v>
      </c>
      <c r="AB90" s="890">
        <f>IF(X90=0,0,         IF(OR(CCY="AUD",CCY="NZD",CCY="GBP"),X90,   _xll.qDateNext(X90,"-2b",,,IF(CCY="EUR","TGT","LON"))))</f>
        <v>0</v>
      </c>
      <c r="AC90" s="879" t="str">
        <v/>
      </c>
      <c r="AD90" s="879" t="str">
        <v/>
      </c>
      <c r="AE90" s="879" t="str">
        <v/>
      </c>
      <c r="AF90" s="879" t="str">
        <v/>
      </c>
      <c r="AG90" s="879" t="str">
        <v/>
      </c>
      <c r="AH90" s="879" t="str">
        <v/>
      </c>
      <c r="AI90" s="879" t="str">
        <v/>
      </c>
      <c r="AJ90" s="879" t="str">
        <v/>
      </c>
      <c r="AK90" s="882">
        <f>IF($X90=0,0,      _xll.qDateNext($X90,AK$12,$AR$11,FRM&lt;&gt;"Calypso",CCY))</f>
        <v>0</v>
      </c>
      <c r="AL90" s="882">
        <f>IF($X90=0,0,      _xll.qDateNext($X90,AL$12,$AR$11,FRM&lt;&gt;"Calypso",CCY))</f>
        <v>0</v>
      </c>
      <c r="AM90" s="882">
        <f>IF($X90=0,0,      _xll.qDateNext($X90,AM$12,$AR$11,FRM&lt;&gt;"Calypso",CCY))</f>
        <v>0</v>
      </c>
      <c r="AN90" s="882">
        <f>IF($X90=0,0,      _xll.qDateNext($X90,AN$12,$AR$11,FRM&lt;&gt;"Calypso",CCY))</f>
        <v>0</v>
      </c>
      <c r="AO90" s="882">
        <f>IF($X90=0,0,      _xll.qDateNext($X90,AO$12,$AR$11,FRM&lt;&gt;"Calypso",CCY))</f>
        <v>0</v>
      </c>
      <c r="AP90" s="882">
        <f>IF($X90=0,0,      _xll.qDateNext($X90,AP$12,$AR$11,FRM&lt;&gt;"Calypso",CCY))</f>
        <v>0</v>
      </c>
      <c r="AQ90" s="882">
        <f>IF($X90=0,0,      _xll.qDateNext($X90,AQ$12,$AR$11,FRM&lt;&gt;"Calypso",CCY))</f>
        <v>0</v>
      </c>
      <c r="AR90" s="882">
        <f>IF($X90=0,0,      _xll.qDateNext($X90,AR$12,$AR$11,FRM&lt;&gt;"Calypso",CCY))</f>
        <v>0</v>
      </c>
      <c r="AS90" s="901">
        <f ca="1"/>
        <v>0</v>
      </c>
      <c r="AT90" s="901">
        <f ca="1"/>
        <v>0</v>
      </c>
      <c r="AU90" s="901">
        <f t="shared" si="28"/>
        <v>0</v>
      </c>
      <c r="AV90" s="901">
        <f ca="1"/>
        <v>0</v>
      </c>
      <c r="AW90" s="901">
        <f t="shared" si="29"/>
        <v>0</v>
      </c>
      <c r="AX90" s="901">
        <f t="shared" si="30"/>
        <v>0</v>
      </c>
      <c r="AY90" s="901">
        <f ca="1"/>
        <v>0</v>
      </c>
      <c r="AZ90" s="901">
        <f ca="1"/>
        <v>0</v>
      </c>
      <c r="BA90" s="905">
        <f t="shared" si="19"/>
        <v>0</v>
      </c>
      <c r="BB90" s="905">
        <f t="shared" si="20"/>
        <v>0</v>
      </c>
      <c r="BC90" s="905">
        <f t="shared" si="21"/>
        <v>0</v>
      </c>
      <c r="BD90" s="905">
        <f t="shared" si="22"/>
        <v>0</v>
      </c>
      <c r="BE90" s="905">
        <f t="shared" si="23"/>
        <v>0</v>
      </c>
      <c r="BF90" s="905">
        <f t="shared" si="24"/>
        <v>0</v>
      </c>
      <c r="BG90" s="905">
        <f t="shared" si="25"/>
        <v>0</v>
      </c>
      <c r="BH90" s="905">
        <f t="shared" si="26"/>
        <v>0</v>
      </c>
      <c r="BI90" s="713">
        <v>0</v>
      </c>
      <c r="BJ90" s="695"/>
      <c r="BK90" s="752">
        <f>IF(X91=0,0,           IF(ISNUMBER(BJ90),BJ90,               IF(ISTEXT(BJ90),INDEX(BA90:BH90,MATCH(BJ90,$BA$12:$BH$12,0)),             IF(BI90="INT",_xll.qInterp(X91,AK90:AR90,BA90:BH90),            INDEX(BA90:BH90,MATCH(BI90,$BA$12:$BH$12,0))))))</f>
        <v>0</v>
      </c>
      <c r="BL90" s="389">
        <f t="shared" si="31"/>
        <v>0</v>
      </c>
      <c r="BM90" s="394">
        <f t="shared" si="32"/>
        <v>0</v>
      </c>
      <c r="BN90" s="389">
        <f t="shared" si="33"/>
        <v>0</v>
      </c>
    </row>
    <row r="91" spans="16:66">
      <c r="P91" s="714">
        <v>0</v>
      </c>
      <c r="Q91" s="715">
        <f t="shared" si="17"/>
        <v>0</v>
      </c>
      <c r="R91" s="712">
        <f>IF(P92,_xll.qDateYears(P91,P92,DCCfixed),0)</f>
        <v>0</v>
      </c>
      <c r="S91" s="519">
        <f ca="1"/>
        <v>0</v>
      </c>
      <c r="T91" s="720"/>
      <c r="U91" s="390">
        <f t="shared" si="27"/>
        <v>0</v>
      </c>
      <c r="X91" s="345">
        <v>0</v>
      </c>
      <c r="Y91" s="711">
        <f t="shared" si="18"/>
        <v>0</v>
      </c>
      <c r="Z91" s="712">
        <f>IF(X92,_xll.qDateYears(X91,X92,DCCfloat),0)</f>
        <v>0</v>
      </c>
      <c r="AA91" s="519">
        <f ca="1"/>
        <v>0</v>
      </c>
      <c r="AB91" s="890">
        <f>IF(X91=0,0,         IF(OR(CCY="AUD",CCY="NZD",CCY="GBP"),X91,   _xll.qDateNext(X91,"-2b",,,IF(CCY="EUR","TGT","LON"))))</f>
        <v>0</v>
      </c>
      <c r="AC91" s="879" t="str">
        <v/>
      </c>
      <c r="AD91" s="879" t="str">
        <v/>
      </c>
      <c r="AE91" s="879" t="str">
        <v/>
      </c>
      <c r="AF91" s="879" t="str">
        <v/>
      </c>
      <c r="AG91" s="879" t="str">
        <v/>
      </c>
      <c r="AH91" s="879" t="str">
        <v/>
      </c>
      <c r="AI91" s="879" t="str">
        <v/>
      </c>
      <c r="AJ91" s="879" t="str">
        <v/>
      </c>
      <c r="AK91" s="882">
        <f>IF($X91=0,0,      _xll.qDateNext($X91,AK$12,$AR$11,FRM&lt;&gt;"Calypso",CCY))</f>
        <v>0</v>
      </c>
      <c r="AL91" s="882">
        <f>IF($X91=0,0,      _xll.qDateNext($X91,AL$12,$AR$11,FRM&lt;&gt;"Calypso",CCY))</f>
        <v>0</v>
      </c>
      <c r="AM91" s="882">
        <f>IF($X91=0,0,      _xll.qDateNext($X91,AM$12,$AR$11,FRM&lt;&gt;"Calypso",CCY))</f>
        <v>0</v>
      </c>
      <c r="AN91" s="882">
        <f>IF($X91=0,0,      _xll.qDateNext($X91,AN$12,$AR$11,FRM&lt;&gt;"Calypso",CCY))</f>
        <v>0</v>
      </c>
      <c r="AO91" s="882">
        <f>IF($X91=0,0,      _xll.qDateNext($X91,AO$12,$AR$11,FRM&lt;&gt;"Calypso",CCY))</f>
        <v>0</v>
      </c>
      <c r="AP91" s="882">
        <f>IF($X91=0,0,      _xll.qDateNext($X91,AP$12,$AR$11,FRM&lt;&gt;"Calypso",CCY))</f>
        <v>0</v>
      </c>
      <c r="AQ91" s="882">
        <f>IF($X91=0,0,      _xll.qDateNext($X91,AQ$12,$AR$11,FRM&lt;&gt;"Calypso",CCY))</f>
        <v>0</v>
      </c>
      <c r="AR91" s="882">
        <f>IF($X91=0,0,      _xll.qDateNext($X91,AR$12,$AR$11,FRM&lt;&gt;"Calypso",CCY))</f>
        <v>0</v>
      </c>
      <c r="AS91" s="901">
        <f ca="1"/>
        <v>0</v>
      </c>
      <c r="AT91" s="901">
        <f ca="1"/>
        <v>0</v>
      </c>
      <c r="AU91" s="901">
        <f t="shared" si="28"/>
        <v>0</v>
      </c>
      <c r="AV91" s="901">
        <f ca="1"/>
        <v>0</v>
      </c>
      <c r="AW91" s="901">
        <f t="shared" si="29"/>
        <v>0</v>
      </c>
      <c r="AX91" s="901">
        <f t="shared" si="30"/>
        <v>0</v>
      </c>
      <c r="AY91" s="901">
        <f ca="1"/>
        <v>0</v>
      </c>
      <c r="AZ91" s="901">
        <f ca="1"/>
        <v>0</v>
      </c>
      <c r="BA91" s="905">
        <f t="shared" si="19"/>
        <v>0</v>
      </c>
      <c r="BB91" s="905">
        <f t="shared" si="20"/>
        <v>0</v>
      </c>
      <c r="BC91" s="905">
        <f t="shared" si="21"/>
        <v>0</v>
      </c>
      <c r="BD91" s="905">
        <f t="shared" si="22"/>
        <v>0</v>
      </c>
      <c r="BE91" s="905">
        <f t="shared" si="23"/>
        <v>0</v>
      </c>
      <c r="BF91" s="905">
        <f t="shared" si="24"/>
        <v>0</v>
      </c>
      <c r="BG91" s="905">
        <f t="shared" si="25"/>
        <v>0</v>
      </c>
      <c r="BH91" s="905">
        <f t="shared" si="26"/>
        <v>0</v>
      </c>
      <c r="BI91" s="713">
        <v>0</v>
      </c>
      <c r="BJ91" s="695"/>
      <c r="BK91" s="752">
        <f>IF(X92=0,0,           IF(ISNUMBER(BJ91),BJ91,               IF(ISTEXT(BJ91),INDEX(BA91:BH91,MATCH(BJ91,$BA$12:$BH$12,0)),             IF(BI91="INT",_xll.qInterp(X92,AK91:AR91,BA91:BH91),            INDEX(BA91:BH91,MATCH(BI91,$BA$12:$BH$12,0))))))</f>
        <v>0</v>
      </c>
      <c r="BL91" s="389">
        <f t="shared" si="31"/>
        <v>0</v>
      </c>
      <c r="BM91" s="394">
        <f t="shared" si="32"/>
        <v>0</v>
      </c>
      <c r="BN91" s="389">
        <f t="shared" si="33"/>
        <v>0</v>
      </c>
    </row>
    <row r="92" spans="16:66">
      <c r="P92" s="714">
        <v>0</v>
      </c>
      <c r="Q92" s="715">
        <f t="shared" si="17"/>
        <v>0</v>
      </c>
      <c r="R92" s="712">
        <f>IF(P93,_xll.qDateYears(P92,P93,DCCfixed),0)</f>
        <v>0</v>
      </c>
      <c r="S92" s="519">
        <f ca="1"/>
        <v>0</v>
      </c>
      <c r="T92" s="720"/>
      <c r="U92" s="390">
        <f t="shared" si="27"/>
        <v>0</v>
      </c>
      <c r="X92" s="345">
        <v>0</v>
      </c>
      <c r="Y92" s="711">
        <f t="shared" si="18"/>
        <v>0</v>
      </c>
      <c r="Z92" s="712">
        <f>IF(X93,_xll.qDateYears(X92,X93,DCCfloat),0)</f>
        <v>0</v>
      </c>
      <c r="AA92" s="519">
        <f ca="1"/>
        <v>0</v>
      </c>
      <c r="AB92" s="890">
        <f>IF(X92=0,0,         IF(OR(CCY="AUD",CCY="NZD",CCY="GBP"),X92,   _xll.qDateNext(X92,"-2b",,,IF(CCY="EUR","TGT","LON"))))</f>
        <v>0</v>
      </c>
      <c r="AC92" s="879" t="str">
        <v/>
      </c>
      <c r="AD92" s="879" t="str">
        <v/>
      </c>
      <c r="AE92" s="879" t="str">
        <v/>
      </c>
      <c r="AF92" s="879" t="str">
        <v/>
      </c>
      <c r="AG92" s="879" t="str">
        <v/>
      </c>
      <c r="AH92" s="879" t="str">
        <v/>
      </c>
      <c r="AI92" s="879" t="str">
        <v/>
      </c>
      <c r="AJ92" s="879" t="str">
        <v/>
      </c>
      <c r="AK92" s="882">
        <f>IF($X92=0,0,      _xll.qDateNext($X92,AK$12,$AR$11,FRM&lt;&gt;"Calypso",CCY))</f>
        <v>0</v>
      </c>
      <c r="AL92" s="882">
        <f>IF($X92=0,0,      _xll.qDateNext($X92,AL$12,$AR$11,FRM&lt;&gt;"Calypso",CCY))</f>
        <v>0</v>
      </c>
      <c r="AM92" s="882">
        <f>IF($X92=0,0,      _xll.qDateNext($X92,AM$12,$AR$11,FRM&lt;&gt;"Calypso",CCY))</f>
        <v>0</v>
      </c>
      <c r="AN92" s="882">
        <f>IF($X92=0,0,      _xll.qDateNext($X92,AN$12,$AR$11,FRM&lt;&gt;"Calypso",CCY))</f>
        <v>0</v>
      </c>
      <c r="AO92" s="882">
        <f>IF($X92=0,0,      _xll.qDateNext($X92,AO$12,$AR$11,FRM&lt;&gt;"Calypso",CCY))</f>
        <v>0</v>
      </c>
      <c r="AP92" s="882">
        <f>IF($X92=0,0,      _xll.qDateNext($X92,AP$12,$AR$11,FRM&lt;&gt;"Calypso",CCY))</f>
        <v>0</v>
      </c>
      <c r="AQ92" s="882">
        <f>IF($X92=0,0,      _xll.qDateNext($X92,AQ$12,$AR$11,FRM&lt;&gt;"Calypso",CCY))</f>
        <v>0</v>
      </c>
      <c r="AR92" s="882">
        <f>IF($X92=0,0,      _xll.qDateNext($X92,AR$12,$AR$11,FRM&lt;&gt;"Calypso",CCY))</f>
        <v>0</v>
      </c>
      <c r="AS92" s="901">
        <f ca="1"/>
        <v>0</v>
      </c>
      <c r="AT92" s="901">
        <f ca="1"/>
        <v>0</v>
      </c>
      <c r="AU92" s="901">
        <f t="shared" si="28"/>
        <v>0</v>
      </c>
      <c r="AV92" s="901">
        <f ca="1"/>
        <v>0</v>
      </c>
      <c r="AW92" s="901">
        <f t="shared" si="29"/>
        <v>0</v>
      </c>
      <c r="AX92" s="901">
        <f t="shared" si="30"/>
        <v>0</v>
      </c>
      <c r="AY92" s="901">
        <f ca="1"/>
        <v>0</v>
      </c>
      <c r="AZ92" s="901">
        <f ca="1"/>
        <v>0</v>
      </c>
      <c r="BA92" s="905">
        <f t="shared" si="19"/>
        <v>0</v>
      </c>
      <c r="BB92" s="905">
        <f t="shared" si="20"/>
        <v>0</v>
      </c>
      <c r="BC92" s="905">
        <f t="shared" si="21"/>
        <v>0</v>
      </c>
      <c r="BD92" s="905">
        <f t="shared" si="22"/>
        <v>0</v>
      </c>
      <c r="BE92" s="905">
        <f t="shared" si="23"/>
        <v>0</v>
      </c>
      <c r="BF92" s="905">
        <f t="shared" si="24"/>
        <v>0</v>
      </c>
      <c r="BG92" s="905">
        <f t="shared" si="25"/>
        <v>0</v>
      </c>
      <c r="BH92" s="905">
        <f t="shared" si="26"/>
        <v>0</v>
      </c>
      <c r="BI92" s="713">
        <v>0</v>
      </c>
      <c r="BJ92" s="695"/>
      <c r="BK92" s="752">
        <f>IF(X93=0,0,           IF(ISNUMBER(BJ92),BJ92,               IF(ISTEXT(BJ92),INDEX(BA92:BH92,MATCH(BJ92,$BA$12:$BH$12,0)),             IF(BI92="INT",_xll.qInterp(X93,AK92:AR92,BA92:BH92),            INDEX(BA92:BH92,MATCH(BI92,$BA$12:$BH$12,0))))))</f>
        <v>0</v>
      </c>
      <c r="BL92" s="389">
        <f t="shared" si="31"/>
        <v>0</v>
      </c>
      <c r="BM92" s="394">
        <f t="shared" si="32"/>
        <v>0</v>
      </c>
      <c r="BN92" s="389">
        <f t="shared" si="33"/>
        <v>0</v>
      </c>
    </row>
    <row r="93" spans="16:66">
      <c r="P93" s="714">
        <v>0</v>
      </c>
      <c r="Q93" s="715">
        <f t="shared" si="17"/>
        <v>0</v>
      </c>
      <c r="R93" s="712">
        <f>IF(P94,_xll.qDateYears(P93,P94,DCCfixed),0)</f>
        <v>0</v>
      </c>
      <c r="S93" s="519">
        <f ca="1"/>
        <v>0</v>
      </c>
      <c r="T93" s="720"/>
      <c r="U93" s="390">
        <f t="shared" si="27"/>
        <v>0</v>
      </c>
      <c r="X93" s="345">
        <v>0</v>
      </c>
      <c r="Y93" s="711">
        <f t="shared" si="18"/>
        <v>0</v>
      </c>
      <c r="Z93" s="712">
        <f>IF(X94,_xll.qDateYears(X93,X94,DCCfloat),0)</f>
        <v>0</v>
      </c>
      <c r="AA93" s="519">
        <f ca="1"/>
        <v>0</v>
      </c>
      <c r="AB93" s="890">
        <f>IF(X93=0,0,         IF(OR(CCY="AUD",CCY="NZD",CCY="GBP"),X93,   _xll.qDateNext(X93,"-2b",,,IF(CCY="EUR","TGT","LON"))))</f>
        <v>0</v>
      </c>
      <c r="AC93" s="879" t="str">
        <v/>
      </c>
      <c r="AD93" s="879" t="str">
        <v/>
      </c>
      <c r="AE93" s="879" t="str">
        <v/>
      </c>
      <c r="AF93" s="879" t="str">
        <v/>
      </c>
      <c r="AG93" s="879" t="str">
        <v/>
      </c>
      <c r="AH93" s="879" t="str">
        <v/>
      </c>
      <c r="AI93" s="879" t="str">
        <v/>
      </c>
      <c r="AJ93" s="879" t="str">
        <v/>
      </c>
      <c r="AK93" s="882">
        <f>IF($X93=0,0,      _xll.qDateNext($X93,AK$12,$AR$11,FRM&lt;&gt;"Calypso",CCY))</f>
        <v>0</v>
      </c>
      <c r="AL93" s="882">
        <f>IF($X93=0,0,      _xll.qDateNext($X93,AL$12,$AR$11,FRM&lt;&gt;"Calypso",CCY))</f>
        <v>0</v>
      </c>
      <c r="AM93" s="882">
        <f>IF($X93=0,0,      _xll.qDateNext($X93,AM$12,$AR$11,FRM&lt;&gt;"Calypso",CCY))</f>
        <v>0</v>
      </c>
      <c r="AN93" s="882">
        <f>IF($X93=0,0,      _xll.qDateNext($X93,AN$12,$AR$11,FRM&lt;&gt;"Calypso",CCY))</f>
        <v>0</v>
      </c>
      <c r="AO93" s="882">
        <f>IF($X93=0,0,      _xll.qDateNext($X93,AO$12,$AR$11,FRM&lt;&gt;"Calypso",CCY))</f>
        <v>0</v>
      </c>
      <c r="AP93" s="882">
        <f>IF($X93=0,0,      _xll.qDateNext($X93,AP$12,$AR$11,FRM&lt;&gt;"Calypso",CCY))</f>
        <v>0</v>
      </c>
      <c r="AQ93" s="882">
        <f>IF($X93=0,0,      _xll.qDateNext($X93,AQ$12,$AR$11,FRM&lt;&gt;"Calypso",CCY))</f>
        <v>0</v>
      </c>
      <c r="AR93" s="882">
        <f>IF($X93=0,0,      _xll.qDateNext($X93,AR$12,$AR$11,FRM&lt;&gt;"Calypso",CCY))</f>
        <v>0</v>
      </c>
      <c r="AS93" s="901">
        <f ca="1"/>
        <v>0</v>
      </c>
      <c r="AT93" s="901">
        <f ca="1"/>
        <v>0</v>
      </c>
      <c r="AU93" s="901">
        <f t="shared" si="28"/>
        <v>0</v>
      </c>
      <c r="AV93" s="901">
        <f ca="1"/>
        <v>0</v>
      </c>
      <c r="AW93" s="901">
        <f t="shared" si="29"/>
        <v>0</v>
      </c>
      <c r="AX93" s="901">
        <f t="shared" si="30"/>
        <v>0</v>
      </c>
      <c r="AY93" s="901">
        <f ca="1"/>
        <v>0</v>
      </c>
      <c r="AZ93" s="901">
        <f ca="1"/>
        <v>0</v>
      </c>
      <c r="BA93" s="905">
        <f t="shared" si="19"/>
        <v>0</v>
      </c>
      <c r="BB93" s="905">
        <f t="shared" si="20"/>
        <v>0</v>
      </c>
      <c r="BC93" s="905">
        <f t="shared" si="21"/>
        <v>0</v>
      </c>
      <c r="BD93" s="905">
        <f t="shared" si="22"/>
        <v>0</v>
      </c>
      <c r="BE93" s="905">
        <f t="shared" si="23"/>
        <v>0</v>
      </c>
      <c r="BF93" s="905">
        <f t="shared" si="24"/>
        <v>0</v>
      </c>
      <c r="BG93" s="905">
        <f t="shared" si="25"/>
        <v>0</v>
      </c>
      <c r="BH93" s="905">
        <f t="shared" si="26"/>
        <v>0</v>
      </c>
      <c r="BI93" s="713">
        <v>0</v>
      </c>
      <c r="BJ93" s="695"/>
      <c r="BK93" s="752">
        <f>IF(X94=0,0,           IF(ISNUMBER(BJ93),BJ93,               IF(ISTEXT(BJ93),INDEX(BA93:BH93,MATCH(BJ93,$BA$12:$BH$12,0)),             IF(BI93="INT",_xll.qInterp(X94,AK93:AR93,BA93:BH93),            INDEX(BA93:BH93,MATCH(BI93,$BA$12:$BH$12,0))))))</f>
        <v>0</v>
      </c>
      <c r="BL93" s="389">
        <f t="shared" si="31"/>
        <v>0</v>
      </c>
      <c r="BM93" s="394">
        <f t="shared" si="32"/>
        <v>0</v>
      </c>
      <c r="BN93" s="389">
        <f t="shared" si="33"/>
        <v>0</v>
      </c>
    </row>
    <row r="94" spans="16:66">
      <c r="P94" s="714">
        <v>0</v>
      </c>
      <c r="Q94" s="715">
        <f t="shared" si="17"/>
        <v>0</v>
      </c>
      <c r="R94" s="712">
        <f>IF(P95,_xll.qDateYears(P94,P95,DCCfixed),0)</f>
        <v>0</v>
      </c>
      <c r="S94" s="519">
        <f ca="1"/>
        <v>0</v>
      </c>
      <c r="T94" s="720"/>
      <c r="U94" s="390">
        <f t="shared" si="27"/>
        <v>0</v>
      </c>
      <c r="X94" s="345">
        <v>0</v>
      </c>
      <c r="Y94" s="711">
        <f t="shared" si="18"/>
        <v>0</v>
      </c>
      <c r="Z94" s="712">
        <f>IF(X95,_xll.qDateYears(X94,X95,DCCfloat),0)</f>
        <v>0</v>
      </c>
      <c r="AA94" s="519">
        <f ca="1"/>
        <v>0</v>
      </c>
      <c r="AB94" s="890">
        <f>IF(X94=0,0,         IF(OR(CCY="AUD",CCY="NZD",CCY="GBP"),X94,   _xll.qDateNext(X94,"-2b",,,IF(CCY="EUR","TGT","LON"))))</f>
        <v>0</v>
      </c>
      <c r="AC94" s="879" t="str">
        <v/>
      </c>
      <c r="AD94" s="879" t="str">
        <v/>
      </c>
      <c r="AE94" s="879" t="str">
        <v/>
      </c>
      <c r="AF94" s="879" t="str">
        <v/>
      </c>
      <c r="AG94" s="879" t="str">
        <v/>
      </c>
      <c r="AH94" s="879" t="str">
        <v/>
      </c>
      <c r="AI94" s="879" t="str">
        <v/>
      </c>
      <c r="AJ94" s="879" t="str">
        <v/>
      </c>
      <c r="AK94" s="882">
        <f>IF($X94=0,0,      _xll.qDateNext($X94,AK$12,$AR$11,FRM&lt;&gt;"Calypso",CCY))</f>
        <v>0</v>
      </c>
      <c r="AL94" s="882">
        <f>IF($X94=0,0,      _xll.qDateNext($X94,AL$12,$AR$11,FRM&lt;&gt;"Calypso",CCY))</f>
        <v>0</v>
      </c>
      <c r="AM94" s="882">
        <f>IF($X94=0,0,      _xll.qDateNext($X94,AM$12,$AR$11,FRM&lt;&gt;"Calypso",CCY))</f>
        <v>0</v>
      </c>
      <c r="AN94" s="882">
        <f>IF($X94=0,0,      _xll.qDateNext($X94,AN$12,$AR$11,FRM&lt;&gt;"Calypso",CCY))</f>
        <v>0</v>
      </c>
      <c r="AO94" s="882">
        <f>IF($X94=0,0,      _xll.qDateNext($X94,AO$12,$AR$11,FRM&lt;&gt;"Calypso",CCY))</f>
        <v>0</v>
      </c>
      <c r="AP94" s="882">
        <f>IF($X94=0,0,      _xll.qDateNext($X94,AP$12,$AR$11,FRM&lt;&gt;"Calypso",CCY))</f>
        <v>0</v>
      </c>
      <c r="AQ94" s="882">
        <f>IF($X94=0,0,      _xll.qDateNext($X94,AQ$12,$AR$11,FRM&lt;&gt;"Calypso",CCY))</f>
        <v>0</v>
      </c>
      <c r="AR94" s="882">
        <f>IF($X94=0,0,      _xll.qDateNext($X94,AR$12,$AR$11,FRM&lt;&gt;"Calypso",CCY))</f>
        <v>0</v>
      </c>
      <c r="AS94" s="901">
        <f ca="1"/>
        <v>0</v>
      </c>
      <c r="AT94" s="901">
        <f ca="1"/>
        <v>0</v>
      </c>
      <c r="AU94" s="901">
        <f t="shared" si="28"/>
        <v>0</v>
      </c>
      <c r="AV94" s="901">
        <f ca="1"/>
        <v>0</v>
      </c>
      <c r="AW94" s="901">
        <f t="shared" si="29"/>
        <v>0</v>
      </c>
      <c r="AX94" s="901">
        <f t="shared" si="30"/>
        <v>0</v>
      </c>
      <c r="AY94" s="901">
        <f ca="1"/>
        <v>0</v>
      </c>
      <c r="AZ94" s="901">
        <f ca="1"/>
        <v>0</v>
      </c>
      <c r="BA94" s="905">
        <f t="shared" si="19"/>
        <v>0</v>
      </c>
      <c r="BB94" s="905">
        <f t="shared" si="20"/>
        <v>0</v>
      </c>
      <c r="BC94" s="905">
        <f t="shared" si="21"/>
        <v>0</v>
      </c>
      <c r="BD94" s="905">
        <f t="shared" si="22"/>
        <v>0</v>
      </c>
      <c r="BE94" s="905">
        <f t="shared" si="23"/>
        <v>0</v>
      </c>
      <c r="BF94" s="905">
        <f t="shared" si="24"/>
        <v>0</v>
      </c>
      <c r="BG94" s="905">
        <f t="shared" si="25"/>
        <v>0</v>
      </c>
      <c r="BH94" s="905">
        <f t="shared" si="26"/>
        <v>0</v>
      </c>
      <c r="BI94" s="713">
        <v>0</v>
      </c>
      <c r="BJ94" s="695"/>
      <c r="BK94" s="752">
        <f>IF(X95=0,0,           IF(ISNUMBER(BJ94),BJ94,               IF(ISTEXT(BJ94),INDEX(BA94:BH94,MATCH(BJ94,$BA$12:$BH$12,0)),             IF(BI94="INT",_xll.qInterp(X95,AK94:AR94,BA94:BH94),            INDEX(BA94:BH94,MATCH(BI94,$BA$12:$BH$12,0))))))</f>
        <v>0</v>
      </c>
      <c r="BL94" s="389">
        <f t="shared" si="31"/>
        <v>0</v>
      </c>
      <c r="BM94" s="394">
        <f t="shared" si="32"/>
        <v>0</v>
      </c>
      <c r="BN94" s="389">
        <f t="shared" si="33"/>
        <v>0</v>
      </c>
    </row>
    <row r="95" spans="16:66">
      <c r="P95" s="714">
        <v>0</v>
      </c>
      <c r="Q95" s="715">
        <f t="shared" si="17"/>
        <v>0</v>
      </c>
      <c r="R95" s="712">
        <f>IF(P96,_xll.qDateYears(P95,P96,DCCfixed),0)</f>
        <v>0</v>
      </c>
      <c r="S95" s="519">
        <f ca="1"/>
        <v>0</v>
      </c>
      <c r="T95" s="720"/>
      <c r="U95" s="390">
        <f t="shared" si="27"/>
        <v>0</v>
      </c>
      <c r="X95" s="345">
        <v>0</v>
      </c>
      <c r="Y95" s="711">
        <f t="shared" si="18"/>
        <v>0</v>
      </c>
      <c r="Z95" s="712">
        <f>IF(X96,_xll.qDateYears(X95,X96,DCCfloat),0)</f>
        <v>0</v>
      </c>
      <c r="AA95" s="519">
        <f ca="1"/>
        <v>0</v>
      </c>
      <c r="AB95" s="890">
        <f>IF(X95=0,0,         IF(OR(CCY="AUD",CCY="NZD",CCY="GBP"),X95,   _xll.qDateNext(X95,"-2b",,,IF(CCY="EUR","TGT","LON"))))</f>
        <v>0</v>
      </c>
      <c r="AC95" s="879" t="str">
        <v/>
      </c>
      <c r="AD95" s="879" t="str">
        <v/>
      </c>
      <c r="AE95" s="879" t="str">
        <v/>
      </c>
      <c r="AF95" s="879" t="str">
        <v/>
      </c>
      <c r="AG95" s="879" t="str">
        <v/>
      </c>
      <c r="AH95" s="879" t="str">
        <v/>
      </c>
      <c r="AI95" s="879" t="str">
        <v/>
      </c>
      <c r="AJ95" s="879" t="str">
        <v/>
      </c>
      <c r="AK95" s="882">
        <f>IF($X95=0,0,      _xll.qDateNext($X95,AK$12,$AR$11,FRM&lt;&gt;"Calypso",CCY))</f>
        <v>0</v>
      </c>
      <c r="AL95" s="882">
        <f>IF($X95=0,0,      _xll.qDateNext($X95,AL$12,$AR$11,FRM&lt;&gt;"Calypso",CCY))</f>
        <v>0</v>
      </c>
      <c r="AM95" s="882">
        <f>IF($X95=0,0,      _xll.qDateNext($X95,AM$12,$AR$11,FRM&lt;&gt;"Calypso",CCY))</f>
        <v>0</v>
      </c>
      <c r="AN95" s="882">
        <f>IF($X95=0,0,      _xll.qDateNext($X95,AN$12,$AR$11,FRM&lt;&gt;"Calypso",CCY))</f>
        <v>0</v>
      </c>
      <c r="AO95" s="882">
        <f>IF($X95=0,0,      _xll.qDateNext($X95,AO$12,$AR$11,FRM&lt;&gt;"Calypso",CCY))</f>
        <v>0</v>
      </c>
      <c r="AP95" s="882">
        <f>IF($X95=0,0,      _xll.qDateNext($X95,AP$12,$AR$11,FRM&lt;&gt;"Calypso",CCY))</f>
        <v>0</v>
      </c>
      <c r="AQ95" s="882">
        <f>IF($X95=0,0,      _xll.qDateNext($X95,AQ$12,$AR$11,FRM&lt;&gt;"Calypso",CCY))</f>
        <v>0</v>
      </c>
      <c r="AR95" s="882">
        <f>IF($X95=0,0,      _xll.qDateNext($X95,AR$12,$AR$11,FRM&lt;&gt;"Calypso",CCY))</f>
        <v>0</v>
      </c>
      <c r="AS95" s="901">
        <f ca="1"/>
        <v>0</v>
      </c>
      <c r="AT95" s="901">
        <f ca="1"/>
        <v>0</v>
      </c>
      <c r="AU95" s="901">
        <f t="shared" si="28"/>
        <v>0</v>
      </c>
      <c r="AV95" s="901">
        <f ca="1"/>
        <v>0</v>
      </c>
      <c r="AW95" s="901">
        <f t="shared" si="29"/>
        <v>0</v>
      </c>
      <c r="AX95" s="901">
        <f t="shared" si="30"/>
        <v>0</v>
      </c>
      <c r="AY95" s="901">
        <f ca="1"/>
        <v>0</v>
      </c>
      <c r="AZ95" s="901">
        <f ca="1"/>
        <v>0</v>
      </c>
      <c r="BA95" s="905">
        <f t="shared" si="19"/>
        <v>0</v>
      </c>
      <c r="BB95" s="905">
        <f t="shared" si="20"/>
        <v>0</v>
      </c>
      <c r="BC95" s="905">
        <f t="shared" si="21"/>
        <v>0</v>
      </c>
      <c r="BD95" s="905">
        <f t="shared" si="22"/>
        <v>0</v>
      </c>
      <c r="BE95" s="905">
        <f t="shared" si="23"/>
        <v>0</v>
      </c>
      <c r="BF95" s="905">
        <f t="shared" si="24"/>
        <v>0</v>
      </c>
      <c r="BG95" s="905">
        <f t="shared" si="25"/>
        <v>0</v>
      </c>
      <c r="BH95" s="905">
        <f t="shared" si="26"/>
        <v>0</v>
      </c>
      <c r="BI95" s="713">
        <v>0</v>
      </c>
      <c r="BJ95" s="695"/>
      <c r="BK95" s="752">
        <f>IF(X96=0,0,           IF(ISNUMBER(BJ95),BJ95,               IF(ISTEXT(BJ95),INDEX(BA95:BH95,MATCH(BJ95,$BA$12:$BH$12,0)),             IF(BI95="INT",_xll.qInterp(X96,AK95:AR95,BA95:BH95),            INDEX(BA95:BH95,MATCH(BI95,$BA$12:$BH$12,0))))))</f>
        <v>0</v>
      </c>
      <c r="BL95" s="389">
        <f t="shared" si="31"/>
        <v>0</v>
      </c>
      <c r="BM95" s="394">
        <f t="shared" si="32"/>
        <v>0</v>
      </c>
      <c r="BN95" s="389">
        <f t="shared" si="33"/>
        <v>0</v>
      </c>
    </row>
    <row r="96" spans="16:66">
      <c r="P96" s="714">
        <v>0</v>
      </c>
      <c r="Q96" s="715">
        <f t="shared" si="17"/>
        <v>0</v>
      </c>
      <c r="R96" s="712">
        <f>IF(P97,_xll.qDateYears(P96,P97,DCCfixed),0)</f>
        <v>0</v>
      </c>
      <c r="S96" s="519">
        <f ca="1"/>
        <v>0</v>
      </c>
      <c r="T96" s="720"/>
      <c r="U96" s="390">
        <f t="shared" si="27"/>
        <v>0</v>
      </c>
      <c r="X96" s="345">
        <v>0</v>
      </c>
      <c r="Y96" s="711">
        <f t="shared" si="18"/>
        <v>0</v>
      </c>
      <c r="Z96" s="712">
        <f>IF(X97,_xll.qDateYears(X96,X97,DCCfloat),0)</f>
        <v>0</v>
      </c>
      <c r="AA96" s="519">
        <f ca="1"/>
        <v>0</v>
      </c>
      <c r="AB96" s="890">
        <f>IF(X96=0,0,         IF(OR(CCY="AUD",CCY="NZD",CCY="GBP"),X96,   _xll.qDateNext(X96,"-2b",,,IF(CCY="EUR","TGT","LON"))))</f>
        <v>0</v>
      </c>
      <c r="AC96" s="879" t="str">
        <v/>
      </c>
      <c r="AD96" s="879" t="str">
        <v/>
      </c>
      <c r="AE96" s="879" t="str">
        <v/>
      </c>
      <c r="AF96" s="879" t="str">
        <v/>
      </c>
      <c r="AG96" s="879" t="str">
        <v/>
      </c>
      <c r="AH96" s="879" t="str">
        <v/>
      </c>
      <c r="AI96" s="879" t="str">
        <v/>
      </c>
      <c r="AJ96" s="879" t="str">
        <v/>
      </c>
      <c r="AK96" s="882">
        <f>IF($X96=0,0,      _xll.qDateNext($X96,AK$12,$AR$11,FRM&lt;&gt;"Calypso",CCY))</f>
        <v>0</v>
      </c>
      <c r="AL96" s="882">
        <f>IF($X96=0,0,      _xll.qDateNext($X96,AL$12,$AR$11,FRM&lt;&gt;"Calypso",CCY))</f>
        <v>0</v>
      </c>
      <c r="AM96" s="882">
        <f>IF($X96=0,0,      _xll.qDateNext($X96,AM$12,$AR$11,FRM&lt;&gt;"Calypso",CCY))</f>
        <v>0</v>
      </c>
      <c r="AN96" s="882">
        <f>IF($X96=0,0,      _xll.qDateNext($X96,AN$12,$AR$11,FRM&lt;&gt;"Calypso",CCY))</f>
        <v>0</v>
      </c>
      <c r="AO96" s="882">
        <f>IF($X96=0,0,      _xll.qDateNext($X96,AO$12,$AR$11,FRM&lt;&gt;"Calypso",CCY))</f>
        <v>0</v>
      </c>
      <c r="AP96" s="882">
        <f>IF($X96=0,0,      _xll.qDateNext($X96,AP$12,$AR$11,FRM&lt;&gt;"Calypso",CCY))</f>
        <v>0</v>
      </c>
      <c r="AQ96" s="882">
        <f>IF($X96=0,0,      _xll.qDateNext($X96,AQ$12,$AR$11,FRM&lt;&gt;"Calypso",CCY))</f>
        <v>0</v>
      </c>
      <c r="AR96" s="882">
        <f>IF($X96=0,0,      _xll.qDateNext($X96,AR$12,$AR$11,FRM&lt;&gt;"Calypso",CCY))</f>
        <v>0</v>
      </c>
      <c r="AS96" s="901">
        <f ca="1"/>
        <v>0</v>
      </c>
      <c r="AT96" s="901">
        <f ca="1"/>
        <v>0</v>
      </c>
      <c r="AU96" s="901">
        <f t="shared" si="28"/>
        <v>0</v>
      </c>
      <c r="AV96" s="901">
        <f ca="1"/>
        <v>0</v>
      </c>
      <c r="AW96" s="901">
        <f t="shared" si="29"/>
        <v>0</v>
      </c>
      <c r="AX96" s="901">
        <f t="shared" si="30"/>
        <v>0</v>
      </c>
      <c r="AY96" s="901">
        <f ca="1"/>
        <v>0</v>
      </c>
      <c r="AZ96" s="901">
        <f ca="1"/>
        <v>0</v>
      </c>
      <c r="BA96" s="905">
        <f t="shared" si="19"/>
        <v>0</v>
      </c>
      <c r="BB96" s="905">
        <f t="shared" si="20"/>
        <v>0</v>
      </c>
      <c r="BC96" s="905">
        <f t="shared" si="21"/>
        <v>0</v>
      </c>
      <c r="BD96" s="905">
        <f t="shared" si="22"/>
        <v>0</v>
      </c>
      <c r="BE96" s="905">
        <f t="shared" si="23"/>
        <v>0</v>
      </c>
      <c r="BF96" s="905">
        <f t="shared" si="24"/>
        <v>0</v>
      </c>
      <c r="BG96" s="905">
        <f t="shared" si="25"/>
        <v>0</v>
      </c>
      <c r="BH96" s="905">
        <f t="shared" si="26"/>
        <v>0</v>
      </c>
      <c r="BI96" s="713">
        <v>0</v>
      </c>
      <c r="BJ96" s="695"/>
      <c r="BK96" s="752">
        <f>IF(X97=0,0,           IF(ISNUMBER(BJ96),BJ96,               IF(ISTEXT(BJ96),INDEX(BA96:BH96,MATCH(BJ96,$BA$12:$BH$12,0)),             IF(BI96="INT",_xll.qInterp(X97,AK96:AR96,BA96:BH96),            INDEX(BA96:BH96,MATCH(BI96,$BA$12:$BH$12,0))))))</f>
        <v>0</v>
      </c>
      <c r="BL96" s="389">
        <f t="shared" si="31"/>
        <v>0</v>
      </c>
      <c r="BM96" s="394">
        <f t="shared" si="32"/>
        <v>0</v>
      </c>
      <c r="BN96" s="389">
        <f t="shared" si="33"/>
        <v>0</v>
      </c>
    </row>
    <row r="97" spans="16:66">
      <c r="P97" s="714">
        <v>0</v>
      </c>
      <c r="Q97" s="715">
        <f t="shared" si="17"/>
        <v>0</v>
      </c>
      <c r="R97" s="712">
        <f>IF(P98,_xll.qDateYears(P97,P98,DCCfixed),0)</f>
        <v>0</v>
      </c>
      <c r="S97" s="519">
        <f ca="1"/>
        <v>0</v>
      </c>
      <c r="T97" s="720"/>
      <c r="U97" s="390">
        <f t="shared" si="27"/>
        <v>0</v>
      </c>
      <c r="X97" s="345">
        <v>0</v>
      </c>
      <c r="Y97" s="711">
        <f t="shared" si="18"/>
        <v>0</v>
      </c>
      <c r="Z97" s="712">
        <f>IF(X98,_xll.qDateYears(X97,X98,DCCfloat),0)</f>
        <v>0</v>
      </c>
      <c r="AA97" s="519">
        <f ca="1"/>
        <v>0</v>
      </c>
      <c r="AB97" s="890">
        <f>IF(X97=0,0,         IF(OR(CCY="AUD",CCY="NZD",CCY="GBP"),X97,   _xll.qDateNext(X97,"-2b",,,IF(CCY="EUR","TGT","LON"))))</f>
        <v>0</v>
      </c>
      <c r="AC97" s="879" t="str">
        <v/>
      </c>
      <c r="AD97" s="879" t="str">
        <v/>
      </c>
      <c r="AE97" s="879" t="str">
        <v/>
      </c>
      <c r="AF97" s="879" t="str">
        <v/>
      </c>
      <c r="AG97" s="879" t="str">
        <v/>
      </c>
      <c r="AH97" s="879" t="str">
        <v/>
      </c>
      <c r="AI97" s="879" t="str">
        <v/>
      </c>
      <c r="AJ97" s="879" t="str">
        <v/>
      </c>
      <c r="AK97" s="882">
        <f>IF($X97=0,0,      _xll.qDateNext($X97,AK$12,$AR$11,FRM&lt;&gt;"Calypso",CCY))</f>
        <v>0</v>
      </c>
      <c r="AL97" s="882">
        <f>IF($X97=0,0,      _xll.qDateNext($X97,AL$12,$AR$11,FRM&lt;&gt;"Calypso",CCY))</f>
        <v>0</v>
      </c>
      <c r="AM97" s="882">
        <f>IF($X97=0,0,      _xll.qDateNext($X97,AM$12,$AR$11,FRM&lt;&gt;"Calypso",CCY))</f>
        <v>0</v>
      </c>
      <c r="AN97" s="882">
        <f>IF($X97=0,0,      _xll.qDateNext($X97,AN$12,$AR$11,FRM&lt;&gt;"Calypso",CCY))</f>
        <v>0</v>
      </c>
      <c r="AO97" s="882">
        <f>IF($X97=0,0,      _xll.qDateNext($X97,AO$12,$AR$11,FRM&lt;&gt;"Calypso",CCY))</f>
        <v>0</v>
      </c>
      <c r="AP97" s="882">
        <f>IF($X97=0,0,      _xll.qDateNext($X97,AP$12,$AR$11,FRM&lt;&gt;"Calypso",CCY))</f>
        <v>0</v>
      </c>
      <c r="AQ97" s="882">
        <f>IF($X97=0,0,      _xll.qDateNext($X97,AQ$12,$AR$11,FRM&lt;&gt;"Calypso",CCY))</f>
        <v>0</v>
      </c>
      <c r="AR97" s="882">
        <f>IF($X97=0,0,      _xll.qDateNext($X97,AR$12,$AR$11,FRM&lt;&gt;"Calypso",CCY))</f>
        <v>0</v>
      </c>
      <c r="AS97" s="901">
        <f ca="1"/>
        <v>0</v>
      </c>
      <c r="AT97" s="901">
        <f ca="1"/>
        <v>0</v>
      </c>
      <c r="AU97" s="901">
        <f t="shared" si="28"/>
        <v>0</v>
      </c>
      <c r="AV97" s="901">
        <f ca="1"/>
        <v>0</v>
      </c>
      <c r="AW97" s="901">
        <f t="shared" si="29"/>
        <v>0</v>
      </c>
      <c r="AX97" s="901">
        <f t="shared" si="30"/>
        <v>0</v>
      </c>
      <c r="AY97" s="901">
        <f ca="1"/>
        <v>0</v>
      </c>
      <c r="AZ97" s="901">
        <f ca="1"/>
        <v>0</v>
      </c>
      <c r="BA97" s="905">
        <f t="shared" si="19"/>
        <v>0</v>
      </c>
      <c r="BB97" s="905">
        <f t="shared" si="20"/>
        <v>0</v>
      </c>
      <c r="BC97" s="905">
        <f t="shared" si="21"/>
        <v>0</v>
      </c>
      <c r="BD97" s="905">
        <f t="shared" si="22"/>
        <v>0</v>
      </c>
      <c r="BE97" s="905">
        <f t="shared" si="23"/>
        <v>0</v>
      </c>
      <c r="BF97" s="905">
        <f t="shared" si="24"/>
        <v>0</v>
      </c>
      <c r="BG97" s="905">
        <f t="shared" si="25"/>
        <v>0</v>
      </c>
      <c r="BH97" s="905">
        <f t="shared" si="26"/>
        <v>0</v>
      </c>
      <c r="BI97" s="713">
        <v>0</v>
      </c>
      <c r="BJ97" s="695"/>
      <c r="BK97" s="752">
        <f>IF(X98=0,0,           IF(ISNUMBER(BJ97),BJ97,               IF(ISTEXT(BJ97),INDEX(BA97:BH97,MATCH(BJ97,$BA$12:$BH$12,0)),             IF(BI97="INT",_xll.qInterp(X98,AK97:AR97,BA97:BH97),            INDEX(BA97:BH97,MATCH(BI97,$BA$12:$BH$12,0))))))</f>
        <v>0</v>
      </c>
      <c r="BL97" s="389">
        <f t="shared" si="31"/>
        <v>0</v>
      </c>
      <c r="BM97" s="394">
        <f t="shared" si="32"/>
        <v>0</v>
      </c>
      <c r="BN97" s="389">
        <f t="shared" si="33"/>
        <v>0</v>
      </c>
    </row>
    <row r="98" spans="16:66">
      <c r="P98" s="714">
        <v>0</v>
      </c>
      <c r="Q98" s="715">
        <f t="shared" si="17"/>
        <v>0</v>
      </c>
      <c r="R98" s="712">
        <f>IF(P99,_xll.qDateYears(P98,P99,DCCfixed),0)</f>
        <v>0</v>
      </c>
      <c r="S98" s="519">
        <f ca="1"/>
        <v>0</v>
      </c>
      <c r="T98" s="720"/>
      <c r="U98" s="390">
        <f t="shared" si="27"/>
        <v>0</v>
      </c>
      <c r="X98" s="345">
        <v>0</v>
      </c>
      <c r="Y98" s="711">
        <f t="shared" si="18"/>
        <v>0</v>
      </c>
      <c r="Z98" s="712">
        <f>IF(X99,_xll.qDateYears(X98,X99,DCCfloat),0)</f>
        <v>0</v>
      </c>
      <c r="AA98" s="519">
        <f ca="1"/>
        <v>0</v>
      </c>
      <c r="AB98" s="890">
        <f>IF(X98=0,0,         IF(OR(CCY="AUD",CCY="NZD",CCY="GBP"),X98,   _xll.qDateNext(X98,"-2b",,,IF(CCY="EUR","TGT","LON"))))</f>
        <v>0</v>
      </c>
      <c r="AC98" s="879" t="str">
        <v/>
      </c>
      <c r="AD98" s="879" t="str">
        <v/>
      </c>
      <c r="AE98" s="879" t="str">
        <v/>
      </c>
      <c r="AF98" s="879" t="str">
        <v/>
      </c>
      <c r="AG98" s="879" t="str">
        <v/>
      </c>
      <c r="AH98" s="879" t="str">
        <v/>
      </c>
      <c r="AI98" s="879" t="str">
        <v/>
      </c>
      <c r="AJ98" s="879" t="str">
        <v/>
      </c>
      <c r="AK98" s="882">
        <f>IF($X98=0,0,      _xll.qDateNext($X98,AK$12,$AR$11,FRM&lt;&gt;"Calypso",CCY))</f>
        <v>0</v>
      </c>
      <c r="AL98" s="882">
        <f>IF($X98=0,0,      _xll.qDateNext($X98,AL$12,$AR$11,FRM&lt;&gt;"Calypso",CCY))</f>
        <v>0</v>
      </c>
      <c r="AM98" s="882">
        <f>IF($X98=0,0,      _xll.qDateNext($X98,AM$12,$AR$11,FRM&lt;&gt;"Calypso",CCY))</f>
        <v>0</v>
      </c>
      <c r="AN98" s="882">
        <f>IF($X98=0,0,      _xll.qDateNext($X98,AN$12,$AR$11,FRM&lt;&gt;"Calypso",CCY))</f>
        <v>0</v>
      </c>
      <c r="AO98" s="882">
        <f>IF($X98=0,0,      _xll.qDateNext($X98,AO$12,$AR$11,FRM&lt;&gt;"Calypso",CCY))</f>
        <v>0</v>
      </c>
      <c r="AP98" s="882">
        <f>IF($X98=0,0,      _xll.qDateNext($X98,AP$12,$AR$11,FRM&lt;&gt;"Calypso",CCY))</f>
        <v>0</v>
      </c>
      <c r="AQ98" s="882">
        <f>IF($X98=0,0,      _xll.qDateNext($X98,AQ$12,$AR$11,FRM&lt;&gt;"Calypso",CCY))</f>
        <v>0</v>
      </c>
      <c r="AR98" s="882">
        <f>IF($X98=0,0,      _xll.qDateNext($X98,AR$12,$AR$11,FRM&lt;&gt;"Calypso",CCY))</f>
        <v>0</v>
      </c>
      <c r="AS98" s="901">
        <f ca="1"/>
        <v>0</v>
      </c>
      <c r="AT98" s="901">
        <f ca="1"/>
        <v>0</v>
      </c>
      <c r="AU98" s="901">
        <f t="shared" si="28"/>
        <v>0</v>
      </c>
      <c r="AV98" s="901">
        <f ca="1"/>
        <v>0</v>
      </c>
      <c r="AW98" s="901">
        <f t="shared" si="29"/>
        <v>0</v>
      </c>
      <c r="AX98" s="901">
        <f t="shared" si="30"/>
        <v>0</v>
      </c>
      <c r="AY98" s="901">
        <f ca="1"/>
        <v>0</v>
      </c>
      <c r="AZ98" s="901">
        <f ca="1"/>
        <v>0</v>
      </c>
      <c r="BA98" s="905">
        <f t="shared" si="19"/>
        <v>0</v>
      </c>
      <c r="BB98" s="905">
        <f t="shared" si="20"/>
        <v>0</v>
      </c>
      <c r="BC98" s="905">
        <f t="shared" si="21"/>
        <v>0</v>
      </c>
      <c r="BD98" s="905">
        <f t="shared" si="22"/>
        <v>0</v>
      </c>
      <c r="BE98" s="905">
        <f t="shared" si="23"/>
        <v>0</v>
      </c>
      <c r="BF98" s="905">
        <f t="shared" si="24"/>
        <v>0</v>
      </c>
      <c r="BG98" s="905">
        <f t="shared" si="25"/>
        <v>0</v>
      </c>
      <c r="BH98" s="905">
        <f t="shared" si="26"/>
        <v>0</v>
      </c>
      <c r="BI98" s="713">
        <v>0</v>
      </c>
      <c r="BJ98" s="695"/>
      <c r="BK98" s="752">
        <f>IF(X99=0,0,           IF(ISNUMBER(BJ98),BJ98,               IF(ISTEXT(BJ98),INDEX(BA98:BH98,MATCH(BJ98,$BA$12:$BH$12,0)),             IF(BI98="INT",_xll.qInterp(X99,AK98:AR98,BA98:BH98),            INDEX(BA98:BH98,MATCH(BI98,$BA$12:$BH$12,0))))))</f>
        <v>0</v>
      </c>
      <c r="BL98" s="389">
        <f t="shared" si="31"/>
        <v>0</v>
      </c>
      <c r="BM98" s="394">
        <f t="shared" si="32"/>
        <v>0</v>
      </c>
      <c r="BN98" s="389">
        <f t="shared" si="33"/>
        <v>0</v>
      </c>
    </row>
    <row r="99" spans="16:66">
      <c r="P99" s="714">
        <v>0</v>
      </c>
      <c r="Q99" s="715">
        <f t="shared" si="17"/>
        <v>0</v>
      </c>
      <c r="R99" s="712">
        <f>IF(P100,_xll.qDateYears(P99,P100,DCCfixed),0)</f>
        <v>0</v>
      </c>
      <c r="S99" s="519">
        <f ca="1"/>
        <v>0</v>
      </c>
      <c r="T99" s="720"/>
      <c r="U99" s="390">
        <f t="shared" si="27"/>
        <v>0</v>
      </c>
      <c r="X99" s="345">
        <v>0</v>
      </c>
      <c r="Y99" s="711">
        <f t="shared" si="18"/>
        <v>0</v>
      </c>
      <c r="Z99" s="712">
        <f>IF(X100,_xll.qDateYears(X99,X100,DCCfloat),0)</f>
        <v>0</v>
      </c>
      <c r="AA99" s="519">
        <f ca="1"/>
        <v>0</v>
      </c>
      <c r="AB99" s="890">
        <f>IF(X99=0,0,         IF(OR(CCY="AUD",CCY="NZD",CCY="GBP"),X99,   _xll.qDateNext(X99,"-2b",,,IF(CCY="EUR","TGT","LON"))))</f>
        <v>0</v>
      </c>
      <c r="AC99" s="879" t="str">
        <v/>
      </c>
      <c r="AD99" s="879" t="str">
        <v/>
      </c>
      <c r="AE99" s="879" t="str">
        <v/>
      </c>
      <c r="AF99" s="879" t="str">
        <v/>
      </c>
      <c r="AG99" s="879" t="str">
        <v/>
      </c>
      <c r="AH99" s="879" t="str">
        <v/>
      </c>
      <c r="AI99" s="879" t="str">
        <v/>
      </c>
      <c r="AJ99" s="879" t="str">
        <v/>
      </c>
      <c r="AK99" s="882">
        <f>IF($X99=0,0,      _xll.qDateNext($X99,AK$12,$AR$11,FRM&lt;&gt;"Calypso",CCY))</f>
        <v>0</v>
      </c>
      <c r="AL99" s="882">
        <f>IF($X99=0,0,      _xll.qDateNext($X99,AL$12,$AR$11,FRM&lt;&gt;"Calypso",CCY))</f>
        <v>0</v>
      </c>
      <c r="AM99" s="882">
        <f>IF($X99=0,0,      _xll.qDateNext($X99,AM$12,$AR$11,FRM&lt;&gt;"Calypso",CCY))</f>
        <v>0</v>
      </c>
      <c r="AN99" s="882">
        <f>IF($X99=0,0,      _xll.qDateNext($X99,AN$12,$AR$11,FRM&lt;&gt;"Calypso",CCY))</f>
        <v>0</v>
      </c>
      <c r="AO99" s="882">
        <f>IF($X99=0,0,      _xll.qDateNext($X99,AO$12,$AR$11,FRM&lt;&gt;"Calypso",CCY))</f>
        <v>0</v>
      </c>
      <c r="AP99" s="882">
        <f>IF($X99=0,0,      _xll.qDateNext($X99,AP$12,$AR$11,FRM&lt;&gt;"Calypso",CCY))</f>
        <v>0</v>
      </c>
      <c r="AQ99" s="882">
        <f>IF($X99=0,0,      _xll.qDateNext($X99,AQ$12,$AR$11,FRM&lt;&gt;"Calypso",CCY))</f>
        <v>0</v>
      </c>
      <c r="AR99" s="882">
        <f>IF($X99=0,0,      _xll.qDateNext($X99,AR$12,$AR$11,FRM&lt;&gt;"Calypso",CCY))</f>
        <v>0</v>
      </c>
      <c r="AS99" s="901">
        <f ca="1"/>
        <v>0</v>
      </c>
      <c r="AT99" s="901">
        <f ca="1"/>
        <v>0</v>
      </c>
      <c r="AU99" s="901">
        <f t="shared" si="28"/>
        <v>0</v>
      </c>
      <c r="AV99" s="901">
        <f ca="1"/>
        <v>0</v>
      </c>
      <c r="AW99" s="901">
        <f t="shared" si="29"/>
        <v>0</v>
      </c>
      <c r="AX99" s="901">
        <f t="shared" si="30"/>
        <v>0</v>
      </c>
      <c r="AY99" s="901">
        <f ca="1"/>
        <v>0</v>
      </c>
      <c r="AZ99" s="901">
        <f ca="1"/>
        <v>0</v>
      </c>
      <c r="BA99" s="905">
        <f t="shared" si="19"/>
        <v>0</v>
      </c>
      <c r="BB99" s="905">
        <f t="shared" si="20"/>
        <v>0</v>
      </c>
      <c r="BC99" s="905">
        <f t="shared" si="21"/>
        <v>0</v>
      </c>
      <c r="BD99" s="905">
        <f t="shared" si="22"/>
        <v>0</v>
      </c>
      <c r="BE99" s="905">
        <f t="shared" si="23"/>
        <v>0</v>
      </c>
      <c r="BF99" s="905">
        <f t="shared" si="24"/>
        <v>0</v>
      </c>
      <c r="BG99" s="905">
        <f t="shared" si="25"/>
        <v>0</v>
      </c>
      <c r="BH99" s="905">
        <f t="shared" si="26"/>
        <v>0</v>
      </c>
      <c r="BI99" s="713">
        <v>0</v>
      </c>
      <c r="BJ99" s="695"/>
      <c r="BK99" s="752">
        <f>IF(X100=0,0,           IF(ISNUMBER(BJ99),BJ99,               IF(ISTEXT(BJ99),INDEX(BA99:BH99,MATCH(BJ99,$BA$12:$BH$12,0)),             IF(BI99="INT",_xll.qInterp(X100,AK99:AR99,BA99:BH99),            INDEX(BA99:BH99,MATCH(BI99,$BA$12:$BH$12,0))))))</f>
        <v>0</v>
      </c>
      <c r="BL99" s="389">
        <f t="shared" si="31"/>
        <v>0</v>
      </c>
      <c r="BM99" s="394">
        <f t="shared" si="32"/>
        <v>0</v>
      </c>
      <c r="BN99" s="389">
        <f t="shared" si="33"/>
        <v>0</v>
      </c>
    </row>
    <row r="100" spans="16:66">
      <c r="P100" s="714">
        <v>0</v>
      </c>
      <c r="Q100" s="715">
        <f t="shared" si="17"/>
        <v>0</v>
      </c>
      <c r="R100" s="712">
        <f>IF(P101,_xll.qDateYears(P100,P101,DCCfixed),0)</f>
        <v>0</v>
      </c>
      <c r="S100" s="519">
        <f ca="1"/>
        <v>0</v>
      </c>
      <c r="T100" s="720"/>
      <c r="U100" s="390">
        <f t="shared" si="27"/>
        <v>0</v>
      </c>
      <c r="X100" s="345">
        <v>0</v>
      </c>
      <c r="Y100" s="711">
        <f t="shared" si="18"/>
        <v>0</v>
      </c>
      <c r="Z100" s="712">
        <f>IF(X101,_xll.qDateYears(X100,X101,DCCfloat),0)</f>
        <v>0</v>
      </c>
      <c r="AA100" s="519">
        <f ca="1"/>
        <v>0</v>
      </c>
      <c r="AB100" s="890">
        <f>IF(X100=0,0,         IF(OR(CCY="AUD",CCY="NZD",CCY="GBP"),X100,   _xll.qDateNext(X100,"-2b",,,IF(CCY="EUR","TGT","LON"))))</f>
        <v>0</v>
      </c>
      <c r="AC100" s="879" t="str">
        <v/>
      </c>
      <c r="AD100" s="879" t="str">
        <v/>
      </c>
      <c r="AE100" s="879" t="str">
        <v/>
      </c>
      <c r="AF100" s="879" t="str">
        <v/>
      </c>
      <c r="AG100" s="879" t="str">
        <v/>
      </c>
      <c r="AH100" s="879" t="str">
        <v/>
      </c>
      <c r="AI100" s="879" t="str">
        <v/>
      </c>
      <c r="AJ100" s="879" t="str">
        <v/>
      </c>
      <c r="AK100" s="882">
        <f>IF($X100=0,0,      _xll.qDateNext($X100,AK$12,$AR$11,FRM&lt;&gt;"Calypso",CCY))</f>
        <v>0</v>
      </c>
      <c r="AL100" s="882">
        <f>IF($X100=0,0,      _xll.qDateNext($X100,AL$12,$AR$11,FRM&lt;&gt;"Calypso",CCY))</f>
        <v>0</v>
      </c>
      <c r="AM100" s="882">
        <f>IF($X100=0,0,      _xll.qDateNext($X100,AM$12,$AR$11,FRM&lt;&gt;"Calypso",CCY))</f>
        <v>0</v>
      </c>
      <c r="AN100" s="882">
        <f>IF($X100=0,0,      _xll.qDateNext($X100,AN$12,$AR$11,FRM&lt;&gt;"Calypso",CCY))</f>
        <v>0</v>
      </c>
      <c r="AO100" s="882">
        <f>IF($X100=0,0,      _xll.qDateNext($X100,AO$12,$AR$11,FRM&lt;&gt;"Calypso",CCY))</f>
        <v>0</v>
      </c>
      <c r="AP100" s="882">
        <f>IF($X100=0,0,      _xll.qDateNext($X100,AP$12,$AR$11,FRM&lt;&gt;"Calypso",CCY))</f>
        <v>0</v>
      </c>
      <c r="AQ100" s="882">
        <f>IF($X100=0,0,      _xll.qDateNext($X100,AQ$12,$AR$11,FRM&lt;&gt;"Calypso",CCY))</f>
        <v>0</v>
      </c>
      <c r="AR100" s="882">
        <f>IF($X100=0,0,      _xll.qDateNext($X100,AR$12,$AR$11,FRM&lt;&gt;"Calypso",CCY))</f>
        <v>0</v>
      </c>
      <c r="AS100" s="901">
        <f ca="1"/>
        <v>0</v>
      </c>
      <c r="AT100" s="901">
        <f ca="1"/>
        <v>0</v>
      </c>
      <c r="AU100" s="901">
        <f t="shared" si="28"/>
        <v>0</v>
      </c>
      <c r="AV100" s="901">
        <f ca="1"/>
        <v>0</v>
      </c>
      <c r="AW100" s="901">
        <f t="shared" si="29"/>
        <v>0</v>
      </c>
      <c r="AX100" s="901">
        <f t="shared" si="30"/>
        <v>0</v>
      </c>
      <c r="AY100" s="901">
        <f ca="1"/>
        <v>0</v>
      </c>
      <c r="AZ100" s="901">
        <f ca="1"/>
        <v>0</v>
      </c>
      <c r="BA100" s="905">
        <f t="shared" si="19"/>
        <v>0</v>
      </c>
      <c r="BB100" s="905">
        <f t="shared" si="20"/>
        <v>0</v>
      </c>
      <c r="BC100" s="905">
        <f t="shared" si="21"/>
        <v>0</v>
      </c>
      <c r="BD100" s="905">
        <f t="shared" si="22"/>
        <v>0</v>
      </c>
      <c r="BE100" s="905">
        <f t="shared" si="23"/>
        <v>0</v>
      </c>
      <c r="BF100" s="905">
        <f t="shared" si="24"/>
        <v>0</v>
      </c>
      <c r="BG100" s="905">
        <f t="shared" si="25"/>
        <v>0</v>
      </c>
      <c r="BH100" s="905">
        <f t="shared" si="26"/>
        <v>0</v>
      </c>
      <c r="BI100" s="713">
        <v>0</v>
      </c>
      <c r="BJ100" s="695"/>
      <c r="BK100" s="752">
        <f>IF(X101=0,0,           IF(ISNUMBER(BJ100),BJ100,               IF(ISTEXT(BJ100),INDEX(BA100:BH100,MATCH(BJ100,$BA$12:$BH$12,0)),             IF(BI100="INT",_xll.qInterp(X101,AK100:AR100,BA100:BH100),            INDEX(BA100:BH100,MATCH(BI100,$BA$12:$BH$12,0))))))</f>
        <v>0</v>
      </c>
      <c r="BL100" s="389">
        <f t="shared" si="31"/>
        <v>0</v>
      </c>
      <c r="BM100" s="394">
        <f t="shared" si="32"/>
        <v>0</v>
      </c>
      <c r="BN100" s="389">
        <f t="shared" si="33"/>
        <v>0</v>
      </c>
    </row>
    <row r="101" spans="16:66">
      <c r="P101" s="714">
        <v>0</v>
      </c>
      <c r="Q101" s="715">
        <f t="shared" si="17"/>
        <v>0</v>
      </c>
      <c r="R101" s="712">
        <f>IF(P102,_xll.qDateYears(P101,P102,DCCfixed),0)</f>
        <v>0</v>
      </c>
      <c r="S101" s="519">
        <f ca="1"/>
        <v>0</v>
      </c>
      <c r="T101" s="720"/>
      <c r="U101" s="390">
        <f t="shared" si="27"/>
        <v>0</v>
      </c>
      <c r="X101" s="345">
        <v>0</v>
      </c>
      <c r="Y101" s="711">
        <f t="shared" si="18"/>
        <v>0</v>
      </c>
      <c r="Z101" s="712">
        <f>IF(X102,_xll.qDateYears(X101,X102,DCCfloat),0)</f>
        <v>0</v>
      </c>
      <c r="AA101" s="519">
        <f ca="1"/>
        <v>0</v>
      </c>
      <c r="AB101" s="890">
        <f>IF(X101=0,0,         IF(OR(CCY="AUD",CCY="NZD",CCY="GBP"),X101,   _xll.qDateNext(X101,"-2b",,,IF(CCY="EUR","TGT","LON"))))</f>
        <v>0</v>
      </c>
      <c r="AC101" s="879" t="str">
        <v/>
      </c>
      <c r="AD101" s="879" t="str">
        <v/>
      </c>
      <c r="AE101" s="879" t="str">
        <v/>
      </c>
      <c r="AF101" s="879" t="str">
        <v/>
      </c>
      <c r="AG101" s="879" t="str">
        <v/>
      </c>
      <c r="AH101" s="879" t="str">
        <v/>
      </c>
      <c r="AI101" s="879" t="str">
        <v/>
      </c>
      <c r="AJ101" s="879" t="str">
        <v/>
      </c>
      <c r="AK101" s="882">
        <f>IF($X101=0,0,      _xll.qDateNext($X101,AK$12,$AR$11,FRM&lt;&gt;"Calypso",CCY))</f>
        <v>0</v>
      </c>
      <c r="AL101" s="882">
        <f>IF($X101=0,0,      _xll.qDateNext($X101,AL$12,$AR$11,FRM&lt;&gt;"Calypso",CCY))</f>
        <v>0</v>
      </c>
      <c r="AM101" s="882">
        <f>IF($X101=0,0,      _xll.qDateNext($X101,AM$12,$AR$11,FRM&lt;&gt;"Calypso",CCY))</f>
        <v>0</v>
      </c>
      <c r="AN101" s="882">
        <f>IF($X101=0,0,      _xll.qDateNext($X101,AN$12,$AR$11,FRM&lt;&gt;"Calypso",CCY))</f>
        <v>0</v>
      </c>
      <c r="AO101" s="882">
        <f>IF($X101=0,0,      _xll.qDateNext($X101,AO$12,$AR$11,FRM&lt;&gt;"Calypso",CCY))</f>
        <v>0</v>
      </c>
      <c r="AP101" s="882">
        <f>IF($X101=0,0,      _xll.qDateNext($X101,AP$12,$AR$11,FRM&lt;&gt;"Calypso",CCY))</f>
        <v>0</v>
      </c>
      <c r="AQ101" s="882">
        <f>IF($X101=0,0,      _xll.qDateNext($X101,AQ$12,$AR$11,FRM&lt;&gt;"Calypso",CCY))</f>
        <v>0</v>
      </c>
      <c r="AR101" s="882">
        <f>IF($X101=0,0,      _xll.qDateNext($X101,AR$12,$AR$11,FRM&lt;&gt;"Calypso",CCY))</f>
        <v>0</v>
      </c>
      <c r="AS101" s="901">
        <f ca="1"/>
        <v>0</v>
      </c>
      <c r="AT101" s="901">
        <f ca="1"/>
        <v>0</v>
      </c>
      <c r="AU101" s="901">
        <f t="shared" si="28"/>
        <v>0</v>
      </c>
      <c r="AV101" s="901">
        <f ca="1"/>
        <v>0</v>
      </c>
      <c r="AW101" s="901">
        <f t="shared" si="29"/>
        <v>0</v>
      </c>
      <c r="AX101" s="901">
        <f t="shared" si="30"/>
        <v>0</v>
      </c>
      <c r="AY101" s="901">
        <f ca="1"/>
        <v>0</v>
      </c>
      <c r="AZ101" s="901">
        <f ca="1"/>
        <v>0</v>
      </c>
      <c r="BA101" s="905">
        <f t="shared" si="19"/>
        <v>0</v>
      </c>
      <c r="BB101" s="905">
        <f t="shared" si="20"/>
        <v>0</v>
      </c>
      <c r="BC101" s="905">
        <f t="shared" si="21"/>
        <v>0</v>
      </c>
      <c r="BD101" s="905">
        <f t="shared" si="22"/>
        <v>0</v>
      </c>
      <c r="BE101" s="905">
        <f t="shared" si="23"/>
        <v>0</v>
      </c>
      <c r="BF101" s="905">
        <f t="shared" si="24"/>
        <v>0</v>
      </c>
      <c r="BG101" s="905">
        <f t="shared" si="25"/>
        <v>0</v>
      </c>
      <c r="BH101" s="905">
        <f t="shared" si="26"/>
        <v>0</v>
      </c>
      <c r="BI101" s="713">
        <v>0</v>
      </c>
      <c r="BJ101" s="695"/>
      <c r="BK101" s="752">
        <f>IF(X102=0,0,           IF(ISNUMBER(BJ101),BJ101,               IF(ISTEXT(BJ101),INDEX(BA101:BH101,MATCH(BJ101,$BA$12:$BH$12,0)),             IF(BI101="INT",_xll.qInterp(X102,AK101:AR101,BA101:BH101),            INDEX(BA101:BH101,MATCH(BI101,$BA$12:$BH$12,0))))))</f>
        <v>0</v>
      </c>
      <c r="BL101" s="389">
        <f t="shared" si="31"/>
        <v>0</v>
      </c>
      <c r="BM101" s="394">
        <f t="shared" si="32"/>
        <v>0</v>
      </c>
      <c r="BN101" s="389">
        <f t="shared" si="33"/>
        <v>0</v>
      </c>
    </row>
    <row r="102" spans="16:66">
      <c r="P102" s="714">
        <v>0</v>
      </c>
      <c r="Q102" s="715">
        <f t="shared" si="17"/>
        <v>0</v>
      </c>
      <c r="R102" s="712">
        <f>IF(P103,_xll.qDateYears(P102,P103,DCCfixed),0)</f>
        <v>0</v>
      </c>
      <c r="S102" s="519">
        <f ca="1"/>
        <v>0</v>
      </c>
      <c r="T102" s="720"/>
      <c r="U102" s="390">
        <f t="shared" si="27"/>
        <v>0</v>
      </c>
      <c r="X102" s="345">
        <v>0</v>
      </c>
      <c r="Y102" s="711">
        <f t="shared" si="18"/>
        <v>0</v>
      </c>
      <c r="Z102" s="712">
        <f>IF(X103,_xll.qDateYears(X102,X103,DCCfloat),0)</f>
        <v>0</v>
      </c>
      <c r="AA102" s="519">
        <f ca="1"/>
        <v>0</v>
      </c>
      <c r="AB102" s="890">
        <f>IF(X102=0,0,         IF(OR(CCY="AUD",CCY="NZD",CCY="GBP"),X102,   _xll.qDateNext(X102,"-2b",,,IF(CCY="EUR","TGT","LON"))))</f>
        <v>0</v>
      </c>
      <c r="AC102" s="879" t="str">
        <v/>
      </c>
      <c r="AD102" s="879" t="str">
        <v/>
      </c>
      <c r="AE102" s="879" t="str">
        <v/>
      </c>
      <c r="AF102" s="879" t="str">
        <v/>
      </c>
      <c r="AG102" s="879" t="str">
        <v/>
      </c>
      <c r="AH102" s="879" t="str">
        <v/>
      </c>
      <c r="AI102" s="879" t="str">
        <v/>
      </c>
      <c r="AJ102" s="879" t="str">
        <v/>
      </c>
      <c r="AK102" s="882">
        <f>IF($X102=0,0,      _xll.qDateNext($X102,AK$12,$AR$11,FRM&lt;&gt;"Calypso",CCY))</f>
        <v>0</v>
      </c>
      <c r="AL102" s="882">
        <f>IF($X102=0,0,      _xll.qDateNext($X102,AL$12,$AR$11,FRM&lt;&gt;"Calypso",CCY))</f>
        <v>0</v>
      </c>
      <c r="AM102" s="882">
        <f>IF($X102=0,0,      _xll.qDateNext($X102,AM$12,$AR$11,FRM&lt;&gt;"Calypso",CCY))</f>
        <v>0</v>
      </c>
      <c r="AN102" s="882">
        <f>IF($X102=0,0,      _xll.qDateNext($X102,AN$12,$AR$11,FRM&lt;&gt;"Calypso",CCY))</f>
        <v>0</v>
      </c>
      <c r="AO102" s="882">
        <f>IF($X102=0,0,      _xll.qDateNext($X102,AO$12,$AR$11,FRM&lt;&gt;"Calypso",CCY))</f>
        <v>0</v>
      </c>
      <c r="AP102" s="882">
        <f>IF($X102=0,0,      _xll.qDateNext($X102,AP$12,$AR$11,FRM&lt;&gt;"Calypso",CCY))</f>
        <v>0</v>
      </c>
      <c r="AQ102" s="882">
        <f>IF($X102=0,0,      _xll.qDateNext($X102,AQ$12,$AR$11,FRM&lt;&gt;"Calypso",CCY))</f>
        <v>0</v>
      </c>
      <c r="AR102" s="882">
        <f>IF($X102=0,0,      _xll.qDateNext($X102,AR$12,$AR$11,FRM&lt;&gt;"Calypso",CCY))</f>
        <v>0</v>
      </c>
      <c r="AS102" s="901">
        <f ca="1"/>
        <v>0</v>
      </c>
      <c r="AT102" s="901">
        <f ca="1"/>
        <v>0</v>
      </c>
      <c r="AU102" s="901">
        <f t="shared" si="28"/>
        <v>0</v>
      </c>
      <c r="AV102" s="901">
        <f ca="1"/>
        <v>0</v>
      </c>
      <c r="AW102" s="901">
        <f t="shared" si="29"/>
        <v>0</v>
      </c>
      <c r="AX102" s="901">
        <f t="shared" si="30"/>
        <v>0</v>
      </c>
      <c r="AY102" s="901">
        <f ca="1"/>
        <v>0</v>
      </c>
      <c r="AZ102" s="901">
        <f ca="1"/>
        <v>0</v>
      </c>
      <c r="BA102" s="905">
        <f t="shared" si="19"/>
        <v>0</v>
      </c>
      <c r="BB102" s="905">
        <f t="shared" si="20"/>
        <v>0</v>
      </c>
      <c r="BC102" s="905">
        <f t="shared" si="21"/>
        <v>0</v>
      </c>
      <c r="BD102" s="905">
        <f t="shared" si="22"/>
        <v>0</v>
      </c>
      <c r="BE102" s="905">
        <f t="shared" si="23"/>
        <v>0</v>
      </c>
      <c r="BF102" s="905">
        <f t="shared" si="24"/>
        <v>0</v>
      </c>
      <c r="BG102" s="905">
        <f t="shared" si="25"/>
        <v>0</v>
      </c>
      <c r="BH102" s="905">
        <f t="shared" si="26"/>
        <v>0</v>
      </c>
      <c r="BI102" s="713">
        <v>0</v>
      </c>
      <c r="BJ102" s="695"/>
      <c r="BK102" s="752">
        <f>IF(X103=0,0,           IF(ISNUMBER(BJ102),BJ102,               IF(ISTEXT(BJ102),INDEX(BA102:BH102,MATCH(BJ102,$BA$12:$BH$12,0)),             IF(BI102="INT",_xll.qInterp(X103,AK102:AR102,BA102:BH102),            INDEX(BA102:BH102,MATCH(BI102,$BA$12:$BH$12,0))))))</f>
        <v>0</v>
      </c>
      <c r="BL102" s="389">
        <f t="shared" si="31"/>
        <v>0</v>
      </c>
      <c r="BM102" s="394">
        <f t="shared" si="32"/>
        <v>0</v>
      </c>
      <c r="BN102" s="389">
        <f t="shared" si="33"/>
        <v>0</v>
      </c>
    </row>
    <row r="103" spans="16:66">
      <c r="P103" s="714">
        <v>0</v>
      </c>
      <c r="Q103" s="715">
        <f t="shared" si="17"/>
        <v>0</v>
      </c>
      <c r="R103" s="712">
        <f>IF(P104,_xll.qDateYears(P103,P104,DCCfixed),0)</f>
        <v>0</v>
      </c>
      <c r="S103" s="519">
        <f ca="1"/>
        <v>0</v>
      </c>
      <c r="T103" s="720"/>
      <c r="U103" s="390">
        <f t="shared" si="27"/>
        <v>0</v>
      </c>
      <c r="X103" s="345">
        <v>0</v>
      </c>
      <c r="Y103" s="711">
        <f t="shared" si="18"/>
        <v>0</v>
      </c>
      <c r="Z103" s="712">
        <f>IF(X104,_xll.qDateYears(X103,X104,DCCfloat),0)</f>
        <v>0</v>
      </c>
      <c r="AA103" s="519">
        <f ca="1"/>
        <v>0</v>
      </c>
      <c r="AB103" s="890">
        <f>IF(X103=0,0,         IF(OR(CCY="AUD",CCY="NZD",CCY="GBP"),X103,   _xll.qDateNext(X103,"-2b",,,IF(CCY="EUR","TGT","LON"))))</f>
        <v>0</v>
      </c>
      <c r="AC103" s="879" t="str">
        <v/>
      </c>
      <c r="AD103" s="879" t="str">
        <v/>
      </c>
      <c r="AE103" s="879" t="str">
        <v/>
      </c>
      <c r="AF103" s="879" t="str">
        <v/>
      </c>
      <c r="AG103" s="879" t="str">
        <v/>
      </c>
      <c r="AH103" s="879" t="str">
        <v/>
      </c>
      <c r="AI103" s="879" t="str">
        <v/>
      </c>
      <c r="AJ103" s="879" t="str">
        <v/>
      </c>
      <c r="AK103" s="882">
        <f>IF($X103=0,0,      _xll.qDateNext($X103,AK$12,$AR$11,FRM&lt;&gt;"Calypso",CCY))</f>
        <v>0</v>
      </c>
      <c r="AL103" s="882">
        <f>IF($X103=0,0,      _xll.qDateNext($X103,AL$12,$AR$11,FRM&lt;&gt;"Calypso",CCY))</f>
        <v>0</v>
      </c>
      <c r="AM103" s="882">
        <f>IF($X103=0,0,      _xll.qDateNext($X103,AM$12,$AR$11,FRM&lt;&gt;"Calypso",CCY))</f>
        <v>0</v>
      </c>
      <c r="AN103" s="882">
        <f>IF($X103=0,0,      _xll.qDateNext($X103,AN$12,$AR$11,FRM&lt;&gt;"Calypso",CCY))</f>
        <v>0</v>
      </c>
      <c r="AO103" s="882">
        <f>IF($X103=0,0,      _xll.qDateNext($X103,AO$12,$AR$11,FRM&lt;&gt;"Calypso",CCY))</f>
        <v>0</v>
      </c>
      <c r="AP103" s="882">
        <f>IF($X103=0,0,      _xll.qDateNext($X103,AP$12,$AR$11,FRM&lt;&gt;"Calypso",CCY))</f>
        <v>0</v>
      </c>
      <c r="AQ103" s="882">
        <f>IF($X103=0,0,      _xll.qDateNext($X103,AQ$12,$AR$11,FRM&lt;&gt;"Calypso",CCY))</f>
        <v>0</v>
      </c>
      <c r="AR103" s="882">
        <f>IF($X103=0,0,      _xll.qDateNext($X103,AR$12,$AR$11,FRM&lt;&gt;"Calypso",CCY))</f>
        <v>0</v>
      </c>
      <c r="AS103" s="901">
        <f ca="1"/>
        <v>0</v>
      </c>
      <c r="AT103" s="901">
        <f ca="1"/>
        <v>0</v>
      </c>
      <c r="AU103" s="901">
        <f t="shared" si="28"/>
        <v>0</v>
      </c>
      <c r="AV103" s="901">
        <f ca="1"/>
        <v>0</v>
      </c>
      <c r="AW103" s="901">
        <f t="shared" si="29"/>
        <v>0</v>
      </c>
      <c r="AX103" s="901">
        <f t="shared" si="30"/>
        <v>0</v>
      </c>
      <c r="AY103" s="901">
        <f ca="1"/>
        <v>0</v>
      </c>
      <c r="AZ103" s="901">
        <f ca="1"/>
        <v>0</v>
      </c>
      <c r="BA103" s="905">
        <f t="shared" si="19"/>
        <v>0</v>
      </c>
      <c r="BB103" s="905">
        <f t="shared" si="20"/>
        <v>0</v>
      </c>
      <c r="BC103" s="905">
        <f t="shared" si="21"/>
        <v>0</v>
      </c>
      <c r="BD103" s="905">
        <f t="shared" si="22"/>
        <v>0</v>
      </c>
      <c r="BE103" s="905">
        <f t="shared" si="23"/>
        <v>0</v>
      </c>
      <c r="BF103" s="905">
        <f t="shared" si="24"/>
        <v>0</v>
      </c>
      <c r="BG103" s="905">
        <f t="shared" si="25"/>
        <v>0</v>
      </c>
      <c r="BH103" s="905">
        <f t="shared" si="26"/>
        <v>0</v>
      </c>
      <c r="BI103" s="713">
        <v>0</v>
      </c>
      <c r="BJ103" s="695"/>
      <c r="BK103" s="752">
        <f>IF(X104=0,0,           IF(ISNUMBER(BJ103),BJ103,               IF(ISTEXT(BJ103),INDEX(BA103:BH103,MATCH(BJ103,$BA$12:$BH$12,0)),             IF(BI103="INT",_xll.qInterp(X104,AK103:AR103,BA103:BH103),            INDEX(BA103:BH103,MATCH(BI103,$BA$12:$BH$12,0))))))</f>
        <v>0</v>
      </c>
      <c r="BL103" s="389">
        <f t="shared" si="31"/>
        <v>0</v>
      </c>
      <c r="BM103" s="394">
        <f t="shared" si="32"/>
        <v>0</v>
      </c>
      <c r="BN103" s="389">
        <f t="shared" si="33"/>
        <v>0</v>
      </c>
    </row>
    <row r="104" spans="16:66">
      <c r="P104" s="714">
        <v>0</v>
      </c>
      <c r="Q104" s="715">
        <f t="shared" si="17"/>
        <v>0</v>
      </c>
      <c r="R104" s="712">
        <f>IF(P105,_xll.qDateYears(P104,P105,DCCfixed),0)</f>
        <v>0</v>
      </c>
      <c r="S104" s="519">
        <f ca="1"/>
        <v>0</v>
      </c>
      <c r="T104" s="720"/>
      <c r="U104" s="390">
        <f t="shared" si="27"/>
        <v>0</v>
      </c>
      <c r="X104" s="345">
        <v>0</v>
      </c>
      <c r="Y104" s="711">
        <f t="shared" si="18"/>
        <v>0</v>
      </c>
      <c r="Z104" s="712">
        <f>IF(X105,_xll.qDateYears(X104,X105,DCCfloat),0)</f>
        <v>0</v>
      </c>
      <c r="AA104" s="519">
        <f ca="1"/>
        <v>0</v>
      </c>
      <c r="AB104" s="890">
        <f>IF(X104=0,0,         IF(OR(CCY="AUD",CCY="NZD",CCY="GBP"),X104,   _xll.qDateNext(X104,"-2b",,,IF(CCY="EUR","TGT","LON"))))</f>
        <v>0</v>
      </c>
      <c r="AC104" s="879" t="str">
        <v/>
      </c>
      <c r="AD104" s="879" t="str">
        <v/>
      </c>
      <c r="AE104" s="879" t="str">
        <v/>
      </c>
      <c r="AF104" s="879" t="str">
        <v/>
      </c>
      <c r="AG104" s="879" t="str">
        <v/>
      </c>
      <c r="AH104" s="879" t="str">
        <v/>
      </c>
      <c r="AI104" s="879" t="str">
        <v/>
      </c>
      <c r="AJ104" s="879" t="str">
        <v/>
      </c>
      <c r="AK104" s="882">
        <f>IF($X104=0,0,      _xll.qDateNext($X104,AK$12,$AR$11,FRM&lt;&gt;"Calypso",CCY))</f>
        <v>0</v>
      </c>
      <c r="AL104" s="882">
        <f>IF($X104=0,0,      _xll.qDateNext($X104,AL$12,$AR$11,FRM&lt;&gt;"Calypso",CCY))</f>
        <v>0</v>
      </c>
      <c r="AM104" s="882">
        <f>IF($X104=0,0,      _xll.qDateNext($X104,AM$12,$AR$11,FRM&lt;&gt;"Calypso",CCY))</f>
        <v>0</v>
      </c>
      <c r="AN104" s="882">
        <f>IF($X104=0,0,      _xll.qDateNext($X104,AN$12,$AR$11,FRM&lt;&gt;"Calypso",CCY))</f>
        <v>0</v>
      </c>
      <c r="AO104" s="882">
        <f>IF($X104=0,0,      _xll.qDateNext($X104,AO$12,$AR$11,FRM&lt;&gt;"Calypso",CCY))</f>
        <v>0</v>
      </c>
      <c r="AP104" s="882">
        <f>IF($X104=0,0,      _xll.qDateNext($X104,AP$12,$AR$11,FRM&lt;&gt;"Calypso",CCY))</f>
        <v>0</v>
      </c>
      <c r="AQ104" s="882">
        <f>IF($X104=0,0,      _xll.qDateNext($X104,AQ$12,$AR$11,FRM&lt;&gt;"Calypso",CCY))</f>
        <v>0</v>
      </c>
      <c r="AR104" s="882">
        <f>IF($X104=0,0,      _xll.qDateNext($X104,AR$12,$AR$11,FRM&lt;&gt;"Calypso",CCY))</f>
        <v>0</v>
      </c>
      <c r="AS104" s="901">
        <f ca="1"/>
        <v>0</v>
      </c>
      <c r="AT104" s="901">
        <f ca="1"/>
        <v>0</v>
      </c>
      <c r="AU104" s="901">
        <f t="shared" si="28"/>
        <v>0</v>
      </c>
      <c r="AV104" s="901">
        <f ca="1"/>
        <v>0</v>
      </c>
      <c r="AW104" s="901">
        <f t="shared" si="29"/>
        <v>0</v>
      </c>
      <c r="AX104" s="901">
        <f t="shared" si="30"/>
        <v>0</v>
      </c>
      <c r="AY104" s="901">
        <f ca="1"/>
        <v>0</v>
      </c>
      <c r="AZ104" s="901">
        <f ca="1"/>
        <v>0</v>
      </c>
      <c r="BA104" s="905">
        <f t="shared" si="19"/>
        <v>0</v>
      </c>
      <c r="BB104" s="905">
        <f t="shared" si="20"/>
        <v>0</v>
      </c>
      <c r="BC104" s="905">
        <f t="shared" si="21"/>
        <v>0</v>
      </c>
      <c r="BD104" s="905">
        <f t="shared" si="22"/>
        <v>0</v>
      </c>
      <c r="BE104" s="905">
        <f t="shared" si="23"/>
        <v>0</v>
      </c>
      <c r="BF104" s="905">
        <f t="shared" si="24"/>
        <v>0</v>
      </c>
      <c r="BG104" s="905">
        <f t="shared" si="25"/>
        <v>0</v>
      </c>
      <c r="BH104" s="905">
        <f t="shared" si="26"/>
        <v>0</v>
      </c>
      <c r="BI104" s="713">
        <v>0</v>
      </c>
      <c r="BJ104" s="695"/>
      <c r="BK104" s="752">
        <f>IF(X105=0,0,           IF(ISNUMBER(BJ104),BJ104,               IF(ISTEXT(BJ104),INDEX(BA104:BH104,MATCH(BJ104,$BA$12:$BH$12,0)),             IF(BI104="INT",_xll.qInterp(X105,AK104:AR104,BA104:BH104),            INDEX(BA104:BH104,MATCH(BI104,$BA$12:$BH$12,0))))))</f>
        <v>0</v>
      </c>
      <c r="BL104" s="389">
        <f t="shared" si="31"/>
        <v>0</v>
      </c>
      <c r="BM104" s="394">
        <f t="shared" si="32"/>
        <v>0</v>
      </c>
      <c r="BN104" s="389">
        <f t="shared" si="33"/>
        <v>0</v>
      </c>
    </row>
    <row r="105" spans="16:66">
      <c r="P105" s="714">
        <v>0</v>
      </c>
      <c r="Q105" s="715">
        <f t="shared" si="17"/>
        <v>0</v>
      </c>
      <c r="R105" s="712">
        <f>IF(P106,_xll.qDateYears(P105,P106,DCCfixed),0)</f>
        <v>0</v>
      </c>
      <c r="S105" s="519">
        <f ca="1"/>
        <v>0</v>
      </c>
      <c r="T105" s="720"/>
      <c r="U105" s="390">
        <f t="shared" si="27"/>
        <v>0</v>
      </c>
      <c r="X105" s="345">
        <v>0</v>
      </c>
      <c r="Y105" s="711">
        <f t="shared" si="18"/>
        <v>0</v>
      </c>
      <c r="Z105" s="712">
        <f>IF(X106,_xll.qDateYears(X105,X106,DCCfloat),0)</f>
        <v>0</v>
      </c>
      <c r="AA105" s="519">
        <f ca="1"/>
        <v>0</v>
      </c>
      <c r="AB105" s="890">
        <f>IF(X105=0,0,         IF(OR(CCY="AUD",CCY="NZD",CCY="GBP"),X105,   _xll.qDateNext(X105,"-2b",,,IF(CCY="EUR","TGT","LON"))))</f>
        <v>0</v>
      </c>
      <c r="AC105" s="879" t="str">
        <v/>
      </c>
      <c r="AD105" s="879" t="str">
        <v/>
      </c>
      <c r="AE105" s="879" t="str">
        <v/>
      </c>
      <c r="AF105" s="879" t="str">
        <v/>
      </c>
      <c r="AG105" s="879" t="str">
        <v/>
      </c>
      <c r="AH105" s="879" t="str">
        <v/>
      </c>
      <c r="AI105" s="879" t="str">
        <v/>
      </c>
      <c r="AJ105" s="879" t="str">
        <v/>
      </c>
      <c r="AK105" s="882">
        <f>IF($X105=0,0,      _xll.qDateNext($X105,AK$12,$AR$11,FRM&lt;&gt;"Calypso",CCY))</f>
        <v>0</v>
      </c>
      <c r="AL105" s="882">
        <f>IF($X105=0,0,      _xll.qDateNext($X105,AL$12,$AR$11,FRM&lt;&gt;"Calypso",CCY))</f>
        <v>0</v>
      </c>
      <c r="AM105" s="882">
        <f>IF($X105=0,0,      _xll.qDateNext($X105,AM$12,$AR$11,FRM&lt;&gt;"Calypso",CCY))</f>
        <v>0</v>
      </c>
      <c r="AN105" s="882">
        <f>IF($X105=0,0,      _xll.qDateNext($X105,AN$12,$AR$11,FRM&lt;&gt;"Calypso",CCY))</f>
        <v>0</v>
      </c>
      <c r="AO105" s="882">
        <f>IF($X105=0,0,      _xll.qDateNext($X105,AO$12,$AR$11,FRM&lt;&gt;"Calypso",CCY))</f>
        <v>0</v>
      </c>
      <c r="AP105" s="882">
        <f>IF($X105=0,0,      _xll.qDateNext($X105,AP$12,$AR$11,FRM&lt;&gt;"Calypso",CCY))</f>
        <v>0</v>
      </c>
      <c r="AQ105" s="882">
        <f>IF($X105=0,0,      _xll.qDateNext($X105,AQ$12,$AR$11,FRM&lt;&gt;"Calypso",CCY))</f>
        <v>0</v>
      </c>
      <c r="AR105" s="882">
        <f>IF($X105=0,0,      _xll.qDateNext($X105,AR$12,$AR$11,FRM&lt;&gt;"Calypso",CCY))</f>
        <v>0</v>
      </c>
      <c r="AS105" s="901">
        <f ca="1"/>
        <v>0</v>
      </c>
      <c r="AT105" s="901">
        <f ca="1"/>
        <v>0</v>
      </c>
      <c r="AU105" s="901">
        <f t="shared" si="28"/>
        <v>0</v>
      </c>
      <c r="AV105" s="901">
        <f ca="1"/>
        <v>0</v>
      </c>
      <c r="AW105" s="901">
        <f t="shared" si="29"/>
        <v>0</v>
      </c>
      <c r="AX105" s="901">
        <f t="shared" si="30"/>
        <v>0</v>
      </c>
      <c r="AY105" s="901">
        <f ca="1"/>
        <v>0</v>
      </c>
      <c r="AZ105" s="901">
        <f ca="1"/>
        <v>0</v>
      </c>
      <c r="BA105" s="905">
        <f t="shared" si="19"/>
        <v>0</v>
      </c>
      <c r="BB105" s="905">
        <f t="shared" si="20"/>
        <v>0</v>
      </c>
      <c r="BC105" s="905">
        <f t="shared" si="21"/>
        <v>0</v>
      </c>
      <c r="BD105" s="905">
        <f t="shared" si="22"/>
        <v>0</v>
      </c>
      <c r="BE105" s="905">
        <f t="shared" si="23"/>
        <v>0</v>
      </c>
      <c r="BF105" s="905">
        <f t="shared" si="24"/>
        <v>0</v>
      </c>
      <c r="BG105" s="905">
        <f t="shared" si="25"/>
        <v>0</v>
      </c>
      <c r="BH105" s="905">
        <f t="shared" si="26"/>
        <v>0</v>
      </c>
      <c r="BI105" s="713">
        <v>0</v>
      </c>
      <c r="BJ105" s="695"/>
      <c r="BK105" s="752">
        <f>IF(X106=0,0,           IF(ISNUMBER(BJ105),BJ105,               IF(ISTEXT(BJ105),INDEX(BA105:BH105,MATCH(BJ105,$BA$12:$BH$12,0)),             IF(BI105="INT",_xll.qInterp(X106,AK105:AR105,BA105:BH105),            INDEX(BA105:BH105,MATCH(BI105,$BA$12:$BH$12,0))))))</f>
        <v>0</v>
      </c>
      <c r="BL105" s="389">
        <f t="shared" si="31"/>
        <v>0</v>
      </c>
      <c r="BM105" s="394">
        <f t="shared" si="32"/>
        <v>0</v>
      </c>
      <c r="BN105" s="389">
        <f t="shared" si="33"/>
        <v>0</v>
      </c>
    </row>
    <row r="106" spans="16:66">
      <c r="P106" s="714">
        <v>0</v>
      </c>
      <c r="Q106" s="715">
        <f t="shared" si="17"/>
        <v>0</v>
      </c>
      <c r="R106" s="712">
        <f>IF(P107,_xll.qDateYears(P106,P107,DCCfixed),0)</f>
        <v>0</v>
      </c>
      <c r="S106" s="519">
        <f ca="1"/>
        <v>0</v>
      </c>
      <c r="T106" s="720"/>
      <c r="U106" s="390">
        <f t="shared" si="27"/>
        <v>0</v>
      </c>
      <c r="X106" s="345">
        <v>0</v>
      </c>
      <c r="Y106" s="711">
        <f t="shared" si="18"/>
        <v>0</v>
      </c>
      <c r="Z106" s="712">
        <f>IF(X107,_xll.qDateYears(X106,X107,DCCfloat),0)</f>
        <v>0</v>
      </c>
      <c r="AA106" s="519">
        <f ca="1"/>
        <v>0</v>
      </c>
      <c r="AB106" s="890">
        <f>IF(X106=0,0,         IF(OR(CCY="AUD",CCY="NZD",CCY="GBP"),X106,   _xll.qDateNext(X106,"-2b",,,IF(CCY="EUR","TGT","LON"))))</f>
        <v>0</v>
      </c>
      <c r="AC106" s="879" t="str">
        <v/>
      </c>
      <c r="AD106" s="879" t="str">
        <v/>
      </c>
      <c r="AE106" s="879" t="str">
        <v/>
      </c>
      <c r="AF106" s="879" t="str">
        <v/>
      </c>
      <c r="AG106" s="879" t="str">
        <v/>
      </c>
      <c r="AH106" s="879" t="str">
        <v/>
      </c>
      <c r="AI106" s="879" t="str">
        <v/>
      </c>
      <c r="AJ106" s="879" t="str">
        <v/>
      </c>
      <c r="AK106" s="882">
        <f>IF($X106=0,0,      _xll.qDateNext($X106,AK$12,$AR$11,FRM&lt;&gt;"Calypso",CCY))</f>
        <v>0</v>
      </c>
      <c r="AL106" s="882">
        <f>IF($X106=0,0,      _xll.qDateNext($X106,AL$12,$AR$11,FRM&lt;&gt;"Calypso",CCY))</f>
        <v>0</v>
      </c>
      <c r="AM106" s="882">
        <f>IF($X106=0,0,      _xll.qDateNext($X106,AM$12,$AR$11,FRM&lt;&gt;"Calypso",CCY))</f>
        <v>0</v>
      </c>
      <c r="AN106" s="882">
        <f>IF($X106=0,0,      _xll.qDateNext($X106,AN$12,$AR$11,FRM&lt;&gt;"Calypso",CCY))</f>
        <v>0</v>
      </c>
      <c r="AO106" s="882">
        <f>IF($X106=0,0,      _xll.qDateNext($X106,AO$12,$AR$11,FRM&lt;&gt;"Calypso",CCY))</f>
        <v>0</v>
      </c>
      <c r="AP106" s="882">
        <f>IF($X106=0,0,      _xll.qDateNext($X106,AP$12,$AR$11,FRM&lt;&gt;"Calypso",CCY))</f>
        <v>0</v>
      </c>
      <c r="AQ106" s="882">
        <f>IF($X106=0,0,      _xll.qDateNext($X106,AQ$12,$AR$11,FRM&lt;&gt;"Calypso",CCY))</f>
        <v>0</v>
      </c>
      <c r="AR106" s="882">
        <f>IF($X106=0,0,      _xll.qDateNext($X106,AR$12,$AR$11,FRM&lt;&gt;"Calypso",CCY))</f>
        <v>0</v>
      </c>
      <c r="AS106" s="901">
        <f ca="1"/>
        <v>0</v>
      </c>
      <c r="AT106" s="901">
        <f ca="1"/>
        <v>0</v>
      </c>
      <c r="AU106" s="901">
        <f t="shared" si="28"/>
        <v>0</v>
      </c>
      <c r="AV106" s="901">
        <f ca="1"/>
        <v>0</v>
      </c>
      <c r="AW106" s="901">
        <f t="shared" si="29"/>
        <v>0</v>
      </c>
      <c r="AX106" s="901">
        <f t="shared" si="30"/>
        <v>0</v>
      </c>
      <c r="AY106" s="901">
        <f ca="1"/>
        <v>0</v>
      </c>
      <c r="AZ106" s="901">
        <f ca="1"/>
        <v>0</v>
      </c>
      <c r="BA106" s="905">
        <f t="shared" si="19"/>
        <v>0</v>
      </c>
      <c r="BB106" s="905">
        <f t="shared" si="20"/>
        <v>0</v>
      </c>
      <c r="BC106" s="905">
        <f t="shared" si="21"/>
        <v>0</v>
      </c>
      <c r="BD106" s="905">
        <f t="shared" si="22"/>
        <v>0</v>
      </c>
      <c r="BE106" s="905">
        <f t="shared" si="23"/>
        <v>0</v>
      </c>
      <c r="BF106" s="905">
        <f t="shared" si="24"/>
        <v>0</v>
      </c>
      <c r="BG106" s="905">
        <f t="shared" si="25"/>
        <v>0</v>
      </c>
      <c r="BH106" s="905">
        <f t="shared" si="26"/>
        <v>0</v>
      </c>
      <c r="BI106" s="713">
        <v>0</v>
      </c>
      <c r="BJ106" s="695"/>
      <c r="BK106" s="752">
        <f>IF(X107=0,0,           IF(ISNUMBER(BJ106),BJ106,               IF(ISTEXT(BJ106),INDEX(BA106:BH106,MATCH(BJ106,$BA$12:$BH$12,0)),             IF(BI106="INT",_xll.qInterp(X107,AK106:AR106,BA106:BH106),            INDEX(BA106:BH106,MATCH(BI106,$BA$12:$BH$12,0))))))</f>
        <v>0</v>
      </c>
      <c r="BL106" s="389">
        <f t="shared" si="31"/>
        <v>0</v>
      </c>
      <c r="BM106" s="394">
        <f t="shared" si="32"/>
        <v>0</v>
      </c>
      <c r="BN106" s="389">
        <f t="shared" si="33"/>
        <v>0</v>
      </c>
    </row>
    <row r="107" spans="16:66">
      <c r="P107" s="714">
        <v>0</v>
      </c>
      <c r="Q107" s="715">
        <f t="shared" si="17"/>
        <v>0</v>
      </c>
      <c r="R107" s="712">
        <f>IF(P108,_xll.qDateYears(P107,P108,DCCfixed),0)</f>
        <v>0</v>
      </c>
      <c r="S107" s="519">
        <f ca="1"/>
        <v>0</v>
      </c>
      <c r="T107" s="720"/>
      <c r="U107" s="390">
        <f t="shared" si="27"/>
        <v>0</v>
      </c>
      <c r="X107" s="345">
        <v>0</v>
      </c>
      <c r="Y107" s="711">
        <f t="shared" si="18"/>
        <v>0</v>
      </c>
      <c r="Z107" s="712">
        <f>IF(X108,_xll.qDateYears(X107,X108,DCCfloat),0)</f>
        <v>0</v>
      </c>
      <c r="AA107" s="519">
        <f ca="1"/>
        <v>0</v>
      </c>
      <c r="AB107" s="890">
        <f>IF(X107=0,0,         IF(OR(CCY="AUD",CCY="NZD",CCY="GBP"),X107,   _xll.qDateNext(X107,"-2b",,,IF(CCY="EUR","TGT","LON"))))</f>
        <v>0</v>
      </c>
      <c r="AC107" s="879" t="str">
        <v/>
      </c>
      <c r="AD107" s="879" t="str">
        <v/>
      </c>
      <c r="AE107" s="879" t="str">
        <v/>
      </c>
      <c r="AF107" s="879" t="str">
        <v/>
      </c>
      <c r="AG107" s="879" t="str">
        <v/>
      </c>
      <c r="AH107" s="879" t="str">
        <v/>
      </c>
      <c r="AI107" s="879" t="str">
        <v/>
      </c>
      <c r="AJ107" s="879" t="str">
        <v/>
      </c>
      <c r="AK107" s="882">
        <f>IF($X107=0,0,      _xll.qDateNext($X107,AK$12,$AR$11,FRM&lt;&gt;"Calypso",CCY))</f>
        <v>0</v>
      </c>
      <c r="AL107" s="882">
        <f>IF($X107=0,0,      _xll.qDateNext($X107,AL$12,$AR$11,FRM&lt;&gt;"Calypso",CCY))</f>
        <v>0</v>
      </c>
      <c r="AM107" s="882">
        <f>IF($X107=0,0,      _xll.qDateNext($X107,AM$12,$AR$11,FRM&lt;&gt;"Calypso",CCY))</f>
        <v>0</v>
      </c>
      <c r="AN107" s="882">
        <f>IF($X107=0,0,      _xll.qDateNext($X107,AN$12,$AR$11,FRM&lt;&gt;"Calypso",CCY))</f>
        <v>0</v>
      </c>
      <c r="AO107" s="882">
        <f>IF($X107=0,0,      _xll.qDateNext($X107,AO$12,$AR$11,FRM&lt;&gt;"Calypso",CCY))</f>
        <v>0</v>
      </c>
      <c r="AP107" s="882">
        <f>IF($X107=0,0,      _xll.qDateNext($X107,AP$12,$AR$11,FRM&lt;&gt;"Calypso",CCY))</f>
        <v>0</v>
      </c>
      <c r="AQ107" s="882">
        <f>IF($X107=0,0,      _xll.qDateNext($X107,AQ$12,$AR$11,FRM&lt;&gt;"Calypso",CCY))</f>
        <v>0</v>
      </c>
      <c r="AR107" s="882">
        <f>IF($X107=0,0,      _xll.qDateNext($X107,AR$12,$AR$11,FRM&lt;&gt;"Calypso",CCY))</f>
        <v>0</v>
      </c>
      <c r="AS107" s="901">
        <f ca="1"/>
        <v>0</v>
      </c>
      <c r="AT107" s="901">
        <f ca="1"/>
        <v>0</v>
      </c>
      <c r="AU107" s="901">
        <f t="shared" si="28"/>
        <v>0</v>
      </c>
      <c r="AV107" s="901">
        <f ca="1"/>
        <v>0</v>
      </c>
      <c r="AW107" s="901">
        <f t="shared" si="29"/>
        <v>0</v>
      </c>
      <c r="AX107" s="901">
        <f t="shared" si="30"/>
        <v>0</v>
      </c>
      <c r="AY107" s="901">
        <f ca="1"/>
        <v>0</v>
      </c>
      <c r="AZ107" s="901">
        <f ca="1"/>
        <v>0</v>
      </c>
      <c r="BA107" s="905">
        <f t="shared" si="19"/>
        <v>0</v>
      </c>
      <c r="BB107" s="905">
        <f t="shared" si="20"/>
        <v>0</v>
      </c>
      <c r="BC107" s="905">
        <f t="shared" si="21"/>
        <v>0</v>
      </c>
      <c r="BD107" s="905">
        <f t="shared" si="22"/>
        <v>0</v>
      </c>
      <c r="BE107" s="905">
        <f t="shared" si="23"/>
        <v>0</v>
      </c>
      <c r="BF107" s="905">
        <f t="shared" si="24"/>
        <v>0</v>
      </c>
      <c r="BG107" s="905">
        <f t="shared" si="25"/>
        <v>0</v>
      </c>
      <c r="BH107" s="905">
        <f t="shared" si="26"/>
        <v>0</v>
      </c>
      <c r="BI107" s="713">
        <v>0</v>
      </c>
      <c r="BJ107" s="695"/>
      <c r="BK107" s="752">
        <f>IF(X108=0,0,           IF(ISNUMBER(BJ107),BJ107,               IF(ISTEXT(BJ107),INDEX(BA107:BH107,MATCH(BJ107,$BA$12:$BH$12,0)),             IF(BI107="INT",_xll.qInterp(X108,AK107:AR107,BA107:BH107),            INDEX(BA107:BH107,MATCH(BI107,$BA$12:$BH$12,0))))))</f>
        <v>0</v>
      </c>
      <c r="BL107" s="389">
        <f t="shared" si="31"/>
        <v>0</v>
      </c>
      <c r="BM107" s="394">
        <f t="shared" si="32"/>
        <v>0</v>
      </c>
      <c r="BN107" s="389">
        <f t="shared" si="33"/>
        <v>0</v>
      </c>
    </row>
    <row r="108" spans="16:66">
      <c r="P108" s="714">
        <v>0</v>
      </c>
      <c r="Q108" s="715">
        <f t="shared" si="17"/>
        <v>0</v>
      </c>
      <c r="R108" s="712">
        <f>IF(P109,_xll.qDateYears(P108,P109,DCCfixed),0)</f>
        <v>0</v>
      </c>
      <c r="S108" s="519">
        <f ca="1"/>
        <v>0</v>
      </c>
      <c r="T108" s="720"/>
      <c r="U108" s="390">
        <f t="shared" si="27"/>
        <v>0</v>
      </c>
      <c r="X108" s="345">
        <v>0</v>
      </c>
      <c r="Y108" s="711">
        <f t="shared" si="18"/>
        <v>0</v>
      </c>
      <c r="Z108" s="712">
        <f>IF(X109,_xll.qDateYears(X108,X109,DCCfloat),0)</f>
        <v>0</v>
      </c>
      <c r="AA108" s="519">
        <f ca="1"/>
        <v>0</v>
      </c>
      <c r="AB108" s="890">
        <f>IF(X108=0,0,         IF(OR(CCY="AUD",CCY="NZD",CCY="GBP"),X108,   _xll.qDateNext(X108,"-2b",,,IF(CCY="EUR","TGT","LON"))))</f>
        <v>0</v>
      </c>
      <c r="AC108" s="879" t="str">
        <v/>
      </c>
      <c r="AD108" s="879" t="str">
        <v/>
      </c>
      <c r="AE108" s="879" t="str">
        <v/>
      </c>
      <c r="AF108" s="879" t="str">
        <v/>
      </c>
      <c r="AG108" s="879" t="str">
        <v/>
      </c>
      <c r="AH108" s="879" t="str">
        <v/>
      </c>
      <c r="AI108" s="879" t="str">
        <v/>
      </c>
      <c r="AJ108" s="879" t="str">
        <v/>
      </c>
      <c r="AK108" s="882">
        <f>IF($X108=0,0,      _xll.qDateNext($X108,AK$12,$AR$11,FRM&lt;&gt;"Calypso",CCY))</f>
        <v>0</v>
      </c>
      <c r="AL108" s="882">
        <f>IF($X108=0,0,      _xll.qDateNext($X108,AL$12,$AR$11,FRM&lt;&gt;"Calypso",CCY))</f>
        <v>0</v>
      </c>
      <c r="AM108" s="882">
        <f>IF($X108=0,0,      _xll.qDateNext($X108,AM$12,$AR$11,FRM&lt;&gt;"Calypso",CCY))</f>
        <v>0</v>
      </c>
      <c r="AN108" s="882">
        <f>IF($X108=0,0,      _xll.qDateNext($X108,AN$12,$AR$11,FRM&lt;&gt;"Calypso",CCY))</f>
        <v>0</v>
      </c>
      <c r="AO108" s="882">
        <f>IF($X108=0,0,      _xll.qDateNext($X108,AO$12,$AR$11,FRM&lt;&gt;"Calypso",CCY))</f>
        <v>0</v>
      </c>
      <c r="AP108" s="882">
        <f>IF($X108=0,0,      _xll.qDateNext($X108,AP$12,$AR$11,FRM&lt;&gt;"Calypso",CCY))</f>
        <v>0</v>
      </c>
      <c r="AQ108" s="882">
        <f>IF($X108=0,0,      _xll.qDateNext($X108,AQ$12,$AR$11,FRM&lt;&gt;"Calypso",CCY))</f>
        <v>0</v>
      </c>
      <c r="AR108" s="882">
        <f>IF($X108=0,0,      _xll.qDateNext($X108,AR$12,$AR$11,FRM&lt;&gt;"Calypso",CCY))</f>
        <v>0</v>
      </c>
      <c r="AS108" s="901">
        <f ca="1"/>
        <v>0</v>
      </c>
      <c r="AT108" s="901">
        <f ca="1"/>
        <v>0</v>
      </c>
      <c r="AU108" s="901">
        <f t="shared" si="28"/>
        <v>0</v>
      </c>
      <c r="AV108" s="901">
        <f ca="1"/>
        <v>0</v>
      </c>
      <c r="AW108" s="901">
        <f t="shared" si="29"/>
        <v>0</v>
      </c>
      <c r="AX108" s="901">
        <f t="shared" si="30"/>
        <v>0</v>
      </c>
      <c r="AY108" s="901">
        <f ca="1"/>
        <v>0</v>
      </c>
      <c r="AZ108" s="901">
        <f ca="1"/>
        <v>0</v>
      </c>
      <c r="BA108" s="905">
        <f t="shared" si="19"/>
        <v>0</v>
      </c>
      <c r="BB108" s="905">
        <f t="shared" si="20"/>
        <v>0</v>
      </c>
      <c r="BC108" s="905">
        <f t="shared" si="21"/>
        <v>0</v>
      </c>
      <c r="BD108" s="905">
        <f t="shared" si="22"/>
        <v>0</v>
      </c>
      <c r="BE108" s="905">
        <f t="shared" si="23"/>
        <v>0</v>
      </c>
      <c r="BF108" s="905">
        <f t="shared" si="24"/>
        <v>0</v>
      </c>
      <c r="BG108" s="905">
        <f t="shared" si="25"/>
        <v>0</v>
      </c>
      <c r="BH108" s="905">
        <f t="shared" si="26"/>
        <v>0</v>
      </c>
      <c r="BI108" s="713">
        <v>0</v>
      </c>
      <c r="BJ108" s="695"/>
      <c r="BK108" s="752">
        <f>IF(X109=0,0,           IF(ISNUMBER(BJ108),BJ108,               IF(ISTEXT(BJ108),INDEX(BA108:BH108,MATCH(BJ108,$BA$12:$BH$12,0)),             IF(BI108="INT",_xll.qInterp(X109,AK108:AR108,BA108:BH108),            INDEX(BA108:BH108,MATCH(BI108,$BA$12:$BH$12,0))))))</f>
        <v>0</v>
      </c>
      <c r="BL108" s="389">
        <f t="shared" si="31"/>
        <v>0</v>
      </c>
      <c r="BM108" s="394">
        <f t="shared" si="32"/>
        <v>0</v>
      </c>
      <c r="BN108" s="389">
        <f t="shared" si="33"/>
        <v>0</v>
      </c>
    </row>
    <row r="109" spans="16:66">
      <c r="P109" s="714">
        <v>0</v>
      </c>
      <c r="Q109" s="715">
        <f t="shared" si="17"/>
        <v>0</v>
      </c>
      <c r="R109" s="712">
        <f>IF(P110,_xll.qDateYears(P109,P110,DCCfixed),0)</f>
        <v>0</v>
      </c>
      <c r="S109" s="519">
        <f ca="1"/>
        <v>0</v>
      </c>
      <c r="T109" s="720"/>
      <c r="U109" s="390">
        <f t="shared" si="27"/>
        <v>0</v>
      </c>
      <c r="X109" s="345">
        <v>0</v>
      </c>
      <c r="Y109" s="711">
        <f t="shared" si="18"/>
        <v>0</v>
      </c>
      <c r="Z109" s="712">
        <f>IF(X110,_xll.qDateYears(X109,X110,DCCfloat),0)</f>
        <v>0</v>
      </c>
      <c r="AA109" s="519">
        <f ca="1"/>
        <v>0</v>
      </c>
      <c r="AB109" s="890">
        <f>IF(X109=0,0,         IF(OR(CCY="AUD",CCY="NZD",CCY="GBP"),X109,   _xll.qDateNext(X109,"-2b",,,IF(CCY="EUR","TGT","LON"))))</f>
        <v>0</v>
      </c>
      <c r="AC109" s="879" t="str">
        <v/>
      </c>
      <c r="AD109" s="879" t="str">
        <v/>
      </c>
      <c r="AE109" s="879" t="str">
        <v/>
      </c>
      <c r="AF109" s="879" t="str">
        <v/>
      </c>
      <c r="AG109" s="879" t="str">
        <v/>
      </c>
      <c r="AH109" s="879" t="str">
        <v/>
      </c>
      <c r="AI109" s="879" t="str">
        <v/>
      </c>
      <c r="AJ109" s="879" t="str">
        <v/>
      </c>
      <c r="AK109" s="882">
        <f>IF($X109=0,0,      _xll.qDateNext($X109,AK$12,$AR$11,FRM&lt;&gt;"Calypso",CCY))</f>
        <v>0</v>
      </c>
      <c r="AL109" s="882">
        <f>IF($X109=0,0,      _xll.qDateNext($X109,AL$12,$AR$11,FRM&lt;&gt;"Calypso",CCY))</f>
        <v>0</v>
      </c>
      <c r="AM109" s="882">
        <f>IF($X109=0,0,      _xll.qDateNext($X109,AM$12,$AR$11,FRM&lt;&gt;"Calypso",CCY))</f>
        <v>0</v>
      </c>
      <c r="AN109" s="882">
        <f>IF($X109=0,0,      _xll.qDateNext($X109,AN$12,$AR$11,FRM&lt;&gt;"Calypso",CCY))</f>
        <v>0</v>
      </c>
      <c r="AO109" s="882">
        <f>IF($X109=0,0,      _xll.qDateNext($X109,AO$12,$AR$11,FRM&lt;&gt;"Calypso",CCY))</f>
        <v>0</v>
      </c>
      <c r="AP109" s="882">
        <f>IF($X109=0,0,      _xll.qDateNext($X109,AP$12,$AR$11,FRM&lt;&gt;"Calypso",CCY))</f>
        <v>0</v>
      </c>
      <c r="AQ109" s="882">
        <f>IF($X109=0,0,      _xll.qDateNext($X109,AQ$12,$AR$11,FRM&lt;&gt;"Calypso",CCY))</f>
        <v>0</v>
      </c>
      <c r="AR109" s="882">
        <f>IF($X109=0,0,      _xll.qDateNext($X109,AR$12,$AR$11,FRM&lt;&gt;"Calypso",CCY))</f>
        <v>0</v>
      </c>
      <c r="AS109" s="901">
        <f ca="1"/>
        <v>0</v>
      </c>
      <c r="AT109" s="901">
        <f ca="1"/>
        <v>0</v>
      </c>
      <c r="AU109" s="901">
        <f t="shared" si="28"/>
        <v>0</v>
      </c>
      <c r="AV109" s="901">
        <f ca="1"/>
        <v>0</v>
      </c>
      <c r="AW109" s="901">
        <f t="shared" si="29"/>
        <v>0</v>
      </c>
      <c r="AX109" s="901">
        <f t="shared" si="30"/>
        <v>0</v>
      </c>
      <c r="AY109" s="901">
        <f ca="1"/>
        <v>0</v>
      </c>
      <c r="AZ109" s="901">
        <f ca="1"/>
        <v>0</v>
      </c>
      <c r="BA109" s="905">
        <f t="shared" si="19"/>
        <v>0</v>
      </c>
      <c r="BB109" s="905">
        <f t="shared" si="20"/>
        <v>0</v>
      </c>
      <c r="BC109" s="905">
        <f t="shared" si="21"/>
        <v>0</v>
      </c>
      <c r="BD109" s="905">
        <f t="shared" si="22"/>
        <v>0</v>
      </c>
      <c r="BE109" s="905">
        <f t="shared" si="23"/>
        <v>0</v>
      </c>
      <c r="BF109" s="905">
        <f t="shared" si="24"/>
        <v>0</v>
      </c>
      <c r="BG109" s="905">
        <f t="shared" si="25"/>
        <v>0</v>
      </c>
      <c r="BH109" s="905">
        <f t="shared" si="26"/>
        <v>0</v>
      </c>
      <c r="BI109" s="713">
        <v>0</v>
      </c>
      <c r="BJ109" s="695"/>
      <c r="BK109" s="752">
        <f>IF(X110=0,0,           IF(ISNUMBER(BJ109),BJ109,               IF(ISTEXT(BJ109),INDEX(BA109:BH109,MATCH(BJ109,$BA$12:$BH$12,0)),             IF(BI109="INT",_xll.qInterp(X110,AK109:AR109,BA109:BH109),            INDEX(BA109:BH109,MATCH(BI109,$BA$12:$BH$12,0))))))</f>
        <v>0</v>
      </c>
      <c r="BL109" s="389">
        <f t="shared" si="31"/>
        <v>0</v>
      </c>
      <c r="BM109" s="394">
        <f t="shared" si="32"/>
        <v>0</v>
      </c>
      <c r="BN109" s="389">
        <f t="shared" si="33"/>
        <v>0</v>
      </c>
    </row>
    <row r="110" spans="16:66">
      <c r="P110" s="714">
        <v>0</v>
      </c>
      <c r="Q110" s="715">
        <f t="shared" si="17"/>
        <v>0</v>
      </c>
      <c r="R110" s="712">
        <f>IF(P111,_xll.qDateYears(P110,P111,DCCfixed),0)</f>
        <v>0</v>
      </c>
      <c r="S110" s="519">
        <f ca="1"/>
        <v>0</v>
      </c>
      <c r="T110" s="720"/>
      <c r="U110" s="390">
        <f t="shared" si="27"/>
        <v>0</v>
      </c>
      <c r="X110" s="345">
        <v>0</v>
      </c>
      <c r="Y110" s="711">
        <f t="shared" si="18"/>
        <v>0</v>
      </c>
      <c r="Z110" s="712">
        <f>IF(X111,_xll.qDateYears(X110,X111,DCCfloat),0)</f>
        <v>0</v>
      </c>
      <c r="AA110" s="519">
        <f ca="1"/>
        <v>0</v>
      </c>
      <c r="AB110" s="890">
        <f>IF(X110=0,0,         IF(OR(CCY="AUD",CCY="NZD",CCY="GBP"),X110,   _xll.qDateNext(X110,"-2b",,,IF(CCY="EUR","TGT","LON"))))</f>
        <v>0</v>
      </c>
      <c r="AC110" s="879" t="str">
        <v/>
      </c>
      <c r="AD110" s="879" t="str">
        <v/>
      </c>
      <c r="AE110" s="879" t="str">
        <v/>
      </c>
      <c r="AF110" s="879" t="str">
        <v/>
      </c>
      <c r="AG110" s="879" t="str">
        <v/>
      </c>
      <c r="AH110" s="879" t="str">
        <v/>
      </c>
      <c r="AI110" s="879" t="str">
        <v/>
      </c>
      <c r="AJ110" s="879" t="str">
        <v/>
      </c>
      <c r="AK110" s="882">
        <f>IF($X110=0,0,      _xll.qDateNext($X110,AK$12,$AR$11,FRM&lt;&gt;"Calypso",CCY))</f>
        <v>0</v>
      </c>
      <c r="AL110" s="882">
        <f>IF($X110=0,0,      _xll.qDateNext($X110,AL$12,$AR$11,FRM&lt;&gt;"Calypso",CCY))</f>
        <v>0</v>
      </c>
      <c r="AM110" s="882">
        <f>IF($X110=0,0,      _xll.qDateNext($X110,AM$12,$AR$11,FRM&lt;&gt;"Calypso",CCY))</f>
        <v>0</v>
      </c>
      <c r="AN110" s="882">
        <f>IF($X110=0,0,      _xll.qDateNext($X110,AN$12,$AR$11,FRM&lt;&gt;"Calypso",CCY))</f>
        <v>0</v>
      </c>
      <c r="AO110" s="882">
        <f>IF($X110=0,0,      _xll.qDateNext($X110,AO$12,$AR$11,FRM&lt;&gt;"Calypso",CCY))</f>
        <v>0</v>
      </c>
      <c r="AP110" s="882">
        <f>IF($X110=0,0,      _xll.qDateNext($X110,AP$12,$AR$11,FRM&lt;&gt;"Calypso",CCY))</f>
        <v>0</v>
      </c>
      <c r="AQ110" s="882">
        <f>IF($X110=0,0,      _xll.qDateNext($X110,AQ$12,$AR$11,FRM&lt;&gt;"Calypso",CCY))</f>
        <v>0</v>
      </c>
      <c r="AR110" s="882">
        <f>IF($X110=0,0,      _xll.qDateNext($X110,AR$12,$AR$11,FRM&lt;&gt;"Calypso",CCY))</f>
        <v>0</v>
      </c>
      <c r="AS110" s="901">
        <f ca="1"/>
        <v>0</v>
      </c>
      <c r="AT110" s="901">
        <f ca="1"/>
        <v>0</v>
      </c>
      <c r="AU110" s="901">
        <f t="shared" si="28"/>
        <v>0</v>
      </c>
      <c r="AV110" s="901">
        <f ca="1"/>
        <v>0</v>
      </c>
      <c r="AW110" s="901">
        <f t="shared" si="29"/>
        <v>0</v>
      </c>
      <c r="AX110" s="901">
        <f t="shared" si="30"/>
        <v>0</v>
      </c>
      <c r="AY110" s="901">
        <f ca="1"/>
        <v>0</v>
      </c>
      <c r="AZ110" s="901">
        <f ca="1"/>
        <v>0</v>
      </c>
      <c r="BA110" s="905">
        <f t="shared" si="19"/>
        <v>0</v>
      </c>
      <c r="BB110" s="905">
        <f t="shared" si="20"/>
        <v>0</v>
      </c>
      <c r="BC110" s="905">
        <f t="shared" si="21"/>
        <v>0</v>
      </c>
      <c r="BD110" s="905">
        <f t="shared" si="22"/>
        <v>0</v>
      </c>
      <c r="BE110" s="905">
        <f t="shared" si="23"/>
        <v>0</v>
      </c>
      <c r="BF110" s="905">
        <f t="shared" si="24"/>
        <v>0</v>
      </c>
      <c r="BG110" s="905">
        <f t="shared" si="25"/>
        <v>0</v>
      </c>
      <c r="BH110" s="905">
        <f t="shared" si="26"/>
        <v>0</v>
      </c>
      <c r="BI110" s="713">
        <v>0</v>
      </c>
      <c r="BJ110" s="695"/>
      <c r="BK110" s="752">
        <f>IF(X111=0,0,           IF(ISNUMBER(BJ110),BJ110,               IF(ISTEXT(BJ110),INDEX(BA110:BH110,MATCH(BJ110,$BA$12:$BH$12,0)),             IF(BI110="INT",_xll.qInterp(X111,AK110:AR110,BA110:BH110),            INDEX(BA110:BH110,MATCH(BI110,$BA$12:$BH$12,0))))))</f>
        <v>0</v>
      </c>
      <c r="BL110" s="389">
        <f t="shared" si="31"/>
        <v>0</v>
      </c>
      <c r="BM110" s="394">
        <f t="shared" si="32"/>
        <v>0</v>
      </c>
      <c r="BN110" s="389">
        <f t="shared" si="33"/>
        <v>0</v>
      </c>
    </row>
    <row r="111" spans="16:66">
      <c r="P111" s="714">
        <v>0</v>
      </c>
      <c r="Q111" s="715">
        <f t="shared" si="17"/>
        <v>0</v>
      </c>
      <c r="R111" s="712">
        <f>IF(P112,_xll.qDateYears(P111,P112,DCCfixed),0)</f>
        <v>0</v>
      </c>
      <c r="S111" s="519">
        <f ca="1"/>
        <v>0</v>
      </c>
      <c r="T111" s="720"/>
      <c r="U111" s="390">
        <f t="shared" si="27"/>
        <v>0</v>
      </c>
      <c r="X111" s="345">
        <v>0</v>
      </c>
      <c r="Y111" s="711">
        <f t="shared" si="18"/>
        <v>0</v>
      </c>
      <c r="Z111" s="712">
        <f>IF(X112,_xll.qDateYears(X111,X112,DCCfloat),0)</f>
        <v>0</v>
      </c>
      <c r="AA111" s="519">
        <f ca="1"/>
        <v>0</v>
      </c>
      <c r="AB111" s="890">
        <f>IF(X111=0,0,         IF(OR(CCY="AUD",CCY="NZD",CCY="GBP"),X111,   _xll.qDateNext(X111,"-2b",,,IF(CCY="EUR","TGT","LON"))))</f>
        <v>0</v>
      </c>
      <c r="AC111" s="879" t="str">
        <v/>
      </c>
      <c r="AD111" s="879" t="str">
        <v/>
      </c>
      <c r="AE111" s="879" t="str">
        <v/>
      </c>
      <c r="AF111" s="879" t="str">
        <v/>
      </c>
      <c r="AG111" s="879" t="str">
        <v/>
      </c>
      <c r="AH111" s="879" t="str">
        <v/>
      </c>
      <c r="AI111" s="879" t="str">
        <v/>
      </c>
      <c r="AJ111" s="879" t="str">
        <v/>
      </c>
      <c r="AK111" s="882">
        <f>IF($X111=0,0,      _xll.qDateNext($X111,AK$12,$AR$11,FRM&lt;&gt;"Calypso",CCY))</f>
        <v>0</v>
      </c>
      <c r="AL111" s="882">
        <f>IF($X111=0,0,      _xll.qDateNext($X111,AL$12,$AR$11,FRM&lt;&gt;"Calypso",CCY))</f>
        <v>0</v>
      </c>
      <c r="AM111" s="882">
        <f>IF($X111=0,0,      _xll.qDateNext($X111,AM$12,$AR$11,FRM&lt;&gt;"Calypso",CCY))</f>
        <v>0</v>
      </c>
      <c r="AN111" s="882">
        <f>IF($X111=0,0,      _xll.qDateNext($X111,AN$12,$AR$11,FRM&lt;&gt;"Calypso",CCY))</f>
        <v>0</v>
      </c>
      <c r="AO111" s="882">
        <f>IF($X111=0,0,      _xll.qDateNext($X111,AO$12,$AR$11,FRM&lt;&gt;"Calypso",CCY))</f>
        <v>0</v>
      </c>
      <c r="AP111" s="882">
        <f>IF($X111=0,0,      _xll.qDateNext($X111,AP$12,$AR$11,FRM&lt;&gt;"Calypso",CCY))</f>
        <v>0</v>
      </c>
      <c r="AQ111" s="882">
        <f>IF($X111=0,0,      _xll.qDateNext($X111,AQ$12,$AR$11,FRM&lt;&gt;"Calypso",CCY))</f>
        <v>0</v>
      </c>
      <c r="AR111" s="882">
        <f>IF($X111=0,0,      _xll.qDateNext($X111,AR$12,$AR$11,FRM&lt;&gt;"Calypso",CCY))</f>
        <v>0</v>
      </c>
      <c r="AS111" s="901">
        <f ca="1"/>
        <v>0</v>
      </c>
      <c r="AT111" s="901">
        <f ca="1"/>
        <v>0</v>
      </c>
      <c r="AU111" s="901">
        <f t="shared" si="28"/>
        <v>0</v>
      </c>
      <c r="AV111" s="901">
        <f ca="1"/>
        <v>0</v>
      </c>
      <c r="AW111" s="901">
        <f t="shared" si="29"/>
        <v>0</v>
      </c>
      <c r="AX111" s="901">
        <f t="shared" si="30"/>
        <v>0</v>
      </c>
      <c r="AY111" s="901">
        <f ca="1"/>
        <v>0</v>
      </c>
      <c r="AZ111" s="901">
        <f ca="1"/>
        <v>0</v>
      </c>
      <c r="BA111" s="905">
        <f t="shared" si="19"/>
        <v>0</v>
      </c>
      <c r="BB111" s="905">
        <f t="shared" si="20"/>
        <v>0</v>
      </c>
      <c r="BC111" s="905">
        <f t="shared" si="21"/>
        <v>0</v>
      </c>
      <c r="BD111" s="905">
        <f t="shared" si="22"/>
        <v>0</v>
      </c>
      <c r="BE111" s="905">
        <f t="shared" si="23"/>
        <v>0</v>
      </c>
      <c r="BF111" s="905">
        <f t="shared" si="24"/>
        <v>0</v>
      </c>
      <c r="BG111" s="905">
        <f t="shared" si="25"/>
        <v>0</v>
      </c>
      <c r="BH111" s="905">
        <f t="shared" si="26"/>
        <v>0</v>
      </c>
      <c r="BI111" s="713">
        <v>0</v>
      </c>
      <c r="BJ111" s="695"/>
      <c r="BK111" s="752">
        <f>IF(X112=0,0,           IF(ISNUMBER(BJ111),BJ111,               IF(ISTEXT(BJ111),INDEX(BA111:BH111,MATCH(BJ111,$BA$12:$BH$12,0)),             IF(BI111="INT",_xll.qInterp(X112,AK111:AR111,BA111:BH111),            INDEX(BA111:BH111,MATCH(BI111,$BA$12:$BH$12,0))))))</f>
        <v>0</v>
      </c>
      <c r="BL111" s="389">
        <f t="shared" si="31"/>
        <v>0</v>
      </c>
      <c r="BM111" s="394">
        <f t="shared" si="32"/>
        <v>0</v>
      </c>
      <c r="BN111" s="389">
        <f t="shared" si="33"/>
        <v>0</v>
      </c>
    </row>
    <row r="112" spans="16:66">
      <c r="P112" s="714">
        <v>0</v>
      </c>
      <c r="Q112" s="715">
        <f t="shared" si="17"/>
        <v>0</v>
      </c>
      <c r="R112" s="712">
        <f>IF(P113,_xll.qDateYears(P112,P113,DCCfixed),0)</f>
        <v>0</v>
      </c>
      <c r="S112" s="519">
        <f ca="1"/>
        <v>0</v>
      </c>
      <c r="T112" s="720"/>
      <c r="U112" s="390">
        <f t="shared" si="27"/>
        <v>0</v>
      </c>
      <c r="X112" s="345">
        <v>0</v>
      </c>
      <c r="Y112" s="711">
        <f t="shared" si="18"/>
        <v>0</v>
      </c>
      <c r="Z112" s="712">
        <f>IF(X113,_xll.qDateYears(X112,X113,DCCfloat),0)</f>
        <v>0</v>
      </c>
      <c r="AA112" s="519">
        <f ca="1"/>
        <v>0</v>
      </c>
      <c r="AB112" s="890">
        <f>IF(X112=0,0,         IF(OR(CCY="AUD",CCY="NZD",CCY="GBP"),X112,   _xll.qDateNext(X112,"-2b",,,IF(CCY="EUR","TGT","LON"))))</f>
        <v>0</v>
      </c>
      <c r="AC112" s="879" t="str">
        <v/>
      </c>
      <c r="AD112" s="879" t="str">
        <v/>
      </c>
      <c r="AE112" s="879" t="str">
        <v/>
      </c>
      <c r="AF112" s="879" t="str">
        <v/>
      </c>
      <c r="AG112" s="879" t="str">
        <v/>
      </c>
      <c r="AH112" s="879" t="str">
        <v/>
      </c>
      <c r="AI112" s="879" t="str">
        <v/>
      </c>
      <c r="AJ112" s="879" t="str">
        <v/>
      </c>
      <c r="AK112" s="882">
        <f>IF($X112=0,0,      _xll.qDateNext($X112,AK$12,$AR$11,FRM&lt;&gt;"Calypso",CCY))</f>
        <v>0</v>
      </c>
      <c r="AL112" s="882">
        <f>IF($X112=0,0,      _xll.qDateNext($X112,AL$12,$AR$11,FRM&lt;&gt;"Calypso",CCY))</f>
        <v>0</v>
      </c>
      <c r="AM112" s="882">
        <f>IF($X112=0,0,      _xll.qDateNext($X112,AM$12,$AR$11,FRM&lt;&gt;"Calypso",CCY))</f>
        <v>0</v>
      </c>
      <c r="AN112" s="882">
        <f>IF($X112=0,0,      _xll.qDateNext($X112,AN$12,$AR$11,FRM&lt;&gt;"Calypso",CCY))</f>
        <v>0</v>
      </c>
      <c r="AO112" s="882">
        <f>IF($X112=0,0,      _xll.qDateNext($X112,AO$12,$AR$11,FRM&lt;&gt;"Calypso",CCY))</f>
        <v>0</v>
      </c>
      <c r="AP112" s="882">
        <f>IF($X112=0,0,      _xll.qDateNext($X112,AP$12,$AR$11,FRM&lt;&gt;"Calypso",CCY))</f>
        <v>0</v>
      </c>
      <c r="AQ112" s="882">
        <f>IF($X112=0,0,      _xll.qDateNext($X112,AQ$12,$AR$11,FRM&lt;&gt;"Calypso",CCY))</f>
        <v>0</v>
      </c>
      <c r="AR112" s="882">
        <f>IF($X112=0,0,      _xll.qDateNext($X112,AR$12,$AR$11,FRM&lt;&gt;"Calypso",CCY))</f>
        <v>0</v>
      </c>
      <c r="AS112" s="901">
        <f ca="1"/>
        <v>0</v>
      </c>
      <c r="AT112" s="901">
        <f ca="1"/>
        <v>0</v>
      </c>
      <c r="AU112" s="901">
        <f t="shared" si="28"/>
        <v>0</v>
      </c>
      <c r="AV112" s="901">
        <f ca="1"/>
        <v>0</v>
      </c>
      <c r="AW112" s="901">
        <f t="shared" si="29"/>
        <v>0</v>
      </c>
      <c r="AX112" s="901">
        <f t="shared" si="30"/>
        <v>0</v>
      </c>
      <c r="AY112" s="901">
        <f ca="1"/>
        <v>0</v>
      </c>
      <c r="AZ112" s="901">
        <f ca="1"/>
        <v>0</v>
      </c>
      <c r="BA112" s="905">
        <f t="shared" si="19"/>
        <v>0</v>
      </c>
      <c r="BB112" s="905">
        <f t="shared" si="20"/>
        <v>0</v>
      </c>
      <c r="BC112" s="905">
        <f t="shared" si="21"/>
        <v>0</v>
      </c>
      <c r="BD112" s="905">
        <f t="shared" si="22"/>
        <v>0</v>
      </c>
      <c r="BE112" s="905">
        <f t="shared" si="23"/>
        <v>0</v>
      </c>
      <c r="BF112" s="905">
        <f t="shared" si="24"/>
        <v>0</v>
      </c>
      <c r="BG112" s="905">
        <f t="shared" si="25"/>
        <v>0</v>
      </c>
      <c r="BH112" s="905">
        <f t="shared" si="26"/>
        <v>0</v>
      </c>
      <c r="BI112" s="713">
        <v>0</v>
      </c>
      <c r="BJ112" s="695"/>
      <c r="BK112" s="752">
        <f>IF(X113=0,0,           IF(ISNUMBER(BJ112),BJ112,               IF(ISTEXT(BJ112),INDEX(BA112:BH112,MATCH(BJ112,$BA$12:$BH$12,0)),             IF(BI112="INT",_xll.qInterp(X113,AK112:AR112,BA112:BH112),            INDEX(BA112:BH112,MATCH(BI112,$BA$12:$BH$12,0))))))</f>
        <v>0</v>
      </c>
      <c r="BL112" s="389">
        <f t="shared" si="31"/>
        <v>0</v>
      </c>
      <c r="BM112" s="394">
        <f t="shared" si="32"/>
        <v>0</v>
      </c>
      <c r="BN112" s="389">
        <f t="shared" si="33"/>
        <v>0</v>
      </c>
    </row>
    <row r="113" spans="16:66">
      <c r="P113" s="714">
        <v>0</v>
      </c>
      <c r="Q113" s="715">
        <f t="shared" si="17"/>
        <v>0</v>
      </c>
      <c r="R113" s="712">
        <f>IF(P114,_xll.qDateYears(P113,P114,DCCfixed),0)</f>
        <v>0</v>
      </c>
      <c r="S113" s="519">
        <f ca="1"/>
        <v>0</v>
      </c>
      <c r="T113" s="720"/>
      <c r="U113" s="390">
        <f t="shared" si="27"/>
        <v>0</v>
      </c>
      <c r="X113" s="345">
        <v>0</v>
      </c>
      <c r="Y113" s="711">
        <f t="shared" si="18"/>
        <v>0</v>
      </c>
      <c r="Z113" s="712">
        <f>IF(X114,_xll.qDateYears(X113,X114,DCCfloat),0)</f>
        <v>0</v>
      </c>
      <c r="AA113" s="519">
        <f ca="1"/>
        <v>0</v>
      </c>
      <c r="AB113" s="890">
        <f>IF(X113=0,0,         IF(OR(CCY="AUD",CCY="NZD",CCY="GBP"),X113,   _xll.qDateNext(X113,"-2b",,,IF(CCY="EUR","TGT","LON"))))</f>
        <v>0</v>
      </c>
      <c r="AC113" s="879" t="str">
        <v/>
      </c>
      <c r="AD113" s="879" t="str">
        <v/>
      </c>
      <c r="AE113" s="879" t="str">
        <v/>
      </c>
      <c r="AF113" s="879" t="str">
        <v/>
      </c>
      <c r="AG113" s="879" t="str">
        <v/>
      </c>
      <c r="AH113" s="879" t="str">
        <v/>
      </c>
      <c r="AI113" s="879" t="str">
        <v/>
      </c>
      <c r="AJ113" s="879" t="str">
        <v/>
      </c>
      <c r="AK113" s="882">
        <f>IF($X113=0,0,      _xll.qDateNext($X113,AK$12,$AR$11,FRM&lt;&gt;"Calypso",CCY))</f>
        <v>0</v>
      </c>
      <c r="AL113" s="882">
        <f>IF($X113=0,0,      _xll.qDateNext($X113,AL$12,$AR$11,FRM&lt;&gt;"Calypso",CCY))</f>
        <v>0</v>
      </c>
      <c r="AM113" s="882">
        <f>IF($X113=0,0,      _xll.qDateNext($X113,AM$12,$AR$11,FRM&lt;&gt;"Calypso",CCY))</f>
        <v>0</v>
      </c>
      <c r="AN113" s="882">
        <f>IF($X113=0,0,      _xll.qDateNext($X113,AN$12,$AR$11,FRM&lt;&gt;"Calypso",CCY))</f>
        <v>0</v>
      </c>
      <c r="AO113" s="882">
        <f>IF($X113=0,0,      _xll.qDateNext($X113,AO$12,$AR$11,FRM&lt;&gt;"Calypso",CCY))</f>
        <v>0</v>
      </c>
      <c r="AP113" s="882">
        <f>IF($X113=0,0,      _xll.qDateNext($X113,AP$12,$AR$11,FRM&lt;&gt;"Calypso",CCY))</f>
        <v>0</v>
      </c>
      <c r="AQ113" s="882">
        <f>IF($X113=0,0,      _xll.qDateNext($X113,AQ$12,$AR$11,FRM&lt;&gt;"Calypso",CCY))</f>
        <v>0</v>
      </c>
      <c r="AR113" s="882">
        <f>IF($X113=0,0,      _xll.qDateNext($X113,AR$12,$AR$11,FRM&lt;&gt;"Calypso",CCY))</f>
        <v>0</v>
      </c>
      <c r="AS113" s="901">
        <f ca="1"/>
        <v>0</v>
      </c>
      <c r="AT113" s="901">
        <f ca="1"/>
        <v>0</v>
      </c>
      <c r="AU113" s="901">
        <f t="shared" si="28"/>
        <v>0</v>
      </c>
      <c r="AV113" s="901">
        <f ca="1"/>
        <v>0</v>
      </c>
      <c r="AW113" s="901">
        <f t="shared" si="29"/>
        <v>0</v>
      </c>
      <c r="AX113" s="901">
        <f t="shared" si="30"/>
        <v>0</v>
      </c>
      <c r="AY113" s="901">
        <f ca="1"/>
        <v>0</v>
      </c>
      <c r="AZ113" s="901">
        <f ca="1"/>
        <v>0</v>
      </c>
      <c r="BA113" s="905">
        <f t="shared" si="19"/>
        <v>0</v>
      </c>
      <c r="BB113" s="905">
        <f t="shared" si="20"/>
        <v>0</v>
      </c>
      <c r="BC113" s="905">
        <f t="shared" si="21"/>
        <v>0</v>
      </c>
      <c r="BD113" s="905">
        <f t="shared" si="22"/>
        <v>0</v>
      </c>
      <c r="BE113" s="905">
        <f t="shared" si="23"/>
        <v>0</v>
      </c>
      <c r="BF113" s="905">
        <f t="shared" si="24"/>
        <v>0</v>
      </c>
      <c r="BG113" s="905">
        <f t="shared" si="25"/>
        <v>0</v>
      </c>
      <c r="BH113" s="905">
        <f t="shared" si="26"/>
        <v>0</v>
      </c>
      <c r="BI113" s="713">
        <v>0</v>
      </c>
      <c r="BJ113" s="695"/>
      <c r="BK113" s="752">
        <f>IF(X114=0,0,           IF(ISNUMBER(BJ113),BJ113,               IF(ISTEXT(BJ113),INDEX(BA113:BH113,MATCH(BJ113,$BA$12:$BH$12,0)),             IF(BI113="INT",_xll.qInterp(X114,AK113:AR113,BA113:BH113),            INDEX(BA113:BH113,MATCH(BI113,$BA$12:$BH$12,0))))))</f>
        <v>0</v>
      </c>
      <c r="BL113" s="389">
        <f t="shared" si="31"/>
        <v>0</v>
      </c>
      <c r="BM113" s="394">
        <f t="shared" si="32"/>
        <v>0</v>
      </c>
      <c r="BN113" s="389">
        <f t="shared" si="33"/>
        <v>0</v>
      </c>
    </row>
    <row r="114" spans="16:66">
      <c r="P114" s="714">
        <v>0</v>
      </c>
      <c r="Q114" s="715">
        <f t="shared" si="17"/>
        <v>0</v>
      </c>
      <c r="R114" s="712">
        <f>IF(P115,_xll.qDateYears(P114,P115,DCCfixed),0)</f>
        <v>0</v>
      </c>
      <c r="S114" s="519">
        <f ca="1"/>
        <v>0</v>
      </c>
      <c r="T114" s="720"/>
      <c r="U114" s="390">
        <f t="shared" si="27"/>
        <v>0</v>
      </c>
      <c r="X114" s="345">
        <v>0</v>
      </c>
      <c r="Y114" s="711">
        <f t="shared" si="18"/>
        <v>0</v>
      </c>
      <c r="Z114" s="712">
        <f>IF(X115,_xll.qDateYears(X114,X115,DCCfloat),0)</f>
        <v>0</v>
      </c>
      <c r="AA114" s="519">
        <f ca="1"/>
        <v>0</v>
      </c>
      <c r="AB114" s="890">
        <f>IF(X114=0,0,         IF(OR(CCY="AUD",CCY="NZD",CCY="GBP"),X114,   _xll.qDateNext(X114,"-2b",,,IF(CCY="EUR","TGT","LON"))))</f>
        <v>0</v>
      </c>
      <c r="AC114" s="879" t="str">
        <v/>
      </c>
      <c r="AD114" s="879" t="str">
        <v/>
      </c>
      <c r="AE114" s="879" t="str">
        <v/>
      </c>
      <c r="AF114" s="879" t="str">
        <v/>
      </c>
      <c r="AG114" s="879" t="str">
        <v/>
      </c>
      <c r="AH114" s="879" t="str">
        <v/>
      </c>
      <c r="AI114" s="879" t="str">
        <v/>
      </c>
      <c r="AJ114" s="879" t="str">
        <v/>
      </c>
      <c r="AK114" s="882">
        <f>IF($X114=0,0,      _xll.qDateNext($X114,AK$12,$AR$11,FRM&lt;&gt;"Calypso",CCY))</f>
        <v>0</v>
      </c>
      <c r="AL114" s="882">
        <f>IF($X114=0,0,      _xll.qDateNext($X114,AL$12,$AR$11,FRM&lt;&gt;"Calypso",CCY))</f>
        <v>0</v>
      </c>
      <c r="AM114" s="882">
        <f>IF($X114=0,0,      _xll.qDateNext($X114,AM$12,$AR$11,FRM&lt;&gt;"Calypso",CCY))</f>
        <v>0</v>
      </c>
      <c r="AN114" s="882">
        <f>IF($X114=0,0,      _xll.qDateNext($X114,AN$12,$AR$11,FRM&lt;&gt;"Calypso",CCY))</f>
        <v>0</v>
      </c>
      <c r="AO114" s="882">
        <f>IF($X114=0,0,      _xll.qDateNext($X114,AO$12,$AR$11,FRM&lt;&gt;"Calypso",CCY))</f>
        <v>0</v>
      </c>
      <c r="AP114" s="882">
        <f>IF($X114=0,0,      _xll.qDateNext($X114,AP$12,$AR$11,FRM&lt;&gt;"Calypso",CCY))</f>
        <v>0</v>
      </c>
      <c r="AQ114" s="882">
        <f>IF($X114=0,0,      _xll.qDateNext($X114,AQ$12,$AR$11,FRM&lt;&gt;"Calypso",CCY))</f>
        <v>0</v>
      </c>
      <c r="AR114" s="882">
        <f>IF($X114=0,0,      _xll.qDateNext($X114,AR$12,$AR$11,FRM&lt;&gt;"Calypso",CCY))</f>
        <v>0</v>
      </c>
      <c r="AS114" s="901">
        <f ca="1"/>
        <v>0</v>
      </c>
      <c r="AT114" s="901">
        <f ca="1"/>
        <v>0</v>
      </c>
      <c r="AU114" s="901">
        <f t="shared" si="28"/>
        <v>0</v>
      </c>
      <c r="AV114" s="901">
        <f ca="1"/>
        <v>0</v>
      </c>
      <c r="AW114" s="901">
        <f t="shared" si="29"/>
        <v>0</v>
      </c>
      <c r="AX114" s="901">
        <f t="shared" si="30"/>
        <v>0</v>
      </c>
      <c r="AY114" s="901">
        <f ca="1"/>
        <v>0</v>
      </c>
      <c r="AZ114" s="901">
        <f ca="1"/>
        <v>0</v>
      </c>
      <c r="BA114" s="905">
        <f t="shared" si="19"/>
        <v>0</v>
      </c>
      <c r="BB114" s="905">
        <f t="shared" si="20"/>
        <v>0</v>
      </c>
      <c r="BC114" s="905">
        <f t="shared" si="21"/>
        <v>0</v>
      </c>
      <c r="BD114" s="905">
        <f t="shared" si="22"/>
        <v>0</v>
      </c>
      <c r="BE114" s="905">
        <f t="shared" si="23"/>
        <v>0</v>
      </c>
      <c r="BF114" s="905">
        <f t="shared" si="24"/>
        <v>0</v>
      </c>
      <c r="BG114" s="905">
        <f t="shared" si="25"/>
        <v>0</v>
      </c>
      <c r="BH114" s="905">
        <f t="shared" si="26"/>
        <v>0</v>
      </c>
      <c r="BI114" s="713">
        <v>0</v>
      </c>
      <c r="BJ114" s="695"/>
      <c r="BK114" s="752">
        <f>IF(X115=0,0,           IF(ISNUMBER(BJ114),BJ114,               IF(ISTEXT(BJ114),INDEX(BA114:BH114,MATCH(BJ114,$BA$12:$BH$12,0)),             IF(BI114="INT",_xll.qInterp(X115,AK114:AR114,BA114:BH114),            INDEX(BA114:BH114,MATCH(BI114,$BA$12:$BH$12,0))))))</f>
        <v>0</v>
      </c>
      <c r="BL114" s="389">
        <f t="shared" si="31"/>
        <v>0</v>
      </c>
      <c r="BM114" s="394">
        <f t="shared" si="32"/>
        <v>0</v>
      </c>
      <c r="BN114" s="389">
        <f t="shared" si="33"/>
        <v>0</v>
      </c>
    </row>
    <row r="115" spans="16:66">
      <c r="P115" s="714">
        <v>0</v>
      </c>
      <c r="Q115" s="715">
        <f t="shared" si="17"/>
        <v>0</v>
      </c>
      <c r="R115" s="712">
        <f>IF(P116,_xll.qDateYears(P115,P116,DCCfixed),0)</f>
        <v>0</v>
      </c>
      <c r="S115" s="519">
        <f ca="1"/>
        <v>0</v>
      </c>
      <c r="T115" s="720"/>
      <c r="U115" s="390">
        <f t="shared" si="27"/>
        <v>0</v>
      </c>
      <c r="X115" s="345">
        <v>0</v>
      </c>
      <c r="Y115" s="711">
        <f t="shared" si="18"/>
        <v>0</v>
      </c>
      <c r="Z115" s="712">
        <f>IF(X116,_xll.qDateYears(X115,X116,DCCfloat),0)</f>
        <v>0</v>
      </c>
      <c r="AA115" s="519">
        <f ca="1"/>
        <v>0</v>
      </c>
      <c r="AB115" s="890">
        <f>IF(X115=0,0,         IF(OR(CCY="AUD",CCY="NZD",CCY="GBP"),X115,   _xll.qDateNext(X115,"-2b",,,IF(CCY="EUR","TGT","LON"))))</f>
        <v>0</v>
      </c>
      <c r="AC115" s="879" t="str">
        <v/>
      </c>
      <c r="AD115" s="879" t="str">
        <v/>
      </c>
      <c r="AE115" s="879" t="str">
        <v/>
      </c>
      <c r="AF115" s="879" t="str">
        <v/>
      </c>
      <c r="AG115" s="879" t="str">
        <v/>
      </c>
      <c r="AH115" s="879" t="str">
        <v/>
      </c>
      <c r="AI115" s="879" t="str">
        <v/>
      </c>
      <c r="AJ115" s="879" t="str">
        <v/>
      </c>
      <c r="AK115" s="882">
        <f>IF($X115=0,0,      _xll.qDateNext($X115,AK$12,$AR$11,FRM&lt;&gt;"Calypso",CCY))</f>
        <v>0</v>
      </c>
      <c r="AL115" s="882">
        <f>IF($X115=0,0,      _xll.qDateNext($X115,AL$12,$AR$11,FRM&lt;&gt;"Calypso",CCY))</f>
        <v>0</v>
      </c>
      <c r="AM115" s="882">
        <f>IF($X115=0,0,      _xll.qDateNext($X115,AM$12,$AR$11,FRM&lt;&gt;"Calypso",CCY))</f>
        <v>0</v>
      </c>
      <c r="AN115" s="882">
        <f>IF($X115=0,0,      _xll.qDateNext($X115,AN$12,$AR$11,FRM&lt;&gt;"Calypso",CCY))</f>
        <v>0</v>
      </c>
      <c r="AO115" s="882">
        <f>IF($X115=0,0,      _xll.qDateNext($X115,AO$12,$AR$11,FRM&lt;&gt;"Calypso",CCY))</f>
        <v>0</v>
      </c>
      <c r="AP115" s="882">
        <f>IF($X115=0,0,      _xll.qDateNext($X115,AP$12,$AR$11,FRM&lt;&gt;"Calypso",CCY))</f>
        <v>0</v>
      </c>
      <c r="AQ115" s="882">
        <f>IF($X115=0,0,      _xll.qDateNext($X115,AQ$12,$AR$11,FRM&lt;&gt;"Calypso",CCY))</f>
        <v>0</v>
      </c>
      <c r="AR115" s="882">
        <f>IF($X115=0,0,      _xll.qDateNext($X115,AR$12,$AR$11,FRM&lt;&gt;"Calypso",CCY))</f>
        <v>0</v>
      </c>
      <c r="AS115" s="901">
        <f ca="1"/>
        <v>0</v>
      </c>
      <c r="AT115" s="901">
        <f ca="1"/>
        <v>0</v>
      </c>
      <c r="AU115" s="901">
        <f t="shared" si="28"/>
        <v>0</v>
      </c>
      <c r="AV115" s="901">
        <f ca="1"/>
        <v>0</v>
      </c>
      <c r="AW115" s="901">
        <f t="shared" si="29"/>
        <v>0</v>
      </c>
      <c r="AX115" s="901">
        <f t="shared" si="30"/>
        <v>0</v>
      </c>
      <c r="AY115" s="901">
        <f ca="1"/>
        <v>0</v>
      </c>
      <c r="AZ115" s="901">
        <f ca="1"/>
        <v>0</v>
      </c>
      <c r="BA115" s="905">
        <f t="shared" si="19"/>
        <v>0</v>
      </c>
      <c r="BB115" s="905">
        <f t="shared" si="20"/>
        <v>0</v>
      </c>
      <c r="BC115" s="905">
        <f t="shared" si="21"/>
        <v>0</v>
      </c>
      <c r="BD115" s="905">
        <f t="shared" si="22"/>
        <v>0</v>
      </c>
      <c r="BE115" s="905">
        <f t="shared" si="23"/>
        <v>0</v>
      </c>
      <c r="BF115" s="905">
        <f t="shared" si="24"/>
        <v>0</v>
      </c>
      <c r="BG115" s="905">
        <f t="shared" si="25"/>
        <v>0</v>
      </c>
      <c r="BH115" s="905">
        <f t="shared" si="26"/>
        <v>0</v>
      </c>
      <c r="BI115" s="713">
        <v>0</v>
      </c>
      <c r="BJ115" s="695"/>
      <c r="BK115" s="752">
        <f>IF(X116=0,0,           IF(ISNUMBER(BJ115),BJ115,               IF(ISTEXT(BJ115),INDEX(BA115:BH115,MATCH(BJ115,$BA$12:$BH$12,0)),             IF(BI115="INT",_xll.qInterp(X116,AK115:AR115,BA115:BH115),            INDEX(BA115:BH115,MATCH(BI115,$BA$12:$BH$12,0))))))</f>
        <v>0</v>
      </c>
      <c r="BL115" s="389">
        <f t="shared" si="31"/>
        <v>0</v>
      </c>
      <c r="BM115" s="394">
        <f t="shared" si="32"/>
        <v>0</v>
      </c>
      <c r="BN115" s="389">
        <f t="shared" si="33"/>
        <v>0</v>
      </c>
    </row>
    <row r="116" spans="16:66">
      <c r="P116" s="714">
        <v>0</v>
      </c>
      <c r="Q116" s="715">
        <f t="shared" si="17"/>
        <v>0</v>
      </c>
      <c r="R116" s="712">
        <f>IF(P117,_xll.qDateYears(P116,P117,DCCfixed),0)</f>
        <v>0</v>
      </c>
      <c r="S116" s="519">
        <f ca="1"/>
        <v>0</v>
      </c>
      <c r="T116" s="720"/>
      <c r="U116" s="390">
        <f t="shared" si="27"/>
        <v>0</v>
      </c>
      <c r="X116" s="345">
        <v>0</v>
      </c>
      <c r="Y116" s="711">
        <f t="shared" si="18"/>
        <v>0</v>
      </c>
      <c r="Z116" s="712">
        <f>IF(X117,_xll.qDateYears(X116,X117,DCCfloat),0)</f>
        <v>0</v>
      </c>
      <c r="AA116" s="519">
        <f ca="1"/>
        <v>0</v>
      </c>
      <c r="AB116" s="890">
        <f>IF(X116=0,0,         IF(OR(CCY="AUD",CCY="NZD",CCY="GBP"),X116,   _xll.qDateNext(X116,"-2b",,,IF(CCY="EUR","TGT","LON"))))</f>
        <v>0</v>
      </c>
      <c r="AC116" s="879" t="str">
        <v/>
      </c>
      <c r="AD116" s="879" t="str">
        <v/>
      </c>
      <c r="AE116" s="879" t="str">
        <v/>
      </c>
      <c r="AF116" s="879" t="str">
        <v/>
      </c>
      <c r="AG116" s="879" t="str">
        <v/>
      </c>
      <c r="AH116" s="879" t="str">
        <v/>
      </c>
      <c r="AI116" s="879" t="str">
        <v/>
      </c>
      <c r="AJ116" s="879" t="str">
        <v/>
      </c>
      <c r="AK116" s="882">
        <f>IF($X116=0,0,      _xll.qDateNext($X116,AK$12,$AR$11,FRM&lt;&gt;"Calypso",CCY))</f>
        <v>0</v>
      </c>
      <c r="AL116" s="882">
        <f>IF($X116=0,0,      _xll.qDateNext($X116,AL$12,$AR$11,FRM&lt;&gt;"Calypso",CCY))</f>
        <v>0</v>
      </c>
      <c r="AM116" s="882">
        <f>IF($X116=0,0,      _xll.qDateNext($X116,AM$12,$AR$11,FRM&lt;&gt;"Calypso",CCY))</f>
        <v>0</v>
      </c>
      <c r="AN116" s="882">
        <f>IF($X116=0,0,      _xll.qDateNext($X116,AN$12,$AR$11,FRM&lt;&gt;"Calypso",CCY))</f>
        <v>0</v>
      </c>
      <c r="AO116" s="882">
        <f>IF($X116=0,0,      _xll.qDateNext($X116,AO$12,$AR$11,FRM&lt;&gt;"Calypso",CCY))</f>
        <v>0</v>
      </c>
      <c r="AP116" s="882">
        <f>IF($X116=0,0,      _xll.qDateNext($X116,AP$12,$AR$11,FRM&lt;&gt;"Calypso",CCY))</f>
        <v>0</v>
      </c>
      <c r="AQ116" s="882">
        <f>IF($X116=0,0,      _xll.qDateNext($X116,AQ$12,$AR$11,FRM&lt;&gt;"Calypso",CCY))</f>
        <v>0</v>
      </c>
      <c r="AR116" s="882">
        <f>IF($X116=0,0,      _xll.qDateNext($X116,AR$12,$AR$11,FRM&lt;&gt;"Calypso",CCY))</f>
        <v>0</v>
      </c>
      <c r="AS116" s="901">
        <f ca="1"/>
        <v>0</v>
      </c>
      <c r="AT116" s="901">
        <f ca="1"/>
        <v>0</v>
      </c>
      <c r="AU116" s="901">
        <f t="shared" si="28"/>
        <v>0</v>
      </c>
      <c r="AV116" s="901">
        <f ca="1"/>
        <v>0</v>
      </c>
      <c r="AW116" s="901">
        <f t="shared" si="29"/>
        <v>0</v>
      </c>
      <c r="AX116" s="901">
        <f t="shared" si="30"/>
        <v>0</v>
      </c>
      <c r="AY116" s="901">
        <f ca="1"/>
        <v>0</v>
      </c>
      <c r="AZ116" s="901">
        <f ca="1"/>
        <v>0</v>
      </c>
      <c r="BA116" s="905">
        <f t="shared" si="19"/>
        <v>0</v>
      </c>
      <c r="BB116" s="905">
        <f t="shared" si="20"/>
        <v>0</v>
      </c>
      <c r="BC116" s="905">
        <f t="shared" si="21"/>
        <v>0</v>
      </c>
      <c r="BD116" s="905">
        <f t="shared" si="22"/>
        <v>0</v>
      </c>
      <c r="BE116" s="905">
        <f t="shared" si="23"/>
        <v>0</v>
      </c>
      <c r="BF116" s="905">
        <f t="shared" si="24"/>
        <v>0</v>
      </c>
      <c r="BG116" s="905">
        <f t="shared" si="25"/>
        <v>0</v>
      </c>
      <c r="BH116" s="905">
        <f t="shared" si="26"/>
        <v>0</v>
      </c>
      <c r="BI116" s="713">
        <v>0</v>
      </c>
      <c r="BJ116" s="695"/>
      <c r="BK116" s="752">
        <f>IF(X117=0,0,           IF(ISNUMBER(BJ116),BJ116,               IF(ISTEXT(BJ116),INDEX(BA116:BH116,MATCH(BJ116,$BA$12:$BH$12,0)),             IF(BI116="INT",_xll.qInterp(X117,AK116:AR116,BA116:BH116),            INDEX(BA116:BH116,MATCH(BI116,$BA$12:$BH$12,0))))))</f>
        <v>0</v>
      </c>
      <c r="BL116" s="389">
        <f t="shared" si="31"/>
        <v>0</v>
      </c>
      <c r="BM116" s="394">
        <f t="shared" si="32"/>
        <v>0</v>
      </c>
      <c r="BN116" s="389">
        <f t="shared" si="33"/>
        <v>0</v>
      </c>
    </row>
    <row r="117" spans="16:66">
      <c r="P117" s="714">
        <v>0</v>
      </c>
      <c r="Q117" s="715">
        <f t="shared" si="17"/>
        <v>0</v>
      </c>
      <c r="R117" s="712">
        <f>IF(P118,_xll.qDateYears(P117,P118,DCCfixed),0)</f>
        <v>0</v>
      </c>
      <c r="S117" s="519">
        <f ca="1"/>
        <v>0</v>
      </c>
      <c r="T117" s="720"/>
      <c r="U117" s="390">
        <f t="shared" si="27"/>
        <v>0</v>
      </c>
      <c r="X117" s="345">
        <v>0</v>
      </c>
      <c r="Y117" s="711">
        <f t="shared" si="18"/>
        <v>0</v>
      </c>
      <c r="Z117" s="712">
        <f>IF(X118,_xll.qDateYears(X117,X118,DCCfloat),0)</f>
        <v>0</v>
      </c>
      <c r="AA117" s="519">
        <f ca="1"/>
        <v>0</v>
      </c>
      <c r="AB117" s="890">
        <f>IF(X117=0,0,         IF(OR(CCY="AUD",CCY="NZD",CCY="GBP"),X117,   _xll.qDateNext(X117,"-2b",,,IF(CCY="EUR","TGT","LON"))))</f>
        <v>0</v>
      </c>
      <c r="AC117" s="879" t="str">
        <v/>
      </c>
      <c r="AD117" s="879" t="str">
        <v/>
      </c>
      <c r="AE117" s="879" t="str">
        <v/>
      </c>
      <c r="AF117" s="879" t="str">
        <v/>
      </c>
      <c r="AG117" s="879" t="str">
        <v/>
      </c>
      <c r="AH117" s="879" t="str">
        <v/>
      </c>
      <c r="AI117" s="879" t="str">
        <v/>
      </c>
      <c r="AJ117" s="879" t="str">
        <v/>
      </c>
      <c r="AK117" s="882">
        <f>IF($X117=0,0,      _xll.qDateNext($X117,AK$12,$AR$11,FRM&lt;&gt;"Calypso",CCY))</f>
        <v>0</v>
      </c>
      <c r="AL117" s="882">
        <f>IF($X117=0,0,      _xll.qDateNext($X117,AL$12,$AR$11,FRM&lt;&gt;"Calypso",CCY))</f>
        <v>0</v>
      </c>
      <c r="AM117" s="882">
        <f>IF($X117=0,0,      _xll.qDateNext($X117,AM$12,$AR$11,FRM&lt;&gt;"Calypso",CCY))</f>
        <v>0</v>
      </c>
      <c r="AN117" s="882">
        <f>IF($X117=0,0,      _xll.qDateNext($X117,AN$12,$AR$11,FRM&lt;&gt;"Calypso",CCY))</f>
        <v>0</v>
      </c>
      <c r="AO117" s="882">
        <f>IF($X117=0,0,      _xll.qDateNext($X117,AO$12,$AR$11,FRM&lt;&gt;"Calypso",CCY))</f>
        <v>0</v>
      </c>
      <c r="AP117" s="882">
        <f>IF($X117=0,0,      _xll.qDateNext($X117,AP$12,$AR$11,FRM&lt;&gt;"Calypso",CCY))</f>
        <v>0</v>
      </c>
      <c r="AQ117" s="882">
        <f>IF($X117=0,0,      _xll.qDateNext($X117,AQ$12,$AR$11,FRM&lt;&gt;"Calypso",CCY))</f>
        <v>0</v>
      </c>
      <c r="AR117" s="882">
        <f>IF($X117=0,0,      _xll.qDateNext($X117,AR$12,$AR$11,FRM&lt;&gt;"Calypso",CCY))</f>
        <v>0</v>
      </c>
      <c r="AS117" s="901">
        <f ca="1"/>
        <v>0</v>
      </c>
      <c r="AT117" s="901">
        <f ca="1"/>
        <v>0</v>
      </c>
      <c r="AU117" s="901">
        <f t="shared" si="28"/>
        <v>0</v>
      </c>
      <c r="AV117" s="901">
        <f ca="1"/>
        <v>0</v>
      </c>
      <c r="AW117" s="901">
        <f t="shared" si="29"/>
        <v>0</v>
      </c>
      <c r="AX117" s="901">
        <f t="shared" si="30"/>
        <v>0</v>
      </c>
      <c r="AY117" s="901">
        <f ca="1"/>
        <v>0</v>
      </c>
      <c r="AZ117" s="901">
        <f ca="1"/>
        <v>0</v>
      </c>
      <c r="BA117" s="905">
        <f t="shared" si="19"/>
        <v>0</v>
      </c>
      <c r="BB117" s="905">
        <f t="shared" si="20"/>
        <v>0</v>
      </c>
      <c r="BC117" s="905">
        <f t="shared" si="21"/>
        <v>0</v>
      </c>
      <c r="BD117" s="905">
        <f t="shared" si="22"/>
        <v>0</v>
      </c>
      <c r="BE117" s="905">
        <f t="shared" si="23"/>
        <v>0</v>
      </c>
      <c r="BF117" s="905">
        <f t="shared" si="24"/>
        <v>0</v>
      </c>
      <c r="BG117" s="905">
        <f t="shared" si="25"/>
        <v>0</v>
      </c>
      <c r="BH117" s="905">
        <f t="shared" si="26"/>
        <v>0</v>
      </c>
      <c r="BI117" s="713">
        <v>0</v>
      </c>
      <c r="BJ117" s="695"/>
      <c r="BK117" s="752">
        <f>IF(X118=0,0,           IF(ISNUMBER(BJ117),BJ117,               IF(ISTEXT(BJ117),INDEX(BA117:BH117,MATCH(BJ117,$BA$12:$BH$12,0)),             IF(BI117="INT",_xll.qInterp(X118,AK117:AR117,BA117:BH117),            INDEX(BA117:BH117,MATCH(BI117,$BA$12:$BH$12,0))))))</f>
        <v>0</v>
      </c>
      <c r="BL117" s="389">
        <f t="shared" si="31"/>
        <v>0</v>
      </c>
      <c r="BM117" s="394">
        <f t="shared" si="32"/>
        <v>0</v>
      </c>
      <c r="BN117" s="389">
        <f t="shared" si="33"/>
        <v>0</v>
      </c>
    </row>
    <row r="118" spans="16:66">
      <c r="P118" s="714">
        <v>0</v>
      </c>
      <c r="Q118" s="715">
        <f t="shared" si="17"/>
        <v>0</v>
      </c>
      <c r="R118" s="712">
        <f>IF(P119,_xll.qDateYears(P118,P119,DCCfixed),0)</f>
        <v>0</v>
      </c>
      <c r="S118" s="519">
        <f ca="1"/>
        <v>0</v>
      </c>
      <c r="T118" s="720"/>
      <c r="U118" s="390">
        <f t="shared" si="27"/>
        <v>0</v>
      </c>
      <c r="X118" s="345">
        <v>0</v>
      </c>
      <c r="Y118" s="711">
        <f t="shared" si="18"/>
        <v>0</v>
      </c>
      <c r="Z118" s="712">
        <f>IF(X119,_xll.qDateYears(X118,X119,DCCfloat),0)</f>
        <v>0</v>
      </c>
      <c r="AA118" s="519">
        <f ca="1"/>
        <v>0</v>
      </c>
      <c r="AB118" s="890">
        <f>IF(X118=0,0,         IF(OR(CCY="AUD",CCY="NZD",CCY="GBP"),X118,   _xll.qDateNext(X118,"-2b",,,IF(CCY="EUR","TGT","LON"))))</f>
        <v>0</v>
      </c>
      <c r="AC118" s="879" t="str">
        <v/>
      </c>
      <c r="AD118" s="879" t="str">
        <v/>
      </c>
      <c r="AE118" s="879" t="str">
        <v/>
      </c>
      <c r="AF118" s="879" t="str">
        <v/>
      </c>
      <c r="AG118" s="879" t="str">
        <v/>
      </c>
      <c r="AH118" s="879" t="str">
        <v/>
      </c>
      <c r="AI118" s="879" t="str">
        <v/>
      </c>
      <c r="AJ118" s="879" t="str">
        <v/>
      </c>
      <c r="AK118" s="882">
        <f>IF($X118=0,0,      _xll.qDateNext($X118,AK$12,$AR$11,FRM&lt;&gt;"Calypso",CCY))</f>
        <v>0</v>
      </c>
      <c r="AL118" s="882">
        <f>IF($X118=0,0,      _xll.qDateNext($X118,AL$12,$AR$11,FRM&lt;&gt;"Calypso",CCY))</f>
        <v>0</v>
      </c>
      <c r="AM118" s="882">
        <f>IF($X118=0,0,      _xll.qDateNext($X118,AM$12,$AR$11,FRM&lt;&gt;"Calypso",CCY))</f>
        <v>0</v>
      </c>
      <c r="AN118" s="882">
        <f>IF($X118=0,0,      _xll.qDateNext($X118,AN$12,$AR$11,FRM&lt;&gt;"Calypso",CCY))</f>
        <v>0</v>
      </c>
      <c r="AO118" s="882">
        <f>IF($X118=0,0,      _xll.qDateNext($X118,AO$12,$AR$11,FRM&lt;&gt;"Calypso",CCY))</f>
        <v>0</v>
      </c>
      <c r="AP118" s="882">
        <f>IF($X118=0,0,      _xll.qDateNext($X118,AP$12,$AR$11,FRM&lt;&gt;"Calypso",CCY))</f>
        <v>0</v>
      </c>
      <c r="AQ118" s="882">
        <f>IF($X118=0,0,      _xll.qDateNext($X118,AQ$12,$AR$11,FRM&lt;&gt;"Calypso",CCY))</f>
        <v>0</v>
      </c>
      <c r="AR118" s="882">
        <f>IF($X118=0,0,      _xll.qDateNext($X118,AR$12,$AR$11,FRM&lt;&gt;"Calypso",CCY))</f>
        <v>0</v>
      </c>
      <c r="AS118" s="901">
        <f ca="1"/>
        <v>0</v>
      </c>
      <c r="AT118" s="901">
        <f ca="1"/>
        <v>0</v>
      </c>
      <c r="AU118" s="901">
        <f t="shared" si="28"/>
        <v>0</v>
      </c>
      <c r="AV118" s="901">
        <f ca="1"/>
        <v>0</v>
      </c>
      <c r="AW118" s="901">
        <f t="shared" si="29"/>
        <v>0</v>
      </c>
      <c r="AX118" s="901">
        <f t="shared" si="30"/>
        <v>0</v>
      </c>
      <c r="AY118" s="901">
        <f ca="1"/>
        <v>0</v>
      </c>
      <c r="AZ118" s="901">
        <f ca="1"/>
        <v>0</v>
      </c>
      <c r="BA118" s="905">
        <f t="shared" si="19"/>
        <v>0</v>
      </c>
      <c r="BB118" s="905">
        <f t="shared" si="20"/>
        <v>0</v>
      </c>
      <c r="BC118" s="905">
        <f t="shared" si="21"/>
        <v>0</v>
      </c>
      <c r="BD118" s="905">
        <f t="shared" si="22"/>
        <v>0</v>
      </c>
      <c r="BE118" s="905">
        <f t="shared" si="23"/>
        <v>0</v>
      </c>
      <c r="BF118" s="905">
        <f t="shared" si="24"/>
        <v>0</v>
      </c>
      <c r="BG118" s="905">
        <f t="shared" si="25"/>
        <v>0</v>
      </c>
      <c r="BH118" s="905">
        <f t="shared" si="26"/>
        <v>0</v>
      </c>
      <c r="BI118" s="713">
        <v>0</v>
      </c>
      <c r="BJ118" s="695"/>
      <c r="BK118" s="752">
        <f>IF(X119=0,0,           IF(ISNUMBER(BJ118),BJ118,               IF(ISTEXT(BJ118),INDEX(BA118:BH118,MATCH(BJ118,$BA$12:$BH$12,0)),             IF(BI118="INT",_xll.qInterp(X119,AK118:AR118,BA118:BH118),            INDEX(BA118:BH118,MATCH(BI118,$BA$12:$BH$12,0))))))</f>
        <v>0</v>
      </c>
      <c r="BL118" s="389">
        <f t="shared" si="31"/>
        <v>0</v>
      </c>
      <c r="BM118" s="394">
        <f t="shared" si="32"/>
        <v>0</v>
      </c>
      <c r="BN118" s="389">
        <f t="shared" si="33"/>
        <v>0</v>
      </c>
    </row>
    <row r="119" spans="16:66">
      <c r="P119" s="714">
        <v>0</v>
      </c>
      <c r="Q119" s="715">
        <f t="shared" si="17"/>
        <v>0</v>
      </c>
      <c r="R119" s="712">
        <f>IF(P120,_xll.qDateYears(P119,P120,DCCfixed),0)</f>
        <v>0</v>
      </c>
      <c r="S119" s="519">
        <f ca="1"/>
        <v>0</v>
      </c>
      <c r="T119" s="720"/>
      <c r="U119" s="390">
        <f t="shared" si="27"/>
        <v>0</v>
      </c>
      <c r="X119" s="345">
        <v>0</v>
      </c>
      <c r="Y119" s="711">
        <f t="shared" si="18"/>
        <v>0</v>
      </c>
      <c r="Z119" s="712">
        <f>IF(X120,_xll.qDateYears(X119,X120,DCCfloat),0)</f>
        <v>0</v>
      </c>
      <c r="AA119" s="519">
        <f ca="1"/>
        <v>0</v>
      </c>
      <c r="AB119" s="890">
        <f>IF(X119=0,0,         IF(OR(CCY="AUD",CCY="NZD",CCY="GBP"),X119,   _xll.qDateNext(X119,"-2b",,,IF(CCY="EUR","TGT","LON"))))</f>
        <v>0</v>
      </c>
      <c r="AC119" s="879" t="str">
        <v/>
      </c>
      <c r="AD119" s="879" t="str">
        <v/>
      </c>
      <c r="AE119" s="879" t="str">
        <v/>
      </c>
      <c r="AF119" s="879" t="str">
        <v/>
      </c>
      <c r="AG119" s="879" t="str">
        <v/>
      </c>
      <c r="AH119" s="879" t="str">
        <v/>
      </c>
      <c r="AI119" s="879" t="str">
        <v/>
      </c>
      <c r="AJ119" s="879" t="str">
        <v/>
      </c>
      <c r="AK119" s="882">
        <f>IF($X119=0,0,      _xll.qDateNext($X119,AK$12,$AR$11,FRM&lt;&gt;"Calypso",CCY))</f>
        <v>0</v>
      </c>
      <c r="AL119" s="882">
        <f>IF($X119=0,0,      _xll.qDateNext($X119,AL$12,$AR$11,FRM&lt;&gt;"Calypso",CCY))</f>
        <v>0</v>
      </c>
      <c r="AM119" s="882">
        <f>IF($X119=0,0,      _xll.qDateNext($X119,AM$12,$AR$11,FRM&lt;&gt;"Calypso",CCY))</f>
        <v>0</v>
      </c>
      <c r="AN119" s="882">
        <f>IF($X119=0,0,      _xll.qDateNext($X119,AN$12,$AR$11,FRM&lt;&gt;"Calypso",CCY))</f>
        <v>0</v>
      </c>
      <c r="AO119" s="882">
        <f>IF($X119=0,0,      _xll.qDateNext($X119,AO$12,$AR$11,FRM&lt;&gt;"Calypso",CCY))</f>
        <v>0</v>
      </c>
      <c r="AP119" s="882">
        <f>IF($X119=0,0,      _xll.qDateNext($X119,AP$12,$AR$11,FRM&lt;&gt;"Calypso",CCY))</f>
        <v>0</v>
      </c>
      <c r="AQ119" s="882">
        <f>IF($X119=0,0,      _xll.qDateNext($X119,AQ$12,$AR$11,FRM&lt;&gt;"Calypso",CCY))</f>
        <v>0</v>
      </c>
      <c r="AR119" s="882">
        <f>IF($X119=0,0,      _xll.qDateNext($X119,AR$12,$AR$11,FRM&lt;&gt;"Calypso",CCY))</f>
        <v>0</v>
      </c>
      <c r="AS119" s="901">
        <f ca="1"/>
        <v>0</v>
      </c>
      <c r="AT119" s="901">
        <f ca="1"/>
        <v>0</v>
      </c>
      <c r="AU119" s="901">
        <f t="shared" si="28"/>
        <v>0</v>
      </c>
      <c r="AV119" s="901">
        <f ca="1"/>
        <v>0</v>
      </c>
      <c r="AW119" s="901">
        <f t="shared" si="29"/>
        <v>0</v>
      </c>
      <c r="AX119" s="901">
        <f t="shared" si="30"/>
        <v>0</v>
      </c>
      <c r="AY119" s="901">
        <f ca="1"/>
        <v>0</v>
      </c>
      <c r="AZ119" s="901">
        <f ca="1"/>
        <v>0</v>
      </c>
      <c r="BA119" s="905">
        <f t="shared" si="19"/>
        <v>0</v>
      </c>
      <c r="BB119" s="905">
        <f t="shared" si="20"/>
        <v>0</v>
      </c>
      <c r="BC119" s="905">
        <f t="shared" si="21"/>
        <v>0</v>
      </c>
      <c r="BD119" s="905">
        <f t="shared" si="22"/>
        <v>0</v>
      </c>
      <c r="BE119" s="905">
        <f t="shared" si="23"/>
        <v>0</v>
      </c>
      <c r="BF119" s="905">
        <f t="shared" si="24"/>
        <v>0</v>
      </c>
      <c r="BG119" s="905">
        <f t="shared" si="25"/>
        <v>0</v>
      </c>
      <c r="BH119" s="905">
        <f t="shared" si="26"/>
        <v>0</v>
      </c>
      <c r="BI119" s="713">
        <v>0</v>
      </c>
      <c r="BJ119" s="695"/>
      <c r="BK119" s="752">
        <f>IF(X120=0,0,           IF(ISNUMBER(BJ119),BJ119,               IF(ISTEXT(BJ119),INDEX(BA119:BH119,MATCH(BJ119,$BA$12:$BH$12,0)),             IF(BI119="INT",_xll.qInterp(X120,AK119:AR119,BA119:BH119),            INDEX(BA119:BH119,MATCH(BI119,$BA$12:$BH$12,0))))))</f>
        <v>0</v>
      </c>
      <c r="BL119" s="389">
        <f t="shared" si="31"/>
        <v>0</v>
      </c>
      <c r="BM119" s="394">
        <f t="shared" si="32"/>
        <v>0</v>
      </c>
      <c r="BN119" s="389">
        <f t="shared" si="33"/>
        <v>0</v>
      </c>
    </row>
    <row r="120" spans="16:66">
      <c r="P120" s="714">
        <v>0</v>
      </c>
      <c r="Q120" s="715">
        <f t="shared" si="17"/>
        <v>0</v>
      </c>
      <c r="R120" s="712">
        <f>IF(P121,_xll.qDateYears(P120,P121,DCCfixed),0)</f>
        <v>0</v>
      </c>
      <c r="S120" s="519">
        <f ca="1"/>
        <v>0</v>
      </c>
      <c r="T120" s="720"/>
      <c r="U120" s="390">
        <f t="shared" si="27"/>
        <v>0</v>
      </c>
      <c r="X120" s="345">
        <v>0</v>
      </c>
      <c r="Y120" s="711">
        <f t="shared" si="18"/>
        <v>0</v>
      </c>
      <c r="Z120" s="712">
        <f>IF(X121,_xll.qDateYears(X120,X121,DCCfloat),0)</f>
        <v>0</v>
      </c>
      <c r="AA120" s="519">
        <f ca="1"/>
        <v>0</v>
      </c>
      <c r="AB120" s="890">
        <f>IF(X120=0,0,         IF(OR(CCY="AUD",CCY="NZD",CCY="GBP"),X120,   _xll.qDateNext(X120,"-2b",,,IF(CCY="EUR","TGT","LON"))))</f>
        <v>0</v>
      </c>
      <c r="AC120" s="879" t="str">
        <v/>
      </c>
      <c r="AD120" s="879" t="str">
        <v/>
      </c>
      <c r="AE120" s="879" t="str">
        <v/>
      </c>
      <c r="AF120" s="879" t="str">
        <v/>
      </c>
      <c r="AG120" s="879" t="str">
        <v/>
      </c>
      <c r="AH120" s="879" t="str">
        <v/>
      </c>
      <c r="AI120" s="879" t="str">
        <v/>
      </c>
      <c r="AJ120" s="879" t="str">
        <v/>
      </c>
      <c r="AK120" s="882">
        <f>IF($X120=0,0,      _xll.qDateNext($X120,AK$12,$AR$11,FRM&lt;&gt;"Calypso",CCY))</f>
        <v>0</v>
      </c>
      <c r="AL120" s="882">
        <f>IF($X120=0,0,      _xll.qDateNext($X120,AL$12,$AR$11,FRM&lt;&gt;"Calypso",CCY))</f>
        <v>0</v>
      </c>
      <c r="AM120" s="882">
        <f>IF($X120=0,0,      _xll.qDateNext($X120,AM$12,$AR$11,FRM&lt;&gt;"Calypso",CCY))</f>
        <v>0</v>
      </c>
      <c r="AN120" s="882">
        <f>IF($X120=0,0,      _xll.qDateNext($X120,AN$12,$AR$11,FRM&lt;&gt;"Calypso",CCY))</f>
        <v>0</v>
      </c>
      <c r="AO120" s="882">
        <f>IF($X120=0,0,      _xll.qDateNext($X120,AO$12,$AR$11,FRM&lt;&gt;"Calypso",CCY))</f>
        <v>0</v>
      </c>
      <c r="AP120" s="882">
        <f>IF($X120=0,0,      _xll.qDateNext($X120,AP$12,$AR$11,FRM&lt;&gt;"Calypso",CCY))</f>
        <v>0</v>
      </c>
      <c r="AQ120" s="882">
        <f>IF($X120=0,0,      _xll.qDateNext($X120,AQ$12,$AR$11,FRM&lt;&gt;"Calypso",CCY))</f>
        <v>0</v>
      </c>
      <c r="AR120" s="882">
        <f>IF($X120=0,0,      _xll.qDateNext($X120,AR$12,$AR$11,FRM&lt;&gt;"Calypso",CCY))</f>
        <v>0</v>
      </c>
      <c r="AS120" s="901">
        <f ca="1"/>
        <v>0</v>
      </c>
      <c r="AT120" s="901">
        <f ca="1"/>
        <v>0</v>
      </c>
      <c r="AU120" s="901">
        <f t="shared" si="28"/>
        <v>0</v>
      </c>
      <c r="AV120" s="901">
        <f ca="1"/>
        <v>0</v>
      </c>
      <c r="AW120" s="901">
        <f t="shared" si="29"/>
        <v>0</v>
      </c>
      <c r="AX120" s="901">
        <f t="shared" si="30"/>
        <v>0</v>
      </c>
      <c r="AY120" s="901">
        <f ca="1"/>
        <v>0</v>
      </c>
      <c r="AZ120" s="901">
        <f ca="1"/>
        <v>0</v>
      </c>
      <c r="BA120" s="905">
        <f t="shared" si="19"/>
        <v>0</v>
      </c>
      <c r="BB120" s="905">
        <f t="shared" si="20"/>
        <v>0</v>
      </c>
      <c r="BC120" s="905">
        <f t="shared" si="21"/>
        <v>0</v>
      </c>
      <c r="BD120" s="905">
        <f t="shared" si="22"/>
        <v>0</v>
      </c>
      <c r="BE120" s="905">
        <f t="shared" si="23"/>
        <v>0</v>
      </c>
      <c r="BF120" s="905">
        <f t="shared" si="24"/>
        <v>0</v>
      </c>
      <c r="BG120" s="905">
        <f t="shared" si="25"/>
        <v>0</v>
      </c>
      <c r="BH120" s="905">
        <f t="shared" si="26"/>
        <v>0</v>
      </c>
      <c r="BI120" s="713">
        <v>0</v>
      </c>
      <c r="BJ120" s="695"/>
      <c r="BK120" s="752">
        <f>IF(X121=0,0,           IF(ISNUMBER(BJ120),BJ120,               IF(ISTEXT(BJ120),INDEX(BA120:BH120,MATCH(BJ120,$BA$12:$BH$12,0)),             IF(BI120="INT",_xll.qInterp(X121,AK120:AR120,BA120:BH120),            INDEX(BA120:BH120,MATCH(BI120,$BA$12:$BH$12,0))))))</f>
        <v>0</v>
      </c>
      <c r="BL120" s="389">
        <f t="shared" si="31"/>
        <v>0</v>
      </c>
      <c r="BM120" s="394">
        <f t="shared" si="32"/>
        <v>0</v>
      </c>
      <c r="BN120" s="389">
        <f t="shared" si="33"/>
        <v>0</v>
      </c>
    </row>
    <row r="121" spans="16:66">
      <c r="P121" s="714">
        <v>0</v>
      </c>
      <c r="Q121" s="715">
        <f t="shared" si="17"/>
        <v>0</v>
      </c>
      <c r="R121" s="712">
        <f>IF(P122,_xll.qDateYears(P121,P122,DCCfixed),0)</f>
        <v>0</v>
      </c>
      <c r="S121" s="519">
        <f ca="1"/>
        <v>0</v>
      </c>
      <c r="T121" s="720"/>
      <c r="U121" s="390">
        <f t="shared" si="27"/>
        <v>0</v>
      </c>
      <c r="X121" s="345">
        <v>0</v>
      </c>
      <c r="Y121" s="711">
        <f t="shared" si="18"/>
        <v>0</v>
      </c>
      <c r="Z121" s="712">
        <f>IF(X122,_xll.qDateYears(X121,X122,DCCfloat),0)</f>
        <v>0</v>
      </c>
      <c r="AA121" s="519">
        <f ca="1"/>
        <v>0</v>
      </c>
      <c r="AB121" s="890">
        <f>IF(X121=0,0,         IF(OR(CCY="AUD",CCY="NZD",CCY="GBP"),X121,   _xll.qDateNext(X121,"-2b",,,IF(CCY="EUR","TGT","LON"))))</f>
        <v>0</v>
      </c>
      <c r="AC121" s="879" t="str">
        <v/>
      </c>
      <c r="AD121" s="879" t="str">
        <v/>
      </c>
      <c r="AE121" s="879" t="str">
        <v/>
      </c>
      <c r="AF121" s="879" t="str">
        <v/>
      </c>
      <c r="AG121" s="879" t="str">
        <v/>
      </c>
      <c r="AH121" s="879" t="str">
        <v/>
      </c>
      <c r="AI121" s="879" t="str">
        <v/>
      </c>
      <c r="AJ121" s="879" t="str">
        <v/>
      </c>
      <c r="AK121" s="882">
        <f>IF($X121=0,0,      _xll.qDateNext($X121,AK$12,$AR$11,FRM&lt;&gt;"Calypso",CCY))</f>
        <v>0</v>
      </c>
      <c r="AL121" s="882">
        <f>IF($X121=0,0,      _xll.qDateNext($X121,AL$12,$AR$11,FRM&lt;&gt;"Calypso",CCY))</f>
        <v>0</v>
      </c>
      <c r="AM121" s="882">
        <f>IF($X121=0,0,      _xll.qDateNext($X121,AM$12,$AR$11,FRM&lt;&gt;"Calypso",CCY))</f>
        <v>0</v>
      </c>
      <c r="AN121" s="882">
        <f>IF($X121=0,0,      _xll.qDateNext($X121,AN$12,$AR$11,FRM&lt;&gt;"Calypso",CCY))</f>
        <v>0</v>
      </c>
      <c r="AO121" s="882">
        <f>IF($X121=0,0,      _xll.qDateNext($X121,AO$12,$AR$11,FRM&lt;&gt;"Calypso",CCY))</f>
        <v>0</v>
      </c>
      <c r="AP121" s="882">
        <f>IF($X121=0,0,      _xll.qDateNext($X121,AP$12,$AR$11,FRM&lt;&gt;"Calypso",CCY))</f>
        <v>0</v>
      </c>
      <c r="AQ121" s="882">
        <f>IF($X121=0,0,      _xll.qDateNext($X121,AQ$12,$AR$11,FRM&lt;&gt;"Calypso",CCY))</f>
        <v>0</v>
      </c>
      <c r="AR121" s="882">
        <f>IF($X121=0,0,      _xll.qDateNext($X121,AR$12,$AR$11,FRM&lt;&gt;"Calypso",CCY))</f>
        <v>0</v>
      </c>
      <c r="AS121" s="901">
        <f ca="1"/>
        <v>0</v>
      </c>
      <c r="AT121" s="901">
        <f ca="1"/>
        <v>0</v>
      </c>
      <c r="AU121" s="901">
        <f t="shared" si="28"/>
        <v>0</v>
      </c>
      <c r="AV121" s="901">
        <f ca="1"/>
        <v>0</v>
      </c>
      <c r="AW121" s="901">
        <f t="shared" si="29"/>
        <v>0</v>
      </c>
      <c r="AX121" s="901">
        <f t="shared" si="30"/>
        <v>0</v>
      </c>
      <c r="AY121" s="901">
        <f ca="1"/>
        <v>0</v>
      </c>
      <c r="AZ121" s="901">
        <f ca="1"/>
        <v>0</v>
      </c>
      <c r="BA121" s="905">
        <f t="shared" si="19"/>
        <v>0</v>
      </c>
      <c r="BB121" s="905">
        <f t="shared" si="20"/>
        <v>0</v>
      </c>
      <c r="BC121" s="905">
        <f t="shared" si="21"/>
        <v>0</v>
      </c>
      <c r="BD121" s="905">
        <f t="shared" si="22"/>
        <v>0</v>
      </c>
      <c r="BE121" s="905">
        <f t="shared" si="23"/>
        <v>0</v>
      </c>
      <c r="BF121" s="905">
        <f t="shared" si="24"/>
        <v>0</v>
      </c>
      <c r="BG121" s="905">
        <f t="shared" si="25"/>
        <v>0</v>
      </c>
      <c r="BH121" s="905">
        <f t="shared" si="26"/>
        <v>0</v>
      </c>
      <c r="BI121" s="713">
        <v>0</v>
      </c>
      <c r="BJ121" s="695"/>
      <c r="BK121" s="752">
        <f>IF(X122=0,0,           IF(ISNUMBER(BJ121),BJ121,               IF(ISTEXT(BJ121),INDEX(BA121:BH121,MATCH(BJ121,$BA$12:$BH$12,0)),             IF(BI121="INT",_xll.qInterp(X122,AK121:AR121,BA121:BH121),            INDEX(BA121:BH121,MATCH(BI121,$BA$12:$BH$12,0))))))</f>
        <v>0</v>
      </c>
      <c r="BL121" s="389">
        <f t="shared" si="31"/>
        <v>0</v>
      </c>
      <c r="BM121" s="394">
        <f t="shared" si="32"/>
        <v>0</v>
      </c>
      <c r="BN121" s="389">
        <f t="shared" si="33"/>
        <v>0</v>
      </c>
    </row>
    <row r="122" spans="16:66">
      <c r="P122" s="714">
        <v>0</v>
      </c>
      <c r="Q122" s="715">
        <f t="shared" si="17"/>
        <v>0</v>
      </c>
      <c r="R122" s="712">
        <f>IF(P123,_xll.qDateYears(P122,P123,DCCfixed),0)</f>
        <v>0</v>
      </c>
      <c r="S122" s="519">
        <f ca="1"/>
        <v>0</v>
      </c>
      <c r="T122" s="720"/>
      <c r="U122" s="390">
        <f t="shared" si="27"/>
        <v>0</v>
      </c>
      <c r="X122" s="345">
        <v>0</v>
      </c>
      <c r="Y122" s="711">
        <f t="shared" si="18"/>
        <v>0</v>
      </c>
      <c r="Z122" s="712">
        <f>IF(X123,_xll.qDateYears(X122,X123,DCCfloat),0)</f>
        <v>0</v>
      </c>
      <c r="AA122" s="519">
        <f ca="1"/>
        <v>0</v>
      </c>
      <c r="AB122" s="890">
        <f>IF(X122=0,0,         IF(OR(CCY="AUD",CCY="NZD",CCY="GBP"),X122,   _xll.qDateNext(X122,"-2b",,,IF(CCY="EUR","TGT","LON"))))</f>
        <v>0</v>
      </c>
      <c r="AC122" s="879" t="str">
        <v/>
      </c>
      <c r="AD122" s="879" t="str">
        <v/>
      </c>
      <c r="AE122" s="879" t="str">
        <v/>
      </c>
      <c r="AF122" s="879" t="str">
        <v/>
      </c>
      <c r="AG122" s="879" t="str">
        <v/>
      </c>
      <c r="AH122" s="879" t="str">
        <v/>
      </c>
      <c r="AI122" s="879" t="str">
        <v/>
      </c>
      <c r="AJ122" s="879" t="str">
        <v/>
      </c>
      <c r="AK122" s="882">
        <f>IF($X122=0,0,      _xll.qDateNext($X122,AK$12,$AR$11,FRM&lt;&gt;"Calypso",CCY))</f>
        <v>0</v>
      </c>
      <c r="AL122" s="882">
        <f>IF($X122=0,0,      _xll.qDateNext($X122,AL$12,$AR$11,FRM&lt;&gt;"Calypso",CCY))</f>
        <v>0</v>
      </c>
      <c r="AM122" s="882">
        <f>IF($X122=0,0,      _xll.qDateNext($X122,AM$12,$AR$11,FRM&lt;&gt;"Calypso",CCY))</f>
        <v>0</v>
      </c>
      <c r="AN122" s="882">
        <f>IF($X122=0,0,      _xll.qDateNext($X122,AN$12,$AR$11,FRM&lt;&gt;"Calypso",CCY))</f>
        <v>0</v>
      </c>
      <c r="AO122" s="882">
        <f>IF($X122=0,0,      _xll.qDateNext($X122,AO$12,$AR$11,FRM&lt;&gt;"Calypso",CCY))</f>
        <v>0</v>
      </c>
      <c r="AP122" s="882">
        <f>IF($X122=0,0,      _xll.qDateNext($X122,AP$12,$AR$11,FRM&lt;&gt;"Calypso",CCY))</f>
        <v>0</v>
      </c>
      <c r="AQ122" s="882">
        <f>IF($X122=0,0,      _xll.qDateNext($X122,AQ$12,$AR$11,FRM&lt;&gt;"Calypso",CCY))</f>
        <v>0</v>
      </c>
      <c r="AR122" s="882">
        <f>IF($X122=0,0,      _xll.qDateNext($X122,AR$12,$AR$11,FRM&lt;&gt;"Calypso",CCY))</f>
        <v>0</v>
      </c>
      <c r="AS122" s="901">
        <f ca="1"/>
        <v>0</v>
      </c>
      <c r="AT122" s="901">
        <f ca="1"/>
        <v>0</v>
      </c>
      <c r="AU122" s="901">
        <f t="shared" si="28"/>
        <v>0</v>
      </c>
      <c r="AV122" s="901">
        <f ca="1"/>
        <v>0</v>
      </c>
      <c r="AW122" s="901">
        <f t="shared" si="29"/>
        <v>0</v>
      </c>
      <c r="AX122" s="901">
        <f t="shared" si="30"/>
        <v>0</v>
      </c>
      <c r="AY122" s="901">
        <f ca="1"/>
        <v>0</v>
      </c>
      <c r="AZ122" s="901">
        <f ca="1"/>
        <v>0</v>
      </c>
      <c r="BA122" s="905">
        <f t="shared" si="19"/>
        <v>0</v>
      </c>
      <c r="BB122" s="905">
        <f t="shared" si="20"/>
        <v>0</v>
      </c>
      <c r="BC122" s="905">
        <f t="shared" si="21"/>
        <v>0</v>
      </c>
      <c r="BD122" s="905">
        <f t="shared" si="22"/>
        <v>0</v>
      </c>
      <c r="BE122" s="905">
        <f t="shared" si="23"/>
        <v>0</v>
      </c>
      <c r="BF122" s="905">
        <f t="shared" si="24"/>
        <v>0</v>
      </c>
      <c r="BG122" s="905">
        <f t="shared" si="25"/>
        <v>0</v>
      </c>
      <c r="BH122" s="905">
        <f t="shared" si="26"/>
        <v>0</v>
      </c>
      <c r="BI122" s="713">
        <v>0</v>
      </c>
      <c r="BJ122" s="695"/>
      <c r="BK122" s="752">
        <f>IF(X123=0,0,           IF(ISNUMBER(BJ122),BJ122,               IF(ISTEXT(BJ122),INDEX(BA122:BH122,MATCH(BJ122,$BA$12:$BH$12,0)),             IF(BI122="INT",_xll.qInterp(X123,AK122:AR122,BA122:BH122),            INDEX(BA122:BH122,MATCH(BI122,$BA$12:$BH$12,0))))))</f>
        <v>0</v>
      </c>
      <c r="BL122" s="389">
        <f t="shared" si="31"/>
        <v>0</v>
      </c>
      <c r="BM122" s="394">
        <f t="shared" si="32"/>
        <v>0</v>
      </c>
      <c r="BN122" s="389">
        <f t="shared" si="33"/>
        <v>0</v>
      </c>
    </row>
    <row r="123" spans="16:66">
      <c r="P123" s="714">
        <v>0</v>
      </c>
      <c r="Q123" s="715">
        <f t="shared" si="17"/>
        <v>0</v>
      </c>
      <c r="R123" s="712">
        <f>IF(P124,_xll.qDateYears(P123,P124,DCCfixed),0)</f>
        <v>0</v>
      </c>
      <c r="S123" s="519">
        <f ca="1"/>
        <v>0</v>
      </c>
      <c r="T123" s="720"/>
      <c r="U123" s="390">
        <f t="shared" si="27"/>
        <v>0</v>
      </c>
      <c r="X123" s="345">
        <v>0</v>
      </c>
      <c r="Y123" s="711">
        <f t="shared" si="18"/>
        <v>0</v>
      </c>
      <c r="Z123" s="712">
        <f>IF(X124,_xll.qDateYears(X123,X124,DCCfloat),0)</f>
        <v>0</v>
      </c>
      <c r="AA123" s="519">
        <f ca="1"/>
        <v>0</v>
      </c>
      <c r="AB123" s="890">
        <f>IF(X123=0,0,         IF(OR(CCY="AUD",CCY="NZD",CCY="GBP"),X123,   _xll.qDateNext(X123,"-2b",,,IF(CCY="EUR","TGT","LON"))))</f>
        <v>0</v>
      </c>
      <c r="AC123" s="879" t="str">
        <v/>
      </c>
      <c r="AD123" s="879" t="str">
        <v/>
      </c>
      <c r="AE123" s="879" t="str">
        <v/>
      </c>
      <c r="AF123" s="879" t="str">
        <v/>
      </c>
      <c r="AG123" s="879" t="str">
        <v/>
      </c>
      <c r="AH123" s="879" t="str">
        <v/>
      </c>
      <c r="AI123" s="879" t="str">
        <v/>
      </c>
      <c r="AJ123" s="879" t="str">
        <v/>
      </c>
      <c r="AK123" s="882">
        <f>IF($X123=0,0,      _xll.qDateNext($X123,AK$12,$AR$11,FRM&lt;&gt;"Calypso",CCY))</f>
        <v>0</v>
      </c>
      <c r="AL123" s="882">
        <f>IF($X123=0,0,      _xll.qDateNext($X123,AL$12,$AR$11,FRM&lt;&gt;"Calypso",CCY))</f>
        <v>0</v>
      </c>
      <c r="AM123" s="882">
        <f>IF($X123=0,0,      _xll.qDateNext($X123,AM$12,$AR$11,FRM&lt;&gt;"Calypso",CCY))</f>
        <v>0</v>
      </c>
      <c r="AN123" s="882">
        <f>IF($X123=0,0,      _xll.qDateNext($X123,AN$12,$AR$11,FRM&lt;&gt;"Calypso",CCY))</f>
        <v>0</v>
      </c>
      <c r="AO123" s="882">
        <f>IF($X123=0,0,      _xll.qDateNext($X123,AO$12,$AR$11,FRM&lt;&gt;"Calypso",CCY))</f>
        <v>0</v>
      </c>
      <c r="AP123" s="882">
        <f>IF($X123=0,0,      _xll.qDateNext($X123,AP$12,$AR$11,FRM&lt;&gt;"Calypso",CCY))</f>
        <v>0</v>
      </c>
      <c r="AQ123" s="882">
        <f>IF($X123=0,0,      _xll.qDateNext($X123,AQ$12,$AR$11,FRM&lt;&gt;"Calypso",CCY))</f>
        <v>0</v>
      </c>
      <c r="AR123" s="882">
        <f>IF($X123=0,0,      _xll.qDateNext($X123,AR$12,$AR$11,FRM&lt;&gt;"Calypso",CCY))</f>
        <v>0</v>
      </c>
      <c r="AS123" s="901">
        <f ca="1"/>
        <v>0</v>
      </c>
      <c r="AT123" s="901">
        <f ca="1"/>
        <v>0</v>
      </c>
      <c r="AU123" s="901">
        <f t="shared" si="28"/>
        <v>0</v>
      </c>
      <c r="AV123" s="901">
        <f ca="1"/>
        <v>0</v>
      </c>
      <c r="AW123" s="901">
        <f t="shared" si="29"/>
        <v>0</v>
      </c>
      <c r="AX123" s="901">
        <f t="shared" si="30"/>
        <v>0</v>
      </c>
      <c r="AY123" s="901">
        <f ca="1"/>
        <v>0</v>
      </c>
      <c r="AZ123" s="901">
        <f ca="1"/>
        <v>0</v>
      </c>
      <c r="BA123" s="905">
        <f t="shared" si="19"/>
        <v>0</v>
      </c>
      <c r="BB123" s="905">
        <f t="shared" si="20"/>
        <v>0</v>
      </c>
      <c r="BC123" s="905">
        <f t="shared" si="21"/>
        <v>0</v>
      </c>
      <c r="BD123" s="905">
        <f t="shared" si="22"/>
        <v>0</v>
      </c>
      <c r="BE123" s="905">
        <f t="shared" si="23"/>
        <v>0</v>
      </c>
      <c r="BF123" s="905">
        <f t="shared" si="24"/>
        <v>0</v>
      </c>
      <c r="BG123" s="905">
        <f t="shared" si="25"/>
        <v>0</v>
      </c>
      <c r="BH123" s="905">
        <f t="shared" si="26"/>
        <v>0</v>
      </c>
      <c r="BI123" s="713">
        <v>0</v>
      </c>
      <c r="BJ123" s="695"/>
      <c r="BK123" s="752">
        <f>IF(X124=0,0,           IF(ISNUMBER(BJ123),BJ123,               IF(ISTEXT(BJ123),INDEX(BA123:BH123,MATCH(BJ123,$BA$12:$BH$12,0)),             IF(BI123="INT",_xll.qInterp(X124,AK123:AR123,BA123:BH123),            INDEX(BA123:BH123,MATCH(BI123,$BA$12:$BH$12,0))))))</f>
        <v>0</v>
      </c>
      <c r="BL123" s="389">
        <f t="shared" si="31"/>
        <v>0</v>
      </c>
      <c r="BM123" s="394">
        <f t="shared" si="32"/>
        <v>0</v>
      </c>
      <c r="BN123" s="389">
        <f t="shared" si="33"/>
        <v>0</v>
      </c>
    </row>
    <row r="124" spans="16:66">
      <c r="P124" s="714">
        <v>0</v>
      </c>
      <c r="Q124" s="715">
        <f t="shared" si="17"/>
        <v>0</v>
      </c>
      <c r="R124" s="712">
        <f>IF(P125,_xll.qDateYears(P124,P125,DCCfixed),0)</f>
        <v>0</v>
      </c>
      <c r="S124" s="519">
        <f ca="1"/>
        <v>0</v>
      </c>
      <c r="T124" s="720"/>
      <c r="U124" s="390">
        <f t="shared" si="27"/>
        <v>0</v>
      </c>
      <c r="X124" s="345">
        <v>0</v>
      </c>
      <c r="Y124" s="711">
        <f t="shared" si="18"/>
        <v>0</v>
      </c>
      <c r="Z124" s="712">
        <f>IF(X125,_xll.qDateYears(X124,X125,DCCfloat),0)</f>
        <v>0</v>
      </c>
      <c r="AA124" s="519">
        <f ca="1"/>
        <v>0</v>
      </c>
      <c r="AB124" s="890">
        <f>IF(X124=0,0,         IF(OR(CCY="AUD",CCY="NZD",CCY="GBP"),X124,   _xll.qDateNext(X124,"-2b",,,IF(CCY="EUR","TGT","LON"))))</f>
        <v>0</v>
      </c>
      <c r="AC124" s="879" t="str">
        <v/>
      </c>
      <c r="AD124" s="879" t="str">
        <v/>
      </c>
      <c r="AE124" s="879" t="str">
        <v/>
      </c>
      <c r="AF124" s="879" t="str">
        <v/>
      </c>
      <c r="AG124" s="879" t="str">
        <v/>
      </c>
      <c r="AH124" s="879" t="str">
        <v/>
      </c>
      <c r="AI124" s="879" t="str">
        <v/>
      </c>
      <c r="AJ124" s="879" t="str">
        <v/>
      </c>
      <c r="AK124" s="882">
        <f>IF($X124=0,0,      _xll.qDateNext($X124,AK$12,$AR$11,FRM&lt;&gt;"Calypso",CCY))</f>
        <v>0</v>
      </c>
      <c r="AL124" s="882">
        <f>IF($X124=0,0,      _xll.qDateNext($X124,AL$12,$AR$11,FRM&lt;&gt;"Calypso",CCY))</f>
        <v>0</v>
      </c>
      <c r="AM124" s="882">
        <f>IF($X124=0,0,      _xll.qDateNext($X124,AM$12,$AR$11,FRM&lt;&gt;"Calypso",CCY))</f>
        <v>0</v>
      </c>
      <c r="AN124" s="882">
        <f>IF($X124=0,0,      _xll.qDateNext($X124,AN$12,$AR$11,FRM&lt;&gt;"Calypso",CCY))</f>
        <v>0</v>
      </c>
      <c r="AO124" s="882">
        <f>IF($X124=0,0,      _xll.qDateNext($X124,AO$12,$AR$11,FRM&lt;&gt;"Calypso",CCY))</f>
        <v>0</v>
      </c>
      <c r="AP124" s="882">
        <f>IF($X124=0,0,      _xll.qDateNext($X124,AP$12,$AR$11,FRM&lt;&gt;"Calypso",CCY))</f>
        <v>0</v>
      </c>
      <c r="AQ124" s="882">
        <f>IF($X124=0,0,      _xll.qDateNext($X124,AQ$12,$AR$11,FRM&lt;&gt;"Calypso",CCY))</f>
        <v>0</v>
      </c>
      <c r="AR124" s="882">
        <f>IF($X124=0,0,      _xll.qDateNext($X124,AR$12,$AR$11,FRM&lt;&gt;"Calypso",CCY))</f>
        <v>0</v>
      </c>
      <c r="AS124" s="901">
        <f ca="1"/>
        <v>0</v>
      </c>
      <c r="AT124" s="901">
        <f ca="1"/>
        <v>0</v>
      </c>
      <c r="AU124" s="901">
        <f t="shared" si="28"/>
        <v>0</v>
      </c>
      <c r="AV124" s="901">
        <f ca="1"/>
        <v>0</v>
      </c>
      <c r="AW124" s="901">
        <f t="shared" si="29"/>
        <v>0</v>
      </c>
      <c r="AX124" s="901">
        <f t="shared" si="30"/>
        <v>0</v>
      </c>
      <c r="AY124" s="901">
        <f ca="1"/>
        <v>0</v>
      </c>
      <c r="AZ124" s="901">
        <f ca="1"/>
        <v>0</v>
      </c>
      <c r="BA124" s="905">
        <f t="shared" si="19"/>
        <v>0</v>
      </c>
      <c r="BB124" s="905">
        <f t="shared" si="20"/>
        <v>0</v>
      </c>
      <c r="BC124" s="905">
        <f t="shared" si="21"/>
        <v>0</v>
      </c>
      <c r="BD124" s="905">
        <f t="shared" si="22"/>
        <v>0</v>
      </c>
      <c r="BE124" s="905">
        <f t="shared" si="23"/>
        <v>0</v>
      </c>
      <c r="BF124" s="905">
        <f t="shared" si="24"/>
        <v>0</v>
      </c>
      <c r="BG124" s="905">
        <f t="shared" si="25"/>
        <v>0</v>
      </c>
      <c r="BH124" s="905">
        <f t="shared" si="26"/>
        <v>0</v>
      </c>
      <c r="BI124" s="713">
        <v>0</v>
      </c>
      <c r="BJ124" s="695"/>
      <c r="BK124" s="752">
        <f>IF(X125=0,0,           IF(ISNUMBER(BJ124),BJ124,               IF(ISTEXT(BJ124),INDEX(BA124:BH124,MATCH(BJ124,$BA$12:$BH$12,0)),             IF(BI124="INT",_xll.qInterp(X125,AK124:AR124,BA124:BH124),            INDEX(BA124:BH124,MATCH(BI124,$BA$12:$BH$12,0))))))</f>
        <v>0</v>
      </c>
      <c r="BL124" s="389">
        <f t="shared" si="31"/>
        <v>0</v>
      </c>
      <c r="BM124" s="394">
        <f t="shared" si="32"/>
        <v>0</v>
      </c>
      <c r="BN124" s="389">
        <f t="shared" si="33"/>
        <v>0</v>
      </c>
    </row>
    <row r="125" spans="16:66">
      <c r="P125" s="714">
        <v>0</v>
      </c>
      <c r="Q125" s="715">
        <f t="shared" si="17"/>
        <v>0</v>
      </c>
      <c r="R125" s="712">
        <f>IF(P126,_xll.qDateYears(P125,P126,DCCfixed),0)</f>
        <v>0</v>
      </c>
      <c r="S125" s="519">
        <f ca="1"/>
        <v>0</v>
      </c>
      <c r="T125" s="720"/>
      <c r="U125" s="390">
        <f t="shared" si="27"/>
        <v>0</v>
      </c>
      <c r="X125" s="345">
        <v>0</v>
      </c>
      <c r="Y125" s="711">
        <f t="shared" si="18"/>
        <v>0</v>
      </c>
      <c r="Z125" s="712">
        <f>IF(X126,_xll.qDateYears(X125,X126,DCCfloat),0)</f>
        <v>0</v>
      </c>
      <c r="AA125" s="519">
        <f ca="1"/>
        <v>0</v>
      </c>
      <c r="AB125" s="890">
        <f>IF(X125=0,0,         IF(OR(CCY="AUD",CCY="NZD",CCY="GBP"),X125,   _xll.qDateNext(X125,"-2b",,,IF(CCY="EUR","TGT","LON"))))</f>
        <v>0</v>
      </c>
      <c r="AC125" s="879" t="str">
        <v/>
      </c>
      <c r="AD125" s="879" t="str">
        <v/>
      </c>
      <c r="AE125" s="879" t="str">
        <v/>
      </c>
      <c r="AF125" s="879" t="str">
        <v/>
      </c>
      <c r="AG125" s="879" t="str">
        <v/>
      </c>
      <c r="AH125" s="879" t="str">
        <v/>
      </c>
      <c r="AI125" s="879" t="str">
        <v/>
      </c>
      <c r="AJ125" s="879" t="str">
        <v/>
      </c>
      <c r="AK125" s="882">
        <f>IF($X125=0,0,      _xll.qDateNext($X125,AK$12,$AR$11,FRM&lt;&gt;"Calypso",CCY))</f>
        <v>0</v>
      </c>
      <c r="AL125" s="882">
        <f>IF($X125=0,0,      _xll.qDateNext($X125,AL$12,$AR$11,FRM&lt;&gt;"Calypso",CCY))</f>
        <v>0</v>
      </c>
      <c r="AM125" s="882">
        <f>IF($X125=0,0,      _xll.qDateNext($X125,AM$12,$AR$11,FRM&lt;&gt;"Calypso",CCY))</f>
        <v>0</v>
      </c>
      <c r="AN125" s="882">
        <f>IF($X125=0,0,      _xll.qDateNext($X125,AN$12,$AR$11,FRM&lt;&gt;"Calypso",CCY))</f>
        <v>0</v>
      </c>
      <c r="AO125" s="882">
        <f>IF($X125=0,0,      _xll.qDateNext($X125,AO$12,$AR$11,FRM&lt;&gt;"Calypso",CCY))</f>
        <v>0</v>
      </c>
      <c r="AP125" s="882">
        <f>IF($X125=0,0,      _xll.qDateNext($X125,AP$12,$AR$11,FRM&lt;&gt;"Calypso",CCY))</f>
        <v>0</v>
      </c>
      <c r="AQ125" s="882">
        <f>IF($X125=0,0,      _xll.qDateNext($X125,AQ$12,$AR$11,FRM&lt;&gt;"Calypso",CCY))</f>
        <v>0</v>
      </c>
      <c r="AR125" s="882">
        <f>IF($X125=0,0,      _xll.qDateNext($X125,AR$12,$AR$11,FRM&lt;&gt;"Calypso",CCY))</f>
        <v>0</v>
      </c>
      <c r="AS125" s="901">
        <f ca="1"/>
        <v>0</v>
      </c>
      <c r="AT125" s="901">
        <f ca="1"/>
        <v>0</v>
      </c>
      <c r="AU125" s="901">
        <f t="shared" si="28"/>
        <v>0</v>
      </c>
      <c r="AV125" s="901">
        <f ca="1"/>
        <v>0</v>
      </c>
      <c r="AW125" s="901">
        <f t="shared" si="29"/>
        <v>0</v>
      </c>
      <c r="AX125" s="901">
        <f t="shared" si="30"/>
        <v>0</v>
      </c>
      <c r="AY125" s="901">
        <f ca="1"/>
        <v>0</v>
      </c>
      <c r="AZ125" s="901">
        <f ca="1"/>
        <v>0</v>
      </c>
      <c r="BA125" s="905">
        <f t="shared" si="19"/>
        <v>0</v>
      </c>
      <c r="BB125" s="905">
        <f t="shared" si="20"/>
        <v>0</v>
      </c>
      <c r="BC125" s="905">
        <f t="shared" si="21"/>
        <v>0</v>
      </c>
      <c r="BD125" s="905">
        <f t="shared" si="22"/>
        <v>0</v>
      </c>
      <c r="BE125" s="905">
        <f t="shared" si="23"/>
        <v>0</v>
      </c>
      <c r="BF125" s="905">
        <f t="shared" si="24"/>
        <v>0</v>
      </c>
      <c r="BG125" s="905">
        <f t="shared" si="25"/>
        <v>0</v>
      </c>
      <c r="BH125" s="905">
        <f t="shared" si="26"/>
        <v>0</v>
      </c>
      <c r="BI125" s="713">
        <v>0</v>
      </c>
      <c r="BJ125" s="695"/>
      <c r="BK125" s="752">
        <f>IF(X126=0,0,           IF(ISNUMBER(BJ125),BJ125,               IF(ISTEXT(BJ125),INDEX(BA125:BH125,MATCH(BJ125,$BA$12:$BH$12,0)),             IF(BI125="INT",_xll.qInterp(X126,AK125:AR125,BA125:BH125),            INDEX(BA125:BH125,MATCH(BI125,$BA$12:$BH$12,0))))))</f>
        <v>0</v>
      </c>
      <c r="BL125" s="389">
        <f t="shared" si="31"/>
        <v>0</v>
      </c>
      <c r="BM125" s="394">
        <f t="shared" si="32"/>
        <v>0</v>
      </c>
      <c r="BN125" s="389">
        <f t="shared" si="33"/>
        <v>0</v>
      </c>
    </row>
    <row r="126" spans="16:66">
      <c r="P126" s="714">
        <v>0</v>
      </c>
      <c r="Q126" s="715">
        <f t="shared" si="17"/>
        <v>0</v>
      </c>
      <c r="R126" s="712">
        <f>IF(P127,_xll.qDateYears(P126,P127,DCCfixed),0)</f>
        <v>0</v>
      </c>
      <c r="S126" s="519">
        <f ca="1"/>
        <v>0</v>
      </c>
      <c r="T126" s="720"/>
      <c r="U126" s="390">
        <f t="shared" si="27"/>
        <v>0</v>
      </c>
      <c r="X126" s="345">
        <v>0</v>
      </c>
      <c r="Y126" s="711">
        <f t="shared" si="18"/>
        <v>0</v>
      </c>
      <c r="Z126" s="712">
        <f>IF(X127,_xll.qDateYears(X126,X127,DCCfloat),0)</f>
        <v>0</v>
      </c>
      <c r="AA126" s="519">
        <f ca="1"/>
        <v>0</v>
      </c>
      <c r="AB126" s="890">
        <f>IF(X126=0,0,         IF(OR(CCY="AUD",CCY="NZD",CCY="GBP"),X126,   _xll.qDateNext(X126,"-2b",,,IF(CCY="EUR","TGT","LON"))))</f>
        <v>0</v>
      </c>
      <c r="AC126" s="879" t="str">
        <v/>
      </c>
      <c r="AD126" s="879" t="str">
        <v/>
      </c>
      <c r="AE126" s="879" t="str">
        <v/>
      </c>
      <c r="AF126" s="879" t="str">
        <v/>
      </c>
      <c r="AG126" s="879" t="str">
        <v/>
      </c>
      <c r="AH126" s="879" t="str">
        <v/>
      </c>
      <c r="AI126" s="879" t="str">
        <v/>
      </c>
      <c r="AJ126" s="879" t="str">
        <v/>
      </c>
      <c r="AK126" s="882">
        <f>IF($X126=0,0,      _xll.qDateNext($X126,AK$12,$AR$11,FRM&lt;&gt;"Calypso",CCY))</f>
        <v>0</v>
      </c>
      <c r="AL126" s="882">
        <f>IF($X126=0,0,      _xll.qDateNext($X126,AL$12,$AR$11,FRM&lt;&gt;"Calypso",CCY))</f>
        <v>0</v>
      </c>
      <c r="AM126" s="882">
        <f>IF($X126=0,0,      _xll.qDateNext($X126,AM$12,$AR$11,FRM&lt;&gt;"Calypso",CCY))</f>
        <v>0</v>
      </c>
      <c r="AN126" s="882">
        <f>IF($X126=0,0,      _xll.qDateNext($X126,AN$12,$AR$11,FRM&lt;&gt;"Calypso",CCY))</f>
        <v>0</v>
      </c>
      <c r="AO126" s="882">
        <f>IF($X126=0,0,      _xll.qDateNext($X126,AO$12,$AR$11,FRM&lt;&gt;"Calypso",CCY))</f>
        <v>0</v>
      </c>
      <c r="AP126" s="882">
        <f>IF($X126=0,0,      _xll.qDateNext($X126,AP$12,$AR$11,FRM&lt;&gt;"Calypso",CCY))</f>
        <v>0</v>
      </c>
      <c r="AQ126" s="882">
        <f>IF($X126=0,0,      _xll.qDateNext($X126,AQ$12,$AR$11,FRM&lt;&gt;"Calypso",CCY))</f>
        <v>0</v>
      </c>
      <c r="AR126" s="882">
        <f>IF($X126=0,0,      _xll.qDateNext($X126,AR$12,$AR$11,FRM&lt;&gt;"Calypso",CCY))</f>
        <v>0</v>
      </c>
      <c r="AS126" s="901">
        <f ca="1"/>
        <v>0</v>
      </c>
      <c r="AT126" s="901">
        <f ca="1"/>
        <v>0</v>
      </c>
      <c r="AU126" s="901">
        <f t="shared" si="28"/>
        <v>0</v>
      </c>
      <c r="AV126" s="901">
        <f ca="1"/>
        <v>0</v>
      </c>
      <c r="AW126" s="901">
        <f t="shared" si="29"/>
        <v>0</v>
      </c>
      <c r="AX126" s="901">
        <f t="shared" si="30"/>
        <v>0</v>
      </c>
      <c r="AY126" s="901">
        <f ca="1"/>
        <v>0</v>
      </c>
      <c r="AZ126" s="901">
        <f ca="1"/>
        <v>0</v>
      </c>
      <c r="BA126" s="905">
        <f t="shared" si="19"/>
        <v>0</v>
      </c>
      <c r="BB126" s="905">
        <f t="shared" si="20"/>
        <v>0</v>
      </c>
      <c r="BC126" s="905">
        <f t="shared" si="21"/>
        <v>0</v>
      </c>
      <c r="BD126" s="905">
        <f t="shared" si="22"/>
        <v>0</v>
      </c>
      <c r="BE126" s="905">
        <f t="shared" si="23"/>
        <v>0</v>
      </c>
      <c r="BF126" s="905">
        <f t="shared" si="24"/>
        <v>0</v>
      </c>
      <c r="BG126" s="905">
        <f t="shared" si="25"/>
        <v>0</v>
      </c>
      <c r="BH126" s="905">
        <f t="shared" si="26"/>
        <v>0</v>
      </c>
      <c r="BI126" s="713">
        <v>0</v>
      </c>
      <c r="BJ126" s="695"/>
      <c r="BK126" s="752">
        <f>IF(X127=0,0,           IF(ISNUMBER(BJ126),BJ126,               IF(ISTEXT(BJ126),INDEX(BA126:BH126,MATCH(BJ126,$BA$12:$BH$12,0)),             IF(BI126="INT",_xll.qInterp(X127,AK126:AR126,BA126:BH126),            INDEX(BA126:BH126,MATCH(BI126,$BA$12:$BH$12,0))))))</f>
        <v>0</v>
      </c>
      <c r="BL126" s="389">
        <f t="shared" si="31"/>
        <v>0</v>
      </c>
      <c r="BM126" s="394">
        <f t="shared" si="32"/>
        <v>0</v>
      </c>
      <c r="BN126" s="389">
        <f t="shared" si="33"/>
        <v>0</v>
      </c>
    </row>
    <row r="127" spans="16:66">
      <c r="P127" s="714">
        <v>0</v>
      </c>
      <c r="Q127" s="715">
        <f t="shared" si="17"/>
        <v>0</v>
      </c>
      <c r="R127" s="712">
        <f>IF(P128,_xll.qDateYears(P127,P128,DCCfixed),0)</f>
        <v>0</v>
      </c>
      <c r="S127" s="519">
        <f ca="1"/>
        <v>0</v>
      </c>
      <c r="T127" s="720"/>
      <c r="U127" s="390">
        <f t="shared" si="27"/>
        <v>0</v>
      </c>
      <c r="X127" s="345">
        <v>0</v>
      </c>
      <c r="Y127" s="711">
        <f t="shared" si="18"/>
        <v>0</v>
      </c>
      <c r="Z127" s="712">
        <f>IF(X128,_xll.qDateYears(X127,X128,DCCfloat),0)</f>
        <v>0</v>
      </c>
      <c r="AA127" s="519">
        <f ca="1"/>
        <v>0</v>
      </c>
      <c r="AB127" s="890">
        <f>IF(X127=0,0,         IF(OR(CCY="AUD",CCY="NZD",CCY="GBP"),X127,   _xll.qDateNext(X127,"-2b",,,IF(CCY="EUR","TGT","LON"))))</f>
        <v>0</v>
      </c>
      <c r="AC127" s="879" t="str">
        <v/>
      </c>
      <c r="AD127" s="879" t="str">
        <v/>
      </c>
      <c r="AE127" s="879" t="str">
        <v/>
      </c>
      <c r="AF127" s="879" t="str">
        <v/>
      </c>
      <c r="AG127" s="879" t="str">
        <v/>
      </c>
      <c r="AH127" s="879" t="str">
        <v/>
      </c>
      <c r="AI127" s="879" t="str">
        <v/>
      </c>
      <c r="AJ127" s="879" t="str">
        <v/>
      </c>
      <c r="AK127" s="882">
        <f>IF($X127=0,0,      _xll.qDateNext($X127,AK$12,$AR$11,FRM&lt;&gt;"Calypso",CCY))</f>
        <v>0</v>
      </c>
      <c r="AL127" s="882">
        <f>IF($X127=0,0,      _xll.qDateNext($X127,AL$12,$AR$11,FRM&lt;&gt;"Calypso",CCY))</f>
        <v>0</v>
      </c>
      <c r="AM127" s="882">
        <f>IF($X127=0,0,      _xll.qDateNext($X127,AM$12,$AR$11,FRM&lt;&gt;"Calypso",CCY))</f>
        <v>0</v>
      </c>
      <c r="AN127" s="882">
        <f>IF($X127=0,0,      _xll.qDateNext($X127,AN$12,$AR$11,FRM&lt;&gt;"Calypso",CCY))</f>
        <v>0</v>
      </c>
      <c r="AO127" s="882">
        <f>IF($X127=0,0,      _xll.qDateNext($X127,AO$12,$AR$11,FRM&lt;&gt;"Calypso",CCY))</f>
        <v>0</v>
      </c>
      <c r="AP127" s="882">
        <f>IF($X127=0,0,      _xll.qDateNext($X127,AP$12,$AR$11,FRM&lt;&gt;"Calypso",CCY))</f>
        <v>0</v>
      </c>
      <c r="AQ127" s="882">
        <f>IF($X127=0,0,      _xll.qDateNext($X127,AQ$12,$AR$11,FRM&lt;&gt;"Calypso",CCY))</f>
        <v>0</v>
      </c>
      <c r="AR127" s="882">
        <f>IF($X127=0,0,      _xll.qDateNext($X127,AR$12,$AR$11,FRM&lt;&gt;"Calypso",CCY))</f>
        <v>0</v>
      </c>
      <c r="AS127" s="901">
        <f ca="1"/>
        <v>0</v>
      </c>
      <c r="AT127" s="901">
        <f ca="1"/>
        <v>0</v>
      </c>
      <c r="AU127" s="901">
        <f t="shared" si="28"/>
        <v>0</v>
      </c>
      <c r="AV127" s="901">
        <f ca="1"/>
        <v>0</v>
      </c>
      <c r="AW127" s="901">
        <f t="shared" si="29"/>
        <v>0</v>
      </c>
      <c r="AX127" s="901">
        <f t="shared" si="30"/>
        <v>0</v>
      </c>
      <c r="AY127" s="901">
        <f ca="1"/>
        <v>0</v>
      </c>
      <c r="AZ127" s="901">
        <f ca="1"/>
        <v>0</v>
      </c>
      <c r="BA127" s="905">
        <f t="shared" si="19"/>
        <v>0</v>
      </c>
      <c r="BB127" s="905">
        <f t="shared" si="20"/>
        <v>0</v>
      </c>
      <c r="BC127" s="905">
        <f t="shared" si="21"/>
        <v>0</v>
      </c>
      <c r="BD127" s="905">
        <f t="shared" si="22"/>
        <v>0</v>
      </c>
      <c r="BE127" s="905">
        <f t="shared" si="23"/>
        <v>0</v>
      </c>
      <c r="BF127" s="905">
        <f t="shared" si="24"/>
        <v>0</v>
      </c>
      <c r="BG127" s="905">
        <f t="shared" si="25"/>
        <v>0</v>
      </c>
      <c r="BH127" s="905">
        <f t="shared" si="26"/>
        <v>0</v>
      </c>
      <c r="BI127" s="713">
        <v>0</v>
      </c>
      <c r="BJ127" s="695"/>
      <c r="BK127" s="752">
        <f>IF(X128=0,0,           IF(ISNUMBER(BJ127),BJ127,               IF(ISTEXT(BJ127),INDEX(BA127:BH127,MATCH(BJ127,$BA$12:$BH$12,0)),             IF(BI127="INT",_xll.qInterp(X128,AK127:AR127,BA127:BH127),            INDEX(BA127:BH127,MATCH(BI127,$BA$12:$BH$12,0))))))</f>
        <v>0</v>
      </c>
      <c r="BL127" s="389">
        <f t="shared" si="31"/>
        <v>0</v>
      </c>
      <c r="BM127" s="394">
        <f t="shared" si="32"/>
        <v>0</v>
      </c>
      <c r="BN127" s="389">
        <f t="shared" si="33"/>
        <v>0</v>
      </c>
    </row>
    <row r="128" spans="16:66">
      <c r="P128" s="714">
        <v>0</v>
      </c>
      <c r="Q128" s="715">
        <f t="shared" si="17"/>
        <v>0</v>
      </c>
      <c r="R128" s="712">
        <f>IF(P129,_xll.qDateYears(P128,P129,DCCfixed),0)</f>
        <v>0</v>
      </c>
      <c r="S128" s="519">
        <f ca="1"/>
        <v>0</v>
      </c>
      <c r="T128" s="720"/>
      <c r="U128" s="390">
        <f t="shared" si="27"/>
        <v>0</v>
      </c>
      <c r="X128" s="345">
        <v>0</v>
      </c>
      <c r="Y128" s="711">
        <f t="shared" si="18"/>
        <v>0</v>
      </c>
      <c r="Z128" s="712">
        <f>IF(X129,_xll.qDateYears(X128,X129,DCCfloat),0)</f>
        <v>0</v>
      </c>
      <c r="AA128" s="519">
        <f ca="1"/>
        <v>0</v>
      </c>
      <c r="AB128" s="890">
        <f>IF(X128=0,0,         IF(OR(CCY="AUD",CCY="NZD",CCY="GBP"),X128,   _xll.qDateNext(X128,"-2b",,,IF(CCY="EUR","TGT","LON"))))</f>
        <v>0</v>
      </c>
      <c r="AC128" s="879" t="str">
        <v/>
      </c>
      <c r="AD128" s="879" t="str">
        <v/>
      </c>
      <c r="AE128" s="879" t="str">
        <v/>
      </c>
      <c r="AF128" s="879" t="str">
        <v/>
      </c>
      <c r="AG128" s="879" t="str">
        <v/>
      </c>
      <c r="AH128" s="879" t="str">
        <v/>
      </c>
      <c r="AI128" s="879" t="str">
        <v/>
      </c>
      <c r="AJ128" s="879" t="str">
        <v/>
      </c>
      <c r="AK128" s="882">
        <f>IF($X128=0,0,      _xll.qDateNext($X128,AK$12,$AR$11,FRM&lt;&gt;"Calypso",CCY))</f>
        <v>0</v>
      </c>
      <c r="AL128" s="882">
        <f>IF($X128=0,0,      _xll.qDateNext($X128,AL$12,$AR$11,FRM&lt;&gt;"Calypso",CCY))</f>
        <v>0</v>
      </c>
      <c r="AM128" s="882">
        <f>IF($X128=0,0,      _xll.qDateNext($X128,AM$12,$AR$11,FRM&lt;&gt;"Calypso",CCY))</f>
        <v>0</v>
      </c>
      <c r="AN128" s="882">
        <f>IF($X128=0,0,      _xll.qDateNext($X128,AN$12,$AR$11,FRM&lt;&gt;"Calypso",CCY))</f>
        <v>0</v>
      </c>
      <c r="AO128" s="882">
        <f>IF($X128=0,0,      _xll.qDateNext($X128,AO$12,$AR$11,FRM&lt;&gt;"Calypso",CCY))</f>
        <v>0</v>
      </c>
      <c r="AP128" s="882">
        <f>IF($X128=0,0,      _xll.qDateNext($X128,AP$12,$AR$11,FRM&lt;&gt;"Calypso",CCY))</f>
        <v>0</v>
      </c>
      <c r="AQ128" s="882">
        <f>IF($X128=0,0,      _xll.qDateNext($X128,AQ$12,$AR$11,FRM&lt;&gt;"Calypso",CCY))</f>
        <v>0</v>
      </c>
      <c r="AR128" s="882">
        <f>IF($X128=0,0,      _xll.qDateNext($X128,AR$12,$AR$11,FRM&lt;&gt;"Calypso",CCY))</f>
        <v>0</v>
      </c>
      <c r="AS128" s="901">
        <f ca="1"/>
        <v>0</v>
      </c>
      <c r="AT128" s="901">
        <f ca="1"/>
        <v>0</v>
      </c>
      <c r="AU128" s="901">
        <f t="shared" si="28"/>
        <v>0</v>
      </c>
      <c r="AV128" s="901">
        <f ca="1"/>
        <v>0</v>
      </c>
      <c r="AW128" s="901">
        <f t="shared" si="29"/>
        <v>0</v>
      </c>
      <c r="AX128" s="901">
        <f t="shared" si="30"/>
        <v>0</v>
      </c>
      <c r="AY128" s="901">
        <f ca="1"/>
        <v>0</v>
      </c>
      <c r="AZ128" s="901">
        <f ca="1"/>
        <v>0</v>
      </c>
      <c r="BA128" s="905">
        <f t="shared" si="19"/>
        <v>0</v>
      </c>
      <c r="BB128" s="905">
        <f t="shared" si="20"/>
        <v>0</v>
      </c>
      <c r="BC128" s="905">
        <f t="shared" si="21"/>
        <v>0</v>
      </c>
      <c r="BD128" s="905">
        <f t="shared" si="22"/>
        <v>0</v>
      </c>
      <c r="BE128" s="905">
        <f t="shared" si="23"/>
        <v>0</v>
      </c>
      <c r="BF128" s="905">
        <f t="shared" si="24"/>
        <v>0</v>
      </c>
      <c r="BG128" s="905">
        <f t="shared" si="25"/>
        <v>0</v>
      </c>
      <c r="BH128" s="905">
        <f t="shared" si="26"/>
        <v>0</v>
      </c>
      <c r="BI128" s="713">
        <v>0</v>
      </c>
      <c r="BJ128" s="695"/>
      <c r="BK128" s="752">
        <f>IF(X129=0,0,           IF(ISNUMBER(BJ128),BJ128,               IF(ISTEXT(BJ128),INDEX(BA128:BH128,MATCH(BJ128,$BA$12:$BH$12,0)),             IF(BI128="INT",_xll.qInterp(X129,AK128:AR128,BA128:BH128),            INDEX(BA128:BH128,MATCH(BI128,$BA$12:$BH$12,0))))))</f>
        <v>0</v>
      </c>
      <c r="BL128" s="389">
        <f t="shared" si="31"/>
        <v>0</v>
      </c>
      <c r="BM128" s="394">
        <f t="shared" si="32"/>
        <v>0</v>
      </c>
      <c r="BN128" s="389">
        <f t="shared" si="33"/>
        <v>0</v>
      </c>
    </row>
    <row r="129" spans="16:66">
      <c r="P129" s="714">
        <v>0</v>
      </c>
      <c r="Q129" s="715">
        <f t="shared" si="17"/>
        <v>0</v>
      </c>
      <c r="R129" s="712">
        <f>IF(P130,_xll.qDateYears(P129,P130,DCCfixed),0)</f>
        <v>0</v>
      </c>
      <c r="S129" s="519">
        <f ca="1"/>
        <v>0</v>
      </c>
      <c r="T129" s="720"/>
      <c r="U129" s="390">
        <f t="shared" si="27"/>
        <v>0</v>
      </c>
      <c r="X129" s="345">
        <v>0</v>
      </c>
      <c r="Y129" s="711">
        <f t="shared" si="18"/>
        <v>0</v>
      </c>
      <c r="Z129" s="712">
        <f>IF(X130,_xll.qDateYears(X129,X130,DCCfloat),0)</f>
        <v>0</v>
      </c>
      <c r="AA129" s="519">
        <f ca="1"/>
        <v>0</v>
      </c>
      <c r="AB129" s="890">
        <f>IF(X129=0,0,         IF(OR(CCY="AUD",CCY="NZD",CCY="GBP"),X129,   _xll.qDateNext(X129,"-2b",,,IF(CCY="EUR","TGT","LON"))))</f>
        <v>0</v>
      </c>
      <c r="AC129" s="879" t="str">
        <v/>
      </c>
      <c r="AD129" s="879" t="str">
        <v/>
      </c>
      <c r="AE129" s="879" t="str">
        <v/>
      </c>
      <c r="AF129" s="879" t="str">
        <v/>
      </c>
      <c r="AG129" s="879" t="str">
        <v/>
      </c>
      <c r="AH129" s="879" t="str">
        <v/>
      </c>
      <c r="AI129" s="879" t="str">
        <v/>
      </c>
      <c r="AJ129" s="879" t="str">
        <v/>
      </c>
      <c r="AK129" s="882">
        <f>IF($X129=0,0,      _xll.qDateNext($X129,AK$12,$AR$11,FRM&lt;&gt;"Calypso",CCY))</f>
        <v>0</v>
      </c>
      <c r="AL129" s="882">
        <f>IF($X129=0,0,      _xll.qDateNext($X129,AL$12,$AR$11,FRM&lt;&gt;"Calypso",CCY))</f>
        <v>0</v>
      </c>
      <c r="AM129" s="882">
        <f>IF($X129=0,0,      _xll.qDateNext($X129,AM$12,$AR$11,FRM&lt;&gt;"Calypso",CCY))</f>
        <v>0</v>
      </c>
      <c r="AN129" s="882">
        <f>IF($X129=0,0,      _xll.qDateNext($X129,AN$12,$AR$11,FRM&lt;&gt;"Calypso",CCY))</f>
        <v>0</v>
      </c>
      <c r="AO129" s="882">
        <f>IF($X129=0,0,      _xll.qDateNext($X129,AO$12,$AR$11,FRM&lt;&gt;"Calypso",CCY))</f>
        <v>0</v>
      </c>
      <c r="AP129" s="882">
        <f>IF($X129=0,0,      _xll.qDateNext($X129,AP$12,$AR$11,FRM&lt;&gt;"Calypso",CCY))</f>
        <v>0</v>
      </c>
      <c r="AQ129" s="882">
        <f>IF($X129=0,0,      _xll.qDateNext($X129,AQ$12,$AR$11,FRM&lt;&gt;"Calypso",CCY))</f>
        <v>0</v>
      </c>
      <c r="AR129" s="882">
        <f>IF($X129=0,0,      _xll.qDateNext($X129,AR$12,$AR$11,FRM&lt;&gt;"Calypso",CCY))</f>
        <v>0</v>
      </c>
      <c r="AS129" s="901">
        <f ca="1"/>
        <v>0</v>
      </c>
      <c r="AT129" s="901">
        <f ca="1"/>
        <v>0</v>
      </c>
      <c r="AU129" s="901">
        <f t="shared" si="28"/>
        <v>0</v>
      </c>
      <c r="AV129" s="901">
        <f ca="1"/>
        <v>0</v>
      </c>
      <c r="AW129" s="901">
        <f t="shared" si="29"/>
        <v>0</v>
      </c>
      <c r="AX129" s="901">
        <f t="shared" si="30"/>
        <v>0</v>
      </c>
      <c r="AY129" s="901">
        <f ca="1"/>
        <v>0</v>
      </c>
      <c r="AZ129" s="901">
        <f ca="1"/>
        <v>0</v>
      </c>
      <c r="BA129" s="905">
        <f t="shared" si="19"/>
        <v>0</v>
      </c>
      <c r="BB129" s="905">
        <f t="shared" si="20"/>
        <v>0</v>
      </c>
      <c r="BC129" s="905">
        <f t="shared" si="21"/>
        <v>0</v>
      </c>
      <c r="BD129" s="905">
        <f t="shared" si="22"/>
        <v>0</v>
      </c>
      <c r="BE129" s="905">
        <f t="shared" si="23"/>
        <v>0</v>
      </c>
      <c r="BF129" s="905">
        <f t="shared" si="24"/>
        <v>0</v>
      </c>
      <c r="BG129" s="905">
        <f t="shared" si="25"/>
        <v>0</v>
      </c>
      <c r="BH129" s="905">
        <f t="shared" si="26"/>
        <v>0</v>
      </c>
      <c r="BI129" s="713">
        <v>0</v>
      </c>
      <c r="BJ129" s="695"/>
      <c r="BK129" s="752">
        <f>IF(X130=0,0,           IF(ISNUMBER(BJ129),BJ129,               IF(ISTEXT(BJ129),INDEX(BA129:BH129,MATCH(BJ129,$BA$12:$BH$12,0)),             IF(BI129="INT",_xll.qInterp(X130,AK129:AR129,BA129:BH129),            INDEX(BA129:BH129,MATCH(BI129,$BA$12:$BH$12,0))))))</f>
        <v>0</v>
      </c>
      <c r="BL129" s="389">
        <f t="shared" si="31"/>
        <v>0</v>
      </c>
      <c r="BM129" s="394">
        <f t="shared" si="32"/>
        <v>0</v>
      </c>
      <c r="BN129" s="389">
        <f t="shared" si="33"/>
        <v>0</v>
      </c>
    </row>
    <row r="130" spans="16:66">
      <c r="P130" s="714">
        <v>0</v>
      </c>
      <c r="Q130" s="715">
        <f t="shared" si="17"/>
        <v>0</v>
      </c>
      <c r="R130" s="712">
        <f>IF(P131,_xll.qDateYears(P130,P131,DCCfixed),0)</f>
        <v>0</v>
      </c>
      <c r="S130" s="519">
        <f ca="1"/>
        <v>0</v>
      </c>
      <c r="T130" s="720"/>
      <c r="U130" s="390">
        <f t="shared" si="27"/>
        <v>0</v>
      </c>
      <c r="X130" s="345">
        <v>0</v>
      </c>
      <c r="Y130" s="711">
        <f t="shared" si="18"/>
        <v>0</v>
      </c>
      <c r="Z130" s="712">
        <f>IF(X131,_xll.qDateYears(X130,X131,DCCfloat),0)</f>
        <v>0</v>
      </c>
      <c r="AA130" s="519">
        <f ca="1"/>
        <v>0</v>
      </c>
      <c r="AB130" s="890">
        <f>IF(X130=0,0,         IF(OR(CCY="AUD",CCY="NZD",CCY="GBP"),X130,   _xll.qDateNext(X130,"-2b",,,IF(CCY="EUR","TGT","LON"))))</f>
        <v>0</v>
      </c>
      <c r="AC130" s="879" t="str">
        <v/>
      </c>
      <c r="AD130" s="879" t="str">
        <v/>
      </c>
      <c r="AE130" s="879" t="str">
        <v/>
      </c>
      <c r="AF130" s="879" t="str">
        <v/>
      </c>
      <c r="AG130" s="879" t="str">
        <v/>
      </c>
      <c r="AH130" s="879" t="str">
        <v/>
      </c>
      <c r="AI130" s="879" t="str">
        <v/>
      </c>
      <c r="AJ130" s="879" t="str">
        <v/>
      </c>
      <c r="AK130" s="882">
        <f>IF($X130=0,0,      _xll.qDateNext($X130,AK$12,$AR$11,FRM&lt;&gt;"Calypso",CCY))</f>
        <v>0</v>
      </c>
      <c r="AL130" s="882">
        <f>IF($X130=0,0,      _xll.qDateNext($X130,AL$12,$AR$11,FRM&lt;&gt;"Calypso",CCY))</f>
        <v>0</v>
      </c>
      <c r="AM130" s="882">
        <f>IF($X130=0,0,      _xll.qDateNext($X130,AM$12,$AR$11,FRM&lt;&gt;"Calypso",CCY))</f>
        <v>0</v>
      </c>
      <c r="AN130" s="882">
        <f>IF($X130=0,0,      _xll.qDateNext($X130,AN$12,$AR$11,FRM&lt;&gt;"Calypso",CCY))</f>
        <v>0</v>
      </c>
      <c r="AO130" s="882">
        <f>IF($X130=0,0,      _xll.qDateNext($X130,AO$12,$AR$11,FRM&lt;&gt;"Calypso",CCY))</f>
        <v>0</v>
      </c>
      <c r="AP130" s="882">
        <f>IF($X130=0,0,      _xll.qDateNext($X130,AP$12,$AR$11,FRM&lt;&gt;"Calypso",CCY))</f>
        <v>0</v>
      </c>
      <c r="AQ130" s="882">
        <f>IF($X130=0,0,      _xll.qDateNext($X130,AQ$12,$AR$11,FRM&lt;&gt;"Calypso",CCY))</f>
        <v>0</v>
      </c>
      <c r="AR130" s="882">
        <f>IF($X130=0,0,      _xll.qDateNext($X130,AR$12,$AR$11,FRM&lt;&gt;"Calypso",CCY))</f>
        <v>0</v>
      </c>
      <c r="AS130" s="901">
        <f ca="1"/>
        <v>0</v>
      </c>
      <c r="AT130" s="901">
        <f ca="1"/>
        <v>0</v>
      </c>
      <c r="AU130" s="901">
        <f t="shared" si="28"/>
        <v>0</v>
      </c>
      <c r="AV130" s="901">
        <f ca="1"/>
        <v>0</v>
      </c>
      <c r="AW130" s="901">
        <f t="shared" si="29"/>
        <v>0</v>
      </c>
      <c r="AX130" s="901">
        <f t="shared" si="30"/>
        <v>0</v>
      </c>
      <c r="AY130" s="901">
        <f ca="1"/>
        <v>0</v>
      </c>
      <c r="AZ130" s="901">
        <f ca="1"/>
        <v>0</v>
      </c>
      <c r="BA130" s="905">
        <f t="shared" si="19"/>
        <v>0</v>
      </c>
      <c r="BB130" s="905">
        <f t="shared" si="20"/>
        <v>0</v>
      </c>
      <c r="BC130" s="905">
        <f t="shared" si="21"/>
        <v>0</v>
      </c>
      <c r="BD130" s="905">
        <f t="shared" si="22"/>
        <v>0</v>
      </c>
      <c r="BE130" s="905">
        <f t="shared" si="23"/>
        <v>0</v>
      </c>
      <c r="BF130" s="905">
        <f t="shared" si="24"/>
        <v>0</v>
      </c>
      <c r="BG130" s="905">
        <f t="shared" si="25"/>
        <v>0</v>
      </c>
      <c r="BH130" s="905">
        <f t="shared" si="26"/>
        <v>0</v>
      </c>
      <c r="BI130" s="713">
        <v>0</v>
      </c>
      <c r="BJ130" s="695"/>
      <c r="BK130" s="752">
        <f>IF(X131=0,0,           IF(ISNUMBER(BJ130),BJ130,               IF(ISTEXT(BJ130),INDEX(BA130:BH130,MATCH(BJ130,$BA$12:$BH$12,0)),             IF(BI130="INT",_xll.qInterp(X131,AK130:AR130,BA130:BH130),            INDEX(BA130:BH130,MATCH(BI130,$BA$12:$BH$12,0))))))</f>
        <v>0</v>
      </c>
      <c r="BL130" s="389">
        <f t="shared" si="31"/>
        <v>0</v>
      </c>
      <c r="BM130" s="394">
        <f t="shared" si="32"/>
        <v>0</v>
      </c>
      <c r="BN130" s="389">
        <f t="shared" si="33"/>
        <v>0</v>
      </c>
    </row>
    <row r="131" spans="16:66">
      <c r="P131" s="714">
        <v>0</v>
      </c>
      <c r="Q131" s="715">
        <f t="shared" si="17"/>
        <v>0</v>
      </c>
      <c r="R131" s="712">
        <f>IF(P132,_xll.qDateYears(P131,P132,DCCfixed),0)</f>
        <v>0</v>
      </c>
      <c r="S131" s="519">
        <f ca="1"/>
        <v>0</v>
      </c>
      <c r="T131" s="720"/>
      <c r="U131" s="390">
        <f t="shared" si="27"/>
        <v>0</v>
      </c>
      <c r="X131" s="345">
        <v>0</v>
      </c>
      <c r="Y131" s="711">
        <f t="shared" si="18"/>
        <v>0</v>
      </c>
      <c r="Z131" s="712">
        <f>IF(X132,_xll.qDateYears(X131,X132,DCCfloat),0)</f>
        <v>0</v>
      </c>
      <c r="AA131" s="519">
        <f ca="1"/>
        <v>0</v>
      </c>
      <c r="AB131" s="890">
        <f>IF(X131=0,0,         IF(OR(CCY="AUD",CCY="NZD",CCY="GBP"),X131,   _xll.qDateNext(X131,"-2b",,,IF(CCY="EUR","TGT","LON"))))</f>
        <v>0</v>
      </c>
      <c r="AC131" s="879" t="str">
        <v/>
      </c>
      <c r="AD131" s="879" t="str">
        <v/>
      </c>
      <c r="AE131" s="879" t="str">
        <v/>
      </c>
      <c r="AF131" s="879" t="str">
        <v/>
      </c>
      <c r="AG131" s="879" t="str">
        <v/>
      </c>
      <c r="AH131" s="879" t="str">
        <v/>
      </c>
      <c r="AI131" s="879" t="str">
        <v/>
      </c>
      <c r="AJ131" s="879" t="str">
        <v/>
      </c>
      <c r="AK131" s="882">
        <f>IF($X131=0,0,      _xll.qDateNext($X131,AK$12,$AR$11,FRM&lt;&gt;"Calypso",CCY))</f>
        <v>0</v>
      </c>
      <c r="AL131" s="882">
        <f>IF($X131=0,0,      _xll.qDateNext($X131,AL$12,$AR$11,FRM&lt;&gt;"Calypso",CCY))</f>
        <v>0</v>
      </c>
      <c r="AM131" s="882">
        <f>IF($X131=0,0,      _xll.qDateNext($X131,AM$12,$AR$11,FRM&lt;&gt;"Calypso",CCY))</f>
        <v>0</v>
      </c>
      <c r="AN131" s="882">
        <f>IF($X131=0,0,      _xll.qDateNext($X131,AN$12,$AR$11,FRM&lt;&gt;"Calypso",CCY))</f>
        <v>0</v>
      </c>
      <c r="AO131" s="882">
        <f>IF($X131=0,0,      _xll.qDateNext($X131,AO$12,$AR$11,FRM&lt;&gt;"Calypso",CCY))</f>
        <v>0</v>
      </c>
      <c r="AP131" s="882">
        <f>IF($X131=0,0,      _xll.qDateNext($X131,AP$12,$AR$11,FRM&lt;&gt;"Calypso",CCY))</f>
        <v>0</v>
      </c>
      <c r="AQ131" s="882">
        <f>IF($X131=0,0,      _xll.qDateNext($X131,AQ$12,$AR$11,FRM&lt;&gt;"Calypso",CCY))</f>
        <v>0</v>
      </c>
      <c r="AR131" s="882">
        <f>IF($X131=0,0,      _xll.qDateNext($X131,AR$12,$AR$11,FRM&lt;&gt;"Calypso",CCY))</f>
        <v>0</v>
      </c>
      <c r="AS131" s="901">
        <f ca="1"/>
        <v>0</v>
      </c>
      <c r="AT131" s="901">
        <f ca="1"/>
        <v>0</v>
      </c>
      <c r="AU131" s="901">
        <f t="shared" si="28"/>
        <v>0</v>
      </c>
      <c r="AV131" s="901">
        <f ca="1"/>
        <v>0</v>
      </c>
      <c r="AW131" s="901">
        <f t="shared" si="29"/>
        <v>0</v>
      </c>
      <c r="AX131" s="901">
        <f t="shared" si="30"/>
        <v>0</v>
      </c>
      <c r="AY131" s="901">
        <f ca="1"/>
        <v>0</v>
      </c>
      <c r="AZ131" s="901">
        <f ca="1"/>
        <v>0</v>
      </c>
      <c r="BA131" s="905">
        <f t="shared" si="19"/>
        <v>0</v>
      </c>
      <c r="BB131" s="905">
        <f t="shared" si="20"/>
        <v>0</v>
      </c>
      <c r="BC131" s="905">
        <f t="shared" si="21"/>
        <v>0</v>
      </c>
      <c r="BD131" s="905">
        <f t="shared" si="22"/>
        <v>0</v>
      </c>
      <c r="BE131" s="905">
        <f t="shared" si="23"/>
        <v>0</v>
      </c>
      <c r="BF131" s="905">
        <f t="shared" si="24"/>
        <v>0</v>
      </c>
      <c r="BG131" s="905">
        <f t="shared" si="25"/>
        <v>0</v>
      </c>
      <c r="BH131" s="905">
        <f t="shared" si="26"/>
        <v>0</v>
      </c>
      <c r="BI131" s="713">
        <v>0</v>
      </c>
      <c r="BJ131" s="695"/>
      <c r="BK131" s="752">
        <f>IF(X132=0,0,           IF(ISNUMBER(BJ131),BJ131,               IF(ISTEXT(BJ131),INDEX(BA131:BH131,MATCH(BJ131,$BA$12:$BH$12,0)),             IF(BI131="INT",_xll.qInterp(X132,AK131:AR131,BA131:BH131),            INDEX(BA131:BH131,MATCH(BI131,$BA$12:$BH$12,0))))))</f>
        <v>0</v>
      </c>
      <c r="BL131" s="389">
        <f t="shared" si="31"/>
        <v>0</v>
      </c>
      <c r="BM131" s="394">
        <f t="shared" si="32"/>
        <v>0</v>
      </c>
      <c r="BN131" s="389">
        <f t="shared" si="33"/>
        <v>0</v>
      </c>
    </row>
    <row r="132" spans="16:66">
      <c r="P132" s="714">
        <v>0</v>
      </c>
      <c r="Q132" s="715">
        <f t="shared" si="17"/>
        <v>0</v>
      </c>
      <c r="R132" s="712">
        <f>IF(P133,_xll.qDateYears(P132,P133,DCCfixed),0)</f>
        <v>0</v>
      </c>
      <c r="S132" s="519">
        <f ca="1"/>
        <v>0</v>
      </c>
      <c r="T132" s="720"/>
      <c r="U132" s="390">
        <f t="shared" si="27"/>
        <v>0</v>
      </c>
      <c r="X132" s="345">
        <v>0</v>
      </c>
      <c r="Y132" s="711">
        <f t="shared" si="18"/>
        <v>0</v>
      </c>
      <c r="Z132" s="712">
        <f>IF(X133,_xll.qDateYears(X132,X133,DCCfloat),0)</f>
        <v>0</v>
      </c>
      <c r="AA132" s="519">
        <f ca="1"/>
        <v>0</v>
      </c>
      <c r="AB132" s="890">
        <f>IF(X132=0,0,         IF(OR(CCY="AUD",CCY="NZD",CCY="GBP"),X132,   _xll.qDateNext(X132,"-2b",,,IF(CCY="EUR","TGT","LON"))))</f>
        <v>0</v>
      </c>
      <c r="AC132" s="879" t="str">
        <v/>
      </c>
      <c r="AD132" s="879" t="str">
        <v/>
      </c>
      <c r="AE132" s="879" t="str">
        <v/>
      </c>
      <c r="AF132" s="879" t="str">
        <v/>
      </c>
      <c r="AG132" s="879" t="str">
        <v/>
      </c>
      <c r="AH132" s="879" t="str">
        <v/>
      </c>
      <c r="AI132" s="879" t="str">
        <v/>
      </c>
      <c r="AJ132" s="879" t="str">
        <v/>
      </c>
      <c r="AK132" s="882">
        <f>IF($X132=0,0,      _xll.qDateNext($X132,AK$12,$AR$11,FRM&lt;&gt;"Calypso",CCY))</f>
        <v>0</v>
      </c>
      <c r="AL132" s="882">
        <f>IF($X132=0,0,      _xll.qDateNext($X132,AL$12,$AR$11,FRM&lt;&gt;"Calypso",CCY))</f>
        <v>0</v>
      </c>
      <c r="AM132" s="882">
        <f>IF($X132=0,0,      _xll.qDateNext($X132,AM$12,$AR$11,FRM&lt;&gt;"Calypso",CCY))</f>
        <v>0</v>
      </c>
      <c r="AN132" s="882">
        <f>IF($X132=0,0,      _xll.qDateNext($X132,AN$12,$AR$11,FRM&lt;&gt;"Calypso",CCY))</f>
        <v>0</v>
      </c>
      <c r="AO132" s="882">
        <f>IF($X132=0,0,      _xll.qDateNext($X132,AO$12,$AR$11,FRM&lt;&gt;"Calypso",CCY))</f>
        <v>0</v>
      </c>
      <c r="AP132" s="882">
        <f>IF($X132=0,0,      _xll.qDateNext($X132,AP$12,$AR$11,FRM&lt;&gt;"Calypso",CCY))</f>
        <v>0</v>
      </c>
      <c r="AQ132" s="882">
        <f>IF($X132=0,0,      _xll.qDateNext($X132,AQ$12,$AR$11,FRM&lt;&gt;"Calypso",CCY))</f>
        <v>0</v>
      </c>
      <c r="AR132" s="882">
        <f>IF($X132=0,0,      _xll.qDateNext($X132,AR$12,$AR$11,FRM&lt;&gt;"Calypso",CCY))</f>
        <v>0</v>
      </c>
      <c r="AS132" s="901">
        <f ca="1"/>
        <v>0</v>
      </c>
      <c r="AT132" s="901">
        <f ca="1"/>
        <v>0</v>
      </c>
      <c r="AU132" s="901">
        <f t="shared" si="28"/>
        <v>0</v>
      </c>
      <c r="AV132" s="901">
        <f ca="1"/>
        <v>0</v>
      </c>
      <c r="AW132" s="901">
        <f t="shared" si="29"/>
        <v>0</v>
      </c>
      <c r="AX132" s="901">
        <f t="shared" si="30"/>
        <v>0</v>
      </c>
      <c r="AY132" s="901">
        <f ca="1"/>
        <v>0</v>
      </c>
      <c r="AZ132" s="901">
        <f ca="1"/>
        <v>0</v>
      </c>
      <c r="BA132" s="905">
        <f t="shared" si="19"/>
        <v>0</v>
      </c>
      <c r="BB132" s="905">
        <f t="shared" si="20"/>
        <v>0</v>
      </c>
      <c r="BC132" s="905">
        <f t="shared" si="21"/>
        <v>0</v>
      </c>
      <c r="BD132" s="905">
        <f t="shared" si="22"/>
        <v>0</v>
      </c>
      <c r="BE132" s="905">
        <f t="shared" si="23"/>
        <v>0</v>
      </c>
      <c r="BF132" s="905">
        <f t="shared" si="24"/>
        <v>0</v>
      </c>
      <c r="BG132" s="905">
        <f t="shared" si="25"/>
        <v>0</v>
      </c>
      <c r="BH132" s="905">
        <f t="shared" si="26"/>
        <v>0</v>
      </c>
      <c r="BI132" s="713">
        <v>0</v>
      </c>
      <c r="BJ132" s="695"/>
      <c r="BK132" s="752">
        <f>IF(X133=0,0,           IF(ISNUMBER(BJ132),BJ132,               IF(ISTEXT(BJ132),INDEX(BA132:BH132,MATCH(BJ132,$BA$12:$BH$12,0)),             IF(BI132="INT",_xll.qInterp(X133,AK132:AR132,BA132:BH132),            INDEX(BA132:BH132,MATCH(BI132,$BA$12:$BH$12,0))))))</f>
        <v>0</v>
      </c>
      <c r="BL132" s="389">
        <f t="shared" si="31"/>
        <v>0</v>
      </c>
      <c r="BM132" s="394">
        <f t="shared" si="32"/>
        <v>0</v>
      </c>
      <c r="BN132" s="389">
        <f t="shared" si="33"/>
        <v>0</v>
      </c>
    </row>
    <row r="133" spans="16:66">
      <c r="P133" s="714">
        <v>0</v>
      </c>
      <c r="Q133" s="715">
        <f t="shared" si="17"/>
        <v>0</v>
      </c>
      <c r="R133" s="712">
        <f>IF(P134,_xll.qDateYears(P133,P134,DCCfixed),0)</f>
        <v>0</v>
      </c>
      <c r="S133" s="519">
        <f ca="1"/>
        <v>0</v>
      </c>
      <c r="T133" s="720"/>
      <c r="U133" s="390">
        <f t="shared" si="27"/>
        <v>0</v>
      </c>
      <c r="X133" s="345">
        <v>0</v>
      </c>
      <c r="Y133" s="711">
        <f t="shared" si="18"/>
        <v>0</v>
      </c>
      <c r="Z133" s="712">
        <f>IF(X134,_xll.qDateYears(X133,X134,DCCfloat),0)</f>
        <v>0</v>
      </c>
      <c r="AA133" s="519">
        <f ca="1"/>
        <v>0</v>
      </c>
      <c r="AB133" s="890">
        <f>IF(X133=0,0,         IF(OR(CCY="AUD",CCY="NZD",CCY="GBP"),X133,   _xll.qDateNext(X133,"-2b",,,IF(CCY="EUR","TGT","LON"))))</f>
        <v>0</v>
      </c>
      <c r="AC133" s="879" t="str">
        <v/>
      </c>
      <c r="AD133" s="879" t="str">
        <v/>
      </c>
      <c r="AE133" s="879" t="str">
        <v/>
      </c>
      <c r="AF133" s="879" t="str">
        <v/>
      </c>
      <c r="AG133" s="879" t="str">
        <v/>
      </c>
      <c r="AH133" s="879" t="str">
        <v/>
      </c>
      <c r="AI133" s="879" t="str">
        <v/>
      </c>
      <c r="AJ133" s="879" t="str">
        <v/>
      </c>
      <c r="AK133" s="882">
        <f>IF($X133=0,0,      _xll.qDateNext($X133,AK$12,$AR$11,FRM&lt;&gt;"Calypso",CCY))</f>
        <v>0</v>
      </c>
      <c r="AL133" s="882">
        <f>IF($X133=0,0,      _xll.qDateNext($X133,AL$12,$AR$11,FRM&lt;&gt;"Calypso",CCY))</f>
        <v>0</v>
      </c>
      <c r="AM133" s="882">
        <f>IF($X133=0,0,      _xll.qDateNext($X133,AM$12,$AR$11,FRM&lt;&gt;"Calypso",CCY))</f>
        <v>0</v>
      </c>
      <c r="AN133" s="882">
        <f>IF($X133=0,0,      _xll.qDateNext($X133,AN$12,$AR$11,FRM&lt;&gt;"Calypso",CCY))</f>
        <v>0</v>
      </c>
      <c r="AO133" s="882">
        <f>IF($X133=0,0,      _xll.qDateNext($X133,AO$12,$AR$11,FRM&lt;&gt;"Calypso",CCY))</f>
        <v>0</v>
      </c>
      <c r="AP133" s="882">
        <f>IF($X133=0,0,      _xll.qDateNext($X133,AP$12,$AR$11,FRM&lt;&gt;"Calypso",CCY))</f>
        <v>0</v>
      </c>
      <c r="AQ133" s="882">
        <f>IF($X133=0,0,      _xll.qDateNext($X133,AQ$12,$AR$11,FRM&lt;&gt;"Calypso",CCY))</f>
        <v>0</v>
      </c>
      <c r="AR133" s="882">
        <f>IF($X133=0,0,      _xll.qDateNext($X133,AR$12,$AR$11,FRM&lt;&gt;"Calypso",CCY))</f>
        <v>0</v>
      </c>
      <c r="AS133" s="901">
        <f ca="1"/>
        <v>0</v>
      </c>
      <c r="AT133" s="901">
        <f ca="1"/>
        <v>0</v>
      </c>
      <c r="AU133" s="901">
        <f t="shared" si="28"/>
        <v>0</v>
      </c>
      <c r="AV133" s="901">
        <f ca="1"/>
        <v>0</v>
      </c>
      <c r="AW133" s="901">
        <f t="shared" si="29"/>
        <v>0</v>
      </c>
      <c r="AX133" s="901">
        <f t="shared" si="30"/>
        <v>0</v>
      </c>
      <c r="AY133" s="901">
        <f ca="1"/>
        <v>0</v>
      </c>
      <c r="AZ133" s="901">
        <f ca="1"/>
        <v>0</v>
      </c>
      <c r="BA133" s="905">
        <f t="shared" si="19"/>
        <v>0</v>
      </c>
      <c r="BB133" s="905">
        <f t="shared" si="20"/>
        <v>0</v>
      </c>
      <c r="BC133" s="905">
        <f t="shared" si="21"/>
        <v>0</v>
      </c>
      <c r="BD133" s="905">
        <f t="shared" si="22"/>
        <v>0</v>
      </c>
      <c r="BE133" s="905">
        <f t="shared" si="23"/>
        <v>0</v>
      </c>
      <c r="BF133" s="905">
        <f t="shared" si="24"/>
        <v>0</v>
      </c>
      <c r="BG133" s="905">
        <f t="shared" si="25"/>
        <v>0</v>
      </c>
      <c r="BH133" s="905">
        <f t="shared" si="26"/>
        <v>0</v>
      </c>
      <c r="BI133" s="713">
        <v>0</v>
      </c>
      <c r="BJ133" s="695"/>
      <c r="BK133" s="752">
        <f>IF(X134=0,0,           IF(ISNUMBER(BJ133),BJ133,               IF(ISTEXT(BJ133),INDEX(BA133:BH133,MATCH(BJ133,$BA$12:$BH$12,0)),             IF(BI133="INT",_xll.qInterp(X134,AK133:AR133,BA133:BH133),            INDEX(BA133:BH133,MATCH(BI133,$BA$12:$BH$12,0))))))</f>
        <v>0</v>
      </c>
      <c r="BL133" s="389">
        <f t="shared" si="31"/>
        <v>0</v>
      </c>
      <c r="BM133" s="394">
        <f t="shared" si="32"/>
        <v>0</v>
      </c>
      <c r="BN133" s="389">
        <f t="shared" si="33"/>
        <v>0</v>
      </c>
    </row>
    <row r="134" spans="16:66">
      <c r="P134" s="714">
        <v>0</v>
      </c>
      <c r="Q134" s="715">
        <f t="shared" si="17"/>
        <v>0</v>
      </c>
      <c r="R134" s="712">
        <f>IF(P135,_xll.qDateYears(P134,P135,DCCfixed),0)</f>
        <v>0</v>
      </c>
      <c r="S134" s="519">
        <f ca="1"/>
        <v>0</v>
      </c>
      <c r="T134" s="720"/>
      <c r="U134" s="390">
        <f t="shared" si="27"/>
        <v>0</v>
      </c>
      <c r="X134" s="345">
        <v>0</v>
      </c>
      <c r="Y134" s="711">
        <f t="shared" si="18"/>
        <v>0</v>
      </c>
      <c r="Z134" s="712">
        <f>IF(X135,_xll.qDateYears(X134,X135,DCCfloat),0)</f>
        <v>0</v>
      </c>
      <c r="AA134" s="519">
        <f ca="1"/>
        <v>0</v>
      </c>
      <c r="AB134" s="890">
        <f>IF(X134=0,0,         IF(OR(CCY="AUD",CCY="NZD",CCY="GBP"),X134,   _xll.qDateNext(X134,"-2b",,,IF(CCY="EUR","TGT","LON"))))</f>
        <v>0</v>
      </c>
      <c r="AC134" s="879" t="str">
        <v/>
      </c>
      <c r="AD134" s="879" t="str">
        <v/>
      </c>
      <c r="AE134" s="879" t="str">
        <v/>
      </c>
      <c r="AF134" s="879" t="str">
        <v/>
      </c>
      <c r="AG134" s="879" t="str">
        <v/>
      </c>
      <c r="AH134" s="879" t="str">
        <v/>
      </c>
      <c r="AI134" s="879" t="str">
        <v/>
      </c>
      <c r="AJ134" s="879" t="str">
        <v/>
      </c>
      <c r="AK134" s="882">
        <f>IF($X134=0,0,      _xll.qDateNext($X134,AK$12,$AR$11,FRM&lt;&gt;"Calypso",CCY))</f>
        <v>0</v>
      </c>
      <c r="AL134" s="882">
        <f>IF($X134=0,0,      _xll.qDateNext($X134,AL$12,$AR$11,FRM&lt;&gt;"Calypso",CCY))</f>
        <v>0</v>
      </c>
      <c r="AM134" s="882">
        <f>IF($X134=0,0,      _xll.qDateNext($X134,AM$12,$AR$11,FRM&lt;&gt;"Calypso",CCY))</f>
        <v>0</v>
      </c>
      <c r="AN134" s="882">
        <f>IF($X134=0,0,      _xll.qDateNext($X134,AN$12,$AR$11,FRM&lt;&gt;"Calypso",CCY))</f>
        <v>0</v>
      </c>
      <c r="AO134" s="882">
        <f>IF($X134=0,0,      _xll.qDateNext($X134,AO$12,$AR$11,FRM&lt;&gt;"Calypso",CCY))</f>
        <v>0</v>
      </c>
      <c r="AP134" s="882">
        <f>IF($X134=0,0,      _xll.qDateNext($X134,AP$12,$AR$11,FRM&lt;&gt;"Calypso",CCY))</f>
        <v>0</v>
      </c>
      <c r="AQ134" s="882">
        <f>IF($X134=0,0,      _xll.qDateNext($X134,AQ$12,$AR$11,FRM&lt;&gt;"Calypso",CCY))</f>
        <v>0</v>
      </c>
      <c r="AR134" s="882">
        <f>IF($X134=0,0,      _xll.qDateNext($X134,AR$12,$AR$11,FRM&lt;&gt;"Calypso",CCY))</f>
        <v>0</v>
      </c>
      <c r="AS134" s="901">
        <f ca="1"/>
        <v>0</v>
      </c>
      <c r="AT134" s="901">
        <f ca="1"/>
        <v>0</v>
      </c>
      <c r="AU134" s="901">
        <f t="shared" si="28"/>
        <v>0</v>
      </c>
      <c r="AV134" s="901">
        <f ca="1"/>
        <v>0</v>
      </c>
      <c r="AW134" s="901">
        <f t="shared" si="29"/>
        <v>0</v>
      </c>
      <c r="AX134" s="901">
        <f t="shared" si="30"/>
        <v>0</v>
      </c>
      <c r="AY134" s="901">
        <f ca="1"/>
        <v>0</v>
      </c>
      <c r="AZ134" s="901">
        <f ca="1"/>
        <v>0</v>
      </c>
      <c r="BA134" s="905">
        <f t="shared" si="19"/>
        <v>0</v>
      </c>
      <c r="BB134" s="905">
        <f t="shared" si="20"/>
        <v>0</v>
      </c>
      <c r="BC134" s="905">
        <f t="shared" si="21"/>
        <v>0</v>
      </c>
      <c r="BD134" s="905">
        <f t="shared" si="22"/>
        <v>0</v>
      </c>
      <c r="BE134" s="905">
        <f t="shared" si="23"/>
        <v>0</v>
      </c>
      <c r="BF134" s="905">
        <f t="shared" si="24"/>
        <v>0</v>
      </c>
      <c r="BG134" s="905">
        <f t="shared" si="25"/>
        <v>0</v>
      </c>
      <c r="BH134" s="905">
        <f t="shared" si="26"/>
        <v>0</v>
      </c>
      <c r="BI134" s="713">
        <v>0</v>
      </c>
      <c r="BJ134" s="695"/>
      <c r="BK134" s="752">
        <f>IF(X135=0,0,           IF(ISNUMBER(BJ134),BJ134,               IF(ISTEXT(BJ134),INDEX(BA134:BH134,MATCH(BJ134,$BA$12:$BH$12,0)),             IF(BI134="INT",_xll.qInterp(X135,AK134:AR134,BA134:BH134),            INDEX(BA134:BH134,MATCH(BI134,$BA$12:$BH$12,0))))))</f>
        <v>0</v>
      </c>
      <c r="BL134" s="389">
        <f t="shared" si="31"/>
        <v>0</v>
      </c>
      <c r="BM134" s="394">
        <f t="shared" si="32"/>
        <v>0</v>
      </c>
      <c r="BN134" s="389">
        <f t="shared" si="33"/>
        <v>0</v>
      </c>
    </row>
    <row r="135" spans="16:66">
      <c r="P135" s="714">
        <v>0</v>
      </c>
      <c r="Q135" s="715">
        <f t="shared" si="17"/>
        <v>0</v>
      </c>
      <c r="R135" s="712">
        <f>IF(P136,_xll.qDateYears(P135,P136,DCCfixed),0)</f>
        <v>0</v>
      </c>
      <c r="S135" s="519">
        <f ca="1"/>
        <v>0</v>
      </c>
      <c r="T135" s="720"/>
      <c r="U135" s="390">
        <f t="shared" si="27"/>
        <v>0</v>
      </c>
      <c r="X135" s="345">
        <v>0</v>
      </c>
      <c r="Y135" s="711">
        <f t="shared" si="18"/>
        <v>0</v>
      </c>
      <c r="Z135" s="712">
        <f>IF(X136,_xll.qDateYears(X135,X136,DCCfloat),0)</f>
        <v>0</v>
      </c>
      <c r="AA135" s="519">
        <f ca="1"/>
        <v>0</v>
      </c>
      <c r="AB135" s="890">
        <f>IF(X135=0,0,         IF(OR(CCY="AUD",CCY="NZD",CCY="GBP"),X135,   _xll.qDateNext(X135,"-2b",,,IF(CCY="EUR","TGT","LON"))))</f>
        <v>0</v>
      </c>
      <c r="AC135" s="879" t="str">
        <v/>
      </c>
      <c r="AD135" s="879" t="str">
        <v/>
      </c>
      <c r="AE135" s="879" t="str">
        <v/>
      </c>
      <c r="AF135" s="879" t="str">
        <v/>
      </c>
      <c r="AG135" s="879" t="str">
        <v/>
      </c>
      <c r="AH135" s="879" t="str">
        <v/>
      </c>
      <c r="AI135" s="879" t="str">
        <v/>
      </c>
      <c r="AJ135" s="879" t="str">
        <v/>
      </c>
      <c r="AK135" s="882">
        <f>IF($X135=0,0,      _xll.qDateNext($X135,AK$12,$AR$11,FRM&lt;&gt;"Calypso",CCY))</f>
        <v>0</v>
      </c>
      <c r="AL135" s="882">
        <f>IF($X135=0,0,      _xll.qDateNext($X135,AL$12,$AR$11,FRM&lt;&gt;"Calypso",CCY))</f>
        <v>0</v>
      </c>
      <c r="AM135" s="882">
        <f>IF($X135=0,0,      _xll.qDateNext($X135,AM$12,$AR$11,FRM&lt;&gt;"Calypso",CCY))</f>
        <v>0</v>
      </c>
      <c r="AN135" s="882">
        <f>IF($X135=0,0,      _xll.qDateNext($X135,AN$12,$AR$11,FRM&lt;&gt;"Calypso",CCY))</f>
        <v>0</v>
      </c>
      <c r="AO135" s="882">
        <f>IF($X135=0,0,      _xll.qDateNext($X135,AO$12,$AR$11,FRM&lt;&gt;"Calypso",CCY))</f>
        <v>0</v>
      </c>
      <c r="AP135" s="882">
        <f>IF($X135=0,0,      _xll.qDateNext($X135,AP$12,$AR$11,FRM&lt;&gt;"Calypso",CCY))</f>
        <v>0</v>
      </c>
      <c r="AQ135" s="882">
        <f>IF($X135=0,0,      _xll.qDateNext($X135,AQ$12,$AR$11,FRM&lt;&gt;"Calypso",CCY))</f>
        <v>0</v>
      </c>
      <c r="AR135" s="882">
        <f>IF($X135=0,0,      _xll.qDateNext($X135,AR$12,$AR$11,FRM&lt;&gt;"Calypso",CCY))</f>
        <v>0</v>
      </c>
      <c r="AS135" s="901">
        <f ca="1"/>
        <v>0</v>
      </c>
      <c r="AT135" s="901">
        <f ca="1"/>
        <v>0</v>
      </c>
      <c r="AU135" s="901">
        <f t="shared" si="28"/>
        <v>0</v>
      </c>
      <c r="AV135" s="901">
        <f ca="1"/>
        <v>0</v>
      </c>
      <c r="AW135" s="901">
        <f t="shared" si="29"/>
        <v>0</v>
      </c>
      <c r="AX135" s="901">
        <f t="shared" si="30"/>
        <v>0</v>
      </c>
      <c r="AY135" s="901">
        <f ca="1"/>
        <v>0</v>
      </c>
      <c r="AZ135" s="901">
        <f ca="1"/>
        <v>0</v>
      </c>
      <c r="BA135" s="905">
        <f t="shared" si="19"/>
        <v>0</v>
      </c>
      <c r="BB135" s="905">
        <f t="shared" si="20"/>
        <v>0</v>
      </c>
      <c r="BC135" s="905">
        <f t="shared" si="21"/>
        <v>0</v>
      </c>
      <c r="BD135" s="905">
        <f t="shared" si="22"/>
        <v>0</v>
      </c>
      <c r="BE135" s="905">
        <f t="shared" si="23"/>
        <v>0</v>
      </c>
      <c r="BF135" s="905">
        <f t="shared" si="24"/>
        <v>0</v>
      </c>
      <c r="BG135" s="905">
        <f t="shared" si="25"/>
        <v>0</v>
      </c>
      <c r="BH135" s="905">
        <f t="shared" si="26"/>
        <v>0</v>
      </c>
      <c r="BI135" s="713">
        <v>0</v>
      </c>
      <c r="BJ135" s="695"/>
      <c r="BK135" s="752">
        <f>IF(X136=0,0,           IF(ISNUMBER(BJ135),BJ135,               IF(ISTEXT(BJ135),INDEX(BA135:BH135,MATCH(BJ135,$BA$12:$BH$12,0)),             IF(BI135="INT",_xll.qInterp(X136,AK135:AR135,BA135:BH135),            INDEX(BA135:BH135,MATCH(BI135,$BA$12:$BH$12,0))))))</f>
        <v>0</v>
      </c>
      <c r="BL135" s="389">
        <f t="shared" si="31"/>
        <v>0</v>
      </c>
      <c r="BM135" s="394">
        <f t="shared" si="32"/>
        <v>0</v>
      </c>
      <c r="BN135" s="389">
        <f t="shared" si="33"/>
        <v>0</v>
      </c>
    </row>
    <row r="136" spans="16:66">
      <c r="P136" s="714">
        <v>0</v>
      </c>
      <c r="Q136" s="715">
        <f t="shared" si="17"/>
        <v>0</v>
      </c>
      <c r="R136" s="712">
        <f>IF(P137,_xll.qDateYears(P136,P137,DCCfixed),0)</f>
        <v>0</v>
      </c>
      <c r="S136" s="519">
        <f ca="1"/>
        <v>0</v>
      </c>
      <c r="T136" s="720"/>
      <c r="U136" s="390">
        <f t="shared" si="27"/>
        <v>0</v>
      </c>
      <c r="X136" s="345">
        <v>0</v>
      </c>
      <c r="Y136" s="711">
        <f t="shared" si="18"/>
        <v>0</v>
      </c>
      <c r="Z136" s="712">
        <f>IF(X137,_xll.qDateYears(X136,X137,DCCfloat),0)</f>
        <v>0</v>
      </c>
      <c r="AA136" s="519">
        <f ca="1"/>
        <v>0</v>
      </c>
      <c r="AB136" s="890">
        <f>IF(X136=0,0,         IF(OR(CCY="AUD",CCY="NZD",CCY="GBP"),X136,   _xll.qDateNext(X136,"-2b",,,IF(CCY="EUR","TGT","LON"))))</f>
        <v>0</v>
      </c>
      <c r="AC136" s="879" t="str">
        <v/>
      </c>
      <c r="AD136" s="879" t="str">
        <v/>
      </c>
      <c r="AE136" s="879" t="str">
        <v/>
      </c>
      <c r="AF136" s="879" t="str">
        <v/>
      </c>
      <c r="AG136" s="879" t="str">
        <v/>
      </c>
      <c r="AH136" s="879" t="str">
        <v/>
      </c>
      <c r="AI136" s="879" t="str">
        <v/>
      </c>
      <c r="AJ136" s="879" t="str">
        <v/>
      </c>
      <c r="AK136" s="882">
        <f>IF($X136=0,0,      _xll.qDateNext($X136,AK$12,$AR$11,FRM&lt;&gt;"Calypso",CCY))</f>
        <v>0</v>
      </c>
      <c r="AL136" s="882">
        <f>IF($X136=0,0,      _xll.qDateNext($X136,AL$12,$AR$11,FRM&lt;&gt;"Calypso",CCY))</f>
        <v>0</v>
      </c>
      <c r="AM136" s="882">
        <f>IF($X136=0,0,      _xll.qDateNext($X136,AM$12,$AR$11,FRM&lt;&gt;"Calypso",CCY))</f>
        <v>0</v>
      </c>
      <c r="AN136" s="882">
        <f>IF($X136=0,0,      _xll.qDateNext($X136,AN$12,$AR$11,FRM&lt;&gt;"Calypso",CCY))</f>
        <v>0</v>
      </c>
      <c r="AO136" s="882">
        <f>IF($X136=0,0,      _xll.qDateNext($X136,AO$12,$AR$11,FRM&lt;&gt;"Calypso",CCY))</f>
        <v>0</v>
      </c>
      <c r="AP136" s="882">
        <f>IF($X136=0,0,      _xll.qDateNext($X136,AP$12,$AR$11,FRM&lt;&gt;"Calypso",CCY))</f>
        <v>0</v>
      </c>
      <c r="AQ136" s="882">
        <f>IF($X136=0,0,      _xll.qDateNext($X136,AQ$12,$AR$11,FRM&lt;&gt;"Calypso",CCY))</f>
        <v>0</v>
      </c>
      <c r="AR136" s="882">
        <f>IF($X136=0,0,      _xll.qDateNext($X136,AR$12,$AR$11,FRM&lt;&gt;"Calypso",CCY))</f>
        <v>0</v>
      </c>
      <c r="AS136" s="901">
        <f ca="1"/>
        <v>0</v>
      </c>
      <c r="AT136" s="901">
        <f ca="1"/>
        <v>0</v>
      </c>
      <c r="AU136" s="901">
        <f t="shared" si="28"/>
        <v>0</v>
      </c>
      <c r="AV136" s="901">
        <f ca="1"/>
        <v>0</v>
      </c>
      <c r="AW136" s="901">
        <f t="shared" si="29"/>
        <v>0</v>
      </c>
      <c r="AX136" s="901">
        <f t="shared" si="30"/>
        <v>0</v>
      </c>
      <c r="AY136" s="901">
        <f ca="1"/>
        <v>0</v>
      </c>
      <c r="AZ136" s="901">
        <f ca="1"/>
        <v>0</v>
      </c>
      <c r="BA136" s="905">
        <f t="shared" si="19"/>
        <v>0</v>
      </c>
      <c r="BB136" s="905">
        <f t="shared" si="20"/>
        <v>0</v>
      </c>
      <c r="BC136" s="905">
        <f t="shared" si="21"/>
        <v>0</v>
      </c>
      <c r="BD136" s="905">
        <f t="shared" si="22"/>
        <v>0</v>
      </c>
      <c r="BE136" s="905">
        <f t="shared" si="23"/>
        <v>0</v>
      </c>
      <c r="BF136" s="905">
        <f t="shared" si="24"/>
        <v>0</v>
      </c>
      <c r="BG136" s="905">
        <f t="shared" si="25"/>
        <v>0</v>
      </c>
      <c r="BH136" s="905">
        <f t="shared" si="26"/>
        <v>0</v>
      </c>
      <c r="BI136" s="713">
        <v>0</v>
      </c>
      <c r="BJ136" s="695"/>
      <c r="BK136" s="752">
        <f>IF(X137=0,0,           IF(ISNUMBER(BJ136),BJ136,               IF(ISTEXT(BJ136),INDEX(BA136:BH136,MATCH(BJ136,$BA$12:$BH$12,0)),             IF(BI136="INT",_xll.qInterp(X137,AK136:AR136,BA136:BH136),            INDEX(BA136:BH136,MATCH(BI136,$BA$12:$BH$12,0))))))</f>
        <v>0</v>
      </c>
      <c r="BL136" s="389">
        <f t="shared" si="31"/>
        <v>0</v>
      </c>
      <c r="BM136" s="394">
        <f t="shared" si="32"/>
        <v>0</v>
      </c>
      <c r="BN136" s="389">
        <f t="shared" si="33"/>
        <v>0</v>
      </c>
    </row>
    <row r="137" spans="16:66">
      <c r="P137" s="714">
        <v>0</v>
      </c>
      <c r="Q137" s="715">
        <f t="shared" si="17"/>
        <v>0</v>
      </c>
      <c r="R137" s="712">
        <f>IF(P138,_xll.qDateYears(P137,P138,DCCfixed),0)</f>
        <v>0</v>
      </c>
      <c r="S137" s="519">
        <f ca="1"/>
        <v>0</v>
      </c>
      <c r="T137" s="720"/>
      <c r="U137" s="390">
        <f t="shared" si="27"/>
        <v>0</v>
      </c>
      <c r="X137" s="345">
        <v>0</v>
      </c>
      <c r="Y137" s="711">
        <f t="shared" si="18"/>
        <v>0</v>
      </c>
      <c r="Z137" s="712">
        <f>IF(X138,_xll.qDateYears(X137,X138,DCCfloat),0)</f>
        <v>0</v>
      </c>
      <c r="AA137" s="519">
        <f ca="1"/>
        <v>0</v>
      </c>
      <c r="AB137" s="890">
        <f>IF(X137=0,0,         IF(OR(CCY="AUD",CCY="NZD",CCY="GBP"),X137,   _xll.qDateNext(X137,"-2b",,,IF(CCY="EUR","TGT","LON"))))</f>
        <v>0</v>
      </c>
      <c r="AC137" s="879" t="str">
        <v/>
      </c>
      <c r="AD137" s="879" t="str">
        <v/>
      </c>
      <c r="AE137" s="879" t="str">
        <v/>
      </c>
      <c r="AF137" s="879" t="str">
        <v/>
      </c>
      <c r="AG137" s="879" t="str">
        <v/>
      </c>
      <c r="AH137" s="879" t="str">
        <v/>
      </c>
      <c r="AI137" s="879" t="str">
        <v/>
      </c>
      <c r="AJ137" s="879" t="str">
        <v/>
      </c>
      <c r="AK137" s="882">
        <f>IF($X137=0,0,      _xll.qDateNext($X137,AK$12,$AR$11,FRM&lt;&gt;"Calypso",CCY))</f>
        <v>0</v>
      </c>
      <c r="AL137" s="882">
        <f>IF($X137=0,0,      _xll.qDateNext($X137,AL$12,$AR$11,FRM&lt;&gt;"Calypso",CCY))</f>
        <v>0</v>
      </c>
      <c r="AM137" s="882">
        <f>IF($X137=0,0,      _xll.qDateNext($X137,AM$12,$AR$11,FRM&lt;&gt;"Calypso",CCY))</f>
        <v>0</v>
      </c>
      <c r="AN137" s="882">
        <f>IF($X137=0,0,      _xll.qDateNext($X137,AN$12,$AR$11,FRM&lt;&gt;"Calypso",CCY))</f>
        <v>0</v>
      </c>
      <c r="AO137" s="882">
        <f>IF($X137=0,0,      _xll.qDateNext($X137,AO$12,$AR$11,FRM&lt;&gt;"Calypso",CCY))</f>
        <v>0</v>
      </c>
      <c r="AP137" s="882">
        <f>IF($X137=0,0,      _xll.qDateNext($X137,AP$12,$AR$11,FRM&lt;&gt;"Calypso",CCY))</f>
        <v>0</v>
      </c>
      <c r="AQ137" s="882">
        <f>IF($X137=0,0,      _xll.qDateNext($X137,AQ$12,$AR$11,FRM&lt;&gt;"Calypso",CCY))</f>
        <v>0</v>
      </c>
      <c r="AR137" s="882">
        <f>IF($X137=0,0,      _xll.qDateNext($X137,AR$12,$AR$11,FRM&lt;&gt;"Calypso",CCY))</f>
        <v>0</v>
      </c>
      <c r="AS137" s="901">
        <f ca="1"/>
        <v>0</v>
      </c>
      <c r="AT137" s="901">
        <f ca="1"/>
        <v>0</v>
      </c>
      <c r="AU137" s="901">
        <f t="shared" si="28"/>
        <v>0</v>
      </c>
      <c r="AV137" s="901">
        <f ca="1"/>
        <v>0</v>
      </c>
      <c r="AW137" s="901">
        <f t="shared" si="29"/>
        <v>0</v>
      </c>
      <c r="AX137" s="901">
        <f t="shared" si="30"/>
        <v>0</v>
      </c>
      <c r="AY137" s="901">
        <f ca="1"/>
        <v>0</v>
      </c>
      <c r="AZ137" s="901">
        <f ca="1"/>
        <v>0</v>
      </c>
      <c r="BA137" s="905">
        <f t="shared" si="19"/>
        <v>0</v>
      </c>
      <c r="BB137" s="905">
        <f t="shared" si="20"/>
        <v>0</v>
      </c>
      <c r="BC137" s="905">
        <f t="shared" si="21"/>
        <v>0</v>
      </c>
      <c r="BD137" s="905">
        <f t="shared" si="22"/>
        <v>0</v>
      </c>
      <c r="BE137" s="905">
        <f t="shared" si="23"/>
        <v>0</v>
      </c>
      <c r="BF137" s="905">
        <f t="shared" si="24"/>
        <v>0</v>
      </c>
      <c r="BG137" s="905">
        <f t="shared" si="25"/>
        <v>0</v>
      </c>
      <c r="BH137" s="905">
        <f t="shared" si="26"/>
        <v>0</v>
      </c>
      <c r="BI137" s="713">
        <v>0</v>
      </c>
      <c r="BJ137" s="695"/>
      <c r="BK137" s="752">
        <f>IF(X138=0,0,           IF(ISNUMBER(BJ137),BJ137,               IF(ISTEXT(BJ137),INDEX(BA137:BH137,MATCH(BJ137,$BA$12:$BH$12,0)),             IF(BI137="INT",_xll.qInterp(X138,AK137:AR137,BA137:BH137),            INDEX(BA137:BH137,MATCH(BI137,$BA$12:$BH$12,0))))))</f>
        <v>0</v>
      </c>
      <c r="BL137" s="389">
        <f t="shared" si="31"/>
        <v>0</v>
      </c>
      <c r="BM137" s="394">
        <f t="shared" si="32"/>
        <v>0</v>
      </c>
      <c r="BN137" s="389">
        <f t="shared" si="33"/>
        <v>0</v>
      </c>
    </row>
    <row r="138" spans="16:66">
      <c r="P138" s="714">
        <v>0</v>
      </c>
      <c r="Q138" s="715">
        <f t="shared" si="17"/>
        <v>0</v>
      </c>
      <c r="R138" s="712">
        <f>IF(P139,_xll.qDateYears(P138,P139,DCCfixed),0)</f>
        <v>0</v>
      </c>
      <c r="S138" s="519">
        <f ca="1"/>
        <v>0</v>
      </c>
      <c r="T138" s="720"/>
      <c r="U138" s="390">
        <f t="shared" si="27"/>
        <v>0</v>
      </c>
      <c r="X138" s="345">
        <v>0</v>
      </c>
      <c r="Y138" s="711">
        <f t="shared" si="18"/>
        <v>0</v>
      </c>
      <c r="Z138" s="712">
        <f>IF(X139,_xll.qDateYears(X138,X139,DCCfloat),0)</f>
        <v>0</v>
      </c>
      <c r="AA138" s="519">
        <f ca="1"/>
        <v>0</v>
      </c>
      <c r="AB138" s="890">
        <f>IF(X138=0,0,         IF(OR(CCY="AUD",CCY="NZD",CCY="GBP"),X138,   _xll.qDateNext(X138,"-2b",,,IF(CCY="EUR","TGT","LON"))))</f>
        <v>0</v>
      </c>
      <c r="AC138" s="879" t="str">
        <v/>
      </c>
      <c r="AD138" s="879" t="str">
        <v/>
      </c>
      <c r="AE138" s="879" t="str">
        <v/>
      </c>
      <c r="AF138" s="879" t="str">
        <v/>
      </c>
      <c r="AG138" s="879" t="str">
        <v/>
      </c>
      <c r="AH138" s="879" t="str">
        <v/>
      </c>
      <c r="AI138" s="879" t="str">
        <v/>
      </c>
      <c r="AJ138" s="879" t="str">
        <v/>
      </c>
      <c r="AK138" s="882">
        <f>IF($X138=0,0,      _xll.qDateNext($X138,AK$12,$AR$11,FRM&lt;&gt;"Calypso",CCY))</f>
        <v>0</v>
      </c>
      <c r="AL138" s="882">
        <f>IF($X138=0,0,      _xll.qDateNext($X138,AL$12,$AR$11,FRM&lt;&gt;"Calypso",CCY))</f>
        <v>0</v>
      </c>
      <c r="AM138" s="882">
        <f>IF($X138=0,0,      _xll.qDateNext($X138,AM$12,$AR$11,FRM&lt;&gt;"Calypso",CCY))</f>
        <v>0</v>
      </c>
      <c r="AN138" s="882">
        <f>IF($X138=0,0,      _xll.qDateNext($X138,AN$12,$AR$11,FRM&lt;&gt;"Calypso",CCY))</f>
        <v>0</v>
      </c>
      <c r="AO138" s="882">
        <f>IF($X138=0,0,      _xll.qDateNext($X138,AO$12,$AR$11,FRM&lt;&gt;"Calypso",CCY))</f>
        <v>0</v>
      </c>
      <c r="AP138" s="882">
        <f>IF($X138=0,0,      _xll.qDateNext($X138,AP$12,$AR$11,FRM&lt;&gt;"Calypso",CCY))</f>
        <v>0</v>
      </c>
      <c r="AQ138" s="882">
        <f>IF($X138=0,0,      _xll.qDateNext($X138,AQ$12,$AR$11,FRM&lt;&gt;"Calypso",CCY))</f>
        <v>0</v>
      </c>
      <c r="AR138" s="882">
        <f>IF($X138=0,0,      _xll.qDateNext($X138,AR$12,$AR$11,FRM&lt;&gt;"Calypso",CCY))</f>
        <v>0</v>
      </c>
      <c r="AS138" s="901">
        <f ca="1"/>
        <v>0</v>
      </c>
      <c r="AT138" s="901">
        <f ca="1"/>
        <v>0</v>
      </c>
      <c r="AU138" s="901">
        <f t="shared" si="28"/>
        <v>0</v>
      </c>
      <c r="AV138" s="901">
        <f ca="1"/>
        <v>0</v>
      </c>
      <c r="AW138" s="901">
        <f t="shared" si="29"/>
        <v>0</v>
      </c>
      <c r="AX138" s="901">
        <f t="shared" si="30"/>
        <v>0</v>
      </c>
      <c r="AY138" s="901">
        <f ca="1"/>
        <v>0</v>
      </c>
      <c r="AZ138" s="901">
        <f ca="1"/>
        <v>0</v>
      </c>
      <c r="BA138" s="905">
        <f t="shared" si="19"/>
        <v>0</v>
      </c>
      <c r="BB138" s="905">
        <f t="shared" si="20"/>
        <v>0</v>
      </c>
      <c r="BC138" s="905">
        <f t="shared" si="21"/>
        <v>0</v>
      </c>
      <c r="BD138" s="905">
        <f t="shared" si="22"/>
        <v>0</v>
      </c>
      <c r="BE138" s="905">
        <f t="shared" si="23"/>
        <v>0</v>
      </c>
      <c r="BF138" s="905">
        <f t="shared" si="24"/>
        <v>0</v>
      </c>
      <c r="BG138" s="905">
        <f t="shared" si="25"/>
        <v>0</v>
      </c>
      <c r="BH138" s="905">
        <f t="shared" si="26"/>
        <v>0</v>
      </c>
      <c r="BI138" s="713">
        <v>0</v>
      </c>
      <c r="BJ138" s="695"/>
      <c r="BK138" s="752">
        <f>IF(X139=0,0,           IF(ISNUMBER(BJ138),BJ138,               IF(ISTEXT(BJ138),INDEX(BA138:BH138,MATCH(BJ138,$BA$12:$BH$12,0)),             IF(BI138="INT",_xll.qInterp(X139,AK138:AR138,BA138:BH138),            INDEX(BA138:BH138,MATCH(BI138,$BA$12:$BH$12,0))))))</f>
        <v>0</v>
      </c>
      <c r="BL138" s="389">
        <f t="shared" si="31"/>
        <v>0</v>
      </c>
      <c r="BM138" s="394">
        <f t="shared" si="32"/>
        <v>0</v>
      </c>
      <c r="BN138" s="389">
        <f t="shared" si="33"/>
        <v>0</v>
      </c>
    </row>
    <row r="139" spans="16:66">
      <c r="P139" s="714">
        <v>0</v>
      </c>
      <c r="Q139" s="715">
        <f t="shared" si="17"/>
        <v>0</v>
      </c>
      <c r="R139" s="712">
        <f>IF(P140,_xll.qDateYears(P139,P140,DCCfixed),0)</f>
        <v>0</v>
      </c>
      <c r="S139" s="519">
        <f ca="1"/>
        <v>0</v>
      </c>
      <c r="T139" s="720"/>
      <c r="U139" s="390">
        <f t="shared" si="27"/>
        <v>0</v>
      </c>
      <c r="X139" s="345">
        <v>0</v>
      </c>
      <c r="Y139" s="711">
        <f t="shared" si="18"/>
        <v>0</v>
      </c>
      <c r="Z139" s="712">
        <f>IF(X140,_xll.qDateYears(X139,X140,DCCfloat),0)</f>
        <v>0</v>
      </c>
      <c r="AA139" s="519">
        <f ca="1"/>
        <v>0</v>
      </c>
      <c r="AB139" s="890">
        <f>IF(X139=0,0,         IF(OR(CCY="AUD",CCY="NZD",CCY="GBP"),X139,   _xll.qDateNext(X139,"-2b",,,IF(CCY="EUR","TGT","LON"))))</f>
        <v>0</v>
      </c>
      <c r="AC139" s="879" t="str">
        <v/>
      </c>
      <c r="AD139" s="879" t="str">
        <v/>
      </c>
      <c r="AE139" s="879" t="str">
        <v/>
      </c>
      <c r="AF139" s="879" t="str">
        <v/>
      </c>
      <c r="AG139" s="879" t="str">
        <v/>
      </c>
      <c r="AH139" s="879" t="str">
        <v/>
      </c>
      <c r="AI139" s="879" t="str">
        <v/>
      </c>
      <c r="AJ139" s="879" t="str">
        <v/>
      </c>
      <c r="AK139" s="882">
        <f>IF($X139=0,0,      _xll.qDateNext($X139,AK$12,$AR$11,FRM&lt;&gt;"Calypso",CCY))</f>
        <v>0</v>
      </c>
      <c r="AL139" s="882">
        <f>IF($X139=0,0,      _xll.qDateNext($X139,AL$12,$AR$11,FRM&lt;&gt;"Calypso",CCY))</f>
        <v>0</v>
      </c>
      <c r="AM139" s="882">
        <f>IF($X139=0,0,      _xll.qDateNext($X139,AM$12,$AR$11,FRM&lt;&gt;"Calypso",CCY))</f>
        <v>0</v>
      </c>
      <c r="AN139" s="882">
        <f>IF($X139=0,0,      _xll.qDateNext($X139,AN$12,$AR$11,FRM&lt;&gt;"Calypso",CCY))</f>
        <v>0</v>
      </c>
      <c r="AO139" s="882">
        <f>IF($X139=0,0,      _xll.qDateNext($X139,AO$12,$AR$11,FRM&lt;&gt;"Calypso",CCY))</f>
        <v>0</v>
      </c>
      <c r="AP139" s="882">
        <f>IF($X139=0,0,      _xll.qDateNext($X139,AP$12,$AR$11,FRM&lt;&gt;"Calypso",CCY))</f>
        <v>0</v>
      </c>
      <c r="AQ139" s="882">
        <f>IF($X139=0,0,      _xll.qDateNext($X139,AQ$12,$AR$11,FRM&lt;&gt;"Calypso",CCY))</f>
        <v>0</v>
      </c>
      <c r="AR139" s="882">
        <f>IF($X139=0,0,      _xll.qDateNext($X139,AR$12,$AR$11,FRM&lt;&gt;"Calypso",CCY))</f>
        <v>0</v>
      </c>
      <c r="AS139" s="901">
        <f ca="1"/>
        <v>0</v>
      </c>
      <c r="AT139" s="901">
        <f ca="1"/>
        <v>0</v>
      </c>
      <c r="AU139" s="901">
        <f t="shared" si="28"/>
        <v>0</v>
      </c>
      <c r="AV139" s="901">
        <f ca="1"/>
        <v>0</v>
      </c>
      <c r="AW139" s="901">
        <f t="shared" si="29"/>
        <v>0</v>
      </c>
      <c r="AX139" s="901">
        <f t="shared" si="30"/>
        <v>0</v>
      </c>
      <c r="AY139" s="901">
        <f ca="1"/>
        <v>0</v>
      </c>
      <c r="AZ139" s="901">
        <f ca="1"/>
        <v>0</v>
      </c>
      <c r="BA139" s="905">
        <f t="shared" si="19"/>
        <v>0</v>
      </c>
      <c r="BB139" s="905">
        <f t="shared" si="20"/>
        <v>0</v>
      </c>
      <c r="BC139" s="905">
        <f t="shared" si="21"/>
        <v>0</v>
      </c>
      <c r="BD139" s="905">
        <f t="shared" si="22"/>
        <v>0</v>
      </c>
      <c r="BE139" s="905">
        <f t="shared" si="23"/>
        <v>0</v>
      </c>
      <c r="BF139" s="905">
        <f t="shared" si="24"/>
        <v>0</v>
      </c>
      <c r="BG139" s="905">
        <f t="shared" si="25"/>
        <v>0</v>
      </c>
      <c r="BH139" s="905">
        <f t="shared" si="26"/>
        <v>0</v>
      </c>
      <c r="BI139" s="713">
        <v>0</v>
      </c>
      <c r="BJ139" s="695"/>
      <c r="BK139" s="752">
        <f>IF(X140=0,0,           IF(ISNUMBER(BJ139),BJ139,               IF(ISTEXT(BJ139),INDEX(BA139:BH139,MATCH(BJ139,$BA$12:$BH$12,0)),             IF(BI139="INT",_xll.qInterp(X140,AK139:AR139,BA139:BH139),            INDEX(BA139:BH139,MATCH(BI139,$BA$12:$BH$12,0))))))</f>
        <v>0</v>
      </c>
      <c r="BL139" s="389">
        <f t="shared" si="31"/>
        <v>0</v>
      </c>
      <c r="BM139" s="394">
        <f t="shared" si="32"/>
        <v>0</v>
      </c>
      <c r="BN139" s="389">
        <f t="shared" si="33"/>
        <v>0</v>
      </c>
    </row>
    <row r="140" spans="16:66">
      <c r="P140" s="714">
        <v>0</v>
      </c>
      <c r="Q140" s="715">
        <f t="shared" si="17"/>
        <v>0</v>
      </c>
      <c r="R140" s="712">
        <f>IF(P141,_xll.qDateYears(P140,P141,DCCfixed),0)</f>
        <v>0</v>
      </c>
      <c r="S140" s="519">
        <f ca="1"/>
        <v>0</v>
      </c>
      <c r="T140" s="720"/>
      <c r="U140" s="390">
        <f t="shared" si="27"/>
        <v>0</v>
      </c>
      <c r="X140" s="345">
        <v>0</v>
      </c>
      <c r="Y140" s="711">
        <f t="shared" si="18"/>
        <v>0</v>
      </c>
      <c r="Z140" s="712">
        <f>IF(X141,_xll.qDateYears(X140,X141,DCCfloat),0)</f>
        <v>0</v>
      </c>
      <c r="AA140" s="519">
        <f ca="1"/>
        <v>0</v>
      </c>
      <c r="AB140" s="890">
        <f>IF(X140=0,0,         IF(OR(CCY="AUD",CCY="NZD",CCY="GBP"),X140,   _xll.qDateNext(X140,"-2b",,,IF(CCY="EUR","TGT","LON"))))</f>
        <v>0</v>
      </c>
      <c r="AC140" s="879" t="str">
        <v/>
      </c>
      <c r="AD140" s="879" t="str">
        <v/>
      </c>
      <c r="AE140" s="879" t="str">
        <v/>
      </c>
      <c r="AF140" s="879" t="str">
        <v/>
      </c>
      <c r="AG140" s="879" t="str">
        <v/>
      </c>
      <c r="AH140" s="879" t="str">
        <v/>
      </c>
      <c r="AI140" s="879" t="str">
        <v/>
      </c>
      <c r="AJ140" s="879" t="str">
        <v/>
      </c>
      <c r="AK140" s="882">
        <f>IF($X140=0,0,      _xll.qDateNext($X140,AK$12,$AR$11,FRM&lt;&gt;"Calypso",CCY))</f>
        <v>0</v>
      </c>
      <c r="AL140" s="882">
        <f>IF($X140=0,0,      _xll.qDateNext($X140,AL$12,$AR$11,FRM&lt;&gt;"Calypso",CCY))</f>
        <v>0</v>
      </c>
      <c r="AM140" s="882">
        <f>IF($X140=0,0,      _xll.qDateNext($X140,AM$12,$AR$11,FRM&lt;&gt;"Calypso",CCY))</f>
        <v>0</v>
      </c>
      <c r="AN140" s="882">
        <f>IF($X140=0,0,      _xll.qDateNext($X140,AN$12,$AR$11,FRM&lt;&gt;"Calypso",CCY))</f>
        <v>0</v>
      </c>
      <c r="AO140" s="882">
        <f>IF($X140=0,0,      _xll.qDateNext($X140,AO$12,$AR$11,FRM&lt;&gt;"Calypso",CCY))</f>
        <v>0</v>
      </c>
      <c r="AP140" s="882">
        <f>IF($X140=0,0,      _xll.qDateNext($X140,AP$12,$AR$11,FRM&lt;&gt;"Calypso",CCY))</f>
        <v>0</v>
      </c>
      <c r="AQ140" s="882">
        <f>IF($X140=0,0,      _xll.qDateNext($X140,AQ$12,$AR$11,FRM&lt;&gt;"Calypso",CCY))</f>
        <v>0</v>
      </c>
      <c r="AR140" s="882">
        <f>IF($X140=0,0,      _xll.qDateNext($X140,AR$12,$AR$11,FRM&lt;&gt;"Calypso",CCY))</f>
        <v>0</v>
      </c>
      <c r="AS140" s="901">
        <f ca="1"/>
        <v>0</v>
      </c>
      <c r="AT140" s="901">
        <f ca="1"/>
        <v>0</v>
      </c>
      <c r="AU140" s="901">
        <f t="shared" si="28"/>
        <v>0</v>
      </c>
      <c r="AV140" s="901">
        <f ca="1"/>
        <v>0</v>
      </c>
      <c r="AW140" s="901">
        <f t="shared" si="29"/>
        <v>0</v>
      </c>
      <c r="AX140" s="901">
        <f t="shared" si="30"/>
        <v>0</v>
      </c>
      <c r="AY140" s="901">
        <f ca="1"/>
        <v>0</v>
      </c>
      <c r="AZ140" s="901">
        <f ca="1"/>
        <v>0</v>
      </c>
      <c r="BA140" s="905">
        <f t="shared" si="19"/>
        <v>0</v>
      </c>
      <c r="BB140" s="905">
        <f t="shared" si="20"/>
        <v>0</v>
      </c>
      <c r="BC140" s="905">
        <f t="shared" si="21"/>
        <v>0</v>
      </c>
      <c r="BD140" s="905">
        <f t="shared" si="22"/>
        <v>0</v>
      </c>
      <c r="BE140" s="905">
        <f t="shared" si="23"/>
        <v>0</v>
      </c>
      <c r="BF140" s="905">
        <f t="shared" si="24"/>
        <v>0</v>
      </c>
      <c r="BG140" s="905">
        <f t="shared" si="25"/>
        <v>0</v>
      </c>
      <c r="BH140" s="905">
        <f t="shared" si="26"/>
        <v>0</v>
      </c>
      <c r="BI140" s="713">
        <v>0</v>
      </c>
      <c r="BJ140" s="695"/>
      <c r="BK140" s="752">
        <f>IF(X141=0,0,           IF(ISNUMBER(BJ140),BJ140,               IF(ISTEXT(BJ140),INDEX(BA140:BH140,MATCH(BJ140,$BA$12:$BH$12,0)),             IF(BI140="INT",_xll.qInterp(X141,AK140:AR140,BA140:BH140),            INDEX(BA140:BH140,MATCH(BI140,$BA$12:$BH$12,0))))))</f>
        <v>0</v>
      </c>
      <c r="BL140" s="389">
        <f t="shared" si="31"/>
        <v>0</v>
      </c>
      <c r="BM140" s="394">
        <f t="shared" si="32"/>
        <v>0</v>
      </c>
      <c r="BN140" s="389">
        <f t="shared" si="33"/>
        <v>0</v>
      </c>
    </row>
    <row r="141" spans="16:66">
      <c r="P141" s="714">
        <v>0</v>
      </c>
      <c r="Q141" s="715">
        <f t="shared" ref="Q141:Q204" si="34">IF(P142,IF(LEFT(DCCfixed,3)="Act",P142-P141,DAYS360(P141,P142)),0)</f>
        <v>0</v>
      </c>
      <c r="R141" s="712">
        <f>IF(P142,_xll.qDateYears(P141,P142,DCCfixed),0)</f>
        <v>0</v>
      </c>
      <c r="S141" s="519">
        <f ca="1"/>
        <v>0</v>
      </c>
      <c r="T141" s="720"/>
      <c r="U141" s="390">
        <f t="shared" si="27"/>
        <v>0</v>
      </c>
      <c r="X141" s="345">
        <v>0</v>
      </c>
      <c r="Y141" s="711">
        <f t="shared" ref="Y141:Y204" si="35">IF(X142,IF(LEFT(DCCfloat,3)="Act",X142-X141,DAYS360(X141,X142)),0)</f>
        <v>0</v>
      </c>
      <c r="Z141" s="712">
        <f>IF(X142,_xll.qDateYears(X141,X142,DCCfloat),0)</f>
        <v>0</v>
      </c>
      <c r="AA141" s="519">
        <f ca="1"/>
        <v>0</v>
      </c>
      <c r="AB141" s="890">
        <f>IF(X141=0,0,         IF(OR(CCY="AUD",CCY="NZD",CCY="GBP"),X141,   _xll.qDateNext(X141,"-2b",,,IF(CCY="EUR","TGT","LON"))))</f>
        <v>0</v>
      </c>
      <c r="AC141" s="879" t="str">
        <v/>
      </c>
      <c r="AD141" s="879" t="str">
        <v/>
      </c>
      <c r="AE141" s="879" t="str">
        <v/>
      </c>
      <c r="AF141" s="879" t="str">
        <v/>
      </c>
      <c r="AG141" s="879" t="str">
        <v/>
      </c>
      <c r="AH141" s="879" t="str">
        <v/>
      </c>
      <c r="AI141" s="879" t="str">
        <v/>
      </c>
      <c r="AJ141" s="879" t="str">
        <v/>
      </c>
      <c r="AK141" s="882">
        <f>IF($X141=0,0,      _xll.qDateNext($X141,AK$12,$AR$11,FRM&lt;&gt;"Calypso",CCY))</f>
        <v>0</v>
      </c>
      <c r="AL141" s="882">
        <f>IF($X141=0,0,      _xll.qDateNext($X141,AL$12,$AR$11,FRM&lt;&gt;"Calypso",CCY))</f>
        <v>0</v>
      </c>
      <c r="AM141" s="882">
        <f>IF($X141=0,0,      _xll.qDateNext($X141,AM$12,$AR$11,FRM&lt;&gt;"Calypso",CCY))</f>
        <v>0</v>
      </c>
      <c r="AN141" s="882">
        <f>IF($X141=0,0,      _xll.qDateNext($X141,AN$12,$AR$11,FRM&lt;&gt;"Calypso",CCY))</f>
        <v>0</v>
      </c>
      <c r="AO141" s="882">
        <f>IF($X141=0,0,      _xll.qDateNext($X141,AO$12,$AR$11,FRM&lt;&gt;"Calypso",CCY))</f>
        <v>0</v>
      </c>
      <c r="AP141" s="882">
        <f>IF($X141=0,0,      _xll.qDateNext($X141,AP$12,$AR$11,FRM&lt;&gt;"Calypso",CCY))</f>
        <v>0</v>
      </c>
      <c r="AQ141" s="882">
        <f>IF($X141=0,0,      _xll.qDateNext($X141,AQ$12,$AR$11,FRM&lt;&gt;"Calypso",CCY))</f>
        <v>0</v>
      </c>
      <c r="AR141" s="882">
        <f>IF($X141=0,0,      _xll.qDateNext($X141,AR$12,$AR$11,FRM&lt;&gt;"Calypso",CCY))</f>
        <v>0</v>
      </c>
      <c r="AS141" s="901">
        <f ca="1"/>
        <v>0</v>
      </c>
      <c r="AT141" s="901">
        <f ca="1"/>
        <v>0</v>
      </c>
      <c r="AU141" s="901">
        <f t="shared" si="28"/>
        <v>0</v>
      </c>
      <c r="AV141" s="901">
        <f ca="1"/>
        <v>0</v>
      </c>
      <c r="AW141" s="901">
        <f t="shared" si="29"/>
        <v>0</v>
      </c>
      <c r="AX141" s="901">
        <f t="shared" si="30"/>
        <v>0</v>
      </c>
      <c r="AY141" s="901">
        <f ca="1"/>
        <v>0</v>
      </c>
      <c r="AZ141" s="901">
        <f ca="1"/>
        <v>0</v>
      </c>
      <c r="BA141" s="905">
        <f t="shared" ref="BA141:BA204" si="36">IF($X141=0,0,   IF(ISNUMBER(AC141),AC141,AS141))</f>
        <v>0</v>
      </c>
      <c r="BB141" s="905">
        <f t="shared" ref="BB141:BB204" si="37">IF($X141=0,0,   IF(ISNUMBER(AD141),AD141,AT141))</f>
        <v>0</v>
      </c>
      <c r="BC141" s="905">
        <f t="shared" ref="BC141:BC204" si="38">IF($X141=0,0,   IF(ISNUMBER(AE141),AE141,AU141))</f>
        <v>0</v>
      </c>
      <c r="BD141" s="905">
        <f t="shared" ref="BD141:BD204" si="39">IF($X141=0,0,   IF(ISNUMBER(AF141),AF141,AV141))</f>
        <v>0</v>
      </c>
      <c r="BE141" s="905">
        <f t="shared" ref="BE141:BE204" si="40">IF($X141=0,0,   IF(ISNUMBER(AG141),AG141,AW141))</f>
        <v>0</v>
      </c>
      <c r="BF141" s="905">
        <f t="shared" ref="BF141:BF204" si="41">IF($X141=0,0,   IF(ISNUMBER(AH141),AH141,AX141))</f>
        <v>0</v>
      </c>
      <c r="BG141" s="905">
        <f t="shared" ref="BG141:BG204" si="42">IF($X141=0,0,   IF(ISNUMBER(AI141),AI141,AY141))</f>
        <v>0</v>
      </c>
      <c r="BH141" s="905">
        <f t="shared" ref="BH141:BH204" si="43">IF($X141=0,0,   IF(ISNUMBER(AJ141),AJ141,AZ141))</f>
        <v>0</v>
      </c>
      <c r="BI141" s="713">
        <v>0</v>
      </c>
      <c r="BJ141" s="695"/>
      <c r="BK141" s="752">
        <f>IF(X142=0,0,           IF(ISNUMBER(BJ141),BJ141,               IF(ISTEXT(BJ141),INDEX(BA141:BH141,MATCH(BJ141,$BA$12:$BH$12,0)),             IF(BI141="INT",_xll.qInterp(X142,AK141:AR141,BA141:BH141),            INDEX(BA141:BH141,MATCH(BI141,$BA$12:$BH$12,0))))))</f>
        <v>0</v>
      </c>
      <c r="BL141" s="389">
        <f t="shared" si="31"/>
        <v>0</v>
      </c>
      <c r="BM141" s="394">
        <f t="shared" si="32"/>
        <v>0</v>
      </c>
      <c r="BN141" s="389">
        <f t="shared" si="33"/>
        <v>0</v>
      </c>
    </row>
    <row r="142" spans="16:66">
      <c r="P142" s="714">
        <v>0</v>
      </c>
      <c r="Q142" s="715">
        <f t="shared" si="34"/>
        <v>0</v>
      </c>
      <c r="R142" s="712">
        <f>IF(P143,_xll.qDateYears(P142,P143,DCCfixed),0)</f>
        <v>0</v>
      </c>
      <c r="S142" s="519">
        <f ca="1"/>
        <v>0</v>
      </c>
      <c r="T142" s="720"/>
      <c r="U142" s="390">
        <f t="shared" ref="U142:U205" si="44">IF(P142,$U$5%*R141*Face,0) + IF(AND(IncludePrincipals,P142&gt;0,P143=0),Face,0) + IF(P142,T142,0)</f>
        <v>0</v>
      </c>
      <c r="X142" s="345">
        <v>0</v>
      </c>
      <c r="Y142" s="711">
        <f t="shared" si="35"/>
        <v>0</v>
      </c>
      <c r="Z142" s="712">
        <f>IF(X143,_xll.qDateYears(X142,X143,DCCfloat),0)</f>
        <v>0</v>
      </c>
      <c r="AA142" s="519">
        <f ca="1"/>
        <v>0</v>
      </c>
      <c r="AB142" s="890">
        <f>IF(X142=0,0,         IF(OR(CCY="AUD",CCY="NZD",CCY="GBP"),X142,   _xll.qDateNext(X142,"-2b",,,IF(CCY="EUR","TGT","LON"))))</f>
        <v>0</v>
      </c>
      <c r="AC142" s="879" t="str">
        <v/>
      </c>
      <c r="AD142" s="879" t="str">
        <v/>
      </c>
      <c r="AE142" s="879" t="str">
        <v/>
      </c>
      <c r="AF142" s="879" t="str">
        <v/>
      </c>
      <c r="AG142" s="879" t="str">
        <v/>
      </c>
      <c r="AH142" s="879" t="str">
        <v/>
      </c>
      <c r="AI142" s="879" t="str">
        <v/>
      </c>
      <c r="AJ142" s="879" t="str">
        <v/>
      </c>
      <c r="AK142" s="882">
        <f>IF($X142=0,0,      _xll.qDateNext($X142,AK$12,$AR$11,FRM&lt;&gt;"Calypso",CCY))</f>
        <v>0</v>
      </c>
      <c r="AL142" s="882">
        <f>IF($X142=0,0,      _xll.qDateNext($X142,AL$12,$AR$11,FRM&lt;&gt;"Calypso",CCY))</f>
        <v>0</v>
      </c>
      <c r="AM142" s="882">
        <f>IF($X142=0,0,      _xll.qDateNext($X142,AM$12,$AR$11,FRM&lt;&gt;"Calypso",CCY))</f>
        <v>0</v>
      </c>
      <c r="AN142" s="882">
        <f>IF($X142=0,0,      _xll.qDateNext($X142,AN$12,$AR$11,FRM&lt;&gt;"Calypso",CCY))</f>
        <v>0</v>
      </c>
      <c r="AO142" s="882">
        <f>IF($X142=0,0,      _xll.qDateNext($X142,AO$12,$AR$11,FRM&lt;&gt;"Calypso",CCY))</f>
        <v>0</v>
      </c>
      <c r="AP142" s="882">
        <f>IF($X142=0,0,      _xll.qDateNext($X142,AP$12,$AR$11,FRM&lt;&gt;"Calypso",CCY))</f>
        <v>0</v>
      </c>
      <c r="AQ142" s="882">
        <f>IF($X142=0,0,      _xll.qDateNext($X142,AQ$12,$AR$11,FRM&lt;&gt;"Calypso",CCY))</f>
        <v>0</v>
      </c>
      <c r="AR142" s="882">
        <f>IF($X142=0,0,      _xll.qDateNext($X142,AR$12,$AR$11,FRM&lt;&gt;"Calypso",CCY))</f>
        <v>0</v>
      </c>
      <c r="AS142" s="901">
        <f ca="1"/>
        <v>0</v>
      </c>
      <c r="AT142" s="901">
        <f ca="1"/>
        <v>0</v>
      </c>
      <c r="AU142" s="901">
        <f t="shared" ref="AU142:AU205" si="45">IF($X142,AVERAGE(AT142,AV142),0)</f>
        <v>0</v>
      </c>
      <c r="AV142" s="901">
        <f ca="1"/>
        <v>0</v>
      </c>
      <c r="AW142" s="901">
        <f t="shared" ref="AW142:AW205" si="46">IF($X142,AV142+(AY142-AV142)/3,0)</f>
        <v>0</v>
      </c>
      <c r="AX142" s="901">
        <f t="shared" ref="AX142:AX205" si="47">IF($X142,AVERAGE(AW142,AY142),0)</f>
        <v>0</v>
      </c>
      <c r="AY142" s="901">
        <f ca="1"/>
        <v>0</v>
      </c>
      <c r="AZ142" s="901">
        <f ca="1"/>
        <v>0</v>
      </c>
      <c r="BA142" s="905">
        <f t="shared" si="36"/>
        <v>0</v>
      </c>
      <c r="BB142" s="905">
        <f t="shared" si="37"/>
        <v>0</v>
      </c>
      <c r="BC142" s="905">
        <f t="shared" si="38"/>
        <v>0</v>
      </c>
      <c r="BD142" s="905">
        <f t="shared" si="39"/>
        <v>0</v>
      </c>
      <c r="BE142" s="905">
        <f t="shared" si="40"/>
        <v>0</v>
      </c>
      <c r="BF142" s="905">
        <f t="shared" si="41"/>
        <v>0</v>
      </c>
      <c r="BG142" s="905">
        <f t="shared" si="42"/>
        <v>0</v>
      </c>
      <c r="BH142" s="905">
        <f t="shared" si="43"/>
        <v>0</v>
      </c>
      <c r="BI142" s="713">
        <v>0</v>
      </c>
      <c r="BJ142" s="695"/>
      <c r="BK142" s="752">
        <f>IF(X143=0,0,           IF(ISNUMBER(BJ142),BJ142,               IF(ISTEXT(BJ142),INDEX(BA142:BH142,MATCH(BJ142,$BA$12:$BH$12,0)),             IF(BI142="INT",_xll.qInterp(X143,AK142:AR142,BA142:BH142),            INDEX(BA142:BH142,MATCH(BI142,$BA$12:$BH$12,0))))))</f>
        <v>0</v>
      </c>
      <c r="BL142" s="389">
        <f t="shared" ref="BL142:BL205" si="48">IF(X142,-BK141%*Face*Z141,0)</f>
        <v>0</v>
      </c>
      <c r="BM142" s="394">
        <f t="shared" ref="BM142:BM205" si="49">IF(X142,-Margin%%*Z141*Face,0)</f>
        <v>0</v>
      </c>
      <c r="BN142" s="389">
        <f t="shared" ref="BN142:BN205" si="50">SUM(BL142:BM142)+IF(AND(IncludePrincipals,X142&lt;&gt;0,X143=0),-Face,0)</f>
        <v>0</v>
      </c>
    </row>
    <row r="143" spans="16:66">
      <c r="P143" s="714">
        <v>0</v>
      </c>
      <c r="Q143" s="715">
        <f t="shared" si="34"/>
        <v>0</v>
      </c>
      <c r="R143" s="712">
        <f>IF(P144,_xll.qDateYears(P143,P144,DCCfixed),0)</f>
        <v>0</v>
      </c>
      <c r="S143" s="519">
        <f ca="1"/>
        <v>0</v>
      </c>
      <c r="T143" s="720"/>
      <c r="U143" s="390">
        <f t="shared" si="44"/>
        <v>0</v>
      </c>
      <c r="X143" s="345">
        <v>0</v>
      </c>
      <c r="Y143" s="711">
        <f t="shared" si="35"/>
        <v>0</v>
      </c>
      <c r="Z143" s="712">
        <f>IF(X144,_xll.qDateYears(X143,X144,DCCfloat),0)</f>
        <v>0</v>
      </c>
      <c r="AA143" s="519">
        <f ca="1"/>
        <v>0</v>
      </c>
      <c r="AB143" s="890">
        <f>IF(X143=0,0,         IF(OR(CCY="AUD",CCY="NZD",CCY="GBP"),X143,   _xll.qDateNext(X143,"-2b",,,IF(CCY="EUR","TGT","LON"))))</f>
        <v>0</v>
      </c>
      <c r="AC143" s="879" t="str">
        <v/>
      </c>
      <c r="AD143" s="879" t="str">
        <v/>
      </c>
      <c r="AE143" s="879" t="str">
        <v/>
      </c>
      <c r="AF143" s="879" t="str">
        <v/>
      </c>
      <c r="AG143" s="879" t="str">
        <v/>
      </c>
      <c r="AH143" s="879" t="str">
        <v/>
      </c>
      <c r="AI143" s="879" t="str">
        <v/>
      </c>
      <c r="AJ143" s="879" t="str">
        <v/>
      </c>
      <c r="AK143" s="882">
        <f>IF($X143=0,0,      _xll.qDateNext($X143,AK$12,$AR$11,FRM&lt;&gt;"Calypso",CCY))</f>
        <v>0</v>
      </c>
      <c r="AL143" s="882">
        <f>IF($X143=0,0,      _xll.qDateNext($X143,AL$12,$AR$11,FRM&lt;&gt;"Calypso",CCY))</f>
        <v>0</v>
      </c>
      <c r="AM143" s="882">
        <f>IF($X143=0,0,      _xll.qDateNext($X143,AM$12,$AR$11,FRM&lt;&gt;"Calypso",CCY))</f>
        <v>0</v>
      </c>
      <c r="AN143" s="882">
        <f>IF($X143=0,0,      _xll.qDateNext($X143,AN$12,$AR$11,FRM&lt;&gt;"Calypso",CCY))</f>
        <v>0</v>
      </c>
      <c r="AO143" s="882">
        <f>IF($X143=0,0,      _xll.qDateNext($X143,AO$12,$AR$11,FRM&lt;&gt;"Calypso",CCY))</f>
        <v>0</v>
      </c>
      <c r="AP143" s="882">
        <f>IF($X143=0,0,      _xll.qDateNext($X143,AP$12,$AR$11,FRM&lt;&gt;"Calypso",CCY))</f>
        <v>0</v>
      </c>
      <c r="AQ143" s="882">
        <f>IF($X143=0,0,      _xll.qDateNext($X143,AQ$12,$AR$11,FRM&lt;&gt;"Calypso",CCY))</f>
        <v>0</v>
      </c>
      <c r="AR143" s="882">
        <f>IF($X143=0,0,      _xll.qDateNext($X143,AR$12,$AR$11,FRM&lt;&gt;"Calypso",CCY))</f>
        <v>0</v>
      </c>
      <c r="AS143" s="901">
        <f ca="1"/>
        <v>0</v>
      </c>
      <c r="AT143" s="901">
        <f ca="1"/>
        <v>0</v>
      </c>
      <c r="AU143" s="901">
        <f t="shared" si="45"/>
        <v>0</v>
      </c>
      <c r="AV143" s="901">
        <f ca="1"/>
        <v>0</v>
      </c>
      <c r="AW143" s="901">
        <f t="shared" si="46"/>
        <v>0</v>
      </c>
      <c r="AX143" s="901">
        <f t="shared" si="47"/>
        <v>0</v>
      </c>
      <c r="AY143" s="901">
        <f ca="1"/>
        <v>0</v>
      </c>
      <c r="AZ143" s="901">
        <f ca="1"/>
        <v>0</v>
      </c>
      <c r="BA143" s="905">
        <f t="shared" si="36"/>
        <v>0</v>
      </c>
      <c r="BB143" s="905">
        <f t="shared" si="37"/>
        <v>0</v>
      </c>
      <c r="BC143" s="905">
        <f t="shared" si="38"/>
        <v>0</v>
      </c>
      <c r="BD143" s="905">
        <f t="shared" si="39"/>
        <v>0</v>
      </c>
      <c r="BE143" s="905">
        <f t="shared" si="40"/>
        <v>0</v>
      </c>
      <c r="BF143" s="905">
        <f t="shared" si="41"/>
        <v>0</v>
      </c>
      <c r="BG143" s="905">
        <f t="shared" si="42"/>
        <v>0</v>
      </c>
      <c r="BH143" s="905">
        <f t="shared" si="43"/>
        <v>0</v>
      </c>
      <c r="BI143" s="713">
        <v>0</v>
      </c>
      <c r="BJ143" s="695"/>
      <c r="BK143" s="752">
        <f>IF(X144=0,0,           IF(ISNUMBER(BJ143),BJ143,               IF(ISTEXT(BJ143),INDEX(BA143:BH143,MATCH(BJ143,$BA$12:$BH$12,0)),             IF(BI143="INT",_xll.qInterp(X144,AK143:AR143,BA143:BH143),            INDEX(BA143:BH143,MATCH(BI143,$BA$12:$BH$12,0))))))</f>
        <v>0</v>
      </c>
      <c r="BL143" s="389">
        <f t="shared" si="48"/>
        <v>0</v>
      </c>
      <c r="BM143" s="394">
        <f t="shared" si="49"/>
        <v>0</v>
      </c>
      <c r="BN143" s="389">
        <f t="shared" si="50"/>
        <v>0</v>
      </c>
    </row>
    <row r="144" spans="16:66">
      <c r="P144" s="714">
        <v>0</v>
      </c>
      <c r="Q144" s="715">
        <f t="shared" si="34"/>
        <v>0</v>
      </c>
      <c r="R144" s="712">
        <f>IF(P145,_xll.qDateYears(P144,P145,DCCfixed),0)</f>
        <v>0</v>
      </c>
      <c r="S144" s="519">
        <f ca="1"/>
        <v>0</v>
      </c>
      <c r="T144" s="720"/>
      <c r="U144" s="390">
        <f t="shared" si="44"/>
        <v>0</v>
      </c>
      <c r="X144" s="345">
        <v>0</v>
      </c>
      <c r="Y144" s="711">
        <f t="shared" si="35"/>
        <v>0</v>
      </c>
      <c r="Z144" s="712">
        <f>IF(X145,_xll.qDateYears(X144,X145,DCCfloat),0)</f>
        <v>0</v>
      </c>
      <c r="AA144" s="519">
        <f ca="1"/>
        <v>0</v>
      </c>
      <c r="AB144" s="890">
        <f>IF(X144=0,0,         IF(OR(CCY="AUD",CCY="NZD",CCY="GBP"),X144,   _xll.qDateNext(X144,"-2b",,,IF(CCY="EUR","TGT","LON"))))</f>
        <v>0</v>
      </c>
      <c r="AC144" s="879" t="str">
        <v/>
      </c>
      <c r="AD144" s="879" t="str">
        <v/>
      </c>
      <c r="AE144" s="879" t="str">
        <v/>
      </c>
      <c r="AF144" s="879" t="str">
        <v/>
      </c>
      <c r="AG144" s="879" t="str">
        <v/>
      </c>
      <c r="AH144" s="879" t="str">
        <v/>
      </c>
      <c r="AI144" s="879" t="str">
        <v/>
      </c>
      <c r="AJ144" s="879" t="str">
        <v/>
      </c>
      <c r="AK144" s="882">
        <f>IF($X144=0,0,      _xll.qDateNext($X144,AK$12,$AR$11,FRM&lt;&gt;"Calypso",CCY))</f>
        <v>0</v>
      </c>
      <c r="AL144" s="882">
        <f>IF($X144=0,0,      _xll.qDateNext($X144,AL$12,$AR$11,FRM&lt;&gt;"Calypso",CCY))</f>
        <v>0</v>
      </c>
      <c r="AM144" s="882">
        <f>IF($X144=0,0,      _xll.qDateNext($X144,AM$12,$AR$11,FRM&lt;&gt;"Calypso",CCY))</f>
        <v>0</v>
      </c>
      <c r="AN144" s="882">
        <f>IF($X144=0,0,      _xll.qDateNext($X144,AN$12,$AR$11,FRM&lt;&gt;"Calypso",CCY))</f>
        <v>0</v>
      </c>
      <c r="AO144" s="882">
        <f>IF($X144=0,0,      _xll.qDateNext($X144,AO$12,$AR$11,FRM&lt;&gt;"Calypso",CCY))</f>
        <v>0</v>
      </c>
      <c r="AP144" s="882">
        <f>IF($X144=0,0,      _xll.qDateNext($X144,AP$12,$AR$11,FRM&lt;&gt;"Calypso",CCY))</f>
        <v>0</v>
      </c>
      <c r="AQ144" s="882">
        <f>IF($X144=0,0,      _xll.qDateNext($X144,AQ$12,$AR$11,FRM&lt;&gt;"Calypso",CCY))</f>
        <v>0</v>
      </c>
      <c r="AR144" s="882">
        <f>IF($X144=0,0,      _xll.qDateNext($X144,AR$12,$AR$11,FRM&lt;&gt;"Calypso",CCY))</f>
        <v>0</v>
      </c>
      <c r="AS144" s="901">
        <f ca="1"/>
        <v>0</v>
      </c>
      <c r="AT144" s="901">
        <f ca="1"/>
        <v>0</v>
      </c>
      <c r="AU144" s="901">
        <f t="shared" si="45"/>
        <v>0</v>
      </c>
      <c r="AV144" s="901">
        <f ca="1"/>
        <v>0</v>
      </c>
      <c r="AW144" s="901">
        <f t="shared" si="46"/>
        <v>0</v>
      </c>
      <c r="AX144" s="901">
        <f t="shared" si="47"/>
        <v>0</v>
      </c>
      <c r="AY144" s="901">
        <f ca="1"/>
        <v>0</v>
      </c>
      <c r="AZ144" s="901">
        <f ca="1"/>
        <v>0</v>
      </c>
      <c r="BA144" s="905">
        <f t="shared" si="36"/>
        <v>0</v>
      </c>
      <c r="BB144" s="905">
        <f t="shared" si="37"/>
        <v>0</v>
      </c>
      <c r="BC144" s="905">
        <f t="shared" si="38"/>
        <v>0</v>
      </c>
      <c r="BD144" s="905">
        <f t="shared" si="39"/>
        <v>0</v>
      </c>
      <c r="BE144" s="905">
        <f t="shared" si="40"/>
        <v>0</v>
      </c>
      <c r="BF144" s="905">
        <f t="shared" si="41"/>
        <v>0</v>
      </c>
      <c r="BG144" s="905">
        <f t="shared" si="42"/>
        <v>0</v>
      </c>
      <c r="BH144" s="905">
        <f t="shared" si="43"/>
        <v>0</v>
      </c>
      <c r="BI144" s="713">
        <v>0</v>
      </c>
      <c r="BJ144" s="695"/>
      <c r="BK144" s="752">
        <f>IF(X145=0,0,           IF(ISNUMBER(BJ144),BJ144,               IF(ISTEXT(BJ144),INDEX(BA144:BH144,MATCH(BJ144,$BA$12:$BH$12,0)),             IF(BI144="INT",_xll.qInterp(X145,AK144:AR144,BA144:BH144),            INDEX(BA144:BH144,MATCH(BI144,$BA$12:$BH$12,0))))))</f>
        <v>0</v>
      </c>
      <c r="BL144" s="389">
        <f t="shared" si="48"/>
        <v>0</v>
      </c>
      <c r="BM144" s="394">
        <f t="shared" si="49"/>
        <v>0</v>
      </c>
      <c r="BN144" s="389">
        <f t="shared" si="50"/>
        <v>0</v>
      </c>
    </row>
    <row r="145" spans="16:66">
      <c r="P145" s="714">
        <v>0</v>
      </c>
      <c r="Q145" s="715">
        <f t="shared" si="34"/>
        <v>0</v>
      </c>
      <c r="R145" s="712">
        <f>IF(P146,_xll.qDateYears(P145,P146,DCCfixed),0)</f>
        <v>0</v>
      </c>
      <c r="S145" s="519">
        <f ca="1"/>
        <v>0</v>
      </c>
      <c r="T145" s="720"/>
      <c r="U145" s="390">
        <f t="shared" si="44"/>
        <v>0</v>
      </c>
      <c r="X145" s="345">
        <v>0</v>
      </c>
      <c r="Y145" s="711">
        <f t="shared" si="35"/>
        <v>0</v>
      </c>
      <c r="Z145" s="712">
        <f>IF(X146,_xll.qDateYears(X145,X146,DCCfloat),0)</f>
        <v>0</v>
      </c>
      <c r="AA145" s="519">
        <f ca="1"/>
        <v>0</v>
      </c>
      <c r="AB145" s="890">
        <f>IF(X145=0,0,         IF(OR(CCY="AUD",CCY="NZD",CCY="GBP"),X145,   _xll.qDateNext(X145,"-2b",,,IF(CCY="EUR","TGT","LON"))))</f>
        <v>0</v>
      </c>
      <c r="AC145" s="879" t="str">
        <v/>
      </c>
      <c r="AD145" s="879" t="str">
        <v/>
      </c>
      <c r="AE145" s="879" t="str">
        <v/>
      </c>
      <c r="AF145" s="879" t="str">
        <v/>
      </c>
      <c r="AG145" s="879" t="str">
        <v/>
      </c>
      <c r="AH145" s="879" t="str">
        <v/>
      </c>
      <c r="AI145" s="879" t="str">
        <v/>
      </c>
      <c r="AJ145" s="879" t="str">
        <v/>
      </c>
      <c r="AK145" s="882">
        <f>IF($X145=0,0,      _xll.qDateNext($X145,AK$12,$AR$11,FRM&lt;&gt;"Calypso",CCY))</f>
        <v>0</v>
      </c>
      <c r="AL145" s="882">
        <f>IF($X145=0,0,      _xll.qDateNext($X145,AL$12,$AR$11,FRM&lt;&gt;"Calypso",CCY))</f>
        <v>0</v>
      </c>
      <c r="AM145" s="882">
        <f>IF($X145=0,0,      _xll.qDateNext($X145,AM$12,$AR$11,FRM&lt;&gt;"Calypso",CCY))</f>
        <v>0</v>
      </c>
      <c r="AN145" s="882">
        <f>IF($X145=0,0,      _xll.qDateNext($X145,AN$12,$AR$11,FRM&lt;&gt;"Calypso",CCY))</f>
        <v>0</v>
      </c>
      <c r="AO145" s="882">
        <f>IF($X145=0,0,      _xll.qDateNext($X145,AO$12,$AR$11,FRM&lt;&gt;"Calypso",CCY))</f>
        <v>0</v>
      </c>
      <c r="AP145" s="882">
        <f>IF($X145=0,0,      _xll.qDateNext($X145,AP$12,$AR$11,FRM&lt;&gt;"Calypso",CCY))</f>
        <v>0</v>
      </c>
      <c r="AQ145" s="882">
        <f>IF($X145=0,0,      _xll.qDateNext($X145,AQ$12,$AR$11,FRM&lt;&gt;"Calypso",CCY))</f>
        <v>0</v>
      </c>
      <c r="AR145" s="882">
        <f>IF($X145=0,0,      _xll.qDateNext($X145,AR$12,$AR$11,FRM&lt;&gt;"Calypso",CCY))</f>
        <v>0</v>
      </c>
      <c r="AS145" s="901">
        <f ca="1"/>
        <v>0</v>
      </c>
      <c r="AT145" s="901">
        <f ca="1"/>
        <v>0</v>
      </c>
      <c r="AU145" s="901">
        <f t="shared" si="45"/>
        <v>0</v>
      </c>
      <c r="AV145" s="901">
        <f ca="1"/>
        <v>0</v>
      </c>
      <c r="AW145" s="901">
        <f t="shared" si="46"/>
        <v>0</v>
      </c>
      <c r="AX145" s="901">
        <f t="shared" si="47"/>
        <v>0</v>
      </c>
      <c r="AY145" s="901">
        <f ca="1"/>
        <v>0</v>
      </c>
      <c r="AZ145" s="901">
        <f ca="1"/>
        <v>0</v>
      </c>
      <c r="BA145" s="905">
        <f t="shared" si="36"/>
        <v>0</v>
      </c>
      <c r="BB145" s="905">
        <f t="shared" si="37"/>
        <v>0</v>
      </c>
      <c r="BC145" s="905">
        <f t="shared" si="38"/>
        <v>0</v>
      </c>
      <c r="BD145" s="905">
        <f t="shared" si="39"/>
        <v>0</v>
      </c>
      <c r="BE145" s="905">
        <f t="shared" si="40"/>
        <v>0</v>
      </c>
      <c r="BF145" s="905">
        <f t="shared" si="41"/>
        <v>0</v>
      </c>
      <c r="BG145" s="905">
        <f t="shared" si="42"/>
        <v>0</v>
      </c>
      <c r="BH145" s="905">
        <f t="shared" si="43"/>
        <v>0</v>
      </c>
      <c r="BI145" s="713">
        <v>0</v>
      </c>
      <c r="BJ145" s="695"/>
      <c r="BK145" s="752">
        <f>IF(X146=0,0,           IF(ISNUMBER(BJ145),BJ145,               IF(ISTEXT(BJ145),INDEX(BA145:BH145,MATCH(BJ145,$BA$12:$BH$12,0)),             IF(BI145="INT",_xll.qInterp(X146,AK145:AR145,BA145:BH145),            INDEX(BA145:BH145,MATCH(BI145,$BA$12:$BH$12,0))))))</f>
        <v>0</v>
      </c>
      <c r="BL145" s="389">
        <f t="shared" si="48"/>
        <v>0</v>
      </c>
      <c r="BM145" s="394">
        <f t="shared" si="49"/>
        <v>0</v>
      </c>
      <c r="BN145" s="389">
        <f t="shared" si="50"/>
        <v>0</v>
      </c>
    </row>
    <row r="146" spans="16:66">
      <c r="P146" s="714">
        <v>0</v>
      </c>
      <c r="Q146" s="715">
        <f t="shared" si="34"/>
        <v>0</v>
      </c>
      <c r="R146" s="712">
        <f>IF(P147,_xll.qDateYears(P146,P147,DCCfixed),0)</f>
        <v>0</v>
      </c>
      <c r="S146" s="519">
        <f ca="1"/>
        <v>0</v>
      </c>
      <c r="T146" s="720"/>
      <c r="U146" s="390">
        <f t="shared" si="44"/>
        <v>0</v>
      </c>
      <c r="X146" s="345">
        <v>0</v>
      </c>
      <c r="Y146" s="711">
        <f t="shared" si="35"/>
        <v>0</v>
      </c>
      <c r="Z146" s="712">
        <f>IF(X147,_xll.qDateYears(X146,X147,DCCfloat),0)</f>
        <v>0</v>
      </c>
      <c r="AA146" s="519">
        <f ca="1"/>
        <v>0</v>
      </c>
      <c r="AB146" s="890">
        <f>IF(X146=0,0,         IF(OR(CCY="AUD",CCY="NZD",CCY="GBP"),X146,   _xll.qDateNext(X146,"-2b",,,IF(CCY="EUR","TGT","LON"))))</f>
        <v>0</v>
      </c>
      <c r="AC146" s="879" t="str">
        <v/>
      </c>
      <c r="AD146" s="879" t="str">
        <v/>
      </c>
      <c r="AE146" s="879" t="str">
        <v/>
      </c>
      <c r="AF146" s="879" t="str">
        <v/>
      </c>
      <c r="AG146" s="879" t="str">
        <v/>
      </c>
      <c r="AH146" s="879" t="str">
        <v/>
      </c>
      <c r="AI146" s="879" t="str">
        <v/>
      </c>
      <c r="AJ146" s="879" t="str">
        <v/>
      </c>
      <c r="AK146" s="882">
        <f>IF($X146=0,0,      _xll.qDateNext($X146,AK$12,$AR$11,FRM&lt;&gt;"Calypso",CCY))</f>
        <v>0</v>
      </c>
      <c r="AL146" s="882">
        <f>IF($X146=0,0,      _xll.qDateNext($X146,AL$12,$AR$11,FRM&lt;&gt;"Calypso",CCY))</f>
        <v>0</v>
      </c>
      <c r="AM146" s="882">
        <f>IF($X146=0,0,      _xll.qDateNext($X146,AM$12,$AR$11,FRM&lt;&gt;"Calypso",CCY))</f>
        <v>0</v>
      </c>
      <c r="AN146" s="882">
        <f>IF($X146=0,0,      _xll.qDateNext($X146,AN$12,$AR$11,FRM&lt;&gt;"Calypso",CCY))</f>
        <v>0</v>
      </c>
      <c r="AO146" s="882">
        <f>IF($X146=0,0,      _xll.qDateNext($X146,AO$12,$AR$11,FRM&lt;&gt;"Calypso",CCY))</f>
        <v>0</v>
      </c>
      <c r="AP146" s="882">
        <f>IF($X146=0,0,      _xll.qDateNext($X146,AP$12,$AR$11,FRM&lt;&gt;"Calypso",CCY))</f>
        <v>0</v>
      </c>
      <c r="AQ146" s="882">
        <f>IF($X146=0,0,      _xll.qDateNext($X146,AQ$12,$AR$11,FRM&lt;&gt;"Calypso",CCY))</f>
        <v>0</v>
      </c>
      <c r="AR146" s="882">
        <f>IF($X146=0,0,      _xll.qDateNext($X146,AR$12,$AR$11,FRM&lt;&gt;"Calypso",CCY))</f>
        <v>0</v>
      </c>
      <c r="AS146" s="901">
        <f ca="1"/>
        <v>0</v>
      </c>
      <c r="AT146" s="901">
        <f ca="1"/>
        <v>0</v>
      </c>
      <c r="AU146" s="901">
        <f t="shared" si="45"/>
        <v>0</v>
      </c>
      <c r="AV146" s="901">
        <f ca="1"/>
        <v>0</v>
      </c>
      <c r="AW146" s="901">
        <f t="shared" si="46"/>
        <v>0</v>
      </c>
      <c r="AX146" s="901">
        <f t="shared" si="47"/>
        <v>0</v>
      </c>
      <c r="AY146" s="901">
        <f ca="1"/>
        <v>0</v>
      </c>
      <c r="AZ146" s="901">
        <f ca="1"/>
        <v>0</v>
      </c>
      <c r="BA146" s="905">
        <f t="shared" si="36"/>
        <v>0</v>
      </c>
      <c r="BB146" s="905">
        <f t="shared" si="37"/>
        <v>0</v>
      </c>
      <c r="BC146" s="905">
        <f t="shared" si="38"/>
        <v>0</v>
      </c>
      <c r="BD146" s="905">
        <f t="shared" si="39"/>
        <v>0</v>
      </c>
      <c r="BE146" s="905">
        <f t="shared" si="40"/>
        <v>0</v>
      </c>
      <c r="BF146" s="905">
        <f t="shared" si="41"/>
        <v>0</v>
      </c>
      <c r="BG146" s="905">
        <f t="shared" si="42"/>
        <v>0</v>
      </c>
      <c r="BH146" s="905">
        <f t="shared" si="43"/>
        <v>0</v>
      </c>
      <c r="BI146" s="713">
        <v>0</v>
      </c>
      <c r="BJ146" s="695"/>
      <c r="BK146" s="752">
        <f>IF(X147=0,0,           IF(ISNUMBER(BJ146),BJ146,               IF(ISTEXT(BJ146),INDEX(BA146:BH146,MATCH(BJ146,$BA$12:$BH$12,0)),             IF(BI146="INT",_xll.qInterp(X147,AK146:AR146,BA146:BH146),            INDEX(BA146:BH146,MATCH(BI146,$BA$12:$BH$12,0))))))</f>
        <v>0</v>
      </c>
      <c r="BL146" s="389">
        <f t="shared" si="48"/>
        <v>0</v>
      </c>
      <c r="BM146" s="394">
        <f t="shared" si="49"/>
        <v>0</v>
      </c>
      <c r="BN146" s="389">
        <f t="shared" si="50"/>
        <v>0</v>
      </c>
    </row>
    <row r="147" spans="16:66">
      <c r="P147" s="714">
        <v>0</v>
      </c>
      <c r="Q147" s="715">
        <f t="shared" si="34"/>
        <v>0</v>
      </c>
      <c r="R147" s="712">
        <f>IF(P148,_xll.qDateYears(P147,P148,DCCfixed),0)</f>
        <v>0</v>
      </c>
      <c r="S147" s="519">
        <f ca="1"/>
        <v>0</v>
      </c>
      <c r="T147" s="720"/>
      <c r="U147" s="390">
        <f t="shared" si="44"/>
        <v>0</v>
      </c>
      <c r="X147" s="345">
        <v>0</v>
      </c>
      <c r="Y147" s="711">
        <f t="shared" si="35"/>
        <v>0</v>
      </c>
      <c r="Z147" s="712">
        <f>IF(X148,_xll.qDateYears(X147,X148,DCCfloat),0)</f>
        <v>0</v>
      </c>
      <c r="AA147" s="519">
        <f ca="1"/>
        <v>0</v>
      </c>
      <c r="AB147" s="890">
        <f>IF(X147=0,0,         IF(OR(CCY="AUD",CCY="NZD",CCY="GBP"),X147,   _xll.qDateNext(X147,"-2b",,,IF(CCY="EUR","TGT","LON"))))</f>
        <v>0</v>
      </c>
      <c r="AC147" s="879" t="str">
        <v/>
      </c>
      <c r="AD147" s="879" t="str">
        <v/>
      </c>
      <c r="AE147" s="879" t="str">
        <v/>
      </c>
      <c r="AF147" s="879" t="str">
        <v/>
      </c>
      <c r="AG147" s="879" t="str">
        <v/>
      </c>
      <c r="AH147" s="879" t="str">
        <v/>
      </c>
      <c r="AI147" s="879" t="str">
        <v/>
      </c>
      <c r="AJ147" s="879" t="str">
        <v/>
      </c>
      <c r="AK147" s="882">
        <f>IF($X147=0,0,      _xll.qDateNext($X147,AK$12,$AR$11,FRM&lt;&gt;"Calypso",CCY))</f>
        <v>0</v>
      </c>
      <c r="AL147" s="882">
        <f>IF($X147=0,0,      _xll.qDateNext($X147,AL$12,$AR$11,FRM&lt;&gt;"Calypso",CCY))</f>
        <v>0</v>
      </c>
      <c r="AM147" s="882">
        <f>IF($X147=0,0,      _xll.qDateNext($X147,AM$12,$AR$11,FRM&lt;&gt;"Calypso",CCY))</f>
        <v>0</v>
      </c>
      <c r="AN147" s="882">
        <f>IF($X147=0,0,      _xll.qDateNext($X147,AN$12,$AR$11,FRM&lt;&gt;"Calypso",CCY))</f>
        <v>0</v>
      </c>
      <c r="AO147" s="882">
        <f>IF($X147=0,0,      _xll.qDateNext($X147,AO$12,$AR$11,FRM&lt;&gt;"Calypso",CCY))</f>
        <v>0</v>
      </c>
      <c r="AP147" s="882">
        <f>IF($X147=0,0,      _xll.qDateNext($X147,AP$12,$AR$11,FRM&lt;&gt;"Calypso",CCY))</f>
        <v>0</v>
      </c>
      <c r="AQ147" s="882">
        <f>IF($X147=0,0,      _xll.qDateNext($X147,AQ$12,$AR$11,FRM&lt;&gt;"Calypso",CCY))</f>
        <v>0</v>
      </c>
      <c r="AR147" s="882">
        <f>IF($X147=0,0,      _xll.qDateNext($X147,AR$12,$AR$11,FRM&lt;&gt;"Calypso",CCY))</f>
        <v>0</v>
      </c>
      <c r="AS147" s="901">
        <f ca="1"/>
        <v>0</v>
      </c>
      <c r="AT147" s="901">
        <f ca="1"/>
        <v>0</v>
      </c>
      <c r="AU147" s="901">
        <f t="shared" si="45"/>
        <v>0</v>
      </c>
      <c r="AV147" s="901">
        <f ca="1"/>
        <v>0</v>
      </c>
      <c r="AW147" s="901">
        <f t="shared" si="46"/>
        <v>0</v>
      </c>
      <c r="AX147" s="901">
        <f t="shared" si="47"/>
        <v>0</v>
      </c>
      <c r="AY147" s="901">
        <f ca="1"/>
        <v>0</v>
      </c>
      <c r="AZ147" s="901">
        <f ca="1"/>
        <v>0</v>
      </c>
      <c r="BA147" s="905">
        <f t="shared" si="36"/>
        <v>0</v>
      </c>
      <c r="BB147" s="905">
        <f t="shared" si="37"/>
        <v>0</v>
      </c>
      <c r="BC147" s="905">
        <f t="shared" si="38"/>
        <v>0</v>
      </c>
      <c r="BD147" s="905">
        <f t="shared" si="39"/>
        <v>0</v>
      </c>
      <c r="BE147" s="905">
        <f t="shared" si="40"/>
        <v>0</v>
      </c>
      <c r="BF147" s="905">
        <f t="shared" si="41"/>
        <v>0</v>
      </c>
      <c r="BG147" s="905">
        <f t="shared" si="42"/>
        <v>0</v>
      </c>
      <c r="BH147" s="905">
        <f t="shared" si="43"/>
        <v>0</v>
      </c>
      <c r="BI147" s="713">
        <v>0</v>
      </c>
      <c r="BJ147" s="695"/>
      <c r="BK147" s="752">
        <f>IF(X148=0,0,           IF(ISNUMBER(BJ147),BJ147,               IF(ISTEXT(BJ147),INDEX(BA147:BH147,MATCH(BJ147,$BA$12:$BH$12,0)),             IF(BI147="INT",_xll.qInterp(X148,AK147:AR147,BA147:BH147),            INDEX(BA147:BH147,MATCH(BI147,$BA$12:$BH$12,0))))))</f>
        <v>0</v>
      </c>
      <c r="BL147" s="389">
        <f t="shared" si="48"/>
        <v>0</v>
      </c>
      <c r="BM147" s="394">
        <f t="shared" si="49"/>
        <v>0</v>
      </c>
      <c r="BN147" s="389">
        <f t="shared" si="50"/>
        <v>0</v>
      </c>
    </row>
    <row r="148" spans="16:66">
      <c r="P148" s="714">
        <v>0</v>
      </c>
      <c r="Q148" s="715">
        <f t="shared" si="34"/>
        <v>0</v>
      </c>
      <c r="R148" s="712">
        <f>IF(P149,_xll.qDateYears(P148,P149,DCCfixed),0)</f>
        <v>0</v>
      </c>
      <c r="S148" s="519">
        <f ca="1"/>
        <v>0</v>
      </c>
      <c r="T148" s="720"/>
      <c r="U148" s="390">
        <f t="shared" si="44"/>
        <v>0</v>
      </c>
      <c r="X148" s="345">
        <v>0</v>
      </c>
      <c r="Y148" s="711">
        <f t="shared" si="35"/>
        <v>0</v>
      </c>
      <c r="Z148" s="712">
        <f>IF(X149,_xll.qDateYears(X148,X149,DCCfloat),0)</f>
        <v>0</v>
      </c>
      <c r="AA148" s="519">
        <f ca="1"/>
        <v>0</v>
      </c>
      <c r="AB148" s="890">
        <f>IF(X148=0,0,         IF(OR(CCY="AUD",CCY="NZD",CCY="GBP"),X148,   _xll.qDateNext(X148,"-2b",,,IF(CCY="EUR","TGT","LON"))))</f>
        <v>0</v>
      </c>
      <c r="AC148" s="879" t="str">
        <v/>
      </c>
      <c r="AD148" s="879" t="str">
        <v/>
      </c>
      <c r="AE148" s="879" t="str">
        <v/>
      </c>
      <c r="AF148" s="879" t="str">
        <v/>
      </c>
      <c r="AG148" s="879" t="str">
        <v/>
      </c>
      <c r="AH148" s="879" t="str">
        <v/>
      </c>
      <c r="AI148" s="879" t="str">
        <v/>
      </c>
      <c r="AJ148" s="879" t="str">
        <v/>
      </c>
      <c r="AK148" s="882">
        <f>IF($X148=0,0,      _xll.qDateNext($X148,AK$12,$AR$11,FRM&lt;&gt;"Calypso",CCY))</f>
        <v>0</v>
      </c>
      <c r="AL148" s="882">
        <f>IF($X148=0,0,      _xll.qDateNext($X148,AL$12,$AR$11,FRM&lt;&gt;"Calypso",CCY))</f>
        <v>0</v>
      </c>
      <c r="AM148" s="882">
        <f>IF($X148=0,0,      _xll.qDateNext($X148,AM$12,$AR$11,FRM&lt;&gt;"Calypso",CCY))</f>
        <v>0</v>
      </c>
      <c r="AN148" s="882">
        <f>IF($X148=0,0,      _xll.qDateNext($X148,AN$12,$AR$11,FRM&lt;&gt;"Calypso",CCY))</f>
        <v>0</v>
      </c>
      <c r="AO148" s="882">
        <f>IF($X148=0,0,      _xll.qDateNext($X148,AO$12,$AR$11,FRM&lt;&gt;"Calypso",CCY))</f>
        <v>0</v>
      </c>
      <c r="AP148" s="882">
        <f>IF($X148=0,0,      _xll.qDateNext($X148,AP$12,$AR$11,FRM&lt;&gt;"Calypso",CCY))</f>
        <v>0</v>
      </c>
      <c r="AQ148" s="882">
        <f>IF($X148=0,0,      _xll.qDateNext($X148,AQ$12,$AR$11,FRM&lt;&gt;"Calypso",CCY))</f>
        <v>0</v>
      </c>
      <c r="AR148" s="882">
        <f>IF($X148=0,0,      _xll.qDateNext($X148,AR$12,$AR$11,FRM&lt;&gt;"Calypso",CCY))</f>
        <v>0</v>
      </c>
      <c r="AS148" s="901">
        <f ca="1"/>
        <v>0</v>
      </c>
      <c r="AT148" s="901">
        <f ca="1"/>
        <v>0</v>
      </c>
      <c r="AU148" s="901">
        <f t="shared" si="45"/>
        <v>0</v>
      </c>
      <c r="AV148" s="901">
        <f ca="1"/>
        <v>0</v>
      </c>
      <c r="AW148" s="901">
        <f t="shared" si="46"/>
        <v>0</v>
      </c>
      <c r="AX148" s="901">
        <f t="shared" si="47"/>
        <v>0</v>
      </c>
      <c r="AY148" s="901">
        <f ca="1"/>
        <v>0</v>
      </c>
      <c r="AZ148" s="901">
        <f ca="1"/>
        <v>0</v>
      </c>
      <c r="BA148" s="905">
        <f t="shared" si="36"/>
        <v>0</v>
      </c>
      <c r="BB148" s="905">
        <f t="shared" si="37"/>
        <v>0</v>
      </c>
      <c r="BC148" s="905">
        <f t="shared" si="38"/>
        <v>0</v>
      </c>
      <c r="BD148" s="905">
        <f t="shared" si="39"/>
        <v>0</v>
      </c>
      <c r="BE148" s="905">
        <f t="shared" si="40"/>
        <v>0</v>
      </c>
      <c r="BF148" s="905">
        <f t="shared" si="41"/>
        <v>0</v>
      </c>
      <c r="BG148" s="905">
        <f t="shared" si="42"/>
        <v>0</v>
      </c>
      <c r="BH148" s="905">
        <f t="shared" si="43"/>
        <v>0</v>
      </c>
      <c r="BI148" s="713">
        <v>0</v>
      </c>
      <c r="BJ148" s="695"/>
      <c r="BK148" s="752">
        <f>IF(X149=0,0,           IF(ISNUMBER(BJ148),BJ148,               IF(ISTEXT(BJ148),INDEX(BA148:BH148,MATCH(BJ148,$BA$12:$BH$12,0)),             IF(BI148="INT",_xll.qInterp(X149,AK148:AR148,BA148:BH148),            INDEX(BA148:BH148,MATCH(BI148,$BA$12:$BH$12,0))))))</f>
        <v>0</v>
      </c>
      <c r="BL148" s="389">
        <f t="shared" si="48"/>
        <v>0</v>
      </c>
      <c r="BM148" s="394">
        <f t="shared" si="49"/>
        <v>0</v>
      </c>
      <c r="BN148" s="389">
        <f t="shared" si="50"/>
        <v>0</v>
      </c>
    </row>
    <row r="149" spans="16:66">
      <c r="P149" s="714">
        <v>0</v>
      </c>
      <c r="Q149" s="715">
        <f t="shared" si="34"/>
        <v>0</v>
      </c>
      <c r="R149" s="712">
        <f>IF(P150,_xll.qDateYears(P149,P150,DCCfixed),0)</f>
        <v>0</v>
      </c>
      <c r="S149" s="519">
        <f ca="1"/>
        <v>0</v>
      </c>
      <c r="T149" s="720"/>
      <c r="U149" s="390">
        <f t="shared" si="44"/>
        <v>0</v>
      </c>
      <c r="X149" s="345">
        <v>0</v>
      </c>
      <c r="Y149" s="711">
        <f t="shared" si="35"/>
        <v>0</v>
      </c>
      <c r="Z149" s="712">
        <f>IF(X150,_xll.qDateYears(X149,X150,DCCfloat),0)</f>
        <v>0</v>
      </c>
      <c r="AA149" s="519">
        <f ca="1"/>
        <v>0</v>
      </c>
      <c r="AB149" s="890">
        <f>IF(X149=0,0,         IF(OR(CCY="AUD",CCY="NZD",CCY="GBP"),X149,   _xll.qDateNext(X149,"-2b",,,IF(CCY="EUR","TGT","LON"))))</f>
        <v>0</v>
      </c>
      <c r="AC149" s="879" t="str">
        <v/>
      </c>
      <c r="AD149" s="879" t="str">
        <v/>
      </c>
      <c r="AE149" s="879" t="str">
        <v/>
      </c>
      <c r="AF149" s="879" t="str">
        <v/>
      </c>
      <c r="AG149" s="879" t="str">
        <v/>
      </c>
      <c r="AH149" s="879" t="str">
        <v/>
      </c>
      <c r="AI149" s="879" t="str">
        <v/>
      </c>
      <c r="AJ149" s="879" t="str">
        <v/>
      </c>
      <c r="AK149" s="882">
        <f>IF($X149=0,0,      _xll.qDateNext($X149,AK$12,$AR$11,FRM&lt;&gt;"Calypso",CCY))</f>
        <v>0</v>
      </c>
      <c r="AL149" s="882">
        <f>IF($X149=0,0,      _xll.qDateNext($X149,AL$12,$AR$11,FRM&lt;&gt;"Calypso",CCY))</f>
        <v>0</v>
      </c>
      <c r="AM149" s="882">
        <f>IF($X149=0,0,      _xll.qDateNext($X149,AM$12,$AR$11,FRM&lt;&gt;"Calypso",CCY))</f>
        <v>0</v>
      </c>
      <c r="AN149" s="882">
        <f>IF($X149=0,0,      _xll.qDateNext($X149,AN$12,$AR$11,FRM&lt;&gt;"Calypso",CCY))</f>
        <v>0</v>
      </c>
      <c r="AO149" s="882">
        <f>IF($X149=0,0,      _xll.qDateNext($X149,AO$12,$AR$11,FRM&lt;&gt;"Calypso",CCY))</f>
        <v>0</v>
      </c>
      <c r="AP149" s="882">
        <f>IF($X149=0,0,      _xll.qDateNext($X149,AP$12,$AR$11,FRM&lt;&gt;"Calypso",CCY))</f>
        <v>0</v>
      </c>
      <c r="AQ149" s="882">
        <f>IF($X149=0,0,      _xll.qDateNext($X149,AQ$12,$AR$11,FRM&lt;&gt;"Calypso",CCY))</f>
        <v>0</v>
      </c>
      <c r="AR149" s="882">
        <f>IF($X149=0,0,      _xll.qDateNext($X149,AR$12,$AR$11,FRM&lt;&gt;"Calypso",CCY))</f>
        <v>0</v>
      </c>
      <c r="AS149" s="901">
        <f ca="1"/>
        <v>0</v>
      </c>
      <c r="AT149" s="901">
        <f ca="1"/>
        <v>0</v>
      </c>
      <c r="AU149" s="901">
        <f t="shared" si="45"/>
        <v>0</v>
      </c>
      <c r="AV149" s="901">
        <f ca="1"/>
        <v>0</v>
      </c>
      <c r="AW149" s="901">
        <f t="shared" si="46"/>
        <v>0</v>
      </c>
      <c r="AX149" s="901">
        <f t="shared" si="47"/>
        <v>0</v>
      </c>
      <c r="AY149" s="901">
        <f ca="1"/>
        <v>0</v>
      </c>
      <c r="AZ149" s="901">
        <f ca="1"/>
        <v>0</v>
      </c>
      <c r="BA149" s="905">
        <f t="shared" si="36"/>
        <v>0</v>
      </c>
      <c r="BB149" s="905">
        <f t="shared" si="37"/>
        <v>0</v>
      </c>
      <c r="BC149" s="905">
        <f t="shared" si="38"/>
        <v>0</v>
      </c>
      <c r="BD149" s="905">
        <f t="shared" si="39"/>
        <v>0</v>
      </c>
      <c r="BE149" s="905">
        <f t="shared" si="40"/>
        <v>0</v>
      </c>
      <c r="BF149" s="905">
        <f t="shared" si="41"/>
        <v>0</v>
      </c>
      <c r="BG149" s="905">
        <f t="shared" si="42"/>
        <v>0</v>
      </c>
      <c r="BH149" s="905">
        <f t="shared" si="43"/>
        <v>0</v>
      </c>
      <c r="BI149" s="713">
        <v>0</v>
      </c>
      <c r="BJ149" s="695"/>
      <c r="BK149" s="752">
        <f>IF(X150=0,0,           IF(ISNUMBER(BJ149),BJ149,               IF(ISTEXT(BJ149),INDEX(BA149:BH149,MATCH(BJ149,$BA$12:$BH$12,0)),             IF(BI149="INT",_xll.qInterp(X150,AK149:AR149,BA149:BH149),            INDEX(BA149:BH149,MATCH(BI149,$BA$12:$BH$12,0))))))</f>
        <v>0</v>
      </c>
      <c r="BL149" s="389">
        <f t="shared" si="48"/>
        <v>0</v>
      </c>
      <c r="BM149" s="394">
        <f t="shared" si="49"/>
        <v>0</v>
      </c>
      <c r="BN149" s="389">
        <f t="shared" si="50"/>
        <v>0</v>
      </c>
    </row>
    <row r="150" spans="16:66">
      <c r="P150" s="714">
        <v>0</v>
      </c>
      <c r="Q150" s="715">
        <f t="shared" si="34"/>
        <v>0</v>
      </c>
      <c r="R150" s="712">
        <f>IF(P151,_xll.qDateYears(P150,P151,DCCfixed),0)</f>
        <v>0</v>
      </c>
      <c r="S150" s="519">
        <f ca="1"/>
        <v>0</v>
      </c>
      <c r="T150" s="720"/>
      <c r="U150" s="390">
        <f t="shared" si="44"/>
        <v>0</v>
      </c>
      <c r="X150" s="345">
        <v>0</v>
      </c>
      <c r="Y150" s="711">
        <f t="shared" si="35"/>
        <v>0</v>
      </c>
      <c r="Z150" s="712">
        <f>IF(X151,_xll.qDateYears(X150,X151,DCCfloat),0)</f>
        <v>0</v>
      </c>
      <c r="AA150" s="519">
        <f ca="1"/>
        <v>0</v>
      </c>
      <c r="AB150" s="890">
        <f>IF(X150=0,0,         IF(OR(CCY="AUD",CCY="NZD",CCY="GBP"),X150,   _xll.qDateNext(X150,"-2b",,,IF(CCY="EUR","TGT","LON"))))</f>
        <v>0</v>
      </c>
      <c r="AC150" s="879" t="str">
        <v/>
      </c>
      <c r="AD150" s="879" t="str">
        <v/>
      </c>
      <c r="AE150" s="879" t="str">
        <v/>
      </c>
      <c r="AF150" s="879" t="str">
        <v/>
      </c>
      <c r="AG150" s="879" t="str">
        <v/>
      </c>
      <c r="AH150" s="879" t="str">
        <v/>
      </c>
      <c r="AI150" s="879" t="str">
        <v/>
      </c>
      <c r="AJ150" s="879" t="str">
        <v/>
      </c>
      <c r="AK150" s="882">
        <f>IF($X150=0,0,      _xll.qDateNext($X150,AK$12,$AR$11,FRM&lt;&gt;"Calypso",CCY))</f>
        <v>0</v>
      </c>
      <c r="AL150" s="882">
        <f>IF($X150=0,0,      _xll.qDateNext($X150,AL$12,$AR$11,FRM&lt;&gt;"Calypso",CCY))</f>
        <v>0</v>
      </c>
      <c r="AM150" s="882">
        <f>IF($X150=0,0,      _xll.qDateNext($X150,AM$12,$AR$11,FRM&lt;&gt;"Calypso",CCY))</f>
        <v>0</v>
      </c>
      <c r="AN150" s="882">
        <f>IF($X150=0,0,      _xll.qDateNext($X150,AN$12,$AR$11,FRM&lt;&gt;"Calypso",CCY))</f>
        <v>0</v>
      </c>
      <c r="AO150" s="882">
        <f>IF($X150=0,0,      _xll.qDateNext($X150,AO$12,$AR$11,FRM&lt;&gt;"Calypso",CCY))</f>
        <v>0</v>
      </c>
      <c r="AP150" s="882">
        <f>IF($X150=0,0,      _xll.qDateNext($X150,AP$12,$AR$11,FRM&lt;&gt;"Calypso",CCY))</f>
        <v>0</v>
      </c>
      <c r="AQ150" s="882">
        <f>IF($X150=0,0,      _xll.qDateNext($X150,AQ$12,$AR$11,FRM&lt;&gt;"Calypso",CCY))</f>
        <v>0</v>
      </c>
      <c r="AR150" s="882">
        <f>IF($X150=0,0,      _xll.qDateNext($X150,AR$12,$AR$11,FRM&lt;&gt;"Calypso",CCY))</f>
        <v>0</v>
      </c>
      <c r="AS150" s="901">
        <f ca="1"/>
        <v>0</v>
      </c>
      <c r="AT150" s="901">
        <f ca="1"/>
        <v>0</v>
      </c>
      <c r="AU150" s="901">
        <f t="shared" si="45"/>
        <v>0</v>
      </c>
      <c r="AV150" s="901">
        <f ca="1"/>
        <v>0</v>
      </c>
      <c r="AW150" s="901">
        <f t="shared" si="46"/>
        <v>0</v>
      </c>
      <c r="AX150" s="901">
        <f t="shared" si="47"/>
        <v>0</v>
      </c>
      <c r="AY150" s="901">
        <f ca="1"/>
        <v>0</v>
      </c>
      <c r="AZ150" s="901">
        <f ca="1"/>
        <v>0</v>
      </c>
      <c r="BA150" s="905">
        <f t="shared" si="36"/>
        <v>0</v>
      </c>
      <c r="BB150" s="905">
        <f t="shared" si="37"/>
        <v>0</v>
      </c>
      <c r="BC150" s="905">
        <f t="shared" si="38"/>
        <v>0</v>
      </c>
      <c r="BD150" s="905">
        <f t="shared" si="39"/>
        <v>0</v>
      </c>
      <c r="BE150" s="905">
        <f t="shared" si="40"/>
        <v>0</v>
      </c>
      <c r="BF150" s="905">
        <f t="shared" si="41"/>
        <v>0</v>
      </c>
      <c r="BG150" s="905">
        <f t="shared" si="42"/>
        <v>0</v>
      </c>
      <c r="BH150" s="905">
        <f t="shared" si="43"/>
        <v>0</v>
      </c>
      <c r="BI150" s="713">
        <v>0</v>
      </c>
      <c r="BJ150" s="695"/>
      <c r="BK150" s="752">
        <f>IF(X151=0,0,           IF(ISNUMBER(BJ150),BJ150,               IF(ISTEXT(BJ150),INDEX(BA150:BH150,MATCH(BJ150,$BA$12:$BH$12,0)),             IF(BI150="INT",_xll.qInterp(X151,AK150:AR150,BA150:BH150),            INDEX(BA150:BH150,MATCH(BI150,$BA$12:$BH$12,0))))))</f>
        <v>0</v>
      </c>
      <c r="BL150" s="389">
        <f t="shared" si="48"/>
        <v>0</v>
      </c>
      <c r="BM150" s="394">
        <f t="shared" si="49"/>
        <v>0</v>
      </c>
      <c r="BN150" s="389">
        <f t="shared" si="50"/>
        <v>0</v>
      </c>
    </row>
    <row r="151" spans="16:66">
      <c r="P151" s="714">
        <v>0</v>
      </c>
      <c r="Q151" s="715">
        <f t="shared" si="34"/>
        <v>0</v>
      </c>
      <c r="R151" s="712">
        <f>IF(P152,_xll.qDateYears(P151,P152,DCCfixed),0)</f>
        <v>0</v>
      </c>
      <c r="S151" s="519">
        <f ca="1"/>
        <v>0</v>
      </c>
      <c r="T151" s="720"/>
      <c r="U151" s="390">
        <f t="shared" si="44"/>
        <v>0</v>
      </c>
      <c r="X151" s="345">
        <v>0</v>
      </c>
      <c r="Y151" s="711">
        <f t="shared" si="35"/>
        <v>0</v>
      </c>
      <c r="Z151" s="712">
        <f>IF(X152,_xll.qDateYears(X151,X152,DCCfloat),0)</f>
        <v>0</v>
      </c>
      <c r="AA151" s="519">
        <f ca="1"/>
        <v>0</v>
      </c>
      <c r="AB151" s="890">
        <f>IF(X151=0,0,         IF(OR(CCY="AUD",CCY="NZD",CCY="GBP"),X151,   _xll.qDateNext(X151,"-2b",,,IF(CCY="EUR","TGT","LON"))))</f>
        <v>0</v>
      </c>
      <c r="AC151" s="879" t="str">
        <v/>
      </c>
      <c r="AD151" s="879" t="str">
        <v/>
      </c>
      <c r="AE151" s="879" t="str">
        <v/>
      </c>
      <c r="AF151" s="879" t="str">
        <v/>
      </c>
      <c r="AG151" s="879" t="str">
        <v/>
      </c>
      <c r="AH151" s="879" t="str">
        <v/>
      </c>
      <c r="AI151" s="879" t="str">
        <v/>
      </c>
      <c r="AJ151" s="879" t="str">
        <v/>
      </c>
      <c r="AK151" s="882">
        <f>IF($X151=0,0,      _xll.qDateNext($X151,AK$12,$AR$11,FRM&lt;&gt;"Calypso",CCY))</f>
        <v>0</v>
      </c>
      <c r="AL151" s="882">
        <f>IF($X151=0,0,      _xll.qDateNext($X151,AL$12,$AR$11,FRM&lt;&gt;"Calypso",CCY))</f>
        <v>0</v>
      </c>
      <c r="AM151" s="882">
        <f>IF($X151=0,0,      _xll.qDateNext($X151,AM$12,$AR$11,FRM&lt;&gt;"Calypso",CCY))</f>
        <v>0</v>
      </c>
      <c r="AN151" s="882">
        <f>IF($X151=0,0,      _xll.qDateNext($X151,AN$12,$AR$11,FRM&lt;&gt;"Calypso",CCY))</f>
        <v>0</v>
      </c>
      <c r="AO151" s="882">
        <f>IF($X151=0,0,      _xll.qDateNext($X151,AO$12,$AR$11,FRM&lt;&gt;"Calypso",CCY))</f>
        <v>0</v>
      </c>
      <c r="AP151" s="882">
        <f>IF($X151=0,0,      _xll.qDateNext($X151,AP$12,$AR$11,FRM&lt;&gt;"Calypso",CCY))</f>
        <v>0</v>
      </c>
      <c r="AQ151" s="882">
        <f>IF($X151=0,0,      _xll.qDateNext($X151,AQ$12,$AR$11,FRM&lt;&gt;"Calypso",CCY))</f>
        <v>0</v>
      </c>
      <c r="AR151" s="882">
        <f>IF($X151=0,0,      _xll.qDateNext($X151,AR$12,$AR$11,FRM&lt;&gt;"Calypso",CCY))</f>
        <v>0</v>
      </c>
      <c r="AS151" s="901">
        <f ca="1"/>
        <v>0</v>
      </c>
      <c r="AT151" s="901">
        <f ca="1"/>
        <v>0</v>
      </c>
      <c r="AU151" s="901">
        <f t="shared" si="45"/>
        <v>0</v>
      </c>
      <c r="AV151" s="901">
        <f ca="1"/>
        <v>0</v>
      </c>
      <c r="AW151" s="901">
        <f t="shared" si="46"/>
        <v>0</v>
      </c>
      <c r="AX151" s="901">
        <f t="shared" si="47"/>
        <v>0</v>
      </c>
      <c r="AY151" s="901">
        <f ca="1"/>
        <v>0</v>
      </c>
      <c r="AZ151" s="901">
        <f ca="1"/>
        <v>0</v>
      </c>
      <c r="BA151" s="905">
        <f t="shared" si="36"/>
        <v>0</v>
      </c>
      <c r="BB151" s="905">
        <f t="shared" si="37"/>
        <v>0</v>
      </c>
      <c r="BC151" s="905">
        <f t="shared" si="38"/>
        <v>0</v>
      </c>
      <c r="BD151" s="905">
        <f t="shared" si="39"/>
        <v>0</v>
      </c>
      <c r="BE151" s="905">
        <f t="shared" si="40"/>
        <v>0</v>
      </c>
      <c r="BF151" s="905">
        <f t="shared" si="41"/>
        <v>0</v>
      </c>
      <c r="BG151" s="905">
        <f t="shared" si="42"/>
        <v>0</v>
      </c>
      <c r="BH151" s="905">
        <f t="shared" si="43"/>
        <v>0</v>
      </c>
      <c r="BI151" s="713">
        <v>0</v>
      </c>
      <c r="BJ151" s="695"/>
      <c r="BK151" s="752">
        <f>IF(X152=0,0,           IF(ISNUMBER(BJ151),BJ151,               IF(ISTEXT(BJ151),INDEX(BA151:BH151,MATCH(BJ151,$BA$12:$BH$12,0)),             IF(BI151="INT",_xll.qInterp(X152,AK151:AR151,BA151:BH151),            INDEX(BA151:BH151,MATCH(BI151,$BA$12:$BH$12,0))))))</f>
        <v>0</v>
      </c>
      <c r="BL151" s="389">
        <f t="shared" si="48"/>
        <v>0</v>
      </c>
      <c r="BM151" s="394">
        <f t="shared" si="49"/>
        <v>0</v>
      </c>
      <c r="BN151" s="389">
        <f t="shared" si="50"/>
        <v>0</v>
      </c>
    </row>
    <row r="152" spans="16:66">
      <c r="P152" s="714">
        <v>0</v>
      </c>
      <c r="Q152" s="715">
        <f t="shared" si="34"/>
        <v>0</v>
      </c>
      <c r="R152" s="712">
        <f>IF(P153,_xll.qDateYears(P152,P153,DCCfixed),0)</f>
        <v>0</v>
      </c>
      <c r="S152" s="519">
        <f ca="1"/>
        <v>0</v>
      </c>
      <c r="T152" s="720"/>
      <c r="U152" s="390">
        <f t="shared" si="44"/>
        <v>0</v>
      </c>
      <c r="X152" s="345">
        <v>0</v>
      </c>
      <c r="Y152" s="711">
        <f t="shared" si="35"/>
        <v>0</v>
      </c>
      <c r="Z152" s="712">
        <f>IF(X153,_xll.qDateYears(X152,X153,DCCfloat),0)</f>
        <v>0</v>
      </c>
      <c r="AA152" s="519">
        <f ca="1"/>
        <v>0</v>
      </c>
      <c r="AB152" s="890">
        <f>IF(X152=0,0,         IF(OR(CCY="AUD",CCY="NZD",CCY="GBP"),X152,   _xll.qDateNext(X152,"-2b",,,IF(CCY="EUR","TGT","LON"))))</f>
        <v>0</v>
      </c>
      <c r="AC152" s="879" t="str">
        <v/>
      </c>
      <c r="AD152" s="879" t="str">
        <v/>
      </c>
      <c r="AE152" s="879" t="str">
        <v/>
      </c>
      <c r="AF152" s="879" t="str">
        <v/>
      </c>
      <c r="AG152" s="879" t="str">
        <v/>
      </c>
      <c r="AH152" s="879" t="str">
        <v/>
      </c>
      <c r="AI152" s="879" t="str">
        <v/>
      </c>
      <c r="AJ152" s="879" t="str">
        <v/>
      </c>
      <c r="AK152" s="882">
        <f>IF($X152=0,0,      _xll.qDateNext($X152,AK$12,$AR$11,FRM&lt;&gt;"Calypso",CCY))</f>
        <v>0</v>
      </c>
      <c r="AL152" s="882">
        <f>IF($X152=0,0,      _xll.qDateNext($X152,AL$12,$AR$11,FRM&lt;&gt;"Calypso",CCY))</f>
        <v>0</v>
      </c>
      <c r="AM152" s="882">
        <f>IF($X152=0,0,      _xll.qDateNext($X152,AM$12,$AR$11,FRM&lt;&gt;"Calypso",CCY))</f>
        <v>0</v>
      </c>
      <c r="AN152" s="882">
        <f>IF($X152=0,0,      _xll.qDateNext($X152,AN$12,$AR$11,FRM&lt;&gt;"Calypso",CCY))</f>
        <v>0</v>
      </c>
      <c r="AO152" s="882">
        <f>IF($X152=0,0,      _xll.qDateNext($X152,AO$12,$AR$11,FRM&lt;&gt;"Calypso",CCY))</f>
        <v>0</v>
      </c>
      <c r="AP152" s="882">
        <f>IF($X152=0,0,      _xll.qDateNext($X152,AP$12,$AR$11,FRM&lt;&gt;"Calypso",CCY))</f>
        <v>0</v>
      </c>
      <c r="AQ152" s="882">
        <f>IF($X152=0,0,      _xll.qDateNext($X152,AQ$12,$AR$11,FRM&lt;&gt;"Calypso",CCY))</f>
        <v>0</v>
      </c>
      <c r="AR152" s="882">
        <f>IF($X152=0,0,      _xll.qDateNext($X152,AR$12,$AR$11,FRM&lt;&gt;"Calypso",CCY))</f>
        <v>0</v>
      </c>
      <c r="AS152" s="901">
        <f ca="1"/>
        <v>0</v>
      </c>
      <c r="AT152" s="901">
        <f ca="1"/>
        <v>0</v>
      </c>
      <c r="AU152" s="901">
        <f t="shared" si="45"/>
        <v>0</v>
      </c>
      <c r="AV152" s="901">
        <f ca="1"/>
        <v>0</v>
      </c>
      <c r="AW152" s="901">
        <f t="shared" si="46"/>
        <v>0</v>
      </c>
      <c r="AX152" s="901">
        <f t="shared" si="47"/>
        <v>0</v>
      </c>
      <c r="AY152" s="901">
        <f ca="1"/>
        <v>0</v>
      </c>
      <c r="AZ152" s="901">
        <f ca="1"/>
        <v>0</v>
      </c>
      <c r="BA152" s="905">
        <f t="shared" si="36"/>
        <v>0</v>
      </c>
      <c r="BB152" s="905">
        <f t="shared" si="37"/>
        <v>0</v>
      </c>
      <c r="BC152" s="905">
        <f t="shared" si="38"/>
        <v>0</v>
      </c>
      <c r="BD152" s="905">
        <f t="shared" si="39"/>
        <v>0</v>
      </c>
      <c r="BE152" s="905">
        <f t="shared" si="40"/>
        <v>0</v>
      </c>
      <c r="BF152" s="905">
        <f t="shared" si="41"/>
        <v>0</v>
      </c>
      <c r="BG152" s="905">
        <f t="shared" si="42"/>
        <v>0</v>
      </c>
      <c r="BH152" s="905">
        <f t="shared" si="43"/>
        <v>0</v>
      </c>
      <c r="BI152" s="713">
        <v>0</v>
      </c>
      <c r="BJ152" s="695"/>
      <c r="BK152" s="752">
        <f>IF(X153=0,0,           IF(ISNUMBER(BJ152),BJ152,               IF(ISTEXT(BJ152),INDEX(BA152:BH152,MATCH(BJ152,$BA$12:$BH$12,0)),             IF(BI152="INT",_xll.qInterp(X153,AK152:AR152,BA152:BH152),            INDEX(BA152:BH152,MATCH(BI152,$BA$12:$BH$12,0))))))</f>
        <v>0</v>
      </c>
      <c r="BL152" s="389">
        <f t="shared" si="48"/>
        <v>0</v>
      </c>
      <c r="BM152" s="394">
        <f t="shared" si="49"/>
        <v>0</v>
      </c>
      <c r="BN152" s="389">
        <f t="shared" si="50"/>
        <v>0</v>
      </c>
    </row>
    <row r="153" spans="16:66">
      <c r="P153" s="714">
        <v>0</v>
      </c>
      <c r="Q153" s="715">
        <f t="shared" si="34"/>
        <v>0</v>
      </c>
      <c r="R153" s="712">
        <f>IF(P154,_xll.qDateYears(P153,P154,DCCfixed),0)</f>
        <v>0</v>
      </c>
      <c r="S153" s="519">
        <f ca="1"/>
        <v>0</v>
      </c>
      <c r="T153" s="720"/>
      <c r="U153" s="390">
        <f t="shared" si="44"/>
        <v>0</v>
      </c>
      <c r="X153" s="345">
        <v>0</v>
      </c>
      <c r="Y153" s="711">
        <f t="shared" si="35"/>
        <v>0</v>
      </c>
      <c r="Z153" s="712">
        <f>IF(X154,_xll.qDateYears(X153,X154,DCCfloat),0)</f>
        <v>0</v>
      </c>
      <c r="AA153" s="519">
        <f ca="1"/>
        <v>0</v>
      </c>
      <c r="AB153" s="890">
        <f>IF(X153=0,0,         IF(OR(CCY="AUD",CCY="NZD",CCY="GBP"),X153,   _xll.qDateNext(X153,"-2b",,,IF(CCY="EUR","TGT","LON"))))</f>
        <v>0</v>
      </c>
      <c r="AC153" s="879" t="str">
        <v/>
      </c>
      <c r="AD153" s="879" t="str">
        <v/>
      </c>
      <c r="AE153" s="879" t="str">
        <v/>
      </c>
      <c r="AF153" s="879" t="str">
        <v/>
      </c>
      <c r="AG153" s="879" t="str">
        <v/>
      </c>
      <c r="AH153" s="879" t="str">
        <v/>
      </c>
      <c r="AI153" s="879" t="str">
        <v/>
      </c>
      <c r="AJ153" s="879" t="str">
        <v/>
      </c>
      <c r="AK153" s="882">
        <f>IF($X153=0,0,      _xll.qDateNext($X153,AK$12,$AR$11,FRM&lt;&gt;"Calypso",CCY))</f>
        <v>0</v>
      </c>
      <c r="AL153" s="882">
        <f>IF($X153=0,0,      _xll.qDateNext($X153,AL$12,$AR$11,FRM&lt;&gt;"Calypso",CCY))</f>
        <v>0</v>
      </c>
      <c r="AM153" s="882">
        <f>IF($X153=0,0,      _xll.qDateNext($X153,AM$12,$AR$11,FRM&lt;&gt;"Calypso",CCY))</f>
        <v>0</v>
      </c>
      <c r="AN153" s="882">
        <f>IF($X153=0,0,      _xll.qDateNext($X153,AN$12,$AR$11,FRM&lt;&gt;"Calypso",CCY))</f>
        <v>0</v>
      </c>
      <c r="AO153" s="882">
        <f>IF($X153=0,0,      _xll.qDateNext($X153,AO$12,$AR$11,FRM&lt;&gt;"Calypso",CCY))</f>
        <v>0</v>
      </c>
      <c r="AP153" s="882">
        <f>IF($X153=0,0,      _xll.qDateNext($X153,AP$12,$AR$11,FRM&lt;&gt;"Calypso",CCY))</f>
        <v>0</v>
      </c>
      <c r="AQ153" s="882">
        <f>IF($X153=0,0,      _xll.qDateNext($X153,AQ$12,$AR$11,FRM&lt;&gt;"Calypso",CCY))</f>
        <v>0</v>
      </c>
      <c r="AR153" s="882">
        <f>IF($X153=0,0,      _xll.qDateNext($X153,AR$12,$AR$11,FRM&lt;&gt;"Calypso",CCY))</f>
        <v>0</v>
      </c>
      <c r="AS153" s="901">
        <f ca="1"/>
        <v>0</v>
      </c>
      <c r="AT153" s="901">
        <f ca="1"/>
        <v>0</v>
      </c>
      <c r="AU153" s="901">
        <f t="shared" si="45"/>
        <v>0</v>
      </c>
      <c r="AV153" s="901">
        <f ca="1"/>
        <v>0</v>
      </c>
      <c r="AW153" s="901">
        <f t="shared" si="46"/>
        <v>0</v>
      </c>
      <c r="AX153" s="901">
        <f t="shared" si="47"/>
        <v>0</v>
      </c>
      <c r="AY153" s="901">
        <f ca="1"/>
        <v>0</v>
      </c>
      <c r="AZ153" s="901">
        <f ca="1"/>
        <v>0</v>
      </c>
      <c r="BA153" s="905">
        <f t="shared" si="36"/>
        <v>0</v>
      </c>
      <c r="BB153" s="905">
        <f t="shared" si="37"/>
        <v>0</v>
      </c>
      <c r="BC153" s="905">
        <f t="shared" si="38"/>
        <v>0</v>
      </c>
      <c r="BD153" s="905">
        <f t="shared" si="39"/>
        <v>0</v>
      </c>
      <c r="BE153" s="905">
        <f t="shared" si="40"/>
        <v>0</v>
      </c>
      <c r="BF153" s="905">
        <f t="shared" si="41"/>
        <v>0</v>
      </c>
      <c r="BG153" s="905">
        <f t="shared" si="42"/>
        <v>0</v>
      </c>
      <c r="BH153" s="905">
        <f t="shared" si="43"/>
        <v>0</v>
      </c>
      <c r="BI153" s="713">
        <v>0</v>
      </c>
      <c r="BJ153" s="695"/>
      <c r="BK153" s="752">
        <f>IF(X154=0,0,           IF(ISNUMBER(BJ153),BJ153,               IF(ISTEXT(BJ153),INDEX(BA153:BH153,MATCH(BJ153,$BA$12:$BH$12,0)),             IF(BI153="INT",_xll.qInterp(X154,AK153:AR153,BA153:BH153),            INDEX(BA153:BH153,MATCH(BI153,$BA$12:$BH$12,0))))))</f>
        <v>0</v>
      </c>
      <c r="BL153" s="389">
        <f t="shared" si="48"/>
        <v>0</v>
      </c>
      <c r="BM153" s="394">
        <f t="shared" si="49"/>
        <v>0</v>
      </c>
      <c r="BN153" s="389">
        <f t="shared" si="50"/>
        <v>0</v>
      </c>
    </row>
    <row r="154" spans="16:66">
      <c r="P154" s="714">
        <v>0</v>
      </c>
      <c r="Q154" s="715">
        <f t="shared" si="34"/>
        <v>0</v>
      </c>
      <c r="R154" s="712">
        <f>IF(P155,_xll.qDateYears(P154,P155,DCCfixed),0)</f>
        <v>0</v>
      </c>
      <c r="S154" s="519">
        <f ca="1"/>
        <v>0</v>
      </c>
      <c r="T154" s="720"/>
      <c r="U154" s="390">
        <f t="shared" si="44"/>
        <v>0</v>
      </c>
      <c r="X154" s="345">
        <v>0</v>
      </c>
      <c r="Y154" s="711">
        <f t="shared" si="35"/>
        <v>0</v>
      </c>
      <c r="Z154" s="712">
        <f>IF(X155,_xll.qDateYears(X154,X155,DCCfloat),0)</f>
        <v>0</v>
      </c>
      <c r="AA154" s="519">
        <f ca="1"/>
        <v>0</v>
      </c>
      <c r="AB154" s="890">
        <f>IF(X154=0,0,         IF(OR(CCY="AUD",CCY="NZD",CCY="GBP"),X154,   _xll.qDateNext(X154,"-2b",,,IF(CCY="EUR","TGT","LON"))))</f>
        <v>0</v>
      </c>
      <c r="AC154" s="879" t="str">
        <v/>
      </c>
      <c r="AD154" s="879" t="str">
        <v/>
      </c>
      <c r="AE154" s="879" t="str">
        <v/>
      </c>
      <c r="AF154" s="879" t="str">
        <v/>
      </c>
      <c r="AG154" s="879" t="str">
        <v/>
      </c>
      <c r="AH154" s="879" t="str">
        <v/>
      </c>
      <c r="AI154" s="879" t="str">
        <v/>
      </c>
      <c r="AJ154" s="879" t="str">
        <v/>
      </c>
      <c r="AK154" s="882">
        <f>IF($X154=0,0,      _xll.qDateNext($X154,AK$12,$AR$11,FRM&lt;&gt;"Calypso",CCY))</f>
        <v>0</v>
      </c>
      <c r="AL154" s="882">
        <f>IF($X154=0,0,      _xll.qDateNext($X154,AL$12,$AR$11,FRM&lt;&gt;"Calypso",CCY))</f>
        <v>0</v>
      </c>
      <c r="AM154" s="882">
        <f>IF($X154=0,0,      _xll.qDateNext($X154,AM$12,$AR$11,FRM&lt;&gt;"Calypso",CCY))</f>
        <v>0</v>
      </c>
      <c r="AN154" s="882">
        <f>IF($X154=0,0,      _xll.qDateNext($X154,AN$12,$AR$11,FRM&lt;&gt;"Calypso",CCY))</f>
        <v>0</v>
      </c>
      <c r="AO154" s="882">
        <f>IF($X154=0,0,      _xll.qDateNext($X154,AO$12,$AR$11,FRM&lt;&gt;"Calypso",CCY))</f>
        <v>0</v>
      </c>
      <c r="AP154" s="882">
        <f>IF($X154=0,0,      _xll.qDateNext($X154,AP$12,$AR$11,FRM&lt;&gt;"Calypso",CCY))</f>
        <v>0</v>
      </c>
      <c r="AQ154" s="882">
        <f>IF($X154=0,0,      _xll.qDateNext($X154,AQ$12,$AR$11,FRM&lt;&gt;"Calypso",CCY))</f>
        <v>0</v>
      </c>
      <c r="AR154" s="882">
        <f>IF($X154=0,0,      _xll.qDateNext($X154,AR$12,$AR$11,FRM&lt;&gt;"Calypso",CCY))</f>
        <v>0</v>
      </c>
      <c r="AS154" s="901">
        <f ca="1"/>
        <v>0</v>
      </c>
      <c r="AT154" s="901">
        <f ca="1"/>
        <v>0</v>
      </c>
      <c r="AU154" s="901">
        <f t="shared" si="45"/>
        <v>0</v>
      </c>
      <c r="AV154" s="901">
        <f ca="1"/>
        <v>0</v>
      </c>
      <c r="AW154" s="901">
        <f t="shared" si="46"/>
        <v>0</v>
      </c>
      <c r="AX154" s="901">
        <f t="shared" si="47"/>
        <v>0</v>
      </c>
      <c r="AY154" s="901">
        <f ca="1"/>
        <v>0</v>
      </c>
      <c r="AZ154" s="901">
        <f ca="1"/>
        <v>0</v>
      </c>
      <c r="BA154" s="905">
        <f t="shared" si="36"/>
        <v>0</v>
      </c>
      <c r="BB154" s="905">
        <f t="shared" si="37"/>
        <v>0</v>
      </c>
      <c r="BC154" s="905">
        <f t="shared" si="38"/>
        <v>0</v>
      </c>
      <c r="BD154" s="905">
        <f t="shared" si="39"/>
        <v>0</v>
      </c>
      <c r="BE154" s="905">
        <f t="shared" si="40"/>
        <v>0</v>
      </c>
      <c r="BF154" s="905">
        <f t="shared" si="41"/>
        <v>0</v>
      </c>
      <c r="BG154" s="905">
        <f t="shared" si="42"/>
        <v>0</v>
      </c>
      <c r="BH154" s="905">
        <f t="shared" si="43"/>
        <v>0</v>
      </c>
      <c r="BI154" s="713">
        <v>0</v>
      </c>
      <c r="BJ154" s="695"/>
      <c r="BK154" s="752">
        <f>IF(X155=0,0,           IF(ISNUMBER(BJ154),BJ154,               IF(ISTEXT(BJ154),INDEX(BA154:BH154,MATCH(BJ154,$BA$12:$BH$12,0)),             IF(BI154="INT",_xll.qInterp(X155,AK154:AR154,BA154:BH154),            INDEX(BA154:BH154,MATCH(BI154,$BA$12:$BH$12,0))))))</f>
        <v>0</v>
      </c>
      <c r="BL154" s="389">
        <f t="shared" si="48"/>
        <v>0</v>
      </c>
      <c r="BM154" s="394">
        <f t="shared" si="49"/>
        <v>0</v>
      </c>
      <c r="BN154" s="389">
        <f t="shared" si="50"/>
        <v>0</v>
      </c>
    </row>
    <row r="155" spans="16:66">
      <c r="P155" s="714">
        <v>0</v>
      </c>
      <c r="Q155" s="715">
        <f t="shared" si="34"/>
        <v>0</v>
      </c>
      <c r="R155" s="712">
        <f>IF(P156,_xll.qDateYears(P155,P156,DCCfixed),0)</f>
        <v>0</v>
      </c>
      <c r="S155" s="519">
        <f ca="1"/>
        <v>0</v>
      </c>
      <c r="T155" s="720"/>
      <c r="U155" s="390">
        <f t="shared" si="44"/>
        <v>0</v>
      </c>
      <c r="X155" s="345">
        <v>0</v>
      </c>
      <c r="Y155" s="711">
        <f t="shared" si="35"/>
        <v>0</v>
      </c>
      <c r="Z155" s="712">
        <f>IF(X156,_xll.qDateYears(X155,X156,DCCfloat),0)</f>
        <v>0</v>
      </c>
      <c r="AA155" s="519">
        <f ca="1"/>
        <v>0</v>
      </c>
      <c r="AB155" s="890">
        <f>IF(X155=0,0,         IF(OR(CCY="AUD",CCY="NZD",CCY="GBP"),X155,   _xll.qDateNext(X155,"-2b",,,IF(CCY="EUR","TGT","LON"))))</f>
        <v>0</v>
      </c>
      <c r="AC155" s="879" t="str">
        <v/>
      </c>
      <c r="AD155" s="879" t="str">
        <v/>
      </c>
      <c r="AE155" s="879" t="str">
        <v/>
      </c>
      <c r="AF155" s="879" t="str">
        <v/>
      </c>
      <c r="AG155" s="879" t="str">
        <v/>
      </c>
      <c r="AH155" s="879" t="str">
        <v/>
      </c>
      <c r="AI155" s="879" t="str">
        <v/>
      </c>
      <c r="AJ155" s="879" t="str">
        <v/>
      </c>
      <c r="AK155" s="882">
        <f>IF($X155=0,0,      _xll.qDateNext($X155,AK$12,$AR$11,FRM&lt;&gt;"Calypso",CCY))</f>
        <v>0</v>
      </c>
      <c r="AL155" s="882">
        <f>IF($X155=0,0,      _xll.qDateNext($X155,AL$12,$AR$11,FRM&lt;&gt;"Calypso",CCY))</f>
        <v>0</v>
      </c>
      <c r="AM155" s="882">
        <f>IF($X155=0,0,      _xll.qDateNext($X155,AM$12,$AR$11,FRM&lt;&gt;"Calypso",CCY))</f>
        <v>0</v>
      </c>
      <c r="AN155" s="882">
        <f>IF($X155=0,0,      _xll.qDateNext($X155,AN$12,$AR$11,FRM&lt;&gt;"Calypso",CCY))</f>
        <v>0</v>
      </c>
      <c r="AO155" s="882">
        <f>IF($X155=0,0,      _xll.qDateNext($X155,AO$12,$AR$11,FRM&lt;&gt;"Calypso",CCY))</f>
        <v>0</v>
      </c>
      <c r="AP155" s="882">
        <f>IF($X155=0,0,      _xll.qDateNext($X155,AP$12,$AR$11,FRM&lt;&gt;"Calypso",CCY))</f>
        <v>0</v>
      </c>
      <c r="AQ155" s="882">
        <f>IF($X155=0,0,      _xll.qDateNext($X155,AQ$12,$AR$11,FRM&lt;&gt;"Calypso",CCY))</f>
        <v>0</v>
      </c>
      <c r="AR155" s="882">
        <f>IF($X155=0,0,      _xll.qDateNext($X155,AR$12,$AR$11,FRM&lt;&gt;"Calypso",CCY))</f>
        <v>0</v>
      </c>
      <c r="AS155" s="901">
        <f ca="1"/>
        <v>0</v>
      </c>
      <c r="AT155" s="901">
        <f ca="1"/>
        <v>0</v>
      </c>
      <c r="AU155" s="901">
        <f t="shared" si="45"/>
        <v>0</v>
      </c>
      <c r="AV155" s="901">
        <f ca="1"/>
        <v>0</v>
      </c>
      <c r="AW155" s="901">
        <f t="shared" si="46"/>
        <v>0</v>
      </c>
      <c r="AX155" s="901">
        <f t="shared" si="47"/>
        <v>0</v>
      </c>
      <c r="AY155" s="901">
        <f ca="1"/>
        <v>0</v>
      </c>
      <c r="AZ155" s="901">
        <f ca="1"/>
        <v>0</v>
      </c>
      <c r="BA155" s="905">
        <f t="shared" si="36"/>
        <v>0</v>
      </c>
      <c r="BB155" s="905">
        <f t="shared" si="37"/>
        <v>0</v>
      </c>
      <c r="BC155" s="905">
        <f t="shared" si="38"/>
        <v>0</v>
      </c>
      <c r="BD155" s="905">
        <f t="shared" si="39"/>
        <v>0</v>
      </c>
      <c r="BE155" s="905">
        <f t="shared" si="40"/>
        <v>0</v>
      </c>
      <c r="BF155" s="905">
        <f t="shared" si="41"/>
        <v>0</v>
      </c>
      <c r="BG155" s="905">
        <f t="shared" si="42"/>
        <v>0</v>
      </c>
      <c r="BH155" s="905">
        <f t="shared" si="43"/>
        <v>0</v>
      </c>
      <c r="BI155" s="713">
        <v>0</v>
      </c>
      <c r="BJ155" s="695"/>
      <c r="BK155" s="752">
        <f>IF(X156=0,0,           IF(ISNUMBER(BJ155),BJ155,               IF(ISTEXT(BJ155),INDEX(BA155:BH155,MATCH(BJ155,$BA$12:$BH$12,0)),             IF(BI155="INT",_xll.qInterp(X156,AK155:AR155,BA155:BH155),            INDEX(BA155:BH155,MATCH(BI155,$BA$12:$BH$12,0))))))</f>
        <v>0</v>
      </c>
      <c r="BL155" s="389">
        <f t="shared" si="48"/>
        <v>0</v>
      </c>
      <c r="BM155" s="394">
        <f t="shared" si="49"/>
        <v>0</v>
      </c>
      <c r="BN155" s="389">
        <f t="shared" si="50"/>
        <v>0</v>
      </c>
    </row>
    <row r="156" spans="16:66">
      <c r="P156" s="714">
        <v>0</v>
      </c>
      <c r="Q156" s="715">
        <f t="shared" si="34"/>
        <v>0</v>
      </c>
      <c r="R156" s="712">
        <f>IF(P157,_xll.qDateYears(P156,P157,DCCfixed),0)</f>
        <v>0</v>
      </c>
      <c r="S156" s="519">
        <f ca="1"/>
        <v>0</v>
      </c>
      <c r="T156" s="720"/>
      <c r="U156" s="390">
        <f t="shared" si="44"/>
        <v>0</v>
      </c>
      <c r="X156" s="345">
        <v>0</v>
      </c>
      <c r="Y156" s="711">
        <f t="shared" si="35"/>
        <v>0</v>
      </c>
      <c r="Z156" s="712">
        <f>IF(X157,_xll.qDateYears(X156,X157,DCCfloat),0)</f>
        <v>0</v>
      </c>
      <c r="AA156" s="519">
        <f ca="1"/>
        <v>0</v>
      </c>
      <c r="AB156" s="890">
        <f>IF(X156=0,0,         IF(OR(CCY="AUD",CCY="NZD",CCY="GBP"),X156,   _xll.qDateNext(X156,"-2b",,,IF(CCY="EUR","TGT","LON"))))</f>
        <v>0</v>
      </c>
      <c r="AC156" s="879" t="str">
        <v/>
      </c>
      <c r="AD156" s="879" t="str">
        <v/>
      </c>
      <c r="AE156" s="879" t="str">
        <v/>
      </c>
      <c r="AF156" s="879" t="str">
        <v/>
      </c>
      <c r="AG156" s="879" t="str">
        <v/>
      </c>
      <c r="AH156" s="879" t="str">
        <v/>
      </c>
      <c r="AI156" s="879" t="str">
        <v/>
      </c>
      <c r="AJ156" s="879" t="str">
        <v/>
      </c>
      <c r="AK156" s="882">
        <f>IF($X156=0,0,      _xll.qDateNext($X156,AK$12,$AR$11,FRM&lt;&gt;"Calypso",CCY))</f>
        <v>0</v>
      </c>
      <c r="AL156" s="882">
        <f>IF($X156=0,0,      _xll.qDateNext($X156,AL$12,$AR$11,FRM&lt;&gt;"Calypso",CCY))</f>
        <v>0</v>
      </c>
      <c r="AM156" s="882">
        <f>IF($X156=0,0,      _xll.qDateNext($X156,AM$12,$AR$11,FRM&lt;&gt;"Calypso",CCY))</f>
        <v>0</v>
      </c>
      <c r="AN156" s="882">
        <f>IF($X156=0,0,      _xll.qDateNext($X156,AN$12,$AR$11,FRM&lt;&gt;"Calypso",CCY))</f>
        <v>0</v>
      </c>
      <c r="AO156" s="882">
        <f>IF($X156=0,0,      _xll.qDateNext($X156,AO$12,$AR$11,FRM&lt;&gt;"Calypso",CCY))</f>
        <v>0</v>
      </c>
      <c r="AP156" s="882">
        <f>IF($X156=0,0,      _xll.qDateNext($X156,AP$12,$AR$11,FRM&lt;&gt;"Calypso",CCY))</f>
        <v>0</v>
      </c>
      <c r="AQ156" s="882">
        <f>IF($X156=0,0,      _xll.qDateNext($X156,AQ$12,$AR$11,FRM&lt;&gt;"Calypso",CCY))</f>
        <v>0</v>
      </c>
      <c r="AR156" s="882">
        <f>IF($X156=0,0,      _xll.qDateNext($X156,AR$12,$AR$11,FRM&lt;&gt;"Calypso",CCY))</f>
        <v>0</v>
      </c>
      <c r="AS156" s="901">
        <f ca="1"/>
        <v>0</v>
      </c>
      <c r="AT156" s="901">
        <f ca="1"/>
        <v>0</v>
      </c>
      <c r="AU156" s="901">
        <f t="shared" si="45"/>
        <v>0</v>
      </c>
      <c r="AV156" s="901">
        <f ca="1"/>
        <v>0</v>
      </c>
      <c r="AW156" s="901">
        <f t="shared" si="46"/>
        <v>0</v>
      </c>
      <c r="AX156" s="901">
        <f t="shared" si="47"/>
        <v>0</v>
      </c>
      <c r="AY156" s="901">
        <f ca="1"/>
        <v>0</v>
      </c>
      <c r="AZ156" s="901">
        <f ca="1"/>
        <v>0</v>
      </c>
      <c r="BA156" s="905">
        <f t="shared" si="36"/>
        <v>0</v>
      </c>
      <c r="BB156" s="905">
        <f t="shared" si="37"/>
        <v>0</v>
      </c>
      <c r="BC156" s="905">
        <f t="shared" si="38"/>
        <v>0</v>
      </c>
      <c r="BD156" s="905">
        <f t="shared" si="39"/>
        <v>0</v>
      </c>
      <c r="BE156" s="905">
        <f t="shared" si="40"/>
        <v>0</v>
      </c>
      <c r="BF156" s="905">
        <f t="shared" si="41"/>
        <v>0</v>
      </c>
      <c r="BG156" s="905">
        <f t="shared" si="42"/>
        <v>0</v>
      </c>
      <c r="BH156" s="905">
        <f t="shared" si="43"/>
        <v>0</v>
      </c>
      <c r="BI156" s="713">
        <v>0</v>
      </c>
      <c r="BJ156" s="695"/>
      <c r="BK156" s="752">
        <f>IF(X157=0,0,           IF(ISNUMBER(BJ156),BJ156,               IF(ISTEXT(BJ156),INDEX(BA156:BH156,MATCH(BJ156,$BA$12:$BH$12,0)),             IF(BI156="INT",_xll.qInterp(X157,AK156:AR156,BA156:BH156),            INDEX(BA156:BH156,MATCH(BI156,$BA$12:$BH$12,0))))))</f>
        <v>0</v>
      </c>
      <c r="BL156" s="389">
        <f t="shared" si="48"/>
        <v>0</v>
      </c>
      <c r="BM156" s="394">
        <f t="shared" si="49"/>
        <v>0</v>
      </c>
      <c r="BN156" s="389">
        <f t="shared" si="50"/>
        <v>0</v>
      </c>
    </row>
    <row r="157" spans="16:66">
      <c r="P157" s="714">
        <v>0</v>
      </c>
      <c r="Q157" s="715">
        <f t="shared" si="34"/>
        <v>0</v>
      </c>
      <c r="R157" s="712">
        <f>IF(P158,_xll.qDateYears(P157,P158,DCCfixed),0)</f>
        <v>0</v>
      </c>
      <c r="S157" s="519">
        <f ca="1"/>
        <v>0</v>
      </c>
      <c r="T157" s="720"/>
      <c r="U157" s="390">
        <f t="shared" si="44"/>
        <v>0</v>
      </c>
      <c r="X157" s="345">
        <v>0</v>
      </c>
      <c r="Y157" s="711">
        <f t="shared" si="35"/>
        <v>0</v>
      </c>
      <c r="Z157" s="712">
        <f>IF(X158,_xll.qDateYears(X157,X158,DCCfloat),0)</f>
        <v>0</v>
      </c>
      <c r="AA157" s="519">
        <f ca="1"/>
        <v>0</v>
      </c>
      <c r="AB157" s="890">
        <f>IF(X157=0,0,         IF(OR(CCY="AUD",CCY="NZD",CCY="GBP"),X157,   _xll.qDateNext(X157,"-2b",,,IF(CCY="EUR","TGT","LON"))))</f>
        <v>0</v>
      </c>
      <c r="AC157" s="879" t="str">
        <v/>
      </c>
      <c r="AD157" s="879" t="str">
        <v/>
      </c>
      <c r="AE157" s="879" t="str">
        <v/>
      </c>
      <c r="AF157" s="879" t="str">
        <v/>
      </c>
      <c r="AG157" s="879" t="str">
        <v/>
      </c>
      <c r="AH157" s="879" t="str">
        <v/>
      </c>
      <c r="AI157" s="879" t="str">
        <v/>
      </c>
      <c r="AJ157" s="879" t="str">
        <v/>
      </c>
      <c r="AK157" s="882">
        <f>IF($X157=0,0,      _xll.qDateNext($X157,AK$12,$AR$11,FRM&lt;&gt;"Calypso",CCY))</f>
        <v>0</v>
      </c>
      <c r="AL157" s="882">
        <f>IF($X157=0,0,      _xll.qDateNext($X157,AL$12,$AR$11,FRM&lt;&gt;"Calypso",CCY))</f>
        <v>0</v>
      </c>
      <c r="AM157" s="882">
        <f>IF($X157=0,0,      _xll.qDateNext($X157,AM$12,$AR$11,FRM&lt;&gt;"Calypso",CCY))</f>
        <v>0</v>
      </c>
      <c r="AN157" s="882">
        <f>IF($X157=0,0,      _xll.qDateNext($X157,AN$12,$AR$11,FRM&lt;&gt;"Calypso",CCY))</f>
        <v>0</v>
      </c>
      <c r="AO157" s="882">
        <f>IF($X157=0,0,      _xll.qDateNext($X157,AO$12,$AR$11,FRM&lt;&gt;"Calypso",CCY))</f>
        <v>0</v>
      </c>
      <c r="AP157" s="882">
        <f>IF($X157=0,0,      _xll.qDateNext($X157,AP$12,$AR$11,FRM&lt;&gt;"Calypso",CCY))</f>
        <v>0</v>
      </c>
      <c r="AQ157" s="882">
        <f>IF($X157=0,0,      _xll.qDateNext($X157,AQ$12,$AR$11,FRM&lt;&gt;"Calypso",CCY))</f>
        <v>0</v>
      </c>
      <c r="AR157" s="882">
        <f>IF($X157=0,0,      _xll.qDateNext($X157,AR$12,$AR$11,FRM&lt;&gt;"Calypso",CCY))</f>
        <v>0</v>
      </c>
      <c r="AS157" s="901">
        <f ca="1"/>
        <v>0</v>
      </c>
      <c r="AT157" s="901">
        <f ca="1"/>
        <v>0</v>
      </c>
      <c r="AU157" s="901">
        <f t="shared" si="45"/>
        <v>0</v>
      </c>
      <c r="AV157" s="901">
        <f ca="1"/>
        <v>0</v>
      </c>
      <c r="AW157" s="901">
        <f t="shared" si="46"/>
        <v>0</v>
      </c>
      <c r="AX157" s="901">
        <f t="shared" si="47"/>
        <v>0</v>
      </c>
      <c r="AY157" s="901">
        <f ca="1"/>
        <v>0</v>
      </c>
      <c r="AZ157" s="901">
        <f ca="1"/>
        <v>0</v>
      </c>
      <c r="BA157" s="905">
        <f t="shared" si="36"/>
        <v>0</v>
      </c>
      <c r="BB157" s="905">
        <f t="shared" si="37"/>
        <v>0</v>
      </c>
      <c r="BC157" s="905">
        <f t="shared" si="38"/>
        <v>0</v>
      </c>
      <c r="BD157" s="905">
        <f t="shared" si="39"/>
        <v>0</v>
      </c>
      <c r="BE157" s="905">
        <f t="shared" si="40"/>
        <v>0</v>
      </c>
      <c r="BF157" s="905">
        <f t="shared" si="41"/>
        <v>0</v>
      </c>
      <c r="BG157" s="905">
        <f t="shared" si="42"/>
        <v>0</v>
      </c>
      <c r="BH157" s="905">
        <f t="shared" si="43"/>
        <v>0</v>
      </c>
      <c r="BI157" s="713">
        <v>0</v>
      </c>
      <c r="BJ157" s="695"/>
      <c r="BK157" s="752">
        <f>IF(X158=0,0,           IF(ISNUMBER(BJ157),BJ157,               IF(ISTEXT(BJ157),INDEX(BA157:BH157,MATCH(BJ157,$BA$12:$BH$12,0)),             IF(BI157="INT",_xll.qInterp(X158,AK157:AR157,BA157:BH157),            INDEX(BA157:BH157,MATCH(BI157,$BA$12:$BH$12,0))))))</f>
        <v>0</v>
      </c>
      <c r="BL157" s="389">
        <f t="shared" si="48"/>
        <v>0</v>
      </c>
      <c r="BM157" s="394">
        <f t="shared" si="49"/>
        <v>0</v>
      </c>
      <c r="BN157" s="389">
        <f t="shared" si="50"/>
        <v>0</v>
      </c>
    </row>
    <row r="158" spans="16:66">
      <c r="P158" s="714">
        <v>0</v>
      </c>
      <c r="Q158" s="715">
        <f t="shared" si="34"/>
        <v>0</v>
      </c>
      <c r="R158" s="712">
        <f>IF(P159,_xll.qDateYears(P158,P159,DCCfixed),0)</f>
        <v>0</v>
      </c>
      <c r="S158" s="519">
        <f ca="1"/>
        <v>0</v>
      </c>
      <c r="T158" s="720"/>
      <c r="U158" s="390">
        <f t="shared" si="44"/>
        <v>0</v>
      </c>
      <c r="X158" s="345">
        <v>0</v>
      </c>
      <c r="Y158" s="711">
        <f t="shared" si="35"/>
        <v>0</v>
      </c>
      <c r="Z158" s="712">
        <f>IF(X159,_xll.qDateYears(X158,X159,DCCfloat),0)</f>
        <v>0</v>
      </c>
      <c r="AA158" s="519">
        <f ca="1"/>
        <v>0</v>
      </c>
      <c r="AB158" s="890">
        <f>IF(X158=0,0,         IF(OR(CCY="AUD",CCY="NZD",CCY="GBP"),X158,   _xll.qDateNext(X158,"-2b",,,IF(CCY="EUR","TGT","LON"))))</f>
        <v>0</v>
      </c>
      <c r="AC158" s="879" t="str">
        <v/>
      </c>
      <c r="AD158" s="879" t="str">
        <v/>
      </c>
      <c r="AE158" s="879" t="str">
        <v/>
      </c>
      <c r="AF158" s="879" t="str">
        <v/>
      </c>
      <c r="AG158" s="879" t="str">
        <v/>
      </c>
      <c r="AH158" s="879" t="str">
        <v/>
      </c>
      <c r="AI158" s="879" t="str">
        <v/>
      </c>
      <c r="AJ158" s="879" t="str">
        <v/>
      </c>
      <c r="AK158" s="882">
        <f>IF($X158=0,0,      _xll.qDateNext($X158,AK$12,$AR$11,FRM&lt;&gt;"Calypso",CCY))</f>
        <v>0</v>
      </c>
      <c r="AL158" s="882">
        <f>IF($X158=0,0,      _xll.qDateNext($X158,AL$12,$AR$11,FRM&lt;&gt;"Calypso",CCY))</f>
        <v>0</v>
      </c>
      <c r="AM158" s="882">
        <f>IF($X158=0,0,      _xll.qDateNext($X158,AM$12,$AR$11,FRM&lt;&gt;"Calypso",CCY))</f>
        <v>0</v>
      </c>
      <c r="AN158" s="882">
        <f>IF($X158=0,0,      _xll.qDateNext($X158,AN$12,$AR$11,FRM&lt;&gt;"Calypso",CCY))</f>
        <v>0</v>
      </c>
      <c r="AO158" s="882">
        <f>IF($X158=0,0,      _xll.qDateNext($X158,AO$12,$AR$11,FRM&lt;&gt;"Calypso",CCY))</f>
        <v>0</v>
      </c>
      <c r="AP158" s="882">
        <f>IF($X158=0,0,      _xll.qDateNext($X158,AP$12,$AR$11,FRM&lt;&gt;"Calypso",CCY))</f>
        <v>0</v>
      </c>
      <c r="AQ158" s="882">
        <f>IF($X158=0,0,      _xll.qDateNext($X158,AQ$12,$AR$11,FRM&lt;&gt;"Calypso",CCY))</f>
        <v>0</v>
      </c>
      <c r="AR158" s="882">
        <f>IF($X158=0,0,      _xll.qDateNext($X158,AR$12,$AR$11,FRM&lt;&gt;"Calypso",CCY))</f>
        <v>0</v>
      </c>
      <c r="AS158" s="901">
        <f ca="1"/>
        <v>0</v>
      </c>
      <c r="AT158" s="901">
        <f ca="1"/>
        <v>0</v>
      </c>
      <c r="AU158" s="901">
        <f t="shared" si="45"/>
        <v>0</v>
      </c>
      <c r="AV158" s="901">
        <f ca="1"/>
        <v>0</v>
      </c>
      <c r="AW158" s="901">
        <f t="shared" si="46"/>
        <v>0</v>
      </c>
      <c r="AX158" s="901">
        <f t="shared" si="47"/>
        <v>0</v>
      </c>
      <c r="AY158" s="901">
        <f ca="1"/>
        <v>0</v>
      </c>
      <c r="AZ158" s="901">
        <f ca="1"/>
        <v>0</v>
      </c>
      <c r="BA158" s="905">
        <f t="shared" si="36"/>
        <v>0</v>
      </c>
      <c r="BB158" s="905">
        <f t="shared" si="37"/>
        <v>0</v>
      </c>
      <c r="BC158" s="905">
        <f t="shared" si="38"/>
        <v>0</v>
      </c>
      <c r="BD158" s="905">
        <f t="shared" si="39"/>
        <v>0</v>
      </c>
      <c r="BE158" s="905">
        <f t="shared" si="40"/>
        <v>0</v>
      </c>
      <c r="BF158" s="905">
        <f t="shared" si="41"/>
        <v>0</v>
      </c>
      <c r="BG158" s="905">
        <f t="shared" si="42"/>
        <v>0</v>
      </c>
      <c r="BH158" s="905">
        <f t="shared" si="43"/>
        <v>0</v>
      </c>
      <c r="BI158" s="713">
        <v>0</v>
      </c>
      <c r="BJ158" s="695"/>
      <c r="BK158" s="752">
        <f>IF(X159=0,0,           IF(ISNUMBER(BJ158),BJ158,               IF(ISTEXT(BJ158),INDEX(BA158:BH158,MATCH(BJ158,$BA$12:$BH$12,0)),             IF(BI158="INT",_xll.qInterp(X159,AK158:AR158,BA158:BH158),            INDEX(BA158:BH158,MATCH(BI158,$BA$12:$BH$12,0))))))</f>
        <v>0</v>
      </c>
      <c r="BL158" s="389">
        <f t="shared" si="48"/>
        <v>0</v>
      </c>
      <c r="BM158" s="394">
        <f t="shared" si="49"/>
        <v>0</v>
      </c>
      <c r="BN158" s="389">
        <f t="shared" si="50"/>
        <v>0</v>
      </c>
    </row>
    <row r="159" spans="16:66">
      <c r="P159" s="714">
        <v>0</v>
      </c>
      <c r="Q159" s="715">
        <f t="shared" si="34"/>
        <v>0</v>
      </c>
      <c r="R159" s="712">
        <f>IF(P160,_xll.qDateYears(P159,P160,DCCfixed),0)</f>
        <v>0</v>
      </c>
      <c r="S159" s="519">
        <f ca="1"/>
        <v>0</v>
      </c>
      <c r="T159" s="720"/>
      <c r="U159" s="390">
        <f t="shared" si="44"/>
        <v>0</v>
      </c>
      <c r="X159" s="345">
        <v>0</v>
      </c>
      <c r="Y159" s="711">
        <f t="shared" si="35"/>
        <v>0</v>
      </c>
      <c r="Z159" s="712">
        <f>IF(X160,_xll.qDateYears(X159,X160,DCCfloat),0)</f>
        <v>0</v>
      </c>
      <c r="AA159" s="519">
        <f ca="1"/>
        <v>0</v>
      </c>
      <c r="AB159" s="890">
        <f>IF(X159=0,0,         IF(OR(CCY="AUD",CCY="NZD",CCY="GBP"),X159,   _xll.qDateNext(X159,"-2b",,,IF(CCY="EUR","TGT","LON"))))</f>
        <v>0</v>
      </c>
      <c r="AC159" s="879" t="str">
        <v/>
      </c>
      <c r="AD159" s="879" t="str">
        <v/>
      </c>
      <c r="AE159" s="879" t="str">
        <v/>
      </c>
      <c r="AF159" s="879" t="str">
        <v/>
      </c>
      <c r="AG159" s="879" t="str">
        <v/>
      </c>
      <c r="AH159" s="879" t="str">
        <v/>
      </c>
      <c r="AI159" s="879" t="str">
        <v/>
      </c>
      <c r="AJ159" s="879" t="str">
        <v/>
      </c>
      <c r="AK159" s="882">
        <f>IF($X159=0,0,      _xll.qDateNext($X159,AK$12,$AR$11,FRM&lt;&gt;"Calypso",CCY))</f>
        <v>0</v>
      </c>
      <c r="AL159" s="882">
        <f>IF($X159=0,0,      _xll.qDateNext($X159,AL$12,$AR$11,FRM&lt;&gt;"Calypso",CCY))</f>
        <v>0</v>
      </c>
      <c r="AM159" s="882">
        <f>IF($X159=0,0,      _xll.qDateNext($X159,AM$12,$AR$11,FRM&lt;&gt;"Calypso",CCY))</f>
        <v>0</v>
      </c>
      <c r="AN159" s="882">
        <f>IF($X159=0,0,      _xll.qDateNext($X159,AN$12,$AR$11,FRM&lt;&gt;"Calypso",CCY))</f>
        <v>0</v>
      </c>
      <c r="AO159" s="882">
        <f>IF($X159=0,0,      _xll.qDateNext($X159,AO$12,$AR$11,FRM&lt;&gt;"Calypso",CCY))</f>
        <v>0</v>
      </c>
      <c r="AP159" s="882">
        <f>IF($X159=0,0,      _xll.qDateNext($X159,AP$12,$AR$11,FRM&lt;&gt;"Calypso",CCY))</f>
        <v>0</v>
      </c>
      <c r="AQ159" s="882">
        <f>IF($X159=0,0,      _xll.qDateNext($X159,AQ$12,$AR$11,FRM&lt;&gt;"Calypso",CCY))</f>
        <v>0</v>
      </c>
      <c r="AR159" s="882">
        <f>IF($X159=0,0,      _xll.qDateNext($X159,AR$12,$AR$11,FRM&lt;&gt;"Calypso",CCY))</f>
        <v>0</v>
      </c>
      <c r="AS159" s="901">
        <f ca="1"/>
        <v>0</v>
      </c>
      <c r="AT159" s="901">
        <f ca="1"/>
        <v>0</v>
      </c>
      <c r="AU159" s="901">
        <f t="shared" si="45"/>
        <v>0</v>
      </c>
      <c r="AV159" s="901">
        <f ca="1"/>
        <v>0</v>
      </c>
      <c r="AW159" s="901">
        <f t="shared" si="46"/>
        <v>0</v>
      </c>
      <c r="AX159" s="901">
        <f t="shared" si="47"/>
        <v>0</v>
      </c>
      <c r="AY159" s="901">
        <f ca="1"/>
        <v>0</v>
      </c>
      <c r="AZ159" s="901">
        <f ca="1"/>
        <v>0</v>
      </c>
      <c r="BA159" s="905">
        <f t="shared" si="36"/>
        <v>0</v>
      </c>
      <c r="BB159" s="905">
        <f t="shared" si="37"/>
        <v>0</v>
      </c>
      <c r="BC159" s="905">
        <f t="shared" si="38"/>
        <v>0</v>
      </c>
      <c r="BD159" s="905">
        <f t="shared" si="39"/>
        <v>0</v>
      </c>
      <c r="BE159" s="905">
        <f t="shared" si="40"/>
        <v>0</v>
      </c>
      <c r="BF159" s="905">
        <f t="shared" si="41"/>
        <v>0</v>
      </c>
      <c r="BG159" s="905">
        <f t="shared" si="42"/>
        <v>0</v>
      </c>
      <c r="BH159" s="905">
        <f t="shared" si="43"/>
        <v>0</v>
      </c>
      <c r="BI159" s="713">
        <v>0</v>
      </c>
      <c r="BJ159" s="695"/>
      <c r="BK159" s="752">
        <f>IF(X160=0,0,           IF(ISNUMBER(BJ159),BJ159,               IF(ISTEXT(BJ159),INDEX(BA159:BH159,MATCH(BJ159,$BA$12:$BH$12,0)),             IF(BI159="INT",_xll.qInterp(X160,AK159:AR159,BA159:BH159),            INDEX(BA159:BH159,MATCH(BI159,$BA$12:$BH$12,0))))))</f>
        <v>0</v>
      </c>
      <c r="BL159" s="389">
        <f t="shared" si="48"/>
        <v>0</v>
      </c>
      <c r="BM159" s="394">
        <f t="shared" si="49"/>
        <v>0</v>
      </c>
      <c r="BN159" s="389">
        <f t="shared" si="50"/>
        <v>0</v>
      </c>
    </row>
    <row r="160" spans="16:66">
      <c r="P160" s="714">
        <v>0</v>
      </c>
      <c r="Q160" s="715">
        <f t="shared" si="34"/>
        <v>0</v>
      </c>
      <c r="R160" s="712">
        <f>IF(P161,_xll.qDateYears(P160,P161,DCCfixed),0)</f>
        <v>0</v>
      </c>
      <c r="S160" s="519">
        <f ca="1"/>
        <v>0</v>
      </c>
      <c r="T160" s="720"/>
      <c r="U160" s="390">
        <f t="shared" si="44"/>
        <v>0</v>
      </c>
      <c r="X160" s="345">
        <v>0</v>
      </c>
      <c r="Y160" s="711">
        <f t="shared" si="35"/>
        <v>0</v>
      </c>
      <c r="Z160" s="712">
        <f>IF(X161,_xll.qDateYears(X160,X161,DCCfloat),0)</f>
        <v>0</v>
      </c>
      <c r="AA160" s="519">
        <f ca="1"/>
        <v>0</v>
      </c>
      <c r="AB160" s="890">
        <f>IF(X160=0,0,         IF(OR(CCY="AUD",CCY="NZD",CCY="GBP"),X160,   _xll.qDateNext(X160,"-2b",,,IF(CCY="EUR","TGT","LON"))))</f>
        <v>0</v>
      </c>
      <c r="AC160" s="879" t="str">
        <v/>
      </c>
      <c r="AD160" s="879" t="str">
        <v/>
      </c>
      <c r="AE160" s="879" t="str">
        <v/>
      </c>
      <c r="AF160" s="879" t="str">
        <v/>
      </c>
      <c r="AG160" s="879" t="str">
        <v/>
      </c>
      <c r="AH160" s="879" t="str">
        <v/>
      </c>
      <c r="AI160" s="879" t="str">
        <v/>
      </c>
      <c r="AJ160" s="879" t="str">
        <v/>
      </c>
      <c r="AK160" s="882">
        <f>IF($X160=0,0,      _xll.qDateNext($X160,AK$12,$AR$11,FRM&lt;&gt;"Calypso",CCY))</f>
        <v>0</v>
      </c>
      <c r="AL160" s="882">
        <f>IF($X160=0,0,      _xll.qDateNext($X160,AL$12,$AR$11,FRM&lt;&gt;"Calypso",CCY))</f>
        <v>0</v>
      </c>
      <c r="AM160" s="882">
        <f>IF($X160=0,0,      _xll.qDateNext($X160,AM$12,$AR$11,FRM&lt;&gt;"Calypso",CCY))</f>
        <v>0</v>
      </c>
      <c r="AN160" s="882">
        <f>IF($X160=0,0,      _xll.qDateNext($X160,AN$12,$AR$11,FRM&lt;&gt;"Calypso",CCY))</f>
        <v>0</v>
      </c>
      <c r="AO160" s="882">
        <f>IF($X160=0,0,      _xll.qDateNext($X160,AO$12,$AR$11,FRM&lt;&gt;"Calypso",CCY))</f>
        <v>0</v>
      </c>
      <c r="AP160" s="882">
        <f>IF($X160=0,0,      _xll.qDateNext($X160,AP$12,$AR$11,FRM&lt;&gt;"Calypso",CCY))</f>
        <v>0</v>
      </c>
      <c r="AQ160" s="882">
        <f>IF($X160=0,0,      _xll.qDateNext($X160,AQ$12,$AR$11,FRM&lt;&gt;"Calypso",CCY))</f>
        <v>0</v>
      </c>
      <c r="AR160" s="882">
        <f>IF($X160=0,0,      _xll.qDateNext($X160,AR$12,$AR$11,FRM&lt;&gt;"Calypso",CCY))</f>
        <v>0</v>
      </c>
      <c r="AS160" s="901">
        <f ca="1"/>
        <v>0</v>
      </c>
      <c r="AT160" s="901">
        <f ca="1"/>
        <v>0</v>
      </c>
      <c r="AU160" s="901">
        <f t="shared" si="45"/>
        <v>0</v>
      </c>
      <c r="AV160" s="901">
        <f ca="1"/>
        <v>0</v>
      </c>
      <c r="AW160" s="901">
        <f t="shared" si="46"/>
        <v>0</v>
      </c>
      <c r="AX160" s="901">
        <f t="shared" si="47"/>
        <v>0</v>
      </c>
      <c r="AY160" s="901">
        <f ca="1"/>
        <v>0</v>
      </c>
      <c r="AZ160" s="901">
        <f ca="1"/>
        <v>0</v>
      </c>
      <c r="BA160" s="905">
        <f t="shared" si="36"/>
        <v>0</v>
      </c>
      <c r="BB160" s="905">
        <f t="shared" si="37"/>
        <v>0</v>
      </c>
      <c r="BC160" s="905">
        <f t="shared" si="38"/>
        <v>0</v>
      </c>
      <c r="BD160" s="905">
        <f t="shared" si="39"/>
        <v>0</v>
      </c>
      <c r="BE160" s="905">
        <f t="shared" si="40"/>
        <v>0</v>
      </c>
      <c r="BF160" s="905">
        <f t="shared" si="41"/>
        <v>0</v>
      </c>
      <c r="BG160" s="905">
        <f t="shared" si="42"/>
        <v>0</v>
      </c>
      <c r="BH160" s="905">
        <f t="shared" si="43"/>
        <v>0</v>
      </c>
      <c r="BI160" s="713">
        <v>0</v>
      </c>
      <c r="BJ160" s="695"/>
      <c r="BK160" s="752">
        <f>IF(X161=0,0,           IF(ISNUMBER(BJ160),BJ160,               IF(ISTEXT(BJ160),INDEX(BA160:BH160,MATCH(BJ160,$BA$12:$BH$12,0)),             IF(BI160="INT",_xll.qInterp(X161,AK160:AR160,BA160:BH160),            INDEX(BA160:BH160,MATCH(BI160,$BA$12:$BH$12,0))))))</f>
        <v>0</v>
      </c>
      <c r="BL160" s="389">
        <f t="shared" si="48"/>
        <v>0</v>
      </c>
      <c r="BM160" s="394">
        <f t="shared" si="49"/>
        <v>0</v>
      </c>
      <c r="BN160" s="389">
        <f t="shared" si="50"/>
        <v>0</v>
      </c>
    </row>
    <row r="161" spans="16:66">
      <c r="P161" s="714">
        <v>0</v>
      </c>
      <c r="Q161" s="715">
        <f t="shared" si="34"/>
        <v>0</v>
      </c>
      <c r="R161" s="712">
        <f>IF(P162,_xll.qDateYears(P161,P162,DCCfixed),0)</f>
        <v>0</v>
      </c>
      <c r="S161" s="519">
        <f ca="1"/>
        <v>0</v>
      </c>
      <c r="T161" s="720"/>
      <c r="U161" s="390">
        <f t="shared" si="44"/>
        <v>0</v>
      </c>
      <c r="X161" s="345">
        <v>0</v>
      </c>
      <c r="Y161" s="711">
        <f t="shared" si="35"/>
        <v>0</v>
      </c>
      <c r="Z161" s="712">
        <f>IF(X162,_xll.qDateYears(X161,X162,DCCfloat),0)</f>
        <v>0</v>
      </c>
      <c r="AA161" s="519">
        <f ca="1"/>
        <v>0</v>
      </c>
      <c r="AB161" s="890">
        <f>IF(X161=0,0,         IF(OR(CCY="AUD",CCY="NZD",CCY="GBP"),X161,   _xll.qDateNext(X161,"-2b",,,IF(CCY="EUR","TGT","LON"))))</f>
        <v>0</v>
      </c>
      <c r="AC161" s="879" t="str">
        <v/>
      </c>
      <c r="AD161" s="879" t="str">
        <v/>
      </c>
      <c r="AE161" s="879" t="str">
        <v/>
      </c>
      <c r="AF161" s="879" t="str">
        <v/>
      </c>
      <c r="AG161" s="879" t="str">
        <v/>
      </c>
      <c r="AH161" s="879" t="str">
        <v/>
      </c>
      <c r="AI161" s="879" t="str">
        <v/>
      </c>
      <c r="AJ161" s="879" t="str">
        <v/>
      </c>
      <c r="AK161" s="882">
        <f>IF($X161=0,0,      _xll.qDateNext($X161,AK$12,$AR$11,FRM&lt;&gt;"Calypso",CCY))</f>
        <v>0</v>
      </c>
      <c r="AL161" s="882">
        <f>IF($X161=0,0,      _xll.qDateNext($X161,AL$12,$AR$11,FRM&lt;&gt;"Calypso",CCY))</f>
        <v>0</v>
      </c>
      <c r="AM161" s="882">
        <f>IF($X161=0,0,      _xll.qDateNext($X161,AM$12,$AR$11,FRM&lt;&gt;"Calypso",CCY))</f>
        <v>0</v>
      </c>
      <c r="AN161" s="882">
        <f>IF($X161=0,0,      _xll.qDateNext($X161,AN$12,$AR$11,FRM&lt;&gt;"Calypso",CCY))</f>
        <v>0</v>
      </c>
      <c r="AO161" s="882">
        <f>IF($X161=0,0,      _xll.qDateNext($X161,AO$12,$AR$11,FRM&lt;&gt;"Calypso",CCY))</f>
        <v>0</v>
      </c>
      <c r="AP161" s="882">
        <f>IF($X161=0,0,      _xll.qDateNext($X161,AP$12,$AR$11,FRM&lt;&gt;"Calypso",CCY))</f>
        <v>0</v>
      </c>
      <c r="AQ161" s="882">
        <f>IF($X161=0,0,      _xll.qDateNext($X161,AQ$12,$AR$11,FRM&lt;&gt;"Calypso",CCY))</f>
        <v>0</v>
      </c>
      <c r="AR161" s="882">
        <f>IF($X161=0,0,      _xll.qDateNext($X161,AR$12,$AR$11,FRM&lt;&gt;"Calypso",CCY))</f>
        <v>0</v>
      </c>
      <c r="AS161" s="901">
        <f ca="1"/>
        <v>0</v>
      </c>
      <c r="AT161" s="901">
        <f ca="1"/>
        <v>0</v>
      </c>
      <c r="AU161" s="901">
        <f t="shared" si="45"/>
        <v>0</v>
      </c>
      <c r="AV161" s="901">
        <f ca="1"/>
        <v>0</v>
      </c>
      <c r="AW161" s="901">
        <f t="shared" si="46"/>
        <v>0</v>
      </c>
      <c r="AX161" s="901">
        <f t="shared" si="47"/>
        <v>0</v>
      </c>
      <c r="AY161" s="901">
        <f ca="1"/>
        <v>0</v>
      </c>
      <c r="AZ161" s="901">
        <f ca="1"/>
        <v>0</v>
      </c>
      <c r="BA161" s="905">
        <f t="shared" si="36"/>
        <v>0</v>
      </c>
      <c r="BB161" s="905">
        <f t="shared" si="37"/>
        <v>0</v>
      </c>
      <c r="BC161" s="905">
        <f t="shared" si="38"/>
        <v>0</v>
      </c>
      <c r="BD161" s="905">
        <f t="shared" si="39"/>
        <v>0</v>
      </c>
      <c r="BE161" s="905">
        <f t="shared" si="40"/>
        <v>0</v>
      </c>
      <c r="BF161" s="905">
        <f t="shared" si="41"/>
        <v>0</v>
      </c>
      <c r="BG161" s="905">
        <f t="shared" si="42"/>
        <v>0</v>
      </c>
      <c r="BH161" s="905">
        <f t="shared" si="43"/>
        <v>0</v>
      </c>
      <c r="BI161" s="713">
        <v>0</v>
      </c>
      <c r="BJ161" s="695"/>
      <c r="BK161" s="752">
        <f>IF(X162=0,0,           IF(ISNUMBER(BJ161),BJ161,               IF(ISTEXT(BJ161),INDEX(BA161:BH161,MATCH(BJ161,$BA$12:$BH$12,0)),             IF(BI161="INT",_xll.qInterp(X162,AK161:AR161,BA161:BH161),            INDEX(BA161:BH161,MATCH(BI161,$BA$12:$BH$12,0))))))</f>
        <v>0</v>
      </c>
      <c r="BL161" s="389">
        <f t="shared" si="48"/>
        <v>0</v>
      </c>
      <c r="BM161" s="394">
        <f t="shared" si="49"/>
        <v>0</v>
      </c>
      <c r="BN161" s="389">
        <f t="shared" si="50"/>
        <v>0</v>
      </c>
    </row>
    <row r="162" spans="16:66">
      <c r="P162" s="714">
        <v>0</v>
      </c>
      <c r="Q162" s="715">
        <f t="shared" si="34"/>
        <v>0</v>
      </c>
      <c r="R162" s="712">
        <f>IF(P163,_xll.qDateYears(P162,P163,DCCfixed),0)</f>
        <v>0</v>
      </c>
      <c r="S162" s="519">
        <f ca="1"/>
        <v>0</v>
      </c>
      <c r="T162" s="720"/>
      <c r="U162" s="390">
        <f t="shared" si="44"/>
        <v>0</v>
      </c>
      <c r="X162" s="345">
        <v>0</v>
      </c>
      <c r="Y162" s="711">
        <f t="shared" si="35"/>
        <v>0</v>
      </c>
      <c r="Z162" s="712">
        <f>IF(X163,_xll.qDateYears(X162,X163,DCCfloat),0)</f>
        <v>0</v>
      </c>
      <c r="AA162" s="519">
        <f ca="1"/>
        <v>0</v>
      </c>
      <c r="AB162" s="890">
        <f>IF(X162=0,0,         IF(OR(CCY="AUD",CCY="NZD",CCY="GBP"),X162,   _xll.qDateNext(X162,"-2b",,,IF(CCY="EUR","TGT","LON"))))</f>
        <v>0</v>
      </c>
      <c r="AC162" s="879" t="str">
        <v/>
      </c>
      <c r="AD162" s="879" t="str">
        <v/>
      </c>
      <c r="AE162" s="879" t="str">
        <v/>
      </c>
      <c r="AF162" s="879" t="str">
        <v/>
      </c>
      <c r="AG162" s="879" t="str">
        <v/>
      </c>
      <c r="AH162" s="879" t="str">
        <v/>
      </c>
      <c r="AI162" s="879" t="str">
        <v/>
      </c>
      <c r="AJ162" s="879" t="str">
        <v/>
      </c>
      <c r="AK162" s="882">
        <f>IF($X162=0,0,      _xll.qDateNext($X162,AK$12,$AR$11,FRM&lt;&gt;"Calypso",CCY))</f>
        <v>0</v>
      </c>
      <c r="AL162" s="882">
        <f>IF($X162=0,0,      _xll.qDateNext($X162,AL$12,$AR$11,FRM&lt;&gt;"Calypso",CCY))</f>
        <v>0</v>
      </c>
      <c r="AM162" s="882">
        <f>IF($X162=0,0,      _xll.qDateNext($X162,AM$12,$AR$11,FRM&lt;&gt;"Calypso",CCY))</f>
        <v>0</v>
      </c>
      <c r="AN162" s="882">
        <f>IF($X162=0,0,      _xll.qDateNext($X162,AN$12,$AR$11,FRM&lt;&gt;"Calypso",CCY))</f>
        <v>0</v>
      </c>
      <c r="AO162" s="882">
        <f>IF($X162=0,0,      _xll.qDateNext($X162,AO$12,$AR$11,FRM&lt;&gt;"Calypso",CCY))</f>
        <v>0</v>
      </c>
      <c r="AP162" s="882">
        <f>IF($X162=0,0,      _xll.qDateNext($X162,AP$12,$AR$11,FRM&lt;&gt;"Calypso",CCY))</f>
        <v>0</v>
      </c>
      <c r="AQ162" s="882">
        <f>IF($X162=0,0,      _xll.qDateNext($X162,AQ$12,$AR$11,FRM&lt;&gt;"Calypso",CCY))</f>
        <v>0</v>
      </c>
      <c r="AR162" s="882">
        <f>IF($X162=0,0,      _xll.qDateNext($X162,AR$12,$AR$11,FRM&lt;&gt;"Calypso",CCY))</f>
        <v>0</v>
      </c>
      <c r="AS162" s="901">
        <f ca="1"/>
        <v>0</v>
      </c>
      <c r="AT162" s="901">
        <f ca="1"/>
        <v>0</v>
      </c>
      <c r="AU162" s="901">
        <f t="shared" si="45"/>
        <v>0</v>
      </c>
      <c r="AV162" s="901">
        <f ca="1"/>
        <v>0</v>
      </c>
      <c r="AW162" s="901">
        <f t="shared" si="46"/>
        <v>0</v>
      </c>
      <c r="AX162" s="901">
        <f t="shared" si="47"/>
        <v>0</v>
      </c>
      <c r="AY162" s="901">
        <f ca="1"/>
        <v>0</v>
      </c>
      <c r="AZ162" s="901">
        <f ca="1"/>
        <v>0</v>
      </c>
      <c r="BA162" s="905">
        <f t="shared" si="36"/>
        <v>0</v>
      </c>
      <c r="BB162" s="905">
        <f t="shared" si="37"/>
        <v>0</v>
      </c>
      <c r="BC162" s="905">
        <f t="shared" si="38"/>
        <v>0</v>
      </c>
      <c r="BD162" s="905">
        <f t="shared" si="39"/>
        <v>0</v>
      </c>
      <c r="BE162" s="905">
        <f t="shared" si="40"/>
        <v>0</v>
      </c>
      <c r="BF162" s="905">
        <f t="shared" si="41"/>
        <v>0</v>
      </c>
      <c r="BG162" s="905">
        <f t="shared" si="42"/>
        <v>0</v>
      </c>
      <c r="BH162" s="905">
        <f t="shared" si="43"/>
        <v>0</v>
      </c>
      <c r="BI162" s="713">
        <v>0</v>
      </c>
      <c r="BJ162" s="695"/>
      <c r="BK162" s="752">
        <f>IF(X163=0,0,           IF(ISNUMBER(BJ162),BJ162,               IF(ISTEXT(BJ162),INDEX(BA162:BH162,MATCH(BJ162,$BA$12:$BH$12,0)),             IF(BI162="INT",_xll.qInterp(X163,AK162:AR162,BA162:BH162),            INDEX(BA162:BH162,MATCH(BI162,$BA$12:$BH$12,0))))))</f>
        <v>0</v>
      </c>
      <c r="BL162" s="389">
        <f t="shared" si="48"/>
        <v>0</v>
      </c>
      <c r="BM162" s="394">
        <f t="shared" si="49"/>
        <v>0</v>
      </c>
      <c r="BN162" s="389">
        <f t="shared" si="50"/>
        <v>0</v>
      </c>
    </row>
    <row r="163" spans="16:66">
      <c r="P163" s="714">
        <v>0</v>
      </c>
      <c r="Q163" s="715">
        <f t="shared" si="34"/>
        <v>0</v>
      </c>
      <c r="R163" s="712">
        <f>IF(P164,_xll.qDateYears(P163,P164,DCCfixed),0)</f>
        <v>0</v>
      </c>
      <c r="S163" s="519">
        <f ca="1"/>
        <v>0</v>
      </c>
      <c r="T163" s="720"/>
      <c r="U163" s="390">
        <f t="shared" si="44"/>
        <v>0</v>
      </c>
      <c r="X163" s="345">
        <v>0</v>
      </c>
      <c r="Y163" s="711">
        <f t="shared" si="35"/>
        <v>0</v>
      </c>
      <c r="Z163" s="712">
        <f>IF(X164,_xll.qDateYears(X163,X164,DCCfloat),0)</f>
        <v>0</v>
      </c>
      <c r="AA163" s="519">
        <f ca="1"/>
        <v>0</v>
      </c>
      <c r="AB163" s="890">
        <f>IF(X163=0,0,         IF(OR(CCY="AUD",CCY="NZD",CCY="GBP"),X163,   _xll.qDateNext(X163,"-2b",,,IF(CCY="EUR","TGT","LON"))))</f>
        <v>0</v>
      </c>
      <c r="AC163" s="879" t="str">
        <v/>
      </c>
      <c r="AD163" s="879" t="str">
        <v/>
      </c>
      <c r="AE163" s="879" t="str">
        <v/>
      </c>
      <c r="AF163" s="879" t="str">
        <v/>
      </c>
      <c r="AG163" s="879" t="str">
        <v/>
      </c>
      <c r="AH163" s="879" t="str">
        <v/>
      </c>
      <c r="AI163" s="879" t="str">
        <v/>
      </c>
      <c r="AJ163" s="879" t="str">
        <v/>
      </c>
      <c r="AK163" s="882">
        <f>IF($X163=0,0,      _xll.qDateNext($X163,AK$12,$AR$11,FRM&lt;&gt;"Calypso",CCY))</f>
        <v>0</v>
      </c>
      <c r="AL163" s="882">
        <f>IF($X163=0,0,      _xll.qDateNext($X163,AL$12,$AR$11,FRM&lt;&gt;"Calypso",CCY))</f>
        <v>0</v>
      </c>
      <c r="AM163" s="882">
        <f>IF($X163=0,0,      _xll.qDateNext($X163,AM$12,$AR$11,FRM&lt;&gt;"Calypso",CCY))</f>
        <v>0</v>
      </c>
      <c r="AN163" s="882">
        <f>IF($X163=0,0,      _xll.qDateNext($X163,AN$12,$AR$11,FRM&lt;&gt;"Calypso",CCY))</f>
        <v>0</v>
      </c>
      <c r="AO163" s="882">
        <f>IF($X163=0,0,      _xll.qDateNext($X163,AO$12,$AR$11,FRM&lt;&gt;"Calypso",CCY))</f>
        <v>0</v>
      </c>
      <c r="AP163" s="882">
        <f>IF($X163=0,0,      _xll.qDateNext($X163,AP$12,$AR$11,FRM&lt;&gt;"Calypso",CCY))</f>
        <v>0</v>
      </c>
      <c r="AQ163" s="882">
        <f>IF($X163=0,0,      _xll.qDateNext($X163,AQ$12,$AR$11,FRM&lt;&gt;"Calypso",CCY))</f>
        <v>0</v>
      </c>
      <c r="AR163" s="882">
        <f>IF($X163=0,0,      _xll.qDateNext($X163,AR$12,$AR$11,FRM&lt;&gt;"Calypso",CCY))</f>
        <v>0</v>
      </c>
      <c r="AS163" s="901">
        <f ca="1"/>
        <v>0</v>
      </c>
      <c r="AT163" s="901">
        <f ca="1"/>
        <v>0</v>
      </c>
      <c r="AU163" s="901">
        <f t="shared" si="45"/>
        <v>0</v>
      </c>
      <c r="AV163" s="901">
        <f ca="1"/>
        <v>0</v>
      </c>
      <c r="AW163" s="901">
        <f t="shared" si="46"/>
        <v>0</v>
      </c>
      <c r="AX163" s="901">
        <f t="shared" si="47"/>
        <v>0</v>
      </c>
      <c r="AY163" s="901">
        <f ca="1"/>
        <v>0</v>
      </c>
      <c r="AZ163" s="901">
        <f ca="1"/>
        <v>0</v>
      </c>
      <c r="BA163" s="905">
        <f t="shared" si="36"/>
        <v>0</v>
      </c>
      <c r="BB163" s="905">
        <f t="shared" si="37"/>
        <v>0</v>
      </c>
      <c r="BC163" s="905">
        <f t="shared" si="38"/>
        <v>0</v>
      </c>
      <c r="BD163" s="905">
        <f t="shared" si="39"/>
        <v>0</v>
      </c>
      <c r="BE163" s="905">
        <f t="shared" si="40"/>
        <v>0</v>
      </c>
      <c r="BF163" s="905">
        <f t="shared" si="41"/>
        <v>0</v>
      </c>
      <c r="BG163" s="905">
        <f t="shared" si="42"/>
        <v>0</v>
      </c>
      <c r="BH163" s="905">
        <f t="shared" si="43"/>
        <v>0</v>
      </c>
      <c r="BI163" s="713">
        <v>0</v>
      </c>
      <c r="BJ163" s="695"/>
      <c r="BK163" s="752">
        <f>IF(X164=0,0,           IF(ISNUMBER(BJ163),BJ163,               IF(ISTEXT(BJ163),INDEX(BA163:BH163,MATCH(BJ163,$BA$12:$BH$12,0)),             IF(BI163="INT",_xll.qInterp(X164,AK163:AR163,BA163:BH163),            INDEX(BA163:BH163,MATCH(BI163,$BA$12:$BH$12,0))))))</f>
        <v>0</v>
      </c>
      <c r="BL163" s="389">
        <f t="shared" si="48"/>
        <v>0</v>
      </c>
      <c r="BM163" s="394">
        <f t="shared" si="49"/>
        <v>0</v>
      </c>
      <c r="BN163" s="389">
        <f t="shared" si="50"/>
        <v>0</v>
      </c>
    </row>
    <row r="164" spans="16:66">
      <c r="P164" s="714">
        <v>0</v>
      </c>
      <c r="Q164" s="715">
        <f t="shared" si="34"/>
        <v>0</v>
      </c>
      <c r="R164" s="712">
        <f>IF(P165,_xll.qDateYears(P164,P165,DCCfixed),0)</f>
        <v>0</v>
      </c>
      <c r="S164" s="519">
        <f ca="1"/>
        <v>0</v>
      </c>
      <c r="T164" s="720"/>
      <c r="U164" s="390">
        <f t="shared" si="44"/>
        <v>0</v>
      </c>
      <c r="X164" s="345">
        <v>0</v>
      </c>
      <c r="Y164" s="711">
        <f t="shared" si="35"/>
        <v>0</v>
      </c>
      <c r="Z164" s="712">
        <f>IF(X165,_xll.qDateYears(X164,X165,DCCfloat),0)</f>
        <v>0</v>
      </c>
      <c r="AA164" s="519">
        <f ca="1"/>
        <v>0</v>
      </c>
      <c r="AB164" s="890">
        <f>IF(X164=0,0,         IF(OR(CCY="AUD",CCY="NZD",CCY="GBP"),X164,   _xll.qDateNext(X164,"-2b",,,IF(CCY="EUR","TGT","LON"))))</f>
        <v>0</v>
      </c>
      <c r="AC164" s="879" t="str">
        <v/>
      </c>
      <c r="AD164" s="879" t="str">
        <v/>
      </c>
      <c r="AE164" s="879" t="str">
        <v/>
      </c>
      <c r="AF164" s="879" t="str">
        <v/>
      </c>
      <c r="AG164" s="879" t="str">
        <v/>
      </c>
      <c r="AH164" s="879" t="str">
        <v/>
      </c>
      <c r="AI164" s="879" t="str">
        <v/>
      </c>
      <c r="AJ164" s="879" t="str">
        <v/>
      </c>
      <c r="AK164" s="882">
        <f>IF($X164=0,0,      _xll.qDateNext($X164,AK$12,$AR$11,FRM&lt;&gt;"Calypso",CCY))</f>
        <v>0</v>
      </c>
      <c r="AL164" s="882">
        <f>IF($X164=0,0,      _xll.qDateNext($X164,AL$12,$AR$11,FRM&lt;&gt;"Calypso",CCY))</f>
        <v>0</v>
      </c>
      <c r="AM164" s="882">
        <f>IF($X164=0,0,      _xll.qDateNext($X164,AM$12,$AR$11,FRM&lt;&gt;"Calypso",CCY))</f>
        <v>0</v>
      </c>
      <c r="AN164" s="882">
        <f>IF($X164=0,0,      _xll.qDateNext($X164,AN$12,$AR$11,FRM&lt;&gt;"Calypso",CCY))</f>
        <v>0</v>
      </c>
      <c r="AO164" s="882">
        <f>IF($X164=0,0,      _xll.qDateNext($X164,AO$12,$AR$11,FRM&lt;&gt;"Calypso",CCY))</f>
        <v>0</v>
      </c>
      <c r="AP164" s="882">
        <f>IF($X164=0,0,      _xll.qDateNext($X164,AP$12,$AR$11,FRM&lt;&gt;"Calypso",CCY))</f>
        <v>0</v>
      </c>
      <c r="AQ164" s="882">
        <f>IF($X164=0,0,      _xll.qDateNext($X164,AQ$12,$AR$11,FRM&lt;&gt;"Calypso",CCY))</f>
        <v>0</v>
      </c>
      <c r="AR164" s="882">
        <f>IF($X164=0,0,      _xll.qDateNext($X164,AR$12,$AR$11,FRM&lt;&gt;"Calypso",CCY))</f>
        <v>0</v>
      </c>
      <c r="AS164" s="901">
        <f ca="1"/>
        <v>0</v>
      </c>
      <c r="AT164" s="901">
        <f ca="1"/>
        <v>0</v>
      </c>
      <c r="AU164" s="901">
        <f t="shared" si="45"/>
        <v>0</v>
      </c>
      <c r="AV164" s="901">
        <f ca="1"/>
        <v>0</v>
      </c>
      <c r="AW164" s="901">
        <f t="shared" si="46"/>
        <v>0</v>
      </c>
      <c r="AX164" s="901">
        <f t="shared" si="47"/>
        <v>0</v>
      </c>
      <c r="AY164" s="901">
        <f ca="1"/>
        <v>0</v>
      </c>
      <c r="AZ164" s="901">
        <f ca="1"/>
        <v>0</v>
      </c>
      <c r="BA164" s="905">
        <f t="shared" si="36"/>
        <v>0</v>
      </c>
      <c r="BB164" s="905">
        <f t="shared" si="37"/>
        <v>0</v>
      </c>
      <c r="BC164" s="905">
        <f t="shared" si="38"/>
        <v>0</v>
      </c>
      <c r="BD164" s="905">
        <f t="shared" si="39"/>
        <v>0</v>
      </c>
      <c r="BE164" s="905">
        <f t="shared" si="40"/>
        <v>0</v>
      </c>
      <c r="BF164" s="905">
        <f t="shared" si="41"/>
        <v>0</v>
      </c>
      <c r="BG164" s="905">
        <f t="shared" si="42"/>
        <v>0</v>
      </c>
      <c r="BH164" s="905">
        <f t="shared" si="43"/>
        <v>0</v>
      </c>
      <c r="BI164" s="713">
        <v>0</v>
      </c>
      <c r="BJ164" s="695"/>
      <c r="BK164" s="752">
        <f>IF(X165=0,0,           IF(ISNUMBER(BJ164),BJ164,               IF(ISTEXT(BJ164),INDEX(BA164:BH164,MATCH(BJ164,$BA$12:$BH$12,0)),             IF(BI164="INT",_xll.qInterp(X165,AK164:AR164,BA164:BH164),            INDEX(BA164:BH164,MATCH(BI164,$BA$12:$BH$12,0))))))</f>
        <v>0</v>
      </c>
      <c r="BL164" s="389">
        <f t="shared" si="48"/>
        <v>0</v>
      </c>
      <c r="BM164" s="394">
        <f t="shared" si="49"/>
        <v>0</v>
      </c>
      <c r="BN164" s="389">
        <f t="shared" si="50"/>
        <v>0</v>
      </c>
    </row>
    <row r="165" spans="16:66">
      <c r="P165" s="714">
        <v>0</v>
      </c>
      <c r="Q165" s="715">
        <f t="shared" si="34"/>
        <v>0</v>
      </c>
      <c r="R165" s="712">
        <f>IF(P166,_xll.qDateYears(P165,P166,DCCfixed),0)</f>
        <v>0</v>
      </c>
      <c r="S165" s="519">
        <f ca="1"/>
        <v>0</v>
      </c>
      <c r="T165" s="720"/>
      <c r="U165" s="390">
        <f t="shared" si="44"/>
        <v>0</v>
      </c>
      <c r="X165" s="345">
        <v>0</v>
      </c>
      <c r="Y165" s="711">
        <f t="shared" si="35"/>
        <v>0</v>
      </c>
      <c r="Z165" s="712">
        <f>IF(X166,_xll.qDateYears(X165,X166,DCCfloat),0)</f>
        <v>0</v>
      </c>
      <c r="AA165" s="519">
        <f ca="1"/>
        <v>0</v>
      </c>
      <c r="AB165" s="890">
        <f>IF(X165=0,0,         IF(OR(CCY="AUD",CCY="NZD",CCY="GBP"),X165,   _xll.qDateNext(X165,"-2b",,,IF(CCY="EUR","TGT","LON"))))</f>
        <v>0</v>
      </c>
      <c r="AC165" s="879" t="str">
        <v/>
      </c>
      <c r="AD165" s="879" t="str">
        <v/>
      </c>
      <c r="AE165" s="879" t="str">
        <v/>
      </c>
      <c r="AF165" s="879" t="str">
        <v/>
      </c>
      <c r="AG165" s="879" t="str">
        <v/>
      </c>
      <c r="AH165" s="879" t="str">
        <v/>
      </c>
      <c r="AI165" s="879" t="str">
        <v/>
      </c>
      <c r="AJ165" s="879" t="str">
        <v/>
      </c>
      <c r="AK165" s="882">
        <f>IF($X165=0,0,      _xll.qDateNext($X165,AK$12,$AR$11,FRM&lt;&gt;"Calypso",CCY))</f>
        <v>0</v>
      </c>
      <c r="AL165" s="882">
        <f>IF($X165=0,0,      _xll.qDateNext($X165,AL$12,$AR$11,FRM&lt;&gt;"Calypso",CCY))</f>
        <v>0</v>
      </c>
      <c r="AM165" s="882">
        <f>IF($X165=0,0,      _xll.qDateNext($X165,AM$12,$AR$11,FRM&lt;&gt;"Calypso",CCY))</f>
        <v>0</v>
      </c>
      <c r="AN165" s="882">
        <f>IF($X165=0,0,      _xll.qDateNext($X165,AN$12,$AR$11,FRM&lt;&gt;"Calypso",CCY))</f>
        <v>0</v>
      </c>
      <c r="AO165" s="882">
        <f>IF($X165=0,0,      _xll.qDateNext($X165,AO$12,$AR$11,FRM&lt;&gt;"Calypso",CCY))</f>
        <v>0</v>
      </c>
      <c r="AP165" s="882">
        <f>IF($X165=0,0,      _xll.qDateNext($X165,AP$12,$AR$11,FRM&lt;&gt;"Calypso",CCY))</f>
        <v>0</v>
      </c>
      <c r="AQ165" s="882">
        <f>IF($X165=0,0,      _xll.qDateNext($X165,AQ$12,$AR$11,FRM&lt;&gt;"Calypso",CCY))</f>
        <v>0</v>
      </c>
      <c r="AR165" s="882">
        <f>IF($X165=0,0,      _xll.qDateNext($X165,AR$12,$AR$11,FRM&lt;&gt;"Calypso",CCY))</f>
        <v>0</v>
      </c>
      <c r="AS165" s="901">
        <f ca="1"/>
        <v>0</v>
      </c>
      <c r="AT165" s="901">
        <f ca="1"/>
        <v>0</v>
      </c>
      <c r="AU165" s="901">
        <f t="shared" si="45"/>
        <v>0</v>
      </c>
      <c r="AV165" s="901">
        <f ca="1"/>
        <v>0</v>
      </c>
      <c r="AW165" s="901">
        <f t="shared" si="46"/>
        <v>0</v>
      </c>
      <c r="AX165" s="901">
        <f t="shared" si="47"/>
        <v>0</v>
      </c>
      <c r="AY165" s="901">
        <f ca="1"/>
        <v>0</v>
      </c>
      <c r="AZ165" s="901">
        <f ca="1"/>
        <v>0</v>
      </c>
      <c r="BA165" s="905">
        <f t="shared" si="36"/>
        <v>0</v>
      </c>
      <c r="BB165" s="905">
        <f t="shared" si="37"/>
        <v>0</v>
      </c>
      <c r="BC165" s="905">
        <f t="shared" si="38"/>
        <v>0</v>
      </c>
      <c r="BD165" s="905">
        <f t="shared" si="39"/>
        <v>0</v>
      </c>
      <c r="BE165" s="905">
        <f t="shared" si="40"/>
        <v>0</v>
      </c>
      <c r="BF165" s="905">
        <f t="shared" si="41"/>
        <v>0</v>
      </c>
      <c r="BG165" s="905">
        <f t="shared" si="42"/>
        <v>0</v>
      </c>
      <c r="BH165" s="905">
        <f t="shared" si="43"/>
        <v>0</v>
      </c>
      <c r="BI165" s="713">
        <v>0</v>
      </c>
      <c r="BJ165" s="695"/>
      <c r="BK165" s="752">
        <f>IF(X166=0,0,           IF(ISNUMBER(BJ165),BJ165,               IF(ISTEXT(BJ165),INDEX(BA165:BH165,MATCH(BJ165,$BA$12:$BH$12,0)),             IF(BI165="INT",_xll.qInterp(X166,AK165:AR165,BA165:BH165),            INDEX(BA165:BH165,MATCH(BI165,$BA$12:$BH$12,0))))))</f>
        <v>0</v>
      </c>
      <c r="BL165" s="389">
        <f t="shared" si="48"/>
        <v>0</v>
      </c>
      <c r="BM165" s="394">
        <f t="shared" si="49"/>
        <v>0</v>
      </c>
      <c r="BN165" s="389">
        <f t="shared" si="50"/>
        <v>0</v>
      </c>
    </row>
    <row r="166" spans="16:66">
      <c r="P166" s="714">
        <v>0</v>
      </c>
      <c r="Q166" s="715">
        <f t="shared" si="34"/>
        <v>0</v>
      </c>
      <c r="R166" s="712">
        <f>IF(P167,_xll.qDateYears(P166,P167,DCCfixed),0)</f>
        <v>0</v>
      </c>
      <c r="S166" s="519">
        <f ca="1"/>
        <v>0</v>
      </c>
      <c r="T166" s="720"/>
      <c r="U166" s="390">
        <f t="shared" si="44"/>
        <v>0</v>
      </c>
      <c r="X166" s="345">
        <v>0</v>
      </c>
      <c r="Y166" s="711">
        <f t="shared" si="35"/>
        <v>0</v>
      </c>
      <c r="Z166" s="712">
        <f>IF(X167,_xll.qDateYears(X166,X167,DCCfloat),0)</f>
        <v>0</v>
      </c>
      <c r="AA166" s="519">
        <f ca="1"/>
        <v>0</v>
      </c>
      <c r="AB166" s="890">
        <f>IF(X166=0,0,         IF(OR(CCY="AUD",CCY="NZD",CCY="GBP"),X166,   _xll.qDateNext(X166,"-2b",,,IF(CCY="EUR","TGT","LON"))))</f>
        <v>0</v>
      </c>
      <c r="AC166" s="879" t="str">
        <v/>
      </c>
      <c r="AD166" s="879" t="str">
        <v/>
      </c>
      <c r="AE166" s="879" t="str">
        <v/>
      </c>
      <c r="AF166" s="879" t="str">
        <v/>
      </c>
      <c r="AG166" s="879" t="str">
        <v/>
      </c>
      <c r="AH166" s="879" t="str">
        <v/>
      </c>
      <c r="AI166" s="879" t="str">
        <v/>
      </c>
      <c r="AJ166" s="879" t="str">
        <v/>
      </c>
      <c r="AK166" s="882">
        <f>IF($X166=0,0,      _xll.qDateNext($X166,AK$12,$AR$11,FRM&lt;&gt;"Calypso",CCY))</f>
        <v>0</v>
      </c>
      <c r="AL166" s="882">
        <f>IF($X166=0,0,      _xll.qDateNext($X166,AL$12,$AR$11,FRM&lt;&gt;"Calypso",CCY))</f>
        <v>0</v>
      </c>
      <c r="AM166" s="882">
        <f>IF($X166=0,0,      _xll.qDateNext($X166,AM$12,$AR$11,FRM&lt;&gt;"Calypso",CCY))</f>
        <v>0</v>
      </c>
      <c r="AN166" s="882">
        <f>IF($X166=0,0,      _xll.qDateNext($X166,AN$12,$AR$11,FRM&lt;&gt;"Calypso",CCY))</f>
        <v>0</v>
      </c>
      <c r="AO166" s="882">
        <f>IF($X166=0,0,      _xll.qDateNext($X166,AO$12,$AR$11,FRM&lt;&gt;"Calypso",CCY))</f>
        <v>0</v>
      </c>
      <c r="AP166" s="882">
        <f>IF($X166=0,0,      _xll.qDateNext($X166,AP$12,$AR$11,FRM&lt;&gt;"Calypso",CCY))</f>
        <v>0</v>
      </c>
      <c r="AQ166" s="882">
        <f>IF($X166=0,0,      _xll.qDateNext($X166,AQ$12,$AR$11,FRM&lt;&gt;"Calypso",CCY))</f>
        <v>0</v>
      </c>
      <c r="AR166" s="882">
        <f>IF($X166=0,0,      _xll.qDateNext($X166,AR$12,$AR$11,FRM&lt;&gt;"Calypso",CCY))</f>
        <v>0</v>
      </c>
      <c r="AS166" s="901">
        <f ca="1"/>
        <v>0</v>
      </c>
      <c r="AT166" s="901">
        <f ca="1"/>
        <v>0</v>
      </c>
      <c r="AU166" s="901">
        <f t="shared" si="45"/>
        <v>0</v>
      </c>
      <c r="AV166" s="901">
        <f ca="1"/>
        <v>0</v>
      </c>
      <c r="AW166" s="901">
        <f t="shared" si="46"/>
        <v>0</v>
      </c>
      <c r="AX166" s="901">
        <f t="shared" si="47"/>
        <v>0</v>
      </c>
      <c r="AY166" s="901">
        <f ca="1"/>
        <v>0</v>
      </c>
      <c r="AZ166" s="901">
        <f ca="1"/>
        <v>0</v>
      </c>
      <c r="BA166" s="905">
        <f t="shared" si="36"/>
        <v>0</v>
      </c>
      <c r="BB166" s="905">
        <f t="shared" si="37"/>
        <v>0</v>
      </c>
      <c r="BC166" s="905">
        <f t="shared" si="38"/>
        <v>0</v>
      </c>
      <c r="BD166" s="905">
        <f t="shared" si="39"/>
        <v>0</v>
      </c>
      <c r="BE166" s="905">
        <f t="shared" si="40"/>
        <v>0</v>
      </c>
      <c r="BF166" s="905">
        <f t="shared" si="41"/>
        <v>0</v>
      </c>
      <c r="BG166" s="905">
        <f t="shared" si="42"/>
        <v>0</v>
      </c>
      <c r="BH166" s="905">
        <f t="shared" si="43"/>
        <v>0</v>
      </c>
      <c r="BI166" s="713">
        <v>0</v>
      </c>
      <c r="BJ166" s="695"/>
      <c r="BK166" s="752">
        <f>IF(X167=0,0,           IF(ISNUMBER(BJ166),BJ166,               IF(ISTEXT(BJ166),INDEX(BA166:BH166,MATCH(BJ166,$BA$12:$BH$12,0)),             IF(BI166="INT",_xll.qInterp(X167,AK166:AR166,BA166:BH166),            INDEX(BA166:BH166,MATCH(BI166,$BA$12:$BH$12,0))))))</f>
        <v>0</v>
      </c>
      <c r="BL166" s="389">
        <f t="shared" si="48"/>
        <v>0</v>
      </c>
      <c r="BM166" s="394">
        <f t="shared" si="49"/>
        <v>0</v>
      </c>
      <c r="BN166" s="389">
        <f t="shared" si="50"/>
        <v>0</v>
      </c>
    </row>
    <row r="167" spans="16:66">
      <c r="P167" s="714">
        <v>0</v>
      </c>
      <c r="Q167" s="715">
        <f t="shared" si="34"/>
        <v>0</v>
      </c>
      <c r="R167" s="712">
        <f>IF(P168,_xll.qDateYears(P167,P168,DCCfixed),0)</f>
        <v>0</v>
      </c>
      <c r="S167" s="519">
        <f ca="1"/>
        <v>0</v>
      </c>
      <c r="T167" s="720"/>
      <c r="U167" s="390">
        <f t="shared" si="44"/>
        <v>0</v>
      </c>
      <c r="X167" s="345">
        <v>0</v>
      </c>
      <c r="Y167" s="711">
        <f t="shared" si="35"/>
        <v>0</v>
      </c>
      <c r="Z167" s="712">
        <f>IF(X168,_xll.qDateYears(X167,X168,DCCfloat),0)</f>
        <v>0</v>
      </c>
      <c r="AA167" s="519">
        <f ca="1"/>
        <v>0</v>
      </c>
      <c r="AB167" s="890">
        <f>IF(X167=0,0,         IF(OR(CCY="AUD",CCY="NZD",CCY="GBP"),X167,   _xll.qDateNext(X167,"-2b",,,IF(CCY="EUR","TGT","LON"))))</f>
        <v>0</v>
      </c>
      <c r="AC167" s="879" t="str">
        <v/>
      </c>
      <c r="AD167" s="879" t="str">
        <v/>
      </c>
      <c r="AE167" s="879" t="str">
        <v/>
      </c>
      <c r="AF167" s="879" t="str">
        <v/>
      </c>
      <c r="AG167" s="879" t="str">
        <v/>
      </c>
      <c r="AH167" s="879" t="str">
        <v/>
      </c>
      <c r="AI167" s="879" t="str">
        <v/>
      </c>
      <c r="AJ167" s="879" t="str">
        <v/>
      </c>
      <c r="AK167" s="882">
        <f>IF($X167=0,0,      _xll.qDateNext($X167,AK$12,$AR$11,FRM&lt;&gt;"Calypso",CCY))</f>
        <v>0</v>
      </c>
      <c r="AL167" s="882">
        <f>IF($X167=0,0,      _xll.qDateNext($X167,AL$12,$AR$11,FRM&lt;&gt;"Calypso",CCY))</f>
        <v>0</v>
      </c>
      <c r="AM167" s="882">
        <f>IF($X167=0,0,      _xll.qDateNext($X167,AM$12,$AR$11,FRM&lt;&gt;"Calypso",CCY))</f>
        <v>0</v>
      </c>
      <c r="AN167" s="882">
        <f>IF($X167=0,0,      _xll.qDateNext($X167,AN$12,$AR$11,FRM&lt;&gt;"Calypso",CCY))</f>
        <v>0</v>
      </c>
      <c r="AO167" s="882">
        <f>IF($X167=0,0,      _xll.qDateNext($X167,AO$12,$AR$11,FRM&lt;&gt;"Calypso",CCY))</f>
        <v>0</v>
      </c>
      <c r="AP167" s="882">
        <f>IF($X167=0,0,      _xll.qDateNext($X167,AP$12,$AR$11,FRM&lt;&gt;"Calypso",CCY))</f>
        <v>0</v>
      </c>
      <c r="AQ167" s="882">
        <f>IF($X167=0,0,      _xll.qDateNext($X167,AQ$12,$AR$11,FRM&lt;&gt;"Calypso",CCY))</f>
        <v>0</v>
      </c>
      <c r="AR167" s="882">
        <f>IF($X167=0,0,      _xll.qDateNext($X167,AR$12,$AR$11,FRM&lt;&gt;"Calypso",CCY))</f>
        <v>0</v>
      </c>
      <c r="AS167" s="901">
        <f ca="1"/>
        <v>0</v>
      </c>
      <c r="AT167" s="901">
        <f ca="1"/>
        <v>0</v>
      </c>
      <c r="AU167" s="901">
        <f t="shared" si="45"/>
        <v>0</v>
      </c>
      <c r="AV167" s="901">
        <f ca="1"/>
        <v>0</v>
      </c>
      <c r="AW167" s="901">
        <f t="shared" si="46"/>
        <v>0</v>
      </c>
      <c r="AX167" s="901">
        <f t="shared" si="47"/>
        <v>0</v>
      </c>
      <c r="AY167" s="901">
        <f ca="1"/>
        <v>0</v>
      </c>
      <c r="AZ167" s="901">
        <f ca="1"/>
        <v>0</v>
      </c>
      <c r="BA167" s="905">
        <f t="shared" si="36"/>
        <v>0</v>
      </c>
      <c r="BB167" s="905">
        <f t="shared" si="37"/>
        <v>0</v>
      </c>
      <c r="BC167" s="905">
        <f t="shared" si="38"/>
        <v>0</v>
      </c>
      <c r="BD167" s="905">
        <f t="shared" si="39"/>
        <v>0</v>
      </c>
      <c r="BE167" s="905">
        <f t="shared" si="40"/>
        <v>0</v>
      </c>
      <c r="BF167" s="905">
        <f t="shared" si="41"/>
        <v>0</v>
      </c>
      <c r="BG167" s="905">
        <f t="shared" si="42"/>
        <v>0</v>
      </c>
      <c r="BH167" s="905">
        <f t="shared" si="43"/>
        <v>0</v>
      </c>
      <c r="BI167" s="713">
        <v>0</v>
      </c>
      <c r="BJ167" s="695"/>
      <c r="BK167" s="752">
        <f>IF(X168=0,0,           IF(ISNUMBER(BJ167),BJ167,               IF(ISTEXT(BJ167),INDEX(BA167:BH167,MATCH(BJ167,$BA$12:$BH$12,0)),             IF(BI167="INT",_xll.qInterp(X168,AK167:AR167,BA167:BH167),            INDEX(BA167:BH167,MATCH(BI167,$BA$12:$BH$12,0))))))</f>
        <v>0</v>
      </c>
      <c r="BL167" s="389">
        <f t="shared" si="48"/>
        <v>0</v>
      </c>
      <c r="BM167" s="394">
        <f t="shared" si="49"/>
        <v>0</v>
      </c>
      <c r="BN167" s="389">
        <f t="shared" si="50"/>
        <v>0</v>
      </c>
    </row>
    <row r="168" spans="16:66">
      <c r="P168" s="714">
        <v>0</v>
      </c>
      <c r="Q168" s="715">
        <f t="shared" si="34"/>
        <v>0</v>
      </c>
      <c r="R168" s="712">
        <f>IF(P169,_xll.qDateYears(P168,P169,DCCfixed),0)</f>
        <v>0</v>
      </c>
      <c r="S168" s="519">
        <f ca="1"/>
        <v>0</v>
      </c>
      <c r="T168" s="720"/>
      <c r="U168" s="390">
        <f t="shared" si="44"/>
        <v>0</v>
      </c>
      <c r="X168" s="345">
        <v>0</v>
      </c>
      <c r="Y168" s="711">
        <f t="shared" si="35"/>
        <v>0</v>
      </c>
      <c r="Z168" s="712">
        <f>IF(X169,_xll.qDateYears(X168,X169,DCCfloat),0)</f>
        <v>0</v>
      </c>
      <c r="AA168" s="519">
        <f ca="1"/>
        <v>0</v>
      </c>
      <c r="AB168" s="890">
        <f>IF(X168=0,0,         IF(OR(CCY="AUD",CCY="NZD",CCY="GBP"),X168,   _xll.qDateNext(X168,"-2b",,,IF(CCY="EUR","TGT","LON"))))</f>
        <v>0</v>
      </c>
      <c r="AC168" s="879" t="str">
        <v/>
      </c>
      <c r="AD168" s="879" t="str">
        <v/>
      </c>
      <c r="AE168" s="879" t="str">
        <v/>
      </c>
      <c r="AF168" s="879" t="str">
        <v/>
      </c>
      <c r="AG168" s="879" t="str">
        <v/>
      </c>
      <c r="AH168" s="879" t="str">
        <v/>
      </c>
      <c r="AI168" s="879" t="str">
        <v/>
      </c>
      <c r="AJ168" s="879" t="str">
        <v/>
      </c>
      <c r="AK168" s="882">
        <f>IF($X168=0,0,      _xll.qDateNext($X168,AK$12,$AR$11,FRM&lt;&gt;"Calypso",CCY))</f>
        <v>0</v>
      </c>
      <c r="AL168" s="882">
        <f>IF($X168=0,0,      _xll.qDateNext($X168,AL$12,$AR$11,FRM&lt;&gt;"Calypso",CCY))</f>
        <v>0</v>
      </c>
      <c r="AM168" s="882">
        <f>IF($X168=0,0,      _xll.qDateNext($X168,AM$12,$AR$11,FRM&lt;&gt;"Calypso",CCY))</f>
        <v>0</v>
      </c>
      <c r="AN168" s="882">
        <f>IF($X168=0,0,      _xll.qDateNext($X168,AN$12,$AR$11,FRM&lt;&gt;"Calypso",CCY))</f>
        <v>0</v>
      </c>
      <c r="AO168" s="882">
        <f>IF($X168=0,0,      _xll.qDateNext($X168,AO$12,$AR$11,FRM&lt;&gt;"Calypso",CCY))</f>
        <v>0</v>
      </c>
      <c r="AP168" s="882">
        <f>IF($X168=0,0,      _xll.qDateNext($X168,AP$12,$AR$11,FRM&lt;&gt;"Calypso",CCY))</f>
        <v>0</v>
      </c>
      <c r="AQ168" s="882">
        <f>IF($X168=0,0,      _xll.qDateNext($X168,AQ$12,$AR$11,FRM&lt;&gt;"Calypso",CCY))</f>
        <v>0</v>
      </c>
      <c r="AR168" s="882">
        <f>IF($X168=0,0,      _xll.qDateNext($X168,AR$12,$AR$11,FRM&lt;&gt;"Calypso",CCY))</f>
        <v>0</v>
      </c>
      <c r="AS168" s="901">
        <f ca="1"/>
        <v>0</v>
      </c>
      <c r="AT168" s="901">
        <f ca="1"/>
        <v>0</v>
      </c>
      <c r="AU168" s="901">
        <f t="shared" si="45"/>
        <v>0</v>
      </c>
      <c r="AV168" s="901">
        <f ca="1"/>
        <v>0</v>
      </c>
      <c r="AW168" s="901">
        <f t="shared" si="46"/>
        <v>0</v>
      </c>
      <c r="AX168" s="901">
        <f t="shared" si="47"/>
        <v>0</v>
      </c>
      <c r="AY168" s="901">
        <f ca="1"/>
        <v>0</v>
      </c>
      <c r="AZ168" s="901">
        <f ca="1"/>
        <v>0</v>
      </c>
      <c r="BA168" s="905">
        <f t="shared" si="36"/>
        <v>0</v>
      </c>
      <c r="BB168" s="905">
        <f t="shared" si="37"/>
        <v>0</v>
      </c>
      <c r="BC168" s="905">
        <f t="shared" si="38"/>
        <v>0</v>
      </c>
      <c r="BD168" s="905">
        <f t="shared" si="39"/>
        <v>0</v>
      </c>
      <c r="BE168" s="905">
        <f t="shared" si="40"/>
        <v>0</v>
      </c>
      <c r="BF168" s="905">
        <f t="shared" si="41"/>
        <v>0</v>
      </c>
      <c r="BG168" s="905">
        <f t="shared" si="42"/>
        <v>0</v>
      </c>
      <c r="BH168" s="905">
        <f t="shared" si="43"/>
        <v>0</v>
      </c>
      <c r="BI168" s="713">
        <v>0</v>
      </c>
      <c r="BJ168" s="695"/>
      <c r="BK168" s="752">
        <f>IF(X169=0,0,           IF(ISNUMBER(BJ168),BJ168,               IF(ISTEXT(BJ168),INDEX(BA168:BH168,MATCH(BJ168,$BA$12:$BH$12,0)),             IF(BI168="INT",_xll.qInterp(X169,AK168:AR168,BA168:BH168),            INDEX(BA168:BH168,MATCH(BI168,$BA$12:$BH$12,0))))))</f>
        <v>0</v>
      </c>
      <c r="BL168" s="389">
        <f t="shared" si="48"/>
        <v>0</v>
      </c>
      <c r="BM168" s="394">
        <f t="shared" si="49"/>
        <v>0</v>
      </c>
      <c r="BN168" s="389">
        <f t="shared" si="50"/>
        <v>0</v>
      </c>
    </row>
    <row r="169" spans="16:66">
      <c r="P169" s="714">
        <v>0</v>
      </c>
      <c r="Q169" s="715">
        <f t="shared" si="34"/>
        <v>0</v>
      </c>
      <c r="R169" s="712">
        <f>IF(P170,_xll.qDateYears(P169,P170,DCCfixed),0)</f>
        <v>0</v>
      </c>
      <c r="S169" s="519">
        <f ca="1"/>
        <v>0</v>
      </c>
      <c r="T169" s="720"/>
      <c r="U169" s="390">
        <f t="shared" si="44"/>
        <v>0</v>
      </c>
      <c r="X169" s="345">
        <v>0</v>
      </c>
      <c r="Y169" s="711">
        <f t="shared" si="35"/>
        <v>0</v>
      </c>
      <c r="Z169" s="712">
        <f>IF(X170,_xll.qDateYears(X169,X170,DCCfloat),0)</f>
        <v>0</v>
      </c>
      <c r="AA169" s="519">
        <f ca="1"/>
        <v>0</v>
      </c>
      <c r="AB169" s="890">
        <f>IF(X169=0,0,         IF(OR(CCY="AUD",CCY="NZD",CCY="GBP"),X169,   _xll.qDateNext(X169,"-2b",,,IF(CCY="EUR","TGT","LON"))))</f>
        <v>0</v>
      </c>
      <c r="AC169" s="879" t="str">
        <v/>
      </c>
      <c r="AD169" s="879" t="str">
        <v/>
      </c>
      <c r="AE169" s="879" t="str">
        <v/>
      </c>
      <c r="AF169" s="879" t="str">
        <v/>
      </c>
      <c r="AG169" s="879" t="str">
        <v/>
      </c>
      <c r="AH169" s="879" t="str">
        <v/>
      </c>
      <c r="AI169" s="879" t="str">
        <v/>
      </c>
      <c r="AJ169" s="879" t="str">
        <v/>
      </c>
      <c r="AK169" s="882">
        <f>IF($X169=0,0,      _xll.qDateNext($X169,AK$12,$AR$11,FRM&lt;&gt;"Calypso",CCY))</f>
        <v>0</v>
      </c>
      <c r="AL169" s="882">
        <f>IF($X169=0,0,      _xll.qDateNext($X169,AL$12,$AR$11,FRM&lt;&gt;"Calypso",CCY))</f>
        <v>0</v>
      </c>
      <c r="AM169" s="882">
        <f>IF($X169=0,0,      _xll.qDateNext($X169,AM$12,$AR$11,FRM&lt;&gt;"Calypso",CCY))</f>
        <v>0</v>
      </c>
      <c r="AN169" s="882">
        <f>IF($X169=0,0,      _xll.qDateNext($X169,AN$12,$AR$11,FRM&lt;&gt;"Calypso",CCY))</f>
        <v>0</v>
      </c>
      <c r="AO169" s="882">
        <f>IF($X169=0,0,      _xll.qDateNext($X169,AO$12,$AR$11,FRM&lt;&gt;"Calypso",CCY))</f>
        <v>0</v>
      </c>
      <c r="AP169" s="882">
        <f>IF($X169=0,0,      _xll.qDateNext($X169,AP$12,$AR$11,FRM&lt;&gt;"Calypso",CCY))</f>
        <v>0</v>
      </c>
      <c r="AQ169" s="882">
        <f>IF($X169=0,0,      _xll.qDateNext($X169,AQ$12,$AR$11,FRM&lt;&gt;"Calypso",CCY))</f>
        <v>0</v>
      </c>
      <c r="AR169" s="882">
        <f>IF($X169=0,0,      _xll.qDateNext($X169,AR$12,$AR$11,FRM&lt;&gt;"Calypso",CCY))</f>
        <v>0</v>
      </c>
      <c r="AS169" s="901">
        <f ca="1"/>
        <v>0</v>
      </c>
      <c r="AT169" s="901">
        <f ca="1"/>
        <v>0</v>
      </c>
      <c r="AU169" s="901">
        <f t="shared" si="45"/>
        <v>0</v>
      </c>
      <c r="AV169" s="901">
        <f ca="1"/>
        <v>0</v>
      </c>
      <c r="AW169" s="901">
        <f t="shared" si="46"/>
        <v>0</v>
      </c>
      <c r="AX169" s="901">
        <f t="shared" si="47"/>
        <v>0</v>
      </c>
      <c r="AY169" s="901">
        <f ca="1"/>
        <v>0</v>
      </c>
      <c r="AZ169" s="901">
        <f ca="1"/>
        <v>0</v>
      </c>
      <c r="BA169" s="905">
        <f t="shared" si="36"/>
        <v>0</v>
      </c>
      <c r="BB169" s="905">
        <f t="shared" si="37"/>
        <v>0</v>
      </c>
      <c r="BC169" s="905">
        <f t="shared" si="38"/>
        <v>0</v>
      </c>
      <c r="BD169" s="905">
        <f t="shared" si="39"/>
        <v>0</v>
      </c>
      <c r="BE169" s="905">
        <f t="shared" si="40"/>
        <v>0</v>
      </c>
      <c r="BF169" s="905">
        <f t="shared" si="41"/>
        <v>0</v>
      </c>
      <c r="BG169" s="905">
        <f t="shared" si="42"/>
        <v>0</v>
      </c>
      <c r="BH169" s="905">
        <f t="shared" si="43"/>
        <v>0</v>
      </c>
      <c r="BI169" s="713">
        <v>0</v>
      </c>
      <c r="BJ169" s="695"/>
      <c r="BK169" s="752">
        <f>IF(X170=0,0,           IF(ISNUMBER(BJ169),BJ169,               IF(ISTEXT(BJ169),INDEX(BA169:BH169,MATCH(BJ169,$BA$12:$BH$12,0)),             IF(BI169="INT",_xll.qInterp(X170,AK169:AR169,BA169:BH169),            INDEX(BA169:BH169,MATCH(BI169,$BA$12:$BH$12,0))))))</f>
        <v>0</v>
      </c>
      <c r="BL169" s="389">
        <f t="shared" si="48"/>
        <v>0</v>
      </c>
      <c r="BM169" s="394">
        <f t="shared" si="49"/>
        <v>0</v>
      </c>
      <c r="BN169" s="389">
        <f t="shared" si="50"/>
        <v>0</v>
      </c>
    </row>
    <row r="170" spans="16:66">
      <c r="P170" s="714">
        <v>0</v>
      </c>
      <c r="Q170" s="715">
        <f t="shared" si="34"/>
        <v>0</v>
      </c>
      <c r="R170" s="712">
        <f>IF(P171,_xll.qDateYears(P170,P171,DCCfixed),0)</f>
        <v>0</v>
      </c>
      <c r="S170" s="519">
        <f ca="1"/>
        <v>0</v>
      </c>
      <c r="T170" s="720"/>
      <c r="U170" s="390">
        <f t="shared" si="44"/>
        <v>0</v>
      </c>
      <c r="X170" s="345">
        <v>0</v>
      </c>
      <c r="Y170" s="711">
        <f t="shared" si="35"/>
        <v>0</v>
      </c>
      <c r="Z170" s="712">
        <f>IF(X171,_xll.qDateYears(X170,X171,DCCfloat),0)</f>
        <v>0</v>
      </c>
      <c r="AA170" s="519">
        <f ca="1"/>
        <v>0</v>
      </c>
      <c r="AB170" s="890">
        <f>IF(X170=0,0,         IF(OR(CCY="AUD",CCY="NZD",CCY="GBP"),X170,   _xll.qDateNext(X170,"-2b",,,IF(CCY="EUR","TGT","LON"))))</f>
        <v>0</v>
      </c>
      <c r="AC170" s="879" t="str">
        <v/>
      </c>
      <c r="AD170" s="879" t="str">
        <v/>
      </c>
      <c r="AE170" s="879" t="str">
        <v/>
      </c>
      <c r="AF170" s="879" t="str">
        <v/>
      </c>
      <c r="AG170" s="879" t="str">
        <v/>
      </c>
      <c r="AH170" s="879" t="str">
        <v/>
      </c>
      <c r="AI170" s="879" t="str">
        <v/>
      </c>
      <c r="AJ170" s="879" t="str">
        <v/>
      </c>
      <c r="AK170" s="882">
        <f>IF($X170=0,0,      _xll.qDateNext($X170,AK$12,$AR$11,FRM&lt;&gt;"Calypso",CCY))</f>
        <v>0</v>
      </c>
      <c r="AL170" s="882">
        <f>IF($X170=0,0,      _xll.qDateNext($X170,AL$12,$AR$11,FRM&lt;&gt;"Calypso",CCY))</f>
        <v>0</v>
      </c>
      <c r="AM170" s="882">
        <f>IF($X170=0,0,      _xll.qDateNext($X170,AM$12,$AR$11,FRM&lt;&gt;"Calypso",CCY))</f>
        <v>0</v>
      </c>
      <c r="AN170" s="882">
        <f>IF($X170=0,0,      _xll.qDateNext($X170,AN$12,$AR$11,FRM&lt;&gt;"Calypso",CCY))</f>
        <v>0</v>
      </c>
      <c r="AO170" s="882">
        <f>IF($X170=0,0,      _xll.qDateNext($X170,AO$12,$AR$11,FRM&lt;&gt;"Calypso",CCY))</f>
        <v>0</v>
      </c>
      <c r="AP170" s="882">
        <f>IF($X170=0,0,      _xll.qDateNext($X170,AP$12,$AR$11,FRM&lt;&gt;"Calypso",CCY))</f>
        <v>0</v>
      </c>
      <c r="AQ170" s="882">
        <f>IF($X170=0,0,      _xll.qDateNext($X170,AQ$12,$AR$11,FRM&lt;&gt;"Calypso",CCY))</f>
        <v>0</v>
      </c>
      <c r="AR170" s="882">
        <f>IF($X170=0,0,      _xll.qDateNext($X170,AR$12,$AR$11,FRM&lt;&gt;"Calypso",CCY))</f>
        <v>0</v>
      </c>
      <c r="AS170" s="901">
        <f ca="1"/>
        <v>0</v>
      </c>
      <c r="AT170" s="901">
        <f ca="1"/>
        <v>0</v>
      </c>
      <c r="AU170" s="901">
        <f t="shared" si="45"/>
        <v>0</v>
      </c>
      <c r="AV170" s="901">
        <f ca="1"/>
        <v>0</v>
      </c>
      <c r="AW170" s="901">
        <f t="shared" si="46"/>
        <v>0</v>
      </c>
      <c r="AX170" s="901">
        <f t="shared" si="47"/>
        <v>0</v>
      </c>
      <c r="AY170" s="901">
        <f ca="1"/>
        <v>0</v>
      </c>
      <c r="AZ170" s="901">
        <f ca="1"/>
        <v>0</v>
      </c>
      <c r="BA170" s="905">
        <f t="shared" si="36"/>
        <v>0</v>
      </c>
      <c r="BB170" s="905">
        <f t="shared" si="37"/>
        <v>0</v>
      </c>
      <c r="BC170" s="905">
        <f t="shared" si="38"/>
        <v>0</v>
      </c>
      <c r="BD170" s="905">
        <f t="shared" si="39"/>
        <v>0</v>
      </c>
      <c r="BE170" s="905">
        <f t="shared" si="40"/>
        <v>0</v>
      </c>
      <c r="BF170" s="905">
        <f t="shared" si="41"/>
        <v>0</v>
      </c>
      <c r="BG170" s="905">
        <f t="shared" si="42"/>
        <v>0</v>
      </c>
      <c r="BH170" s="905">
        <f t="shared" si="43"/>
        <v>0</v>
      </c>
      <c r="BI170" s="713">
        <v>0</v>
      </c>
      <c r="BJ170" s="695"/>
      <c r="BK170" s="752">
        <f>IF(X171=0,0,           IF(ISNUMBER(BJ170),BJ170,               IF(ISTEXT(BJ170),INDEX(BA170:BH170,MATCH(BJ170,$BA$12:$BH$12,0)),             IF(BI170="INT",_xll.qInterp(X171,AK170:AR170,BA170:BH170),            INDEX(BA170:BH170,MATCH(BI170,$BA$12:$BH$12,0))))))</f>
        <v>0</v>
      </c>
      <c r="BL170" s="389">
        <f t="shared" si="48"/>
        <v>0</v>
      </c>
      <c r="BM170" s="394">
        <f t="shared" si="49"/>
        <v>0</v>
      </c>
      <c r="BN170" s="389">
        <f t="shared" si="50"/>
        <v>0</v>
      </c>
    </row>
    <row r="171" spans="16:66">
      <c r="P171" s="714">
        <v>0</v>
      </c>
      <c r="Q171" s="715">
        <f t="shared" si="34"/>
        <v>0</v>
      </c>
      <c r="R171" s="712">
        <f>IF(P172,_xll.qDateYears(P171,P172,DCCfixed),0)</f>
        <v>0</v>
      </c>
      <c r="S171" s="519">
        <f ca="1"/>
        <v>0</v>
      </c>
      <c r="T171" s="720"/>
      <c r="U171" s="390">
        <f t="shared" si="44"/>
        <v>0</v>
      </c>
      <c r="X171" s="345">
        <v>0</v>
      </c>
      <c r="Y171" s="711">
        <f t="shared" si="35"/>
        <v>0</v>
      </c>
      <c r="Z171" s="712">
        <f>IF(X172,_xll.qDateYears(X171,X172,DCCfloat),0)</f>
        <v>0</v>
      </c>
      <c r="AA171" s="519">
        <f ca="1"/>
        <v>0</v>
      </c>
      <c r="AB171" s="890">
        <f>IF(X171=0,0,         IF(OR(CCY="AUD",CCY="NZD",CCY="GBP"),X171,   _xll.qDateNext(X171,"-2b",,,IF(CCY="EUR","TGT","LON"))))</f>
        <v>0</v>
      </c>
      <c r="AC171" s="879" t="str">
        <v/>
      </c>
      <c r="AD171" s="879" t="str">
        <v/>
      </c>
      <c r="AE171" s="879" t="str">
        <v/>
      </c>
      <c r="AF171" s="879" t="str">
        <v/>
      </c>
      <c r="AG171" s="879" t="str">
        <v/>
      </c>
      <c r="AH171" s="879" t="str">
        <v/>
      </c>
      <c r="AI171" s="879" t="str">
        <v/>
      </c>
      <c r="AJ171" s="879" t="str">
        <v/>
      </c>
      <c r="AK171" s="882">
        <f>IF($X171=0,0,      _xll.qDateNext($X171,AK$12,$AR$11,FRM&lt;&gt;"Calypso",CCY))</f>
        <v>0</v>
      </c>
      <c r="AL171" s="882">
        <f>IF($X171=0,0,      _xll.qDateNext($X171,AL$12,$AR$11,FRM&lt;&gt;"Calypso",CCY))</f>
        <v>0</v>
      </c>
      <c r="AM171" s="882">
        <f>IF($X171=0,0,      _xll.qDateNext($X171,AM$12,$AR$11,FRM&lt;&gt;"Calypso",CCY))</f>
        <v>0</v>
      </c>
      <c r="AN171" s="882">
        <f>IF($X171=0,0,      _xll.qDateNext($X171,AN$12,$AR$11,FRM&lt;&gt;"Calypso",CCY))</f>
        <v>0</v>
      </c>
      <c r="AO171" s="882">
        <f>IF($X171=0,0,      _xll.qDateNext($X171,AO$12,$AR$11,FRM&lt;&gt;"Calypso",CCY))</f>
        <v>0</v>
      </c>
      <c r="AP171" s="882">
        <f>IF($X171=0,0,      _xll.qDateNext($X171,AP$12,$AR$11,FRM&lt;&gt;"Calypso",CCY))</f>
        <v>0</v>
      </c>
      <c r="AQ171" s="882">
        <f>IF($X171=0,0,      _xll.qDateNext($X171,AQ$12,$AR$11,FRM&lt;&gt;"Calypso",CCY))</f>
        <v>0</v>
      </c>
      <c r="AR171" s="882">
        <f>IF($X171=0,0,      _xll.qDateNext($X171,AR$12,$AR$11,FRM&lt;&gt;"Calypso",CCY))</f>
        <v>0</v>
      </c>
      <c r="AS171" s="901">
        <f ca="1"/>
        <v>0</v>
      </c>
      <c r="AT171" s="901">
        <f ca="1"/>
        <v>0</v>
      </c>
      <c r="AU171" s="901">
        <f t="shared" si="45"/>
        <v>0</v>
      </c>
      <c r="AV171" s="901">
        <f ca="1"/>
        <v>0</v>
      </c>
      <c r="AW171" s="901">
        <f t="shared" si="46"/>
        <v>0</v>
      </c>
      <c r="AX171" s="901">
        <f t="shared" si="47"/>
        <v>0</v>
      </c>
      <c r="AY171" s="901">
        <f ca="1"/>
        <v>0</v>
      </c>
      <c r="AZ171" s="901">
        <f ca="1"/>
        <v>0</v>
      </c>
      <c r="BA171" s="905">
        <f t="shared" si="36"/>
        <v>0</v>
      </c>
      <c r="BB171" s="905">
        <f t="shared" si="37"/>
        <v>0</v>
      </c>
      <c r="BC171" s="905">
        <f t="shared" si="38"/>
        <v>0</v>
      </c>
      <c r="BD171" s="905">
        <f t="shared" si="39"/>
        <v>0</v>
      </c>
      <c r="BE171" s="905">
        <f t="shared" si="40"/>
        <v>0</v>
      </c>
      <c r="BF171" s="905">
        <f t="shared" si="41"/>
        <v>0</v>
      </c>
      <c r="BG171" s="905">
        <f t="shared" si="42"/>
        <v>0</v>
      </c>
      <c r="BH171" s="905">
        <f t="shared" si="43"/>
        <v>0</v>
      </c>
      <c r="BI171" s="713">
        <v>0</v>
      </c>
      <c r="BJ171" s="695"/>
      <c r="BK171" s="752">
        <f>IF(X172=0,0,           IF(ISNUMBER(BJ171),BJ171,               IF(ISTEXT(BJ171),INDEX(BA171:BH171,MATCH(BJ171,$BA$12:$BH$12,0)),             IF(BI171="INT",_xll.qInterp(X172,AK171:AR171,BA171:BH171),            INDEX(BA171:BH171,MATCH(BI171,$BA$12:$BH$12,0))))))</f>
        <v>0</v>
      </c>
      <c r="BL171" s="389">
        <f t="shared" si="48"/>
        <v>0</v>
      </c>
      <c r="BM171" s="394">
        <f t="shared" si="49"/>
        <v>0</v>
      </c>
      <c r="BN171" s="389">
        <f t="shared" si="50"/>
        <v>0</v>
      </c>
    </row>
    <row r="172" spans="16:66">
      <c r="P172" s="714">
        <v>0</v>
      </c>
      <c r="Q172" s="715">
        <f t="shared" si="34"/>
        <v>0</v>
      </c>
      <c r="R172" s="712">
        <f>IF(P173,_xll.qDateYears(P172,P173,DCCfixed),0)</f>
        <v>0</v>
      </c>
      <c r="S172" s="519">
        <f ca="1"/>
        <v>0</v>
      </c>
      <c r="T172" s="720"/>
      <c r="U172" s="390">
        <f t="shared" si="44"/>
        <v>0</v>
      </c>
      <c r="X172" s="345">
        <v>0</v>
      </c>
      <c r="Y172" s="711">
        <f t="shared" si="35"/>
        <v>0</v>
      </c>
      <c r="Z172" s="712">
        <f>IF(X173,_xll.qDateYears(X172,X173,DCCfloat),0)</f>
        <v>0</v>
      </c>
      <c r="AA172" s="519">
        <f ca="1"/>
        <v>0</v>
      </c>
      <c r="AB172" s="890">
        <f>IF(X172=0,0,         IF(OR(CCY="AUD",CCY="NZD",CCY="GBP"),X172,   _xll.qDateNext(X172,"-2b",,,IF(CCY="EUR","TGT","LON"))))</f>
        <v>0</v>
      </c>
      <c r="AC172" s="879" t="str">
        <v/>
      </c>
      <c r="AD172" s="879" t="str">
        <v/>
      </c>
      <c r="AE172" s="879" t="str">
        <v/>
      </c>
      <c r="AF172" s="879" t="str">
        <v/>
      </c>
      <c r="AG172" s="879" t="str">
        <v/>
      </c>
      <c r="AH172" s="879" t="str">
        <v/>
      </c>
      <c r="AI172" s="879" t="str">
        <v/>
      </c>
      <c r="AJ172" s="879" t="str">
        <v/>
      </c>
      <c r="AK172" s="882">
        <f>IF($X172=0,0,      _xll.qDateNext($X172,AK$12,$AR$11,FRM&lt;&gt;"Calypso",CCY))</f>
        <v>0</v>
      </c>
      <c r="AL172" s="882">
        <f>IF($X172=0,0,      _xll.qDateNext($X172,AL$12,$AR$11,FRM&lt;&gt;"Calypso",CCY))</f>
        <v>0</v>
      </c>
      <c r="AM172" s="882">
        <f>IF($X172=0,0,      _xll.qDateNext($X172,AM$12,$AR$11,FRM&lt;&gt;"Calypso",CCY))</f>
        <v>0</v>
      </c>
      <c r="AN172" s="882">
        <f>IF($X172=0,0,      _xll.qDateNext($X172,AN$12,$AR$11,FRM&lt;&gt;"Calypso",CCY))</f>
        <v>0</v>
      </c>
      <c r="AO172" s="882">
        <f>IF($X172=0,0,      _xll.qDateNext($X172,AO$12,$AR$11,FRM&lt;&gt;"Calypso",CCY))</f>
        <v>0</v>
      </c>
      <c r="AP172" s="882">
        <f>IF($X172=0,0,      _xll.qDateNext($X172,AP$12,$AR$11,FRM&lt;&gt;"Calypso",CCY))</f>
        <v>0</v>
      </c>
      <c r="AQ172" s="882">
        <f>IF($X172=0,0,      _xll.qDateNext($X172,AQ$12,$AR$11,FRM&lt;&gt;"Calypso",CCY))</f>
        <v>0</v>
      </c>
      <c r="AR172" s="882">
        <f>IF($X172=0,0,      _xll.qDateNext($X172,AR$12,$AR$11,FRM&lt;&gt;"Calypso",CCY))</f>
        <v>0</v>
      </c>
      <c r="AS172" s="901">
        <f ca="1"/>
        <v>0</v>
      </c>
      <c r="AT172" s="901">
        <f ca="1"/>
        <v>0</v>
      </c>
      <c r="AU172" s="901">
        <f t="shared" si="45"/>
        <v>0</v>
      </c>
      <c r="AV172" s="901">
        <f ca="1"/>
        <v>0</v>
      </c>
      <c r="AW172" s="901">
        <f t="shared" si="46"/>
        <v>0</v>
      </c>
      <c r="AX172" s="901">
        <f t="shared" si="47"/>
        <v>0</v>
      </c>
      <c r="AY172" s="901">
        <f ca="1"/>
        <v>0</v>
      </c>
      <c r="AZ172" s="901">
        <f ca="1"/>
        <v>0</v>
      </c>
      <c r="BA172" s="905">
        <f t="shared" si="36"/>
        <v>0</v>
      </c>
      <c r="BB172" s="905">
        <f t="shared" si="37"/>
        <v>0</v>
      </c>
      <c r="BC172" s="905">
        <f t="shared" si="38"/>
        <v>0</v>
      </c>
      <c r="BD172" s="905">
        <f t="shared" si="39"/>
        <v>0</v>
      </c>
      <c r="BE172" s="905">
        <f t="shared" si="40"/>
        <v>0</v>
      </c>
      <c r="BF172" s="905">
        <f t="shared" si="41"/>
        <v>0</v>
      </c>
      <c r="BG172" s="905">
        <f t="shared" si="42"/>
        <v>0</v>
      </c>
      <c r="BH172" s="905">
        <f t="shared" si="43"/>
        <v>0</v>
      </c>
      <c r="BI172" s="713">
        <v>0</v>
      </c>
      <c r="BJ172" s="695"/>
      <c r="BK172" s="752">
        <f>IF(X173=0,0,           IF(ISNUMBER(BJ172),BJ172,               IF(ISTEXT(BJ172),INDEX(BA172:BH172,MATCH(BJ172,$BA$12:$BH$12,0)),             IF(BI172="INT",_xll.qInterp(X173,AK172:AR172,BA172:BH172),            INDEX(BA172:BH172,MATCH(BI172,$BA$12:$BH$12,0))))))</f>
        <v>0</v>
      </c>
      <c r="BL172" s="389">
        <f t="shared" si="48"/>
        <v>0</v>
      </c>
      <c r="BM172" s="394">
        <f t="shared" si="49"/>
        <v>0</v>
      </c>
      <c r="BN172" s="389">
        <f t="shared" si="50"/>
        <v>0</v>
      </c>
    </row>
    <row r="173" spans="16:66">
      <c r="P173" s="714">
        <v>0</v>
      </c>
      <c r="Q173" s="715">
        <f t="shared" si="34"/>
        <v>0</v>
      </c>
      <c r="R173" s="712">
        <f>IF(P174,_xll.qDateYears(P173,P174,DCCfixed),0)</f>
        <v>0</v>
      </c>
      <c r="S173" s="519">
        <f ca="1"/>
        <v>0</v>
      </c>
      <c r="T173" s="720"/>
      <c r="U173" s="390">
        <f t="shared" si="44"/>
        <v>0</v>
      </c>
      <c r="X173" s="345">
        <v>0</v>
      </c>
      <c r="Y173" s="711">
        <f t="shared" si="35"/>
        <v>0</v>
      </c>
      <c r="Z173" s="712">
        <f>IF(X174,_xll.qDateYears(X173,X174,DCCfloat),0)</f>
        <v>0</v>
      </c>
      <c r="AA173" s="519">
        <f ca="1"/>
        <v>0</v>
      </c>
      <c r="AB173" s="890">
        <f>IF(X173=0,0,         IF(OR(CCY="AUD",CCY="NZD",CCY="GBP"),X173,   _xll.qDateNext(X173,"-2b",,,IF(CCY="EUR","TGT","LON"))))</f>
        <v>0</v>
      </c>
      <c r="AC173" s="879" t="str">
        <v/>
      </c>
      <c r="AD173" s="879" t="str">
        <v/>
      </c>
      <c r="AE173" s="879" t="str">
        <v/>
      </c>
      <c r="AF173" s="879" t="str">
        <v/>
      </c>
      <c r="AG173" s="879" t="str">
        <v/>
      </c>
      <c r="AH173" s="879" t="str">
        <v/>
      </c>
      <c r="AI173" s="879" t="str">
        <v/>
      </c>
      <c r="AJ173" s="879" t="str">
        <v/>
      </c>
      <c r="AK173" s="882">
        <f>IF($X173=0,0,      _xll.qDateNext($X173,AK$12,$AR$11,FRM&lt;&gt;"Calypso",CCY))</f>
        <v>0</v>
      </c>
      <c r="AL173" s="882">
        <f>IF($X173=0,0,      _xll.qDateNext($X173,AL$12,$AR$11,FRM&lt;&gt;"Calypso",CCY))</f>
        <v>0</v>
      </c>
      <c r="AM173" s="882">
        <f>IF($X173=0,0,      _xll.qDateNext($X173,AM$12,$AR$11,FRM&lt;&gt;"Calypso",CCY))</f>
        <v>0</v>
      </c>
      <c r="AN173" s="882">
        <f>IF($X173=0,0,      _xll.qDateNext($X173,AN$12,$AR$11,FRM&lt;&gt;"Calypso",CCY))</f>
        <v>0</v>
      </c>
      <c r="AO173" s="882">
        <f>IF($X173=0,0,      _xll.qDateNext($X173,AO$12,$AR$11,FRM&lt;&gt;"Calypso",CCY))</f>
        <v>0</v>
      </c>
      <c r="AP173" s="882">
        <f>IF($X173=0,0,      _xll.qDateNext($X173,AP$12,$AR$11,FRM&lt;&gt;"Calypso",CCY))</f>
        <v>0</v>
      </c>
      <c r="AQ173" s="882">
        <f>IF($X173=0,0,      _xll.qDateNext($X173,AQ$12,$AR$11,FRM&lt;&gt;"Calypso",CCY))</f>
        <v>0</v>
      </c>
      <c r="AR173" s="882">
        <f>IF($X173=0,0,      _xll.qDateNext($X173,AR$12,$AR$11,FRM&lt;&gt;"Calypso",CCY))</f>
        <v>0</v>
      </c>
      <c r="AS173" s="901">
        <f ca="1"/>
        <v>0</v>
      </c>
      <c r="AT173" s="901">
        <f ca="1"/>
        <v>0</v>
      </c>
      <c r="AU173" s="901">
        <f t="shared" si="45"/>
        <v>0</v>
      </c>
      <c r="AV173" s="901">
        <f ca="1"/>
        <v>0</v>
      </c>
      <c r="AW173" s="901">
        <f t="shared" si="46"/>
        <v>0</v>
      </c>
      <c r="AX173" s="901">
        <f t="shared" si="47"/>
        <v>0</v>
      </c>
      <c r="AY173" s="901">
        <f ca="1"/>
        <v>0</v>
      </c>
      <c r="AZ173" s="901">
        <f ca="1"/>
        <v>0</v>
      </c>
      <c r="BA173" s="905">
        <f t="shared" si="36"/>
        <v>0</v>
      </c>
      <c r="BB173" s="905">
        <f t="shared" si="37"/>
        <v>0</v>
      </c>
      <c r="BC173" s="905">
        <f t="shared" si="38"/>
        <v>0</v>
      </c>
      <c r="BD173" s="905">
        <f t="shared" si="39"/>
        <v>0</v>
      </c>
      <c r="BE173" s="905">
        <f t="shared" si="40"/>
        <v>0</v>
      </c>
      <c r="BF173" s="905">
        <f t="shared" si="41"/>
        <v>0</v>
      </c>
      <c r="BG173" s="905">
        <f t="shared" si="42"/>
        <v>0</v>
      </c>
      <c r="BH173" s="905">
        <f t="shared" si="43"/>
        <v>0</v>
      </c>
      <c r="BI173" s="713">
        <v>0</v>
      </c>
      <c r="BJ173" s="695"/>
      <c r="BK173" s="752">
        <f>IF(X174=0,0,           IF(ISNUMBER(BJ173),BJ173,               IF(ISTEXT(BJ173),INDEX(BA173:BH173,MATCH(BJ173,$BA$12:$BH$12,0)),             IF(BI173="INT",_xll.qInterp(X174,AK173:AR173,BA173:BH173),            INDEX(BA173:BH173,MATCH(BI173,$BA$12:$BH$12,0))))))</f>
        <v>0</v>
      </c>
      <c r="BL173" s="389">
        <f t="shared" si="48"/>
        <v>0</v>
      </c>
      <c r="BM173" s="394">
        <f t="shared" si="49"/>
        <v>0</v>
      </c>
      <c r="BN173" s="389">
        <f t="shared" si="50"/>
        <v>0</v>
      </c>
    </row>
    <row r="174" spans="16:66">
      <c r="P174" s="714">
        <v>0</v>
      </c>
      <c r="Q174" s="715">
        <f t="shared" si="34"/>
        <v>0</v>
      </c>
      <c r="R174" s="712">
        <f>IF(P175,_xll.qDateYears(P174,P175,DCCfixed),0)</f>
        <v>0</v>
      </c>
      <c r="S174" s="519">
        <f ca="1"/>
        <v>0</v>
      </c>
      <c r="T174" s="720"/>
      <c r="U174" s="390">
        <f t="shared" si="44"/>
        <v>0</v>
      </c>
      <c r="X174" s="345">
        <v>0</v>
      </c>
      <c r="Y174" s="711">
        <f t="shared" si="35"/>
        <v>0</v>
      </c>
      <c r="Z174" s="712">
        <f>IF(X175,_xll.qDateYears(X174,X175,DCCfloat),0)</f>
        <v>0</v>
      </c>
      <c r="AA174" s="519">
        <f ca="1"/>
        <v>0</v>
      </c>
      <c r="AB174" s="890">
        <f>IF(X174=0,0,         IF(OR(CCY="AUD",CCY="NZD",CCY="GBP"),X174,   _xll.qDateNext(X174,"-2b",,,IF(CCY="EUR","TGT","LON"))))</f>
        <v>0</v>
      </c>
      <c r="AC174" s="879" t="str">
        <v/>
      </c>
      <c r="AD174" s="879" t="str">
        <v/>
      </c>
      <c r="AE174" s="879" t="str">
        <v/>
      </c>
      <c r="AF174" s="879" t="str">
        <v/>
      </c>
      <c r="AG174" s="879" t="str">
        <v/>
      </c>
      <c r="AH174" s="879" t="str">
        <v/>
      </c>
      <c r="AI174" s="879" t="str">
        <v/>
      </c>
      <c r="AJ174" s="879" t="str">
        <v/>
      </c>
      <c r="AK174" s="882">
        <f>IF($X174=0,0,      _xll.qDateNext($X174,AK$12,$AR$11,FRM&lt;&gt;"Calypso",CCY))</f>
        <v>0</v>
      </c>
      <c r="AL174" s="882">
        <f>IF($X174=0,0,      _xll.qDateNext($X174,AL$12,$AR$11,FRM&lt;&gt;"Calypso",CCY))</f>
        <v>0</v>
      </c>
      <c r="AM174" s="882">
        <f>IF($X174=0,0,      _xll.qDateNext($X174,AM$12,$AR$11,FRM&lt;&gt;"Calypso",CCY))</f>
        <v>0</v>
      </c>
      <c r="AN174" s="882">
        <f>IF($X174=0,0,      _xll.qDateNext($X174,AN$12,$AR$11,FRM&lt;&gt;"Calypso",CCY))</f>
        <v>0</v>
      </c>
      <c r="AO174" s="882">
        <f>IF($X174=0,0,      _xll.qDateNext($X174,AO$12,$AR$11,FRM&lt;&gt;"Calypso",CCY))</f>
        <v>0</v>
      </c>
      <c r="AP174" s="882">
        <f>IF($X174=0,0,      _xll.qDateNext($X174,AP$12,$AR$11,FRM&lt;&gt;"Calypso",CCY))</f>
        <v>0</v>
      </c>
      <c r="AQ174" s="882">
        <f>IF($X174=0,0,      _xll.qDateNext($X174,AQ$12,$AR$11,FRM&lt;&gt;"Calypso",CCY))</f>
        <v>0</v>
      </c>
      <c r="AR174" s="882">
        <f>IF($X174=0,0,      _xll.qDateNext($X174,AR$12,$AR$11,FRM&lt;&gt;"Calypso",CCY))</f>
        <v>0</v>
      </c>
      <c r="AS174" s="901">
        <f ca="1"/>
        <v>0</v>
      </c>
      <c r="AT174" s="901">
        <f ca="1"/>
        <v>0</v>
      </c>
      <c r="AU174" s="901">
        <f t="shared" si="45"/>
        <v>0</v>
      </c>
      <c r="AV174" s="901">
        <f ca="1"/>
        <v>0</v>
      </c>
      <c r="AW174" s="901">
        <f t="shared" si="46"/>
        <v>0</v>
      </c>
      <c r="AX174" s="901">
        <f t="shared" si="47"/>
        <v>0</v>
      </c>
      <c r="AY174" s="901">
        <f ca="1"/>
        <v>0</v>
      </c>
      <c r="AZ174" s="901">
        <f ca="1"/>
        <v>0</v>
      </c>
      <c r="BA174" s="905">
        <f t="shared" si="36"/>
        <v>0</v>
      </c>
      <c r="BB174" s="905">
        <f t="shared" si="37"/>
        <v>0</v>
      </c>
      <c r="BC174" s="905">
        <f t="shared" si="38"/>
        <v>0</v>
      </c>
      <c r="BD174" s="905">
        <f t="shared" si="39"/>
        <v>0</v>
      </c>
      <c r="BE174" s="905">
        <f t="shared" si="40"/>
        <v>0</v>
      </c>
      <c r="BF174" s="905">
        <f t="shared" si="41"/>
        <v>0</v>
      </c>
      <c r="BG174" s="905">
        <f t="shared" si="42"/>
        <v>0</v>
      </c>
      <c r="BH174" s="905">
        <f t="shared" si="43"/>
        <v>0</v>
      </c>
      <c r="BI174" s="713">
        <v>0</v>
      </c>
      <c r="BJ174" s="695"/>
      <c r="BK174" s="752">
        <f>IF(X175=0,0,           IF(ISNUMBER(BJ174),BJ174,               IF(ISTEXT(BJ174),INDEX(BA174:BH174,MATCH(BJ174,$BA$12:$BH$12,0)),             IF(BI174="INT",_xll.qInterp(X175,AK174:AR174,BA174:BH174),            INDEX(BA174:BH174,MATCH(BI174,$BA$12:$BH$12,0))))))</f>
        <v>0</v>
      </c>
      <c r="BL174" s="389">
        <f t="shared" si="48"/>
        <v>0</v>
      </c>
      <c r="BM174" s="394">
        <f t="shared" si="49"/>
        <v>0</v>
      </c>
      <c r="BN174" s="389">
        <f t="shared" si="50"/>
        <v>0</v>
      </c>
    </row>
    <row r="175" spans="16:66">
      <c r="P175" s="714">
        <v>0</v>
      </c>
      <c r="Q175" s="715">
        <f t="shared" si="34"/>
        <v>0</v>
      </c>
      <c r="R175" s="712">
        <f>IF(P176,_xll.qDateYears(P175,P176,DCCfixed),0)</f>
        <v>0</v>
      </c>
      <c r="S175" s="519">
        <f ca="1"/>
        <v>0</v>
      </c>
      <c r="T175" s="720"/>
      <c r="U175" s="390">
        <f t="shared" si="44"/>
        <v>0</v>
      </c>
      <c r="X175" s="345">
        <v>0</v>
      </c>
      <c r="Y175" s="711">
        <f t="shared" si="35"/>
        <v>0</v>
      </c>
      <c r="Z175" s="712">
        <f>IF(X176,_xll.qDateYears(X175,X176,DCCfloat),0)</f>
        <v>0</v>
      </c>
      <c r="AA175" s="519">
        <f ca="1"/>
        <v>0</v>
      </c>
      <c r="AB175" s="890">
        <f>IF(X175=0,0,         IF(OR(CCY="AUD",CCY="NZD",CCY="GBP"),X175,   _xll.qDateNext(X175,"-2b",,,IF(CCY="EUR","TGT","LON"))))</f>
        <v>0</v>
      </c>
      <c r="AC175" s="879" t="str">
        <v/>
      </c>
      <c r="AD175" s="879" t="str">
        <v/>
      </c>
      <c r="AE175" s="879" t="str">
        <v/>
      </c>
      <c r="AF175" s="879" t="str">
        <v/>
      </c>
      <c r="AG175" s="879" t="str">
        <v/>
      </c>
      <c r="AH175" s="879" t="str">
        <v/>
      </c>
      <c r="AI175" s="879" t="str">
        <v/>
      </c>
      <c r="AJ175" s="879" t="str">
        <v/>
      </c>
      <c r="AK175" s="882">
        <f>IF($X175=0,0,      _xll.qDateNext($X175,AK$12,$AR$11,FRM&lt;&gt;"Calypso",CCY))</f>
        <v>0</v>
      </c>
      <c r="AL175" s="882">
        <f>IF($X175=0,0,      _xll.qDateNext($X175,AL$12,$AR$11,FRM&lt;&gt;"Calypso",CCY))</f>
        <v>0</v>
      </c>
      <c r="AM175" s="882">
        <f>IF($X175=0,0,      _xll.qDateNext($X175,AM$12,$AR$11,FRM&lt;&gt;"Calypso",CCY))</f>
        <v>0</v>
      </c>
      <c r="AN175" s="882">
        <f>IF($X175=0,0,      _xll.qDateNext($X175,AN$12,$AR$11,FRM&lt;&gt;"Calypso",CCY))</f>
        <v>0</v>
      </c>
      <c r="AO175" s="882">
        <f>IF($X175=0,0,      _xll.qDateNext($X175,AO$12,$AR$11,FRM&lt;&gt;"Calypso",CCY))</f>
        <v>0</v>
      </c>
      <c r="AP175" s="882">
        <f>IF($X175=0,0,      _xll.qDateNext($X175,AP$12,$AR$11,FRM&lt;&gt;"Calypso",CCY))</f>
        <v>0</v>
      </c>
      <c r="AQ175" s="882">
        <f>IF($X175=0,0,      _xll.qDateNext($X175,AQ$12,$AR$11,FRM&lt;&gt;"Calypso",CCY))</f>
        <v>0</v>
      </c>
      <c r="AR175" s="882">
        <f>IF($X175=0,0,      _xll.qDateNext($X175,AR$12,$AR$11,FRM&lt;&gt;"Calypso",CCY))</f>
        <v>0</v>
      </c>
      <c r="AS175" s="901">
        <f ca="1"/>
        <v>0</v>
      </c>
      <c r="AT175" s="901">
        <f ca="1"/>
        <v>0</v>
      </c>
      <c r="AU175" s="901">
        <f t="shared" si="45"/>
        <v>0</v>
      </c>
      <c r="AV175" s="901">
        <f ca="1"/>
        <v>0</v>
      </c>
      <c r="AW175" s="901">
        <f t="shared" si="46"/>
        <v>0</v>
      </c>
      <c r="AX175" s="901">
        <f t="shared" si="47"/>
        <v>0</v>
      </c>
      <c r="AY175" s="901">
        <f ca="1"/>
        <v>0</v>
      </c>
      <c r="AZ175" s="901">
        <f ca="1"/>
        <v>0</v>
      </c>
      <c r="BA175" s="905">
        <f t="shared" si="36"/>
        <v>0</v>
      </c>
      <c r="BB175" s="905">
        <f t="shared" si="37"/>
        <v>0</v>
      </c>
      <c r="BC175" s="905">
        <f t="shared" si="38"/>
        <v>0</v>
      </c>
      <c r="BD175" s="905">
        <f t="shared" si="39"/>
        <v>0</v>
      </c>
      <c r="BE175" s="905">
        <f t="shared" si="40"/>
        <v>0</v>
      </c>
      <c r="BF175" s="905">
        <f t="shared" si="41"/>
        <v>0</v>
      </c>
      <c r="BG175" s="905">
        <f t="shared" si="42"/>
        <v>0</v>
      </c>
      <c r="BH175" s="905">
        <f t="shared" si="43"/>
        <v>0</v>
      </c>
      <c r="BI175" s="713">
        <v>0</v>
      </c>
      <c r="BJ175" s="695"/>
      <c r="BK175" s="752">
        <f>IF(X176=0,0,           IF(ISNUMBER(BJ175),BJ175,               IF(ISTEXT(BJ175),INDEX(BA175:BH175,MATCH(BJ175,$BA$12:$BH$12,0)),             IF(BI175="INT",_xll.qInterp(X176,AK175:AR175,BA175:BH175),            INDEX(BA175:BH175,MATCH(BI175,$BA$12:$BH$12,0))))))</f>
        <v>0</v>
      </c>
      <c r="BL175" s="389">
        <f t="shared" si="48"/>
        <v>0</v>
      </c>
      <c r="BM175" s="394">
        <f t="shared" si="49"/>
        <v>0</v>
      </c>
      <c r="BN175" s="389">
        <f t="shared" si="50"/>
        <v>0</v>
      </c>
    </row>
    <row r="176" spans="16:66">
      <c r="P176" s="714">
        <v>0</v>
      </c>
      <c r="Q176" s="715">
        <f t="shared" si="34"/>
        <v>0</v>
      </c>
      <c r="R176" s="712">
        <f>IF(P177,_xll.qDateYears(P176,P177,DCCfixed),0)</f>
        <v>0</v>
      </c>
      <c r="S176" s="519">
        <f ca="1"/>
        <v>0</v>
      </c>
      <c r="T176" s="720"/>
      <c r="U176" s="390">
        <f t="shared" si="44"/>
        <v>0</v>
      </c>
      <c r="X176" s="345">
        <v>0</v>
      </c>
      <c r="Y176" s="711">
        <f t="shared" si="35"/>
        <v>0</v>
      </c>
      <c r="Z176" s="712">
        <f>IF(X177,_xll.qDateYears(X176,X177,DCCfloat),0)</f>
        <v>0</v>
      </c>
      <c r="AA176" s="519">
        <f ca="1"/>
        <v>0</v>
      </c>
      <c r="AB176" s="890">
        <f>IF(X176=0,0,         IF(OR(CCY="AUD",CCY="NZD",CCY="GBP"),X176,   _xll.qDateNext(X176,"-2b",,,IF(CCY="EUR","TGT","LON"))))</f>
        <v>0</v>
      </c>
      <c r="AC176" s="879" t="str">
        <v/>
      </c>
      <c r="AD176" s="879" t="str">
        <v/>
      </c>
      <c r="AE176" s="879" t="str">
        <v/>
      </c>
      <c r="AF176" s="879" t="str">
        <v/>
      </c>
      <c r="AG176" s="879" t="str">
        <v/>
      </c>
      <c r="AH176" s="879" t="str">
        <v/>
      </c>
      <c r="AI176" s="879" t="str">
        <v/>
      </c>
      <c r="AJ176" s="879" t="str">
        <v/>
      </c>
      <c r="AK176" s="882">
        <f>IF($X176=0,0,      _xll.qDateNext($X176,AK$12,$AR$11,FRM&lt;&gt;"Calypso",CCY))</f>
        <v>0</v>
      </c>
      <c r="AL176" s="882">
        <f>IF($X176=0,0,      _xll.qDateNext($X176,AL$12,$AR$11,FRM&lt;&gt;"Calypso",CCY))</f>
        <v>0</v>
      </c>
      <c r="AM176" s="882">
        <f>IF($X176=0,0,      _xll.qDateNext($X176,AM$12,$AR$11,FRM&lt;&gt;"Calypso",CCY))</f>
        <v>0</v>
      </c>
      <c r="AN176" s="882">
        <f>IF($X176=0,0,      _xll.qDateNext($X176,AN$12,$AR$11,FRM&lt;&gt;"Calypso",CCY))</f>
        <v>0</v>
      </c>
      <c r="AO176" s="882">
        <f>IF($X176=0,0,      _xll.qDateNext($X176,AO$12,$AR$11,FRM&lt;&gt;"Calypso",CCY))</f>
        <v>0</v>
      </c>
      <c r="AP176" s="882">
        <f>IF($X176=0,0,      _xll.qDateNext($X176,AP$12,$AR$11,FRM&lt;&gt;"Calypso",CCY))</f>
        <v>0</v>
      </c>
      <c r="AQ176" s="882">
        <f>IF($X176=0,0,      _xll.qDateNext($X176,AQ$12,$AR$11,FRM&lt;&gt;"Calypso",CCY))</f>
        <v>0</v>
      </c>
      <c r="AR176" s="882">
        <f>IF($X176=0,0,      _xll.qDateNext($X176,AR$12,$AR$11,FRM&lt;&gt;"Calypso",CCY))</f>
        <v>0</v>
      </c>
      <c r="AS176" s="901">
        <f ca="1"/>
        <v>0</v>
      </c>
      <c r="AT176" s="901">
        <f ca="1"/>
        <v>0</v>
      </c>
      <c r="AU176" s="901">
        <f t="shared" si="45"/>
        <v>0</v>
      </c>
      <c r="AV176" s="901">
        <f ca="1"/>
        <v>0</v>
      </c>
      <c r="AW176" s="901">
        <f t="shared" si="46"/>
        <v>0</v>
      </c>
      <c r="AX176" s="901">
        <f t="shared" si="47"/>
        <v>0</v>
      </c>
      <c r="AY176" s="901">
        <f ca="1"/>
        <v>0</v>
      </c>
      <c r="AZ176" s="901">
        <f ca="1"/>
        <v>0</v>
      </c>
      <c r="BA176" s="905">
        <f t="shared" si="36"/>
        <v>0</v>
      </c>
      <c r="BB176" s="905">
        <f t="shared" si="37"/>
        <v>0</v>
      </c>
      <c r="BC176" s="905">
        <f t="shared" si="38"/>
        <v>0</v>
      </c>
      <c r="BD176" s="905">
        <f t="shared" si="39"/>
        <v>0</v>
      </c>
      <c r="BE176" s="905">
        <f t="shared" si="40"/>
        <v>0</v>
      </c>
      <c r="BF176" s="905">
        <f t="shared" si="41"/>
        <v>0</v>
      </c>
      <c r="BG176" s="905">
        <f t="shared" si="42"/>
        <v>0</v>
      </c>
      <c r="BH176" s="905">
        <f t="shared" si="43"/>
        <v>0</v>
      </c>
      <c r="BI176" s="713">
        <v>0</v>
      </c>
      <c r="BJ176" s="695"/>
      <c r="BK176" s="752">
        <f>IF(X177=0,0,           IF(ISNUMBER(BJ176),BJ176,               IF(ISTEXT(BJ176),INDEX(BA176:BH176,MATCH(BJ176,$BA$12:$BH$12,0)),             IF(BI176="INT",_xll.qInterp(X177,AK176:AR176,BA176:BH176),            INDEX(BA176:BH176,MATCH(BI176,$BA$12:$BH$12,0))))))</f>
        <v>0</v>
      </c>
      <c r="BL176" s="389">
        <f t="shared" si="48"/>
        <v>0</v>
      </c>
      <c r="BM176" s="394">
        <f t="shared" si="49"/>
        <v>0</v>
      </c>
      <c r="BN176" s="389">
        <f t="shared" si="50"/>
        <v>0</v>
      </c>
    </row>
    <row r="177" spans="16:66">
      <c r="P177" s="714">
        <v>0</v>
      </c>
      <c r="Q177" s="715">
        <f t="shared" si="34"/>
        <v>0</v>
      </c>
      <c r="R177" s="712">
        <f>IF(P178,_xll.qDateYears(P177,P178,DCCfixed),0)</f>
        <v>0</v>
      </c>
      <c r="S177" s="519">
        <f ca="1"/>
        <v>0</v>
      </c>
      <c r="T177" s="720"/>
      <c r="U177" s="390">
        <f t="shared" si="44"/>
        <v>0</v>
      </c>
      <c r="X177" s="345">
        <v>0</v>
      </c>
      <c r="Y177" s="711">
        <f t="shared" si="35"/>
        <v>0</v>
      </c>
      <c r="Z177" s="712">
        <f>IF(X178,_xll.qDateYears(X177,X178,DCCfloat),0)</f>
        <v>0</v>
      </c>
      <c r="AA177" s="519">
        <f ca="1"/>
        <v>0</v>
      </c>
      <c r="AB177" s="890">
        <f>IF(X177=0,0,         IF(OR(CCY="AUD",CCY="NZD",CCY="GBP"),X177,   _xll.qDateNext(X177,"-2b",,,IF(CCY="EUR","TGT","LON"))))</f>
        <v>0</v>
      </c>
      <c r="AC177" s="879" t="str">
        <v/>
      </c>
      <c r="AD177" s="879" t="str">
        <v/>
      </c>
      <c r="AE177" s="879" t="str">
        <v/>
      </c>
      <c r="AF177" s="879" t="str">
        <v/>
      </c>
      <c r="AG177" s="879" t="str">
        <v/>
      </c>
      <c r="AH177" s="879" t="str">
        <v/>
      </c>
      <c r="AI177" s="879" t="str">
        <v/>
      </c>
      <c r="AJ177" s="879" t="str">
        <v/>
      </c>
      <c r="AK177" s="882">
        <f>IF($X177=0,0,      _xll.qDateNext($X177,AK$12,$AR$11,FRM&lt;&gt;"Calypso",CCY))</f>
        <v>0</v>
      </c>
      <c r="AL177" s="882">
        <f>IF($X177=0,0,      _xll.qDateNext($X177,AL$12,$AR$11,FRM&lt;&gt;"Calypso",CCY))</f>
        <v>0</v>
      </c>
      <c r="AM177" s="882">
        <f>IF($X177=0,0,      _xll.qDateNext($X177,AM$12,$AR$11,FRM&lt;&gt;"Calypso",CCY))</f>
        <v>0</v>
      </c>
      <c r="AN177" s="882">
        <f>IF($X177=0,0,      _xll.qDateNext($X177,AN$12,$AR$11,FRM&lt;&gt;"Calypso",CCY))</f>
        <v>0</v>
      </c>
      <c r="AO177" s="882">
        <f>IF($X177=0,0,      _xll.qDateNext($X177,AO$12,$AR$11,FRM&lt;&gt;"Calypso",CCY))</f>
        <v>0</v>
      </c>
      <c r="AP177" s="882">
        <f>IF($X177=0,0,      _xll.qDateNext($X177,AP$12,$AR$11,FRM&lt;&gt;"Calypso",CCY))</f>
        <v>0</v>
      </c>
      <c r="AQ177" s="882">
        <f>IF($X177=0,0,      _xll.qDateNext($X177,AQ$12,$AR$11,FRM&lt;&gt;"Calypso",CCY))</f>
        <v>0</v>
      </c>
      <c r="AR177" s="882">
        <f>IF($X177=0,0,      _xll.qDateNext($X177,AR$12,$AR$11,FRM&lt;&gt;"Calypso",CCY))</f>
        <v>0</v>
      </c>
      <c r="AS177" s="901">
        <f ca="1"/>
        <v>0</v>
      </c>
      <c r="AT177" s="901">
        <f ca="1"/>
        <v>0</v>
      </c>
      <c r="AU177" s="901">
        <f t="shared" si="45"/>
        <v>0</v>
      </c>
      <c r="AV177" s="901">
        <f ca="1"/>
        <v>0</v>
      </c>
      <c r="AW177" s="901">
        <f t="shared" si="46"/>
        <v>0</v>
      </c>
      <c r="AX177" s="901">
        <f t="shared" si="47"/>
        <v>0</v>
      </c>
      <c r="AY177" s="901">
        <f ca="1"/>
        <v>0</v>
      </c>
      <c r="AZ177" s="901">
        <f ca="1"/>
        <v>0</v>
      </c>
      <c r="BA177" s="905">
        <f t="shared" si="36"/>
        <v>0</v>
      </c>
      <c r="BB177" s="905">
        <f t="shared" si="37"/>
        <v>0</v>
      </c>
      <c r="BC177" s="905">
        <f t="shared" si="38"/>
        <v>0</v>
      </c>
      <c r="BD177" s="905">
        <f t="shared" si="39"/>
        <v>0</v>
      </c>
      <c r="BE177" s="905">
        <f t="shared" si="40"/>
        <v>0</v>
      </c>
      <c r="BF177" s="905">
        <f t="shared" si="41"/>
        <v>0</v>
      </c>
      <c r="BG177" s="905">
        <f t="shared" si="42"/>
        <v>0</v>
      </c>
      <c r="BH177" s="905">
        <f t="shared" si="43"/>
        <v>0</v>
      </c>
      <c r="BI177" s="713">
        <v>0</v>
      </c>
      <c r="BJ177" s="695"/>
      <c r="BK177" s="752">
        <f>IF(X178=0,0,           IF(ISNUMBER(BJ177),BJ177,               IF(ISTEXT(BJ177),INDEX(BA177:BH177,MATCH(BJ177,$BA$12:$BH$12,0)),             IF(BI177="INT",_xll.qInterp(X178,AK177:AR177,BA177:BH177),            INDEX(BA177:BH177,MATCH(BI177,$BA$12:$BH$12,0))))))</f>
        <v>0</v>
      </c>
      <c r="BL177" s="389">
        <f t="shared" si="48"/>
        <v>0</v>
      </c>
      <c r="BM177" s="394">
        <f t="shared" si="49"/>
        <v>0</v>
      </c>
      <c r="BN177" s="389">
        <f t="shared" si="50"/>
        <v>0</v>
      </c>
    </row>
    <row r="178" spans="16:66">
      <c r="P178" s="714">
        <v>0</v>
      </c>
      <c r="Q178" s="715">
        <f t="shared" si="34"/>
        <v>0</v>
      </c>
      <c r="R178" s="712">
        <f>IF(P179,_xll.qDateYears(P178,P179,DCCfixed),0)</f>
        <v>0</v>
      </c>
      <c r="S178" s="519">
        <f ca="1"/>
        <v>0</v>
      </c>
      <c r="T178" s="720"/>
      <c r="U178" s="390">
        <f t="shared" si="44"/>
        <v>0</v>
      </c>
      <c r="X178" s="345">
        <v>0</v>
      </c>
      <c r="Y178" s="711">
        <f t="shared" si="35"/>
        <v>0</v>
      </c>
      <c r="Z178" s="712">
        <f>IF(X179,_xll.qDateYears(X178,X179,DCCfloat),0)</f>
        <v>0</v>
      </c>
      <c r="AA178" s="519">
        <f ca="1"/>
        <v>0</v>
      </c>
      <c r="AB178" s="890">
        <f>IF(X178=0,0,         IF(OR(CCY="AUD",CCY="NZD",CCY="GBP"),X178,   _xll.qDateNext(X178,"-2b",,,IF(CCY="EUR","TGT","LON"))))</f>
        <v>0</v>
      </c>
      <c r="AC178" s="879" t="str">
        <v/>
      </c>
      <c r="AD178" s="879" t="str">
        <v/>
      </c>
      <c r="AE178" s="879" t="str">
        <v/>
      </c>
      <c r="AF178" s="879" t="str">
        <v/>
      </c>
      <c r="AG178" s="879" t="str">
        <v/>
      </c>
      <c r="AH178" s="879" t="str">
        <v/>
      </c>
      <c r="AI178" s="879" t="str">
        <v/>
      </c>
      <c r="AJ178" s="879" t="str">
        <v/>
      </c>
      <c r="AK178" s="882">
        <f>IF($X178=0,0,      _xll.qDateNext($X178,AK$12,$AR$11,FRM&lt;&gt;"Calypso",CCY))</f>
        <v>0</v>
      </c>
      <c r="AL178" s="882">
        <f>IF($X178=0,0,      _xll.qDateNext($X178,AL$12,$AR$11,FRM&lt;&gt;"Calypso",CCY))</f>
        <v>0</v>
      </c>
      <c r="AM178" s="882">
        <f>IF($X178=0,0,      _xll.qDateNext($X178,AM$12,$AR$11,FRM&lt;&gt;"Calypso",CCY))</f>
        <v>0</v>
      </c>
      <c r="AN178" s="882">
        <f>IF($X178=0,0,      _xll.qDateNext($X178,AN$12,$AR$11,FRM&lt;&gt;"Calypso",CCY))</f>
        <v>0</v>
      </c>
      <c r="AO178" s="882">
        <f>IF($X178=0,0,      _xll.qDateNext($X178,AO$12,$AR$11,FRM&lt;&gt;"Calypso",CCY))</f>
        <v>0</v>
      </c>
      <c r="AP178" s="882">
        <f>IF($X178=0,0,      _xll.qDateNext($X178,AP$12,$AR$11,FRM&lt;&gt;"Calypso",CCY))</f>
        <v>0</v>
      </c>
      <c r="AQ178" s="882">
        <f>IF($X178=0,0,      _xll.qDateNext($X178,AQ$12,$AR$11,FRM&lt;&gt;"Calypso",CCY))</f>
        <v>0</v>
      </c>
      <c r="AR178" s="882">
        <f>IF($X178=0,0,      _xll.qDateNext($X178,AR$12,$AR$11,FRM&lt;&gt;"Calypso",CCY))</f>
        <v>0</v>
      </c>
      <c r="AS178" s="901">
        <f ca="1"/>
        <v>0</v>
      </c>
      <c r="AT178" s="901">
        <f ca="1"/>
        <v>0</v>
      </c>
      <c r="AU178" s="901">
        <f t="shared" si="45"/>
        <v>0</v>
      </c>
      <c r="AV178" s="901">
        <f ca="1"/>
        <v>0</v>
      </c>
      <c r="AW178" s="901">
        <f t="shared" si="46"/>
        <v>0</v>
      </c>
      <c r="AX178" s="901">
        <f t="shared" si="47"/>
        <v>0</v>
      </c>
      <c r="AY178" s="901">
        <f ca="1"/>
        <v>0</v>
      </c>
      <c r="AZ178" s="901">
        <f ca="1"/>
        <v>0</v>
      </c>
      <c r="BA178" s="905">
        <f t="shared" si="36"/>
        <v>0</v>
      </c>
      <c r="BB178" s="905">
        <f t="shared" si="37"/>
        <v>0</v>
      </c>
      <c r="BC178" s="905">
        <f t="shared" si="38"/>
        <v>0</v>
      </c>
      <c r="BD178" s="905">
        <f t="shared" si="39"/>
        <v>0</v>
      </c>
      <c r="BE178" s="905">
        <f t="shared" si="40"/>
        <v>0</v>
      </c>
      <c r="BF178" s="905">
        <f t="shared" si="41"/>
        <v>0</v>
      </c>
      <c r="BG178" s="905">
        <f t="shared" si="42"/>
        <v>0</v>
      </c>
      <c r="BH178" s="905">
        <f t="shared" si="43"/>
        <v>0</v>
      </c>
      <c r="BI178" s="713">
        <v>0</v>
      </c>
      <c r="BJ178" s="695"/>
      <c r="BK178" s="752">
        <f>IF(X179=0,0,           IF(ISNUMBER(BJ178),BJ178,               IF(ISTEXT(BJ178),INDEX(BA178:BH178,MATCH(BJ178,$BA$12:$BH$12,0)),             IF(BI178="INT",_xll.qInterp(X179,AK178:AR178,BA178:BH178),            INDEX(BA178:BH178,MATCH(BI178,$BA$12:$BH$12,0))))))</f>
        <v>0</v>
      </c>
      <c r="BL178" s="389">
        <f t="shared" si="48"/>
        <v>0</v>
      </c>
      <c r="BM178" s="394">
        <f t="shared" si="49"/>
        <v>0</v>
      </c>
      <c r="BN178" s="389">
        <f t="shared" si="50"/>
        <v>0</v>
      </c>
    </row>
    <row r="179" spans="16:66">
      <c r="P179" s="714">
        <v>0</v>
      </c>
      <c r="Q179" s="715">
        <f t="shared" si="34"/>
        <v>0</v>
      </c>
      <c r="R179" s="712">
        <f>IF(P180,_xll.qDateYears(P179,P180,DCCfixed),0)</f>
        <v>0</v>
      </c>
      <c r="S179" s="519">
        <f ca="1"/>
        <v>0</v>
      </c>
      <c r="T179" s="720"/>
      <c r="U179" s="390">
        <f t="shared" si="44"/>
        <v>0</v>
      </c>
      <c r="X179" s="345">
        <v>0</v>
      </c>
      <c r="Y179" s="711">
        <f t="shared" si="35"/>
        <v>0</v>
      </c>
      <c r="Z179" s="712">
        <f>IF(X180,_xll.qDateYears(X179,X180,DCCfloat),0)</f>
        <v>0</v>
      </c>
      <c r="AA179" s="519">
        <f ca="1"/>
        <v>0</v>
      </c>
      <c r="AB179" s="890">
        <f>IF(X179=0,0,         IF(OR(CCY="AUD",CCY="NZD",CCY="GBP"),X179,   _xll.qDateNext(X179,"-2b",,,IF(CCY="EUR","TGT","LON"))))</f>
        <v>0</v>
      </c>
      <c r="AC179" s="879" t="str">
        <v/>
      </c>
      <c r="AD179" s="879" t="str">
        <v/>
      </c>
      <c r="AE179" s="879" t="str">
        <v/>
      </c>
      <c r="AF179" s="879" t="str">
        <v/>
      </c>
      <c r="AG179" s="879" t="str">
        <v/>
      </c>
      <c r="AH179" s="879" t="str">
        <v/>
      </c>
      <c r="AI179" s="879" t="str">
        <v/>
      </c>
      <c r="AJ179" s="879" t="str">
        <v/>
      </c>
      <c r="AK179" s="882">
        <f>IF($X179=0,0,      _xll.qDateNext($X179,AK$12,$AR$11,FRM&lt;&gt;"Calypso",CCY))</f>
        <v>0</v>
      </c>
      <c r="AL179" s="882">
        <f>IF($X179=0,0,      _xll.qDateNext($X179,AL$12,$AR$11,FRM&lt;&gt;"Calypso",CCY))</f>
        <v>0</v>
      </c>
      <c r="AM179" s="882">
        <f>IF($X179=0,0,      _xll.qDateNext($X179,AM$12,$AR$11,FRM&lt;&gt;"Calypso",CCY))</f>
        <v>0</v>
      </c>
      <c r="AN179" s="882">
        <f>IF($X179=0,0,      _xll.qDateNext($X179,AN$12,$AR$11,FRM&lt;&gt;"Calypso",CCY))</f>
        <v>0</v>
      </c>
      <c r="AO179" s="882">
        <f>IF($X179=0,0,      _xll.qDateNext($X179,AO$12,$AR$11,FRM&lt;&gt;"Calypso",CCY))</f>
        <v>0</v>
      </c>
      <c r="AP179" s="882">
        <f>IF($X179=0,0,      _xll.qDateNext($X179,AP$12,$AR$11,FRM&lt;&gt;"Calypso",CCY))</f>
        <v>0</v>
      </c>
      <c r="AQ179" s="882">
        <f>IF($X179=0,0,      _xll.qDateNext($X179,AQ$12,$AR$11,FRM&lt;&gt;"Calypso",CCY))</f>
        <v>0</v>
      </c>
      <c r="AR179" s="882">
        <f>IF($X179=0,0,      _xll.qDateNext($X179,AR$12,$AR$11,FRM&lt;&gt;"Calypso",CCY))</f>
        <v>0</v>
      </c>
      <c r="AS179" s="901">
        <f ca="1"/>
        <v>0</v>
      </c>
      <c r="AT179" s="901">
        <f ca="1"/>
        <v>0</v>
      </c>
      <c r="AU179" s="901">
        <f t="shared" si="45"/>
        <v>0</v>
      </c>
      <c r="AV179" s="901">
        <f ca="1"/>
        <v>0</v>
      </c>
      <c r="AW179" s="901">
        <f t="shared" si="46"/>
        <v>0</v>
      </c>
      <c r="AX179" s="901">
        <f t="shared" si="47"/>
        <v>0</v>
      </c>
      <c r="AY179" s="901">
        <f ca="1"/>
        <v>0</v>
      </c>
      <c r="AZ179" s="901">
        <f ca="1"/>
        <v>0</v>
      </c>
      <c r="BA179" s="905">
        <f t="shared" si="36"/>
        <v>0</v>
      </c>
      <c r="BB179" s="905">
        <f t="shared" si="37"/>
        <v>0</v>
      </c>
      <c r="BC179" s="905">
        <f t="shared" si="38"/>
        <v>0</v>
      </c>
      <c r="BD179" s="905">
        <f t="shared" si="39"/>
        <v>0</v>
      </c>
      <c r="BE179" s="905">
        <f t="shared" si="40"/>
        <v>0</v>
      </c>
      <c r="BF179" s="905">
        <f t="shared" si="41"/>
        <v>0</v>
      </c>
      <c r="BG179" s="905">
        <f t="shared" si="42"/>
        <v>0</v>
      </c>
      <c r="BH179" s="905">
        <f t="shared" si="43"/>
        <v>0</v>
      </c>
      <c r="BI179" s="713">
        <v>0</v>
      </c>
      <c r="BJ179" s="695"/>
      <c r="BK179" s="752">
        <f>IF(X180=0,0,           IF(ISNUMBER(BJ179),BJ179,               IF(ISTEXT(BJ179),INDEX(BA179:BH179,MATCH(BJ179,$BA$12:$BH$12,0)),             IF(BI179="INT",_xll.qInterp(X180,AK179:AR179,BA179:BH179),            INDEX(BA179:BH179,MATCH(BI179,$BA$12:$BH$12,0))))))</f>
        <v>0</v>
      </c>
      <c r="BL179" s="389">
        <f t="shared" si="48"/>
        <v>0</v>
      </c>
      <c r="BM179" s="394">
        <f t="shared" si="49"/>
        <v>0</v>
      </c>
      <c r="BN179" s="389">
        <f t="shared" si="50"/>
        <v>0</v>
      </c>
    </row>
    <row r="180" spans="16:66">
      <c r="P180" s="714">
        <v>0</v>
      </c>
      <c r="Q180" s="715">
        <f t="shared" si="34"/>
        <v>0</v>
      </c>
      <c r="R180" s="712">
        <f>IF(P181,_xll.qDateYears(P180,P181,DCCfixed),0)</f>
        <v>0</v>
      </c>
      <c r="S180" s="519">
        <f ca="1"/>
        <v>0</v>
      </c>
      <c r="T180" s="720"/>
      <c r="U180" s="390">
        <f t="shared" si="44"/>
        <v>0</v>
      </c>
      <c r="X180" s="345">
        <v>0</v>
      </c>
      <c r="Y180" s="711">
        <f t="shared" si="35"/>
        <v>0</v>
      </c>
      <c r="Z180" s="712">
        <f>IF(X181,_xll.qDateYears(X180,X181,DCCfloat),0)</f>
        <v>0</v>
      </c>
      <c r="AA180" s="519">
        <f ca="1"/>
        <v>0</v>
      </c>
      <c r="AB180" s="890">
        <f>IF(X180=0,0,         IF(OR(CCY="AUD",CCY="NZD",CCY="GBP"),X180,   _xll.qDateNext(X180,"-2b",,,IF(CCY="EUR","TGT","LON"))))</f>
        <v>0</v>
      </c>
      <c r="AC180" s="879" t="str">
        <v/>
      </c>
      <c r="AD180" s="879" t="str">
        <v/>
      </c>
      <c r="AE180" s="879" t="str">
        <v/>
      </c>
      <c r="AF180" s="879" t="str">
        <v/>
      </c>
      <c r="AG180" s="879" t="str">
        <v/>
      </c>
      <c r="AH180" s="879" t="str">
        <v/>
      </c>
      <c r="AI180" s="879" t="str">
        <v/>
      </c>
      <c r="AJ180" s="879" t="str">
        <v/>
      </c>
      <c r="AK180" s="882">
        <f>IF($X180=0,0,      _xll.qDateNext($X180,AK$12,$AR$11,FRM&lt;&gt;"Calypso",CCY))</f>
        <v>0</v>
      </c>
      <c r="AL180" s="882">
        <f>IF($X180=0,0,      _xll.qDateNext($X180,AL$12,$AR$11,FRM&lt;&gt;"Calypso",CCY))</f>
        <v>0</v>
      </c>
      <c r="AM180" s="882">
        <f>IF($X180=0,0,      _xll.qDateNext($X180,AM$12,$AR$11,FRM&lt;&gt;"Calypso",CCY))</f>
        <v>0</v>
      </c>
      <c r="AN180" s="882">
        <f>IF($X180=0,0,      _xll.qDateNext($X180,AN$12,$AR$11,FRM&lt;&gt;"Calypso",CCY))</f>
        <v>0</v>
      </c>
      <c r="AO180" s="882">
        <f>IF($X180=0,0,      _xll.qDateNext($X180,AO$12,$AR$11,FRM&lt;&gt;"Calypso",CCY))</f>
        <v>0</v>
      </c>
      <c r="AP180" s="882">
        <f>IF($X180=0,0,      _xll.qDateNext($X180,AP$12,$AR$11,FRM&lt;&gt;"Calypso",CCY))</f>
        <v>0</v>
      </c>
      <c r="AQ180" s="882">
        <f>IF($X180=0,0,      _xll.qDateNext($X180,AQ$12,$AR$11,FRM&lt;&gt;"Calypso",CCY))</f>
        <v>0</v>
      </c>
      <c r="AR180" s="882">
        <f>IF($X180=0,0,      _xll.qDateNext($X180,AR$12,$AR$11,FRM&lt;&gt;"Calypso",CCY))</f>
        <v>0</v>
      </c>
      <c r="AS180" s="901">
        <f ca="1"/>
        <v>0</v>
      </c>
      <c r="AT180" s="901">
        <f ca="1"/>
        <v>0</v>
      </c>
      <c r="AU180" s="901">
        <f t="shared" si="45"/>
        <v>0</v>
      </c>
      <c r="AV180" s="901">
        <f ca="1"/>
        <v>0</v>
      </c>
      <c r="AW180" s="901">
        <f t="shared" si="46"/>
        <v>0</v>
      </c>
      <c r="AX180" s="901">
        <f t="shared" si="47"/>
        <v>0</v>
      </c>
      <c r="AY180" s="901">
        <f ca="1"/>
        <v>0</v>
      </c>
      <c r="AZ180" s="901">
        <f ca="1"/>
        <v>0</v>
      </c>
      <c r="BA180" s="905">
        <f t="shared" si="36"/>
        <v>0</v>
      </c>
      <c r="BB180" s="905">
        <f t="shared" si="37"/>
        <v>0</v>
      </c>
      <c r="BC180" s="905">
        <f t="shared" si="38"/>
        <v>0</v>
      </c>
      <c r="BD180" s="905">
        <f t="shared" si="39"/>
        <v>0</v>
      </c>
      <c r="BE180" s="905">
        <f t="shared" si="40"/>
        <v>0</v>
      </c>
      <c r="BF180" s="905">
        <f t="shared" si="41"/>
        <v>0</v>
      </c>
      <c r="BG180" s="905">
        <f t="shared" si="42"/>
        <v>0</v>
      </c>
      <c r="BH180" s="905">
        <f t="shared" si="43"/>
        <v>0</v>
      </c>
      <c r="BI180" s="713">
        <v>0</v>
      </c>
      <c r="BJ180" s="695"/>
      <c r="BK180" s="752">
        <f>IF(X181=0,0,           IF(ISNUMBER(BJ180),BJ180,               IF(ISTEXT(BJ180),INDEX(BA180:BH180,MATCH(BJ180,$BA$12:$BH$12,0)),             IF(BI180="INT",_xll.qInterp(X181,AK180:AR180,BA180:BH180),            INDEX(BA180:BH180,MATCH(BI180,$BA$12:$BH$12,0))))))</f>
        <v>0</v>
      </c>
      <c r="BL180" s="389">
        <f t="shared" si="48"/>
        <v>0</v>
      </c>
      <c r="BM180" s="394">
        <f t="shared" si="49"/>
        <v>0</v>
      </c>
      <c r="BN180" s="389">
        <f t="shared" si="50"/>
        <v>0</v>
      </c>
    </row>
    <row r="181" spans="16:66">
      <c r="P181" s="714">
        <v>0</v>
      </c>
      <c r="Q181" s="715">
        <f t="shared" si="34"/>
        <v>0</v>
      </c>
      <c r="R181" s="712">
        <f>IF(P182,_xll.qDateYears(P181,P182,DCCfixed),0)</f>
        <v>0</v>
      </c>
      <c r="S181" s="519">
        <f ca="1"/>
        <v>0</v>
      </c>
      <c r="T181" s="720"/>
      <c r="U181" s="390">
        <f t="shared" si="44"/>
        <v>0</v>
      </c>
      <c r="X181" s="345">
        <v>0</v>
      </c>
      <c r="Y181" s="711">
        <f t="shared" si="35"/>
        <v>0</v>
      </c>
      <c r="Z181" s="712">
        <f>IF(X182,_xll.qDateYears(X181,X182,DCCfloat),0)</f>
        <v>0</v>
      </c>
      <c r="AA181" s="519">
        <f ca="1"/>
        <v>0</v>
      </c>
      <c r="AB181" s="890">
        <f>IF(X181=0,0,         IF(OR(CCY="AUD",CCY="NZD",CCY="GBP"),X181,   _xll.qDateNext(X181,"-2b",,,IF(CCY="EUR","TGT","LON"))))</f>
        <v>0</v>
      </c>
      <c r="AC181" s="879" t="str">
        <v/>
      </c>
      <c r="AD181" s="879" t="str">
        <v/>
      </c>
      <c r="AE181" s="879" t="str">
        <v/>
      </c>
      <c r="AF181" s="879" t="str">
        <v/>
      </c>
      <c r="AG181" s="879" t="str">
        <v/>
      </c>
      <c r="AH181" s="879" t="str">
        <v/>
      </c>
      <c r="AI181" s="879" t="str">
        <v/>
      </c>
      <c r="AJ181" s="879" t="str">
        <v/>
      </c>
      <c r="AK181" s="882">
        <f>IF($X181=0,0,      _xll.qDateNext($X181,AK$12,$AR$11,FRM&lt;&gt;"Calypso",CCY))</f>
        <v>0</v>
      </c>
      <c r="AL181" s="882">
        <f>IF($X181=0,0,      _xll.qDateNext($X181,AL$12,$AR$11,FRM&lt;&gt;"Calypso",CCY))</f>
        <v>0</v>
      </c>
      <c r="AM181" s="882">
        <f>IF($X181=0,0,      _xll.qDateNext($X181,AM$12,$AR$11,FRM&lt;&gt;"Calypso",CCY))</f>
        <v>0</v>
      </c>
      <c r="AN181" s="882">
        <f>IF($X181=0,0,      _xll.qDateNext($X181,AN$12,$AR$11,FRM&lt;&gt;"Calypso",CCY))</f>
        <v>0</v>
      </c>
      <c r="AO181" s="882">
        <f>IF($X181=0,0,      _xll.qDateNext($X181,AO$12,$AR$11,FRM&lt;&gt;"Calypso",CCY))</f>
        <v>0</v>
      </c>
      <c r="AP181" s="882">
        <f>IF($X181=0,0,      _xll.qDateNext($X181,AP$12,$AR$11,FRM&lt;&gt;"Calypso",CCY))</f>
        <v>0</v>
      </c>
      <c r="AQ181" s="882">
        <f>IF($X181=0,0,      _xll.qDateNext($X181,AQ$12,$AR$11,FRM&lt;&gt;"Calypso",CCY))</f>
        <v>0</v>
      </c>
      <c r="AR181" s="882">
        <f>IF($X181=0,0,      _xll.qDateNext($X181,AR$12,$AR$11,FRM&lt;&gt;"Calypso",CCY))</f>
        <v>0</v>
      </c>
      <c r="AS181" s="901">
        <f ca="1"/>
        <v>0</v>
      </c>
      <c r="AT181" s="901">
        <f ca="1"/>
        <v>0</v>
      </c>
      <c r="AU181" s="901">
        <f t="shared" si="45"/>
        <v>0</v>
      </c>
      <c r="AV181" s="901">
        <f ca="1"/>
        <v>0</v>
      </c>
      <c r="AW181" s="901">
        <f t="shared" si="46"/>
        <v>0</v>
      </c>
      <c r="AX181" s="901">
        <f t="shared" si="47"/>
        <v>0</v>
      </c>
      <c r="AY181" s="901">
        <f ca="1"/>
        <v>0</v>
      </c>
      <c r="AZ181" s="901">
        <f ca="1"/>
        <v>0</v>
      </c>
      <c r="BA181" s="905">
        <f t="shared" si="36"/>
        <v>0</v>
      </c>
      <c r="BB181" s="905">
        <f t="shared" si="37"/>
        <v>0</v>
      </c>
      <c r="BC181" s="905">
        <f t="shared" si="38"/>
        <v>0</v>
      </c>
      <c r="BD181" s="905">
        <f t="shared" si="39"/>
        <v>0</v>
      </c>
      <c r="BE181" s="905">
        <f t="shared" si="40"/>
        <v>0</v>
      </c>
      <c r="BF181" s="905">
        <f t="shared" si="41"/>
        <v>0</v>
      </c>
      <c r="BG181" s="905">
        <f t="shared" si="42"/>
        <v>0</v>
      </c>
      <c r="BH181" s="905">
        <f t="shared" si="43"/>
        <v>0</v>
      </c>
      <c r="BI181" s="713">
        <v>0</v>
      </c>
      <c r="BJ181" s="695"/>
      <c r="BK181" s="752">
        <f>IF(X182=0,0,           IF(ISNUMBER(BJ181),BJ181,               IF(ISTEXT(BJ181),INDEX(BA181:BH181,MATCH(BJ181,$BA$12:$BH$12,0)),             IF(BI181="INT",_xll.qInterp(X182,AK181:AR181,BA181:BH181),            INDEX(BA181:BH181,MATCH(BI181,$BA$12:$BH$12,0))))))</f>
        <v>0</v>
      </c>
      <c r="BL181" s="389">
        <f t="shared" si="48"/>
        <v>0</v>
      </c>
      <c r="BM181" s="394">
        <f t="shared" si="49"/>
        <v>0</v>
      </c>
      <c r="BN181" s="389">
        <f t="shared" si="50"/>
        <v>0</v>
      </c>
    </row>
    <row r="182" spans="16:66">
      <c r="P182" s="714">
        <v>0</v>
      </c>
      <c r="Q182" s="715">
        <f t="shared" si="34"/>
        <v>0</v>
      </c>
      <c r="R182" s="712">
        <f>IF(P183,_xll.qDateYears(P182,P183,DCCfixed),0)</f>
        <v>0</v>
      </c>
      <c r="S182" s="519">
        <f ca="1"/>
        <v>0</v>
      </c>
      <c r="T182" s="720"/>
      <c r="U182" s="390">
        <f t="shared" si="44"/>
        <v>0</v>
      </c>
      <c r="X182" s="345">
        <v>0</v>
      </c>
      <c r="Y182" s="711">
        <f t="shared" si="35"/>
        <v>0</v>
      </c>
      <c r="Z182" s="712">
        <f>IF(X183,_xll.qDateYears(X182,X183,DCCfloat),0)</f>
        <v>0</v>
      </c>
      <c r="AA182" s="519">
        <f ca="1"/>
        <v>0</v>
      </c>
      <c r="AB182" s="890">
        <f>IF(X182=0,0,         IF(OR(CCY="AUD",CCY="NZD",CCY="GBP"),X182,   _xll.qDateNext(X182,"-2b",,,IF(CCY="EUR","TGT","LON"))))</f>
        <v>0</v>
      </c>
      <c r="AC182" s="879" t="str">
        <v/>
      </c>
      <c r="AD182" s="879" t="str">
        <v/>
      </c>
      <c r="AE182" s="879" t="str">
        <v/>
      </c>
      <c r="AF182" s="879" t="str">
        <v/>
      </c>
      <c r="AG182" s="879" t="str">
        <v/>
      </c>
      <c r="AH182" s="879" t="str">
        <v/>
      </c>
      <c r="AI182" s="879" t="str">
        <v/>
      </c>
      <c r="AJ182" s="879" t="str">
        <v/>
      </c>
      <c r="AK182" s="882">
        <f>IF($X182=0,0,      _xll.qDateNext($X182,AK$12,$AR$11,FRM&lt;&gt;"Calypso",CCY))</f>
        <v>0</v>
      </c>
      <c r="AL182" s="882">
        <f>IF($X182=0,0,      _xll.qDateNext($X182,AL$12,$AR$11,FRM&lt;&gt;"Calypso",CCY))</f>
        <v>0</v>
      </c>
      <c r="AM182" s="882">
        <f>IF($X182=0,0,      _xll.qDateNext($X182,AM$12,$AR$11,FRM&lt;&gt;"Calypso",CCY))</f>
        <v>0</v>
      </c>
      <c r="AN182" s="882">
        <f>IF($X182=0,0,      _xll.qDateNext($X182,AN$12,$AR$11,FRM&lt;&gt;"Calypso",CCY))</f>
        <v>0</v>
      </c>
      <c r="AO182" s="882">
        <f>IF($X182=0,0,      _xll.qDateNext($X182,AO$12,$AR$11,FRM&lt;&gt;"Calypso",CCY))</f>
        <v>0</v>
      </c>
      <c r="AP182" s="882">
        <f>IF($X182=0,0,      _xll.qDateNext($X182,AP$12,$AR$11,FRM&lt;&gt;"Calypso",CCY))</f>
        <v>0</v>
      </c>
      <c r="AQ182" s="882">
        <f>IF($X182=0,0,      _xll.qDateNext($X182,AQ$12,$AR$11,FRM&lt;&gt;"Calypso",CCY))</f>
        <v>0</v>
      </c>
      <c r="AR182" s="882">
        <f>IF($X182=0,0,      _xll.qDateNext($X182,AR$12,$AR$11,FRM&lt;&gt;"Calypso",CCY))</f>
        <v>0</v>
      </c>
      <c r="AS182" s="901">
        <f ca="1"/>
        <v>0</v>
      </c>
      <c r="AT182" s="901">
        <f ca="1"/>
        <v>0</v>
      </c>
      <c r="AU182" s="901">
        <f t="shared" si="45"/>
        <v>0</v>
      </c>
      <c r="AV182" s="901">
        <f ca="1"/>
        <v>0</v>
      </c>
      <c r="AW182" s="901">
        <f t="shared" si="46"/>
        <v>0</v>
      </c>
      <c r="AX182" s="901">
        <f t="shared" si="47"/>
        <v>0</v>
      </c>
      <c r="AY182" s="901">
        <f ca="1"/>
        <v>0</v>
      </c>
      <c r="AZ182" s="901">
        <f ca="1"/>
        <v>0</v>
      </c>
      <c r="BA182" s="905">
        <f t="shared" si="36"/>
        <v>0</v>
      </c>
      <c r="BB182" s="905">
        <f t="shared" si="37"/>
        <v>0</v>
      </c>
      <c r="BC182" s="905">
        <f t="shared" si="38"/>
        <v>0</v>
      </c>
      <c r="BD182" s="905">
        <f t="shared" si="39"/>
        <v>0</v>
      </c>
      <c r="BE182" s="905">
        <f t="shared" si="40"/>
        <v>0</v>
      </c>
      <c r="BF182" s="905">
        <f t="shared" si="41"/>
        <v>0</v>
      </c>
      <c r="BG182" s="905">
        <f t="shared" si="42"/>
        <v>0</v>
      </c>
      <c r="BH182" s="905">
        <f t="shared" si="43"/>
        <v>0</v>
      </c>
      <c r="BI182" s="713">
        <v>0</v>
      </c>
      <c r="BJ182" s="695"/>
      <c r="BK182" s="752">
        <f>IF(X183=0,0,           IF(ISNUMBER(BJ182),BJ182,               IF(ISTEXT(BJ182),INDEX(BA182:BH182,MATCH(BJ182,$BA$12:$BH$12,0)),             IF(BI182="INT",_xll.qInterp(X183,AK182:AR182,BA182:BH182),            INDEX(BA182:BH182,MATCH(BI182,$BA$12:$BH$12,0))))))</f>
        <v>0</v>
      </c>
      <c r="BL182" s="389">
        <f t="shared" si="48"/>
        <v>0</v>
      </c>
      <c r="BM182" s="394">
        <f t="shared" si="49"/>
        <v>0</v>
      </c>
      <c r="BN182" s="389">
        <f t="shared" si="50"/>
        <v>0</v>
      </c>
    </row>
    <row r="183" spans="16:66">
      <c r="P183" s="714">
        <v>0</v>
      </c>
      <c r="Q183" s="715">
        <f t="shared" si="34"/>
        <v>0</v>
      </c>
      <c r="R183" s="712">
        <f>IF(P184,_xll.qDateYears(P183,P184,DCCfixed),0)</f>
        <v>0</v>
      </c>
      <c r="S183" s="519">
        <f ca="1"/>
        <v>0</v>
      </c>
      <c r="T183" s="720"/>
      <c r="U183" s="390">
        <f t="shared" si="44"/>
        <v>0</v>
      </c>
      <c r="X183" s="345">
        <v>0</v>
      </c>
      <c r="Y183" s="711">
        <f t="shared" si="35"/>
        <v>0</v>
      </c>
      <c r="Z183" s="712">
        <f>IF(X184,_xll.qDateYears(X183,X184,DCCfloat),0)</f>
        <v>0</v>
      </c>
      <c r="AA183" s="519">
        <f ca="1"/>
        <v>0</v>
      </c>
      <c r="AB183" s="890">
        <f>IF(X183=0,0,         IF(OR(CCY="AUD",CCY="NZD",CCY="GBP"),X183,   _xll.qDateNext(X183,"-2b",,,IF(CCY="EUR","TGT","LON"))))</f>
        <v>0</v>
      </c>
      <c r="AC183" s="879" t="str">
        <v/>
      </c>
      <c r="AD183" s="879" t="str">
        <v/>
      </c>
      <c r="AE183" s="879" t="str">
        <v/>
      </c>
      <c r="AF183" s="879" t="str">
        <v/>
      </c>
      <c r="AG183" s="879" t="str">
        <v/>
      </c>
      <c r="AH183" s="879" t="str">
        <v/>
      </c>
      <c r="AI183" s="879" t="str">
        <v/>
      </c>
      <c r="AJ183" s="879" t="str">
        <v/>
      </c>
      <c r="AK183" s="882">
        <f>IF($X183=0,0,      _xll.qDateNext($X183,AK$12,$AR$11,FRM&lt;&gt;"Calypso",CCY))</f>
        <v>0</v>
      </c>
      <c r="AL183" s="882">
        <f>IF($X183=0,0,      _xll.qDateNext($X183,AL$12,$AR$11,FRM&lt;&gt;"Calypso",CCY))</f>
        <v>0</v>
      </c>
      <c r="AM183" s="882">
        <f>IF($X183=0,0,      _xll.qDateNext($X183,AM$12,$AR$11,FRM&lt;&gt;"Calypso",CCY))</f>
        <v>0</v>
      </c>
      <c r="AN183" s="882">
        <f>IF($X183=0,0,      _xll.qDateNext($X183,AN$12,$AR$11,FRM&lt;&gt;"Calypso",CCY))</f>
        <v>0</v>
      </c>
      <c r="AO183" s="882">
        <f>IF($X183=0,0,      _xll.qDateNext($X183,AO$12,$AR$11,FRM&lt;&gt;"Calypso",CCY))</f>
        <v>0</v>
      </c>
      <c r="AP183" s="882">
        <f>IF($X183=0,0,      _xll.qDateNext($X183,AP$12,$AR$11,FRM&lt;&gt;"Calypso",CCY))</f>
        <v>0</v>
      </c>
      <c r="AQ183" s="882">
        <f>IF($X183=0,0,      _xll.qDateNext($X183,AQ$12,$AR$11,FRM&lt;&gt;"Calypso",CCY))</f>
        <v>0</v>
      </c>
      <c r="AR183" s="882">
        <f>IF($X183=0,0,      _xll.qDateNext($X183,AR$12,$AR$11,FRM&lt;&gt;"Calypso",CCY))</f>
        <v>0</v>
      </c>
      <c r="AS183" s="901">
        <f ca="1"/>
        <v>0</v>
      </c>
      <c r="AT183" s="901">
        <f ca="1"/>
        <v>0</v>
      </c>
      <c r="AU183" s="901">
        <f t="shared" si="45"/>
        <v>0</v>
      </c>
      <c r="AV183" s="901">
        <f ca="1"/>
        <v>0</v>
      </c>
      <c r="AW183" s="901">
        <f t="shared" si="46"/>
        <v>0</v>
      </c>
      <c r="AX183" s="901">
        <f t="shared" si="47"/>
        <v>0</v>
      </c>
      <c r="AY183" s="901">
        <f ca="1"/>
        <v>0</v>
      </c>
      <c r="AZ183" s="901">
        <f ca="1"/>
        <v>0</v>
      </c>
      <c r="BA183" s="905">
        <f t="shared" si="36"/>
        <v>0</v>
      </c>
      <c r="BB183" s="905">
        <f t="shared" si="37"/>
        <v>0</v>
      </c>
      <c r="BC183" s="905">
        <f t="shared" si="38"/>
        <v>0</v>
      </c>
      <c r="BD183" s="905">
        <f t="shared" si="39"/>
        <v>0</v>
      </c>
      <c r="BE183" s="905">
        <f t="shared" si="40"/>
        <v>0</v>
      </c>
      <c r="BF183" s="905">
        <f t="shared" si="41"/>
        <v>0</v>
      </c>
      <c r="BG183" s="905">
        <f t="shared" si="42"/>
        <v>0</v>
      </c>
      <c r="BH183" s="905">
        <f t="shared" si="43"/>
        <v>0</v>
      </c>
      <c r="BI183" s="713">
        <v>0</v>
      </c>
      <c r="BJ183" s="695"/>
      <c r="BK183" s="752">
        <f>IF(X184=0,0,           IF(ISNUMBER(BJ183),BJ183,               IF(ISTEXT(BJ183),INDEX(BA183:BH183,MATCH(BJ183,$BA$12:$BH$12,0)),             IF(BI183="INT",_xll.qInterp(X184,AK183:AR183,BA183:BH183),            INDEX(BA183:BH183,MATCH(BI183,$BA$12:$BH$12,0))))))</f>
        <v>0</v>
      </c>
      <c r="BL183" s="389">
        <f t="shared" si="48"/>
        <v>0</v>
      </c>
      <c r="BM183" s="394">
        <f t="shared" si="49"/>
        <v>0</v>
      </c>
      <c r="BN183" s="389">
        <f t="shared" si="50"/>
        <v>0</v>
      </c>
    </row>
    <row r="184" spans="16:66">
      <c r="P184" s="714">
        <v>0</v>
      </c>
      <c r="Q184" s="715">
        <f t="shared" si="34"/>
        <v>0</v>
      </c>
      <c r="R184" s="712">
        <f>IF(P185,_xll.qDateYears(P184,P185,DCCfixed),0)</f>
        <v>0</v>
      </c>
      <c r="S184" s="519">
        <f ca="1"/>
        <v>0</v>
      </c>
      <c r="T184" s="720"/>
      <c r="U184" s="390">
        <f t="shared" si="44"/>
        <v>0</v>
      </c>
      <c r="X184" s="345">
        <v>0</v>
      </c>
      <c r="Y184" s="711">
        <f t="shared" si="35"/>
        <v>0</v>
      </c>
      <c r="Z184" s="712">
        <f>IF(X185,_xll.qDateYears(X184,X185,DCCfloat),0)</f>
        <v>0</v>
      </c>
      <c r="AA184" s="519">
        <f ca="1"/>
        <v>0</v>
      </c>
      <c r="AB184" s="890">
        <f>IF(X184=0,0,         IF(OR(CCY="AUD",CCY="NZD",CCY="GBP"),X184,   _xll.qDateNext(X184,"-2b",,,IF(CCY="EUR","TGT","LON"))))</f>
        <v>0</v>
      </c>
      <c r="AC184" s="879" t="str">
        <v/>
      </c>
      <c r="AD184" s="879" t="str">
        <v/>
      </c>
      <c r="AE184" s="879" t="str">
        <v/>
      </c>
      <c r="AF184" s="879" t="str">
        <v/>
      </c>
      <c r="AG184" s="879" t="str">
        <v/>
      </c>
      <c r="AH184" s="879" t="str">
        <v/>
      </c>
      <c r="AI184" s="879" t="str">
        <v/>
      </c>
      <c r="AJ184" s="879" t="str">
        <v/>
      </c>
      <c r="AK184" s="882">
        <f>IF($X184=0,0,      _xll.qDateNext($X184,AK$12,$AR$11,FRM&lt;&gt;"Calypso",CCY))</f>
        <v>0</v>
      </c>
      <c r="AL184" s="882">
        <f>IF($X184=0,0,      _xll.qDateNext($X184,AL$12,$AR$11,FRM&lt;&gt;"Calypso",CCY))</f>
        <v>0</v>
      </c>
      <c r="AM184" s="882">
        <f>IF($X184=0,0,      _xll.qDateNext($X184,AM$12,$AR$11,FRM&lt;&gt;"Calypso",CCY))</f>
        <v>0</v>
      </c>
      <c r="AN184" s="882">
        <f>IF($X184=0,0,      _xll.qDateNext($X184,AN$12,$AR$11,FRM&lt;&gt;"Calypso",CCY))</f>
        <v>0</v>
      </c>
      <c r="AO184" s="882">
        <f>IF($X184=0,0,      _xll.qDateNext($X184,AO$12,$AR$11,FRM&lt;&gt;"Calypso",CCY))</f>
        <v>0</v>
      </c>
      <c r="AP184" s="882">
        <f>IF($X184=0,0,      _xll.qDateNext($X184,AP$12,$AR$11,FRM&lt;&gt;"Calypso",CCY))</f>
        <v>0</v>
      </c>
      <c r="AQ184" s="882">
        <f>IF($X184=0,0,      _xll.qDateNext($X184,AQ$12,$AR$11,FRM&lt;&gt;"Calypso",CCY))</f>
        <v>0</v>
      </c>
      <c r="AR184" s="882">
        <f>IF($X184=0,0,      _xll.qDateNext($X184,AR$12,$AR$11,FRM&lt;&gt;"Calypso",CCY))</f>
        <v>0</v>
      </c>
      <c r="AS184" s="901">
        <f ca="1"/>
        <v>0</v>
      </c>
      <c r="AT184" s="901">
        <f ca="1"/>
        <v>0</v>
      </c>
      <c r="AU184" s="901">
        <f t="shared" si="45"/>
        <v>0</v>
      </c>
      <c r="AV184" s="901">
        <f ca="1"/>
        <v>0</v>
      </c>
      <c r="AW184" s="901">
        <f t="shared" si="46"/>
        <v>0</v>
      </c>
      <c r="AX184" s="901">
        <f t="shared" si="47"/>
        <v>0</v>
      </c>
      <c r="AY184" s="901">
        <f ca="1"/>
        <v>0</v>
      </c>
      <c r="AZ184" s="901">
        <f ca="1"/>
        <v>0</v>
      </c>
      <c r="BA184" s="905">
        <f t="shared" si="36"/>
        <v>0</v>
      </c>
      <c r="BB184" s="905">
        <f t="shared" si="37"/>
        <v>0</v>
      </c>
      <c r="BC184" s="905">
        <f t="shared" si="38"/>
        <v>0</v>
      </c>
      <c r="BD184" s="905">
        <f t="shared" si="39"/>
        <v>0</v>
      </c>
      <c r="BE184" s="905">
        <f t="shared" si="40"/>
        <v>0</v>
      </c>
      <c r="BF184" s="905">
        <f t="shared" si="41"/>
        <v>0</v>
      </c>
      <c r="BG184" s="905">
        <f t="shared" si="42"/>
        <v>0</v>
      </c>
      <c r="BH184" s="905">
        <f t="shared" si="43"/>
        <v>0</v>
      </c>
      <c r="BI184" s="713">
        <v>0</v>
      </c>
      <c r="BJ184" s="695"/>
      <c r="BK184" s="752">
        <f>IF(X185=0,0,           IF(ISNUMBER(BJ184),BJ184,               IF(ISTEXT(BJ184),INDEX(BA184:BH184,MATCH(BJ184,$BA$12:$BH$12,0)),             IF(BI184="INT",_xll.qInterp(X185,AK184:AR184,BA184:BH184),            INDEX(BA184:BH184,MATCH(BI184,$BA$12:$BH$12,0))))))</f>
        <v>0</v>
      </c>
      <c r="BL184" s="389">
        <f t="shared" si="48"/>
        <v>0</v>
      </c>
      <c r="BM184" s="394">
        <f t="shared" si="49"/>
        <v>0</v>
      </c>
      <c r="BN184" s="389">
        <f t="shared" si="50"/>
        <v>0</v>
      </c>
    </row>
    <row r="185" spans="16:66">
      <c r="P185" s="714">
        <v>0</v>
      </c>
      <c r="Q185" s="715">
        <f t="shared" si="34"/>
        <v>0</v>
      </c>
      <c r="R185" s="712">
        <f>IF(P186,_xll.qDateYears(P185,P186,DCCfixed),0)</f>
        <v>0</v>
      </c>
      <c r="S185" s="519">
        <f ca="1"/>
        <v>0</v>
      </c>
      <c r="T185" s="720"/>
      <c r="U185" s="390">
        <f t="shared" si="44"/>
        <v>0</v>
      </c>
      <c r="X185" s="345">
        <v>0</v>
      </c>
      <c r="Y185" s="711">
        <f t="shared" si="35"/>
        <v>0</v>
      </c>
      <c r="Z185" s="712">
        <f>IF(X186,_xll.qDateYears(X185,X186,DCCfloat),0)</f>
        <v>0</v>
      </c>
      <c r="AA185" s="519">
        <f ca="1"/>
        <v>0</v>
      </c>
      <c r="AB185" s="890">
        <f>IF(X185=0,0,         IF(OR(CCY="AUD",CCY="NZD",CCY="GBP"),X185,   _xll.qDateNext(X185,"-2b",,,IF(CCY="EUR","TGT","LON"))))</f>
        <v>0</v>
      </c>
      <c r="AC185" s="879" t="str">
        <v/>
      </c>
      <c r="AD185" s="879" t="str">
        <v/>
      </c>
      <c r="AE185" s="879" t="str">
        <v/>
      </c>
      <c r="AF185" s="879" t="str">
        <v/>
      </c>
      <c r="AG185" s="879" t="str">
        <v/>
      </c>
      <c r="AH185" s="879" t="str">
        <v/>
      </c>
      <c r="AI185" s="879" t="str">
        <v/>
      </c>
      <c r="AJ185" s="879" t="str">
        <v/>
      </c>
      <c r="AK185" s="882">
        <f>IF($X185=0,0,      _xll.qDateNext($X185,AK$12,$AR$11,FRM&lt;&gt;"Calypso",CCY))</f>
        <v>0</v>
      </c>
      <c r="AL185" s="882">
        <f>IF($X185=0,0,      _xll.qDateNext($X185,AL$12,$AR$11,FRM&lt;&gt;"Calypso",CCY))</f>
        <v>0</v>
      </c>
      <c r="AM185" s="882">
        <f>IF($X185=0,0,      _xll.qDateNext($X185,AM$12,$AR$11,FRM&lt;&gt;"Calypso",CCY))</f>
        <v>0</v>
      </c>
      <c r="AN185" s="882">
        <f>IF($X185=0,0,      _xll.qDateNext($X185,AN$12,$AR$11,FRM&lt;&gt;"Calypso",CCY))</f>
        <v>0</v>
      </c>
      <c r="AO185" s="882">
        <f>IF($X185=0,0,      _xll.qDateNext($X185,AO$12,$AR$11,FRM&lt;&gt;"Calypso",CCY))</f>
        <v>0</v>
      </c>
      <c r="AP185" s="882">
        <f>IF($X185=0,0,      _xll.qDateNext($X185,AP$12,$AR$11,FRM&lt;&gt;"Calypso",CCY))</f>
        <v>0</v>
      </c>
      <c r="AQ185" s="882">
        <f>IF($X185=0,0,      _xll.qDateNext($X185,AQ$12,$AR$11,FRM&lt;&gt;"Calypso",CCY))</f>
        <v>0</v>
      </c>
      <c r="AR185" s="882">
        <f>IF($X185=0,0,      _xll.qDateNext($X185,AR$12,$AR$11,FRM&lt;&gt;"Calypso",CCY))</f>
        <v>0</v>
      </c>
      <c r="AS185" s="901">
        <f ca="1"/>
        <v>0</v>
      </c>
      <c r="AT185" s="901">
        <f ca="1"/>
        <v>0</v>
      </c>
      <c r="AU185" s="901">
        <f t="shared" si="45"/>
        <v>0</v>
      </c>
      <c r="AV185" s="901">
        <f ca="1"/>
        <v>0</v>
      </c>
      <c r="AW185" s="901">
        <f t="shared" si="46"/>
        <v>0</v>
      </c>
      <c r="AX185" s="901">
        <f t="shared" si="47"/>
        <v>0</v>
      </c>
      <c r="AY185" s="901">
        <f ca="1"/>
        <v>0</v>
      </c>
      <c r="AZ185" s="901">
        <f ca="1"/>
        <v>0</v>
      </c>
      <c r="BA185" s="905">
        <f t="shared" si="36"/>
        <v>0</v>
      </c>
      <c r="BB185" s="905">
        <f t="shared" si="37"/>
        <v>0</v>
      </c>
      <c r="BC185" s="905">
        <f t="shared" si="38"/>
        <v>0</v>
      </c>
      <c r="BD185" s="905">
        <f t="shared" si="39"/>
        <v>0</v>
      </c>
      <c r="BE185" s="905">
        <f t="shared" si="40"/>
        <v>0</v>
      </c>
      <c r="BF185" s="905">
        <f t="shared" si="41"/>
        <v>0</v>
      </c>
      <c r="BG185" s="905">
        <f t="shared" si="42"/>
        <v>0</v>
      </c>
      <c r="BH185" s="905">
        <f t="shared" si="43"/>
        <v>0</v>
      </c>
      <c r="BI185" s="713">
        <v>0</v>
      </c>
      <c r="BJ185" s="695"/>
      <c r="BK185" s="752">
        <f>IF(X186=0,0,           IF(ISNUMBER(BJ185),BJ185,               IF(ISTEXT(BJ185),INDEX(BA185:BH185,MATCH(BJ185,$BA$12:$BH$12,0)),             IF(BI185="INT",_xll.qInterp(X186,AK185:AR185,BA185:BH185),            INDEX(BA185:BH185,MATCH(BI185,$BA$12:$BH$12,0))))))</f>
        <v>0</v>
      </c>
      <c r="BL185" s="389">
        <f t="shared" si="48"/>
        <v>0</v>
      </c>
      <c r="BM185" s="394">
        <f t="shared" si="49"/>
        <v>0</v>
      </c>
      <c r="BN185" s="389">
        <f t="shared" si="50"/>
        <v>0</v>
      </c>
    </row>
    <row r="186" spans="16:66">
      <c r="P186" s="714">
        <v>0</v>
      </c>
      <c r="Q186" s="715">
        <f t="shared" si="34"/>
        <v>0</v>
      </c>
      <c r="R186" s="712">
        <f>IF(P187,_xll.qDateYears(P186,P187,DCCfixed),0)</f>
        <v>0</v>
      </c>
      <c r="S186" s="519">
        <f ca="1"/>
        <v>0</v>
      </c>
      <c r="T186" s="720"/>
      <c r="U186" s="390">
        <f t="shared" si="44"/>
        <v>0</v>
      </c>
      <c r="X186" s="345">
        <v>0</v>
      </c>
      <c r="Y186" s="711">
        <f t="shared" si="35"/>
        <v>0</v>
      </c>
      <c r="Z186" s="712">
        <f>IF(X187,_xll.qDateYears(X186,X187,DCCfloat),0)</f>
        <v>0</v>
      </c>
      <c r="AA186" s="519">
        <f ca="1"/>
        <v>0</v>
      </c>
      <c r="AB186" s="890">
        <f>IF(X186=0,0,         IF(OR(CCY="AUD",CCY="NZD",CCY="GBP"),X186,   _xll.qDateNext(X186,"-2b",,,IF(CCY="EUR","TGT","LON"))))</f>
        <v>0</v>
      </c>
      <c r="AC186" s="879" t="str">
        <v/>
      </c>
      <c r="AD186" s="879" t="str">
        <v/>
      </c>
      <c r="AE186" s="879" t="str">
        <v/>
      </c>
      <c r="AF186" s="879" t="str">
        <v/>
      </c>
      <c r="AG186" s="879" t="str">
        <v/>
      </c>
      <c r="AH186" s="879" t="str">
        <v/>
      </c>
      <c r="AI186" s="879" t="str">
        <v/>
      </c>
      <c r="AJ186" s="879" t="str">
        <v/>
      </c>
      <c r="AK186" s="882">
        <f>IF($X186=0,0,      _xll.qDateNext($X186,AK$12,$AR$11,FRM&lt;&gt;"Calypso",CCY))</f>
        <v>0</v>
      </c>
      <c r="AL186" s="882">
        <f>IF($X186=0,0,      _xll.qDateNext($X186,AL$12,$AR$11,FRM&lt;&gt;"Calypso",CCY))</f>
        <v>0</v>
      </c>
      <c r="AM186" s="882">
        <f>IF($X186=0,0,      _xll.qDateNext($X186,AM$12,$AR$11,FRM&lt;&gt;"Calypso",CCY))</f>
        <v>0</v>
      </c>
      <c r="AN186" s="882">
        <f>IF($X186=0,0,      _xll.qDateNext($X186,AN$12,$AR$11,FRM&lt;&gt;"Calypso",CCY))</f>
        <v>0</v>
      </c>
      <c r="AO186" s="882">
        <f>IF($X186=0,0,      _xll.qDateNext($X186,AO$12,$AR$11,FRM&lt;&gt;"Calypso",CCY))</f>
        <v>0</v>
      </c>
      <c r="AP186" s="882">
        <f>IF($X186=0,0,      _xll.qDateNext($X186,AP$12,$AR$11,FRM&lt;&gt;"Calypso",CCY))</f>
        <v>0</v>
      </c>
      <c r="AQ186" s="882">
        <f>IF($X186=0,0,      _xll.qDateNext($X186,AQ$12,$AR$11,FRM&lt;&gt;"Calypso",CCY))</f>
        <v>0</v>
      </c>
      <c r="AR186" s="882">
        <f>IF($X186=0,0,      _xll.qDateNext($X186,AR$12,$AR$11,FRM&lt;&gt;"Calypso",CCY))</f>
        <v>0</v>
      </c>
      <c r="AS186" s="901">
        <f ca="1"/>
        <v>0</v>
      </c>
      <c r="AT186" s="901">
        <f ca="1"/>
        <v>0</v>
      </c>
      <c r="AU186" s="901">
        <f t="shared" si="45"/>
        <v>0</v>
      </c>
      <c r="AV186" s="901">
        <f ca="1"/>
        <v>0</v>
      </c>
      <c r="AW186" s="901">
        <f t="shared" si="46"/>
        <v>0</v>
      </c>
      <c r="AX186" s="901">
        <f t="shared" si="47"/>
        <v>0</v>
      </c>
      <c r="AY186" s="901">
        <f ca="1"/>
        <v>0</v>
      </c>
      <c r="AZ186" s="901">
        <f ca="1"/>
        <v>0</v>
      </c>
      <c r="BA186" s="905">
        <f t="shared" si="36"/>
        <v>0</v>
      </c>
      <c r="BB186" s="905">
        <f t="shared" si="37"/>
        <v>0</v>
      </c>
      <c r="BC186" s="905">
        <f t="shared" si="38"/>
        <v>0</v>
      </c>
      <c r="BD186" s="905">
        <f t="shared" si="39"/>
        <v>0</v>
      </c>
      <c r="BE186" s="905">
        <f t="shared" si="40"/>
        <v>0</v>
      </c>
      <c r="BF186" s="905">
        <f t="shared" si="41"/>
        <v>0</v>
      </c>
      <c r="BG186" s="905">
        <f t="shared" si="42"/>
        <v>0</v>
      </c>
      <c r="BH186" s="905">
        <f t="shared" si="43"/>
        <v>0</v>
      </c>
      <c r="BI186" s="713">
        <v>0</v>
      </c>
      <c r="BJ186" s="695"/>
      <c r="BK186" s="752">
        <f>IF(X187=0,0,           IF(ISNUMBER(BJ186),BJ186,               IF(ISTEXT(BJ186),INDEX(BA186:BH186,MATCH(BJ186,$BA$12:$BH$12,0)),             IF(BI186="INT",_xll.qInterp(X187,AK186:AR186,BA186:BH186),            INDEX(BA186:BH186,MATCH(BI186,$BA$12:$BH$12,0))))))</f>
        <v>0</v>
      </c>
      <c r="BL186" s="389">
        <f t="shared" si="48"/>
        <v>0</v>
      </c>
      <c r="BM186" s="394">
        <f t="shared" si="49"/>
        <v>0</v>
      </c>
      <c r="BN186" s="389">
        <f t="shared" si="50"/>
        <v>0</v>
      </c>
    </row>
    <row r="187" spans="16:66">
      <c r="P187" s="714">
        <v>0</v>
      </c>
      <c r="Q187" s="715">
        <f t="shared" si="34"/>
        <v>0</v>
      </c>
      <c r="R187" s="712">
        <f>IF(P188,_xll.qDateYears(P187,P188,DCCfixed),0)</f>
        <v>0</v>
      </c>
      <c r="S187" s="519">
        <f ca="1"/>
        <v>0</v>
      </c>
      <c r="T187" s="720"/>
      <c r="U187" s="390">
        <f t="shared" si="44"/>
        <v>0</v>
      </c>
      <c r="X187" s="345">
        <v>0</v>
      </c>
      <c r="Y187" s="711">
        <f t="shared" si="35"/>
        <v>0</v>
      </c>
      <c r="Z187" s="712">
        <f>IF(X188,_xll.qDateYears(X187,X188,DCCfloat),0)</f>
        <v>0</v>
      </c>
      <c r="AA187" s="519">
        <f ca="1"/>
        <v>0</v>
      </c>
      <c r="AB187" s="890">
        <f>IF(X187=0,0,         IF(OR(CCY="AUD",CCY="NZD",CCY="GBP"),X187,   _xll.qDateNext(X187,"-2b",,,IF(CCY="EUR","TGT","LON"))))</f>
        <v>0</v>
      </c>
      <c r="AC187" s="879" t="str">
        <v/>
      </c>
      <c r="AD187" s="879" t="str">
        <v/>
      </c>
      <c r="AE187" s="879" t="str">
        <v/>
      </c>
      <c r="AF187" s="879" t="str">
        <v/>
      </c>
      <c r="AG187" s="879" t="str">
        <v/>
      </c>
      <c r="AH187" s="879" t="str">
        <v/>
      </c>
      <c r="AI187" s="879" t="str">
        <v/>
      </c>
      <c r="AJ187" s="879" t="str">
        <v/>
      </c>
      <c r="AK187" s="882">
        <f>IF($X187=0,0,      _xll.qDateNext($X187,AK$12,$AR$11,FRM&lt;&gt;"Calypso",CCY))</f>
        <v>0</v>
      </c>
      <c r="AL187" s="882">
        <f>IF($X187=0,0,      _xll.qDateNext($X187,AL$12,$AR$11,FRM&lt;&gt;"Calypso",CCY))</f>
        <v>0</v>
      </c>
      <c r="AM187" s="882">
        <f>IF($X187=0,0,      _xll.qDateNext($X187,AM$12,$AR$11,FRM&lt;&gt;"Calypso",CCY))</f>
        <v>0</v>
      </c>
      <c r="AN187" s="882">
        <f>IF($X187=0,0,      _xll.qDateNext($X187,AN$12,$AR$11,FRM&lt;&gt;"Calypso",CCY))</f>
        <v>0</v>
      </c>
      <c r="AO187" s="882">
        <f>IF($X187=0,0,      _xll.qDateNext($X187,AO$12,$AR$11,FRM&lt;&gt;"Calypso",CCY))</f>
        <v>0</v>
      </c>
      <c r="AP187" s="882">
        <f>IF($X187=0,0,      _xll.qDateNext($X187,AP$12,$AR$11,FRM&lt;&gt;"Calypso",CCY))</f>
        <v>0</v>
      </c>
      <c r="AQ187" s="882">
        <f>IF($X187=0,0,      _xll.qDateNext($X187,AQ$12,$AR$11,FRM&lt;&gt;"Calypso",CCY))</f>
        <v>0</v>
      </c>
      <c r="AR187" s="882">
        <f>IF($X187=0,0,      _xll.qDateNext($X187,AR$12,$AR$11,FRM&lt;&gt;"Calypso",CCY))</f>
        <v>0</v>
      </c>
      <c r="AS187" s="901">
        <f ca="1"/>
        <v>0</v>
      </c>
      <c r="AT187" s="901">
        <f ca="1"/>
        <v>0</v>
      </c>
      <c r="AU187" s="901">
        <f t="shared" si="45"/>
        <v>0</v>
      </c>
      <c r="AV187" s="901">
        <f ca="1"/>
        <v>0</v>
      </c>
      <c r="AW187" s="901">
        <f t="shared" si="46"/>
        <v>0</v>
      </c>
      <c r="AX187" s="901">
        <f t="shared" si="47"/>
        <v>0</v>
      </c>
      <c r="AY187" s="901">
        <f ca="1"/>
        <v>0</v>
      </c>
      <c r="AZ187" s="901">
        <f ca="1"/>
        <v>0</v>
      </c>
      <c r="BA187" s="905">
        <f t="shared" si="36"/>
        <v>0</v>
      </c>
      <c r="BB187" s="905">
        <f t="shared" si="37"/>
        <v>0</v>
      </c>
      <c r="BC187" s="905">
        <f t="shared" si="38"/>
        <v>0</v>
      </c>
      <c r="BD187" s="905">
        <f t="shared" si="39"/>
        <v>0</v>
      </c>
      <c r="BE187" s="905">
        <f t="shared" si="40"/>
        <v>0</v>
      </c>
      <c r="BF187" s="905">
        <f t="shared" si="41"/>
        <v>0</v>
      </c>
      <c r="BG187" s="905">
        <f t="shared" si="42"/>
        <v>0</v>
      </c>
      <c r="BH187" s="905">
        <f t="shared" si="43"/>
        <v>0</v>
      </c>
      <c r="BI187" s="713">
        <v>0</v>
      </c>
      <c r="BJ187" s="695"/>
      <c r="BK187" s="752">
        <f>IF(X188=0,0,           IF(ISNUMBER(BJ187),BJ187,               IF(ISTEXT(BJ187),INDEX(BA187:BH187,MATCH(BJ187,$BA$12:$BH$12,0)),             IF(BI187="INT",_xll.qInterp(X188,AK187:AR187,BA187:BH187),            INDEX(BA187:BH187,MATCH(BI187,$BA$12:$BH$12,0))))))</f>
        <v>0</v>
      </c>
      <c r="BL187" s="389">
        <f t="shared" si="48"/>
        <v>0</v>
      </c>
      <c r="BM187" s="394">
        <f t="shared" si="49"/>
        <v>0</v>
      </c>
      <c r="BN187" s="389">
        <f t="shared" si="50"/>
        <v>0</v>
      </c>
    </row>
    <row r="188" spans="16:66">
      <c r="P188" s="714">
        <v>0</v>
      </c>
      <c r="Q188" s="715">
        <f t="shared" si="34"/>
        <v>0</v>
      </c>
      <c r="R188" s="712">
        <f>IF(P189,_xll.qDateYears(P188,P189,DCCfixed),0)</f>
        <v>0</v>
      </c>
      <c r="S188" s="519">
        <f ca="1"/>
        <v>0</v>
      </c>
      <c r="T188" s="720"/>
      <c r="U188" s="390">
        <f t="shared" si="44"/>
        <v>0</v>
      </c>
      <c r="X188" s="345">
        <v>0</v>
      </c>
      <c r="Y188" s="711">
        <f t="shared" si="35"/>
        <v>0</v>
      </c>
      <c r="Z188" s="712">
        <f>IF(X189,_xll.qDateYears(X188,X189,DCCfloat),0)</f>
        <v>0</v>
      </c>
      <c r="AA188" s="519">
        <f ca="1"/>
        <v>0</v>
      </c>
      <c r="AB188" s="890">
        <f>IF(X188=0,0,         IF(OR(CCY="AUD",CCY="NZD",CCY="GBP"),X188,   _xll.qDateNext(X188,"-2b",,,IF(CCY="EUR","TGT","LON"))))</f>
        <v>0</v>
      </c>
      <c r="AC188" s="879" t="str">
        <v/>
      </c>
      <c r="AD188" s="879" t="str">
        <v/>
      </c>
      <c r="AE188" s="879" t="str">
        <v/>
      </c>
      <c r="AF188" s="879" t="str">
        <v/>
      </c>
      <c r="AG188" s="879" t="str">
        <v/>
      </c>
      <c r="AH188" s="879" t="str">
        <v/>
      </c>
      <c r="AI188" s="879" t="str">
        <v/>
      </c>
      <c r="AJ188" s="879" t="str">
        <v/>
      </c>
      <c r="AK188" s="882">
        <f>IF($X188=0,0,      _xll.qDateNext($X188,AK$12,$AR$11,FRM&lt;&gt;"Calypso",CCY))</f>
        <v>0</v>
      </c>
      <c r="AL188" s="882">
        <f>IF($X188=0,0,      _xll.qDateNext($X188,AL$12,$AR$11,FRM&lt;&gt;"Calypso",CCY))</f>
        <v>0</v>
      </c>
      <c r="AM188" s="882">
        <f>IF($X188=0,0,      _xll.qDateNext($X188,AM$12,$AR$11,FRM&lt;&gt;"Calypso",CCY))</f>
        <v>0</v>
      </c>
      <c r="AN188" s="882">
        <f>IF($X188=0,0,      _xll.qDateNext($X188,AN$12,$AR$11,FRM&lt;&gt;"Calypso",CCY))</f>
        <v>0</v>
      </c>
      <c r="AO188" s="882">
        <f>IF($X188=0,0,      _xll.qDateNext($X188,AO$12,$AR$11,FRM&lt;&gt;"Calypso",CCY))</f>
        <v>0</v>
      </c>
      <c r="AP188" s="882">
        <f>IF($X188=0,0,      _xll.qDateNext($X188,AP$12,$AR$11,FRM&lt;&gt;"Calypso",CCY))</f>
        <v>0</v>
      </c>
      <c r="AQ188" s="882">
        <f>IF($X188=0,0,      _xll.qDateNext($X188,AQ$12,$AR$11,FRM&lt;&gt;"Calypso",CCY))</f>
        <v>0</v>
      </c>
      <c r="AR188" s="882">
        <f>IF($X188=0,0,      _xll.qDateNext($X188,AR$12,$AR$11,FRM&lt;&gt;"Calypso",CCY))</f>
        <v>0</v>
      </c>
      <c r="AS188" s="901">
        <f ca="1"/>
        <v>0</v>
      </c>
      <c r="AT188" s="901">
        <f ca="1"/>
        <v>0</v>
      </c>
      <c r="AU188" s="901">
        <f t="shared" si="45"/>
        <v>0</v>
      </c>
      <c r="AV188" s="901">
        <f ca="1"/>
        <v>0</v>
      </c>
      <c r="AW188" s="901">
        <f t="shared" si="46"/>
        <v>0</v>
      </c>
      <c r="AX188" s="901">
        <f t="shared" si="47"/>
        <v>0</v>
      </c>
      <c r="AY188" s="901">
        <f ca="1"/>
        <v>0</v>
      </c>
      <c r="AZ188" s="901">
        <f ca="1"/>
        <v>0</v>
      </c>
      <c r="BA188" s="905">
        <f t="shared" si="36"/>
        <v>0</v>
      </c>
      <c r="BB188" s="905">
        <f t="shared" si="37"/>
        <v>0</v>
      </c>
      <c r="BC188" s="905">
        <f t="shared" si="38"/>
        <v>0</v>
      </c>
      <c r="BD188" s="905">
        <f t="shared" si="39"/>
        <v>0</v>
      </c>
      <c r="BE188" s="905">
        <f t="shared" si="40"/>
        <v>0</v>
      </c>
      <c r="BF188" s="905">
        <f t="shared" si="41"/>
        <v>0</v>
      </c>
      <c r="BG188" s="905">
        <f t="shared" si="42"/>
        <v>0</v>
      </c>
      <c r="BH188" s="905">
        <f t="shared" si="43"/>
        <v>0</v>
      </c>
      <c r="BI188" s="713">
        <v>0</v>
      </c>
      <c r="BJ188" s="695"/>
      <c r="BK188" s="752">
        <f>IF(X189=0,0,           IF(ISNUMBER(BJ188),BJ188,               IF(ISTEXT(BJ188),INDEX(BA188:BH188,MATCH(BJ188,$BA$12:$BH$12,0)),             IF(BI188="INT",_xll.qInterp(X189,AK188:AR188,BA188:BH188),            INDEX(BA188:BH188,MATCH(BI188,$BA$12:$BH$12,0))))))</f>
        <v>0</v>
      </c>
      <c r="BL188" s="389">
        <f t="shared" si="48"/>
        <v>0</v>
      </c>
      <c r="BM188" s="394">
        <f t="shared" si="49"/>
        <v>0</v>
      </c>
      <c r="BN188" s="389">
        <f t="shared" si="50"/>
        <v>0</v>
      </c>
    </row>
    <row r="189" spans="16:66">
      <c r="P189" s="714">
        <v>0</v>
      </c>
      <c r="Q189" s="715">
        <f t="shared" si="34"/>
        <v>0</v>
      </c>
      <c r="R189" s="712">
        <f>IF(P190,_xll.qDateYears(P189,P190,DCCfixed),0)</f>
        <v>0</v>
      </c>
      <c r="S189" s="519">
        <f ca="1"/>
        <v>0</v>
      </c>
      <c r="T189" s="720"/>
      <c r="U189" s="390">
        <f t="shared" si="44"/>
        <v>0</v>
      </c>
      <c r="X189" s="345">
        <v>0</v>
      </c>
      <c r="Y189" s="711">
        <f t="shared" si="35"/>
        <v>0</v>
      </c>
      <c r="Z189" s="712">
        <f>IF(X190,_xll.qDateYears(X189,X190,DCCfloat),0)</f>
        <v>0</v>
      </c>
      <c r="AA189" s="519">
        <f ca="1"/>
        <v>0</v>
      </c>
      <c r="AB189" s="890">
        <f>IF(X189=0,0,         IF(OR(CCY="AUD",CCY="NZD",CCY="GBP"),X189,   _xll.qDateNext(X189,"-2b",,,IF(CCY="EUR","TGT","LON"))))</f>
        <v>0</v>
      </c>
      <c r="AC189" s="879" t="str">
        <v/>
      </c>
      <c r="AD189" s="879" t="str">
        <v/>
      </c>
      <c r="AE189" s="879" t="str">
        <v/>
      </c>
      <c r="AF189" s="879" t="str">
        <v/>
      </c>
      <c r="AG189" s="879" t="str">
        <v/>
      </c>
      <c r="AH189" s="879" t="str">
        <v/>
      </c>
      <c r="AI189" s="879" t="str">
        <v/>
      </c>
      <c r="AJ189" s="879" t="str">
        <v/>
      </c>
      <c r="AK189" s="882">
        <f>IF($X189=0,0,      _xll.qDateNext($X189,AK$12,$AR$11,FRM&lt;&gt;"Calypso",CCY))</f>
        <v>0</v>
      </c>
      <c r="AL189" s="882">
        <f>IF($X189=0,0,      _xll.qDateNext($X189,AL$12,$AR$11,FRM&lt;&gt;"Calypso",CCY))</f>
        <v>0</v>
      </c>
      <c r="AM189" s="882">
        <f>IF($X189=0,0,      _xll.qDateNext($X189,AM$12,$AR$11,FRM&lt;&gt;"Calypso",CCY))</f>
        <v>0</v>
      </c>
      <c r="AN189" s="882">
        <f>IF($X189=0,0,      _xll.qDateNext($X189,AN$12,$AR$11,FRM&lt;&gt;"Calypso",CCY))</f>
        <v>0</v>
      </c>
      <c r="AO189" s="882">
        <f>IF($X189=0,0,      _xll.qDateNext($X189,AO$12,$AR$11,FRM&lt;&gt;"Calypso",CCY))</f>
        <v>0</v>
      </c>
      <c r="AP189" s="882">
        <f>IF($X189=0,0,      _xll.qDateNext($X189,AP$12,$AR$11,FRM&lt;&gt;"Calypso",CCY))</f>
        <v>0</v>
      </c>
      <c r="AQ189" s="882">
        <f>IF($X189=0,0,      _xll.qDateNext($X189,AQ$12,$AR$11,FRM&lt;&gt;"Calypso",CCY))</f>
        <v>0</v>
      </c>
      <c r="AR189" s="882">
        <f>IF($X189=0,0,      _xll.qDateNext($X189,AR$12,$AR$11,FRM&lt;&gt;"Calypso",CCY))</f>
        <v>0</v>
      </c>
      <c r="AS189" s="901">
        <f ca="1"/>
        <v>0</v>
      </c>
      <c r="AT189" s="901">
        <f ca="1"/>
        <v>0</v>
      </c>
      <c r="AU189" s="901">
        <f t="shared" si="45"/>
        <v>0</v>
      </c>
      <c r="AV189" s="901">
        <f ca="1"/>
        <v>0</v>
      </c>
      <c r="AW189" s="901">
        <f t="shared" si="46"/>
        <v>0</v>
      </c>
      <c r="AX189" s="901">
        <f t="shared" si="47"/>
        <v>0</v>
      </c>
      <c r="AY189" s="901">
        <f ca="1"/>
        <v>0</v>
      </c>
      <c r="AZ189" s="901">
        <f ca="1"/>
        <v>0</v>
      </c>
      <c r="BA189" s="905">
        <f t="shared" si="36"/>
        <v>0</v>
      </c>
      <c r="BB189" s="905">
        <f t="shared" si="37"/>
        <v>0</v>
      </c>
      <c r="BC189" s="905">
        <f t="shared" si="38"/>
        <v>0</v>
      </c>
      <c r="BD189" s="905">
        <f t="shared" si="39"/>
        <v>0</v>
      </c>
      <c r="BE189" s="905">
        <f t="shared" si="40"/>
        <v>0</v>
      </c>
      <c r="BF189" s="905">
        <f t="shared" si="41"/>
        <v>0</v>
      </c>
      <c r="BG189" s="905">
        <f t="shared" si="42"/>
        <v>0</v>
      </c>
      <c r="BH189" s="905">
        <f t="shared" si="43"/>
        <v>0</v>
      </c>
      <c r="BI189" s="713">
        <v>0</v>
      </c>
      <c r="BJ189" s="695"/>
      <c r="BK189" s="752">
        <f>IF(X190=0,0,           IF(ISNUMBER(BJ189),BJ189,               IF(ISTEXT(BJ189),INDEX(BA189:BH189,MATCH(BJ189,$BA$12:$BH$12,0)),             IF(BI189="INT",_xll.qInterp(X190,AK189:AR189,BA189:BH189),            INDEX(BA189:BH189,MATCH(BI189,$BA$12:$BH$12,0))))))</f>
        <v>0</v>
      </c>
      <c r="BL189" s="389">
        <f t="shared" si="48"/>
        <v>0</v>
      </c>
      <c r="BM189" s="394">
        <f t="shared" si="49"/>
        <v>0</v>
      </c>
      <c r="BN189" s="389">
        <f t="shared" si="50"/>
        <v>0</v>
      </c>
    </row>
    <row r="190" spans="16:66">
      <c r="P190" s="714">
        <v>0</v>
      </c>
      <c r="Q190" s="715">
        <f t="shared" si="34"/>
        <v>0</v>
      </c>
      <c r="R190" s="712">
        <f>IF(P191,_xll.qDateYears(P190,P191,DCCfixed),0)</f>
        <v>0</v>
      </c>
      <c r="S190" s="519">
        <f ca="1"/>
        <v>0</v>
      </c>
      <c r="T190" s="720"/>
      <c r="U190" s="390">
        <f t="shared" si="44"/>
        <v>0</v>
      </c>
      <c r="X190" s="345">
        <v>0</v>
      </c>
      <c r="Y190" s="711">
        <f t="shared" si="35"/>
        <v>0</v>
      </c>
      <c r="Z190" s="712">
        <f>IF(X191,_xll.qDateYears(X190,X191,DCCfloat),0)</f>
        <v>0</v>
      </c>
      <c r="AA190" s="519">
        <f ca="1"/>
        <v>0</v>
      </c>
      <c r="AB190" s="890">
        <f>IF(X190=0,0,         IF(OR(CCY="AUD",CCY="NZD",CCY="GBP"),X190,   _xll.qDateNext(X190,"-2b",,,IF(CCY="EUR","TGT","LON"))))</f>
        <v>0</v>
      </c>
      <c r="AC190" s="879" t="str">
        <v/>
      </c>
      <c r="AD190" s="879" t="str">
        <v/>
      </c>
      <c r="AE190" s="879" t="str">
        <v/>
      </c>
      <c r="AF190" s="879" t="str">
        <v/>
      </c>
      <c r="AG190" s="879" t="str">
        <v/>
      </c>
      <c r="AH190" s="879" t="str">
        <v/>
      </c>
      <c r="AI190" s="879" t="str">
        <v/>
      </c>
      <c r="AJ190" s="879" t="str">
        <v/>
      </c>
      <c r="AK190" s="882">
        <f>IF($X190=0,0,      _xll.qDateNext($X190,AK$12,$AR$11,FRM&lt;&gt;"Calypso",CCY))</f>
        <v>0</v>
      </c>
      <c r="AL190" s="882">
        <f>IF($X190=0,0,      _xll.qDateNext($X190,AL$12,$AR$11,FRM&lt;&gt;"Calypso",CCY))</f>
        <v>0</v>
      </c>
      <c r="AM190" s="882">
        <f>IF($X190=0,0,      _xll.qDateNext($X190,AM$12,$AR$11,FRM&lt;&gt;"Calypso",CCY))</f>
        <v>0</v>
      </c>
      <c r="AN190" s="882">
        <f>IF($X190=0,0,      _xll.qDateNext($X190,AN$12,$AR$11,FRM&lt;&gt;"Calypso",CCY))</f>
        <v>0</v>
      </c>
      <c r="AO190" s="882">
        <f>IF($X190=0,0,      _xll.qDateNext($X190,AO$12,$AR$11,FRM&lt;&gt;"Calypso",CCY))</f>
        <v>0</v>
      </c>
      <c r="AP190" s="882">
        <f>IF($X190=0,0,      _xll.qDateNext($X190,AP$12,$AR$11,FRM&lt;&gt;"Calypso",CCY))</f>
        <v>0</v>
      </c>
      <c r="AQ190" s="882">
        <f>IF($X190=0,0,      _xll.qDateNext($X190,AQ$12,$AR$11,FRM&lt;&gt;"Calypso",CCY))</f>
        <v>0</v>
      </c>
      <c r="AR190" s="882">
        <f>IF($X190=0,0,      _xll.qDateNext($X190,AR$12,$AR$11,FRM&lt;&gt;"Calypso",CCY))</f>
        <v>0</v>
      </c>
      <c r="AS190" s="901">
        <f ca="1"/>
        <v>0</v>
      </c>
      <c r="AT190" s="901">
        <f ca="1"/>
        <v>0</v>
      </c>
      <c r="AU190" s="901">
        <f t="shared" si="45"/>
        <v>0</v>
      </c>
      <c r="AV190" s="901">
        <f ca="1"/>
        <v>0</v>
      </c>
      <c r="AW190" s="901">
        <f t="shared" si="46"/>
        <v>0</v>
      </c>
      <c r="AX190" s="901">
        <f t="shared" si="47"/>
        <v>0</v>
      </c>
      <c r="AY190" s="901">
        <f ca="1"/>
        <v>0</v>
      </c>
      <c r="AZ190" s="901">
        <f ca="1"/>
        <v>0</v>
      </c>
      <c r="BA190" s="905">
        <f t="shared" si="36"/>
        <v>0</v>
      </c>
      <c r="BB190" s="905">
        <f t="shared" si="37"/>
        <v>0</v>
      </c>
      <c r="BC190" s="905">
        <f t="shared" si="38"/>
        <v>0</v>
      </c>
      <c r="BD190" s="905">
        <f t="shared" si="39"/>
        <v>0</v>
      </c>
      <c r="BE190" s="905">
        <f t="shared" si="40"/>
        <v>0</v>
      </c>
      <c r="BF190" s="905">
        <f t="shared" si="41"/>
        <v>0</v>
      </c>
      <c r="BG190" s="905">
        <f t="shared" si="42"/>
        <v>0</v>
      </c>
      <c r="BH190" s="905">
        <f t="shared" si="43"/>
        <v>0</v>
      </c>
      <c r="BI190" s="713">
        <v>0</v>
      </c>
      <c r="BJ190" s="695"/>
      <c r="BK190" s="752">
        <f>IF(X191=0,0,           IF(ISNUMBER(BJ190),BJ190,               IF(ISTEXT(BJ190),INDEX(BA190:BH190,MATCH(BJ190,$BA$12:$BH$12,0)),             IF(BI190="INT",_xll.qInterp(X191,AK190:AR190,BA190:BH190),            INDEX(BA190:BH190,MATCH(BI190,$BA$12:$BH$12,0))))))</f>
        <v>0</v>
      </c>
      <c r="BL190" s="389">
        <f t="shared" si="48"/>
        <v>0</v>
      </c>
      <c r="BM190" s="394">
        <f t="shared" si="49"/>
        <v>0</v>
      </c>
      <c r="BN190" s="389">
        <f t="shared" si="50"/>
        <v>0</v>
      </c>
    </row>
    <row r="191" spans="16:66">
      <c r="P191" s="714">
        <v>0</v>
      </c>
      <c r="Q191" s="715">
        <f t="shared" si="34"/>
        <v>0</v>
      </c>
      <c r="R191" s="712">
        <f>IF(P192,_xll.qDateYears(P191,P192,DCCfixed),0)</f>
        <v>0</v>
      </c>
      <c r="S191" s="519">
        <f ca="1"/>
        <v>0</v>
      </c>
      <c r="T191" s="720"/>
      <c r="U191" s="390">
        <f t="shared" si="44"/>
        <v>0</v>
      </c>
      <c r="X191" s="345">
        <v>0</v>
      </c>
      <c r="Y191" s="711">
        <f t="shared" si="35"/>
        <v>0</v>
      </c>
      <c r="Z191" s="712">
        <f>IF(X192,_xll.qDateYears(X191,X192,DCCfloat),0)</f>
        <v>0</v>
      </c>
      <c r="AA191" s="519">
        <f ca="1"/>
        <v>0</v>
      </c>
      <c r="AB191" s="890">
        <f>IF(X191=0,0,         IF(OR(CCY="AUD",CCY="NZD",CCY="GBP"),X191,   _xll.qDateNext(X191,"-2b",,,IF(CCY="EUR","TGT","LON"))))</f>
        <v>0</v>
      </c>
      <c r="AC191" s="879" t="str">
        <v/>
      </c>
      <c r="AD191" s="879" t="str">
        <v/>
      </c>
      <c r="AE191" s="879" t="str">
        <v/>
      </c>
      <c r="AF191" s="879" t="str">
        <v/>
      </c>
      <c r="AG191" s="879" t="str">
        <v/>
      </c>
      <c r="AH191" s="879" t="str">
        <v/>
      </c>
      <c r="AI191" s="879" t="str">
        <v/>
      </c>
      <c r="AJ191" s="879" t="str">
        <v/>
      </c>
      <c r="AK191" s="882">
        <f>IF($X191=0,0,      _xll.qDateNext($X191,AK$12,$AR$11,FRM&lt;&gt;"Calypso",CCY))</f>
        <v>0</v>
      </c>
      <c r="AL191" s="882">
        <f>IF($X191=0,0,      _xll.qDateNext($X191,AL$12,$AR$11,FRM&lt;&gt;"Calypso",CCY))</f>
        <v>0</v>
      </c>
      <c r="AM191" s="882">
        <f>IF($X191=0,0,      _xll.qDateNext($X191,AM$12,$AR$11,FRM&lt;&gt;"Calypso",CCY))</f>
        <v>0</v>
      </c>
      <c r="AN191" s="882">
        <f>IF($X191=0,0,      _xll.qDateNext($X191,AN$12,$AR$11,FRM&lt;&gt;"Calypso",CCY))</f>
        <v>0</v>
      </c>
      <c r="AO191" s="882">
        <f>IF($X191=0,0,      _xll.qDateNext($X191,AO$12,$AR$11,FRM&lt;&gt;"Calypso",CCY))</f>
        <v>0</v>
      </c>
      <c r="AP191" s="882">
        <f>IF($X191=0,0,      _xll.qDateNext($X191,AP$12,$AR$11,FRM&lt;&gt;"Calypso",CCY))</f>
        <v>0</v>
      </c>
      <c r="AQ191" s="882">
        <f>IF($X191=0,0,      _xll.qDateNext($X191,AQ$12,$AR$11,FRM&lt;&gt;"Calypso",CCY))</f>
        <v>0</v>
      </c>
      <c r="AR191" s="882">
        <f>IF($X191=0,0,      _xll.qDateNext($X191,AR$12,$AR$11,FRM&lt;&gt;"Calypso",CCY))</f>
        <v>0</v>
      </c>
      <c r="AS191" s="901">
        <f ca="1"/>
        <v>0</v>
      </c>
      <c r="AT191" s="901">
        <f ca="1"/>
        <v>0</v>
      </c>
      <c r="AU191" s="901">
        <f t="shared" si="45"/>
        <v>0</v>
      </c>
      <c r="AV191" s="901">
        <f ca="1"/>
        <v>0</v>
      </c>
      <c r="AW191" s="901">
        <f t="shared" si="46"/>
        <v>0</v>
      </c>
      <c r="AX191" s="901">
        <f t="shared" si="47"/>
        <v>0</v>
      </c>
      <c r="AY191" s="901">
        <f ca="1"/>
        <v>0</v>
      </c>
      <c r="AZ191" s="901">
        <f ca="1"/>
        <v>0</v>
      </c>
      <c r="BA191" s="905">
        <f t="shared" si="36"/>
        <v>0</v>
      </c>
      <c r="BB191" s="905">
        <f t="shared" si="37"/>
        <v>0</v>
      </c>
      <c r="BC191" s="905">
        <f t="shared" si="38"/>
        <v>0</v>
      </c>
      <c r="BD191" s="905">
        <f t="shared" si="39"/>
        <v>0</v>
      </c>
      <c r="BE191" s="905">
        <f t="shared" si="40"/>
        <v>0</v>
      </c>
      <c r="BF191" s="905">
        <f t="shared" si="41"/>
        <v>0</v>
      </c>
      <c r="BG191" s="905">
        <f t="shared" si="42"/>
        <v>0</v>
      </c>
      <c r="BH191" s="905">
        <f t="shared" si="43"/>
        <v>0</v>
      </c>
      <c r="BI191" s="713">
        <v>0</v>
      </c>
      <c r="BJ191" s="695"/>
      <c r="BK191" s="752">
        <f>IF(X192=0,0,           IF(ISNUMBER(BJ191),BJ191,               IF(ISTEXT(BJ191),INDEX(BA191:BH191,MATCH(BJ191,$BA$12:$BH$12,0)),             IF(BI191="INT",_xll.qInterp(X192,AK191:AR191,BA191:BH191),            INDEX(BA191:BH191,MATCH(BI191,$BA$12:$BH$12,0))))))</f>
        <v>0</v>
      </c>
      <c r="BL191" s="389">
        <f t="shared" si="48"/>
        <v>0</v>
      </c>
      <c r="BM191" s="394">
        <f t="shared" si="49"/>
        <v>0</v>
      </c>
      <c r="BN191" s="389">
        <f t="shared" si="50"/>
        <v>0</v>
      </c>
    </row>
    <row r="192" spans="16:66">
      <c r="P192" s="714">
        <v>0</v>
      </c>
      <c r="Q192" s="715">
        <f t="shared" si="34"/>
        <v>0</v>
      </c>
      <c r="R192" s="712">
        <f>IF(P193,_xll.qDateYears(P192,P193,DCCfixed),0)</f>
        <v>0</v>
      </c>
      <c r="S192" s="519">
        <f ca="1"/>
        <v>0</v>
      </c>
      <c r="T192" s="720"/>
      <c r="U192" s="390">
        <f t="shared" si="44"/>
        <v>0</v>
      </c>
      <c r="X192" s="345">
        <v>0</v>
      </c>
      <c r="Y192" s="711">
        <f t="shared" si="35"/>
        <v>0</v>
      </c>
      <c r="Z192" s="712">
        <f>IF(X193,_xll.qDateYears(X192,X193,DCCfloat),0)</f>
        <v>0</v>
      </c>
      <c r="AA192" s="519">
        <f ca="1"/>
        <v>0</v>
      </c>
      <c r="AB192" s="890">
        <f>IF(X192=0,0,         IF(OR(CCY="AUD",CCY="NZD",CCY="GBP"),X192,   _xll.qDateNext(X192,"-2b",,,IF(CCY="EUR","TGT","LON"))))</f>
        <v>0</v>
      </c>
      <c r="AC192" s="879" t="str">
        <v/>
      </c>
      <c r="AD192" s="879" t="str">
        <v/>
      </c>
      <c r="AE192" s="879" t="str">
        <v/>
      </c>
      <c r="AF192" s="879" t="str">
        <v/>
      </c>
      <c r="AG192" s="879" t="str">
        <v/>
      </c>
      <c r="AH192" s="879" t="str">
        <v/>
      </c>
      <c r="AI192" s="879" t="str">
        <v/>
      </c>
      <c r="AJ192" s="879" t="str">
        <v/>
      </c>
      <c r="AK192" s="882">
        <f>IF($X192=0,0,      _xll.qDateNext($X192,AK$12,$AR$11,FRM&lt;&gt;"Calypso",CCY))</f>
        <v>0</v>
      </c>
      <c r="AL192" s="882">
        <f>IF($X192=0,0,      _xll.qDateNext($X192,AL$12,$AR$11,FRM&lt;&gt;"Calypso",CCY))</f>
        <v>0</v>
      </c>
      <c r="AM192" s="882">
        <f>IF($X192=0,0,      _xll.qDateNext($X192,AM$12,$AR$11,FRM&lt;&gt;"Calypso",CCY))</f>
        <v>0</v>
      </c>
      <c r="AN192" s="882">
        <f>IF($X192=0,0,      _xll.qDateNext($X192,AN$12,$AR$11,FRM&lt;&gt;"Calypso",CCY))</f>
        <v>0</v>
      </c>
      <c r="AO192" s="882">
        <f>IF($X192=0,0,      _xll.qDateNext($X192,AO$12,$AR$11,FRM&lt;&gt;"Calypso",CCY))</f>
        <v>0</v>
      </c>
      <c r="AP192" s="882">
        <f>IF($X192=0,0,      _xll.qDateNext($X192,AP$12,$AR$11,FRM&lt;&gt;"Calypso",CCY))</f>
        <v>0</v>
      </c>
      <c r="AQ192" s="882">
        <f>IF($X192=0,0,      _xll.qDateNext($X192,AQ$12,$AR$11,FRM&lt;&gt;"Calypso",CCY))</f>
        <v>0</v>
      </c>
      <c r="AR192" s="882">
        <f>IF($X192=0,0,      _xll.qDateNext($X192,AR$12,$AR$11,FRM&lt;&gt;"Calypso",CCY))</f>
        <v>0</v>
      </c>
      <c r="AS192" s="901">
        <f ca="1"/>
        <v>0</v>
      </c>
      <c r="AT192" s="901">
        <f ca="1"/>
        <v>0</v>
      </c>
      <c r="AU192" s="901">
        <f t="shared" si="45"/>
        <v>0</v>
      </c>
      <c r="AV192" s="901">
        <f ca="1"/>
        <v>0</v>
      </c>
      <c r="AW192" s="901">
        <f t="shared" si="46"/>
        <v>0</v>
      </c>
      <c r="AX192" s="901">
        <f t="shared" si="47"/>
        <v>0</v>
      </c>
      <c r="AY192" s="901">
        <f ca="1"/>
        <v>0</v>
      </c>
      <c r="AZ192" s="901">
        <f ca="1"/>
        <v>0</v>
      </c>
      <c r="BA192" s="905">
        <f t="shared" si="36"/>
        <v>0</v>
      </c>
      <c r="BB192" s="905">
        <f t="shared" si="37"/>
        <v>0</v>
      </c>
      <c r="BC192" s="905">
        <f t="shared" si="38"/>
        <v>0</v>
      </c>
      <c r="BD192" s="905">
        <f t="shared" si="39"/>
        <v>0</v>
      </c>
      <c r="BE192" s="905">
        <f t="shared" si="40"/>
        <v>0</v>
      </c>
      <c r="BF192" s="905">
        <f t="shared" si="41"/>
        <v>0</v>
      </c>
      <c r="BG192" s="905">
        <f t="shared" si="42"/>
        <v>0</v>
      </c>
      <c r="BH192" s="905">
        <f t="shared" si="43"/>
        <v>0</v>
      </c>
      <c r="BI192" s="713">
        <v>0</v>
      </c>
      <c r="BJ192" s="695"/>
      <c r="BK192" s="752">
        <f>IF(X193=0,0,           IF(ISNUMBER(BJ192),BJ192,               IF(ISTEXT(BJ192),INDEX(BA192:BH192,MATCH(BJ192,$BA$12:$BH$12,0)),             IF(BI192="INT",_xll.qInterp(X193,AK192:AR192,BA192:BH192),            INDEX(BA192:BH192,MATCH(BI192,$BA$12:$BH$12,0))))))</f>
        <v>0</v>
      </c>
      <c r="BL192" s="389">
        <f t="shared" si="48"/>
        <v>0</v>
      </c>
      <c r="BM192" s="394">
        <f t="shared" si="49"/>
        <v>0</v>
      </c>
      <c r="BN192" s="389">
        <f t="shared" si="50"/>
        <v>0</v>
      </c>
    </row>
    <row r="193" spans="16:66">
      <c r="P193" s="714">
        <v>0</v>
      </c>
      <c r="Q193" s="715">
        <f t="shared" si="34"/>
        <v>0</v>
      </c>
      <c r="R193" s="712">
        <f>IF(P194,_xll.qDateYears(P193,P194,DCCfixed),0)</f>
        <v>0</v>
      </c>
      <c r="S193" s="519">
        <f ca="1"/>
        <v>0</v>
      </c>
      <c r="T193" s="720"/>
      <c r="U193" s="390">
        <f t="shared" si="44"/>
        <v>0</v>
      </c>
      <c r="X193" s="345">
        <v>0</v>
      </c>
      <c r="Y193" s="711">
        <f t="shared" si="35"/>
        <v>0</v>
      </c>
      <c r="Z193" s="712">
        <f>IF(X194,_xll.qDateYears(X193,X194,DCCfloat),0)</f>
        <v>0</v>
      </c>
      <c r="AA193" s="519">
        <f ca="1"/>
        <v>0</v>
      </c>
      <c r="AB193" s="890">
        <f>IF(X193=0,0,         IF(OR(CCY="AUD",CCY="NZD",CCY="GBP"),X193,   _xll.qDateNext(X193,"-2b",,,IF(CCY="EUR","TGT","LON"))))</f>
        <v>0</v>
      </c>
      <c r="AC193" s="879" t="str">
        <v/>
      </c>
      <c r="AD193" s="879" t="str">
        <v/>
      </c>
      <c r="AE193" s="879" t="str">
        <v/>
      </c>
      <c r="AF193" s="879" t="str">
        <v/>
      </c>
      <c r="AG193" s="879" t="str">
        <v/>
      </c>
      <c r="AH193" s="879" t="str">
        <v/>
      </c>
      <c r="AI193" s="879" t="str">
        <v/>
      </c>
      <c r="AJ193" s="879" t="str">
        <v/>
      </c>
      <c r="AK193" s="882">
        <f>IF($X193=0,0,      _xll.qDateNext($X193,AK$12,$AR$11,FRM&lt;&gt;"Calypso",CCY))</f>
        <v>0</v>
      </c>
      <c r="AL193" s="882">
        <f>IF($X193=0,0,      _xll.qDateNext($X193,AL$12,$AR$11,FRM&lt;&gt;"Calypso",CCY))</f>
        <v>0</v>
      </c>
      <c r="AM193" s="882">
        <f>IF($X193=0,0,      _xll.qDateNext($X193,AM$12,$AR$11,FRM&lt;&gt;"Calypso",CCY))</f>
        <v>0</v>
      </c>
      <c r="AN193" s="882">
        <f>IF($X193=0,0,      _xll.qDateNext($X193,AN$12,$AR$11,FRM&lt;&gt;"Calypso",CCY))</f>
        <v>0</v>
      </c>
      <c r="AO193" s="882">
        <f>IF($X193=0,0,      _xll.qDateNext($X193,AO$12,$AR$11,FRM&lt;&gt;"Calypso",CCY))</f>
        <v>0</v>
      </c>
      <c r="AP193" s="882">
        <f>IF($X193=0,0,      _xll.qDateNext($X193,AP$12,$AR$11,FRM&lt;&gt;"Calypso",CCY))</f>
        <v>0</v>
      </c>
      <c r="AQ193" s="882">
        <f>IF($X193=0,0,      _xll.qDateNext($X193,AQ$12,$AR$11,FRM&lt;&gt;"Calypso",CCY))</f>
        <v>0</v>
      </c>
      <c r="AR193" s="882">
        <f>IF($X193=0,0,      _xll.qDateNext($X193,AR$12,$AR$11,FRM&lt;&gt;"Calypso",CCY))</f>
        <v>0</v>
      </c>
      <c r="AS193" s="901">
        <f ca="1"/>
        <v>0</v>
      </c>
      <c r="AT193" s="901">
        <f ca="1"/>
        <v>0</v>
      </c>
      <c r="AU193" s="901">
        <f t="shared" si="45"/>
        <v>0</v>
      </c>
      <c r="AV193" s="901">
        <f ca="1"/>
        <v>0</v>
      </c>
      <c r="AW193" s="901">
        <f t="shared" si="46"/>
        <v>0</v>
      </c>
      <c r="AX193" s="901">
        <f t="shared" si="47"/>
        <v>0</v>
      </c>
      <c r="AY193" s="901">
        <f ca="1"/>
        <v>0</v>
      </c>
      <c r="AZ193" s="901">
        <f ca="1"/>
        <v>0</v>
      </c>
      <c r="BA193" s="905">
        <f t="shared" si="36"/>
        <v>0</v>
      </c>
      <c r="BB193" s="905">
        <f t="shared" si="37"/>
        <v>0</v>
      </c>
      <c r="BC193" s="905">
        <f t="shared" si="38"/>
        <v>0</v>
      </c>
      <c r="BD193" s="905">
        <f t="shared" si="39"/>
        <v>0</v>
      </c>
      <c r="BE193" s="905">
        <f t="shared" si="40"/>
        <v>0</v>
      </c>
      <c r="BF193" s="905">
        <f t="shared" si="41"/>
        <v>0</v>
      </c>
      <c r="BG193" s="905">
        <f t="shared" si="42"/>
        <v>0</v>
      </c>
      <c r="BH193" s="905">
        <f t="shared" si="43"/>
        <v>0</v>
      </c>
      <c r="BI193" s="713">
        <v>0</v>
      </c>
      <c r="BJ193" s="695"/>
      <c r="BK193" s="752">
        <f>IF(X194=0,0,           IF(ISNUMBER(BJ193),BJ193,               IF(ISTEXT(BJ193),INDEX(BA193:BH193,MATCH(BJ193,$BA$12:$BH$12,0)),             IF(BI193="INT",_xll.qInterp(X194,AK193:AR193,BA193:BH193),            INDEX(BA193:BH193,MATCH(BI193,$BA$12:$BH$12,0))))))</f>
        <v>0</v>
      </c>
      <c r="BL193" s="389">
        <f t="shared" si="48"/>
        <v>0</v>
      </c>
      <c r="BM193" s="394">
        <f t="shared" si="49"/>
        <v>0</v>
      </c>
      <c r="BN193" s="389">
        <f t="shared" si="50"/>
        <v>0</v>
      </c>
    </row>
    <row r="194" spans="16:66">
      <c r="P194" s="714">
        <v>0</v>
      </c>
      <c r="Q194" s="715">
        <f t="shared" si="34"/>
        <v>0</v>
      </c>
      <c r="R194" s="712">
        <f>IF(P195,_xll.qDateYears(P194,P195,DCCfixed),0)</f>
        <v>0</v>
      </c>
      <c r="S194" s="519">
        <f ca="1"/>
        <v>0</v>
      </c>
      <c r="T194" s="720"/>
      <c r="U194" s="390">
        <f t="shared" si="44"/>
        <v>0</v>
      </c>
      <c r="X194" s="345">
        <v>0</v>
      </c>
      <c r="Y194" s="711">
        <f t="shared" si="35"/>
        <v>0</v>
      </c>
      <c r="Z194" s="712">
        <f>IF(X195,_xll.qDateYears(X194,X195,DCCfloat),0)</f>
        <v>0</v>
      </c>
      <c r="AA194" s="519">
        <f ca="1"/>
        <v>0</v>
      </c>
      <c r="AB194" s="890">
        <f>IF(X194=0,0,         IF(OR(CCY="AUD",CCY="NZD",CCY="GBP"),X194,   _xll.qDateNext(X194,"-2b",,,IF(CCY="EUR","TGT","LON"))))</f>
        <v>0</v>
      </c>
      <c r="AC194" s="879" t="str">
        <v/>
      </c>
      <c r="AD194" s="879" t="str">
        <v/>
      </c>
      <c r="AE194" s="879" t="str">
        <v/>
      </c>
      <c r="AF194" s="879" t="str">
        <v/>
      </c>
      <c r="AG194" s="879" t="str">
        <v/>
      </c>
      <c r="AH194" s="879" t="str">
        <v/>
      </c>
      <c r="AI194" s="879" t="str">
        <v/>
      </c>
      <c r="AJ194" s="879" t="str">
        <v/>
      </c>
      <c r="AK194" s="882">
        <f>IF($X194=0,0,      _xll.qDateNext($X194,AK$12,$AR$11,FRM&lt;&gt;"Calypso",CCY))</f>
        <v>0</v>
      </c>
      <c r="AL194" s="882">
        <f>IF($X194=0,0,      _xll.qDateNext($X194,AL$12,$AR$11,FRM&lt;&gt;"Calypso",CCY))</f>
        <v>0</v>
      </c>
      <c r="AM194" s="882">
        <f>IF($X194=0,0,      _xll.qDateNext($X194,AM$12,$AR$11,FRM&lt;&gt;"Calypso",CCY))</f>
        <v>0</v>
      </c>
      <c r="AN194" s="882">
        <f>IF($X194=0,0,      _xll.qDateNext($X194,AN$12,$AR$11,FRM&lt;&gt;"Calypso",CCY))</f>
        <v>0</v>
      </c>
      <c r="AO194" s="882">
        <f>IF($X194=0,0,      _xll.qDateNext($X194,AO$12,$AR$11,FRM&lt;&gt;"Calypso",CCY))</f>
        <v>0</v>
      </c>
      <c r="AP194" s="882">
        <f>IF($X194=0,0,      _xll.qDateNext($X194,AP$12,$AR$11,FRM&lt;&gt;"Calypso",CCY))</f>
        <v>0</v>
      </c>
      <c r="AQ194" s="882">
        <f>IF($X194=0,0,      _xll.qDateNext($X194,AQ$12,$AR$11,FRM&lt;&gt;"Calypso",CCY))</f>
        <v>0</v>
      </c>
      <c r="AR194" s="882">
        <f>IF($X194=0,0,      _xll.qDateNext($X194,AR$12,$AR$11,FRM&lt;&gt;"Calypso",CCY))</f>
        <v>0</v>
      </c>
      <c r="AS194" s="901">
        <f ca="1"/>
        <v>0</v>
      </c>
      <c r="AT194" s="901">
        <f ca="1"/>
        <v>0</v>
      </c>
      <c r="AU194" s="901">
        <f t="shared" si="45"/>
        <v>0</v>
      </c>
      <c r="AV194" s="901">
        <f ca="1"/>
        <v>0</v>
      </c>
      <c r="AW194" s="901">
        <f t="shared" si="46"/>
        <v>0</v>
      </c>
      <c r="AX194" s="901">
        <f t="shared" si="47"/>
        <v>0</v>
      </c>
      <c r="AY194" s="901">
        <f ca="1"/>
        <v>0</v>
      </c>
      <c r="AZ194" s="901">
        <f ca="1"/>
        <v>0</v>
      </c>
      <c r="BA194" s="905">
        <f t="shared" si="36"/>
        <v>0</v>
      </c>
      <c r="BB194" s="905">
        <f t="shared" si="37"/>
        <v>0</v>
      </c>
      <c r="BC194" s="905">
        <f t="shared" si="38"/>
        <v>0</v>
      </c>
      <c r="BD194" s="905">
        <f t="shared" si="39"/>
        <v>0</v>
      </c>
      <c r="BE194" s="905">
        <f t="shared" si="40"/>
        <v>0</v>
      </c>
      <c r="BF194" s="905">
        <f t="shared" si="41"/>
        <v>0</v>
      </c>
      <c r="BG194" s="905">
        <f t="shared" si="42"/>
        <v>0</v>
      </c>
      <c r="BH194" s="905">
        <f t="shared" si="43"/>
        <v>0</v>
      </c>
      <c r="BI194" s="713">
        <v>0</v>
      </c>
      <c r="BJ194" s="695"/>
      <c r="BK194" s="752">
        <f>IF(X195=0,0,           IF(ISNUMBER(BJ194),BJ194,               IF(ISTEXT(BJ194),INDEX(BA194:BH194,MATCH(BJ194,$BA$12:$BH$12,0)),             IF(BI194="INT",_xll.qInterp(X195,AK194:AR194,BA194:BH194),            INDEX(BA194:BH194,MATCH(BI194,$BA$12:$BH$12,0))))))</f>
        <v>0</v>
      </c>
      <c r="BL194" s="389">
        <f t="shared" si="48"/>
        <v>0</v>
      </c>
      <c r="BM194" s="394">
        <f t="shared" si="49"/>
        <v>0</v>
      </c>
      <c r="BN194" s="389">
        <f t="shared" si="50"/>
        <v>0</v>
      </c>
    </row>
    <row r="195" spans="16:66">
      <c r="P195" s="714">
        <v>0</v>
      </c>
      <c r="Q195" s="715">
        <f t="shared" si="34"/>
        <v>0</v>
      </c>
      <c r="R195" s="712">
        <f>IF(P196,_xll.qDateYears(P195,P196,DCCfixed),0)</f>
        <v>0</v>
      </c>
      <c r="S195" s="519">
        <f ca="1"/>
        <v>0</v>
      </c>
      <c r="T195" s="720"/>
      <c r="U195" s="390">
        <f t="shared" si="44"/>
        <v>0</v>
      </c>
      <c r="X195" s="345">
        <v>0</v>
      </c>
      <c r="Y195" s="711">
        <f t="shared" si="35"/>
        <v>0</v>
      </c>
      <c r="Z195" s="712">
        <f>IF(X196,_xll.qDateYears(X195,X196,DCCfloat),0)</f>
        <v>0</v>
      </c>
      <c r="AA195" s="519">
        <f ca="1"/>
        <v>0</v>
      </c>
      <c r="AB195" s="890">
        <f>IF(X195=0,0,         IF(OR(CCY="AUD",CCY="NZD",CCY="GBP"),X195,   _xll.qDateNext(X195,"-2b",,,IF(CCY="EUR","TGT","LON"))))</f>
        <v>0</v>
      </c>
      <c r="AC195" s="879" t="str">
        <v/>
      </c>
      <c r="AD195" s="879" t="str">
        <v/>
      </c>
      <c r="AE195" s="879" t="str">
        <v/>
      </c>
      <c r="AF195" s="879" t="str">
        <v/>
      </c>
      <c r="AG195" s="879" t="str">
        <v/>
      </c>
      <c r="AH195" s="879" t="str">
        <v/>
      </c>
      <c r="AI195" s="879" t="str">
        <v/>
      </c>
      <c r="AJ195" s="879" t="str">
        <v/>
      </c>
      <c r="AK195" s="882">
        <f>IF($X195=0,0,      _xll.qDateNext($X195,AK$12,$AR$11,FRM&lt;&gt;"Calypso",CCY))</f>
        <v>0</v>
      </c>
      <c r="AL195" s="882">
        <f>IF($X195=0,0,      _xll.qDateNext($X195,AL$12,$AR$11,FRM&lt;&gt;"Calypso",CCY))</f>
        <v>0</v>
      </c>
      <c r="AM195" s="882">
        <f>IF($X195=0,0,      _xll.qDateNext($X195,AM$12,$AR$11,FRM&lt;&gt;"Calypso",CCY))</f>
        <v>0</v>
      </c>
      <c r="AN195" s="882">
        <f>IF($X195=0,0,      _xll.qDateNext($X195,AN$12,$AR$11,FRM&lt;&gt;"Calypso",CCY))</f>
        <v>0</v>
      </c>
      <c r="AO195" s="882">
        <f>IF($X195=0,0,      _xll.qDateNext($X195,AO$12,$AR$11,FRM&lt;&gt;"Calypso",CCY))</f>
        <v>0</v>
      </c>
      <c r="AP195" s="882">
        <f>IF($X195=0,0,      _xll.qDateNext($X195,AP$12,$AR$11,FRM&lt;&gt;"Calypso",CCY))</f>
        <v>0</v>
      </c>
      <c r="AQ195" s="882">
        <f>IF($X195=0,0,      _xll.qDateNext($X195,AQ$12,$AR$11,FRM&lt;&gt;"Calypso",CCY))</f>
        <v>0</v>
      </c>
      <c r="AR195" s="882">
        <f>IF($X195=0,0,      _xll.qDateNext($X195,AR$12,$AR$11,FRM&lt;&gt;"Calypso",CCY))</f>
        <v>0</v>
      </c>
      <c r="AS195" s="901">
        <f ca="1"/>
        <v>0</v>
      </c>
      <c r="AT195" s="901">
        <f ca="1"/>
        <v>0</v>
      </c>
      <c r="AU195" s="901">
        <f t="shared" si="45"/>
        <v>0</v>
      </c>
      <c r="AV195" s="901">
        <f ca="1"/>
        <v>0</v>
      </c>
      <c r="AW195" s="901">
        <f t="shared" si="46"/>
        <v>0</v>
      </c>
      <c r="AX195" s="901">
        <f t="shared" si="47"/>
        <v>0</v>
      </c>
      <c r="AY195" s="901">
        <f ca="1"/>
        <v>0</v>
      </c>
      <c r="AZ195" s="901">
        <f ca="1"/>
        <v>0</v>
      </c>
      <c r="BA195" s="905">
        <f t="shared" si="36"/>
        <v>0</v>
      </c>
      <c r="BB195" s="905">
        <f t="shared" si="37"/>
        <v>0</v>
      </c>
      <c r="BC195" s="905">
        <f t="shared" si="38"/>
        <v>0</v>
      </c>
      <c r="BD195" s="905">
        <f t="shared" si="39"/>
        <v>0</v>
      </c>
      <c r="BE195" s="905">
        <f t="shared" si="40"/>
        <v>0</v>
      </c>
      <c r="BF195" s="905">
        <f t="shared" si="41"/>
        <v>0</v>
      </c>
      <c r="BG195" s="905">
        <f t="shared" si="42"/>
        <v>0</v>
      </c>
      <c r="BH195" s="905">
        <f t="shared" si="43"/>
        <v>0</v>
      </c>
      <c r="BI195" s="713">
        <v>0</v>
      </c>
      <c r="BJ195" s="695"/>
      <c r="BK195" s="752">
        <f>IF(X196=0,0,           IF(ISNUMBER(BJ195),BJ195,               IF(ISTEXT(BJ195),INDEX(BA195:BH195,MATCH(BJ195,$BA$12:$BH$12,0)),             IF(BI195="INT",_xll.qInterp(X196,AK195:AR195,BA195:BH195),            INDEX(BA195:BH195,MATCH(BI195,$BA$12:$BH$12,0))))))</f>
        <v>0</v>
      </c>
      <c r="BL195" s="389">
        <f t="shared" si="48"/>
        <v>0</v>
      </c>
      <c r="BM195" s="394">
        <f t="shared" si="49"/>
        <v>0</v>
      </c>
      <c r="BN195" s="389">
        <f t="shared" si="50"/>
        <v>0</v>
      </c>
    </row>
    <row r="196" spans="16:66">
      <c r="P196" s="714">
        <v>0</v>
      </c>
      <c r="Q196" s="715">
        <f t="shared" si="34"/>
        <v>0</v>
      </c>
      <c r="R196" s="712">
        <f>IF(P197,_xll.qDateYears(P196,P197,DCCfixed),0)</f>
        <v>0</v>
      </c>
      <c r="S196" s="519">
        <f ca="1"/>
        <v>0</v>
      </c>
      <c r="T196" s="720"/>
      <c r="U196" s="390">
        <f t="shared" si="44"/>
        <v>0</v>
      </c>
      <c r="X196" s="345">
        <v>0</v>
      </c>
      <c r="Y196" s="711">
        <f t="shared" si="35"/>
        <v>0</v>
      </c>
      <c r="Z196" s="712">
        <f>IF(X197,_xll.qDateYears(X196,X197,DCCfloat),0)</f>
        <v>0</v>
      </c>
      <c r="AA196" s="519">
        <f ca="1"/>
        <v>0</v>
      </c>
      <c r="AB196" s="890">
        <f>IF(X196=0,0,         IF(OR(CCY="AUD",CCY="NZD",CCY="GBP"),X196,   _xll.qDateNext(X196,"-2b",,,IF(CCY="EUR","TGT","LON"))))</f>
        <v>0</v>
      </c>
      <c r="AC196" s="879" t="str">
        <v/>
      </c>
      <c r="AD196" s="879" t="str">
        <v/>
      </c>
      <c r="AE196" s="879" t="str">
        <v/>
      </c>
      <c r="AF196" s="879" t="str">
        <v/>
      </c>
      <c r="AG196" s="879" t="str">
        <v/>
      </c>
      <c r="AH196" s="879" t="str">
        <v/>
      </c>
      <c r="AI196" s="879" t="str">
        <v/>
      </c>
      <c r="AJ196" s="879" t="str">
        <v/>
      </c>
      <c r="AK196" s="882">
        <f>IF($X196=0,0,      _xll.qDateNext($X196,AK$12,$AR$11,FRM&lt;&gt;"Calypso",CCY))</f>
        <v>0</v>
      </c>
      <c r="AL196" s="882">
        <f>IF($X196=0,0,      _xll.qDateNext($X196,AL$12,$AR$11,FRM&lt;&gt;"Calypso",CCY))</f>
        <v>0</v>
      </c>
      <c r="AM196" s="882">
        <f>IF($X196=0,0,      _xll.qDateNext($X196,AM$12,$AR$11,FRM&lt;&gt;"Calypso",CCY))</f>
        <v>0</v>
      </c>
      <c r="AN196" s="882">
        <f>IF($X196=0,0,      _xll.qDateNext($X196,AN$12,$AR$11,FRM&lt;&gt;"Calypso",CCY))</f>
        <v>0</v>
      </c>
      <c r="AO196" s="882">
        <f>IF($X196=0,0,      _xll.qDateNext($X196,AO$12,$AR$11,FRM&lt;&gt;"Calypso",CCY))</f>
        <v>0</v>
      </c>
      <c r="AP196" s="882">
        <f>IF($X196=0,0,      _xll.qDateNext($X196,AP$12,$AR$11,FRM&lt;&gt;"Calypso",CCY))</f>
        <v>0</v>
      </c>
      <c r="AQ196" s="882">
        <f>IF($X196=0,0,      _xll.qDateNext($X196,AQ$12,$AR$11,FRM&lt;&gt;"Calypso",CCY))</f>
        <v>0</v>
      </c>
      <c r="AR196" s="882">
        <f>IF($X196=0,0,      _xll.qDateNext($X196,AR$12,$AR$11,FRM&lt;&gt;"Calypso",CCY))</f>
        <v>0</v>
      </c>
      <c r="AS196" s="901">
        <f ca="1"/>
        <v>0</v>
      </c>
      <c r="AT196" s="901">
        <f ca="1"/>
        <v>0</v>
      </c>
      <c r="AU196" s="901">
        <f t="shared" si="45"/>
        <v>0</v>
      </c>
      <c r="AV196" s="901">
        <f ca="1"/>
        <v>0</v>
      </c>
      <c r="AW196" s="901">
        <f t="shared" si="46"/>
        <v>0</v>
      </c>
      <c r="AX196" s="901">
        <f t="shared" si="47"/>
        <v>0</v>
      </c>
      <c r="AY196" s="901">
        <f ca="1"/>
        <v>0</v>
      </c>
      <c r="AZ196" s="901">
        <f ca="1"/>
        <v>0</v>
      </c>
      <c r="BA196" s="905">
        <f t="shared" si="36"/>
        <v>0</v>
      </c>
      <c r="BB196" s="905">
        <f t="shared" si="37"/>
        <v>0</v>
      </c>
      <c r="BC196" s="905">
        <f t="shared" si="38"/>
        <v>0</v>
      </c>
      <c r="BD196" s="905">
        <f t="shared" si="39"/>
        <v>0</v>
      </c>
      <c r="BE196" s="905">
        <f t="shared" si="40"/>
        <v>0</v>
      </c>
      <c r="BF196" s="905">
        <f t="shared" si="41"/>
        <v>0</v>
      </c>
      <c r="BG196" s="905">
        <f t="shared" si="42"/>
        <v>0</v>
      </c>
      <c r="BH196" s="905">
        <f t="shared" si="43"/>
        <v>0</v>
      </c>
      <c r="BI196" s="713">
        <v>0</v>
      </c>
      <c r="BJ196" s="695"/>
      <c r="BK196" s="752">
        <f>IF(X197=0,0,           IF(ISNUMBER(BJ196),BJ196,               IF(ISTEXT(BJ196),INDEX(BA196:BH196,MATCH(BJ196,$BA$12:$BH$12,0)),             IF(BI196="INT",_xll.qInterp(X197,AK196:AR196,BA196:BH196),            INDEX(BA196:BH196,MATCH(BI196,$BA$12:$BH$12,0))))))</f>
        <v>0</v>
      </c>
      <c r="BL196" s="389">
        <f t="shared" si="48"/>
        <v>0</v>
      </c>
      <c r="BM196" s="394">
        <f t="shared" si="49"/>
        <v>0</v>
      </c>
      <c r="BN196" s="389">
        <f t="shared" si="50"/>
        <v>0</v>
      </c>
    </row>
    <row r="197" spans="16:66">
      <c r="P197" s="714">
        <v>0</v>
      </c>
      <c r="Q197" s="715">
        <f t="shared" si="34"/>
        <v>0</v>
      </c>
      <c r="R197" s="712">
        <f>IF(P198,_xll.qDateYears(P197,P198,DCCfixed),0)</f>
        <v>0</v>
      </c>
      <c r="S197" s="519">
        <f ca="1"/>
        <v>0</v>
      </c>
      <c r="T197" s="720"/>
      <c r="U197" s="390">
        <f t="shared" si="44"/>
        <v>0</v>
      </c>
      <c r="X197" s="345">
        <v>0</v>
      </c>
      <c r="Y197" s="711">
        <f t="shared" si="35"/>
        <v>0</v>
      </c>
      <c r="Z197" s="712">
        <f>IF(X198,_xll.qDateYears(X197,X198,DCCfloat),0)</f>
        <v>0</v>
      </c>
      <c r="AA197" s="519">
        <f ca="1"/>
        <v>0</v>
      </c>
      <c r="AB197" s="890">
        <f>IF(X197=0,0,         IF(OR(CCY="AUD",CCY="NZD",CCY="GBP"),X197,   _xll.qDateNext(X197,"-2b",,,IF(CCY="EUR","TGT","LON"))))</f>
        <v>0</v>
      </c>
      <c r="AC197" s="879" t="str">
        <v/>
      </c>
      <c r="AD197" s="879" t="str">
        <v/>
      </c>
      <c r="AE197" s="879" t="str">
        <v/>
      </c>
      <c r="AF197" s="879" t="str">
        <v/>
      </c>
      <c r="AG197" s="879" t="str">
        <v/>
      </c>
      <c r="AH197" s="879" t="str">
        <v/>
      </c>
      <c r="AI197" s="879" t="str">
        <v/>
      </c>
      <c r="AJ197" s="879" t="str">
        <v/>
      </c>
      <c r="AK197" s="882">
        <f>IF($X197=0,0,      _xll.qDateNext($X197,AK$12,$AR$11,FRM&lt;&gt;"Calypso",CCY))</f>
        <v>0</v>
      </c>
      <c r="AL197" s="882">
        <f>IF($X197=0,0,      _xll.qDateNext($X197,AL$12,$AR$11,FRM&lt;&gt;"Calypso",CCY))</f>
        <v>0</v>
      </c>
      <c r="AM197" s="882">
        <f>IF($X197=0,0,      _xll.qDateNext($X197,AM$12,$AR$11,FRM&lt;&gt;"Calypso",CCY))</f>
        <v>0</v>
      </c>
      <c r="AN197" s="882">
        <f>IF($X197=0,0,      _xll.qDateNext($X197,AN$12,$AR$11,FRM&lt;&gt;"Calypso",CCY))</f>
        <v>0</v>
      </c>
      <c r="AO197" s="882">
        <f>IF($X197=0,0,      _xll.qDateNext($X197,AO$12,$AR$11,FRM&lt;&gt;"Calypso",CCY))</f>
        <v>0</v>
      </c>
      <c r="AP197" s="882">
        <f>IF($X197=0,0,      _xll.qDateNext($X197,AP$12,$AR$11,FRM&lt;&gt;"Calypso",CCY))</f>
        <v>0</v>
      </c>
      <c r="AQ197" s="882">
        <f>IF($X197=0,0,      _xll.qDateNext($X197,AQ$12,$AR$11,FRM&lt;&gt;"Calypso",CCY))</f>
        <v>0</v>
      </c>
      <c r="AR197" s="882">
        <f>IF($X197=0,0,      _xll.qDateNext($X197,AR$12,$AR$11,FRM&lt;&gt;"Calypso",CCY))</f>
        <v>0</v>
      </c>
      <c r="AS197" s="901">
        <f ca="1"/>
        <v>0</v>
      </c>
      <c r="AT197" s="901">
        <f ca="1"/>
        <v>0</v>
      </c>
      <c r="AU197" s="901">
        <f t="shared" si="45"/>
        <v>0</v>
      </c>
      <c r="AV197" s="901">
        <f ca="1"/>
        <v>0</v>
      </c>
      <c r="AW197" s="901">
        <f t="shared" si="46"/>
        <v>0</v>
      </c>
      <c r="AX197" s="901">
        <f t="shared" si="47"/>
        <v>0</v>
      </c>
      <c r="AY197" s="901">
        <f ca="1"/>
        <v>0</v>
      </c>
      <c r="AZ197" s="901">
        <f ca="1"/>
        <v>0</v>
      </c>
      <c r="BA197" s="905">
        <f t="shared" si="36"/>
        <v>0</v>
      </c>
      <c r="BB197" s="905">
        <f t="shared" si="37"/>
        <v>0</v>
      </c>
      <c r="BC197" s="905">
        <f t="shared" si="38"/>
        <v>0</v>
      </c>
      <c r="BD197" s="905">
        <f t="shared" si="39"/>
        <v>0</v>
      </c>
      <c r="BE197" s="905">
        <f t="shared" si="40"/>
        <v>0</v>
      </c>
      <c r="BF197" s="905">
        <f t="shared" si="41"/>
        <v>0</v>
      </c>
      <c r="BG197" s="905">
        <f t="shared" si="42"/>
        <v>0</v>
      </c>
      <c r="BH197" s="905">
        <f t="shared" si="43"/>
        <v>0</v>
      </c>
      <c r="BI197" s="713">
        <v>0</v>
      </c>
      <c r="BJ197" s="695"/>
      <c r="BK197" s="752">
        <f>IF(X198=0,0,           IF(ISNUMBER(BJ197),BJ197,               IF(ISTEXT(BJ197),INDEX(BA197:BH197,MATCH(BJ197,$BA$12:$BH$12,0)),             IF(BI197="INT",_xll.qInterp(X198,AK197:AR197,BA197:BH197),            INDEX(BA197:BH197,MATCH(BI197,$BA$12:$BH$12,0))))))</f>
        <v>0</v>
      </c>
      <c r="BL197" s="389">
        <f t="shared" si="48"/>
        <v>0</v>
      </c>
      <c r="BM197" s="394">
        <f t="shared" si="49"/>
        <v>0</v>
      </c>
      <c r="BN197" s="389">
        <f t="shared" si="50"/>
        <v>0</v>
      </c>
    </row>
    <row r="198" spans="16:66">
      <c r="P198" s="714">
        <v>0</v>
      </c>
      <c r="Q198" s="715">
        <f t="shared" si="34"/>
        <v>0</v>
      </c>
      <c r="R198" s="712">
        <f>IF(P199,_xll.qDateYears(P198,P199,DCCfixed),0)</f>
        <v>0</v>
      </c>
      <c r="S198" s="519">
        <f ca="1"/>
        <v>0</v>
      </c>
      <c r="T198" s="720"/>
      <c r="U198" s="390">
        <f t="shared" si="44"/>
        <v>0</v>
      </c>
      <c r="X198" s="345">
        <v>0</v>
      </c>
      <c r="Y198" s="711">
        <f t="shared" si="35"/>
        <v>0</v>
      </c>
      <c r="Z198" s="712">
        <f>IF(X199,_xll.qDateYears(X198,X199,DCCfloat),0)</f>
        <v>0</v>
      </c>
      <c r="AA198" s="519">
        <f ca="1"/>
        <v>0</v>
      </c>
      <c r="AB198" s="890">
        <f>IF(X198=0,0,         IF(OR(CCY="AUD",CCY="NZD",CCY="GBP"),X198,   _xll.qDateNext(X198,"-2b",,,IF(CCY="EUR","TGT","LON"))))</f>
        <v>0</v>
      </c>
      <c r="AC198" s="879" t="str">
        <v/>
      </c>
      <c r="AD198" s="879" t="str">
        <v/>
      </c>
      <c r="AE198" s="879" t="str">
        <v/>
      </c>
      <c r="AF198" s="879" t="str">
        <v/>
      </c>
      <c r="AG198" s="879" t="str">
        <v/>
      </c>
      <c r="AH198" s="879" t="str">
        <v/>
      </c>
      <c r="AI198" s="879" t="str">
        <v/>
      </c>
      <c r="AJ198" s="879" t="str">
        <v/>
      </c>
      <c r="AK198" s="882">
        <f>IF($X198=0,0,      _xll.qDateNext($X198,AK$12,$AR$11,FRM&lt;&gt;"Calypso",CCY))</f>
        <v>0</v>
      </c>
      <c r="AL198" s="882">
        <f>IF($X198=0,0,      _xll.qDateNext($X198,AL$12,$AR$11,FRM&lt;&gt;"Calypso",CCY))</f>
        <v>0</v>
      </c>
      <c r="AM198" s="882">
        <f>IF($X198=0,0,      _xll.qDateNext($X198,AM$12,$AR$11,FRM&lt;&gt;"Calypso",CCY))</f>
        <v>0</v>
      </c>
      <c r="AN198" s="882">
        <f>IF($X198=0,0,      _xll.qDateNext($X198,AN$12,$AR$11,FRM&lt;&gt;"Calypso",CCY))</f>
        <v>0</v>
      </c>
      <c r="AO198" s="882">
        <f>IF($X198=0,0,      _xll.qDateNext($X198,AO$12,$AR$11,FRM&lt;&gt;"Calypso",CCY))</f>
        <v>0</v>
      </c>
      <c r="AP198" s="882">
        <f>IF($X198=0,0,      _xll.qDateNext($X198,AP$12,$AR$11,FRM&lt;&gt;"Calypso",CCY))</f>
        <v>0</v>
      </c>
      <c r="AQ198" s="882">
        <f>IF($X198=0,0,      _xll.qDateNext($X198,AQ$12,$AR$11,FRM&lt;&gt;"Calypso",CCY))</f>
        <v>0</v>
      </c>
      <c r="AR198" s="882">
        <f>IF($X198=0,0,      _xll.qDateNext($X198,AR$12,$AR$11,FRM&lt;&gt;"Calypso",CCY))</f>
        <v>0</v>
      </c>
      <c r="AS198" s="901">
        <f ca="1"/>
        <v>0</v>
      </c>
      <c r="AT198" s="901">
        <f ca="1"/>
        <v>0</v>
      </c>
      <c r="AU198" s="901">
        <f t="shared" si="45"/>
        <v>0</v>
      </c>
      <c r="AV198" s="901">
        <f ca="1"/>
        <v>0</v>
      </c>
      <c r="AW198" s="901">
        <f t="shared" si="46"/>
        <v>0</v>
      </c>
      <c r="AX198" s="901">
        <f t="shared" si="47"/>
        <v>0</v>
      </c>
      <c r="AY198" s="901">
        <f ca="1"/>
        <v>0</v>
      </c>
      <c r="AZ198" s="901">
        <f ca="1"/>
        <v>0</v>
      </c>
      <c r="BA198" s="905">
        <f t="shared" si="36"/>
        <v>0</v>
      </c>
      <c r="BB198" s="905">
        <f t="shared" si="37"/>
        <v>0</v>
      </c>
      <c r="BC198" s="905">
        <f t="shared" si="38"/>
        <v>0</v>
      </c>
      <c r="BD198" s="905">
        <f t="shared" si="39"/>
        <v>0</v>
      </c>
      <c r="BE198" s="905">
        <f t="shared" si="40"/>
        <v>0</v>
      </c>
      <c r="BF198" s="905">
        <f t="shared" si="41"/>
        <v>0</v>
      </c>
      <c r="BG198" s="905">
        <f t="shared" si="42"/>
        <v>0</v>
      </c>
      <c r="BH198" s="905">
        <f t="shared" si="43"/>
        <v>0</v>
      </c>
      <c r="BI198" s="713">
        <v>0</v>
      </c>
      <c r="BJ198" s="695"/>
      <c r="BK198" s="752">
        <f>IF(X199=0,0,           IF(ISNUMBER(BJ198),BJ198,               IF(ISTEXT(BJ198),INDEX(BA198:BH198,MATCH(BJ198,$BA$12:$BH$12,0)),             IF(BI198="INT",_xll.qInterp(X199,AK198:AR198,BA198:BH198),            INDEX(BA198:BH198,MATCH(BI198,$BA$12:$BH$12,0))))))</f>
        <v>0</v>
      </c>
      <c r="BL198" s="389">
        <f t="shared" si="48"/>
        <v>0</v>
      </c>
      <c r="BM198" s="394">
        <f t="shared" si="49"/>
        <v>0</v>
      </c>
      <c r="BN198" s="389">
        <f t="shared" si="50"/>
        <v>0</v>
      </c>
    </row>
    <row r="199" spans="16:66">
      <c r="P199" s="714">
        <v>0</v>
      </c>
      <c r="Q199" s="715">
        <f t="shared" si="34"/>
        <v>0</v>
      </c>
      <c r="R199" s="712">
        <f>IF(P200,_xll.qDateYears(P199,P200,DCCfixed),0)</f>
        <v>0</v>
      </c>
      <c r="S199" s="519">
        <f ca="1"/>
        <v>0</v>
      </c>
      <c r="T199" s="720"/>
      <c r="U199" s="390">
        <f t="shared" si="44"/>
        <v>0</v>
      </c>
      <c r="X199" s="345">
        <v>0</v>
      </c>
      <c r="Y199" s="711">
        <f t="shared" si="35"/>
        <v>0</v>
      </c>
      <c r="Z199" s="712">
        <f>IF(X200,_xll.qDateYears(X199,X200,DCCfloat),0)</f>
        <v>0</v>
      </c>
      <c r="AA199" s="519">
        <f ca="1"/>
        <v>0</v>
      </c>
      <c r="AB199" s="890">
        <f>IF(X199=0,0,         IF(OR(CCY="AUD",CCY="NZD",CCY="GBP"),X199,   _xll.qDateNext(X199,"-2b",,,IF(CCY="EUR","TGT","LON"))))</f>
        <v>0</v>
      </c>
      <c r="AC199" s="879" t="str">
        <v/>
      </c>
      <c r="AD199" s="879" t="str">
        <v/>
      </c>
      <c r="AE199" s="879" t="str">
        <v/>
      </c>
      <c r="AF199" s="879" t="str">
        <v/>
      </c>
      <c r="AG199" s="879" t="str">
        <v/>
      </c>
      <c r="AH199" s="879" t="str">
        <v/>
      </c>
      <c r="AI199" s="879" t="str">
        <v/>
      </c>
      <c r="AJ199" s="879" t="str">
        <v/>
      </c>
      <c r="AK199" s="882">
        <f>IF($X199=0,0,      _xll.qDateNext($X199,AK$12,$AR$11,FRM&lt;&gt;"Calypso",CCY))</f>
        <v>0</v>
      </c>
      <c r="AL199" s="882">
        <f>IF($X199=0,0,      _xll.qDateNext($X199,AL$12,$AR$11,FRM&lt;&gt;"Calypso",CCY))</f>
        <v>0</v>
      </c>
      <c r="AM199" s="882">
        <f>IF($X199=0,0,      _xll.qDateNext($X199,AM$12,$AR$11,FRM&lt;&gt;"Calypso",CCY))</f>
        <v>0</v>
      </c>
      <c r="AN199" s="882">
        <f>IF($X199=0,0,      _xll.qDateNext($X199,AN$12,$AR$11,FRM&lt;&gt;"Calypso",CCY))</f>
        <v>0</v>
      </c>
      <c r="AO199" s="882">
        <f>IF($X199=0,0,      _xll.qDateNext($X199,AO$12,$AR$11,FRM&lt;&gt;"Calypso",CCY))</f>
        <v>0</v>
      </c>
      <c r="AP199" s="882">
        <f>IF($X199=0,0,      _xll.qDateNext($X199,AP$12,$AR$11,FRM&lt;&gt;"Calypso",CCY))</f>
        <v>0</v>
      </c>
      <c r="AQ199" s="882">
        <f>IF($X199=0,0,      _xll.qDateNext($X199,AQ$12,$AR$11,FRM&lt;&gt;"Calypso",CCY))</f>
        <v>0</v>
      </c>
      <c r="AR199" s="882">
        <f>IF($X199=0,0,      _xll.qDateNext($X199,AR$12,$AR$11,FRM&lt;&gt;"Calypso",CCY))</f>
        <v>0</v>
      </c>
      <c r="AS199" s="901">
        <f ca="1"/>
        <v>0</v>
      </c>
      <c r="AT199" s="901">
        <f ca="1"/>
        <v>0</v>
      </c>
      <c r="AU199" s="901">
        <f t="shared" si="45"/>
        <v>0</v>
      </c>
      <c r="AV199" s="901">
        <f ca="1"/>
        <v>0</v>
      </c>
      <c r="AW199" s="901">
        <f t="shared" si="46"/>
        <v>0</v>
      </c>
      <c r="AX199" s="901">
        <f t="shared" si="47"/>
        <v>0</v>
      </c>
      <c r="AY199" s="901">
        <f ca="1"/>
        <v>0</v>
      </c>
      <c r="AZ199" s="901">
        <f ca="1"/>
        <v>0</v>
      </c>
      <c r="BA199" s="905">
        <f t="shared" si="36"/>
        <v>0</v>
      </c>
      <c r="BB199" s="905">
        <f t="shared" si="37"/>
        <v>0</v>
      </c>
      <c r="BC199" s="905">
        <f t="shared" si="38"/>
        <v>0</v>
      </c>
      <c r="BD199" s="905">
        <f t="shared" si="39"/>
        <v>0</v>
      </c>
      <c r="BE199" s="905">
        <f t="shared" si="40"/>
        <v>0</v>
      </c>
      <c r="BF199" s="905">
        <f t="shared" si="41"/>
        <v>0</v>
      </c>
      <c r="BG199" s="905">
        <f t="shared" si="42"/>
        <v>0</v>
      </c>
      <c r="BH199" s="905">
        <f t="shared" si="43"/>
        <v>0</v>
      </c>
      <c r="BI199" s="713">
        <v>0</v>
      </c>
      <c r="BJ199" s="695"/>
      <c r="BK199" s="752">
        <f>IF(X200=0,0,           IF(ISNUMBER(BJ199),BJ199,               IF(ISTEXT(BJ199),INDEX(BA199:BH199,MATCH(BJ199,$BA$12:$BH$12,0)),             IF(BI199="INT",_xll.qInterp(X200,AK199:AR199,BA199:BH199),            INDEX(BA199:BH199,MATCH(BI199,$BA$12:$BH$12,0))))))</f>
        <v>0</v>
      </c>
      <c r="BL199" s="389">
        <f t="shared" si="48"/>
        <v>0</v>
      </c>
      <c r="BM199" s="394">
        <f t="shared" si="49"/>
        <v>0</v>
      </c>
      <c r="BN199" s="389">
        <f t="shared" si="50"/>
        <v>0</v>
      </c>
    </row>
    <row r="200" spans="16:66">
      <c r="P200" s="714">
        <v>0</v>
      </c>
      <c r="Q200" s="715">
        <f t="shared" si="34"/>
        <v>0</v>
      </c>
      <c r="R200" s="712">
        <f>IF(P201,_xll.qDateYears(P200,P201,DCCfixed),0)</f>
        <v>0</v>
      </c>
      <c r="S200" s="519">
        <f ca="1"/>
        <v>0</v>
      </c>
      <c r="T200" s="720"/>
      <c r="U200" s="390">
        <f t="shared" si="44"/>
        <v>0</v>
      </c>
      <c r="X200" s="345">
        <v>0</v>
      </c>
      <c r="Y200" s="711">
        <f t="shared" si="35"/>
        <v>0</v>
      </c>
      <c r="Z200" s="712">
        <f>IF(X201,_xll.qDateYears(X200,X201,DCCfloat),0)</f>
        <v>0</v>
      </c>
      <c r="AA200" s="519">
        <f ca="1"/>
        <v>0</v>
      </c>
      <c r="AB200" s="890">
        <f>IF(X200=0,0,         IF(OR(CCY="AUD",CCY="NZD",CCY="GBP"),X200,   _xll.qDateNext(X200,"-2b",,,IF(CCY="EUR","TGT","LON"))))</f>
        <v>0</v>
      </c>
      <c r="AC200" s="879" t="str">
        <v/>
      </c>
      <c r="AD200" s="879" t="str">
        <v/>
      </c>
      <c r="AE200" s="879" t="str">
        <v/>
      </c>
      <c r="AF200" s="879" t="str">
        <v/>
      </c>
      <c r="AG200" s="879" t="str">
        <v/>
      </c>
      <c r="AH200" s="879" t="str">
        <v/>
      </c>
      <c r="AI200" s="879" t="str">
        <v/>
      </c>
      <c r="AJ200" s="879" t="str">
        <v/>
      </c>
      <c r="AK200" s="882">
        <f>IF($X200=0,0,      _xll.qDateNext($X200,AK$12,$AR$11,FRM&lt;&gt;"Calypso",CCY))</f>
        <v>0</v>
      </c>
      <c r="AL200" s="882">
        <f>IF($X200=0,0,      _xll.qDateNext($X200,AL$12,$AR$11,FRM&lt;&gt;"Calypso",CCY))</f>
        <v>0</v>
      </c>
      <c r="AM200" s="882">
        <f>IF($X200=0,0,      _xll.qDateNext($X200,AM$12,$AR$11,FRM&lt;&gt;"Calypso",CCY))</f>
        <v>0</v>
      </c>
      <c r="AN200" s="882">
        <f>IF($X200=0,0,      _xll.qDateNext($X200,AN$12,$AR$11,FRM&lt;&gt;"Calypso",CCY))</f>
        <v>0</v>
      </c>
      <c r="AO200" s="882">
        <f>IF($X200=0,0,      _xll.qDateNext($X200,AO$12,$AR$11,FRM&lt;&gt;"Calypso",CCY))</f>
        <v>0</v>
      </c>
      <c r="AP200" s="882">
        <f>IF($X200=0,0,      _xll.qDateNext($X200,AP$12,$AR$11,FRM&lt;&gt;"Calypso",CCY))</f>
        <v>0</v>
      </c>
      <c r="AQ200" s="882">
        <f>IF($X200=0,0,      _xll.qDateNext($X200,AQ$12,$AR$11,FRM&lt;&gt;"Calypso",CCY))</f>
        <v>0</v>
      </c>
      <c r="AR200" s="882">
        <f>IF($X200=0,0,      _xll.qDateNext($X200,AR$12,$AR$11,FRM&lt;&gt;"Calypso",CCY))</f>
        <v>0</v>
      </c>
      <c r="AS200" s="901">
        <f ca="1"/>
        <v>0</v>
      </c>
      <c r="AT200" s="901">
        <f ca="1"/>
        <v>0</v>
      </c>
      <c r="AU200" s="901">
        <f t="shared" si="45"/>
        <v>0</v>
      </c>
      <c r="AV200" s="901">
        <f ca="1"/>
        <v>0</v>
      </c>
      <c r="AW200" s="901">
        <f t="shared" si="46"/>
        <v>0</v>
      </c>
      <c r="AX200" s="901">
        <f t="shared" si="47"/>
        <v>0</v>
      </c>
      <c r="AY200" s="901">
        <f ca="1"/>
        <v>0</v>
      </c>
      <c r="AZ200" s="901">
        <f ca="1"/>
        <v>0</v>
      </c>
      <c r="BA200" s="905">
        <f t="shared" si="36"/>
        <v>0</v>
      </c>
      <c r="BB200" s="905">
        <f t="shared" si="37"/>
        <v>0</v>
      </c>
      <c r="BC200" s="905">
        <f t="shared" si="38"/>
        <v>0</v>
      </c>
      <c r="BD200" s="905">
        <f t="shared" si="39"/>
        <v>0</v>
      </c>
      <c r="BE200" s="905">
        <f t="shared" si="40"/>
        <v>0</v>
      </c>
      <c r="BF200" s="905">
        <f t="shared" si="41"/>
        <v>0</v>
      </c>
      <c r="BG200" s="905">
        <f t="shared" si="42"/>
        <v>0</v>
      </c>
      <c r="BH200" s="905">
        <f t="shared" si="43"/>
        <v>0</v>
      </c>
      <c r="BI200" s="713">
        <v>0</v>
      </c>
      <c r="BJ200" s="695"/>
      <c r="BK200" s="752">
        <f>IF(X201=0,0,           IF(ISNUMBER(BJ200),BJ200,               IF(ISTEXT(BJ200),INDEX(BA200:BH200,MATCH(BJ200,$BA$12:$BH$12,0)),             IF(BI200="INT",_xll.qInterp(X201,AK200:AR200,BA200:BH200),            INDEX(BA200:BH200,MATCH(BI200,$BA$12:$BH$12,0))))))</f>
        <v>0</v>
      </c>
      <c r="BL200" s="389">
        <f t="shared" si="48"/>
        <v>0</v>
      </c>
      <c r="BM200" s="394">
        <f t="shared" si="49"/>
        <v>0</v>
      </c>
      <c r="BN200" s="389">
        <f t="shared" si="50"/>
        <v>0</v>
      </c>
    </row>
    <row r="201" spans="16:66">
      <c r="P201" s="714">
        <v>0</v>
      </c>
      <c r="Q201" s="715">
        <f t="shared" si="34"/>
        <v>0</v>
      </c>
      <c r="R201" s="712">
        <f>IF(P202,_xll.qDateYears(P201,P202,DCCfixed),0)</f>
        <v>0</v>
      </c>
      <c r="S201" s="519">
        <f ca="1"/>
        <v>0</v>
      </c>
      <c r="T201" s="720"/>
      <c r="U201" s="390">
        <f t="shared" si="44"/>
        <v>0</v>
      </c>
      <c r="X201" s="345">
        <v>0</v>
      </c>
      <c r="Y201" s="711">
        <f t="shared" si="35"/>
        <v>0</v>
      </c>
      <c r="Z201" s="712">
        <f>IF(X202,_xll.qDateYears(X201,X202,DCCfloat),0)</f>
        <v>0</v>
      </c>
      <c r="AA201" s="519">
        <f ca="1"/>
        <v>0</v>
      </c>
      <c r="AB201" s="890">
        <f>IF(X201=0,0,         IF(OR(CCY="AUD",CCY="NZD",CCY="GBP"),X201,   _xll.qDateNext(X201,"-2b",,,IF(CCY="EUR","TGT","LON"))))</f>
        <v>0</v>
      </c>
      <c r="AC201" s="879" t="str">
        <v/>
      </c>
      <c r="AD201" s="879" t="str">
        <v/>
      </c>
      <c r="AE201" s="879" t="str">
        <v/>
      </c>
      <c r="AF201" s="879" t="str">
        <v/>
      </c>
      <c r="AG201" s="879" t="str">
        <v/>
      </c>
      <c r="AH201" s="879" t="str">
        <v/>
      </c>
      <c r="AI201" s="879" t="str">
        <v/>
      </c>
      <c r="AJ201" s="879" t="str">
        <v/>
      </c>
      <c r="AK201" s="882">
        <f>IF($X201=0,0,      _xll.qDateNext($X201,AK$12,$AR$11,FRM&lt;&gt;"Calypso",CCY))</f>
        <v>0</v>
      </c>
      <c r="AL201" s="882">
        <f>IF($X201=0,0,      _xll.qDateNext($X201,AL$12,$AR$11,FRM&lt;&gt;"Calypso",CCY))</f>
        <v>0</v>
      </c>
      <c r="AM201" s="882">
        <f>IF($X201=0,0,      _xll.qDateNext($X201,AM$12,$AR$11,FRM&lt;&gt;"Calypso",CCY))</f>
        <v>0</v>
      </c>
      <c r="AN201" s="882">
        <f>IF($X201=0,0,      _xll.qDateNext($X201,AN$12,$AR$11,FRM&lt;&gt;"Calypso",CCY))</f>
        <v>0</v>
      </c>
      <c r="AO201" s="882">
        <f>IF($X201=0,0,      _xll.qDateNext($X201,AO$12,$AR$11,FRM&lt;&gt;"Calypso",CCY))</f>
        <v>0</v>
      </c>
      <c r="AP201" s="882">
        <f>IF($X201=0,0,      _xll.qDateNext($X201,AP$12,$AR$11,FRM&lt;&gt;"Calypso",CCY))</f>
        <v>0</v>
      </c>
      <c r="AQ201" s="882">
        <f>IF($X201=0,0,      _xll.qDateNext($X201,AQ$12,$AR$11,FRM&lt;&gt;"Calypso",CCY))</f>
        <v>0</v>
      </c>
      <c r="AR201" s="882">
        <f>IF($X201=0,0,      _xll.qDateNext($X201,AR$12,$AR$11,FRM&lt;&gt;"Calypso",CCY))</f>
        <v>0</v>
      </c>
      <c r="AS201" s="901">
        <f ca="1"/>
        <v>0</v>
      </c>
      <c r="AT201" s="901">
        <f ca="1"/>
        <v>0</v>
      </c>
      <c r="AU201" s="901">
        <f t="shared" si="45"/>
        <v>0</v>
      </c>
      <c r="AV201" s="901">
        <f ca="1"/>
        <v>0</v>
      </c>
      <c r="AW201" s="901">
        <f t="shared" si="46"/>
        <v>0</v>
      </c>
      <c r="AX201" s="901">
        <f t="shared" si="47"/>
        <v>0</v>
      </c>
      <c r="AY201" s="901">
        <f ca="1"/>
        <v>0</v>
      </c>
      <c r="AZ201" s="901">
        <f ca="1"/>
        <v>0</v>
      </c>
      <c r="BA201" s="905">
        <f t="shared" si="36"/>
        <v>0</v>
      </c>
      <c r="BB201" s="905">
        <f t="shared" si="37"/>
        <v>0</v>
      </c>
      <c r="BC201" s="905">
        <f t="shared" si="38"/>
        <v>0</v>
      </c>
      <c r="BD201" s="905">
        <f t="shared" si="39"/>
        <v>0</v>
      </c>
      <c r="BE201" s="905">
        <f t="shared" si="40"/>
        <v>0</v>
      </c>
      <c r="BF201" s="905">
        <f t="shared" si="41"/>
        <v>0</v>
      </c>
      <c r="BG201" s="905">
        <f t="shared" si="42"/>
        <v>0</v>
      </c>
      <c r="BH201" s="905">
        <f t="shared" si="43"/>
        <v>0</v>
      </c>
      <c r="BI201" s="713">
        <v>0</v>
      </c>
      <c r="BJ201" s="695"/>
      <c r="BK201" s="752">
        <f>IF(X202=0,0,           IF(ISNUMBER(BJ201),BJ201,               IF(ISTEXT(BJ201),INDEX(BA201:BH201,MATCH(BJ201,$BA$12:$BH$12,0)),             IF(BI201="INT",_xll.qInterp(X202,AK201:AR201,BA201:BH201),            INDEX(BA201:BH201,MATCH(BI201,$BA$12:$BH$12,0))))))</f>
        <v>0</v>
      </c>
      <c r="BL201" s="389">
        <f t="shared" si="48"/>
        <v>0</v>
      </c>
      <c r="BM201" s="394">
        <f t="shared" si="49"/>
        <v>0</v>
      </c>
      <c r="BN201" s="389">
        <f t="shared" si="50"/>
        <v>0</v>
      </c>
    </row>
    <row r="202" spans="16:66">
      <c r="P202" s="714">
        <v>0</v>
      </c>
      <c r="Q202" s="715">
        <f t="shared" si="34"/>
        <v>0</v>
      </c>
      <c r="R202" s="712">
        <f>IF(P203,_xll.qDateYears(P202,P203,DCCfixed),0)</f>
        <v>0</v>
      </c>
      <c r="S202" s="519">
        <f ca="1"/>
        <v>0</v>
      </c>
      <c r="T202" s="720"/>
      <c r="U202" s="390">
        <f t="shared" si="44"/>
        <v>0</v>
      </c>
      <c r="X202" s="345">
        <v>0</v>
      </c>
      <c r="Y202" s="711">
        <f t="shared" si="35"/>
        <v>0</v>
      </c>
      <c r="Z202" s="712">
        <f>IF(X203,_xll.qDateYears(X202,X203,DCCfloat),0)</f>
        <v>0</v>
      </c>
      <c r="AA202" s="519">
        <f ca="1"/>
        <v>0</v>
      </c>
      <c r="AB202" s="890">
        <f>IF(X202=0,0,         IF(OR(CCY="AUD",CCY="NZD",CCY="GBP"),X202,   _xll.qDateNext(X202,"-2b",,,IF(CCY="EUR","TGT","LON"))))</f>
        <v>0</v>
      </c>
      <c r="AC202" s="879" t="str">
        <v/>
      </c>
      <c r="AD202" s="879" t="str">
        <v/>
      </c>
      <c r="AE202" s="879" t="str">
        <v/>
      </c>
      <c r="AF202" s="879" t="str">
        <v/>
      </c>
      <c r="AG202" s="879" t="str">
        <v/>
      </c>
      <c r="AH202" s="879" t="str">
        <v/>
      </c>
      <c r="AI202" s="879" t="str">
        <v/>
      </c>
      <c r="AJ202" s="879" t="str">
        <v/>
      </c>
      <c r="AK202" s="882">
        <f>IF($X202=0,0,      _xll.qDateNext($X202,AK$12,$AR$11,FRM&lt;&gt;"Calypso",CCY))</f>
        <v>0</v>
      </c>
      <c r="AL202" s="882">
        <f>IF($X202=0,0,      _xll.qDateNext($X202,AL$12,$AR$11,FRM&lt;&gt;"Calypso",CCY))</f>
        <v>0</v>
      </c>
      <c r="AM202" s="882">
        <f>IF($X202=0,0,      _xll.qDateNext($X202,AM$12,$AR$11,FRM&lt;&gt;"Calypso",CCY))</f>
        <v>0</v>
      </c>
      <c r="AN202" s="882">
        <f>IF($X202=0,0,      _xll.qDateNext($X202,AN$12,$AR$11,FRM&lt;&gt;"Calypso",CCY))</f>
        <v>0</v>
      </c>
      <c r="AO202" s="882">
        <f>IF($X202=0,0,      _xll.qDateNext($X202,AO$12,$AR$11,FRM&lt;&gt;"Calypso",CCY))</f>
        <v>0</v>
      </c>
      <c r="AP202" s="882">
        <f>IF($X202=0,0,      _xll.qDateNext($X202,AP$12,$AR$11,FRM&lt;&gt;"Calypso",CCY))</f>
        <v>0</v>
      </c>
      <c r="AQ202" s="882">
        <f>IF($X202=0,0,      _xll.qDateNext($X202,AQ$12,$AR$11,FRM&lt;&gt;"Calypso",CCY))</f>
        <v>0</v>
      </c>
      <c r="AR202" s="882">
        <f>IF($X202=0,0,      _xll.qDateNext($X202,AR$12,$AR$11,FRM&lt;&gt;"Calypso",CCY))</f>
        <v>0</v>
      </c>
      <c r="AS202" s="901">
        <f ca="1"/>
        <v>0</v>
      </c>
      <c r="AT202" s="901">
        <f ca="1"/>
        <v>0</v>
      </c>
      <c r="AU202" s="901">
        <f t="shared" si="45"/>
        <v>0</v>
      </c>
      <c r="AV202" s="901">
        <f ca="1"/>
        <v>0</v>
      </c>
      <c r="AW202" s="901">
        <f t="shared" si="46"/>
        <v>0</v>
      </c>
      <c r="AX202" s="901">
        <f t="shared" si="47"/>
        <v>0</v>
      </c>
      <c r="AY202" s="901">
        <f ca="1"/>
        <v>0</v>
      </c>
      <c r="AZ202" s="901">
        <f ca="1"/>
        <v>0</v>
      </c>
      <c r="BA202" s="905">
        <f t="shared" si="36"/>
        <v>0</v>
      </c>
      <c r="BB202" s="905">
        <f t="shared" si="37"/>
        <v>0</v>
      </c>
      <c r="BC202" s="905">
        <f t="shared" si="38"/>
        <v>0</v>
      </c>
      <c r="BD202" s="905">
        <f t="shared" si="39"/>
        <v>0</v>
      </c>
      <c r="BE202" s="905">
        <f t="shared" si="40"/>
        <v>0</v>
      </c>
      <c r="BF202" s="905">
        <f t="shared" si="41"/>
        <v>0</v>
      </c>
      <c r="BG202" s="905">
        <f t="shared" si="42"/>
        <v>0</v>
      </c>
      <c r="BH202" s="905">
        <f t="shared" si="43"/>
        <v>0</v>
      </c>
      <c r="BI202" s="713">
        <v>0</v>
      </c>
      <c r="BJ202" s="695"/>
      <c r="BK202" s="752">
        <f>IF(X203=0,0,           IF(ISNUMBER(BJ202),BJ202,               IF(ISTEXT(BJ202),INDEX(BA202:BH202,MATCH(BJ202,$BA$12:$BH$12,0)),             IF(BI202="INT",_xll.qInterp(X203,AK202:AR202,BA202:BH202),            INDEX(BA202:BH202,MATCH(BI202,$BA$12:$BH$12,0))))))</f>
        <v>0</v>
      </c>
      <c r="BL202" s="389">
        <f t="shared" si="48"/>
        <v>0</v>
      </c>
      <c r="BM202" s="394">
        <f t="shared" si="49"/>
        <v>0</v>
      </c>
      <c r="BN202" s="389">
        <f t="shared" si="50"/>
        <v>0</v>
      </c>
    </row>
    <row r="203" spans="16:66">
      <c r="P203" s="714">
        <v>0</v>
      </c>
      <c r="Q203" s="715">
        <f t="shared" si="34"/>
        <v>0</v>
      </c>
      <c r="R203" s="712">
        <f>IF(P204,_xll.qDateYears(P203,P204,DCCfixed),0)</f>
        <v>0</v>
      </c>
      <c r="S203" s="519">
        <f ca="1"/>
        <v>0</v>
      </c>
      <c r="T203" s="720"/>
      <c r="U203" s="390">
        <f t="shared" si="44"/>
        <v>0</v>
      </c>
      <c r="X203" s="345">
        <v>0</v>
      </c>
      <c r="Y203" s="711">
        <f t="shared" si="35"/>
        <v>0</v>
      </c>
      <c r="Z203" s="712">
        <f>IF(X204,_xll.qDateYears(X203,X204,DCCfloat),0)</f>
        <v>0</v>
      </c>
      <c r="AA203" s="519">
        <f ca="1"/>
        <v>0</v>
      </c>
      <c r="AB203" s="890">
        <f>IF(X203=0,0,         IF(OR(CCY="AUD",CCY="NZD",CCY="GBP"),X203,   _xll.qDateNext(X203,"-2b",,,IF(CCY="EUR","TGT","LON"))))</f>
        <v>0</v>
      </c>
      <c r="AC203" s="879" t="str">
        <v/>
      </c>
      <c r="AD203" s="879" t="str">
        <v/>
      </c>
      <c r="AE203" s="879" t="str">
        <v/>
      </c>
      <c r="AF203" s="879" t="str">
        <v/>
      </c>
      <c r="AG203" s="879" t="str">
        <v/>
      </c>
      <c r="AH203" s="879" t="str">
        <v/>
      </c>
      <c r="AI203" s="879" t="str">
        <v/>
      </c>
      <c r="AJ203" s="879" t="str">
        <v/>
      </c>
      <c r="AK203" s="882">
        <f>IF($X203=0,0,      _xll.qDateNext($X203,AK$12,$AR$11,FRM&lt;&gt;"Calypso",CCY))</f>
        <v>0</v>
      </c>
      <c r="AL203" s="882">
        <f>IF($X203=0,0,      _xll.qDateNext($X203,AL$12,$AR$11,FRM&lt;&gt;"Calypso",CCY))</f>
        <v>0</v>
      </c>
      <c r="AM203" s="882">
        <f>IF($X203=0,0,      _xll.qDateNext($X203,AM$12,$AR$11,FRM&lt;&gt;"Calypso",CCY))</f>
        <v>0</v>
      </c>
      <c r="AN203" s="882">
        <f>IF($X203=0,0,      _xll.qDateNext($X203,AN$12,$AR$11,FRM&lt;&gt;"Calypso",CCY))</f>
        <v>0</v>
      </c>
      <c r="AO203" s="882">
        <f>IF($X203=0,0,      _xll.qDateNext($X203,AO$12,$AR$11,FRM&lt;&gt;"Calypso",CCY))</f>
        <v>0</v>
      </c>
      <c r="AP203" s="882">
        <f>IF($X203=0,0,      _xll.qDateNext($X203,AP$12,$AR$11,FRM&lt;&gt;"Calypso",CCY))</f>
        <v>0</v>
      </c>
      <c r="AQ203" s="882">
        <f>IF($X203=0,0,      _xll.qDateNext($X203,AQ$12,$AR$11,FRM&lt;&gt;"Calypso",CCY))</f>
        <v>0</v>
      </c>
      <c r="AR203" s="882">
        <f>IF($X203=0,0,      _xll.qDateNext($X203,AR$12,$AR$11,FRM&lt;&gt;"Calypso",CCY))</f>
        <v>0</v>
      </c>
      <c r="AS203" s="901">
        <f ca="1"/>
        <v>0</v>
      </c>
      <c r="AT203" s="901">
        <f ca="1"/>
        <v>0</v>
      </c>
      <c r="AU203" s="901">
        <f t="shared" si="45"/>
        <v>0</v>
      </c>
      <c r="AV203" s="901">
        <f ca="1"/>
        <v>0</v>
      </c>
      <c r="AW203" s="901">
        <f t="shared" si="46"/>
        <v>0</v>
      </c>
      <c r="AX203" s="901">
        <f t="shared" si="47"/>
        <v>0</v>
      </c>
      <c r="AY203" s="901">
        <f ca="1"/>
        <v>0</v>
      </c>
      <c r="AZ203" s="901">
        <f ca="1"/>
        <v>0</v>
      </c>
      <c r="BA203" s="905">
        <f t="shared" si="36"/>
        <v>0</v>
      </c>
      <c r="BB203" s="905">
        <f t="shared" si="37"/>
        <v>0</v>
      </c>
      <c r="BC203" s="905">
        <f t="shared" si="38"/>
        <v>0</v>
      </c>
      <c r="BD203" s="905">
        <f t="shared" si="39"/>
        <v>0</v>
      </c>
      <c r="BE203" s="905">
        <f t="shared" si="40"/>
        <v>0</v>
      </c>
      <c r="BF203" s="905">
        <f t="shared" si="41"/>
        <v>0</v>
      </c>
      <c r="BG203" s="905">
        <f t="shared" si="42"/>
        <v>0</v>
      </c>
      <c r="BH203" s="905">
        <f t="shared" si="43"/>
        <v>0</v>
      </c>
      <c r="BI203" s="713">
        <v>0</v>
      </c>
      <c r="BJ203" s="695"/>
      <c r="BK203" s="752">
        <f>IF(X204=0,0,           IF(ISNUMBER(BJ203),BJ203,               IF(ISTEXT(BJ203),INDEX(BA203:BH203,MATCH(BJ203,$BA$12:$BH$12,0)),             IF(BI203="INT",_xll.qInterp(X204,AK203:AR203,BA203:BH203),            INDEX(BA203:BH203,MATCH(BI203,$BA$12:$BH$12,0))))))</f>
        <v>0</v>
      </c>
      <c r="BL203" s="389">
        <f t="shared" si="48"/>
        <v>0</v>
      </c>
      <c r="BM203" s="394">
        <f t="shared" si="49"/>
        <v>0</v>
      </c>
      <c r="BN203" s="389">
        <f t="shared" si="50"/>
        <v>0</v>
      </c>
    </row>
    <row r="204" spans="16:66">
      <c r="P204" s="714">
        <v>0</v>
      </c>
      <c r="Q204" s="715">
        <f t="shared" si="34"/>
        <v>0</v>
      </c>
      <c r="R204" s="712">
        <f>IF(P205,_xll.qDateYears(P204,P205,DCCfixed),0)</f>
        <v>0</v>
      </c>
      <c r="S204" s="519">
        <f ca="1"/>
        <v>0</v>
      </c>
      <c r="T204" s="720"/>
      <c r="U204" s="390">
        <f t="shared" si="44"/>
        <v>0</v>
      </c>
      <c r="X204" s="345">
        <v>0</v>
      </c>
      <c r="Y204" s="711">
        <f t="shared" si="35"/>
        <v>0</v>
      </c>
      <c r="Z204" s="712">
        <f>IF(X205,_xll.qDateYears(X204,X205,DCCfloat),0)</f>
        <v>0</v>
      </c>
      <c r="AA204" s="519">
        <f ca="1"/>
        <v>0</v>
      </c>
      <c r="AB204" s="890">
        <f>IF(X204=0,0,         IF(OR(CCY="AUD",CCY="NZD",CCY="GBP"),X204,   _xll.qDateNext(X204,"-2b",,,IF(CCY="EUR","TGT","LON"))))</f>
        <v>0</v>
      </c>
      <c r="AC204" s="879" t="str">
        <v/>
      </c>
      <c r="AD204" s="879" t="str">
        <v/>
      </c>
      <c r="AE204" s="879" t="str">
        <v/>
      </c>
      <c r="AF204" s="879" t="str">
        <v/>
      </c>
      <c r="AG204" s="879" t="str">
        <v/>
      </c>
      <c r="AH204" s="879" t="str">
        <v/>
      </c>
      <c r="AI204" s="879" t="str">
        <v/>
      </c>
      <c r="AJ204" s="879" t="str">
        <v/>
      </c>
      <c r="AK204" s="882">
        <f>IF($X204=0,0,      _xll.qDateNext($X204,AK$12,$AR$11,FRM&lt;&gt;"Calypso",CCY))</f>
        <v>0</v>
      </c>
      <c r="AL204" s="882">
        <f>IF($X204=0,0,      _xll.qDateNext($X204,AL$12,$AR$11,FRM&lt;&gt;"Calypso",CCY))</f>
        <v>0</v>
      </c>
      <c r="AM204" s="882">
        <f>IF($X204=0,0,      _xll.qDateNext($X204,AM$12,$AR$11,FRM&lt;&gt;"Calypso",CCY))</f>
        <v>0</v>
      </c>
      <c r="AN204" s="882">
        <f>IF($X204=0,0,      _xll.qDateNext($X204,AN$12,$AR$11,FRM&lt;&gt;"Calypso",CCY))</f>
        <v>0</v>
      </c>
      <c r="AO204" s="882">
        <f>IF($X204=0,0,      _xll.qDateNext($X204,AO$12,$AR$11,FRM&lt;&gt;"Calypso",CCY))</f>
        <v>0</v>
      </c>
      <c r="AP204" s="882">
        <f>IF($X204=0,0,      _xll.qDateNext($X204,AP$12,$AR$11,FRM&lt;&gt;"Calypso",CCY))</f>
        <v>0</v>
      </c>
      <c r="AQ204" s="882">
        <f>IF($X204=0,0,      _xll.qDateNext($X204,AQ$12,$AR$11,FRM&lt;&gt;"Calypso",CCY))</f>
        <v>0</v>
      </c>
      <c r="AR204" s="882">
        <f>IF($X204=0,0,      _xll.qDateNext($X204,AR$12,$AR$11,FRM&lt;&gt;"Calypso",CCY))</f>
        <v>0</v>
      </c>
      <c r="AS204" s="901">
        <f ca="1"/>
        <v>0</v>
      </c>
      <c r="AT204" s="901">
        <f ca="1"/>
        <v>0</v>
      </c>
      <c r="AU204" s="901">
        <f t="shared" si="45"/>
        <v>0</v>
      </c>
      <c r="AV204" s="901">
        <f ca="1"/>
        <v>0</v>
      </c>
      <c r="AW204" s="901">
        <f t="shared" si="46"/>
        <v>0</v>
      </c>
      <c r="AX204" s="901">
        <f t="shared" si="47"/>
        <v>0</v>
      </c>
      <c r="AY204" s="901">
        <f ca="1"/>
        <v>0</v>
      </c>
      <c r="AZ204" s="901">
        <f ca="1"/>
        <v>0</v>
      </c>
      <c r="BA204" s="905">
        <f t="shared" si="36"/>
        <v>0</v>
      </c>
      <c r="BB204" s="905">
        <f t="shared" si="37"/>
        <v>0</v>
      </c>
      <c r="BC204" s="905">
        <f t="shared" si="38"/>
        <v>0</v>
      </c>
      <c r="BD204" s="905">
        <f t="shared" si="39"/>
        <v>0</v>
      </c>
      <c r="BE204" s="905">
        <f t="shared" si="40"/>
        <v>0</v>
      </c>
      <c r="BF204" s="905">
        <f t="shared" si="41"/>
        <v>0</v>
      </c>
      <c r="BG204" s="905">
        <f t="shared" si="42"/>
        <v>0</v>
      </c>
      <c r="BH204" s="905">
        <f t="shared" si="43"/>
        <v>0</v>
      </c>
      <c r="BI204" s="713">
        <v>0</v>
      </c>
      <c r="BJ204" s="695"/>
      <c r="BK204" s="752">
        <f>IF(X205=0,0,           IF(ISNUMBER(BJ204),BJ204,               IF(ISTEXT(BJ204),INDEX(BA204:BH204,MATCH(BJ204,$BA$12:$BH$12,0)),             IF(BI204="INT",_xll.qInterp(X205,AK204:AR204,BA204:BH204),            INDEX(BA204:BH204,MATCH(BI204,$BA$12:$BH$12,0))))))</f>
        <v>0</v>
      </c>
      <c r="BL204" s="389">
        <f t="shared" si="48"/>
        <v>0</v>
      </c>
      <c r="BM204" s="394">
        <f t="shared" si="49"/>
        <v>0</v>
      </c>
      <c r="BN204" s="389">
        <f t="shared" si="50"/>
        <v>0</v>
      </c>
    </row>
    <row r="205" spans="16:66">
      <c r="P205" s="714">
        <v>0</v>
      </c>
      <c r="Q205" s="715">
        <f t="shared" ref="Q205:Q268" si="51">IF(P206,IF(LEFT(DCCfixed,3)="Act",P206-P205,DAYS360(P205,P206)),0)</f>
        <v>0</v>
      </c>
      <c r="R205" s="712">
        <f>IF(P206,_xll.qDateYears(P205,P206,DCCfixed),0)</f>
        <v>0</v>
      </c>
      <c r="S205" s="519">
        <f ca="1"/>
        <v>0</v>
      </c>
      <c r="T205" s="720"/>
      <c r="U205" s="390">
        <f t="shared" si="44"/>
        <v>0</v>
      </c>
      <c r="X205" s="345">
        <v>0</v>
      </c>
      <c r="Y205" s="711">
        <f t="shared" ref="Y205:Y268" si="52">IF(X206,IF(LEFT(DCCfloat,3)="Act",X206-X205,DAYS360(X205,X206)),0)</f>
        <v>0</v>
      </c>
      <c r="Z205" s="712">
        <f>IF(X206,_xll.qDateYears(X205,X206,DCCfloat),0)</f>
        <v>0</v>
      </c>
      <c r="AA205" s="519">
        <f ca="1"/>
        <v>0</v>
      </c>
      <c r="AB205" s="890">
        <f>IF(X205=0,0,         IF(OR(CCY="AUD",CCY="NZD",CCY="GBP"),X205,   _xll.qDateNext(X205,"-2b",,,IF(CCY="EUR","TGT","LON"))))</f>
        <v>0</v>
      </c>
      <c r="AC205" s="879" t="str">
        <v/>
      </c>
      <c r="AD205" s="879" t="str">
        <v/>
      </c>
      <c r="AE205" s="879" t="str">
        <v/>
      </c>
      <c r="AF205" s="879" t="str">
        <v/>
      </c>
      <c r="AG205" s="879" t="str">
        <v/>
      </c>
      <c r="AH205" s="879" t="str">
        <v/>
      </c>
      <c r="AI205" s="879" t="str">
        <v/>
      </c>
      <c r="AJ205" s="879" t="str">
        <v/>
      </c>
      <c r="AK205" s="882">
        <f>IF($X205=0,0,      _xll.qDateNext($X205,AK$12,$AR$11,FRM&lt;&gt;"Calypso",CCY))</f>
        <v>0</v>
      </c>
      <c r="AL205" s="882">
        <f>IF($X205=0,0,      _xll.qDateNext($X205,AL$12,$AR$11,FRM&lt;&gt;"Calypso",CCY))</f>
        <v>0</v>
      </c>
      <c r="AM205" s="882">
        <f>IF($X205=0,0,      _xll.qDateNext($X205,AM$12,$AR$11,FRM&lt;&gt;"Calypso",CCY))</f>
        <v>0</v>
      </c>
      <c r="AN205" s="882">
        <f>IF($X205=0,0,      _xll.qDateNext($X205,AN$12,$AR$11,FRM&lt;&gt;"Calypso",CCY))</f>
        <v>0</v>
      </c>
      <c r="AO205" s="882">
        <f>IF($X205=0,0,      _xll.qDateNext($X205,AO$12,$AR$11,FRM&lt;&gt;"Calypso",CCY))</f>
        <v>0</v>
      </c>
      <c r="AP205" s="882">
        <f>IF($X205=0,0,      _xll.qDateNext($X205,AP$12,$AR$11,FRM&lt;&gt;"Calypso",CCY))</f>
        <v>0</v>
      </c>
      <c r="AQ205" s="882">
        <f>IF($X205=0,0,      _xll.qDateNext($X205,AQ$12,$AR$11,FRM&lt;&gt;"Calypso",CCY))</f>
        <v>0</v>
      </c>
      <c r="AR205" s="882">
        <f>IF($X205=0,0,      _xll.qDateNext($X205,AR$12,$AR$11,FRM&lt;&gt;"Calypso",CCY))</f>
        <v>0</v>
      </c>
      <c r="AS205" s="901">
        <f ca="1"/>
        <v>0</v>
      </c>
      <c r="AT205" s="901">
        <f ca="1"/>
        <v>0</v>
      </c>
      <c r="AU205" s="901">
        <f t="shared" si="45"/>
        <v>0</v>
      </c>
      <c r="AV205" s="901">
        <f ca="1"/>
        <v>0</v>
      </c>
      <c r="AW205" s="901">
        <f t="shared" si="46"/>
        <v>0</v>
      </c>
      <c r="AX205" s="901">
        <f t="shared" si="47"/>
        <v>0</v>
      </c>
      <c r="AY205" s="901">
        <f ca="1"/>
        <v>0</v>
      </c>
      <c r="AZ205" s="901">
        <f ca="1"/>
        <v>0</v>
      </c>
      <c r="BA205" s="905">
        <f t="shared" ref="BA205:BA268" si="53">IF($X205=0,0,   IF(ISNUMBER(AC205),AC205,AS205))</f>
        <v>0</v>
      </c>
      <c r="BB205" s="905">
        <f t="shared" ref="BB205:BB268" si="54">IF($X205=0,0,   IF(ISNUMBER(AD205),AD205,AT205))</f>
        <v>0</v>
      </c>
      <c r="BC205" s="905">
        <f t="shared" ref="BC205:BC268" si="55">IF($X205=0,0,   IF(ISNUMBER(AE205),AE205,AU205))</f>
        <v>0</v>
      </c>
      <c r="BD205" s="905">
        <f t="shared" ref="BD205:BD268" si="56">IF($X205=0,0,   IF(ISNUMBER(AF205),AF205,AV205))</f>
        <v>0</v>
      </c>
      <c r="BE205" s="905">
        <f t="shared" ref="BE205:BE268" si="57">IF($X205=0,0,   IF(ISNUMBER(AG205),AG205,AW205))</f>
        <v>0</v>
      </c>
      <c r="BF205" s="905">
        <f t="shared" ref="BF205:BF268" si="58">IF($X205=0,0,   IF(ISNUMBER(AH205),AH205,AX205))</f>
        <v>0</v>
      </c>
      <c r="BG205" s="905">
        <f t="shared" ref="BG205:BG268" si="59">IF($X205=0,0,   IF(ISNUMBER(AI205),AI205,AY205))</f>
        <v>0</v>
      </c>
      <c r="BH205" s="905">
        <f t="shared" ref="BH205:BH268" si="60">IF($X205=0,0,   IF(ISNUMBER(AJ205),AJ205,AZ205))</f>
        <v>0</v>
      </c>
      <c r="BI205" s="713">
        <v>0</v>
      </c>
      <c r="BJ205" s="695"/>
      <c r="BK205" s="752">
        <f>IF(X206=0,0,           IF(ISNUMBER(BJ205),BJ205,               IF(ISTEXT(BJ205),INDEX(BA205:BH205,MATCH(BJ205,$BA$12:$BH$12,0)),             IF(BI205="INT",_xll.qInterp(X206,AK205:AR205,BA205:BH205),            INDEX(BA205:BH205,MATCH(BI205,$BA$12:$BH$12,0))))))</f>
        <v>0</v>
      </c>
      <c r="BL205" s="389">
        <f t="shared" si="48"/>
        <v>0</v>
      </c>
      <c r="BM205" s="394">
        <f t="shared" si="49"/>
        <v>0</v>
      </c>
      <c r="BN205" s="389">
        <f t="shared" si="50"/>
        <v>0</v>
      </c>
    </row>
    <row r="206" spans="16:66">
      <c r="P206" s="714">
        <v>0</v>
      </c>
      <c r="Q206" s="715">
        <f t="shared" si="51"/>
        <v>0</v>
      </c>
      <c r="R206" s="712">
        <f>IF(P207,_xll.qDateYears(P206,P207,DCCfixed),0)</f>
        <v>0</v>
      </c>
      <c r="S206" s="519">
        <f ca="1"/>
        <v>0</v>
      </c>
      <c r="T206" s="720"/>
      <c r="U206" s="390">
        <f t="shared" ref="U206:U269" si="61">IF(P206,$U$5%*R205*Face,0) + IF(AND(IncludePrincipals,P206&gt;0,P207=0),Face,0) + IF(P206,T206,0)</f>
        <v>0</v>
      </c>
      <c r="X206" s="345">
        <v>0</v>
      </c>
      <c r="Y206" s="711">
        <f t="shared" si="52"/>
        <v>0</v>
      </c>
      <c r="Z206" s="712">
        <f>IF(X207,_xll.qDateYears(X206,X207,DCCfloat),0)</f>
        <v>0</v>
      </c>
      <c r="AA206" s="519">
        <f ca="1"/>
        <v>0</v>
      </c>
      <c r="AB206" s="890">
        <f>IF(X206=0,0,         IF(OR(CCY="AUD",CCY="NZD",CCY="GBP"),X206,   _xll.qDateNext(X206,"-2b",,,IF(CCY="EUR","TGT","LON"))))</f>
        <v>0</v>
      </c>
      <c r="AC206" s="879" t="str">
        <v/>
      </c>
      <c r="AD206" s="879" t="str">
        <v/>
      </c>
      <c r="AE206" s="879" t="str">
        <v/>
      </c>
      <c r="AF206" s="879" t="str">
        <v/>
      </c>
      <c r="AG206" s="879" t="str">
        <v/>
      </c>
      <c r="AH206" s="879" t="str">
        <v/>
      </c>
      <c r="AI206" s="879" t="str">
        <v/>
      </c>
      <c r="AJ206" s="879" t="str">
        <v/>
      </c>
      <c r="AK206" s="882">
        <f>IF($X206=0,0,      _xll.qDateNext($X206,AK$12,$AR$11,FRM&lt;&gt;"Calypso",CCY))</f>
        <v>0</v>
      </c>
      <c r="AL206" s="882">
        <f>IF($X206=0,0,      _xll.qDateNext($X206,AL$12,$AR$11,FRM&lt;&gt;"Calypso",CCY))</f>
        <v>0</v>
      </c>
      <c r="AM206" s="882">
        <f>IF($X206=0,0,      _xll.qDateNext($X206,AM$12,$AR$11,FRM&lt;&gt;"Calypso",CCY))</f>
        <v>0</v>
      </c>
      <c r="AN206" s="882">
        <f>IF($X206=0,0,      _xll.qDateNext($X206,AN$12,$AR$11,FRM&lt;&gt;"Calypso",CCY))</f>
        <v>0</v>
      </c>
      <c r="AO206" s="882">
        <f>IF($X206=0,0,      _xll.qDateNext($X206,AO$12,$AR$11,FRM&lt;&gt;"Calypso",CCY))</f>
        <v>0</v>
      </c>
      <c r="AP206" s="882">
        <f>IF($X206=0,0,      _xll.qDateNext($X206,AP$12,$AR$11,FRM&lt;&gt;"Calypso",CCY))</f>
        <v>0</v>
      </c>
      <c r="AQ206" s="882">
        <f>IF($X206=0,0,      _xll.qDateNext($X206,AQ$12,$AR$11,FRM&lt;&gt;"Calypso",CCY))</f>
        <v>0</v>
      </c>
      <c r="AR206" s="882">
        <f>IF($X206=0,0,      _xll.qDateNext($X206,AR$12,$AR$11,FRM&lt;&gt;"Calypso",CCY))</f>
        <v>0</v>
      </c>
      <c r="AS206" s="901">
        <f ca="1"/>
        <v>0</v>
      </c>
      <c r="AT206" s="901">
        <f ca="1"/>
        <v>0</v>
      </c>
      <c r="AU206" s="901">
        <f t="shared" ref="AU206:AU269" si="62">IF($X206,AVERAGE(AT206,AV206),0)</f>
        <v>0</v>
      </c>
      <c r="AV206" s="901">
        <f ca="1"/>
        <v>0</v>
      </c>
      <c r="AW206" s="901">
        <f t="shared" ref="AW206:AW269" si="63">IF($X206,AV206+(AY206-AV206)/3,0)</f>
        <v>0</v>
      </c>
      <c r="AX206" s="901">
        <f t="shared" ref="AX206:AX269" si="64">IF($X206,AVERAGE(AW206,AY206),0)</f>
        <v>0</v>
      </c>
      <c r="AY206" s="901">
        <f ca="1"/>
        <v>0</v>
      </c>
      <c r="AZ206" s="901">
        <f ca="1"/>
        <v>0</v>
      </c>
      <c r="BA206" s="905">
        <f t="shared" si="53"/>
        <v>0</v>
      </c>
      <c r="BB206" s="905">
        <f t="shared" si="54"/>
        <v>0</v>
      </c>
      <c r="BC206" s="905">
        <f t="shared" si="55"/>
        <v>0</v>
      </c>
      <c r="BD206" s="905">
        <f t="shared" si="56"/>
        <v>0</v>
      </c>
      <c r="BE206" s="905">
        <f t="shared" si="57"/>
        <v>0</v>
      </c>
      <c r="BF206" s="905">
        <f t="shared" si="58"/>
        <v>0</v>
      </c>
      <c r="BG206" s="905">
        <f t="shared" si="59"/>
        <v>0</v>
      </c>
      <c r="BH206" s="905">
        <f t="shared" si="60"/>
        <v>0</v>
      </c>
      <c r="BI206" s="713">
        <v>0</v>
      </c>
      <c r="BJ206" s="695"/>
      <c r="BK206" s="752">
        <f>IF(X207=0,0,           IF(ISNUMBER(BJ206),BJ206,               IF(ISTEXT(BJ206),INDEX(BA206:BH206,MATCH(BJ206,$BA$12:$BH$12,0)),             IF(BI206="INT",_xll.qInterp(X207,AK206:AR206,BA206:BH206),            INDEX(BA206:BH206,MATCH(BI206,$BA$12:$BH$12,0))))))</f>
        <v>0</v>
      </c>
      <c r="BL206" s="389">
        <f t="shared" ref="BL206:BL269" si="65">IF(X206,-BK205%*Face*Z205,0)</f>
        <v>0</v>
      </c>
      <c r="BM206" s="394">
        <f t="shared" ref="BM206:BM269" si="66">IF(X206,-Margin%%*Z205*Face,0)</f>
        <v>0</v>
      </c>
      <c r="BN206" s="389">
        <f t="shared" ref="BN206:BN269" si="67">SUM(BL206:BM206)+IF(AND(IncludePrincipals,X206&lt;&gt;0,X207=0),-Face,0)</f>
        <v>0</v>
      </c>
    </row>
    <row r="207" spans="16:66">
      <c r="P207" s="714">
        <v>0</v>
      </c>
      <c r="Q207" s="715">
        <f t="shared" si="51"/>
        <v>0</v>
      </c>
      <c r="R207" s="712">
        <f>IF(P208,_xll.qDateYears(P207,P208,DCCfixed),0)</f>
        <v>0</v>
      </c>
      <c r="S207" s="519">
        <f ca="1"/>
        <v>0</v>
      </c>
      <c r="T207" s="720"/>
      <c r="U207" s="390">
        <f t="shared" si="61"/>
        <v>0</v>
      </c>
      <c r="X207" s="345">
        <v>0</v>
      </c>
      <c r="Y207" s="711">
        <f t="shared" si="52"/>
        <v>0</v>
      </c>
      <c r="Z207" s="712">
        <f>IF(X208,_xll.qDateYears(X207,X208,DCCfloat),0)</f>
        <v>0</v>
      </c>
      <c r="AA207" s="519">
        <f ca="1"/>
        <v>0</v>
      </c>
      <c r="AB207" s="890">
        <f>IF(X207=0,0,         IF(OR(CCY="AUD",CCY="NZD",CCY="GBP"),X207,   _xll.qDateNext(X207,"-2b",,,IF(CCY="EUR","TGT","LON"))))</f>
        <v>0</v>
      </c>
      <c r="AC207" s="879" t="str">
        <v/>
      </c>
      <c r="AD207" s="879" t="str">
        <v/>
      </c>
      <c r="AE207" s="879" t="str">
        <v/>
      </c>
      <c r="AF207" s="879" t="str">
        <v/>
      </c>
      <c r="AG207" s="879" t="str">
        <v/>
      </c>
      <c r="AH207" s="879" t="str">
        <v/>
      </c>
      <c r="AI207" s="879" t="str">
        <v/>
      </c>
      <c r="AJ207" s="879" t="str">
        <v/>
      </c>
      <c r="AK207" s="882">
        <f>IF($X207=0,0,      _xll.qDateNext($X207,AK$12,$AR$11,FRM&lt;&gt;"Calypso",CCY))</f>
        <v>0</v>
      </c>
      <c r="AL207" s="882">
        <f>IF($X207=0,0,      _xll.qDateNext($X207,AL$12,$AR$11,FRM&lt;&gt;"Calypso",CCY))</f>
        <v>0</v>
      </c>
      <c r="AM207" s="882">
        <f>IF($X207=0,0,      _xll.qDateNext($X207,AM$12,$AR$11,FRM&lt;&gt;"Calypso",CCY))</f>
        <v>0</v>
      </c>
      <c r="AN207" s="882">
        <f>IF($X207=0,0,      _xll.qDateNext($X207,AN$12,$AR$11,FRM&lt;&gt;"Calypso",CCY))</f>
        <v>0</v>
      </c>
      <c r="AO207" s="882">
        <f>IF($X207=0,0,      _xll.qDateNext($X207,AO$12,$AR$11,FRM&lt;&gt;"Calypso",CCY))</f>
        <v>0</v>
      </c>
      <c r="AP207" s="882">
        <f>IF($X207=0,0,      _xll.qDateNext($X207,AP$12,$AR$11,FRM&lt;&gt;"Calypso",CCY))</f>
        <v>0</v>
      </c>
      <c r="AQ207" s="882">
        <f>IF($X207=0,0,      _xll.qDateNext($X207,AQ$12,$AR$11,FRM&lt;&gt;"Calypso",CCY))</f>
        <v>0</v>
      </c>
      <c r="AR207" s="882">
        <f>IF($X207=0,0,      _xll.qDateNext($X207,AR$12,$AR$11,FRM&lt;&gt;"Calypso",CCY))</f>
        <v>0</v>
      </c>
      <c r="AS207" s="901">
        <f ca="1"/>
        <v>0</v>
      </c>
      <c r="AT207" s="901">
        <f ca="1"/>
        <v>0</v>
      </c>
      <c r="AU207" s="901">
        <f t="shared" si="62"/>
        <v>0</v>
      </c>
      <c r="AV207" s="901">
        <f ca="1"/>
        <v>0</v>
      </c>
      <c r="AW207" s="901">
        <f t="shared" si="63"/>
        <v>0</v>
      </c>
      <c r="AX207" s="901">
        <f t="shared" si="64"/>
        <v>0</v>
      </c>
      <c r="AY207" s="901">
        <f ca="1"/>
        <v>0</v>
      </c>
      <c r="AZ207" s="901">
        <f ca="1"/>
        <v>0</v>
      </c>
      <c r="BA207" s="905">
        <f t="shared" si="53"/>
        <v>0</v>
      </c>
      <c r="BB207" s="905">
        <f t="shared" si="54"/>
        <v>0</v>
      </c>
      <c r="BC207" s="905">
        <f t="shared" si="55"/>
        <v>0</v>
      </c>
      <c r="BD207" s="905">
        <f t="shared" si="56"/>
        <v>0</v>
      </c>
      <c r="BE207" s="905">
        <f t="shared" si="57"/>
        <v>0</v>
      </c>
      <c r="BF207" s="905">
        <f t="shared" si="58"/>
        <v>0</v>
      </c>
      <c r="BG207" s="905">
        <f t="shared" si="59"/>
        <v>0</v>
      </c>
      <c r="BH207" s="905">
        <f t="shared" si="60"/>
        <v>0</v>
      </c>
      <c r="BI207" s="713">
        <v>0</v>
      </c>
      <c r="BJ207" s="695"/>
      <c r="BK207" s="752">
        <f>IF(X208=0,0,           IF(ISNUMBER(BJ207),BJ207,               IF(ISTEXT(BJ207),INDEX(BA207:BH207,MATCH(BJ207,$BA$12:$BH$12,0)),             IF(BI207="INT",_xll.qInterp(X208,AK207:AR207,BA207:BH207),            INDEX(BA207:BH207,MATCH(BI207,$BA$12:$BH$12,0))))))</f>
        <v>0</v>
      </c>
      <c r="BL207" s="389">
        <f t="shared" si="65"/>
        <v>0</v>
      </c>
      <c r="BM207" s="394">
        <f t="shared" si="66"/>
        <v>0</v>
      </c>
      <c r="BN207" s="389">
        <f t="shared" si="67"/>
        <v>0</v>
      </c>
    </row>
    <row r="208" spans="16:66">
      <c r="P208" s="714">
        <v>0</v>
      </c>
      <c r="Q208" s="715">
        <f t="shared" si="51"/>
        <v>0</v>
      </c>
      <c r="R208" s="712">
        <f>IF(P209,_xll.qDateYears(P208,P209,DCCfixed),0)</f>
        <v>0</v>
      </c>
      <c r="S208" s="519">
        <f ca="1"/>
        <v>0</v>
      </c>
      <c r="T208" s="720"/>
      <c r="U208" s="390">
        <f t="shared" si="61"/>
        <v>0</v>
      </c>
      <c r="X208" s="345">
        <v>0</v>
      </c>
      <c r="Y208" s="711">
        <f t="shared" si="52"/>
        <v>0</v>
      </c>
      <c r="Z208" s="712">
        <f>IF(X209,_xll.qDateYears(X208,X209,DCCfloat),0)</f>
        <v>0</v>
      </c>
      <c r="AA208" s="519">
        <f ca="1"/>
        <v>0</v>
      </c>
      <c r="AB208" s="890">
        <f>IF(X208=0,0,         IF(OR(CCY="AUD",CCY="NZD",CCY="GBP"),X208,   _xll.qDateNext(X208,"-2b",,,IF(CCY="EUR","TGT","LON"))))</f>
        <v>0</v>
      </c>
      <c r="AC208" s="879" t="str">
        <v/>
      </c>
      <c r="AD208" s="879" t="str">
        <v/>
      </c>
      <c r="AE208" s="879" t="str">
        <v/>
      </c>
      <c r="AF208" s="879" t="str">
        <v/>
      </c>
      <c r="AG208" s="879" t="str">
        <v/>
      </c>
      <c r="AH208" s="879" t="str">
        <v/>
      </c>
      <c r="AI208" s="879" t="str">
        <v/>
      </c>
      <c r="AJ208" s="879" t="str">
        <v/>
      </c>
      <c r="AK208" s="882">
        <f>IF($X208=0,0,      _xll.qDateNext($X208,AK$12,$AR$11,FRM&lt;&gt;"Calypso",CCY))</f>
        <v>0</v>
      </c>
      <c r="AL208" s="882">
        <f>IF($X208=0,0,      _xll.qDateNext($X208,AL$12,$AR$11,FRM&lt;&gt;"Calypso",CCY))</f>
        <v>0</v>
      </c>
      <c r="AM208" s="882">
        <f>IF($X208=0,0,      _xll.qDateNext($X208,AM$12,$AR$11,FRM&lt;&gt;"Calypso",CCY))</f>
        <v>0</v>
      </c>
      <c r="AN208" s="882">
        <f>IF($X208=0,0,      _xll.qDateNext($X208,AN$12,$AR$11,FRM&lt;&gt;"Calypso",CCY))</f>
        <v>0</v>
      </c>
      <c r="AO208" s="882">
        <f>IF($X208=0,0,      _xll.qDateNext($X208,AO$12,$AR$11,FRM&lt;&gt;"Calypso",CCY))</f>
        <v>0</v>
      </c>
      <c r="AP208" s="882">
        <f>IF($X208=0,0,      _xll.qDateNext($X208,AP$12,$AR$11,FRM&lt;&gt;"Calypso",CCY))</f>
        <v>0</v>
      </c>
      <c r="AQ208" s="882">
        <f>IF($X208=0,0,      _xll.qDateNext($X208,AQ$12,$AR$11,FRM&lt;&gt;"Calypso",CCY))</f>
        <v>0</v>
      </c>
      <c r="AR208" s="882">
        <f>IF($X208=0,0,      _xll.qDateNext($X208,AR$12,$AR$11,FRM&lt;&gt;"Calypso",CCY))</f>
        <v>0</v>
      </c>
      <c r="AS208" s="901">
        <f ca="1"/>
        <v>0</v>
      </c>
      <c r="AT208" s="901">
        <f ca="1"/>
        <v>0</v>
      </c>
      <c r="AU208" s="901">
        <f t="shared" si="62"/>
        <v>0</v>
      </c>
      <c r="AV208" s="901">
        <f ca="1"/>
        <v>0</v>
      </c>
      <c r="AW208" s="901">
        <f t="shared" si="63"/>
        <v>0</v>
      </c>
      <c r="AX208" s="901">
        <f t="shared" si="64"/>
        <v>0</v>
      </c>
      <c r="AY208" s="901">
        <f ca="1"/>
        <v>0</v>
      </c>
      <c r="AZ208" s="901">
        <f ca="1"/>
        <v>0</v>
      </c>
      <c r="BA208" s="905">
        <f t="shared" si="53"/>
        <v>0</v>
      </c>
      <c r="BB208" s="905">
        <f t="shared" si="54"/>
        <v>0</v>
      </c>
      <c r="BC208" s="905">
        <f t="shared" si="55"/>
        <v>0</v>
      </c>
      <c r="BD208" s="905">
        <f t="shared" si="56"/>
        <v>0</v>
      </c>
      <c r="BE208" s="905">
        <f t="shared" si="57"/>
        <v>0</v>
      </c>
      <c r="BF208" s="905">
        <f t="shared" si="58"/>
        <v>0</v>
      </c>
      <c r="BG208" s="905">
        <f t="shared" si="59"/>
        <v>0</v>
      </c>
      <c r="BH208" s="905">
        <f t="shared" si="60"/>
        <v>0</v>
      </c>
      <c r="BI208" s="713">
        <v>0</v>
      </c>
      <c r="BJ208" s="695"/>
      <c r="BK208" s="752">
        <f>IF(X209=0,0,           IF(ISNUMBER(BJ208),BJ208,               IF(ISTEXT(BJ208),INDEX(BA208:BH208,MATCH(BJ208,$BA$12:$BH$12,0)),             IF(BI208="INT",_xll.qInterp(X209,AK208:AR208,BA208:BH208),            INDEX(BA208:BH208,MATCH(BI208,$BA$12:$BH$12,0))))))</f>
        <v>0</v>
      </c>
      <c r="BL208" s="389">
        <f t="shared" si="65"/>
        <v>0</v>
      </c>
      <c r="BM208" s="394">
        <f t="shared" si="66"/>
        <v>0</v>
      </c>
      <c r="BN208" s="389">
        <f t="shared" si="67"/>
        <v>0</v>
      </c>
    </row>
    <row r="209" spans="16:66">
      <c r="P209" s="714">
        <v>0</v>
      </c>
      <c r="Q209" s="715">
        <f t="shared" si="51"/>
        <v>0</v>
      </c>
      <c r="R209" s="712">
        <f>IF(P210,_xll.qDateYears(P209,P210,DCCfixed),0)</f>
        <v>0</v>
      </c>
      <c r="S209" s="519">
        <f ca="1"/>
        <v>0</v>
      </c>
      <c r="T209" s="720"/>
      <c r="U209" s="390">
        <f t="shared" si="61"/>
        <v>0</v>
      </c>
      <c r="X209" s="345">
        <v>0</v>
      </c>
      <c r="Y209" s="711">
        <f t="shared" si="52"/>
        <v>0</v>
      </c>
      <c r="Z209" s="712">
        <f>IF(X210,_xll.qDateYears(X209,X210,DCCfloat),0)</f>
        <v>0</v>
      </c>
      <c r="AA209" s="519">
        <f ca="1"/>
        <v>0</v>
      </c>
      <c r="AB209" s="890">
        <f>IF(X209=0,0,         IF(OR(CCY="AUD",CCY="NZD",CCY="GBP"),X209,   _xll.qDateNext(X209,"-2b",,,IF(CCY="EUR","TGT","LON"))))</f>
        <v>0</v>
      </c>
      <c r="AC209" s="879" t="str">
        <v/>
      </c>
      <c r="AD209" s="879" t="str">
        <v/>
      </c>
      <c r="AE209" s="879" t="str">
        <v/>
      </c>
      <c r="AF209" s="879" t="str">
        <v/>
      </c>
      <c r="AG209" s="879" t="str">
        <v/>
      </c>
      <c r="AH209" s="879" t="str">
        <v/>
      </c>
      <c r="AI209" s="879" t="str">
        <v/>
      </c>
      <c r="AJ209" s="879" t="str">
        <v/>
      </c>
      <c r="AK209" s="882">
        <f>IF($X209=0,0,      _xll.qDateNext($X209,AK$12,$AR$11,FRM&lt;&gt;"Calypso",CCY))</f>
        <v>0</v>
      </c>
      <c r="AL209" s="882">
        <f>IF($X209=0,0,      _xll.qDateNext($X209,AL$12,$AR$11,FRM&lt;&gt;"Calypso",CCY))</f>
        <v>0</v>
      </c>
      <c r="AM209" s="882">
        <f>IF($X209=0,0,      _xll.qDateNext($X209,AM$12,$AR$11,FRM&lt;&gt;"Calypso",CCY))</f>
        <v>0</v>
      </c>
      <c r="AN209" s="882">
        <f>IF($X209=0,0,      _xll.qDateNext($X209,AN$12,$AR$11,FRM&lt;&gt;"Calypso",CCY))</f>
        <v>0</v>
      </c>
      <c r="AO209" s="882">
        <f>IF($X209=0,0,      _xll.qDateNext($X209,AO$12,$AR$11,FRM&lt;&gt;"Calypso",CCY))</f>
        <v>0</v>
      </c>
      <c r="AP209" s="882">
        <f>IF($X209=0,0,      _xll.qDateNext($X209,AP$12,$AR$11,FRM&lt;&gt;"Calypso",CCY))</f>
        <v>0</v>
      </c>
      <c r="AQ209" s="882">
        <f>IF($X209=0,0,      _xll.qDateNext($X209,AQ$12,$AR$11,FRM&lt;&gt;"Calypso",CCY))</f>
        <v>0</v>
      </c>
      <c r="AR209" s="882">
        <f>IF($X209=0,0,      _xll.qDateNext($X209,AR$12,$AR$11,FRM&lt;&gt;"Calypso",CCY))</f>
        <v>0</v>
      </c>
      <c r="AS209" s="901">
        <f ca="1"/>
        <v>0</v>
      </c>
      <c r="AT209" s="901">
        <f ca="1"/>
        <v>0</v>
      </c>
      <c r="AU209" s="901">
        <f t="shared" si="62"/>
        <v>0</v>
      </c>
      <c r="AV209" s="901">
        <f ca="1"/>
        <v>0</v>
      </c>
      <c r="AW209" s="901">
        <f t="shared" si="63"/>
        <v>0</v>
      </c>
      <c r="AX209" s="901">
        <f t="shared" si="64"/>
        <v>0</v>
      </c>
      <c r="AY209" s="901">
        <f ca="1"/>
        <v>0</v>
      </c>
      <c r="AZ209" s="901">
        <f ca="1"/>
        <v>0</v>
      </c>
      <c r="BA209" s="905">
        <f t="shared" si="53"/>
        <v>0</v>
      </c>
      <c r="BB209" s="905">
        <f t="shared" si="54"/>
        <v>0</v>
      </c>
      <c r="BC209" s="905">
        <f t="shared" si="55"/>
        <v>0</v>
      </c>
      <c r="BD209" s="905">
        <f t="shared" si="56"/>
        <v>0</v>
      </c>
      <c r="BE209" s="905">
        <f t="shared" si="57"/>
        <v>0</v>
      </c>
      <c r="BF209" s="905">
        <f t="shared" si="58"/>
        <v>0</v>
      </c>
      <c r="BG209" s="905">
        <f t="shared" si="59"/>
        <v>0</v>
      </c>
      <c r="BH209" s="905">
        <f t="shared" si="60"/>
        <v>0</v>
      </c>
      <c r="BI209" s="713">
        <v>0</v>
      </c>
      <c r="BJ209" s="695"/>
      <c r="BK209" s="752">
        <f>IF(X210=0,0,           IF(ISNUMBER(BJ209),BJ209,               IF(ISTEXT(BJ209),INDEX(BA209:BH209,MATCH(BJ209,$BA$12:$BH$12,0)),             IF(BI209="INT",_xll.qInterp(X210,AK209:AR209,BA209:BH209),            INDEX(BA209:BH209,MATCH(BI209,$BA$12:$BH$12,0))))))</f>
        <v>0</v>
      </c>
      <c r="BL209" s="389">
        <f t="shared" si="65"/>
        <v>0</v>
      </c>
      <c r="BM209" s="394">
        <f t="shared" si="66"/>
        <v>0</v>
      </c>
      <c r="BN209" s="389">
        <f t="shared" si="67"/>
        <v>0</v>
      </c>
    </row>
    <row r="210" spans="16:66">
      <c r="P210" s="714">
        <v>0</v>
      </c>
      <c r="Q210" s="715">
        <f t="shared" si="51"/>
        <v>0</v>
      </c>
      <c r="R210" s="712">
        <f>IF(P211,_xll.qDateYears(P210,P211,DCCfixed),0)</f>
        <v>0</v>
      </c>
      <c r="S210" s="519">
        <f ca="1"/>
        <v>0</v>
      </c>
      <c r="T210" s="720"/>
      <c r="U210" s="390">
        <f t="shared" si="61"/>
        <v>0</v>
      </c>
      <c r="X210" s="345">
        <v>0</v>
      </c>
      <c r="Y210" s="711">
        <f t="shared" si="52"/>
        <v>0</v>
      </c>
      <c r="Z210" s="712">
        <f>IF(X211,_xll.qDateYears(X210,X211,DCCfloat),0)</f>
        <v>0</v>
      </c>
      <c r="AA210" s="519">
        <f ca="1"/>
        <v>0</v>
      </c>
      <c r="AB210" s="890">
        <f>IF(X210=0,0,         IF(OR(CCY="AUD",CCY="NZD",CCY="GBP"),X210,   _xll.qDateNext(X210,"-2b",,,IF(CCY="EUR","TGT","LON"))))</f>
        <v>0</v>
      </c>
      <c r="AC210" s="879" t="str">
        <v/>
      </c>
      <c r="AD210" s="879" t="str">
        <v/>
      </c>
      <c r="AE210" s="879" t="str">
        <v/>
      </c>
      <c r="AF210" s="879" t="str">
        <v/>
      </c>
      <c r="AG210" s="879" t="str">
        <v/>
      </c>
      <c r="AH210" s="879" t="str">
        <v/>
      </c>
      <c r="AI210" s="879" t="str">
        <v/>
      </c>
      <c r="AJ210" s="879" t="str">
        <v/>
      </c>
      <c r="AK210" s="882">
        <f>IF($X210=0,0,      _xll.qDateNext($X210,AK$12,$AR$11,FRM&lt;&gt;"Calypso",CCY))</f>
        <v>0</v>
      </c>
      <c r="AL210" s="882">
        <f>IF($X210=0,0,      _xll.qDateNext($X210,AL$12,$AR$11,FRM&lt;&gt;"Calypso",CCY))</f>
        <v>0</v>
      </c>
      <c r="AM210" s="882">
        <f>IF($X210=0,0,      _xll.qDateNext($X210,AM$12,$AR$11,FRM&lt;&gt;"Calypso",CCY))</f>
        <v>0</v>
      </c>
      <c r="AN210" s="882">
        <f>IF($X210=0,0,      _xll.qDateNext($X210,AN$12,$AR$11,FRM&lt;&gt;"Calypso",CCY))</f>
        <v>0</v>
      </c>
      <c r="AO210" s="882">
        <f>IF($X210=0,0,      _xll.qDateNext($X210,AO$12,$AR$11,FRM&lt;&gt;"Calypso",CCY))</f>
        <v>0</v>
      </c>
      <c r="AP210" s="882">
        <f>IF($X210=0,0,      _xll.qDateNext($X210,AP$12,$AR$11,FRM&lt;&gt;"Calypso",CCY))</f>
        <v>0</v>
      </c>
      <c r="AQ210" s="882">
        <f>IF($X210=0,0,      _xll.qDateNext($X210,AQ$12,$AR$11,FRM&lt;&gt;"Calypso",CCY))</f>
        <v>0</v>
      </c>
      <c r="AR210" s="882">
        <f>IF($X210=0,0,      _xll.qDateNext($X210,AR$12,$AR$11,FRM&lt;&gt;"Calypso",CCY))</f>
        <v>0</v>
      </c>
      <c r="AS210" s="901">
        <f ca="1"/>
        <v>0</v>
      </c>
      <c r="AT210" s="901">
        <f ca="1"/>
        <v>0</v>
      </c>
      <c r="AU210" s="901">
        <f t="shared" si="62"/>
        <v>0</v>
      </c>
      <c r="AV210" s="901">
        <f ca="1"/>
        <v>0</v>
      </c>
      <c r="AW210" s="901">
        <f t="shared" si="63"/>
        <v>0</v>
      </c>
      <c r="AX210" s="901">
        <f t="shared" si="64"/>
        <v>0</v>
      </c>
      <c r="AY210" s="901">
        <f ca="1"/>
        <v>0</v>
      </c>
      <c r="AZ210" s="901">
        <f ca="1"/>
        <v>0</v>
      </c>
      <c r="BA210" s="905">
        <f t="shared" si="53"/>
        <v>0</v>
      </c>
      <c r="BB210" s="905">
        <f t="shared" si="54"/>
        <v>0</v>
      </c>
      <c r="BC210" s="905">
        <f t="shared" si="55"/>
        <v>0</v>
      </c>
      <c r="BD210" s="905">
        <f t="shared" si="56"/>
        <v>0</v>
      </c>
      <c r="BE210" s="905">
        <f t="shared" si="57"/>
        <v>0</v>
      </c>
      <c r="BF210" s="905">
        <f t="shared" si="58"/>
        <v>0</v>
      </c>
      <c r="BG210" s="905">
        <f t="shared" si="59"/>
        <v>0</v>
      </c>
      <c r="BH210" s="905">
        <f t="shared" si="60"/>
        <v>0</v>
      </c>
      <c r="BI210" s="713">
        <v>0</v>
      </c>
      <c r="BJ210" s="695"/>
      <c r="BK210" s="752">
        <f>IF(X211=0,0,           IF(ISNUMBER(BJ210),BJ210,               IF(ISTEXT(BJ210),INDEX(BA210:BH210,MATCH(BJ210,$BA$12:$BH$12,0)),             IF(BI210="INT",_xll.qInterp(X211,AK210:AR210,BA210:BH210),            INDEX(BA210:BH210,MATCH(BI210,$BA$12:$BH$12,0))))))</f>
        <v>0</v>
      </c>
      <c r="BL210" s="389">
        <f t="shared" si="65"/>
        <v>0</v>
      </c>
      <c r="BM210" s="394">
        <f t="shared" si="66"/>
        <v>0</v>
      </c>
      <c r="BN210" s="389">
        <f t="shared" si="67"/>
        <v>0</v>
      </c>
    </row>
    <row r="211" spans="16:66">
      <c r="P211" s="714">
        <v>0</v>
      </c>
      <c r="Q211" s="715">
        <f t="shared" si="51"/>
        <v>0</v>
      </c>
      <c r="R211" s="712">
        <f>IF(P212,_xll.qDateYears(P211,P212,DCCfixed),0)</f>
        <v>0</v>
      </c>
      <c r="S211" s="519">
        <f ca="1"/>
        <v>0</v>
      </c>
      <c r="T211" s="720"/>
      <c r="U211" s="390">
        <f t="shared" si="61"/>
        <v>0</v>
      </c>
      <c r="X211" s="345">
        <v>0</v>
      </c>
      <c r="Y211" s="711">
        <f t="shared" si="52"/>
        <v>0</v>
      </c>
      <c r="Z211" s="712">
        <f>IF(X212,_xll.qDateYears(X211,X212,DCCfloat),0)</f>
        <v>0</v>
      </c>
      <c r="AA211" s="519">
        <f ca="1"/>
        <v>0</v>
      </c>
      <c r="AB211" s="890">
        <f>IF(X211=0,0,         IF(OR(CCY="AUD",CCY="NZD",CCY="GBP"),X211,   _xll.qDateNext(X211,"-2b",,,IF(CCY="EUR","TGT","LON"))))</f>
        <v>0</v>
      </c>
      <c r="AC211" s="879" t="str">
        <v/>
      </c>
      <c r="AD211" s="879" t="str">
        <v/>
      </c>
      <c r="AE211" s="879" t="str">
        <v/>
      </c>
      <c r="AF211" s="879" t="str">
        <v/>
      </c>
      <c r="AG211" s="879" t="str">
        <v/>
      </c>
      <c r="AH211" s="879" t="str">
        <v/>
      </c>
      <c r="AI211" s="879" t="str">
        <v/>
      </c>
      <c r="AJ211" s="879" t="str">
        <v/>
      </c>
      <c r="AK211" s="882">
        <f>IF($X211=0,0,      _xll.qDateNext($X211,AK$12,$AR$11,FRM&lt;&gt;"Calypso",CCY))</f>
        <v>0</v>
      </c>
      <c r="AL211" s="882">
        <f>IF($X211=0,0,      _xll.qDateNext($X211,AL$12,$AR$11,FRM&lt;&gt;"Calypso",CCY))</f>
        <v>0</v>
      </c>
      <c r="AM211" s="882">
        <f>IF($X211=0,0,      _xll.qDateNext($X211,AM$12,$AR$11,FRM&lt;&gt;"Calypso",CCY))</f>
        <v>0</v>
      </c>
      <c r="AN211" s="882">
        <f>IF($X211=0,0,      _xll.qDateNext($X211,AN$12,$AR$11,FRM&lt;&gt;"Calypso",CCY))</f>
        <v>0</v>
      </c>
      <c r="AO211" s="882">
        <f>IF($X211=0,0,      _xll.qDateNext($X211,AO$12,$AR$11,FRM&lt;&gt;"Calypso",CCY))</f>
        <v>0</v>
      </c>
      <c r="AP211" s="882">
        <f>IF($X211=0,0,      _xll.qDateNext($X211,AP$12,$AR$11,FRM&lt;&gt;"Calypso",CCY))</f>
        <v>0</v>
      </c>
      <c r="AQ211" s="882">
        <f>IF($X211=0,0,      _xll.qDateNext($X211,AQ$12,$AR$11,FRM&lt;&gt;"Calypso",CCY))</f>
        <v>0</v>
      </c>
      <c r="AR211" s="882">
        <f>IF($X211=0,0,      _xll.qDateNext($X211,AR$12,$AR$11,FRM&lt;&gt;"Calypso",CCY))</f>
        <v>0</v>
      </c>
      <c r="AS211" s="901">
        <f ca="1"/>
        <v>0</v>
      </c>
      <c r="AT211" s="901">
        <f ca="1"/>
        <v>0</v>
      </c>
      <c r="AU211" s="901">
        <f t="shared" si="62"/>
        <v>0</v>
      </c>
      <c r="AV211" s="901">
        <f ca="1"/>
        <v>0</v>
      </c>
      <c r="AW211" s="901">
        <f t="shared" si="63"/>
        <v>0</v>
      </c>
      <c r="AX211" s="901">
        <f t="shared" si="64"/>
        <v>0</v>
      </c>
      <c r="AY211" s="901">
        <f ca="1"/>
        <v>0</v>
      </c>
      <c r="AZ211" s="901">
        <f ca="1"/>
        <v>0</v>
      </c>
      <c r="BA211" s="905">
        <f t="shared" si="53"/>
        <v>0</v>
      </c>
      <c r="BB211" s="905">
        <f t="shared" si="54"/>
        <v>0</v>
      </c>
      <c r="BC211" s="905">
        <f t="shared" si="55"/>
        <v>0</v>
      </c>
      <c r="BD211" s="905">
        <f t="shared" si="56"/>
        <v>0</v>
      </c>
      <c r="BE211" s="905">
        <f t="shared" si="57"/>
        <v>0</v>
      </c>
      <c r="BF211" s="905">
        <f t="shared" si="58"/>
        <v>0</v>
      </c>
      <c r="BG211" s="905">
        <f t="shared" si="59"/>
        <v>0</v>
      </c>
      <c r="BH211" s="905">
        <f t="shared" si="60"/>
        <v>0</v>
      </c>
      <c r="BI211" s="713">
        <v>0</v>
      </c>
      <c r="BJ211" s="695"/>
      <c r="BK211" s="752">
        <f>IF(X212=0,0,           IF(ISNUMBER(BJ211),BJ211,               IF(ISTEXT(BJ211),INDEX(BA211:BH211,MATCH(BJ211,$BA$12:$BH$12,0)),             IF(BI211="INT",_xll.qInterp(X212,AK211:AR211,BA211:BH211),            INDEX(BA211:BH211,MATCH(BI211,$BA$12:$BH$12,0))))))</f>
        <v>0</v>
      </c>
      <c r="BL211" s="389">
        <f t="shared" si="65"/>
        <v>0</v>
      </c>
      <c r="BM211" s="394">
        <f t="shared" si="66"/>
        <v>0</v>
      </c>
      <c r="BN211" s="389">
        <f t="shared" si="67"/>
        <v>0</v>
      </c>
    </row>
    <row r="212" spans="16:66">
      <c r="P212" s="714">
        <v>0</v>
      </c>
      <c r="Q212" s="715">
        <f t="shared" si="51"/>
        <v>0</v>
      </c>
      <c r="R212" s="712">
        <f>IF(P213,_xll.qDateYears(P212,P213,DCCfixed),0)</f>
        <v>0</v>
      </c>
      <c r="S212" s="519">
        <f ca="1"/>
        <v>0</v>
      </c>
      <c r="T212" s="720"/>
      <c r="U212" s="390">
        <f t="shared" si="61"/>
        <v>0</v>
      </c>
      <c r="X212" s="345">
        <v>0</v>
      </c>
      <c r="Y212" s="711">
        <f t="shared" si="52"/>
        <v>0</v>
      </c>
      <c r="Z212" s="712">
        <f>IF(X213,_xll.qDateYears(X212,X213,DCCfloat),0)</f>
        <v>0</v>
      </c>
      <c r="AA212" s="519">
        <f ca="1"/>
        <v>0</v>
      </c>
      <c r="AB212" s="890">
        <f>IF(X212=0,0,         IF(OR(CCY="AUD",CCY="NZD",CCY="GBP"),X212,   _xll.qDateNext(X212,"-2b",,,IF(CCY="EUR","TGT","LON"))))</f>
        <v>0</v>
      </c>
      <c r="AC212" s="879" t="str">
        <v/>
      </c>
      <c r="AD212" s="879" t="str">
        <v/>
      </c>
      <c r="AE212" s="879" t="str">
        <v/>
      </c>
      <c r="AF212" s="879" t="str">
        <v/>
      </c>
      <c r="AG212" s="879" t="str">
        <v/>
      </c>
      <c r="AH212" s="879" t="str">
        <v/>
      </c>
      <c r="AI212" s="879" t="str">
        <v/>
      </c>
      <c r="AJ212" s="879" t="str">
        <v/>
      </c>
      <c r="AK212" s="882">
        <f>IF($X212=0,0,      _xll.qDateNext($X212,AK$12,$AR$11,FRM&lt;&gt;"Calypso",CCY))</f>
        <v>0</v>
      </c>
      <c r="AL212" s="882">
        <f>IF($X212=0,0,      _xll.qDateNext($X212,AL$12,$AR$11,FRM&lt;&gt;"Calypso",CCY))</f>
        <v>0</v>
      </c>
      <c r="AM212" s="882">
        <f>IF($X212=0,0,      _xll.qDateNext($X212,AM$12,$AR$11,FRM&lt;&gt;"Calypso",CCY))</f>
        <v>0</v>
      </c>
      <c r="AN212" s="882">
        <f>IF($X212=0,0,      _xll.qDateNext($X212,AN$12,$AR$11,FRM&lt;&gt;"Calypso",CCY))</f>
        <v>0</v>
      </c>
      <c r="AO212" s="882">
        <f>IF($X212=0,0,      _xll.qDateNext($X212,AO$12,$AR$11,FRM&lt;&gt;"Calypso",CCY))</f>
        <v>0</v>
      </c>
      <c r="AP212" s="882">
        <f>IF($X212=0,0,      _xll.qDateNext($X212,AP$12,$AR$11,FRM&lt;&gt;"Calypso",CCY))</f>
        <v>0</v>
      </c>
      <c r="AQ212" s="882">
        <f>IF($X212=0,0,      _xll.qDateNext($X212,AQ$12,$AR$11,FRM&lt;&gt;"Calypso",CCY))</f>
        <v>0</v>
      </c>
      <c r="AR212" s="882">
        <f>IF($X212=0,0,      _xll.qDateNext($X212,AR$12,$AR$11,FRM&lt;&gt;"Calypso",CCY))</f>
        <v>0</v>
      </c>
      <c r="AS212" s="901">
        <f ca="1"/>
        <v>0</v>
      </c>
      <c r="AT212" s="901">
        <f ca="1"/>
        <v>0</v>
      </c>
      <c r="AU212" s="901">
        <f t="shared" si="62"/>
        <v>0</v>
      </c>
      <c r="AV212" s="901">
        <f ca="1"/>
        <v>0</v>
      </c>
      <c r="AW212" s="901">
        <f t="shared" si="63"/>
        <v>0</v>
      </c>
      <c r="AX212" s="901">
        <f t="shared" si="64"/>
        <v>0</v>
      </c>
      <c r="AY212" s="901">
        <f ca="1"/>
        <v>0</v>
      </c>
      <c r="AZ212" s="901">
        <f ca="1"/>
        <v>0</v>
      </c>
      <c r="BA212" s="905">
        <f t="shared" si="53"/>
        <v>0</v>
      </c>
      <c r="BB212" s="905">
        <f t="shared" si="54"/>
        <v>0</v>
      </c>
      <c r="BC212" s="905">
        <f t="shared" si="55"/>
        <v>0</v>
      </c>
      <c r="BD212" s="905">
        <f t="shared" si="56"/>
        <v>0</v>
      </c>
      <c r="BE212" s="905">
        <f t="shared" si="57"/>
        <v>0</v>
      </c>
      <c r="BF212" s="905">
        <f t="shared" si="58"/>
        <v>0</v>
      </c>
      <c r="BG212" s="905">
        <f t="shared" si="59"/>
        <v>0</v>
      </c>
      <c r="BH212" s="905">
        <f t="shared" si="60"/>
        <v>0</v>
      </c>
      <c r="BI212" s="713">
        <v>0</v>
      </c>
      <c r="BJ212" s="695"/>
      <c r="BK212" s="752">
        <f>IF(X213=0,0,           IF(ISNUMBER(BJ212),BJ212,               IF(ISTEXT(BJ212),INDEX(BA212:BH212,MATCH(BJ212,$BA$12:$BH$12,0)),             IF(BI212="INT",_xll.qInterp(X213,AK212:AR212,BA212:BH212),            INDEX(BA212:BH212,MATCH(BI212,$BA$12:$BH$12,0))))))</f>
        <v>0</v>
      </c>
      <c r="BL212" s="389">
        <f t="shared" si="65"/>
        <v>0</v>
      </c>
      <c r="BM212" s="394">
        <f t="shared" si="66"/>
        <v>0</v>
      </c>
      <c r="BN212" s="389">
        <f t="shared" si="67"/>
        <v>0</v>
      </c>
    </row>
    <row r="213" spans="16:66">
      <c r="P213" s="714">
        <v>0</v>
      </c>
      <c r="Q213" s="715">
        <f t="shared" si="51"/>
        <v>0</v>
      </c>
      <c r="R213" s="712">
        <f>IF(P214,_xll.qDateYears(P213,P214,DCCfixed),0)</f>
        <v>0</v>
      </c>
      <c r="S213" s="519">
        <f ca="1"/>
        <v>0</v>
      </c>
      <c r="T213" s="720"/>
      <c r="U213" s="390">
        <f t="shared" si="61"/>
        <v>0</v>
      </c>
      <c r="X213" s="345">
        <v>0</v>
      </c>
      <c r="Y213" s="711">
        <f t="shared" si="52"/>
        <v>0</v>
      </c>
      <c r="Z213" s="712">
        <f>IF(X214,_xll.qDateYears(X213,X214,DCCfloat),0)</f>
        <v>0</v>
      </c>
      <c r="AA213" s="519">
        <f ca="1"/>
        <v>0</v>
      </c>
      <c r="AB213" s="890">
        <f>IF(X213=0,0,         IF(OR(CCY="AUD",CCY="NZD",CCY="GBP"),X213,   _xll.qDateNext(X213,"-2b",,,IF(CCY="EUR","TGT","LON"))))</f>
        <v>0</v>
      </c>
      <c r="AC213" s="879" t="str">
        <v/>
      </c>
      <c r="AD213" s="879" t="str">
        <v/>
      </c>
      <c r="AE213" s="879" t="str">
        <v/>
      </c>
      <c r="AF213" s="879" t="str">
        <v/>
      </c>
      <c r="AG213" s="879" t="str">
        <v/>
      </c>
      <c r="AH213" s="879" t="str">
        <v/>
      </c>
      <c r="AI213" s="879" t="str">
        <v/>
      </c>
      <c r="AJ213" s="879" t="str">
        <v/>
      </c>
      <c r="AK213" s="882">
        <f>IF($X213=0,0,      _xll.qDateNext($X213,AK$12,$AR$11,FRM&lt;&gt;"Calypso",CCY))</f>
        <v>0</v>
      </c>
      <c r="AL213" s="882">
        <f>IF($X213=0,0,      _xll.qDateNext($X213,AL$12,$AR$11,FRM&lt;&gt;"Calypso",CCY))</f>
        <v>0</v>
      </c>
      <c r="AM213" s="882">
        <f>IF($X213=0,0,      _xll.qDateNext($X213,AM$12,$AR$11,FRM&lt;&gt;"Calypso",CCY))</f>
        <v>0</v>
      </c>
      <c r="AN213" s="882">
        <f>IF($X213=0,0,      _xll.qDateNext($X213,AN$12,$AR$11,FRM&lt;&gt;"Calypso",CCY))</f>
        <v>0</v>
      </c>
      <c r="AO213" s="882">
        <f>IF($X213=0,0,      _xll.qDateNext($X213,AO$12,$AR$11,FRM&lt;&gt;"Calypso",CCY))</f>
        <v>0</v>
      </c>
      <c r="AP213" s="882">
        <f>IF($X213=0,0,      _xll.qDateNext($X213,AP$12,$AR$11,FRM&lt;&gt;"Calypso",CCY))</f>
        <v>0</v>
      </c>
      <c r="AQ213" s="882">
        <f>IF($X213=0,0,      _xll.qDateNext($X213,AQ$12,$AR$11,FRM&lt;&gt;"Calypso",CCY))</f>
        <v>0</v>
      </c>
      <c r="AR213" s="882">
        <f>IF($X213=0,0,      _xll.qDateNext($X213,AR$12,$AR$11,FRM&lt;&gt;"Calypso",CCY))</f>
        <v>0</v>
      </c>
      <c r="AS213" s="901">
        <f ca="1"/>
        <v>0</v>
      </c>
      <c r="AT213" s="901">
        <f ca="1"/>
        <v>0</v>
      </c>
      <c r="AU213" s="901">
        <f t="shared" si="62"/>
        <v>0</v>
      </c>
      <c r="AV213" s="901">
        <f ca="1"/>
        <v>0</v>
      </c>
      <c r="AW213" s="901">
        <f t="shared" si="63"/>
        <v>0</v>
      </c>
      <c r="AX213" s="901">
        <f t="shared" si="64"/>
        <v>0</v>
      </c>
      <c r="AY213" s="901">
        <f ca="1"/>
        <v>0</v>
      </c>
      <c r="AZ213" s="901">
        <f ca="1"/>
        <v>0</v>
      </c>
      <c r="BA213" s="905">
        <f t="shared" si="53"/>
        <v>0</v>
      </c>
      <c r="BB213" s="905">
        <f t="shared" si="54"/>
        <v>0</v>
      </c>
      <c r="BC213" s="905">
        <f t="shared" si="55"/>
        <v>0</v>
      </c>
      <c r="BD213" s="905">
        <f t="shared" si="56"/>
        <v>0</v>
      </c>
      <c r="BE213" s="905">
        <f t="shared" si="57"/>
        <v>0</v>
      </c>
      <c r="BF213" s="905">
        <f t="shared" si="58"/>
        <v>0</v>
      </c>
      <c r="BG213" s="905">
        <f t="shared" si="59"/>
        <v>0</v>
      </c>
      <c r="BH213" s="905">
        <f t="shared" si="60"/>
        <v>0</v>
      </c>
      <c r="BI213" s="713">
        <v>0</v>
      </c>
      <c r="BJ213" s="695"/>
      <c r="BK213" s="752">
        <f>IF(X214=0,0,           IF(ISNUMBER(BJ213),BJ213,               IF(ISTEXT(BJ213),INDEX(BA213:BH213,MATCH(BJ213,$BA$12:$BH$12,0)),             IF(BI213="INT",_xll.qInterp(X214,AK213:AR213,BA213:BH213),            INDEX(BA213:BH213,MATCH(BI213,$BA$12:$BH$12,0))))))</f>
        <v>0</v>
      </c>
      <c r="BL213" s="389">
        <f t="shared" si="65"/>
        <v>0</v>
      </c>
      <c r="BM213" s="394">
        <f t="shared" si="66"/>
        <v>0</v>
      </c>
      <c r="BN213" s="389">
        <f t="shared" si="67"/>
        <v>0</v>
      </c>
    </row>
    <row r="214" spans="16:66">
      <c r="P214" s="714">
        <v>0</v>
      </c>
      <c r="Q214" s="715">
        <f t="shared" si="51"/>
        <v>0</v>
      </c>
      <c r="R214" s="712">
        <f>IF(P215,_xll.qDateYears(P214,P215,DCCfixed),0)</f>
        <v>0</v>
      </c>
      <c r="S214" s="519">
        <f ca="1"/>
        <v>0</v>
      </c>
      <c r="T214" s="720"/>
      <c r="U214" s="390">
        <f t="shared" si="61"/>
        <v>0</v>
      </c>
      <c r="X214" s="345">
        <v>0</v>
      </c>
      <c r="Y214" s="711">
        <f t="shared" si="52"/>
        <v>0</v>
      </c>
      <c r="Z214" s="712">
        <f>IF(X215,_xll.qDateYears(X214,X215,DCCfloat),0)</f>
        <v>0</v>
      </c>
      <c r="AA214" s="519">
        <f ca="1"/>
        <v>0</v>
      </c>
      <c r="AB214" s="890">
        <f>IF(X214=0,0,         IF(OR(CCY="AUD",CCY="NZD",CCY="GBP"),X214,   _xll.qDateNext(X214,"-2b",,,IF(CCY="EUR","TGT","LON"))))</f>
        <v>0</v>
      </c>
      <c r="AC214" s="879" t="str">
        <v/>
      </c>
      <c r="AD214" s="879" t="str">
        <v/>
      </c>
      <c r="AE214" s="879" t="str">
        <v/>
      </c>
      <c r="AF214" s="879" t="str">
        <v/>
      </c>
      <c r="AG214" s="879" t="str">
        <v/>
      </c>
      <c r="AH214" s="879" t="str">
        <v/>
      </c>
      <c r="AI214" s="879" t="str">
        <v/>
      </c>
      <c r="AJ214" s="879" t="str">
        <v/>
      </c>
      <c r="AK214" s="882">
        <f>IF($X214=0,0,      _xll.qDateNext($X214,AK$12,$AR$11,FRM&lt;&gt;"Calypso",CCY))</f>
        <v>0</v>
      </c>
      <c r="AL214" s="882">
        <f>IF($X214=0,0,      _xll.qDateNext($X214,AL$12,$AR$11,FRM&lt;&gt;"Calypso",CCY))</f>
        <v>0</v>
      </c>
      <c r="AM214" s="882">
        <f>IF($X214=0,0,      _xll.qDateNext($X214,AM$12,$AR$11,FRM&lt;&gt;"Calypso",CCY))</f>
        <v>0</v>
      </c>
      <c r="AN214" s="882">
        <f>IF($X214=0,0,      _xll.qDateNext($X214,AN$12,$AR$11,FRM&lt;&gt;"Calypso",CCY))</f>
        <v>0</v>
      </c>
      <c r="AO214" s="882">
        <f>IF($X214=0,0,      _xll.qDateNext($X214,AO$12,$AR$11,FRM&lt;&gt;"Calypso",CCY))</f>
        <v>0</v>
      </c>
      <c r="AP214" s="882">
        <f>IF($X214=0,0,      _xll.qDateNext($X214,AP$12,$AR$11,FRM&lt;&gt;"Calypso",CCY))</f>
        <v>0</v>
      </c>
      <c r="AQ214" s="882">
        <f>IF($X214=0,0,      _xll.qDateNext($X214,AQ$12,$AR$11,FRM&lt;&gt;"Calypso",CCY))</f>
        <v>0</v>
      </c>
      <c r="AR214" s="882">
        <f>IF($X214=0,0,      _xll.qDateNext($X214,AR$12,$AR$11,FRM&lt;&gt;"Calypso",CCY))</f>
        <v>0</v>
      </c>
      <c r="AS214" s="901">
        <f ca="1"/>
        <v>0</v>
      </c>
      <c r="AT214" s="901">
        <f ca="1"/>
        <v>0</v>
      </c>
      <c r="AU214" s="901">
        <f t="shared" si="62"/>
        <v>0</v>
      </c>
      <c r="AV214" s="901">
        <f ca="1"/>
        <v>0</v>
      </c>
      <c r="AW214" s="901">
        <f t="shared" si="63"/>
        <v>0</v>
      </c>
      <c r="AX214" s="901">
        <f t="shared" si="64"/>
        <v>0</v>
      </c>
      <c r="AY214" s="901">
        <f ca="1"/>
        <v>0</v>
      </c>
      <c r="AZ214" s="901">
        <f ca="1"/>
        <v>0</v>
      </c>
      <c r="BA214" s="905">
        <f t="shared" si="53"/>
        <v>0</v>
      </c>
      <c r="BB214" s="905">
        <f t="shared" si="54"/>
        <v>0</v>
      </c>
      <c r="BC214" s="905">
        <f t="shared" si="55"/>
        <v>0</v>
      </c>
      <c r="BD214" s="905">
        <f t="shared" si="56"/>
        <v>0</v>
      </c>
      <c r="BE214" s="905">
        <f t="shared" si="57"/>
        <v>0</v>
      </c>
      <c r="BF214" s="905">
        <f t="shared" si="58"/>
        <v>0</v>
      </c>
      <c r="BG214" s="905">
        <f t="shared" si="59"/>
        <v>0</v>
      </c>
      <c r="BH214" s="905">
        <f t="shared" si="60"/>
        <v>0</v>
      </c>
      <c r="BI214" s="713">
        <v>0</v>
      </c>
      <c r="BJ214" s="695"/>
      <c r="BK214" s="752">
        <f>IF(X215=0,0,           IF(ISNUMBER(BJ214),BJ214,               IF(ISTEXT(BJ214),INDEX(BA214:BH214,MATCH(BJ214,$BA$12:$BH$12,0)),             IF(BI214="INT",_xll.qInterp(X215,AK214:AR214,BA214:BH214),            INDEX(BA214:BH214,MATCH(BI214,$BA$12:$BH$12,0))))))</f>
        <v>0</v>
      </c>
      <c r="BL214" s="389">
        <f t="shared" si="65"/>
        <v>0</v>
      </c>
      <c r="BM214" s="394">
        <f t="shared" si="66"/>
        <v>0</v>
      </c>
      <c r="BN214" s="389">
        <f t="shared" si="67"/>
        <v>0</v>
      </c>
    </row>
    <row r="215" spans="16:66">
      <c r="P215" s="714">
        <v>0</v>
      </c>
      <c r="Q215" s="715">
        <f t="shared" si="51"/>
        <v>0</v>
      </c>
      <c r="R215" s="712">
        <f>IF(P216,_xll.qDateYears(P215,P216,DCCfixed),0)</f>
        <v>0</v>
      </c>
      <c r="S215" s="519">
        <f ca="1"/>
        <v>0</v>
      </c>
      <c r="T215" s="720"/>
      <c r="U215" s="390">
        <f t="shared" si="61"/>
        <v>0</v>
      </c>
      <c r="X215" s="345">
        <v>0</v>
      </c>
      <c r="Y215" s="711">
        <f t="shared" si="52"/>
        <v>0</v>
      </c>
      <c r="Z215" s="712">
        <f>IF(X216,_xll.qDateYears(X215,X216,DCCfloat),0)</f>
        <v>0</v>
      </c>
      <c r="AA215" s="519">
        <f ca="1"/>
        <v>0</v>
      </c>
      <c r="AB215" s="890">
        <f>IF(X215=0,0,         IF(OR(CCY="AUD",CCY="NZD",CCY="GBP"),X215,   _xll.qDateNext(X215,"-2b",,,IF(CCY="EUR","TGT","LON"))))</f>
        <v>0</v>
      </c>
      <c r="AC215" s="879" t="str">
        <v/>
      </c>
      <c r="AD215" s="879" t="str">
        <v/>
      </c>
      <c r="AE215" s="879" t="str">
        <v/>
      </c>
      <c r="AF215" s="879" t="str">
        <v/>
      </c>
      <c r="AG215" s="879" t="str">
        <v/>
      </c>
      <c r="AH215" s="879" t="str">
        <v/>
      </c>
      <c r="AI215" s="879" t="str">
        <v/>
      </c>
      <c r="AJ215" s="879" t="str">
        <v/>
      </c>
      <c r="AK215" s="882">
        <f>IF($X215=0,0,      _xll.qDateNext($X215,AK$12,$AR$11,FRM&lt;&gt;"Calypso",CCY))</f>
        <v>0</v>
      </c>
      <c r="AL215" s="882">
        <f>IF($X215=0,0,      _xll.qDateNext($X215,AL$12,$AR$11,FRM&lt;&gt;"Calypso",CCY))</f>
        <v>0</v>
      </c>
      <c r="AM215" s="882">
        <f>IF($X215=0,0,      _xll.qDateNext($X215,AM$12,$AR$11,FRM&lt;&gt;"Calypso",CCY))</f>
        <v>0</v>
      </c>
      <c r="AN215" s="882">
        <f>IF($X215=0,0,      _xll.qDateNext($X215,AN$12,$AR$11,FRM&lt;&gt;"Calypso",CCY))</f>
        <v>0</v>
      </c>
      <c r="AO215" s="882">
        <f>IF($X215=0,0,      _xll.qDateNext($X215,AO$12,$AR$11,FRM&lt;&gt;"Calypso",CCY))</f>
        <v>0</v>
      </c>
      <c r="AP215" s="882">
        <f>IF($X215=0,0,      _xll.qDateNext($X215,AP$12,$AR$11,FRM&lt;&gt;"Calypso",CCY))</f>
        <v>0</v>
      </c>
      <c r="AQ215" s="882">
        <f>IF($X215=0,0,      _xll.qDateNext($X215,AQ$12,$AR$11,FRM&lt;&gt;"Calypso",CCY))</f>
        <v>0</v>
      </c>
      <c r="AR215" s="882">
        <f>IF($X215=0,0,      _xll.qDateNext($X215,AR$12,$AR$11,FRM&lt;&gt;"Calypso",CCY))</f>
        <v>0</v>
      </c>
      <c r="AS215" s="901">
        <f ca="1"/>
        <v>0</v>
      </c>
      <c r="AT215" s="901">
        <f ca="1"/>
        <v>0</v>
      </c>
      <c r="AU215" s="901">
        <f t="shared" si="62"/>
        <v>0</v>
      </c>
      <c r="AV215" s="901">
        <f ca="1"/>
        <v>0</v>
      </c>
      <c r="AW215" s="901">
        <f t="shared" si="63"/>
        <v>0</v>
      </c>
      <c r="AX215" s="901">
        <f t="shared" si="64"/>
        <v>0</v>
      </c>
      <c r="AY215" s="901">
        <f ca="1"/>
        <v>0</v>
      </c>
      <c r="AZ215" s="901">
        <f ca="1"/>
        <v>0</v>
      </c>
      <c r="BA215" s="905">
        <f t="shared" si="53"/>
        <v>0</v>
      </c>
      <c r="BB215" s="905">
        <f t="shared" si="54"/>
        <v>0</v>
      </c>
      <c r="BC215" s="905">
        <f t="shared" si="55"/>
        <v>0</v>
      </c>
      <c r="BD215" s="905">
        <f t="shared" si="56"/>
        <v>0</v>
      </c>
      <c r="BE215" s="905">
        <f t="shared" si="57"/>
        <v>0</v>
      </c>
      <c r="BF215" s="905">
        <f t="shared" si="58"/>
        <v>0</v>
      </c>
      <c r="BG215" s="905">
        <f t="shared" si="59"/>
        <v>0</v>
      </c>
      <c r="BH215" s="905">
        <f t="shared" si="60"/>
        <v>0</v>
      </c>
      <c r="BI215" s="713">
        <v>0</v>
      </c>
      <c r="BJ215" s="695"/>
      <c r="BK215" s="752">
        <f>IF(X216=0,0,           IF(ISNUMBER(BJ215),BJ215,               IF(ISTEXT(BJ215),INDEX(BA215:BH215,MATCH(BJ215,$BA$12:$BH$12,0)),             IF(BI215="INT",_xll.qInterp(X216,AK215:AR215,BA215:BH215),            INDEX(BA215:BH215,MATCH(BI215,$BA$12:$BH$12,0))))))</f>
        <v>0</v>
      </c>
      <c r="BL215" s="389">
        <f t="shared" si="65"/>
        <v>0</v>
      </c>
      <c r="BM215" s="394">
        <f t="shared" si="66"/>
        <v>0</v>
      </c>
      <c r="BN215" s="389">
        <f t="shared" si="67"/>
        <v>0</v>
      </c>
    </row>
    <row r="216" spans="16:66">
      <c r="P216" s="714">
        <v>0</v>
      </c>
      <c r="Q216" s="715">
        <f t="shared" si="51"/>
        <v>0</v>
      </c>
      <c r="R216" s="712">
        <f>IF(P217,_xll.qDateYears(P216,P217,DCCfixed),0)</f>
        <v>0</v>
      </c>
      <c r="S216" s="519">
        <f ca="1"/>
        <v>0</v>
      </c>
      <c r="T216" s="720"/>
      <c r="U216" s="390">
        <f t="shared" si="61"/>
        <v>0</v>
      </c>
      <c r="X216" s="345">
        <v>0</v>
      </c>
      <c r="Y216" s="711">
        <f t="shared" si="52"/>
        <v>0</v>
      </c>
      <c r="Z216" s="712">
        <f>IF(X217,_xll.qDateYears(X216,X217,DCCfloat),0)</f>
        <v>0</v>
      </c>
      <c r="AA216" s="519">
        <f ca="1"/>
        <v>0</v>
      </c>
      <c r="AB216" s="890">
        <f>IF(X216=0,0,         IF(OR(CCY="AUD",CCY="NZD",CCY="GBP"),X216,   _xll.qDateNext(X216,"-2b",,,IF(CCY="EUR","TGT","LON"))))</f>
        <v>0</v>
      </c>
      <c r="AC216" s="879" t="str">
        <v/>
      </c>
      <c r="AD216" s="879" t="str">
        <v/>
      </c>
      <c r="AE216" s="879" t="str">
        <v/>
      </c>
      <c r="AF216" s="879" t="str">
        <v/>
      </c>
      <c r="AG216" s="879" t="str">
        <v/>
      </c>
      <c r="AH216" s="879" t="str">
        <v/>
      </c>
      <c r="AI216" s="879" t="str">
        <v/>
      </c>
      <c r="AJ216" s="879" t="str">
        <v/>
      </c>
      <c r="AK216" s="882">
        <f>IF($X216=0,0,      _xll.qDateNext($X216,AK$12,$AR$11,FRM&lt;&gt;"Calypso",CCY))</f>
        <v>0</v>
      </c>
      <c r="AL216" s="882">
        <f>IF($X216=0,0,      _xll.qDateNext($X216,AL$12,$AR$11,FRM&lt;&gt;"Calypso",CCY))</f>
        <v>0</v>
      </c>
      <c r="AM216" s="882">
        <f>IF($X216=0,0,      _xll.qDateNext($X216,AM$12,$AR$11,FRM&lt;&gt;"Calypso",CCY))</f>
        <v>0</v>
      </c>
      <c r="AN216" s="882">
        <f>IF($X216=0,0,      _xll.qDateNext($X216,AN$12,$AR$11,FRM&lt;&gt;"Calypso",CCY))</f>
        <v>0</v>
      </c>
      <c r="AO216" s="882">
        <f>IF($X216=0,0,      _xll.qDateNext($X216,AO$12,$AR$11,FRM&lt;&gt;"Calypso",CCY))</f>
        <v>0</v>
      </c>
      <c r="AP216" s="882">
        <f>IF($X216=0,0,      _xll.qDateNext($X216,AP$12,$AR$11,FRM&lt;&gt;"Calypso",CCY))</f>
        <v>0</v>
      </c>
      <c r="AQ216" s="882">
        <f>IF($X216=0,0,      _xll.qDateNext($X216,AQ$12,$AR$11,FRM&lt;&gt;"Calypso",CCY))</f>
        <v>0</v>
      </c>
      <c r="AR216" s="882">
        <f>IF($X216=0,0,      _xll.qDateNext($X216,AR$12,$AR$11,FRM&lt;&gt;"Calypso",CCY))</f>
        <v>0</v>
      </c>
      <c r="AS216" s="901">
        <f ca="1"/>
        <v>0</v>
      </c>
      <c r="AT216" s="901">
        <f ca="1"/>
        <v>0</v>
      </c>
      <c r="AU216" s="901">
        <f t="shared" si="62"/>
        <v>0</v>
      </c>
      <c r="AV216" s="901">
        <f ca="1"/>
        <v>0</v>
      </c>
      <c r="AW216" s="901">
        <f t="shared" si="63"/>
        <v>0</v>
      </c>
      <c r="AX216" s="901">
        <f t="shared" si="64"/>
        <v>0</v>
      </c>
      <c r="AY216" s="901">
        <f ca="1"/>
        <v>0</v>
      </c>
      <c r="AZ216" s="901">
        <f ca="1"/>
        <v>0</v>
      </c>
      <c r="BA216" s="905">
        <f t="shared" si="53"/>
        <v>0</v>
      </c>
      <c r="BB216" s="905">
        <f t="shared" si="54"/>
        <v>0</v>
      </c>
      <c r="BC216" s="905">
        <f t="shared" si="55"/>
        <v>0</v>
      </c>
      <c r="BD216" s="905">
        <f t="shared" si="56"/>
        <v>0</v>
      </c>
      <c r="BE216" s="905">
        <f t="shared" si="57"/>
        <v>0</v>
      </c>
      <c r="BF216" s="905">
        <f t="shared" si="58"/>
        <v>0</v>
      </c>
      <c r="BG216" s="905">
        <f t="shared" si="59"/>
        <v>0</v>
      </c>
      <c r="BH216" s="905">
        <f t="shared" si="60"/>
        <v>0</v>
      </c>
      <c r="BI216" s="713">
        <v>0</v>
      </c>
      <c r="BJ216" s="695"/>
      <c r="BK216" s="752">
        <f>IF(X217=0,0,           IF(ISNUMBER(BJ216),BJ216,               IF(ISTEXT(BJ216),INDEX(BA216:BH216,MATCH(BJ216,$BA$12:$BH$12,0)),             IF(BI216="INT",_xll.qInterp(X217,AK216:AR216,BA216:BH216),            INDEX(BA216:BH216,MATCH(BI216,$BA$12:$BH$12,0))))))</f>
        <v>0</v>
      </c>
      <c r="BL216" s="389">
        <f t="shared" si="65"/>
        <v>0</v>
      </c>
      <c r="BM216" s="394">
        <f t="shared" si="66"/>
        <v>0</v>
      </c>
      <c r="BN216" s="389">
        <f t="shared" si="67"/>
        <v>0</v>
      </c>
    </row>
    <row r="217" spans="16:66">
      <c r="P217" s="714">
        <v>0</v>
      </c>
      <c r="Q217" s="715">
        <f t="shared" si="51"/>
        <v>0</v>
      </c>
      <c r="R217" s="712">
        <f>IF(P218,_xll.qDateYears(P217,P218,DCCfixed),0)</f>
        <v>0</v>
      </c>
      <c r="S217" s="519">
        <f ca="1"/>
        <v>0</v>
      </c>
      <c r="T217" s="720"/>
      <c r="U217" s="390">
        <f t="shared" si="61"/>
        <v>0</v>
      </c>
      <c r="X217" s="345">
        <v>0</v>
      </c>
      <c r="Y217" s="711">
        <f t="shared" si="52"/>
        <v>0</v>
      </c>
      <c r="Z217" s="712">
        <f>IF(X218,_xll.qDateYears(X217,X218,DCCfloat),0)</f>
        <v>0</v>
      </c>
      <c r="AA217" s="519">
        <f ca="1"/>
        <v>0</v>
      </c>
      <c r="AB217" s="890">
        <f>IF(X217=0,0,         IF(OR(CCY="AUD",CCY="NZD",CCY="GBP"),X217,   _xll.qDateNext(X217,"-2b",,,IF(CCY="EUR","TGT","LON"))))</f>
        <v>0</v>
      </c>
      <c r="AC217" s="879" t="str">
        <v/>
      </c>
      <c r="AD217" s="879" t="str">
        <v/>
      </c>
      <c r="AE217" s="879" t="str">
        <v/>
      </c>
      <c r="AF217" s="879" t="str">
        <v/>
      </c>
      <c r="AG217" s="879" t="str">
        <v/>
      </c>
      <c r="AH217" s="879" t="str">
        <v/>
      </c>
      <c r="AI217" s="879" t="str">
        <v/>
      </c>
      <c r="AJ217" s="879" t="str">
        <v/>
      </c>
      <c r="AK217" s="882">
        <f>IF($X217=0,0,      _xll.qDateNext($X217,AK$12,$AR$11,FRM&lt;&gt;"Calypso",CCY))</f>
        <v>0</v>
      </c>
      <c r="AL217" s="882">
        <f>IF($X217=0,0,      _xll.qDateNext($X217,AL$12,$AR$11,FRM&lt;&gt;"Calypso",CCY))</f>
        <v>0</v>
      </c>
      <c r="AM217" s="882">
        <f>IF($X217=0,0,      _xll.qDateNext($X217,AM$12,$AR$11,FRM&lt;&gt;"Calypso",CCY))</f>
        <v>0</v>
      </c>
      <c r="AN217" s="882">
        <f>IF($X217=0,0,      _xll.qDateNext($X217,AN$12,$AR$11,FRM&lt;&gt;"Calypso",CCY))</f>
        <v>0</v>
      </c>
      <c r="AO217" s="882">
        <f>IF($X217=0,0,      _xll.qDateNext($X217,AO$12,$AR$11,FRM&lt;&gt;"Calypso",CCY))</f>
        <v>0</v>
      </c>
      <c r="AP217" s="882">
        <f>IF($X217=0,0,      _xll.qDateNext($X217,AP$12,$AR$11,FRM&lt;&gt;"Calypso",CCY))</f>
        <v>0</v>
      </c>
      <c r="AQ217" s="882">
        <f>IF($X217=0,0,      _xll.qDateNext($X217,AQ$12,$AR$11,FRM&lt;&gt;"Calypso",CCY))</f>
        <v>0</v>
      </c>
      <c r="AR217" s="882">
        <f>IF($X217=0,0,      _xll.qDateNext($X217,AR$12,$AR$11,FRM&lt;&gt;"Calypso",CCY))</f>
        <v>0</v>
      </c>
      <c r="AS217" s="901">
        <f ca="1"/>
        <v>0</v>
      </c>
      <c r="AT217" s="901">
        <f ca="1"/>
        <v>0</v>
      </c>
      <c r="AU217" s="901">
        <f t="shared" si="62"/>
        <v>0</v>
      </c>
      <c r="AV217" s="901">
        <f ca="1"/>
        <v>0</v>
      </c>
      <c r="AW217" s="901">
        <f t="shared" si="63"/>
        <v>0</v>
      </c>
      <c r="AX217" s="901">
        <f t="shared" si="64"/>
        <v>0</v>
      </c>
      <c r="AY217" s="901">
        <f ca="1"/>
        <v>0</v>
      </c>
      <c r="AZ217" s="901">
        <f ca="1"/>
        <v>0</v>
      </c>
      <c r="BA217" s="905">
        <f t="shared" si="53"/>
        <v>0</v>
      </c>
      <c r="BB217" s="905">
        <f t="shared" si="54"/>
        <v>0</v>
      </c>
      <c r="BC217" s="905">
        <f t="shared" si="55"/>
        <v>0</v>
      </c>
      <c r="BD217" s="905">
        <f t="shared" si="56"/>
        <v>0</v>
      </c>
      <c r="BE217" s="905">
        <f t="shared" si="57"/>
        <v>0</v>
      </c>
      <c r="BF217" s="905">
        <f t="shared" si="58"/>
        <v>0</v>
      </c>
      <c r="BG217" s="905">
        <f t="shared" si="59"/>
        <v>0</v>
      </c>
      <c r="BH217" s="905">
        <f t="shared" si="60"/>
        <v>0</v>
      </c>
      <c r="BI217" s="713">
        <v>0</v>
      </c>
      <c r="BJ217" s="695"/>
      <c r="BK217" s="752">
        <f>IF(X218=0,0,           IF(ISNUMBER(BJ217),BJ217,               IF(ISTEXT(BJ217),INDEX(BA217:BH217,MATCH(BJ217,$BA$12:$BH$12,0)),             IF(BI217="INT",_xll.qInterp(X218,AK217:AR217,BA217:BH217),            INDEX(BA217:BH217,MATCH(BI217,$BA$12:$BH$12,0))))))</f>
        <v>0</v>
      </c>
      <c r="BL217" s="389">
        <f t="shared" si="65"/>
        <v>0</v>
      </c>
      <c r="BM217" s="394">
        <f t="shared" si="66"/>
        <v>0</v>
      </c>
      <c r="BN217" s="389">
        <f t="shared" si="67"/>
        <v>0</v>
      </c>
    </row>
    <row r="218" spans="16:66">
      <c r="P218" s="714">
        <v>0</v>
      </c>
      <c r="Q218" s="715">
        <f t="shared" si="51"/>
        <v>0</v>
      </c>
      <c r="R218" s="712">
        <f>IF(P219,_xll.qDateYears(P218,P219,DCCfixed),0)</f>
        <v>0</v>
      </c>
      <c r="S218" s="519">
        <f ca="1"/>
        <v>0</v>
      </c>
      <c r="T218" s="720"/>
      <c r="U218" s="390">
        <f t="shared" si="61"/>
        <v>0</v>
      </c>
      <c r="X218" s="345">
        <v>0</v>
      </c>
      <c r="Y218" s="711">
        <f t="shared" si="52"/>
        <v>0</v>
      </c>
      <c r="Z218" s="712">
        <f>IF(X219,_xll.qDateYears(X218,X219,DCCfloat),0)</f>
        <v>0</v>
      </c>
      <c r="AA218" s="519">
        <f ca="1"/>
        <v>0</v>
      </c>
      <c r="AB218" s="890">
        <f>IF(X218=0,0,         IF(OR(CCY="AUD",CCY="NZD",CCY="GBP"),X218,   _xll.qDateNext(X218,"-2b",,,IF(CCY="EUR","TGT","LON"))))</f>
        <v>0</v>
      </c>
      <c r="AC218" s="879" t="str">
        <v/>
      </c>
      <c r="AD218" s="879" t="str">
        <v/>
      </c>
      <c r="AE218" s="879" t="str">
        <v/>
      </c>
      <c r="AF218" s="879" t="str">
        <v/>
      </c>
      <c r="AG218" s="879" t="str">
        <v/>
      </c>
      <c r="AH218" s="879" t="str">
        <v/>
      </c>
      <c r="AI218" s="879" t="str">
        <v/>
      </c>
      <c r="AJ218" s="879" t="str">
        <v/>
      </c>
      <c r="AK218" s="882">
        <f>IF($X218=0,0,      _xll.qDateNext($X218,AK$12,$AR$11,FRM&lt;&gt;"Calypso",CCY))</f>
        <v>0</v>
      </c>
      <c r="AL218" s="882">
        <f>IF($X218=0,0,      _xll.qDateNext($X218,AL$12,$AR$11,FRM&lt;&gt;"Calypso",CCY))</f>
        <v>0</v>
      </c>
      <c r="AM218" s="882">
        <f>IF($X218=0,0,      _xll.qDateNext($X218,AM$12,$AR$11,FRM&lt;&gt;"Calypso",CCY))</f>
        <v>0</v>
      </c>
      <c r="AN218" s="882">
        <f>IF($X218=0,0,      _xll.qDateNext($X218,AN$12,$AR$11,FRM&lt;&gt;"Calypso",CCY))</f>
        <v>0</v>
      </c>
      <c r="AO218" s="882">
        <f>IF($X218=0,0,      _xll.qDateNext($X218,AO$12,$AR$11,FRM&lt;&gt;"Calypso",CCY))</f>
        <v>0</v>
      </c>
      <c r="AP218" s="882">
        <f>IF($X218=0,0,      _xll.qDateNext($X218,AP$12,$AR$11,FRM&lt;&gt;"Calypso",CCY))</f>
        <v>0</v>
      </c>
      <c r="AQ218" s="882">
        <f>IF($X218=0,0,      _xll.qDateNext($X218,AQ$12,$AR$11,FRM&lt;&gt;"Calypso",CCY))</f>
        <v>0</v>
      </c>
      <c r="AR218" s="882">
        <f>IF($X218=0,0,      _xll.qDateNext($X218,AR$12,$AR$11,FRM&lt;&gt;"Calypso",CCY))</f>
        <v>0</v>
      </c>
      <c r="AS218" s="901">
        <f ca="1"/>
        <v>0</v>
      </c>
      <c r="AT218" s="901">
        <f ca="1"/>
        <v>0</v>
      </c>
      <c r="AU218" s="901">
        <f t="shared" si="62"/>
        <v>0</v>
      </c>
      <c r="AV218" s="901">
        <f ca="1"/>
        <v>0</v>
      </c>
      <c r="AW218" s="901">
        <f t="shared" si="63"/>
        <v>0</v>
      </c>
      <c r="AX218" s="901">
        <f t="shared" si="64"/>
        <v>0</v>
      </c>
      <c r="AY218" s="901">
        <f ca="1"/>
        <v>0</v>
      </c>
      <c r="AZ218" s="901">
        <f ca="1"/>
        <v>0</v>
      </c>
      <c r="BA218" s="905">
        <f t="shared" si="53"/>
        <v>0</v>
      </c>
      <c r="BB218" s="905">
        <f t="shared" si="54"/>
        <v>0</v>
      </c>
      <c r="BC218" s="905">
        <f t="shared" si="55"/>
        <v>0</v>
      </c>
      <c r="BD218" s="905">
        <f t="shared" si="56"/>
        <v>0</v>
      </c>
      <c r="BE218" s="905">
        <f t="shared" si="57"/>
        <v>0</v>
      </c>
      <c r="BF218" s="905">
        <f t="shared" si="58"/>
        <v>0</v>
      </c>
      <c r="BG218" s="905">
        <f t="shared" si="59"/>
        <v>0</v>
      </c>
      <c r="BH218" s="905">
        <f t="shared" si="60"/>
        <v>0</v>
      </c>
      <c r="BI218" s="713">
        <v>0</v>
      </c>
      <c r="BJ218" s="695"/>
      <c r="BK218" s="752">
        <f>IF(X219=0,0,           IF(ISNUMBER(BJ218),BJ218,               IF(ISTEXT(BJ218),INDEX(BA218:BH218,MATCH(BJ218,$BA$12:$BH$12,0)),             IF(BI218="INT",_xll.qInterp(X219,AK218:AR218,BA218:BH218),            INDEX(BA218:BH218,MATCH(BI218,$BA$12:$BH$12,0))))))</f>
        <v>0</v>
      </c>
      <c r="BL218" s="389">
        <f t="shared" si="65"/>
        <v>0</v>
      </c>
      <c r="BM218" s="394">
        <f t="shared" si="66"/>
        <v>0</v>
      </c>
      <c r="BN218" s="389">
        <f t="shared" si="67"/>
        <v>0</v>
      </c>
    </row>
    <row r="219" spans="16:66">
      <c r="P219" s="714">
        <v>0</v>
      </c>
      <c r="Q219" s="715">
        <f t="shared" si="51"/>
        <v>0</v>
      </c>
      <c r="R219" s="712">
        <f>IF(P220,_xll.qDateYears(P219,P220,DCCfixed),0)</f>
        <v>0</v>
      </c>
      <c r="S219" s="519">
        <f ca="1"/>
        <v>0</v>
      </c>
      <c r="T219" s="720"/>
      <c r="U219" s="390">
        <f t="shared" si="61"/>
        <v>0</v>
      </c>
      <c r="X219" s="345">
        <v>0</v>
      </c>
      <c r="Y219" s="711">
        <f t="shared" si="52"/>
        <v>0</v>
      </c>
      <c r="Z219" s="712">
        <f>IF(X220,_xll.qDateYears(X219,X220,DCCfloat),0)</f>
        <v>0</v>
      </c>
      <c r="AA219" s="519">
        <f ca="1"/>
        <v>0</v>
      </c>
      <c r="AB219" s="890">
        <f>IF(X219=0,0,         IF(OR(CCY="AUD",CCY="NZD",CCY="GBP"),X219,   _xll.qDateNext(X219,"-2b",,,IF(CCY="EUR","TGT","LON"))))</f>
        <v>0</v>
      </c>
      <c r="AC219" s="879" t="str">
        <v/>
      </c>
      <c r="AD219" s="879" t="str">
        <v/>
      </c>
      <c r="AE219" s="879" t="str">
        <v/>
      </c>
      <c r="AF219" s="879" t="str">
        <v/>
      </c>
      <c r="AG219" s="879" t="str">
        <v/>
      </c>
      <c r="AH219" s="879" t="str">
        <v/>
      </c>
      <c r="AI219" s="879" t="str">
        <v/>
      </c>
      <c r="AJ219" s="879" t="str">
        <v/>
      </c>
      <c r="AK219" s="882">
        <f>IF($X219=0,0,      _xll.qDateNext($X219,AK$12,$AR$11,FRM&lt;&gt;"Calypso",CCY))</f>
        <v>0</v>
      </c>
      <c r="AL219" s="882">
        <f>IF($X219=0,0,      _xll.qDateNext($X219,AL$12,$AR$11,FRM&lt;&gt;"Calypso",CCY))</f>
        <v>0</v>
      </c>
      <c r="AM219" s="882">
        <f>IF($X219=0,0,      _xll.qDateNext($X219,AM$12,$AR$11,FRM&lt;&gt;"Calypso",CCY))</f>
        <v>0</v>
      </c>
      <c r="AN219" s="882">
        <f>IF($X219=0,0,      _xll.qDateNext($X219,AN$12,$AR$11,FRM&lt;&gt;"Calypso",CCY))</f>
        <v>0</v>
      </c>
      <c r="AO219" s="882">
        <f>IF($X219=0,0,      _xll.qDateNext($X219,AO$12,$AR$11,FRM&lt;&gt;"Calypso",CCY))</f>
        <v>0</v>
      </c>
      <c r="AP219" s="882">
        <f>IF($X219=0,0,      _xll.qDateNext($X219,AP$12,$AR$11,FRM&lt;&gt;"Calypso",CCY))</f>
        <v>0</v>
      </c>
      <c r="AQ219" s="882">
        <f>IF($X219=0,0,      _xll.qDateNext($X219,AQ$12,$AR$11,FRM&lt;&gt;"Calypso",CCY))</f>
        <v>0</v>
      </c>
      <c r="AR219" s="882">
        <f>IF($X219=0,0,      _xll.qDateNext($X219,AR$12,$AR$11,FRM&lt;&gt;"Calypso",CCY))</f>
        <v>0</v>
      </c>
      <c r="AS219" s="901">
        <f ca="1"/>
        <v>0</v>
      </c>
      <c r="AT219" s="901">
        <f ca="1"/>
        <v>0</v>
      </c>
      <c r="AU219" s="901">
        <f t="shared" si="62"/>
        <v>0</v>
      </c>
      <c r="AV219" s="901">
        <f ca="1"/>
        <v>0</v>
      </c>
      <c r="AW219" s="901">
        <f t="shared" si="63"/>
        <v>0</v>
      </c>
      <c r="AX219" s="901">
        <f t="shared" si="64"/>
        <v>0</v>
      </c>
      <c r="AY219" s="901">
        <f ca="1"/>
        <v>0</v>
      </c>
      <c r="AZ219" s="901">
        <f ca="1"/>
        <v>0</v>
      </c>
      <c r="BA219" s="905">
        <f t="shared" si="53"/>
        <v>0</v>
      </c>
      <c r="BB219" s="905">
        <f t="shared" si="54"/>
        <v>0</v>
      </c>
      <c r="BC219" s="905">
        <f t="shared" si="55"/>
        <v>0</v>
      </c>
      <c r="BD219" s="905">
        <f t="shared" si="56"/>
        <v>0</v>
      </c>
      <c r="BE219" s="905">
        <f t="shared" si="57"/>
        <v>0</v>
      </c>
      <c r="BF219" s="905">
        <f t="shared" si="58"/>
        <v>0</v>
      </c>
      <c r="BG219" s="905">
        <f t="shared" si="59"/>
        <v>0</v>
      </c>
      <c r="BH219" s="905">
        <f t="shared" si="60"/>
        <v>0</v>
      </c>
      <c r="BI219" s="713">
        <v>0</v>
      </c>
      <c r="BJ219" s="695"/>
      <c r="BK219" s="752">
        <f>IF(X220=0,0,           IF(ISNUMBER(BJ219),BJ219,               IF(ISTEXT(BJ219),INDEX(BA219:BH219,MATCH(BJ219,$BA$12:$BH$12,0)),             IF(BI219="INT",_xll.qInterp(X220,AK219:AR219,BA219:BH219),            INDEX(BA219:BH219,MATCH(BI219,$BA$12:$BH$12,0))))))</f>
        <v>0</v>
      </c>
      <c r="BL219" s="389">
        <f t="shared" si="65"/>
        <v>0</v>
      </c>
      <c r="BM219" s="394">
        <f t="shared" si="66"/>
        <v>0</v>
      </c>
      <c r="BN219" s="389">
        <f t="shared" si="67"/>
        <v>0</v>
      </c>
    </row>
    <row r="220" spans="16:66">
      <c r="P220" s="714">
        <v>0</v>
      </c>
      <c r="Q220" s="715">
        <f t="shared" si="51"/>
        <v>0</v>
      </c>
      <c r="R220" s="712">
        <f>IF(P221,_xll.qDateYears(P220,P221,DCCfixed),0)</f>
        <v>0</v>
      </c>
      <c r="S220" s="519">
        <f ca="1"/>
        <v>0</v>
      </c>
      <c r="T220" s="720"/>
      <c r="U220" s="390">
        <f t="shared" si="61"/>
        <v>0</v>
      </c>
      <c r="X220" s="345">
        <v>0</v>
      </c>
      <c r="Y220" s="711">
        <f t="shared" si="52"/>
        <v>0</v>
      </c>
      <c r="Z220" s="712">
        <f>IF(X221,_xll.qDateYears(X220,X221,DCCfloat),0)</f>
        <v>0</v>
      </c>
      <c r="AA220" s="519">
        <f ca="1"/>
        <v>0</v>
      </c>
      <c r="AB220" s="890">
        <f>IF(X220=0,0,         IF(OR(CCY="AUD",CCY="NZD",CCY="GBP"),X220,   _xll.qDateNext(X220,"-2b",,,IF(CCY="EUR","TGT","LON"))))</f>
        <v>0</v>
      </c>
      <c r="AC220" s="879" t="str">
        <v/>
      </c>
      <c r="AD220" s="879" t="str">
        <v/>
      </c>
      <c r="AE220" s="879" t="str">
        <v/>
      </c>
      <c r="AF220" s="879" t="str">
        <v/>
      </c>
      <c r="AG220" s="879" t="str">
        <v/>
      </c>
      <c r="AH220" s="879" t="str">
        <v/>
      </c>
      <c r="AI220" s="879" t="str">
        <v/>
      </c>
      <c r="AJ220" s="879" t="str">
        <v/>
      </c>
      <c r="AK220" s="882">
        <f>IF($X220=0,0,      _xll.qDateNext($X220,AK$12,$AR$11,FRM&lt;&gt;"Calypso",CCY))</f>
        <v>0</v>
      </c>
      <c r="AL220" s="882">
        <f>IF($X220=0,0,      _xll.qDateNext($X220,AL$12,$AR$11,FRM&lt;&gt;"Calypso",CCY))</f>
        <v>0</v>
      </c>
      <c r="AM220" s="882">
        <f>IF($X220=0,0,      _xll.qDateNext($X220,AM$12,$AR$11,FRM&lt;&gt;"Calypso",CCY))</f>
        <v>0</v>
      </c>
      <c r="AN220" s="882">
        <f>IF($X220=0,0,      _xll.qDateNext($X220,AN$12,$AR$11,FRM&lt;&gt;"Calypso",CCY))</f>
        <v>0</v>
      </c>
      <c r="AO220" s="882">
        <f>IF($X220=0,0,      _xll.qDateNext($X220,AO$12,$AR$11,FRM&lt;&gt;"Calypso",CCY))</f>
        <v>0</v>
      </c>
      <c r="AP220" s="882">
        <f>IF($X220=0,0,      _xll.qDateNext($X220,AP$12,$AR$11,FRM&lt;&gt;"Calypso",CCY))</f>
        <v>0</v>
      </c>
      <c r="AQ220" s="882">
        <f>IF($X220=0,0,      _xll.qDateNext($X220,AQ$12,$AR$11,FRM&lt;&gt;"Calypso",CCY))</f>
        <v>0</v>
      </c>
      <c r="AR220" s="882">
        <f>IF($X220=0,0,      _xll.qDateNext($X220,AR$12,$AR$11,FRM&lt;&gt;"Calypso",CCY))</f>
        <v>0</v>
      </c>
      <c r="AS220" s="901">
        <f ca="1"/>
        <v>0</v>
      </c>
      <c r="AT220" s="901">
        <f ca="1"/>
        <v>0</v>
      </c>
      <c r="AU220" s="901">
        <f t="shared" si="62"/>
        <v>0</v>
      </c>
      <c r="AV220" s="901">
        <f ca="1"/>
        <v>0</v>
      </c>
      <c r="AW220" s="901">
        <f t="shared" si="63"/>
        <v>0</v>
      </c>
      <c r="AX220" s="901">
        <f t="shared" si="64"/>
        <v>0</v>
      </c>
      <c r="AY220" s="901">
        <f ca="1"/>
        <v>0</v>
      </c>
      <c r="AZ220" s="901">
        <f ca="1"/>
        <v>0</v>
      </c>
      <c r="BA220" s="905">
        <f t="shared" si="53"/>
        <v>0</v>
      </c>
      <c r="BB220" s="905">
        <f t="shared" si="54"/>
        <v>0</v>
      </c>
      <c r="BC220" s="905">
        <f t="shared" si="55"/>
        <v>0</v>
      </c>
      <c r="BD220" s="905">
        <f t="shared" si="56"/>
        <v>0</v>
      </c>
      <c r="BE220" s="905">
        <f t="shared" si="57"/>
        <v>0</v>
      </c>
      <c r="BF220" s="905">
        <f t="shared" si="58"/>
        <v>0</v>
      </c>
      <c r="BG220" s="905">
        <f t="shared" si="59"/>
        <v>0</v>
      </c>
      <c r="BH220" s="905">
        <f t="shared" si="60"/>
        <v>0</v>
      </c>
      <c r="BI220" s="713">
        <v>0</v>
      </c>
      <c r="BJ220" s="695"/>
      <c r="BK220" s="752">
        <f>IF(X221=0,0,           IF(ISNUMBER(BJ220),BJ220,               IF(ISTEXT(BJ220),INDEX(BA220:BH220,MATCH(BJ220,$BA$12:$BH$12,0)),             IF(BI220="INT",_xll.qInterp(X221,AK220:AR220,BA220:BH220),            INDEX(BA220:BH220,MATCH(BI220,$BA$12:$BH$12,0))))))</f>
        <v>0</v>
      </c>
      <c r="BL220" s="389">
        <f t="shared" si="65"/>
        <v>0</v>
      </c>
      <c r="BM220" s="394">
        <f t="shared" si="66"/>
        <v>0</v>
      </c>
      <c r="BN220" s="389">
        <f t="shared" si="67"/>
        <v>0</v>
      </c>
    </row>
    <row r="221" spans="16:66">
      <c r="P221" s="714">
        <v>0</v>
      </c>
      <c r="Q221" s="715">
        <f t="shared" si="51"/>
        <v>0</v>
      </c>
      <c r="R221" s="712">
        <f>IF(P222,_xll.qDateYears(P221,P222,DCCfixed),0)</f>
        <v>0</v>
      </c>
      <c r="S221" s="519">
        <f ca="1"/>
        <v>0</v>
      </c>
      <c r="T221" s="720"/>
      <c r="U221" s="390">
        <f t="shared" si="61"/>
        <v>0</v>
      </c>
      <c r="X221" s="345">
        <v>0</v>
      </c>
      <c r="Y221" s="711">
        <f t="shared" si="52"/>
        <v>0</v>
      </c>
      <c r="Z221" s="712">
        <f>IF(X222,_xll.qDateYears(X221,X222,DCCfloat),0)</f>
        <v>0</v>
      </c>
      <c r="AA221" s="519">
        <f ca="1"/>
        <v>0</v>
      </c>
      <c r="AB221" s="890">
        <f>IF(X221=0,0,         IF(OR(CCY="AUD",CCY="NZD",CCY="GBP"),X221,   _xll.qDateNext(X221,"-2b",,,IF(CCY="EUR","TGT","LON"))))</f>
        <v>0</v>
      </c>
      <c r="AC221" s="879" t="str">
        <v/>
      </c>
      <c r="AD221" s="879" t="str">
        <v/>
      </c>
      <c r="AE221" s="879" t="str">
        <v/>
      </c>
      <c r="AF221" s="879" t="str">
        <v/>
      </c>
      <c r="AG221" s="879" t="str">
        <v/>
      </c>
      <c r="AH221" s="879" t="str">
        <v/>
      </c>
      <c r="AI221" s="879" t="str">
        <v/>
      </c>
      <c r="AJ221" s="879" t="str">
        <v/>
      </c>
      <c r="AK221" s="882">
        <f>IF($X221=0,0,      _xll.qDateNext($X221,AK$12,$AR$11,FRM&lt;&gt;"Calypso",CCY))</f>
        <v>0</v>
      </c>
      <c r="AL221" s="882">
        <f>IF($X221=0,0,      _xll.qDateNext($X221,AL$12,$AR$11,FRM&lt;&gt;"Calypso",CCY))</f>
        <v>0</v>
      </c>
      <c r="AM221" s="882">
        <f>IF($X221=0,0,      _xll.qDateNext($X221,AM$12,$AR$11,FRM&lt;&gt;"Calypso",CCY))</f>
        <v>0</v>
      </c>
      <c r="AN221" s="882">
        <f>IF($X221=0,0,      _xll.qDateNext($X221,AN$12,$AR$11,FRM&lt;&gt;"Calypso",CCY))</f>
        <v>0</v>
      </c>
      <c r="AO221" s="882">
        <f>IF($X221=0,0,      _xll.qDateNext($X221,AO$12,$AR$11,FRM&lt;&gt;"Calypso",CCY))</f>
        <v>0</v>
      </c>
      <c r="AP221" s="882">
        <f>IF($X221=0,0,      _xll.qDateNext($X221,AP$12,$AR$11,FRM&lt;&gt;"Calypso",CCY))</f>
        <v>0</v>
      </c>
      <c r="AQ221" s="882">
        <f>IF($X221=0,0,      _xll.qDateNext($X221,AQ$12,$AR$11,FRM&lt;&gt;"Calypso",CCY))</f>
        <v>0</v>
      </c>
      <c r="AR221" s="882">
        <f>IF($X221=0,0,      _xll.qDateNext($X221,AR$12,$AR$11,FRM&lt;&gt;"Calypso",CCY))</f>
        <v>0</v>
      </c>
      <c r="AS221" s="901">
        <f ca="1"/>
        <v>0</v>
      </c>
      <c r="AT221" s="901">
        <f ca="1"/>
        <v>0</v>
      </c>
      <c r="AU221" s="901">
        <f t="shared" si="62"/>
        <v>0</v>
      </c>
      <c r="AV221" s="901">
        <f ca="1"/>
        <v>0</v>
      </c>
      <c r="AW221" s="901">
        <f t="shared" si="63"/>
        <v>0</v>
      </c>
      <c r="AX221" s="901">
        <f t="shared" si="64"/>
        <v>0</v>
      </c>
      <c r="AY221" s="901">
        <f ca="1"/>
        <v>0</v>
      </c>
      <c r="AZ221" s="901">
        <f ca="1"/>
        <v>0</v>
      </c>
      <c r="BA221" s="905">
        <f t="shared" si="53"/>
        <v>0</v>
      </c>
      <c r="BB221" s="905">
        <f t="shared" si="54"/>
        <v>0</v>
      </c>
      <c r="BC221" s="905">
        <f t="shared" si="55"/>
        <v>0</v>
      </c>
      <c r="BD221" s="905">
        <f t="shared" si="56"/>
        <v>0</v>
      </c>
      <c r="BE221" s="905">
        <f t="shared" si="57"/>
        <v>0</v>
      </c>
      <c r="BF221" s="905">
        <f t="shared" si="58"/>
        <v>0</v>
      </c>
      <c r="BG221" s="905">
        <f t="shared" si="59"/>
        <v>0</v>
      </c>
      <c r="BH221" s="905">
        <f t="shared" si="60"/>
        <v>0</v>
      </c>
      <c r="BI221" s="713">
        <v>0</v>
      </c>
      <c r="BJ221" s="695"/>
      <c r="BK221" s="752">
        <f>IF(X222=0,0,           IF(ISNUMBER(BJ221),BJ221,               IF(ISTEXT(BJ221),INDEX(BA221:BH221,MATCH(BJ221,$BA$12:$BH$12,0)),             IF(BI221="INT",_xll.qInterp(X222,AK221:AR221,BA221:BH221),            INDEX(BA221:BH221,MATCH(BI221,$BA$12:$BH$12,0))))))</f>
        <v>0</v>
      </c>
      <c r="BL221" s="389">
        <f t="shared" si="65"/>
        <v>0</v>
      </c>
      <c r="BM221" s="394">
        <f t="shared" si="66"/>
        <v>0</v>
      </c>
      <c r="BN221" s="389">
        <f t="shared" si="67"/>
        <v>0</v>
      </c>
    </row>
    <row r="222" spans="16:66">
      <c r="P222" s="714">
        <v>0</v>
      </c>
      <c r="Q222" s="715">
        <f t="shared" si="51"/>
        <v>0</v>
      </c>
      <c r="R222" s="712">
        <f>IF(P223,_xll.qDateYears(P222,P223,DCCfixed),0)</f>
        <v>0</v>
      </c>
      <c r="S222" s="519">
        <f ca="1"/>
        <v>0</v>
      </c>
      <c r="T222" s="720"/>
      <c r="U222" s="390">
        <f t="shared" si="61"/>
        <v>0</v>
      </c>
      <c r="X222" s="345">
        <v>0</v>
      </c>
      <c r="Y222" s="711">
        <f t="shared" si="52"/>
        <v>0</v>
      </c>
      <c r="Z222" s="712">
        <f>IF(X223,_xll.qDateYears(X222,X223,DCCfloat),0)</f>
        <v>0</v>
      </c>
      <c r="AA222" s="519">
        <f ca="1"/>
        <v>0</v>
      </c>
      <c r="AB222" s="890">
        <f>IF(X222=0,0,         IF(OR(CCY="AUD",CCY="NZD",CCY="GBP"),X222,   _xll.qDateNext(X222,"-2b",,,IF(CCY="EUR","TGT","LON"))))</f>
        <v>0</v>
      </c>
      <c r="AC222" s="879" t="str">
        <v/>
      </c>
      <c r="AD222" s="879" t="str">
        <v/>
      </c>
      <c r="AE222" s="879" t="str">
        <v/>
      </c>
      <c r="AF222" s="879" t="str">
        <v/>
      </c>
      <c r="AG222" s="879" t="str">
        <v/>
      </c>
      <c r="AH222" s="879" t="str">
        <v/>
      </c>
      <c r="AI222" s="879" t="str">
        <v/>
      </c>
      <c r="AJ222" s="879" t="str">
        <v/>
      </c>
      <c r="AK222" s="882">
        <f>IF($X222=0,0,      _xll.qDateNext($X222,AK$12,$AR$11,FRM&lt;&gt;"Calypso",CCY))</f>
        <v>0</v>
      </c>
      <c r="AL222" s="882">
        <f>IF($X222=0,0,      _xll.qDateNext($X222,AL$12,$AR$11,FRM&lt;&gt;"Calypso",CCY))</f>
        <v>0</v>
      </c>
      <c r="AM222" s="882">
        <f>IF($X222=0,0,      _xll.qDateNext($X222,AM$12,$AR$11,FRM&lt;&gt;"Calypso",CCY))</f>
        <v>0</v>
      </c>
      <c r="AN222" s="882">
        <f>IF($X222=0,0,      _xll.qDateNext($X222,AN$12,$AR$11,FRM&lt;&gt;"Calypso",CCY))</f>
        <v>0</v>
      </c>
      <c r="AO222" s="882">
        <f>IF($X222=0,0,      _xll.qDateNext($X222,AO$12,$AR$11,FRM&lt;&gt;"Calypso",CCY))</f>
        <v>0</v>
      </c>
      <c r="AP222" s="882">
        <f>IF($X222=0,0,      _xll.qDateNext($X222,AP$12,$AR$11,FRM&lt;&gt;"Calypso",CCY))</f>
        <v>0</v>
      </c>
      <c r="AQ222" s="882">
        <f>IF($X222=0,0,      _xll.qDateNext($X222,AQ$12,$AR$11,FRM&lt;&gt;"Calypso",CCY))</f>
        <v>0</v>
      </c>
      <c r="AR222" s="882">
        <f>IF($X222=0,0,      _xll.qDateNext($X222,AR$12,$AR$11,FRM&lt;&gt;"Calypso",CCY))</f>
        <v>0</v>
      </c>
      <c r="AS222" s="901">
        <f ca="1"/>
        <v>0</v>
      </c>
      <c r="AT222" s="901">
        <f ca="1"/>
        <v>0</v>
      </c>
      <c r="AU222" s="901">
        <f t="shared" si="62"/>
        <v>0</v>
      </c>
      <c r="AV222" s="901">
        <f ca="1"/>
        <v>0</v>
      </c>
      <c r="AW222" s="901">
        <f t="shared" si="63"/>
        <v>0</v>
      </c>
      <c r="AX222" s="901">
        <f t="shared" si="64"/>
        <v>0</v>
      </c>
      <c r="AY222" s="901">
        <f ca="1"/>
        <v>0</v>
      </c>
      <c r="AZ222" s="901">
        <f ca="1"/>
        <v>0</v>
      </c>
      <c r="BA222" s="905">
        <f t="shared" si="53"/>
        <v>0</v>
      </c>
      <c r="BB222" s="905">
        <f t="shared" si="54"/>
        <v>0</v>
      </c>
      <c r="BC222" s="905">
        <f t="shared" si="55"/>
        <v>0</v>
      </c>
      <c r="BD222" s="905">
        <f t="shared" si="56"/>
        <v>0</v>
      </c>
      <c r="BE222" s="905">
        <f t="shared" si="57"/>
        <v>0</v>
      </c>
      <c r="BF222" s="905">
        <f t="shared" si="58"/>
        <v>0</v>
      </c>
      <c r="BG222" s="905">
        <f t="shared" si="59"/>
        <v>0</v>
      </c>
      <c r="BH222" s="905">
        <f t="shared" si="60"/>
        <v>0</v>
      </c>
      <c r="BI222" s="713">
        <v>0</v>
      </c>
      <c r="BJ222" s="695"/>
      <c r="BK222" s="752">
        <f>IF(X223=0,0,           IF(ISNUMBER(BJ222),BJ222,               IF(ISTEXT(BJ222),INDEX(BA222:BH222,MATCH(BJ222,$BA$12:$BH$12,0)),             IF(BI222="INT",_xll.qInterp(X223,AK222:AR222,BA222:BH222),            INDEX(BA222:BH222,MATCH(BI222,$BA$12:$BH$12,0))))))</f>
        <v>0</v>
      </c>
      <c r="BL222" s="389">
        <f t="shared" si="65"/>
        <v>0</v>
      </c>
      <c r="BM222" s="394">
        <f t="shared" si="66"/>
        <v>0</v>
      </c>
      <c r="BN222" s="389">
        <f t="shared" si="67"/>
        <v>0</v>
      </c>
    </row>
    <row r="223" spans="16:66">
      <c r="P223" s="714">
        <v>0</v>
      </c>
      <c r="Q223" s="715">
        <f t="shared" si="51"/>
        <v>0</v>
      </c>
      <c r="R223" s="712">
        <f>IF(P224,_xll.qDateYears(P223,P224,DCCfixed),0)</f>
        <v>0</v>
      </c>
      <c r="S223" s="519">
        <f ca="1"/>
        <v>0</v>
      </c>
      <c r="T223" s="720"/>
      <c r="U223" s="390">
        <f t="shared" si="61"/>
        <v>0</v>
      </c>
      <c r="X223" s="345">
        <v>0</v>
      </c>
      <c r="Y223" s="711">
        <f t="shared" si="52"/>
        <v>0</v>
      </c>
      <c r="Z223" s="712">
        <f>IF(X224,_xll.qDateYears(X223,X224,DCCfloat),0)</f>
        <v>0</v>
      </c>
      <c r="AA223" s="519">
        <f ca="1"/>
        <v>0</v>
      </c>
      <c r="AB223" s="890">
        <f>IF(X223=0,0,         IF(OR(CCY="AUD",CCY="NZD",CCY="GBP"),X223,   _xll.qDateNext(X223,"-2b",,,IF(CCY="EUR","TGT","LON"))))</f>
        <v>0</v>
      </c>
      <c r="AC223" s="879" t="str">
        <v/>
      </c>
      <c r="AD223" s="879" t="str">
        <v/>
      </c>
      <c r="AE223" s="879" t="str">
        <v/>
      </c>
      <c r="AF223" s="879" t="str">
        <v/>
      </c>
      <c r="AG223" s="879" t="str">
        <v/>
      </c>
      <c r="AH223" s="879" t="str">
        <v/>
      </c>
      <c r="AI223" s="879" t="str">
        <v/>
      </c>
      <c r="AJ223" s="879" t="str">
        <v/>
      </c>
      <c r="AK223" s="882">
        <f>IF($X223=0,0,      _xll.qDateNext($X223,AK$12,$AR$11,FRM&lt;&gt;"Calypso",CCY))</f>
        <v>0</v>
      </c>
      <c r="AL223" s="882">
        <f>IF($X223=0,0,      _xll.qDateNext($X223,AL$12,$AR$11,FRM&lt;&gt;"Calypso",CCY))</f>
        <v>0</v>
      </c>
      <c r="AM223" s="882">
        <f>IF($X223=0,0,      _xll.qDateNext($X223,AM$12,$AR$11,FRM&lt;&gt;"Calypso",CCY))</f>
        <v>0</v>
      </c>
      <c r="AN223" s="882">
        <f>IF($X223=0,0,      _xll.qDateNext($X223,AN$12,$AR$11,FRM&lt;&gt;"Calypso",CCY))</f>
        <v>0</v>
      </c>
      <c r="AO223" s="882">
        <f>IF($X223=0,0,      _xll.qDateNext($X223,AO$12,$AR$11,FRM&lt;&gt;"Calypso",CCY))</f>
        <v>0</v>
      </c>
      <c r="AP223" s="882">
        <f>IF($X223=0,0,      _xll.qDateNext($X223,AP$12,$AR$11,FRM&lt;&gt;"Calypso",CCY))</f>
        <v>0</v>
      </c>
      <c r="AQ223" s="882">
        <f>IF($X223=0,0,      _xll.qDateNext($X223,AQ$12,$AR$11,FRM&lt;&gt;"Calypso",CCY))</f>
        <v>0</v>
      </c>
      <c r="AR223" s="882">
        <f>IF($X223=0,0,      _xll.qDateNext($X223,AR$12,$AR$11,FRM&lt;&gt;"Calypso",CCY))</f>
        <v>0</v>
      </c>
      <c r="AS223" s="901">
        <f ca="1"/>
        <v>0</v>
      </c>
      <c r="AT223" s="901">
        <f ca="1"/>
        <v>0</v>
      </c>
      <c r="AU223" s="901">
        <f t="shared" si="62"/>
        <v>0</v>
      </c>
      <c r="AV223" s="901">
        <f ca="1"/>
        <v>0</v>
      </c>
      <c r="AW223" s="901">
        <f t="shared" si="63"/>
        <v>0</v>
      </c>
      <c r="AX223" s="901">
        <f t="shared" si="64"/>
        <v>0</v>
      </c>
      <c r="AY223" s="901">
        <f ca="1"/>
        <v>0</v>
      </c>
      <c r="AZ223" s="901">
        <f ca="1"/>
        <v>0</v>
      </c>
      <c r="BA223" s="905">
        <f t="shared" si="53"/>
        <v>0</v>
      </c>
      <c r="BB223" s="905">
        <f t="shared" si="54"/>
        <v>0</v>
      </c>
      <c r="BC223" s="905">
        <f t="shared" si="55"/>
        <v>0</v>
      </c>
      <c r="BD223" s="905">
        <f t="shared" si="56"/>
        <v>0</v>
      </c>
      <c r="BE223" s="905">
        <f t="shared" si="57"/>
        <v>0</v>
      </c>
      <c r="BF223" s="905">
        <f t="shared" si="58"/>
        <v>0</v>
      </c>
      <c r="BG223" s="905">
        <f t="shared" si="59"/>
        <v>0</v>
      </c>
      <c r="BH223" s="905">
        <f t="shared" si="60"/>
        <v>0</v>
      </c>
      <c r="BI223" s="713">
        <v>0</v>
      </c>
      <c r="BJ223" s="695"/>
      <c r="BK223" s="752">
        <f>IF(X224=0,0,           IF(ISNUMBER(BJ223),BJ223,               IF(ISTEXT(BJ223),INDEX(BA223:BH223,MATCH(BJ223,$BA$12:$BH$12,0)),             IF(BI223="INT",_xll.qInterp(X224,AK223:AR223,BA223:BH223),            INDEX(BA223:BH223,MATCH(BI223,$BA$12:$BH$12,0))))))</f>
        <v>0</v>
      </c>
      <c r="BL223" s="389">
        <f t="shared" si="65"/>
        <v>0</v>
      </c>
      <c r="BM223" s="394">
        <f t="shared" si="66"/>
        <v>0</v>
      </c>
      <c r="BN223" s="389">
        <f t="shared" si="67"/>
        <v>0</v>
      </c>
    </row>
    <row r="224" spans="16:66">
      <c r="P224" s="714">
        <v>0</v>
      </c>
      <c r="Q224" s="715">
        <f t="shared" si="51"/>
        <v>0</v>
      </c>
      <c r="R224" s="712">
        <f>IF(P225,_xll.qDateYears(P224,P225,DCCfixed),0)</f>
        <v>0</v>
      </c>
      <c r="S224" s="519">
        <f ca="1"/>
        <v>0</v>
      </c>
      <c r="T224" s="720"/>
      <c r="U224" s="390">
        <f t="shared" si="61"/>
        <v>0</v>
      </c>
      <c r="X224" s="345">
        <v>0</v>
      </c>
      <c r="Y224" s="711">
        <f t="shared" si="52"/>
        <v>0</v>
      </c>
      <c r="Z224" s="712">
        <f>IF(X225,_xll.qDateYears(X224,X225,DCCfloat),0)</f>
        <v>0</v>
      </c>
      <c r="AA224" s="519">
        <f ca="1"/>
        <v>0</v>
      </c>
      <c r="AB224" s="890">
        <f>IF(X224=0,0,         IF(OR(CCY="AUD",CCY="NZD",CCY="GBP"),X224,   _xll.qDateNext(X224,"-2b",,,IF(CCY="EUR","TGT","LON"))))</f>
        <v>0</v>
      </c>
      <c r="AC224" s="879" t="str">
        <v/>
      </c>
      <c r="AD224" s="879" t="str">
        <v/>
      </c>
      <c r="AE224" s="879" t="str">
        <v/>
      </c>
      <c r="AF224" s="879" t="str">
        <v/>
      </c>
      <c r="AG224" s="879" t="str">
        <v/>
      </c>
      <c r="AH224" s="879" t="str">
        <v/>
      </c>
      <c r="AI224" s="879" t="str">
        <v/>
      </c>
      <c r="AJ224" s="879" t="str">
        <v/>
      </c>
      <c r="AK224" s="882">
        <f>IF($X224=0,0,      _xll.qDateNext($X224,AK$12,$AR$11,FRM&lt;&gt;"Calypso",CCY))</f>
        <v>0</v>
      </c>
      <c r="AL224" s="882">
        <f>IF($X224=0,0,      _xll.qDateNext($X224,AL$12,$AR$11,FRM&lt;&gt;"Calypso",CCY))</f>
        <v>0</v>
      </c>
      <c r="AM224" s="882">
        <f>IF($X224=0,0,      _xll.qDateNext($X224,AM$12,$AR$11,FRM&lt;&gt;"Calypso",CCY))</f>
        <v>0</v>
      </c>
      <c r="AN224" s="882">
        <f>IF($X224=0,0,      _xll.qDateNext($X224,AN$12,$AR$11,FRM&lt;&gt;"Calypso",CCY))</f>
        <v>0</v>
      </c>
      <c r="AO224" s="882">
        <f>IF($X224=0,0,      _xll.qDateNext($X224,AO$12,$AR$11,FRM&lt;&gt;"Calypso",CCY))</f>
        <v>0</v>
      </c>
      <c r="AP224" s="882">
        <f>IF($X224=0,0,      _xll.qDateNext($X224,AP$12,$AR$11,FRM&lt;&gt;"Calypso",CCY))</f>
        <v>0</v>
      </c>
      <c r="AQ224" s="882">
        <f>IF($X224=0,0,      _xll.qDateNext($X224,AQ$12,$AR$11,FRM&lt;&gt;"Calypso",CCY))</f>
        <v>0</v>
      </c>
      <c r="AR224" s="882">
        <f>IF($X224=0,0,      _xll.qDateNext($X224,AR$12,$AR$11,FRM&lt;&gt;"Calypso",CCY))</f>
        <v>0</v>
      </c>
      <c r="AS224" s="901">
        <f ca="1"/>
        <v>0</v>
      </c>
      <c r="AT224" s="901">
        <f ca="1"/>
        <v>0</v>
      </c>
      <c r="AU224" s="901">
        <f t="shared" si="62"/>
        <v>0</v>
      </c>
      <c r="AV224" s="901">
        <f ca="1"/>
        <v>0</v>
      </c>
      <c r="AW224" s="901">
        <f t="shared" si="63"/>
        <v>0</v>
      </c>
      <c r="AX224" s="901">
        <f t="shared" si="64"/>
        <v>0</v>
      </c>
      <c r="AY224" s="901">
        <f ca="1"/>
        <v>0</v>
      </c>
      <c r="AZ224" s="901">
        <f ca="1"/>
        <v>0</v>
      </c>
      <c r="BA224" s="905">
        <f t="shared" si="53"/>
        <v>0</v>
      </c>
      <c r="BB224" s="905">
        <f t="shared" si="54"/>
        <v>0</v>
      </c>
      <c r="BC224" s="905">
        <f t="shared" si="55"/>
        <v>0</v>
      </c>
      <c r="BD224" s="905">
        <f t="shared" si="56"/>
        <v>0</v>
      </c>
      <c r="BE224" s="905">
        <f t="shared" si="57"/>
        <v>0</v>
      </c>
      <c r="BF224" s="905">
        <f t="shared" si="58"/>
        <v>0</v>
      </c>
      <c r="BG224" s="905">
        <f t="shared" si="59"/>
        <v>0</v>
      </c>
      <c r="BH224" s="905">
        <f t="shared" si="60"/>
        <v>0</v>
      </c>
      <c r="BI224" s="713">
        <v>0</v>
      </c>
      <c r="BJ224" s="695"/>
      <c r="BK224" s="752">
        <f>IF(X225=0,0,           IF(ISNUMBER(BJ224),BJ224,               IF(ISTEXT(BJ224),INDEX(BA224:BH224,MATCH(BJ224,$BA$12:$BH$12,0)),             IF(BI224="INT",_xll.qInterp(X225,AK224:AR224,BA224:BH224),            INDEX(BA224:BH224,MATCH(BI224,$BA$12:$BH$12,0))))))</f>
        <v>0</v>
      </c>
      <c r="BL224" s="389">
        <f t="shared" si="65"/>
        <v>0</v>
      </c>
      <c r="BM224" s="394">
        <f t="shared" si="66"/>
        <v>0</v>
      </c>
      <c r="BN224" s="389">
        <f t="shared" si="67"/>
        <v>0</v>
      </c>
    </row>
    <row r="225" spans="16:66">
      <c r="P225" s="714">
        <v>0</v>
      </c>
      <c r="Q225" s="715">
        <f t="shared" si="51"/>
        <v>0</v>
      </c>
      <c r="R225" s="712">
        <f>IF(P226,_xll.qDateYears(P225,P226,DCCfixed),0)</f>
        <v>0</v>
      </c>
      <c r="S225" s="519">
        <f ca="1"/>
        <v>0</v>
      </c>
      <c r="T225" s="720"/>
      <c r="U225" s="390">
        <f t="shared" si="61"/>
        <v>0</v>
      </c>
      <c r="X225" s="345">
        <v>0</v>
      </c>
      <c r="Y225" s="711">
        <f t="shared" si="52"/>
        <v>0</v>
      </c>
      <c r="Z225" s="712">
        <f>IF(X226,_xll.qDateYears(X225,X226,DCCfloat),0)</f>
        <v>0</v>
      </c>
      <c r="AA225" s="519">
        <f ca="1"/>
        <v>0</v>
      </c>
      <c r="AB225" s="890">
        <f>IF(X225=0,0,         IF(OR(CCY="AUD",CCY="NZD",CCY="GBP"),X225,   _xll.qDateNext(X225,"-2b",,,IF(CCY="EUR","TGT","LON"))))</f>
        <v>0</v>
      </c>
      <c r="AC225" s="879" t="str">
        <v/>
      </c>
      <c r="AD225" s="879" t="str">
        <v/>
      </c>
      <c r="AE225" s="879" t="str">
        <v/>
      </c>
      <c r="AF225" s="879" t="str">
        <v/>
      </c>
      <c r="AG225" s="879" t="str">
        <v/>
      </c>
      <c r="AH225" s="879" t="str">
        <v/>
      </c>
      <c r="AI225" s="879" t="str">
        <v/>
      </c>
      <c r="AJ225" s="879" t="str">
        <v/>
      </c>
      <c r="AK225" s="882">
        <f>IF($X225=0,0,      _xll.qDateNext($X225,AK$12,$AR$11,FRM&lt;&gt;"Calypso",CCY))</f>
        <v>0</v>
      </c>
      <c r="AL225" s="882">
        <f>IF($X225=0,0,      _xll.qDateNext($X225,AL$12,$AR$11,FRM&lt;&gt;"Calypso",CCY))</f>
        <v>0</v>
      </c>
      <c r="AM225" s="882">
        <f>IF($X225=0,0,      _xll.qDateNext($X225,AM$12,$AR$11,FRM&lt;&gt;"Calypso",CCY))</f>
        <v>0</v>
      </c>
      <c r="AN225" s="882">
        <f>IF($X225=0,0,      _xll.qDateNext($X225,AN$12,$AR$11,FRM&lt;&gt;"Calypso",CCY))</f>
        <v>0</v>
      </c>
      <c r="AO225" s="882">
        <f>IF($X225=0,0,      _xll.qDateNext($X225,AO$12,$AR$11,FRM&lt;&gt;"Calypso",CCY))</f>
        <v>0</v>
      </c>
      <c r="AP225" s="882">
        <f>IF($X225=0,0,      _xll.qDateNext($X225,AP$12,$AR$11,FRM&lt;&gt;"Calypso",CCY))</f>
        <v>0</v>
      </c>
      <c r="AQ225" s="882">
        <f>IF($X225=0,0,      _xll.qDateNext($X225,AQ$12,$AR$11,FRM&lt;&gt;"Calypso",CCY))</f>
        <v>0</v>
      </c>
      <c r="AR225" s="882">
        <f>IF($X225=0,0,      _xll.qDateNext($X225,AR$12,$AR$11,FRM&lt;&gt;"Calypso",CCY))</f>
        <v>0</v>
      </c>
      <c r="AS225" s="901">
        <f ca="1"/>
        <v>0</v>
      </c>
      <c r="AT225" s="901">
        <f ca="1"/>
        <v>0</v>
      </c>
      <c r="AU225" s="901">
        <f t="shared" si="62"/>
        <v>0</v>
      </c>
      <c r="AV225" s="901">
        <f ca="1"/>
        <v>0</v>
      </c>
      <c r="AW225" s="901">
        <f t="shared" si="63"/>
        <v>0</v>
      </c>
      <c r="AX225" s="901">
        <f t="shared" si="64"/>
        <v>0</v>
      </c>
      <c r="AY225" s="901">
        <f ca="1"/>
        <v>0</v>
      </c>
      <c r="AZ225" s="901">
        <f ca="1"/>
        <v>0</v>
      </c>
      <c r="BA225" s="905">
        <f t="shared" si="53"/>
        <v>0</v>
      </c>
      <c r="BB225" s="905">
        <f t="shared" si="54"/>
        <v>0</v>
      </c>
      <c r="BC225" s="905">
        <f t="shared" si="55"/>
        <v>0</v>
      </c>
      <c r="BD225" s="905">
        <f t="shared" si="56"/>
        <v>0</v>
      </c>
      <c r="BE225" s="905">
        <f t="shared" si="57"/>
        <v>0</v>
      </c>
      <c r="BF225" s="905">
        <f t="shared" si="58"/>
        <v>0</v>
      </c>
      <c r="BG225" s="905">
        <f t="shared" si="59"/>
        <v>0</v>
      </c>
      <c r="BH225" s="905">
        <f t="shared" si="60"/>
        <v>0</v>
      </c>
      <c r="BI225" s="713">
        <v>0</v>
      </c>
      <c r="BJ225" s="695"/>
      <c r="BK225" s="752">
        <f>IF(X226=0,0,           IF(ISNUMBER(BJ225),BJ225,               IF(ISTEXT(BJ225),INDEX(BA225:BH225,MATCH(BJ225,$BA$12:$BH$12,0)),             IF(BI225="INT",_xll.qInterp(X226,AK225:AR225,BA225:BH225),            INDEX(BA225:BH225,MATCH(BI225,$BA$12:$BH$12,0))))))</f>
        <v>0</v>
      </c>
      <c r="BL225" s="389">
        <f t="shared" si="65"/>
        <v>0</v>
      </c>
      <c r="BM225" s="394">
        <f t="shared" si="66"/>
        <v>0</v>
      </c>
      <c r="BN225" s="389">
        <f t="shared" si="67"/>
        <v>0</v>
      </c>
    </row>
    <row r="226" spans="16:66">
      <c r="P226" s="714">
        <v>0</v>
      </c>
      <c r="Q226" s="715">
        <f t="shared" si="51"/>
        <v>0</v>
      </c>
      <c r="R226" s="712">
        <f>IF(P227,_xll.qDateYears(P226,P227,DCCfixed),0)</f>
        <v>0</v>
      </c>
      <c r="S226" s="519">
        <f ca="1"/>
        <v>0</v>
      </c>
      <c r="T226" s="720"/>
      <c r="U226" s="390">
        <f t="shared" si="61"/>
        <v>0</v>
      </c>
      <c r="X226" s="345">
        <v>0</v>
      </c>
      <c r="Y226" s="711">
        <f t="shared" si="52"/>
        <v>0</v>
      </c>
      <c r="Z226" s="712">
        <f>IF(X227,_xll.qDateYears(X226,X227,DCCfloat),0)</f>
        <v>0</v>
      </c>
      <c r="AA226" s="519">
        <f ca="1"/>
        <v>0</v>
      </c>
      <c r="AB226" s="890">
        <f>IF(X226=0,0,         IF(OR(CCY="AUD",CCY="NZD",CCY="GBP"),X226,   _xll.qDateNext(X226,"-2b",,,IF(CCY="EUR","TGT","LON"))))</f>
        <v>0</v>
      </c>
      <c r="AC226" s="879" t="str">
        <v/>
      </c>
      <c r="AD226" s="879" t="str">
        <v/>
      </c>
      <c r="AE226" s="879" t="str">
        <v/>
      </c>
      <c r="AF226" s="879" t="str">
        <v/>
      </c>
      <c r="AG226" s="879" t="str">
        <v/>
      </c>
      <c r="AH226" s="879" t="str">
        <v/>
      </c>
      <c r="AI226" s="879" t="str">
        <v/>
      </c>
      <c r="AJ226" s="879" t="str">
        <v/>
      </c>
      <c r="AK226" s="882">
        <f>IF($X226=0,0,      _xll.qDateNext($X226,AK$12,$AR$11,FRM&lt;&gt;"Calypso",CCY))</f>
        <v>0</v>
      </c>
      <c r="AL226" s="882">
        <f>IF($X226=0,0,      _xll.qDateNext($X226,AL$12,$AR$11,FRM&lt;&gt;"Calypso",CCY))</f>
        <v>0</v>
      </c>
      <c r="AM226" s="882">
        <f>IF($X226=0,0,      _xll.qDateNext($X226,AM$12,$AR$11,FRM&lt;&gt;"Calypso",CCY))</f>
        <v>0</v>
      </c>
      <c r="AN226" s="882">
        <f>IF($X226=0,0,      _xll.qDateNext($X226,AN$12,$AR$11,FRM&lt;&gt;"Calypso",CCY))</f>
        <v>0</v>
      </c>
      <c r="AO226" s="882">
        <f>IF($X226=0,0,      _xll.qDateNext($X226,AO$12,$AR$11,FRM&lt;&gt;"Calypso",CCY))</f>
        <v>0</v>
      </c>
      <c r="AP226" s="882">
        <f>IF($X226=0,0,      _xll.qDateNext($X226,AP$12,$AR$11,FRM&lt;&gt;"Calypso",CCY))</f>
        <v>0</v>
      </c>
      <c r="AQ226" s="882">
        <f>IF($X226=0,0,      _xll.qDateNext($X226,AQ$12,$AR$11,FRM&lt;&gt;"Calypso",CCY))</f>
        <v>0</v>
      </c>
      <c r="AR226" s="882">
        <f>IF($X226=0,0,      _xll.qDateNext($X226,AR$12,$AR$11,FRM&lt;&gt;"Calypso",CCY))</f>
        <v>0</v>
      </c>
      <c r="AS226" s="901">
        <f ca="1"/>
        <v>0</v>
      </c>
      <c r="AT226" s="901">
        <f ca="1"/>
        <v>0</v>
      </c>
      <c r="AU226" s="901">
        <f t="shared" si="62"/>
        <v>0</v>
      </c>
      <c r="AV226" s="901">
        <f ca="1"/>
        <v>0</v>
      </c>
      <c r="AW226" s="901">
        <f t="shared" si="63"/>
        <v>0</v>
      </c>
      <c r="AX226" s="901">
        <f t="shared" si="64"/>
        <v>0</v>
      </c>
      <c r="AY226" s="901">
        <f ca="1"/>
        <v>0</v>
      </c>
      <c r="AZ226" s="901">
        <f ca="1"/>
        <v>0</v>
      </c>
      <c r="BA226" s="905">
        <f t="shared" si="53"/>
        <v>0</v>
      </c>
      <c r="BB226" s="905">
        <f t="shared" si="54"/>
        <v>0</v>
      </c>
      <c r="BC226" s="905">
        <f t="shared" si="55"/>
        <v>0</v>
      </c>
      <c r="BD226" s="905">
        <f t="shared" si="56"/>
        <v>0</v>
      </c>
      <c r="BE226" s="905">
        <f t="shared" si="57"/>
        <v>0</v>
      </c>
      <c r="BF226" s="905">
        <f t="shared" si="58"/>
        <v>0</v>
      </c>
      <c r="BG226" s="905">
        <f t="shared" si="59"/>
        <v>0</v>
      </c>
      <c r="BH226" s="905">
        <f t="shared" si="60"/>
        <v>0</v>
      </c>
      <c r="BI226" s="713">
        <v>0</v>
      </c>
      <c r="BJ226" s="695"/>
      <c r="BK226" s="752">
        <f>IF(X227=0,0,           IF(ISNUMBER(BJ226),BJ226,               IF(ISTEXT(BJ226),INDEX(BA226:BH226,MATCH(BJ226,$BA$12:$BH$12,0)),             IF(BI226="INT",_xll.qInterp(X227,AK226:AR226,BA226:BH226),            INDEX(BA226:BH226,MATCH(BI226,$BA$12:$BH$12,0))))))</f>
        <v>0</v>
      </c>
      <c r="BL226" s="389">
        <f t="shared" si="65"/>
        <v>0</v>
      </c>
      <c r="BM226" s="394">
        <f t="shared" si="66"/>
        <v>0</v>
      </c>
      <c r="BN226" s="389">
        <f t="shared" si="67"/>
        <v>0</v>
      </c>
    </row>
    <row r="227" spans="16:66">
      <c r="P227" s="714">
        <v>0</v>
      </c>
      <c r="Q227" s="715">
        <f t="shared" si="51"/>
        <v>0</v>
      </c>
      <c r="R227" s="712">
        <f>IF(P228,_xll.qDateYears(P227,P228,DCCfixed),0)</f>
        <v>0</v>
      </c>
      <c r="S227" s="519">
        <f ca="1"/>
        <v>0</v>
      </c>
      <c r="T227" s="720"/>
      <c r="U227" s="390">
        <f t="shared" si="61"/>
        <v>0</v>
      </c>
      <c r="X227" s="345">
        <v>0</v>
      </c>
      <c r="Y227" s="711">
        <f t="shared" si="52"/>
        <v>0</v>
      </c>
      <c r="Z227" s="712">
        <f>IF(X228,_xll.qDateYears(X227,X228,DCCfloat),0)</f>
        <v>0</v>
      </c>
      <c r="AA227" s="519">
        <f ca="1"/>
        <v>0</v>
      </c>
      <c r="AB227" s="890">
        <f>IF(X227=0,0,         IF(OR(CCY="AUD",CCY="NZD",CCY="GBP"),X227,   _xll.qDateNext(X227,"-2b",,,IF(CCY="EUR","TGT","LON"))))</f>
        <v>0</v>
      </c>
      <c r="AC227" s="879" t="str">
        <v/>
      </c>
      <c r="AD227" s="879" t="str">
        <v/>
      </c>
      <c r="AE227" s="879" t="str">
        <v/>
      </c>
      <c r="AF227" s="879" t="str">
        <v/>
      </c>
      <c r="AG227" s="879" t="str">
        <v/>
      </c>
      <c r="AH227" s="879" t="str">
        <v/>
      </c>
      <c r="AI227" s="879" t="str">
        <v/>
      </c>
      <c r="AJ227" s="879" t="str">
        <v/>
      </c>
      <c r="AK227" s="882">
        <f>IF($X227=0,0,      _xll.qDateNext($X227,AK$12,$AR$11,FRM&lt;&gt;"Calypso",CCY))</f>
        <v>0</v>
      </c>
      <c r="AL227" s="882">
        <f>IF($X227=0,0,      _xll.qDateNext($X227,AL$12,$AR$11,FRM&lt;&gt;"Calypso",CCY))</f>
        <v>0</v>
      </c>
      <c r="AM227" s="882">
        <f>IF($X227=0,0,      _xll.qDateNext($X227,AM$12,$AR$11,FRM&lt;&gt;"Calypso",CCY))</f>
        <v>0</v>
      </c>
      <c r="AN227" s="882">
        <f>IF($X227=0,0,      _xll.qDateNext($X227,AN$12,$AR$11,FRM&lt;&gt;"Calypso",CCY))</f>
        <v>0</v>
      </c>
      <c r="AO227" s="882">
        <f>IF($X227=0,0,      _xll.qDateNext($X227,AO$12,$AR$11,FRM&lt;&gt;"Calypso",CCY))</f>
        <v>0</v>
      </c>
      <c r="AP227" s="882">
        <f>IF($X227=0,0,      _xll.qDateNext($X227,AP$12,$AR$11,FRM&lt;&gt;"Calypso",CCY))</f>
        <v>0</v>
      </c>
      <c r="AQ227" s="882">
        <f>IF($X227=0,0,      _xll.qDateNext($X227,AQ$12,$AR$11,FRM&lt;&gt;"Calypso",CCY))</f>
        <v>0</v>
      </c>
      <c r="AR227" s="882">
        <f>IF($X227=0,0,      _xll.qDateNext($X227,AR$12,$AR$11,FRM&lt;&gt;"Calypso",CCY))</f>
        <v>0</v>
      </c>
      <c r="AS227" s="901">
        <f ca="1"/>
        <v>0</v>
      </c>
      <c r="AT227" s="901">
        <f ca="1"/>
        <v>0</v>
      </c>
      <c r="AU227" s="901">
        <f t="shared" si="62"/>
        <v>0</v>
      </c>
      <c r="AV227" s="901">
        <f ca="1"/>
        <v>0</v>
      </c>
      <c r="AW227" s="901">
        <f t="shared" si="63"/>
        <v>0</v>
      </c>
      <c r="AX227" s="901">
        <f t="shared" si="64"/>
        <v>0</v>
      </c>
      <c r="AY227" s="901">
        <f ca="1"/>
        <v>0</v>
      </c>
      <c r="AZ227" s="901">
        <f ca="1"/>
        <v>0</v>
      </c>
      <c r="BA227" s="905">
        <f t="shared" si="53"/>
        <v>0</v>
      </c>
      <c r="BB227" s="905">
        <f t="shared" si="54"/>
        <v>0</v>
      </c>
      <c r="BC227" s="905">
        <f t="shared" si="55"/>
        <v>0</v>
      </c>
      <c r="BD227" s="905">
        <f t="shared" si="56"/>
        <v>0</v>
      </c>
      <c r="BE227" s="905">
        <f t="shared" si="57"/>
        <v>0</v>
      </c>
      <c r="BF227" s="905">
        <f t="shared" si="58"/>
        <v>0</v>
      </c>
      <c r="BG227" s="905">
        <f t="shared" si="59"/>
        <v>0</v>
      </c>
      <c r="BH227" s="905">
        <f t="shared" si="60"/>
        <v>0</v>
      </c>
      <c r="BI227" s="713">
        <v>0</v>
      </c>
      <c r="BJ227" s="695"/>
      <c r="BK227" s="752">
        <f>IF(X228=0,0,           IF(ISNUMBER(BJ227),BJ227,               IF(ISTEXT(BJ227),INDEX(BA227:BH227,MATCH(BJ227,$BA$12:$BH$12,0)),             IF(BI227="INT",_xll.qInterp(X228,AK227:AR227,BA227:BH227),            INDEX(BA227:BH227,MATCH(BI227,$BA$12:$BH$12,0))))))</f>
        <v>0</v>
      </c>
      <c r="BL227" s="389">
        <f t="shared" si="65"/>
        <v>0</v>
      </c>
      <c r="BM227" s="394">
        <f t="shared" si="66"/>
        <v>0</v>
      </c>
      <c r="BN227" s="389">
        <f t="shared" si="67"/>
        <v>0</v>
      </c>
    </row>
    <row r="228" spans="16:66">
      <c r="P228" s="714">
        <v>0</v>
      </c>
      <c r="Q228" s="715">
        <f t="shared" si="51"/>
        <v>0</v>
      </c>
      <c r="R228" s="712">
        <f>IF(P229,_xll.qDateYears(P228,P229,DCCfixed),0)</f>
        <v>0</v>
      </c>
      <c r="S228" s="519">
        <f ca="1"/>
        <v>0</v>
      </c>
      <c r="T228" s="720"/>
      <c r="U228" s="390">
        <f t="shared" si="61"/>
        <v>0</v>
      </c>
      <c r="X228" s="345">
        <v>0</v>
      </c>
      <c r="Y228" s="711">
        <f t="shared" si="52"/>
        <v>0</v>
      </c>
      <c r="Z228" s="712">
        <f>IF(X229,_xll.qDateYears(X228,X229,DCCfloat),0)</f>
        <v>0</v>
      </c>
      <c r="AA228" s="519">
        <f ca="1"/>
        <v>0</v>
      </c>
      <c r="AB228" s="890">
        <f>IF(X228=0,0,         IF(OR(CCY="AUD",CCY="NZD",CCY="GBP"),X228,   _xll.qDateNext(X228,"-2b",,,IF(CCY="EUR","TGT","LON"))))</f>
        <v>0</v>
      </c>
      <c r="AC228" s="879" t="str">
        <v/>
      </c>
      <c r="AD228" s="879" t="str">
        <v/>
      </c>
      <c r="AE228" s="879" t="str">
        <v/>
      </c>
      <c r="AF228" s="879" t="str">
        <v/>
      </c>
      <c r="AG228" s="879" t="str">
        <v/>
      </c>
      <c r="AH228" s="879" t="str">
        <v/>
      </c>
      <c r="AI228" s="879" t="str">
        <v/>
      </c>
      <c r="AJ228" s="879" t="str">
        <v/>
      </c>
      <c r="AK228" s="882">
        <f>IF($X228=0,0,      _xll.qDateNext($X228,AK$12,$AR$11,FRM&lt;&gt;"Calypso",CCY))</f>
        <v>0</v>
      </c>
      <c r="AL228" s="882">
        <f>IF($X228=0,0,      _xll.qDateNext($X228,AL$12,$AR$11,FRM&lt;&gt;"Calypso",CCY))</f>
        <v>0</v>
      </c>
      <c r="AM228" s="882">
        <f>IF($X228=0,0,      _xll.qDateNext($X228,AM$12,$AR$11,FRM&lt;&gt;"Calypso",CCY))</f>
        <v>0</v>
      </c>
      <c r="AN228" s="882">
        <f>IF($X228=0,0,      _xll.qDateNext($X228,AN$12,$AR$11,FRM&lt;&gt;"Calypso",CCY))</f>
        <v>0</v>
      </c>
      <c r="AO228" s="882">
        <f>IF($X228=0,0,      _xll.qDateNext($X228,AO$12,$AR$11,FRM&lt;&gt;"Calypso",CCY))</f>
        <v>0</v>
      </c>
      <c r="AP228" s="882">
        <f>IF($X228=0,0,      _xll.qDateNext($X228,AP$12,$AR$11,FRM&lt;&gt;"Calypso",CCY))</f>
        <v>0</v>
      </c>
      <c r="AQ228" s="882">
        <f>IF($X228=0,0,      _xll.qDateNext($X228,AQ$12,$AR$11,FRM&lt;&gt;"Calypso",CCY))</f>
        <v>0</v>
      </c>
      <c r="AR228" s="882">
        <f>IF($X228=0,0,      _xll.qDateNext($X228,AR$12,$AR$11,FRM&lt;&gt;"Calypso",CCY))</f>
        <v>0</v>
      </c>
      <c r="AS228" s="901">
        <f ca="1"/>
        <v>0</v>
      </c>
      <c r="AT228" s="901">
        <f ca="1"/>
        <v>0</v>
      </c>
      <c r="AU228" s="901">
        <f t="shared" si="62"/>
        <v>0</v>
      </c>
      <c r="AV228" s="901">
        <f ca="1"/>
        <v>0</v>
      </c>
      <c r="AW228" s="901">
        <f t="shared" si="63"/>
        <v>0</v>
      </c>
      <c r="AX228" s="901">
        <f t="shared" si="64"/>
        <v>0</v>
      </c>
      <c r="AY228" s="901">
        <f ca="1"/>
        <v>0</v>
      </c>
      <c r="AZ228" s="901">
        <f ca="1"/>
        <v>0</v>
      </c>
      <c r="BA228" s="905">
        <f t="shared" si="53"/>
        <v>0</v>
      </c>
      <c r="BB228" s="905">
        <f t="shared" si="54"/>
        <v>0</v>
      </c>
      <c r="BC228" s="905">
        <f t="shared" si="55"/>
        <v>0</v>
      </c>
      <c r="BD228" s="905">
        <f t="shared" si="56"/>
        <v>0</v>
      </c>
      <c r="BE228" s="905">
        <f t="shared" si="57"/>
        <v>0</v>
      </c>
      <c r="BF228" s="905">
        <f t="shared" si="58"/>
        <v>0</v>
      </c>
      <c r="BG228" s="905">
        <f t="shared" si="59"/>
        <v>0</v>
      </c>
      <c r="BH228" s="905">
        <f t="shared" si="60"/>
        <v>0</v>
      </c>
      <c r="BI228" s="713">
        <v>0</v>
      </c>
      <c r="BJ228" s="695"/>
      <c r="BK228" s="752">
        <f>IF(X229=0,0,           IF(ISNUMBER(BJ228),BJ228,               IF(ISTEXT(BJ228),INDEX(BA228:BH228,MATCH(BJ228,$BA$12:$BH$12,0)),             IF(BI228="INT",_xll.qInterp(X229,AK228:AR228,BA228:BH228),            INDEX(BA228:BH228,MATCH(BI228,$BA$12:$BH$12,0))))))</f>
        <v>0</v>
      </c>
      <c r="BL228" s="389">
        <f t="shared" si="65"/>
        <v>0</v>
      </c>
      <c r="BM228" s="394">
        <f t="shared" si="66"/>
        <v>0</v>
      </c>
      <c r="BN228" s="389">
        <f t="shared" si="67"/>
        <v>0</v>
      </c>
    </row>
    <row r="229" spans="16:66">
      <c r="P229" s="714">
        <v>0</v>
      </c>
      <c r="Q229" s="715">
        <f t="shared" si="51"/>
        <v>0</v>
      </c>
      <c r="R229" s="712">
        <f>IF(P230,_xll.qDateYears(P229,P230,DCCfixed),0)</f>
        <v>0</v>
      </c>
      <c r="S229" s="519">
        <f ca="1"/>
        <v>0</v>
      </c>
      <c r="T229" s="720"/>
      <c r="U229" s="390">
        <f t="shared" si="61"/>
        <v>0</v>
      </c>
      <c r="X229" s="345">
        <v>0</v>
      </c>
      <c r="Y229" s="711">
        <f t="shared" si="52"/>
        <v>0</v>
      </c>
      <c r="Z229" s="712">
        <f>IF(X230,_xll.qDateYears(X229,X230,DCCfloat),0)</f>
        <v>0</v>
      </c>
      <c r="AA229" s="519">
        <f ca="1"/>
        <v>0</v>
      </c>
      <c r="AB229" s="890">
        <f>IF(X229=0,0,         IF(OR(CCY="AUD",CCY="NZD",CCY="GBP"),X229,   _xll.qDateNext(X229,"-2b",,,IF(CCY="EUR","TGT","LON"))))</f>
        <v>0</v>
      </c>
      <c r="AC229" s="879" t="str">
        <v/>
      </c>
      <c r="AD229" s="879" t="str">
        <v/>
      </c>
      <c r="AE229" s="879" t="str">
        <v/>
      </c>
      <c r="AF229" s="879" t="str">
        <v/>
      </c>
      <c r="AG229" s="879" t="str">
        <v/>
      </c>
      <c r="AH229" s="879" t="str">
        <v/>
      </c>
      <c r="AI229" s="879" t="str">
        <v/>
      </c>
      <c r="AJ229" s="879" t="str">
        <v/>
      </c>
      <c r="AK229" s="882">
        <f>IF($X229=0,0,      _xll.qDateNext($X229,AK$12,$AR$11,FRM&lt;&gt;"Calypso",CCY))</f>
        <v>0</v>
      </c>
      <c r="AL229" s="882">
        <f>IF($X229=0,0,      _xll.qDateNext($X229,AL$12,$AR$11,FRM&lt;&gt;"Calypso",CCY))</f>
        <v>0</v>
      </c>
      <c r="AM229" s="882">
        <f>IF($X229=0,0,      _xll.qDateNext($X229,AM$12,$AR$11,FRM&lt;&gt;"Calypso",CCY))</f>
        <v>0</v>
      </c>
      <c r="AN229" s="882">
        <f>IF($X229=0,0,      _xll.qDateNext($X229,AN$12,$AR$11,FRM&lt;&gt;"Calypso",CCY))</f>
        <v>0</v>
      </c>
      <c r="AO229" s="882">
        <f>IF($X229=0,0,      _xll.qDateNext($X229,AO$12,$AR$11,FRM&lt;&gt;"Calypso",CCY))</f>
        <v>0</v>
      </c>
      <c r="AP229" s="882">
        <f>IF($X229=0,0,      _xll.qDateNext($X229,AP$12,$AR$11,FRM&lt;&gt;"Calypso",CCY))</f>
        <v>0</v>
      </c>
      <c r="AQ229" s="882">
        <f>IF($X229=0,0,      _xll.qDateNext($X229,AQ$12,$AR$11,FRM&lt;&gt;"Calypso",CCY))</f>
        <v>0</v>
      </c>
      <c r="AR229" s="882">
        <f>IF($X229=0,0,      _xll.qDateNext($X229,AR$12,$AR$11,FRM&lt;&gt;"Calypso",CCY))</f>
        <v>0</v>
      </c>
      <c r="AS229" s="901">
        <f ca="1"/>
        <v>0</v>
      </c>
      <c r="AT229" s="901">
        <f ca="1"/>
        <v>0</v>
      </c>
      <c r="AU229" s="901">
        <f t="shared" si="62"/>
        <v>0</v>
      </c>
      <c r="AV229" s="901">
        <f ca="1"/>
        <v>0</v>
      </c>
      <c r="AW229" s="901">
        <f t="shared" si="63"/>
        <v>0</v>
      </c>
      <c r="AX229" s="901">
        <f t="shared" si="64"/>
        <v>0</v>
      </c>
      <c r="AY229" s="901">
        <f ca="1"/>
        <v>0</v>
      </c>
      <c r="AZ229" s="901">
        <f ca="1"/>
        <v>0</v>
      </c>
      <c r="BA229" s="905">
        <f t="shared" si="53"/>
        <v>0</v>
      </c>
      <c r="BB229" s="905">
        <f t="shared" si="54"/>
        <v>0</v>
      </c>
      <c r="BC229" s="905">
        <f t="shared" si="55"/>
        <v>0</v>
      </c>
      <c r="BD229" s="905">
        <f t="shared" si="56"/>
        <v>0</v>
      </c>
      <c r="BE229" s="905">
        <f t="shared" si="57"/>
        <v>0</v>
      </c>
      <c r="BF229" s="905">
        <f t="shared" si="58"/>
        <v>0</v>
      </c>
      <c r="BG229" s="905">
        <f t="shared" si="59"/>
        <v>0</v>
      </c>
      <c r="BH229" s="905">
        <f t="shared" si="60"/>
        <v>0</v>
      </c>
      <c r="BI229" s="713">
        <v>0</v>
      </c>
      <c r="BJ229" s="695"/>
      <c r="BK229" s="752">
        <f>IF(X230=0,0,           IF(ISNUMBER(BJ229),BJ229,               IF(ISTEXT(BJ229),INDEX(BA229:BH229,MATCH(BJ229,$BA$12:$BH$12,0)),             IF(BI229="INT",_xll.qInterp(X230,AK229:AR229,BA229:BH229),            INDEX(BA229:BH229,MATCH(BI229,$BA$12:$BH$12,0))))))</f>
        <v>0</v>
      </c>
      <c r="BL229" s="389">
        <f t="shared" si="65"/>
        <v>0</v>
      </c>
      <c r="BM229" s="394">
        <f t="shared" si="66"/>
        <v>0</v>
      </c>
      <c r="BN229" s="389">
        <f t="shared" si="67"/>
        <v>0</v>
      </c>
    </row>
    <row r="230" spans="16:66">
      <c r="P230" s="714">
        <v>0</v>
      </c>
      <c r="Q230" s="715">
        <f t="shared" si="51"/>
        <v>0</v>
      </c>
      <c r="R230" s="712">
        <f>IF(P231,_xll.qDateYears(P230,P231,DCCfixed),0)</f>
        <v>0</v>
      </c>
      <c r="S230" s="519">
        <f ca="1"/>
        <v>0</v>
      </c>
      <c r="T230" s="720"/>
      <c r="U230" s="390">
        <f t="shared" si="61"/>
        <v>0</v>
      </c>
      <c r="X230" s="345">
        <v>0</v>
      </c>
      <c r="Y230" s="711">
        <f t="shared" si="52"/>
        <v>0</v>
      </c>
      <c r="Z230" s="712">
        <f>IF(X231,_xll.qDateYears(X230,X231,DCCfloat),0)</f>
        <v>0</v>
      </c>
      <c r="AA230" s="519">
        <f ca="1"/>
        <v>0</v>
      </c>
      <c r="AB230" s="890">
        <f>IF(X230=0,0,         IF(OR(CCY="AUD",CCY="NZD",CCY="GBP"),X230,   _xll.qDateNext(X230,"-2b",,,IF(CCY="EUR","TGT","LON"))))</f>
        <v>0</v>
      </c>
      <c r="AC230" s="879" t="str">
        <v/>
      </c>
      <c r="AD230" s="879" t="str">
        <v/>
      </c>
      <c r="AE230" s="879" t="str">
        <v/>
      </c>
      <c r="AF230" s="879" t="str">
        <v/>
      </c>
      <c r="AG230" s="879" t="str">
        <v/>
      </c>
      <c r="AH230" s="879" t="str">
        <v/>
      </c>
      <c r="AI230" s="879" t="str">
        <v/>
      </c>
      <c r="AJ230" s="879" t="str">
        <v/>
      </c>
      <c r="AK230" s="882">
        <f>IF($X230=0,0,      _xll.qDateNext($X230,AK$12,$AR$11,FRM&lt;&gt;"Calypso",CCY))</f>
        <v>0</v>
      </c>
      <c r="AL230" s="882">
        <f>IF($X230=0,0,      _xll.qDateNext($X230,AL$12,$AR$11,FRM&lt;&gt;"Calypso",CCY))</f>
        <v>0</v>
      </c>
      <c r="AM230" s="882">
        <f>IF($X230=0,0,      _xll.qDateNext($X230,AM$12,$AR$11,FRM&lt;&gt;"Calypso",CCY))</f>
        <v>0</v>
      </c>
      <c r="AN230" s="882">
        <f>IF($X230=0,0,      _xll.qDateNext($X230,AN$12,$AR$11,FRM&lt;&gt;"Calypso",CCY))</f>
        <v>0</v>
      </c>
      <c r="AO230" s="882">
        <f>IF($X230=0,0,      _xll.qDateNext($X230,AO$12,$AR$11,FRM&lt;&gt;"Calypso",CCY))</f>
        <v>0</v>
      </c>
      <c r="AP230" s="882">
        <f>IF($X230=0,0,      _xll.qDateNext($X230,AP$12,$AR$11,FRM&lt;&gt;"Calypso",CCY))</f>
        <v>0</v>
      </c>
      <c r="AQ230" s="882">
        <f>IF($X230=0,0,      _xll.qDateNext($X230,AQ$12,$AR$11,FRM&lt;&gt;"Calypso",CCY))</f>
        <v>0</v>
      </c>
      <c r="AR230" s="882">
        <f>IF($X230=0,0,      _xll.qDateNext($X230,AR$12,$AR$11,FRM&lt;&gt;"Calypso",CCY))</f>
        <v>0</v>
      </c>
      <c r="AS230" s="901">
        <f ca="1"/>
        <v>0</v>
      </c>
      <c r="AT230" s="901">
        <f ca="1"/>
        <v>0</v>
      </c>
      <c r="AU230" s="901">
        <f t="shared" si="62"/>
        <v>0</v>
      </c>
      <c r="AV230" s="901">
        <f ca="1"/>
        <v>0</v>
      </c>
      <c r="AW230" s="901">
        <f t="shared" si="63"/>
        <v>0</v>
      </c>
      <c r="AX230" s="901">
        <f t="shared" si="64"/>
        <v>0</v>
      </c>
      <c r="AY230" s="901">
        <f ca="1"/>
        <v>0</v>
      </c>
      <c r="AZ230" s="901">
        <f ca="1"/>
        <v>0</v>
      </c>
      <c r="BA230" s="905">
        <f t="shared" si="53"/>
        <v>0</v>
      </c>
      <c r="BB230" s="905">
        <f t="shared" si="54"/>
        <v>0</v>
      </c>
      <c r="BC230" s="905">
        <f t="shared" si="55"/>
        <v>0</v>
      </c>
      <c r="BD230" s="905">
        <f t="shared" si="56"/>
        <v>0</v>
      </c>
      <c r="BE230" s="905">
        <f t="shared" si="57"/>
        <v>0</v>
      </c>
      <c r="BF230" s="905">
        <f t="shared" si="58"/>
        <v>0</v>
      </c>
      <c r="BG230" s="905">
        <f t="shared" si="59"/>
        <v>0</v>
      </c>
      <c r="BH230" s="905">
        <f t="shared" si="60"/>
        <v>0</v>
      </c>
      <c r="BI230" s="713">
        <v>0</v>
      </c>
      <c r="BJ230" s="695"/>
      <c r="BK230" s="752">
        <f>IF(X231=0,0,           IF(ISNUMBER(BJ230),BJ230,               IF(ISTEXT(BJ230),INDEX(BA230:BH230,MATCH(BJ230,$BA$12:$BH$12,0)),             IF(BI230="INT",_xll.qInterp(X231,AK230:AR230,BA230:BH230),            INDEX(BA230:BH230,MATCH(BI230,$BA$12:$BH$12,0))))))</f>
        <v>0</v>
      </c>
      <c r="BL230" s="389">
        <f t="shared" si="65"/>
        <v>0</v>
      </c>
      <c r="BM230" s="394">
        <f t="shared" si="66"/>
        <v>0</v>
      </c>
      <c r="BN230" s="389">
        <f t="shared" si="67"/>
        <v>0</v>
      </c>
    </row>
    <row r="231" spans="16:66">
      <c r="P231" s="714">
        <v>0</v>
      </c>
      <c r="Q231" s="715">
        <f t="shared" si="51"/>
        <v>0</v>
      </c>
      <c r="R231" s="712">
        <f>IF(P232,_xll.qDateYears(P231,P232,DCCfixed),0)</f>
        <v>0</v>
      </c>
      <c r="S231" s="519">
        <f ca="1"/>
        <v>0</v>
      </c>
      <c r="T231" s="720"/>
      <c r="U231" s="390">
        <f t="shared" si="61"/>
        <v>0</v>
      </c>
      <c r="X231" s="345">
        <v>0</v>
      </c>
      <c r="Y231" s="711">
        <f t="shared" si="52"/>
        <v>0</v>
      </c>
      <c r="Z231" s="712">
        <f>IF(X232,_xll.qDateYears(X231,X232,DCCfloat),0)</f>
        <v>0</v>
      </c>
      <c r="AA231" s="519">
        <f ca="1"/>
        <v>0</v>
      </c>
      <c r="AB231" s="890">
        <f>IF(X231=0,0,         IF(OR(CCY="AUD",CCY="NZD",CCY="GBP"),X231,   _xll.qDateNext(X231,"-2b",,,IF(CCY="EUR","TGT","LON"))))</f>
        <v>0</v>
      </c>
      <c r="AC231" s="879" t="str">
        <v/>
      </c>
      <c r="AD231" s="879" t="str">
        <v/>
      </c>
      <c r="AE231" s="879" t="str">
        <v/>
      </c>
      <c r="AF231" s="879" t="str">
        <v/>
      </c>
      <c r="AG231" s="879" t="str">
        <v/>
      </c>
      <c r="AH231" s="879" t="str">
        <v/>
      </c>
      <c r="AI231" s="879" t="str">
        <v/>
      </c>
      <c r="AJ231" s="879" t="str">
        <v/>
      </c>
      <c r="AK231" s="882">
        <f>IF($X231=0,0,      _xll.qDateNext($X231,AK$12,$AR$11,FRM&lt;&gt;"Calypso",CCY))</f>
        <v>0</v>
      </c>
      <c r="AL231" s="882">
        <f>IF($X231=0,0,      _xll.qDateNext($X231,AL$12,$AR$11,FRM&lt;&gt;"Calypso",CCY))</f>
        <v>0</v>
      </c>
      <c r="AM231" s="882">
        <f>IF($X231=0,0,      _xll.qDateNext($X231,AM$12,$AR$11,FRM&lt;&gt;"Calypso",CCY))</f>
        <v>0</v>
      </c>
      <c r="AN231" s="882">
        <f>IF($X231=0,0,      _xll.qDateNext($X231,AN$12,$AR$11,FRM&lt;&gt;"Calypso",CCY))</f>
        <v>0</v>
      </c>
      <c r="AO231" s="882">
        <f>IF($X231=0,0,      _xll.qDateNext($X231,AO$12,$AR$11,FRM&lt;&gt;"Calypso",CCY))</f>
        <v>0</v>
      </c>
      <c r="AP231" s="882">
        <f>IF($X231=0,0,      _xll.qDateNext($X231,AP$12,$AR$11,FRM&lt;&gt;"Calypso",CCY))</f>
        <v>0</v>
      </c>
      <c r="AQ231" s="882">
        <f>IF($X231=0,0,      _xll.qDateNext($X231,AQ$12,$AR$11,FRM&lt;&gt;"Calypso",CCY))</f>
        <v>0</v>
      </c>
      <c r="AR231" s="882">
        <f>IF($X231=0,0,      _xll.qDateNext($X231,AR$12,$AR$11,FRM&lt;&gt;"Calypso",CCY))</f>
        <v>0</v>
      </c>
      <c r="AS231" s="901">
        <f ca="1"/>
        <v>0</v>
      </c>
      <c r="AT231" s="901">
        <f ca="1"/>
        <v>0</v>
      </c>
      <c r="AU231" s="901">
        <f t="shared" si="62"/>
        <v>0</v>
      </c>
      <c r="AV231" s="901">
        <f ca="1"/>
        <v>0</v>
      </c>
      <c r="AW231" s="901">
        <f t="shared" si="63"/>
        <v>0</v>
      </c>
      <c r="AX231" s="901">
        <f t="shared" si="64"/>
        <v>0</v>
      </c>
      <c r="AY231" s="901">
        <f ca="1"/>
        <v>0</v>
      </c>
      <c r="AZ231" s="901">
        <f ca="1"/>
        <v>0</v>
      </c>
      <c r="BA231" s="905">
        <f t="shared" si="53"/>
        <v>0</v>
      </c>
      <c r="BB231" s="905">
        <f t="shared" si="54"/>
        <v>0</v>
      </c>
      <c r="BC231" s="905">
        <f t="shared" si="55"/>
        <v>0</v>
      </c>
      <c r="BD231" s="905">
        <f t="shared" si="56"/>
        <v>0</v>
      </c>
      <c r="BE231" s="905">
        <f t="shared" si="57"/>
        <v>0</v>
      </c>
      <c r="BF231" s="905">
        <f t="shared" si="58"/>
        <v>0</v>
      </c>
      <c r="BG231" s="905">
        <f t="shared" si="59"/>
        <v>0</v>
      </c>
      <c r="BH231" s="905">
        <f t="shared" si="60"/>
        <v>0</v>
      </c>
      <c r="BI231" s="713">
        <v>0</v>
      </c>
      <c r="BJ231" s="695"/>
      <c r="BK231" s="752">
        <f>IF(X232=0,0,           IF(ISNUMBER(BJ231),BJ231,               IF(ISTEXT(BJ231),INDEX(BA231:BH231,MATCH(BJ231,$BA$12:$BH$12,0)),             IF(BI231="INT",_xll.qInterp(X232,AK231:AR231,BA231:BH231),            INDEX(BA231:BH231,MATCH(BI231,$BA$12:$BH$12,0))))))</f>
        <v>0</v>
      </c>
      <c r="BL231" s="389">
        <f t="shared" si="65"/>
        <v>0</v>
      </c>
      <c r="BM231" s="394">
        <f t="shared" si="66"/>
        <v>0</v>
      </c>
      <c r="BN231" s="389">
        <f t="shared" si="67"/>
        <v>0</v>
      </c>
    </row>
    <row r="232" spans="16:66">
      <c r="P232" s="714">
        <v>0</v>
      </c>
      <c r="Q232" s="715">
        <f t="shared" si="51"/>
        <v>0</v>
      </c>
      <c r="R232" s="712">
        <f>IF(P233,_xll.qDateYears(P232,P233,DCCfixed),0)</f>
        <v>0</v>
      </c>
      <c r="S232" s="519">
        <f ca="1"/>
        <v>0</v>
      </c>
      <c r="T232" s="720"/>
      <c r="U232" s="390">
        <f t="shared" si="61"/>
        <v>0</v>
      </c>
      <c r="X232" s="345">
        <v>0</v>
      </c>
      <c r="Y232" s="711">
        <f t="shared" si="52"/>
        <v>0</v>
      </c>
      <c r="Z232" s="712">
        <f>IF(X233,_xll.qDateYears(X232,X233,DCCfloat),0)</f>
        <v>0</v>
      </c>
      <c r="AA232" s="519">
        <f ca="1"/>
        <v>0</v>
      </c>
      <c r="AB232" s="890">
        <f>IF(X232=0,0,         IF(OR(CCY="AUD",CCY="NZD",CCY="GBP"),X232,   _xll.qDateNext(X232,"-2b",,,IF(CCY="EUR","TGT","LON"))))</f>
        <v>0</v>
      </c>
      <c r="AC232" s="879" t="str">
        <v/>
      </c>
      <c r="AD232" s="879" t="str">
        <v/>
      </c>
      <c r="AE232" s="879" t="str">
        <v/>
      </c>
      <c r="AF232" s="879" t="str">
        <v/>
      </c>
      <c r="AG232" s="879" t="str">
        <v/>
      </c>
      <c r="AH232" s="879" t="str">
        <v/>
      </c>
      <c r="AI232" s="879" t="str">
        <v/>
      </c>
      <c r="AJ232" s="879" t="str">
        <v/>
      </c>
      <c r="AK232" s="882">
        <f>IF($X232=0,0,      _xll.qDateNext($X232,AK$12,$AR$11,FRM&lt;&gt;"Calypso",CCY))</f>
        <v>0</v>
      </c>
      <c r="AL232" s="882">
        <f>IF($X232=0,0,      _xll.qDateNext($X232,AL$12,$AR$11,FRM&lt;&gt;"Calypso",CCY))</f>
        <v>0</v>
      </c>
      <c r="AM232" s="882">
        <f>IF($X232=0,0,      _xll.qDateNext($X232,AM$12,$AR$11,FRM&lt;&gt;"Calypso",CCY))</f>
        <v>0</v>
      </c>
      <c r="AN232" s="882">
        <f>IF($X232=0,0,      _xll.qDateNext($X232,AN$12,$AR$11,FRM&lt;&gt;"Calypso",CCY))</f>
        <v>0</v>
      </c>
      <c r="AO232" s="882">
        <f>IF($X232=0,0,      _xll.qDateNext($X232,AO$12,$AR$11,FRM&lt;&gt;"Calypso",CCY))</f>
        <v>0</v>
      </c>
      <c r="AP232" s="882">
        <f>IF($X232=0,0,      _xll.qDateNext($X232,AP$12,$AR$11,FRM&lt;&gt;"Calypso",CCY))</f>
        <v>0</v>
      </c>
      <c r="AQ232" s="882">
        <f>IF($X232=0,0,      _xll.qDateNext($X232,AQ$12,$AR$11,FRM&lt;&gt;"Calypso",CCY))</f>
        <v>0</v>
      </c>
      <c r="AR232" s="882">
        <f>IF($X232=0,0,      _xll.qDateNext($X232,AR$12,$AR$11,FRM&lt;&gt;"Calypso",CCY))</f>
        <v>0</v>
      </c>
      <c r="AS232" s="901">
        <f ca="1"/>
        <v>0</v>
      </c>
      <c r="AT232" s="901">
        <f ca="1"/>
        <v>0</v>
      </c>
      <c r="AU232" s="901">
        <f t="shared" si="62"/>
        <v>0</v>
      </c>
      <c r="AV232" s="901">
        <f ca="1"/>
        <v>0</v>
      </c>
      <c r="AW232" s="901">
        <f t="shared" si="63"/>
        <v>0</v>
      </c>
      <c r="AX232" s="901">
        <f t="shared" si="64"/>
        <v>0</v>
      </c>
      <c r="AY232" s="901">
        <f ca="1"/>
        <v>0</v>
      </c>
      <c r="AZ232" s="901">
        <f ca="1"/>
        <v>0</v>
      </c>
      <c r="BA232" s="905">
        <f t="shared" si="53"/>
        <v>0</v>
      </c>
      <c r="BB232" s="905">
        <f t="shared" si="54"/>
        <v>0</v>
      </c>
      <c r="BC232" s="905">
        <f t="shared" si="55"/>
        <v>0</v>
      </c>
      <c r="BD232" s="905">
        <f t="shared" si="56"/>
        <v>0</v>
      </c>
      <c r="BE232" s="905">
        <f t="shared" si="57"/>
        <v>0</v>
      </c>
      <c r="BF232" s="905">
        <f t="shared" si="58"/>
        <v>0</v>
      </c>
      <c r="BG232" s="905">
        <f t="shared" si="59"/>
        <v>0</v>
      </c>
      <c r="BH232" s="905">
        <f t="shared" si="60"/>
        <v>0</v>
      </c>
      <c r="BI232" s="713">
        <v>0</v>
      </c>
      <c r="BJ232" s="695"/>
      <c r="BK232" s="752">
        <f>IF(X233=0,0,           IF(ISNUMBER(BJ232),BJ232,               IF(ISTEXT(BJ232),INDEX(BA232:BH232,MATCH(BJ232,$BA$12:$BH$12,0)),             IF(BI232="INT",_xll.qInterp(X233,AK232:AR232,BA232:BH232),            INDEX(BA232:BH232,MATCH(BI232,$BA$12:$BH$12,0))))))</f>
        <v>0</v>
      </c>
      <c r="BL232" s="389">
        <f t="shared" si="65"/>
        <v>0</v>
      </c>
      <c r="BM232" s="394">
        <f t="shared" si="66"/>
        <v>0</v>
      </c>
      <c r="BN232" s="389">
        <f t="shared" si="67"/>
        <v>0</v>
      </c>
    </row>
    <row r="233" spans="16:66">
      <c r="P233" s="714">
        <v>0</v>
      </c>
      <c r="Q233" s="715">
        <f t="shared" si="51"/>
        <v>0</v>
      </c>
      <c r="R233" s="712">
        <f>IF(P234,_xll.qDateYears(P233,P234,DCCfixed),0)</f>
        <v>0</v>
      </c>
      <c r="S233" s="519">
        <f ca="1"/>
        <v>0</v>
      </c>
      <c r="T233" s="720"/>
      <c r="U233" s="390">
        <f t="shared" si="61"/>
        <v>0</v>
      </c>
      <c r="X233" s="345">
        <v>0</v>
      </c>
      <c r="Y233" s="711">
        <f t="shared" si="52"/>
        <v>0</v>
      </c>
      <c r="Z233" s="712">
        <f>IF(X234,_xll.qDateYears(X233,X234,DCCfloat),0)</f>
        <v>0</v>
      </c>
      <c r="AA233" s="519">
        <f ca="1"/>
        <v>0</v>
      </c>
      <c r="AB233" s="890">
        <f>IF(X233=0,0,         IF(OR(CCY="AUD",CCY="NZD",CCY="GBP"),X233,   _xll.qDateNext(X233,"-2b",,,IF(CCY="EUR","TGT","LON"))))</f>
        <v>0</v>
      </c>
      <c r="AC233" s="879" t="str">
        <v/>
      </c>
      <c r="AD233" s="879" t="str">
        <v/>
      </c>
      <c r="AE233" s="879" t="str">
        <v/>
      </c>
      <c r="AF233" s="879" t="str">
        <v/>
      </c>
      <c r="AG233" s="879" t="str">
        <v/>
      </c>
      <c r="AH233" s="879" t="str">
        <v/>
      </c>
      <c r="AI233" s="879" t="str">
        <v/>
      </c>
      <c r="AJ233" s="879" t="str">
        <v/>
      </c>
      <c r="AK233" s="882">
        <f>IF($X233=0,0,      _xll.qDateNext($X233,AK$12,$AR$11,FRM&lt;&gt;"Calypso",CCY))</f>
        <v>0</v>
      </c>
      <c r="AL233" s="882">
        <f>IF($X233=0,0,      _xll.qDateNext($X233,AL$12,$AR$11,FRM&lt;&gt;"Calypso",CCY))</f>
        <v>0</v>
      </c>
      <c r="AM233" s="882">
        <f>IF($X233=0,0,      _xll.qDateNext($X233,AM$12,$AR$11,FRM&lt;&gt;"Calypso",CCY))</f>
        <v>0</v>
      </c>
      <c r="AN233" s="882">
        <f>IF($X233=0,0,      _xll.qDateNext($X233,AN$12,$AR$11,FRM&lt;&gt;"Calypso",CCY))</f>
        <v>0</v>
      </c>
      <c r="AO233" s="882">
        <f>IF($X233=0,0,      _xll.qDateNext($X233,AO$12,$AR$11,FRM&lt;&gt;"Calypso",CCY))</f>
        <v>0</v>
      </c>
      <c r="AP233" s="882">
        <f>IF($X233=0,0,      _xll.qDateNext($X233,AP$12,$AR$11,FRM&lt;&gt;"Calypso",CCY))</f>
        <v>0</v>
      </c>
      <c r="AQ233" s="882">
        <f>IF($X233=0,0,      _xll.qDateNext($X233,AQ$12,$AR$11,FRM&lt;&gt;"Calypso",CCY))</f>
        <v>0</v>
      </c>
      <c r="AR233" s="882">
        <f>IF($X233=0,0,      _xll.qDateNext($X233,AR$12,$AR$11,FRM&lt;&gt;"Calypso",CCY))</f>
        <v>0</v>
      </c>
      <c r="AS233" s="901">
        <f ca="1"/>
        <v>0</v>
      </c>
      <c r="AT233" s="901">
        <f ca="1"/>
        <v>0</v>
      </c>
      <c r="AU233" s="901">
        <f t="shared" si="62"/>
        <v>0</v>
      </c>
      <c r="AV233" s="901">
        <f ca="1"/>
        <v>0</v>
      </c>
      <c r="AW233" s="901">
        <f t="shared" si="63"/>
        <v>0</v>
      </c>
      <c r="AX233" s="901">
        <f t="shared" si="64"/>
        <v>0</v>
      </c>
      <c r="AY233" s="901">
        <f ca="1"/>
        <v>0</v>
      </c>
      <c r="AZ233" s="901">
        <f ca="1"/>
        <v>0</v>
      </c>
      <c r="BA233" s="905">
        <f t="shared" si="53"/>
        <v>0</v>
      </c>
      <c r="BB233" s="905">
        <f t="shared" si="54"/>
        <v>0</v>
      </c>
      <c r="BC233" s="905">
        <f t="shared" si="55"/>
        <v>0</v>
      </c>
      <c r="BD233" s="905">
        <f t="shared" si="56"/>
        <v>0</v>
      </c>
      <c r="BE233" s="905">
        <f t="shared" si="57"/>
        <v>0</v>
      </c>
      <c r="BF233" s="905">
        <f t="shared" si="58"/>
        <v>0</v>
      </c>
      <c r="BG233" s="905">
        <f t="shared" si="59"/>
        <v>0</v>
      </c>
      <c r="BH233" s="905">
        <f t="shared" si="60"/>
        <v>0</v>
      </c>
      <c r="BI233" s="713">
        <v>0</v>
      </c>
      <c r="BJ233" s="695"/>
      <c r="BK233" s="752">
        <f>IF(X234=0,0,           IF(ISNUMBER(BJ233),BJ233,               IF(ISTEXT(BJ233),INDEX(BA233:BH233,MATCH(BJ233,$BA$12:$BH$12,0)),             IF(BI233="INT",_xll.qInterp(X234,AK233:AR233,BA233:BH233),            INDEX(BA233:BH233,MATCH(BI233,$BA$12:$BH$12,0))))))</f>
        <v>0</v>
      </c>
      <c r="BL233" s="389">
        <f t="shared" si="65"/>
        <v>0</v>
      </c>
      <c r="BM233" s="394">
        <f t="shared" si="66"/>
        <v>0</v>
      </c>
      <c r="BN233" s="389">
        <f t="shared" si="67"/>
        <v>0</v>
      </c>
    </row>
    <row r="234" spans="16:66">
      <c r="P234" s="714">
        <v>0</v>
      </c>
      <c r="Q234" s="715">
        <f t="shared" si="51"/>
        <v>0</v>
      </c>
      <c r="R234" s="712">
        <f>IF(P235,_xll.qDateYears(P234,P235,DCCfixed),0)</f>
        <v>0</v>
      </c>
      <c r="S234" s="519">
        <f ca="1"/>
        <v>0</v>
      </c>
      <c r="T234" s="720"/>
      <c r="U234" s="390">
        <f t="shared" si="61"/>
        <v>0</v>
      </c>
      <c r="X234" s="345">
        <v>0</v>
      </c>
      <c r="Y234" s="711">
        <f t="shared" si="52"/>
        <v>0</v>
      </c>
      <c r="Z234" s="712">
        <f>IF(X235,_xll.qDateYears(X234,X235,DCCfloat),0)</f>
        <v>0</v>
      </c>
      <c r="AA234" s="519">
        <f ca="1"/>
        <v>0</v>
      </c>
      <c r="AB234" s="890">
        <f>IF(X234=0,0,         IF(OR(CCY="AUD",CCY="NZD",CCY="GBP"),X234,   _xll.qDateNext(X234,"-2b",,,IF(CCY="EUR","TGT","LON"))))</f>
        <v>0</v>
      </c>
      <c r="AC234" s="879" t="str">
        <v/>
      </c>
      <c r="AD234" s="879" t="str">
        <v/>
      </c>
      <c r="AE234" s="879" t="str">
        <v/>
      </c>
      <c r="AF234" s="879" t="str">
        <v/>
      </c>
      <c r="AG234" s="879" t="str">
        <v/>
      </c>
      <c r="AH234" s="879" t="str">
        <v/>
      </c>
      <c r="AI234" s="879" t="str">
        <v/>
      </c>
      <c r="AJ234" s="879" t="str">
        <v/>
      </c>
      <c r="AK234" s="882">
        <f>IF($X234=0,0,      _xll.qDateNext($X234,AK$12,$AR$11,FRM&lt;&gt;"Calypso",CCY))</f>
        <v>0</v>
      </c>
      <c r="AL234" s="882">
        <f>IF($X234=0,0,      _xll.qDateNext($X234,AL$12,$AR$11,FRM&lt;&gt;"Calypso",CCY))</f>
        <v>0</v>
      </c>
      <c r="AM234" s="882">
        <f>IF($X234=0,0,      _xll.qDateNext($X234,AM$12,$AR$11,FRM&lt;&gt;"Calypso",CCY))</f>
        <v>0</v>
      </c>
      <c r="AN234" s="882">
        <f>IF($X234=0,0,      _xll.qDateNext($X234,AN$12,$AR$11,FRM&lt;&gt;"Calypso",CCY))</f>
        <v>0</v>
      </c>
      <c r="AO234" s="882">
        <f>IF($X234=0,0,      _xll.qDateNext($X234,AO$12,$AR$11,FRM&lt;&gt;"Calypso",CCY))</f>
        <v>0</v>
      </c>
      <c r="AP234" s="882">
        <f>IF($X234=0,0,      _xll.qDateNext($X234,AP$12,$AR$11,FRM&lt;&gt;"Calypso",CCY))</f>
        <v>0</v>
      </c>
      <c r="AQ234" s="882">
        <f>IF($X234=0,0,      _xll.qDateNext($X234,AQ$12,$AR$11,FRM&lt;&gt;"Calypso",CCY))</f>
        <v>0</v>
      </c>
      <c r="AR234" s="882">
        <f>IF($X234=0,0,      _xll.qDateNext($X234,AR$12,$AR$11,FRM&lt;&gt;"Calypso",CCY))</f>
        <v>0</v>
      </c>
      <c r="AS234" s="901">
        <f ca="1"/>
        <v>0</v>
      </c>
      <c r="AT234" s="901">
        <f ca="1"/>
        <v>0</v>
      </c>
      <c r="AU234" s="901">
        <f t="shared" si="62"/>
        <v>0</v>
      </c>
      <c r="AV234" s="901">
        <f ca="1"/>
        <v>0</v>
      </c>
      <c r="AW234" s="901">
        <f t="shared" si="63"/>
        <v>0</v>
      </c>
      <c r="AX234" s="901">
        <f t="shared" si="64"/>
        <v>0</v>
      </c>
      <c r="AY234" s="901">
        <f ca="1"/>
        <v>0</v>
      </c>
      <c r="AZ234" s="901">
        <f ca="1"/>
        <v>0</v>
      </c>
      <c r="BA234" s="905">
        <f t="shared" si="53"/>
        <v>0</v>
      </c>
      <c r="BB234" s="905">
        <f t="shared" si="54"/>
        <v>0</v>
      </c>
      <c r="BC234" s="905">
        <f t="shared" si="55"/>
        <v>0</v>
      </c>
      <c r="BD234" s="905">
        <f t="shared" si="56"/>
        <v>0</v>
      </c>
      <c r="BE234" s="905">
        <f t="shared" si="57"/>
        <v>0</v>
      </c>
      <c r="BF234" s="905">
        <f t="shared" si="58"/>
        <v>0</v>
      </c>
      <c r="BG234" s="905">
        <f t="shared" si="59"/>
        <v>0</v>
      </c>
      <c r="BH234" s="905">
        <f t="shared" si="60"/>
        <v>0</v>
      </c>
      <c r="BI234" s="713">
        <v>0</v>
      </c>
      <c r="BJ234" s="695"/>
      <c r="BK234" s="752">
        <f>IF(X235=0,0,           IF(ISNUMBER(BJ234),BJ234,               IF(ISTEXT(BJ234),INDEX(BA234:BH234,MATCH(BJ234,$BA$12:$BH$12,0)),             IF(BI234="INT",_xll.qInterp(X235,AK234:AR234,BA234:BH234),            INDEX(BA234:BH234,MATCH(BI234,$BA$12:$BH$12,0))))))</f>
        <v>0</v>
      </c>
      <c r="BL234" s="389">
        <f t="shared" si="65"/>
        <v>0</v>
      </c>
      <c r="BM234" s="394">
        <f t="shared" si="66"/>
        <v>0</v>
      </c>
      <c r="BN234" s="389">
        <f t="shared" si="67"/>
        <v>0</v>
      </c>
    </row>
    <row r="235" spans="16:66">
      <c r="P235" s="714">
        <v>0</v>
      </c>
      <c r="Q235" s="715">
        <f t="shared" si="51"/>
        <v>0</v>
      </c>
      <c r="R235" s="712">
        <f>IF(P236,_xll.qDateYears(P235,P236,DCCfixed),0)</f>
        <v>0</v>
      </c>
      <c r="S235" s="519">
        <f ca="1"/>
        <v>0</v>
      </c>
      <c r="T235" s="720"/>
      <c r="U235" s="390">
        <f t="shared" si="61"/>
        <v>0</v>
      </c>
      <c r="X235" s="345">
        <v>0</v>
      </c>
      <c r="Y235" s="711">
        <f t="shared" si="52"/>
        <v>0</v>
      </c>
      <c r="Z235" s="712">
        <f>IF(X236,_xll.qDateYears(X235,X236,DCCfloat),0)</f>
        <v>0</v>
      </c>
      <c r="AA235" s="519">
        <f ca="1"/>
        <v>0</v>
      </c>
      <c r="AB235" s="890">
        <f>IF(X235=0,0,         IF(OR(CCY="AUD",CCY="NZD",CCY="GBP"),X235,   _xll.qDateNext(X235,"-2b",,,IF(CCY="EUR","TGT","LON"))))</f>
        <v>0</v>
      </c>
      <c r="AC235" s="879" t="str">
        <v/>
      </c>
      <c r="AD235" s="879" t="str">
        <v/>
      </c>
      <c r="AE235" s="879" t="str">
        <v/>
      </c>
      <c r="AF235" s="879" t="str">
        <v/>
      </c>
      <c r="AG235" s="879" t="str">
        <v/>
      </c>
      <c r="AH235" s="879" t="str">
        <v/>
      </c>
      <c r="AI235" s="879" t="str">
        <v/>
      </c>
      <c r="AJ235" s="879" t="str">
        <v/>
      </c>
      <c r="AK235" s="882">
        <f>IF($X235=0,0,      _xll.qDateNext($X235,AK$12,$AR$11,FRM&lt;&gt;"Calypso",CCY))</f>
        <v>0</v>
      </c>
      <c r="AL235" s="882">
        <f>IF($X235=0,0,      _xll.qDateNext($X235,AL$12,$AR$11,FRM&lt;&gt;"Calypso",CCY))</f>
        <v>0</v>
      </c>
      <c r="AM235" s="882">
        <f>IF($X235=0,0,      _xll.qDateNext($X235,AM$12,$AR$11,FRM&lt;&gt;"Calypso",CCY))</f>
        <v>0</v>
      </c>
      <c r="AN235" s="882">
        <f>IF($X235=0,0,      _xll.qDateNext($X235,AN$12,$AR$11,FRM&lt;&gt;"Calypso",CCY))</f>
        <v>0</v>
      </c>
      <c r="AO235" s="882">
        <f>IF($X235=0,0,      _xll.qDateNext($X235,AO$12,$AR$11,FRM&lt;&gt;"Calypso",CCY))</f>
        <v>0</v>
      </c>
      <c r="AP235" s="882">
        <f>IF($X235=0,0,      _xll.qDateNext($X235,AP$12,$AR$11,FRM&lt;&gt;"Calypso",CCY))</f>
        <v>0</v>
      </c>
      <c r="AQ235" s="882">
        <f>IF($X235=0,0,      _xll.qDateNext($X235,AQ$12,$AR$11,FRM&lt;&gt;"Calypso",CCY))</f>
        <v>0</v>
      </c>
      <c r="AR235" s="882">
        <f>IF($X235=0,0,      _xll.qDateNext($X235,AR$12,$AR$11,FRM&lt;&gt;"Calypso",CCY))</f>
        <v>0</v>
      </c>
      <c r="AS235" s="901">
        <f ca="1"/>
        <v>0</v>
      </c>
      <c r="AT235" s="901">
        <f ca="1"/>
        <v>0</v>
      </c>
      <c r="AU235" s="901">
        <f t="shared" si="62"/>
        <v>0</v>
      </c>
      <c r="AV235" s="901">
        <f ca="1"/>
        <v>0</v>
      </c>
      <c r="AW235" s="901">
        <f t="shared" si="63"/>
        <v>0</v>
      </c>
      <c r="AX235" s="901">
        <f t="shared" si="64"/>
        <v>0</v>
      </c>
      <c r="AY235" s="901">
        <f ca="1"/>
        <v>0</v>
      </c>
      <c r="AZ235" s="901">
        <f ca="1"/>
        <v>0</v>
      </c>
      <c r="BA235" s="905">
        <f t="shared" si="53"/>
        <v>0</v>
      </c>
      <c r="BB235" s="905">
        <f t="shared" si="54"/>
        <v>0</v>
      </c>
      <c r="BC235" s="905">
        <f t="shared" si="55"/>
        <v>0</v>
      </c>
      <c r="BD235" s="905">
        <f t="shared" si="56"/>
        <v>0</v>
      </c>
      <c r="BE235" s="905">
        <f t="shared" si="57"/>
        <v>0</v>
      </c>
      <c r="BF235" s="905">
        <f t="shared" si="58"/>
        <v>0</v>
      </c>
      <c r="BG235" s="905">
        <f t="shared" si="59"/>
        <v>0</v>
      </c>
      <c r="BH235" s="905">
        <f t="shared" si="60"/>
        <v>0</v>
      </c>
      <c r="BI235" s="713">
        <v>0</v>
      </c>
      <c r="BJ235" s="695"/>
      <c r="BK235" s="752">
        <f>IF(X236=0,0,           IF(ISNUMBER(BJ235),BJ235,               IF(ISTEXT(BJ235),INDEX(BA235:BH235,MATCH(BJ235,$BA$12:$BH$12,0)),             IF(BI235="INT",_xll.qInterp(X236,AK235:AR235,BA235:BH235),            INDEX(BA235:BH235,MATCH(BI235,$BA$12:$BH$12,0))))))</f>
        <v>0</v>
      </c>
      <c r="BL235" s="389">
        <f t="shared" si="65"/>
        <v>0</v>
      </c>
      <c r="BM235" s="394">
        <f t="shared" si="66"/>
        <v>0</v>
      </c>
      <c r="BN235" s="389">
        <f t="shared" si="67"/>
        <v>0</v>
      </c>
    </row>
    <row r="236" spans="16:66">
      <c r="P236" s="714">
        <v>0</v>
      </c>
      <c r="Q236" s="715">
        <f t="shared" si="51"/>
        <v>0</v>
      </c>
      <c r="R236" s="712">
        <f>IF(P237,_xll.qDateYears(P236,P237,DCCfixed),0)</f>
        <v>0</v>
      </c>
      <c r="S236" s="519">
        <f ca="1"/>
        <v>0</v>
      </c>
      <c r="T236" s="720"/>
      <c r="U236" s="390">
        <f t="shared" si="61"/>
        <v>0</v>
      </c>
      <c r="X236" s="345">
        <v>0</v>
      </c>
      <c r="Y236" s="711">
        <f t="shared" si="52"/>
        <v>0</v>
      </c>
      <c r="Z236" s="712">
        <f>IF(X237,_xll.qDateYears(X236,X237,DCCfloat),0)</f>
        <v>0</v>
      </c>
      <c r="AA236" s="519">
        <f ca="1"/>
        <v>0</v>
      </c>
      <c r="AB236" s="890">
        <f>IF(X236=0,0,         IF(OR(CCY="AUD",CCY="NZD",CCY="GBP"),X236,   _xll.qDateNext(X236,"-2b",,,IF(CCY="EUR","TGT","LON"))))</f>
        <v>0</v>
      </c>
      <c r="AC236" s="879" t="str">
        <v/>
      </c>
      <c r="AD236" s="879" t="str">
        <v/>
      </c>
      <c r="AE236" s="879" t="str">
        <v/>
      </c>
      <c r="AF236" s="879" t="str">
        <v/>
      </c>
      <c r="AG236" s="879" t="str">
        <v/>
      </c>
      <c r="AH236" s="879" t="str">
        <v/>
      </c>
      <c r="AI236" s="879" t="str">
        <v/>
      </c>
      <c r="AJ236" s="879" t="str">
        <v/>
      </c>
      <c r="AK236" s="882">
        <f>IF($X236=0,0,      _xll.qDateNext($X236,AK$12,$AR$11,FRM&lt;&gt;"Calypso",CCY))</f>
        <v>0</v>
      </c>
      <c r="AL236" s="882">
        <f>IF($X236=0,0,      _xll.qDateNext($X236,AL$12,$AR$11,FRM&lt;&gt;"Calypso",CCY))</f>
        <v>0</v>
      </c>
      <c r="AM236" s="882">
        <f>IF($X236=0,0,      _xll.qDateNext($X236,AM$12,$AR$11,FRM&lt;&gt;"Calypso",CCY))</f>
        <v>0</v>
      </c>
      <c r="AN236" s="882">
        <f>IF($X236=0,0,      _xll.qDateNext($X236,AN$12,$AR$11,FRM&lt;&gt;"Calypso",CCY))</f>
        <v>0</v>
      </c>
      <c r="AO236" s="882">
        <f>IF($X236=0,0,      _xll.qDateNext($X236,AO$12,$AR$11,FRM&lt;&gt;"Calypso",CCY))</f>
        <v>0</v>
      </c>
      <c r="AP236" s="882">
        <f>IF($X236=0,0,      _xll.qDateNext($X236,AP$12,$AR$11,FRM&lt;&gt;"Calypso",CCY))</f>
        <v>0</v>
      </c>
      <c r="AQ236" s="882">
        <f>IF($X236=0,0,      _xll.qDateNext($X236,AQ$12,$AR$11,FRM&lt;&gt;"Calypso",CCY))</f>
        <v>0</v>
      </c>
      <c r="AR236" s="882">
        <f>IF($X236=0,0,      _xll.qDateNext($X236,AR$12,$AR$11,FRM&lt;&gt;"Calypso",CCY))</f>
        <v>0</v>
      </c>
      <c r="AS236" s="901">
        <f ca="1"/>
        <v>0</v>
      </c>
      <c r="AT236" s="901">
        <f ca="1"/>
        <v>0</v>
      </c>
      <c r="AU236" s="901">
        <f t="shared" si="62"/>
        <v>0</v>
      </c>
      <c r="AV236" s="901">
        <f ca="1"/>
        <v>0</v>
      </c>
      <c r="AW236" s="901">
        <f t="shared" si="63"/>
        <v>0</v>
      </c>
      <c r="AX236" s="901">
        <f t="shared" si="64"/>
        <v>0</v>
      </c>
      <c r="AY236" s="901">
        <f ca="1"/>
        <v>0</v>
      </c>
      <c r="AZ236" s="901">
        <f ca="1"/>
        <v>0</v>
      </c>
      <c r="BA236" s="905">
        <f t="shared" si="53"/>
        <v>0</v>
      </c>
      <c r="BB236" s="905">
        <f t="shared" si="54"/>
        <v>0</v>
      </c>
      <c r="BC236" s="905">
        <f t="shared" si="55"/>
        <v>0</v>
      </c>
      <c r="BD236" s="905">
        <f t="shared" si="56"/>
        <v>0</v>
      </c>
      <c r="BE236" s="905">
        <f t="shared" si="57"/>
        <v>0</v>
      </c>
      <c r="BF236" s="905">
        <f t="shared" si="58"/>
        <v>0</v>
      </c>
      <c r="BG236" s="905">
        <f t="shared" si="59"/>
        <v>0</v>
      </c>
      <c r="BH236" s="905">
        <f t="shared" si="60"/>
        <v>0</v>
      </c>
      <c r="BI236" s="713">
        <v>0</v>
      </c>
      <c r="BJ236" s="695"/>
      <c r="BK236" s="752">
        <f>IF(X237=0,0,           IF(ISNUMBER(BJ236),BJ236,               IF(ISTEXT(BJ236),INDEX(BA236:BH236,MATCH(BJ236,$BA$12:$BH$12,0)),             IF(BI236="INT",_xll.qInterp(X237,AK236:AR236,BA236:BH236),            INDEX(BA236:BH236,MATCH(BI236,$BA$12:$BH$12,0))))))</f>
        <v>0</v>
      </c>
      <c r="BL236" s="389">
        <f t="shared" si="65"/>
        <v>0</v>
      </c>
      <c r="BM236" s="394">
        <f t="shared" si="66"/>
        <v>0</v>
      </c>
      <c r="BN236" s="389">
        <f t="shared" si="67"/>
        <v>0</v>
      </c>
    </row>
    <row r="237" spans="16:66">
      <c r="P237" s="714">
        <v>0</v>
      </c>
      <c r="Q237" s="715">
        <f t="shared" si="51"/>
        <v>0</v>
      </c>
      <c r="R237" s="712">
        <f>IF(P238,_xll.qDateYears(P237,P238,DCCfixed),0)</f>
        <v>0</v>
      </c>
      <c r="S237" s="519">
        <f ca="1"/>
        <v>0</v>
      </c>
      <c r="T237" s="720"/>
      <c r="U237" s="390">
        <f t="shared" si="61"/>
        <v>0</v>
      </c>
      <c r="X237" s="345">
        <v>0</v>
      </c>
      <c r="Y237" s="711">
        <f t="shared" si="52"/>
        <v>0</v>
      </c>
      <c r="Z237" s="712">
        <f>IF(X238,_xll.qDateYears(X237,X238,DCCfloat),0)</f>
        <v>0</v>
      </c>
      <c r="AA237" s="519">
        <f ca="1"/>
        <v>0</v>
      </c>
      <c r="AB237" s="890">
        <f>IF(X237=0,0,         IF(OR(CCY="AUD",CCY="NZD",CCY="GBP"),X237,   _xll.qDateNext(X237,"-2b",,,IF(CCY="EUR","TGT","LON"))))</f>
        <v>0</v>
      </c>
      <c r="AC237" s="879" t="str">
        <v/>
      </c>
      <c r="AD237" s="879" t="str">
        <v/>
      </c>
      <c r="AE237" s="879" t="str">
        <v/>
      </c>
      <c r="AF237" s="879" t="str">
        <v/>
      </c>
      <c r="AG237" s="879" t="str">
        <v/>
      </c>
      <c r="AH237" s="879" t="str">
        <v/>
      </c>
      <c r="AI237" s="879" t="str">
        <v/>
      </c>
      <c r="AJ237" s="879" t="str">
        <v/>
      </c>
      <c r="AK237" s="882">
        <f>IF($X237=0,0,      _xll.qDateNext($X237,AK$12,$AR$11,FRM&lt;&gt;"Calypso",CCY))</f>
        <v>0</v>
      </c>
      <c r="AL237" s="882">
        <f>IF($X237=0,0,      _xll.qDateNext($X237,AL$12,$AR$11,FRM&lt;&gt;"Calypso",CCY))</f>
        <v>0</v>
      </c>
      <c r="AM237" s="882">
        <f>IF($X237=0,0,      _xll.qDateNext($X237,AM$12,$AR$11,FRM&lt;&gt;"Calypso",CCY))</f>
        <v>0</v>
      </c>
      <c r="AN237" s="882">
        <f>IF($X237=0,0,      _xll.qDateNext($X237,AN$12,$AR$11,FRM&lt;&gt;"Calypso",CCY))</f>
        <v>0</v>
      </c>
      <c r="AO237" s="882">
        <f>IF($X237=0,0,      _xll.qDateNext($X237,AO$12,$AR$11,FRM&lt;&gt;"Calypso",CCY))</f>
        <v>0</v>
      </c>
      <c r="AP237" s="882">
        <f>IF($X237=0,0,      _xll.qDateNext($X237,AP$12,$AR$11,FRM&lt;&gt;"Calypso",CCY))</f>
        <v>0</v>
      </c>
      <c r="AQ237" s="882">
        <f>IF($X237=0,0,      _xll.qDateNext($X237,AQ$12,$AR$11,FRM&lt;&gt;"Calypso",CCY))</f>
        <v>0</v>
      </c>
      <c r="AR237" s="882">
        <f>IF($X237=0,0,      _xll.qDateNext($X237,AR$12,$AR$11,FRM&lt;&gt;"Calypso",CCY))</f>
        <v>0</v>
      </c>
      <c r="AS237" s="901">
        <f ca="1"/>
        <v>0</v>
      </c>
      <c r="AT237" s="901">
        <f ca="1"/>
        <v>0</v>
      </c>
      <c r="AU237" s="901">
        <f t="shared" si="62"/>
        <v>0</v>
      </c>
      <c r="AV237" s="901">
        <f ca="1"/>
        <v>0</v>
      </c>
      <c r="AW237" s="901">
        <f t="shared" si="63"/>
        <v>0</v>
      </c>
      <c r="AX237" s="901">
        <f t="shared" si="64"/>
        <v>0</v>
      </c>
      <c r="AY237" s="901">
        <f ca="1"/>
        <v>0</v>
      </c>
      <c r="AZ237" s="901">
        <f ca="1"/>
        <v>0</v>
      </c>
      <c r="BA237" s="905">
        <f t="shared" si="53"/>
        <v>0</v>
      </c>
      <c r="BB237" s="905">
        <f t="shared" si="54"/>
        <v>0</v>
      </c>
      <c r="BC237" s="905">
        <f t="shared" si="55"/>
        <v>0</v>
      </c>
      <c r="BD237" s="905">
        <f t="shared" si="56"/>
        <v>0</v>
      </c>
      <c r="BE237" s="905">
        <f t="shared" si="57"/>
        <v>0</v>
      </c>
      <c r="BF237" s="905">
        <f t="shared" si="58"/>
        <v>0</v>
      </c>
      <c r="BG237" s="905">
        <f t="shared" si="59"/>
        <v>0</v>
      </c>
      <c r="BH237" s="905">
        <f t="shared" si="60"/>
        <v>0</v>
      </c>
      <c r="BI237" s="713">
        <v>0</v>
      </c>
      <c r="BJ237" s="695"/>
      <c r="BK237" s="752">
        <f>IF(X238=0,0,           IF(ISNUMBER(BJ237),BJ237,               IF(ISTEXT(BJ237),INDEX(BA237:BH237,MATCH(BJ237,$BA$12:$BH$12,0)),             IF(BI237="INT",_xll.qInterp(X238,AK237:AR237,BA237:BH237),            INDEX(BA237:BH237,MATCH(BI237,$BA$12:$BH$12,0))))))</f>
        <v>0</v>
      </c>
      <c r="BL237" s="389">
        <f t="shared" si="65"/>
        <v>0</v>
      </c>
      <c r="BM237" s="394">
        <f t="shared" si="66"/>
        <v>0</v>
      </c>
      <c r="BN237" s="389">
        <f t="shared" si="67"/>
        <v>0</v>
      </c>
    </row>
    <row r="238" spans="16:66">
      <c r="P238" s="714">
        <v>0</v>
      </c>
      <c r="Q238" s="715">
        <f t="shared" si="51"/>
        <v>0</v>
      </c>
      <c r="R238" s="712">
        <f>IF(P239,_xll.qDateYears(P238,P239,DCCfixed),0)</f>
        <v>0</v>
      </c>
      <c r="S238" s="519">
        <f ca="1"/>
        <v>0</v>
      </c>
      <c r="T238" s="720"/>
      <c r="U238" s="390">
        <f t="shared" si="61"/>
        <v>0</v>
      </c>
      <c r="X238" s="345">
        <v>0</v>
      </c>
      <c r="Y238" s="711">
        <f t="shared" si="52"/>
        <v>0</v>
      </c>
      <c r="Z238" s="712">
        <f>IF(X239,_xll.qDateYears(X238,X239,DCCfloat),0)</f>
        <v>0</v>
      </c>
      <c r="AA238" s="519">
        <f ca="1"/>
        <v>0</v>
      </c>
      <c r="AB238" s="890">
        <f>IF(X238=0,0,         IF(OR(CCY="AUD",CCY="NZD",CCY="GBP"),X238,   _xll.qDateNext(X238,"-2b",,,IF(CCY="EUR","TGT","LON"))))</f>
        <v>0</v>
      </c>
      <c r="AC238" s="879" t="str">
        <v/>
      </c>
      <c r="AD238" s="879" t="str">
        <v/>
      </c>
      <c r="AE238" s="879" t="str">
        <v/>
      </c>
      <c r="AF238" s="879" t="str">
        <v/>
      </c>
      <c r="AG238" s="879" t="str">
        <v/>
      </c>
      <c r="AH238" s="879" t="str">
        <v/>
      </c>
      <c r="AI238" s="879" t="str">
        <v/>
      </c>
      <c r="AJ238" s="879" t="str">
        <v/>
      </c>
      <c r="AK238" s="882">
        <f>IF($X238=0,0,      _xll.qDateNext($X238,AK$12,$AR$11,FRM&lt;&gt;"Calypso",CCY))</f>
        <v>0</v>
      </c>
      <c r="AL238" s="882">
        <f>IF($X238=0,0,      _xll.qDateNext($X238,AL$12,$AR$11,FRM&lt;&gt;"Calypso",CCY))</f>
        <v>0</v>
      </c>
      <c r="AM238" s="882">
        <f>IF($X238=0,0,      _xll.qDateNext($X238,AM$12,$AR$11,FRM&lt;&gt;"Calypso",CCY))</f>
        <v>0</v>
      </c>
      <c r="AN238" s="882">
        <f>IF($X238=0,0,      _xll.qDateNext($X238,AN$12,$AR$11,FRM&lt;&gt;"Calypso",CCY))</f>
        <v>0</v>
      </c>
      <c r="AO238" s="882">
        <f>IF($X238=0,0,      _xll.qDateNext($X238,AO$12,$AR$11,FRM&lt;&gt;"Calypso",CCY))</f>
        <v>0</v>
      </c>
      <c r="AP238" s="882">
        <f>IF($X238=0,0,      _xll.qDateNext($X238,AP$12,$AR$11,FRM&lt;&gt;"Calypso",CCY))</f>
        <v>0</v>
      </c>
      <c r="AQ238" s="882">
        <f>IF($X238=0,0,      _xll.qDateNext($X238,AQ$12,$AR$11,FRM&lt;&gt;"Calypso",CCY))</f>
        <v>0</v>
      </c>
      <c r="AR238" s="882">
        <f>IF($X238=0,0,      _xll.qDateNext($X238,AR$12,$AR$11,FRM&lt;&gt;"Calypso",CCY))</f>
        <v>0</v>
      </c>
      <c r="AS238" s="901">
        <f ca="1"/>
        <v>0</v>
      </c>
      <c r="AT238" s="901">
        <f ca="1"/>
        <v>0</v>
      </c>
      <c r="AU238" s="901">
        <f t="shared" si="62"/>
        <v>0</v>
      </c>
      <c r="AV238" s="901">
        <f ca="1"/>
        <v>0</v>
      </c>
      <c r="AW238" s="901">
        <f t="shared" si="63"/>
        <v>0</v>
      </c>
      <c r="AX238" s="901">
        <f t="shared" si="64"/>
        <v>0</v>
      </c>
      <c r="AY238" s="901">
        <f ca="1"/>
        <v>0</v>
      </c>
      <c r="AZ238" s="901">
        <f ca="1"/>
        <v>0</v>
      </c>
      <c r="BA238" s="905">
        <f t="shared" si="53"/>
        <v>0</v>
      </c>
      <c r="BB238" s="905">
        <f t="shared" si="54"/>
        <v>0</v>
      </c>
      <c r="BC238" s="905">
        <f t="shared" si="55"/>
        <v>0</v>
      </c>
      <c r="BD238" s="905">
        <f t="shared" si="56"/>
        <v>0</v>
      </c>
      <c r="BE238" s="905">
        <f t="shared" si="57"/>
        <v>0</v>
      </c>
      <c r="BF238" s="905">
        <f t="shared" si="58"/>
        <v>0</v>
      </c>
      <c r="BG238" s="905">
        <f t="shared" si="59"/>
        <v>0</v>
      </c>
      <c r="BH238" s="905">
        <f t="shared" si="60"/>
        <v>0</v>
      </c>
      <c r="BI238" s="713">
        <v>0</v>
      </c>
      <c r="BJ238" s="695"/>
      <c r="BK238" s="752">
        <f>IF(X239=0,0,           IF(ISNUMBER(BJ238),BJ238,               IF(ISTEXT(BJ238),INDEX(BA238:BH238,MATCH(BJ238,$BA$12:$BH$12,0)),             IF(BI238="INT",_xll.qInterp(X239,AK238:AR238,BA238:BH238),            INDEX(BA238:BH238,MATCH(BI238,$BA$12:$BH$12,0))))))</f>
        <v>0</v>
      </c>
      <c r="BL238" s="389">
        <f t="shared" si="65"/>
        <v>0</v>
      </c>
      <c r="BM238" s="394">
        <f t="shared" si="66"/>
        <v>0</v>
      </c>
      <c r="BN238" s="389">
        <f t="shared" si="67"/>
        <v>0</v>
      </c>
    </row>
    <row r="239" spans="16:66">
      <c r="P239" s="714">
        <v>0</v>
      </c>
      <c r="Q239" s="715">
        <f t="shared" si="51"/>
        <v>0</v>
      </c>
      <c r="R239" s="712">
        <f>IF(P240,_xll.qDateYears(P239,P240,DCCfixed),0)</f>
        <v>0</v>
      </c>
      <c r="S239" s="519">
        <f ca="1"/>
        <v>0</v>
      </c>
      <c r="T239" s="720"/>
      <c r="U239" s="390">
        <f t="shared" si="61"/>
        <v>0</v>
      </c>
      <c r="X239" s="345">
        <v>0</v>
      </c>
      <c r="Y239" s="711">
        <f t="shared" si="52"/>
        <v>0</v>
      </c>
      <c r="Z239" s="712">
        <f>IF(X240,_xll.qDateYears(X239,X240,DCCfloat),0)</f>
        <v>0</v>
      </c>
      <c r="AA239" s="519">
        <f ca="1"/>
        <v>0</v>
      </c>
      <c r="AB239" s="890">
        <f>IF(X239=0,0,         IF(OR(CCY="AUD",CCY="NZD",CCY="GBP"),X239,   _xll.qDateNext(X239,"-2b",,,IF(CCY="EUR","TGT","LON"))))</f>
        <v>0</v>
      </c>
      <c r="AC239" s="879" t="str">
        <v/>
      </c>
      <c r="AD239" s="879" t="str">
        <v/>
      </c>
      <c r="AE239" s="879" t="str">
        <v/>
      </c>
      <c r="AF239" s="879" t="str">
        <v/>
      </c>
      <c r="AG239" s="879" t="str">
        <v/>
      </c>
      <c r="AH239" s="879" t="str">
        <v/>
      </c>
      <c r="AI239" s="879" t="str">
        <v/>
      </c>
      <c r="AJ239" s="879" t="str">
        <v/>
      </c>
      <c r="AK239" s="882">
        <f>IF($X239=0,0,      _xll.qDateNext($X239,AK$12,$AR$11,FRM&lt;&gt;"Calypso",CCY))</f>
        <v>0</v>
      </c>
      <c r="AL239" s="882">
        <f>IF($X239=0,0,      _xll.qDateNext($X239,AL$12,$AR$11,FRM&lt;&gt;"Calypso",CCY))</f>
        <v>0</v>
      </c>
      <c r="AM239" s="882">
        <f>IF($X239=0,0,      _xll.qDateNext($X239,AM$12,$AR$11,FRM&lt;&gt;"Calypso",CCY))</f>
        <v>0</v>
      </c>
      <c r="AN239" s="882">
        <f>IF($X239=0,0,      _xll.qDateNext($X239,AN$12,$AR$11,FRM&lt;&gt;"Calypso",CCY))</f>
        <v>0</v>
      </c>
      <c r="AO239" s="882">
        <f>IF($X239=0,0,      _xll.qDateNext($X239,AO$12,$AR$11,FRM&lt;&gt;"Calypso",CCY))</f>
        <v>0</v>
      </c>
      <c r="AP239" s="882">
        <f>IF($X239=0,0,      _xll.qDateNext($X239,AP$12,$AR$11,FRM&lt;&gt;"Calypso",CCY))</f>
        <v>0</v>
      </c>
      <c r="AQ239" s="882">
        <f>IF($X239=0,0,      _xll.qDateNext($X239,AQ$12,$AR$11,FRM&lt;&gt;"Calypso",CCY))</f>
        <v>0</v>
      </c>
      <c r="AR239" s="882">
        <f>IF($X239=0,0,      _xll.qDateNext($X239,AR$12,$AR$11,FRM&lt;&gt;"Calypso",CCY))</f>
        <v>0</v>
      </c>
      <c r="AS239" s="901">
        <f ca="1"/>
        <v>0</v>
      </c>
      <c r="AT239" s="901">
        <f ca="1"/>
        <v>0</v>
      </c>
      <c r="AU239" s="901">
        <f t="shared" si="62"/>
        <v>0</v>
      </c>
      <c r="AV239" s="901">
        <f ca="1"/>
        <v>0</v>
      </c>
      <c r="AW239" s="901">
        <f t="shared" si="63"/>
        <v>0</v>
      </c>
      <c r="AX239" s="901">
        <f t="shared" si="64"/>
        <v>0</v>
      </c>
      <c r="AY239" s="901">
        <f ca="1"/>
        <v>0</v>
      </c>
      <c r="AZ239" s="901">
        <f ca="1"/>
        <v>0</v>
      </c>
      <c r="BA239" s="905">
        <f t="shared" si="53"/>
        <v>0</v>
      </c>
      <c r="BB239" s="905">
        <f t="shared" si="54"/>
        <v>0</v>
      </c>
      <c r="BC239" s="905">
        <f t="shared" si="55"/>
        <v>0</v>
      </c>
      <c r="BD239" s="905">
        <f t="shared" si="56"/>
        <v>0</v>
      </c>
      <c r="BE239" s="905">
        <f t="shared" si="57"/>
        <v>0</v>
      </c>
      <c r="BF239" s="905">
        <f t="shared" si="58"/>
        <v>0</v>
      </c>
      <c r="BG239" s="905">
        <f t="shared" si="59"/>
        <v>0</v>
      </c>
      <c r="BH239" s="905">
        <f t="shared" si="60"/>
        <v>0</v>
      </c>
      <c r="BI239" s="713">
        <v>0</v>
      </c>
      <c r="BJ239" s="695"/>
      <c r="BK239" s="752">
        <f>IF(X240=0,0,           IF(ISNUMBER(BJ239),BJ239,               IF(ISTEXT(BJ239),INDEX(BA239:BH239,MATCH(BJ239,$BA$12:$BH$12,0)),             IF(BI239="INT",_xll.qInterp(X240,AK239:AR239,BA239:BH239),            INDEX(BA239:BH239,MATCH(BI239,$BA$12:$BH$12,0))))))</f>
        <v>0</v>
      </c>
      <c r="BL239" s="389">
        <f t="shared" si="65"/>
        <v>0</v>
      </c>
      <c r="BM239" s="394">
        <f t="shared" si="66"/>
        <v>0</v>
      </c>
      <c r="BN239" s="389">
        <f t="shared" si="67"/>
        <v>0</v>
      </c>
    </row>
    <row r="240" spans="16:66">
      <c r="P240" s="714">
        <v>0</v>
      </c>
      <c r="Q240" s="715">
        <f t="shared" si="51"/>
        <v>0</v>
      </c>
      <c r="R240" s="712">
        <f>IF(P241,_xll.qDateYears(P240,P241,DCCfixed),0)</f>
        <v>0</v>
      </c>
      <c r="S240" s="519">
        <f ca="1"/>
        <v>0</v>
      </c>
      <c r="T240" s="720"/>
      <c r="U240" s="390">
        <f t="shared" si="61"/>
        <v>0</v>
      </c>
      <c r="X240" s="345">
        <v>0</v>
      </c>
      <c r="Y240" s="711">
        <f t="shared" si="52"/>
        <v>0</v>
      </c>
      <c r="Z240" s="712">
        <f>IF(X241,_xll.qDateYears(X240,X241,DCCfloat),0)</f>
        <v>0</v>
      </c>
      <c r="AA240" s="519">
        <f ca="1"/>
        <v>0</v>
      </c>
      <c r="AB240" s="890">
        <f>IF(X240=0,0,         IF(OR(CCY="AUD",CCY="NZD",CCY="GBP"),X240,   _xll.qDateNext(X240,"-2b",,,IF(CCY="EUR","TGT","LON"))))</f>
        <v>0</v>
      </c>
      <c r="AC240" s="879" t="str">
        <v/>
      </c>
      <c r="AD240" s="879" t="str">
        <v/>
      </c>
      <c r="AE240" s="879" t="str">
        <v/>
      </c>
      <c r="AF240" s="879" t="str">
        <v/>
      </c>
      <c r="AG240" s="879" t="str">
        <v/>
      </c>
      <c r="AH240" s="879" t="str">
        <v/>
      </c>
      <c r="AI240" s="879" t="str">
        <v/>
      </c>
      <c r="AJ240" s="879" t="str">
        <v/>
      </c>
      <c r="AK240" s="882">
        <f>IF($X240=0,0,      _xll.qDateNext($X240,AK$12,$AR$11,FRM&lt;&gt;"Calypso",CCY))</f>
        <v>0</v>
      </c>
      <c r="AL240" s="882">
        <f>IF($X240=0,0,      _xll.qDateNext($X240,AL$12,$AR$11,FRM&lt;&gt;"Calypso",CCY))</f>
        <v>0</v>
      </c>
      <c r="AM240" s="882">
        <f>IF($X240=0,0,      _xll.qDateNext($X240,AM$12,$AR$11,FRM&lt;&gt;"Calypso",CCY))</f>
        <v>0</v>
      </c>
      <c r="AN240" s="882">
        <f>IF($X240=0,0,      _xll.qDateNext($X240,AN$12,$AR$11,FRM&lt;&gt;"Calypso",CCY))</f>
        <v>0</v>
      </c>
      <c r="AO240" s="882">
        <f>IF($X240=0,0,      _xll.qDateNext($X240,AO$12,$AR$11,FRM&lt;&gt;"Calypso",CCY))</f>
        <v>0</v>
      </c>
      <c r="AP240" s="882">
        <f>IF($X240=0,0,      _xll.qDateNext($X240,AP$12,$AR$11,FRM&lt;&gt;"Calypso",CCY))</f>
        <v>0</v>
      </c>
      <c r="AQ240" s="882">
        <f>IF($X240=0,0,      _xll.qDateNext($X240,AQ$12,$AR$11,FRM&lt;&gt;"Calypso",CCY))</f>
        <v>0</v>
      </c>
      <c r="AR240" s="882">
        <f>IF($X240=0,0,      _xll.qDateNext($X240,AR$12,$AR$11,FRM&lt;&gt;"Calypso",CCY))</f>
        <v>0</v>
      </c>
      <c r="AS240" s="901">
        <f ca="1"/>
        <v>0</v>
      </c>
      <c r="AT240" s="901">
        <f ca="1"/>
        <v>0</v>
      </c>
      <c r="AU240" s="901">
        <f t="shared" si="62"/>
        <v>0</v>
      </c>
      <c r="AV240" s="901">
        <f ca="1"/>
        <v>0</v>
      </c>
      <c r="AW240" s="901">
        <f t="shared" si="63"/>
        <v>0</v>
      </c>
      <c r="AX240" s="901">
        <f t="shared" si="64"/>
        <v>0</v>
      </c>
      <c r="AY240" s="901">
        <f ca="1"/>
        <v>0</v>
      </c>
      <c r="AZ240" s="901">
        <f ca="1"/>
        <v>0</v>
      </c>
      <c r="BA240" s="905">
        <f t="shared" si="53"/>
        <v>0</v>
      </c>
      <c r="BB240" s="905">
        <f t="shared" si="54"/>
        <v>0</v>
      </c>
      <c r="BC240" s="905">
        <f t="shared" si="55"/>
        <v>0</v>
      </c>
      <c r="BD240" s="905">
        <f t="shared" si="56"/>
        <v>0</v>
      </c>
      <c r="BE240" s="905">
        <f t="shared" si="57"/>
        <v>0</v>
      </c>
      <c r="BF240" s="905">
        <f t="shared" si="58"/>
        <v>0</v>
      </c>
      <c r="BG240" s="905">
        <f t="shared" si="59"/>
        <v>0</v>
      </c>
      <c r="BH240" s="905">
        <f t="shared" si="60"/>
        <v>0</v>
      </c>
      <c r="BI240" s="713">
        <v>0</v>
      </c>
      <c r="BJ240" s="695"/>
      <c r="BK240" s="752">
        <f>IF(X241=0,0,           IF(ISNUMBER(BJ240),BJ240,               IF(ISTEXT(BJ240),INDEX(BA240:BH240,MATCH(BJ240,$BA$12:$BH$12,0)),             IF(BI240="INT",_xll.qInterp(X241,AK240:AR240,BA240:BH240),            INDEX(BA240:BH240,MATCH(BI240,$BA$12:$BH$12,0))))))</f>
        <v>0</v>
      </c>
      <c r="BL240" s="389">
        <f t="shared" si="65"/>
        <v>0</v>
      </c>
      <c r="BM240" s="394">
        <f t="shared" si="66"/>
        <v>0</v>
      </c>
      <c r="BN240" s="389">
        <f t="shared" si="67"/>
        <v>0</v>
      </c>
    </row>
    <row r="241" spans="16:66">
      <c r="P241" s="714">
        <v>0</v>
      </c>
      <c r="Q241" s="715">
        <f t="shared" si="51"/>
        <v>0</v>
      </c>
      <c r="R241" s="712">
        <f>IF(P242,_xll.qDateYears(P241,P242,DCCfixed),0)</f>
        <v>0</v>
      </c>
      <c r="S241" s="519">
        <f ca="1"/>
        <v>0</v>
      </c>
      <c r="T241" s="720"/>
      <c r="U241" s="390">
        <f t="shared" si="61"/>
        <v>0</v>
      </c>
      <c r="X241" s="345">
        <v>0</v>
      </c>
      <c r="Y241" s="711">
        <f t="shared" si="52"/>
        <v>0</v>
      </c>
      <c r="Z241" s="712">
        <f>IF(X242,_xll.qDateYears(X241,X242,DCCfloat),0)</f>
        <v>0</v>
      </c>
      <c r="AA241" s="519">
        <f ca="1"/>
        <v>0</v>
      </c>
      <c r="AB241" s="890">
        <f>IF(X241=0,0,         IF(OR(CCY="AUD",CCY="NZD",CCY="GBP"),X241,   _xll.qDateNext(X241,"-2b",,,IF(CCY="EUR","TGT","LON"))))</f>
        <v>0</v>
      </c>
      <c r="AC241" s="879" t="str">
        <v/>
      </c>
      <c r="AD241" s="879" t="str">
        <v/>
      </c>
      <c r="AE241" s="879" t="str">
        <v/>
      </c>
      <c r="AF241" s="879" t="str">
        <v/>
      </c>
      <c r="AG241" s="879" t="str">
        <v/>
      </c>
      <c r="AH241" s="879" t="str">
        <v/>
      </c>
      <c r="AI241" s="879" t="str">
        <v/>
      </c>
      <c r="AJ241" s="879" t="str">
        <v/>
      </c>
      <c r="AK241" s="882">
        <f>IF($X241=0,0,      _xll.qDateNext($X241,AK$12,$AR$11,FRM&lt;&gt;"Calypso",CCY))</f>
        <v>0</v>
      </c>
      <c r="AL241" s="882">
        <f>IF($X241=0,0,      _xll.qDateNext($X241,AL$12,$AR$11,FRM&lt;&gt;"Calypso",CCY))</f>
        <v>0</v>
      </c>
      <c r="AM241" s="882">
        <f>IF($X241=0,0,      _xll.qDateNext($X241,AM$12,$AR$11,FRM&lt;&gt;"Calypso",CCY))</f>
        <v>0</v>
      </c>
      <c r="AN241" s="882">
        <f>IF($X241=0,0,      _xll.qDateNext($X241,AN$12,$AR$11,FRM&lt;&gt;"Calypso",CCY))</f>
        <v>0</v>
      </c>
      <c r="AO241" s="882">
        <f>IF($X241=0,0,      _xll.qDateNext($X241,AO$12,$AR$11,FRM&lt;&gt;"Calypso",CCY))</f>
        <v>0</v>
      </c>
      <c r="AP241" s="882">
        <f>IF($X241=0,0,      _xll.qDateNext($X241,AP$12,$AR$11,FRM&lt;&gt;"Calypso",CCY))</f>
        <v>0</v>
      </c>
      <c r="AQ241" s="882">
        <f>IF($X241=0,0,      _xll.qDateNext($X241,AQ$12,$AR$11,FRM&lt;&gt;"Calypso",CCY))</f>
        <v>0</v>
      </c>
      <c r="AR241" s="882">
        <f>IF($X241=0,0,      _xll.qDateNext($X241,AR$12,$AR$11,FRM&lt;&gt;"Calypso",CCY))</f>
        <v>0</v>
      </c>
      <c r="AS241" s="901">
        <f ca="1"/>
        <v>0</v>
      </c>
      <c r="AT241" s="901">
        <f ca="1"/>
        <v>0</v>
      </c>
      <c r="AU241" s="901">
        <f t="shared" si="62"/>
        <v>0</v>
      </c>
      <c r="AV241" s="901">
        <f ca="1"/>
        <v>0</v>
      </c>
      <c r="AW241" s="901">
        <f t="shared" si="63"/>
        <v>0</v>
      </c>
      <c r="AX241" s="901">
        <f t="shared" si="64"/>
        <v>0</v>
      </c>
      <c r="AY241" s="901">
        <f ca="1"/>
        <v>0</v>
      </c>
      <c r="AZ241" s="901">
        <f ca="1"/>
        <v>0</v>
      </c>
      <c r="BA241" s="905">
        <f t="shared" si="53"/>
        <v>0</v>
      </c>
      <c r="BB241" s="905">
        <f t="shared" si="54"/>
        <v>0</v>
      </c>
      <c r="BC241" s="905">
        <f t="shared" si="55"/>
        <v>0</v>
      </c>
      <c r="BD241" s="905">
        <f t="shared" si="56"/>
        <v>0</v>
      </c>
      <c r="BE241" s="905">
        <f t="shared" si="57"/>
        <v>0</v>
      </c>
      <c r="BF241" s="905">
        <f t="shared" si="58"/>
        <v>0</v>
      </c>
      <c r="BG241" s="905">
        <f t="shared" si="59"/>
        <v>0</v>
      </c>
      <c r="BH241" s="905">
        <f t="shared" si="60"/>
        <v>0</v>
      </c>
      <c r="BI241" s="713">
        <v>0</v>
      </c>
      <c r="BJ241" s="695"/>
      <c r="BK241" s="752">
        <f>IF(X242=0,0,           IF(ISNUMBER(BJ241),BJ241,               IF(ISTEXT(BJ241),INDEX(BA241:BH241,MATCH(BJ241,$BA$12:$BH$12,0)),             IF(BI241="INT",_xll.qInterp(X242,AK241:AR241,BA241:BH241),            INDEX(BA241:BH241,MATCH(BI241,$BA$12:$BH$12,0))))))</f>
        <v>0</v>
      </c>
      <c r="BL241" s="389">
        <f t="shared" si="65"/>
        <v>0</v>
      </c>
      <c r="BM241" s="394">
        <f t="shared" si="66"/>
        <v>0</v>
      </c>
      <c r="BN241" s="389">
        <f t="shared" si="67"/>
        <v>0</v>
      </c>
    </row>
    <row r="242" spans="16:66">
      <c r="P242" s="714">
        <v>0</v>
      </c>
      <c r="Q242" s="715">
        <f t="shared" si="51"/>
        <v>0</v>
      </c>
      <c r="R242" s="712">
        <f>IF(P243,_xll.qDateYears(P242,P243,DCCfixed),0)</f>
        <v>0</v>
      </c>
      <c r="S242" s="519">
        <f ca="1"/>
        <v>0</v>
      </c>
      <c r="T242" s="720"/>
      <c r="U242" s="390">
        <f t="shared" si="61"/>
        <v>0</v>
      </c>
      <c r="X242" s="345">
        <v>0</v>
      </c>
      <c r="Y242" s="711">
        <f t="shared" si="52"/>
        <v>0</v>
      </c>
      <c r="Z242" s="712">
        <f>IF(X243,_xll.qDateYears(X242,X243,DCCfloat),0)</f>
        <v>0</v>
      </c>
      <c r="AA242" s="519">
        <f ca="1"/>
        <v>0</v>
      </c>
      <c r="AB242" s="890">
        <f>IF(X242=0,0,         IF(OR(CCY="AUD",CCY="NZD",CCY="GBP"),X242,   _xll.qDateNext(X242,"-2b",,,IF(CCY="EUR","TGT","LON"))))</f>
        <v>0</v>
      </c>
      <c r="AC242" s="879" t="str">
        <v/>
      </c>
      <c r="AD242" s="879" t="str">
        <v/>
      </c>
      <c r="AE242" s="879" t="str">
        <v/>
      </c>
      <c r="AF242" s="879" t="str">
        <v/>
      </c>
      <c r="AG242" s="879" t="str">
        <v/>
      </c>
      <c r="AH242" s="879" t="str">
        <v/>
      </c>
      <c r="AI242" s="879" t="str">
        <v/>
      </c>
      <c r="AJ242" s="879" t="str">
        <v/>
      </c>
      <c r="AK242" s="882">
        <f>IF($X242=0,0,      _xll.qDateNext($X242,AK$12,$AR$11,FRM&lt;&gt;"Calypso",CCY))</f>
        <v>0</v>
      </c>
      <c r="AL242" s="882">
        <f>IF($X242=0,0,      _xll.qDateNext($X242,AL$12,$AR$11,FRM&lt;&gt;"Calypso",CCY))</f>
        <v>0</v>
      </c>
      <c r="AM242" s="882">
        <f>IF($X242=0,0,      _xll.qDateNext($X242,AM$12,$AR$11,FRM&lt;&gt;"Calypso",CCY))</f>
        <v>0</v>
      </c>
      <c r="AN242" s="882">
        <f>IF($X242=0,0,      _xll.qDateNext($X242,AN$12,$AR$11,FRM&lt;&gt;"Calypso",CCY))</f>
        <v>0</v>
      </c>
      <c r="AO242" s="882">
        <f>IF($X242=0,0,      _xll.qDateNext($X242,AO$12,$AR$11,FRM&lt;&gt;"Calypso",CCY))</f>
        <v>0</v>
      </c>
      <c r="AP242" s="882">
        <f>IF($X242=0,0,      _xll.qDateNext($X242,AP$12,$AR$11,FRM&lt;&gt;"Calypso",CCY))</f>
        <v>0</v>
      </c>
      <c r="AQ242" s="882">
        <f>IF($X242=0,0,      _xll.qDateNext($X242,AQ$12,$AR$11,FRM&lt;&gt;"Calypso",CCY))</f>
        <v>0</v>
      </c>
      <c r="AR242" s="882">
        <f>IF($X242=0,0,      _xll.qDateNext($X242,AR$12,$AR$11,FRM&lt;&gt;"Calypso",CCY))</f>
        <v>0</v>
      </c>
      <c r="AS242" s="901">
        <f ca="1"/>
        <v>0</v>
      </c>
      <c r="AT242" s="901">
        <f ca="1"/>
        <v>0</v>
      </c>
      <c r="AU242" s="901">
        <f t="shared" si="62"/>
        <v>0</v>
      </c>
      <c r="AV242" s="901">
        <f ca="1"/>
        <v>0</v>
      </c>
      <c r="AW242" s="901">
        <f t="shared" si="63"/>
        <v>0</v>
      </c>
      <c r="AX242" s="901">
        <f t="shared" si="64"/>
        <v>0</v>
      </c>
      <c r="AY242" s="901">
        <f ca="1"/>
        <v>0</v>
      </c>
      <c r="AZ242" s="901">
        <f ca="1"/>
        <v>0</v>
      </c>
      <c r="BA242" s="905">
        <f t="shared" si="53"/>
        <v>0</v>
      </c>
      <c r="BB242" s="905">
        <f t="shared" si="54"/>
        <v>0</v>
      </c>
      <c r="BC242" s="905">
        <f t="shared" si="55"/>
        <v>0</v>
      </c>
      <c r="BD242" s="905">
        <f t="shared" si="56"/>
        <v>0</v>
      </c>
      <c r="BE242" s="905">
        <f t="shared" si="57"/>
        <v>0</v>
      </c>
      <c r="BF242" s="905">
        <f t="shared" si="58"/>
        <v>0</v>
      </c>
      <c r="BG242" s="905">
        <f t="shared" si="59"/>
        <v>0</v>
      </c>
      <c r="BH242" s="905">
        <f t="shared" si="60"/>
        <v>0</v>
      </c>
      <c r="BI242" s="713">
        <v>0</v>
      </c>
      <c r="BJ242" s="695"/>
      <c r="BK242" s="752">
        <f>IF(X243=0,0,           IF(ISNUMBER(BJ242),BJ242,               IF(ISTEXT(BJ242),INDEX(BA242:BH242,MATCH(BJ242,$BA$12:$BH$12,0)),             IF(BI242="INT",_xll.qInterp(X243,AK242:AR242,BA242:BH242),            INDEX(BA242:BH242,MATCH(BI242,$BA$12:$BH$12,0))))))</f>
        <v>0</v>
      </c>
      <c r="BL242" s="389">
        <f t="shared" si="65"/>
        <v>0</v>
      </c>
      <c r="BM242" s="394">
        <f t="shared" si="66"/>
        <v>0</v>
      </c>
      <c r="BN242" s="389">
        <f t="shared" si="67"/>
        <v>0</v>
      </c>
    </row>
    <row r="243" spans="16:66">
      <c r="P243" s="714">
        <v>0</v>
      </c>
      <c r="Q243" s="715">
        <f t="shared" si="51"/>
        <v>0</v>
      </c>
      <c r="R243" s="712">
        <f>IF(P244,_xll.qDateYears(P243,P244,DCCfixed),0)</f>
        <v>0</v>
      </c>
      <c r="S243" s="519">
        <f ca="1"/>
        <v>0</v>
      </c>
      <c r="T243" s="720"/>
      <c r="U243" s="390">
        <f t="shared" si="61"/>
        <v>0</v>
      </c>
      <c r="X243" s="345">
        <v>0</v>
      </c>
      <c r="Y243" s="711">
        <f t="shared" si="52"/>
        <v>0</v>
      </c>
      <c r="Z243" s="712">
        <f>IF(X244,_xll.qDateYears(X243,X244,DCCfloat),0)</f>
        <v>0</v>
      </c>
      <c r="AA243" s="519">
        <f ca="1"/>
        <v>0</v>
      </c>
      <c r="AB243" s="890">
        <f>IF(X243=0,0,         IF(OR(CCY="AUD",CCY="NZD",CCY="GBP"),X243,   _xll.qDateNext(X243,"-2b",,,IF(CCY="EUR","TGT","LON"))))</f>
        <v>0</v>
      </c>
      <c r="AC243" s="879" t="str">
        <v/>
      </c>
      <c r="AD243" s="879" t="str">
        <v/>
      </c>
      <c r="AE243" s="879" t="str">
        <v/>
      </c>
      <c r="AF243" s="879" t="str">
        <v/>
      </c>
      <c r="AG243" s="879" t="str">
        <v/>
      </c>
      <c r="AH243" s="879" t="str">
        <v/>
      </c>
      <c r="AI243" s="879" t="str">
        <v/>
      </c>
      <c r="AJ243" s="879" t="str">
        <v/>
      </c>
      <c r="AK243" s="882">
        <f>IF($X243=0,0,      _xll.qDateNext($X243,AK$12,$AR$11,FRM&lt;&gt;"Calypso",CCY))</f>
        <v>0</v>
      </c>
      <c r="AL243" s="882">
        <f>IF($X243=0,0,      _xll.qDateNext($X243,AL$12,$AR$11,FRM&lt;&gt;"Calypso",CCY))</f>
        <v>0</v>
      </c>
      <c r="AM243" s="882">
        <f>IF($X243=0,0,      _xll.qDateNext($X243,AM$12,$AR$11,FRM&lt;&gt;"Calypso",CCY))</f>
        <v>0</v>
      </c>
      <c r="AN243" s="882">
        <f>IF($X243=0,0,      _xll.qDateNext($X243,AN$12,$AR$11,FRM&lt;&gt;"Calypso",CCY))</f>
        <v>0</v>
      </c>
      <c r="AO243" s="882">
        <f>IF($X243=0,0,      _xll.qDateNext($X243,AO$12,$AR$11,FRM&lt;&gt;"Calypso",CCY))</f>
        <v>0</v>
      </c>
      <c r="AP243" s="882">
        <f>IF($X243=0,0,      _xll.qDateNext($X243,AP$12,$AR$11,FRM&lt;&gt;"Calypso",CCY))</f>
        <v>0</v>
      </c>
      <c r="AQ243" s="882">
        <f>IF($X243=0,0,      _xll.qDateNext($X243,AQ$12,$AR$11,FRM&lt;&gt;"Calypso",CCY))</f>
        <v>0</v>
      </c>
      <c r="AR243" s="882">
        <f>IF($X243=0,0,      _xll.qDateNext($X243,AR$12,$AR$11,FRM&lt;&gt;"Calypso",CCY))</f>
        <v>0</v>
      </c>
      <c r="AS243" s="901">
        <f ca="1"/>
        <v>0</v>
      </c>
      <c r="AT243" s="901">
        <f ca="1"/>
        <v>0</v>
      </c>
      <c r="AU243" s="901">
        <f t="shared" si="62"/>
        <v>0</v>
      </c>
      <c r="AV243" s="901">
        <f ca="1"/>
        <v>0</v>
      </c>
      <c r="AW243" s="901">
        <f t="shared" si="63"/>
        <v>0</v>
      </c>
      <c r="AX243" s="901">
        <f t="shared" si="64"/>
        <v>0</v>
      </c>
      <c r="AY243" s="901">
        <f ca="1"/>
        <v>0</v>
      </c>
      <c r="AZ243" s="901">
        <f ca="1"/>
        <v>0</v>
      </c>
      <c r="BA243" s="905">
        <f t="shared" si="53"/>
        <v>0</v>
      </c>
      <c r="BB243" s="905">
        <f t="shared" si="54"/>
        <v>0</v>
      </c>
      <c r="BC243" s="905">
        <f t="shared" si="55"/>
        <v>0</v>
      </c>
      <c r="BD243" s="905">
        <f t="shared" si="56"/>
        <v>0</v>
      </c>
      <c r="BE243" s="905">
        <f t="shared" si="57"/>
        <v>0</v>
      </c>
      <c r="BF243" s="905">
        <f t="shared" si="58"/>
        <v>0</v>
      </c>
      <c r="BG243" s="905">
        <f t="shared" si="59"/>
        <v>0</v>
      </c>
      <c r="BH243" s="905">
        <f t="shared" si="60"/>
        <v>0</v>
      </c>
      <c r="BI243" s="713">
        <v>0</v>
      </c>
      <c r="BJ243" s="695"/>
      <c r="BK243" s="752">
        <f>IF(X244=0,0,           IF(ISNUMBER(BJ243),BJ243,               IF(ISTEXT(BJ243),INDEX(BA243:BH243,MATCH(BJ243,$BA$12:$BH$12,0)),             IF(BI243="INT",_xll.qInterp(X244,AK243:AR243,BA243:BH243),            INDEX(BA243:BH243,MATCH(BI243,$BA$12:$BH$12,0))))))</f>
        <v>0</v>
      </c>
      <c r="BL243" s="389">
        <f t="shared" si="65"/>
        <v>0</v>
      </c>
      <c r="BM243" s="394">
        <f t="shared" si="66"/>
        <v>0</v>
      </c>
      <c r="BN243" s="389">
        <f t="shared" si="67"/>
        <v>0</v>
      </c>
    </row>
    <row r="244" spans="16:66">
      <c r="P244" s="714">
        <v>0</v>
      </c>
      <c r="Q244" s="715">
        <f t="shared" si="51"/>
        <v>0</v>
      </c>
      <c r="R244" s="712">
        <f>IF(P245,_xll.qDateYears(P244,P245,DCCfixed),0)</f>
        <v>0</v>
      </c>
      <c r="S244" s="519">
        <f ca="1"/>
        <v>0</v>
      </c>
      <c r="T244" s="720"/>
      <c r="U244" s="390">
        <f t="shared" si="61"/>
        <v>0</v>
      </c>
      <c r="X244" s="345">
        <v>0</v>
      </c>
      <c r="Y244" s="711">
        <f t="shared" si="52"/>
        <v>0</v>
      </c>
      <c r="Z244" s="712">
        <f>IF(X245,_xll.qDateYears(X244,X245,DCCfloat),0)</f>
        <v>0</v>
      </c>
      <c r="AA244" s="519">
        <f ca="1"/>
        <v>0</v>
      </c>
      <c r="AB244" s="890">
        <f>IF(X244=0,0,         IF(OR(CCY="AUD",CCY="NZD",CCY="GBP"),X244,   _xll.qDateNext(X244,"-2b",,,IF(CCY="EUR","TGT","LON"))))</f>
        <v>0</v>
      </c>
      <c r="AC244" s="879" t="str">
        <v/>
      </c>
      <c r="AD244" s="879" t="str">
        <v/>
      </c>
      <c r="AE244" s="879" t="str">
        <v/>
      </c>
      <c r="AF244" s="879" t="str">
        <v/>
      </c>
      <c r="AG244" s="879" t="str">
        <v/>
      </c>
      <c r="AH244" s="879" t="str">
        <v/>
      </c>
      <c r="AI244" s="879" t="str">
        <v/>
      </c>
      <c r="AJ244" s="879" t="str">
        <v/>
      </c>
      <c r="AK244" s="882">
        <f>IF($X244=0,0,      _xll.qDateNext($X244,AK$12,$AR$11,FRM&lt;&gt;"Calypso",CCY))</f>
        <v>0</v>
      </c>
      <c r="AL244" s="882">
        <f>IF($X244=0,0,      _xll.qDateNext($X244,AL$12,$AR$11,FRM&lt;&gt;"Calypso",CCY))</f>
        <v>0</v>
      </c>
      <c r="AM244" s="882">
        <f>IF($X244=0,0,      _xll.qDateNext($X244,AM$12,$AR$11,FRM&lt;&gt;"Calypso",CCY))</f>
        <v>0</v>
      </c>
      <c r="AN244" s="882">
        <f>IF($X244=0,0,      _xll.qDateNext($X244,AN$12,$AR$11,FRM&lt;&gt;"Calypso",CCY))</f>
        <v>0</v>
      </c>
      <c r="AO244" s="882">
        <f>IF($X244=0,0,      _xll.qDateNext($X244,AO$12,$AR$11,FRM&lt;&gt;"Calypso",CCY))</f>
        <v>0</v>
      </c>
      <c r="AP244" s="882">
        <f>IF($X244=0,0,      _xll.qDateNext($X244,AP$12,$AR$11,FRM&lt;&gt;"Calypso",CCY))</f>
        <v>0</v>
      </c>
      <c r="AQ244" s="882">
        <f>IF($X244=0,0,      _xll.qDateNext($X244,AQ$12,$AR$11,FRM&lt;&gt;"Calypso",CCY))</f>
        <v>0</v>
      </c>
      <c r="AR244" s="882">
        <f>IF($X244=0,0,      _xll.qDateNext($X244,AR$12,$AR$11,FRM&lt;&gt;"Calypso",CCY))</f>
        <v>0</v>
      </c>
      <c r="AS244" s="901">
        <f ca="1"/>
        <v>0</v>
      </c>
      <c r="AT244" s="901">
        <f ca="1"/>
        <v>0</v>
      </c>
      <c r="AU244" s="901">
        <f t="shared" si="62"/>
        <v>0</v>
      </c>
      <c r="AV244" s="901">
        <f ca="1"/>
        <v>0</v>
      </c>
      <c r="AW244" s="901">
        <f t="shared" si="63"/>
        <v>0</v>
      </c>
      <c r="AX244" s="901">
        <f t="shared" si="64"/>
        <v>0</v>
      </c>
      <c r="AY244" s="901">
        <f ca="1"/>
        <v>0</v>
      </c>
      <c r="AZ244" s="901">
        <f ca="1"/>
        <v>0</v>
      </c>
      <c r="BA244" s="905">
        <f t="shared" si="53"/>
        <v>0</v>
      </c>
      <c r="BB244" s="905">
        <f t="shared" si="54"/>
        <v>0</v>
      </c>
      <c r="BC244" s="905">
        <f t="shared" si="55"/>
        <v>0</v>
      </c>
      <c r="BD244" s="905">
        <f t="shared" si="56"/>
        <v>0</v>
      </c>
      <c r="BE244" s="905">
        <f t="shared" si="57"/>
        <v>0</v>
      </c>
      <c r="BF244" s="905">
        <f t="shared" si="58"/>
        <v>0</v>
      </c>
      <c r="BG244" s="905">
        <f t="shared" si="59"/>
        <v>0</v>
      </c>
      <c r="BH244" s="905">
        <f t="shared" si="60"/>
        <v>0</v>
      </c>
      <c r="BI244" s="713">
        <v>0</v>
      </c>
      <c r="BJ244" s="695"/>
      <c r="BK244" s="752">
        <f>IF(X245=0,0,           IF(ISNUMBER(BJ244),BJ244,               IF(ISTEXT(BJ244),INDEX(BA244:BH244,MATCH(BJ244,$BA$12:$BH$12,0)),             IF(BI244="INT",_xll.qInterp(X245,AK244:AR244,BA244:BH244),            INDEX(BA244:BH244,MATCH(BI244,$BA$12:$BH$12,0))))))</f>
        <v>0</v>
      </c>
      <c r="BL244" s="389">
        <f t="shared" si="65"/>
        <v>0</v>
      </c>
      <c r="BM244" s="394">
        <f t="shared" si="66"/>
        <v>0</v>
      </c>
      <c r="BN244" s="389">
        <f t="shared" si="67"/>
        <v>0</v>
      </c>
    </row>
    <row r="245" spans="16:66">
      <c r="P245" s="714">
        <v>0</v>
      </c>
      <c r="Q245" s="715">
        <f t="shared" si="51"/>
        <v>0</v>
      </c>
      <c r="R245" s="712">
        <f>IF(P246,_xll.qDateYears(P245,P246,DCCfixed),0)</f>
        <v>0</v>
      </c>
      <c r="S245" s="519">
        <f ca="1"/>
        <v>0</v>
      </c>
      <c r="T245" s="720"/>
      <c r="U245" s="390">
        <f t="shared" si="61"/>
        <v>0</v>
      </c>
      <c r="X245" s="345">
        <v>0</v>
      </c>
      <c r="Y245" s="711">
        <f t="shared" si="52"/>
        <v>0</v>
      </c>
      <c r="Z245" s="712">
        <f>IF(X246,_xll.qDateYears(X245,X246,DCCfloat),0)</f>
        <v>0</v>
      </c>
      <c r="AA245" s="519">
        <f ca="1"/>
        <v>0</v>
      </c>
      <c r="AB245" s="890">
        <f>IF(X245=0,0,         IF(OR(CCY="AUD",CCY="NZD",CCY="GBP"),X245,   _xll.qDateNext(X245,"-2b",,,IF(CCY="EUR","TGT","LON"))))</f>
        <v>0</v>
      </c>
      <c r="AC245" s="879" t="str">
        <v/>
      </c>
      <c r="AD245" s="879" t="str">
        <v/>
      </c>
      <c r="AE245" s="879" t="str">
        <v/>
      </c>
      <c r="AF245" s="879" t="str">
        <v/>
      </c>
      <c r="AG245" s="879" t="str">
        <v/>
      </c>
      <c r="AH245" s="879" t="str">
        <v/>
      </c>
      <c r="AI245" s="879" t="str">
        <v/>
      </c>
      <c r="AJ245" s="879" t="str">
        <v/>
      </c>
      <c r="AK245" s="882">
        <f>IF($X245=0,0,      _xll.qDateNext($X245,AK$12,$AR$11,FRM&lt;&gt;"Calypso",CCY))</f>
        <v>0</v>
      </c>
      <c r="AL245" s="882">
        <f>IF($X245=0,0,      _xll.qDateNext($X245,AL$12,$AR$11,FRM&lt;&gt;"Calypso",CCY))</f>
        <v>0</v>
      </c>
      <c r="AM245" s="882">
        <f>IF($X245=0,0,      _xll.qDateNext($X245,AM$12,$AR$11,FRM&lt;&gt;"Calypso",CCY))</f>
        <v>0</v>
      </c>
      <c r="AN245" s="882">
        <f>IF($X245=0,0,      _xll.qDateNext($X245,AN$12,$AR$11,FRM&lt;&gt;"Calypso",CCY))</f>
        <v>0</v>
      </c>
      <c r="AO245" s="882">
        <f>IF($X245=0,0,      _xll.qDateNext($X245,AO$12,$AR$11,FRM&lt;&gt;"Calypso",CCY))</f>
        <v>0</v>
      </c>
      <c r="AP245" s="882">
        <f>IF($X245=0,0,      _xll.qDateNext($X245,AP$12,$AR$11,FRM&lt;&gt;"Calypso",CCY))</f>
        <v>0</v>
      </c>
      <c r="AQ245" s="882">
        <f>IF($X245=0,0,      _xll.qDateNext($X245,AQ$12,$AR$11,FRM&lt;&gt;"Calypso",CCY))</f>
        <v>0</v>
      </c>
      <c r="AR245" s="882">
        <f>IF($X245=0,0,      _xll.qDateNext($X245,AR$12,$AR$11,FRM&lt;&gt;"Calypso",CCY))</f>
        <v>0</v>
      </c>
      <c r="AS245" s="901">
        <f ca="1"/>
        <v>0</v>
      </c>
      <c r="AT245" s="901">
        <f ca="1"/>
        <v>0</v>
      </c>
      <c r="AU245" s="901">
        <f t="shared" si="62"/>
        <v>0</v>
      </c>
      <c r="AV245" s="901">
        <f ca="1"/>
        <v>0</v>
      </c>
      <c r="AW245" s="901">
        <f t="shared" si="63"/>
        <v>0</v>
      </c>
      <c r="AX245" s="901">
        <f t="shared" si="64"/>
        <v>0</v>
      </c>
      <c r="AY245" s="901">
        <f ca="1"/>
        <v>0</v>
      </c>
      <c r="AZ245" s="901">
        <f ca="1"/>
        <v>0</v>
      </c>
      <c r="BA245" s="905">
        <f t="shared" si="53"/>
        <v>0</v>
      </c>
      <c r="BB245" s="905">
        <f t="shared" si="54"/>
        <v>0</v>
      </c>
      <c r="BC245" s="905">
        <f t="shared" si="55"/>
        <v>0</v>
      </c>
      <c r="BD245" s="905">
        <f t="shared" si="56"/>
        <v>0</v>
      </c>
      <c r="BE245" s="905">
        <f t="shared" si="57"/>
        <v>0</v>
      </c>
      <c r="BF245" s="905">
        <f t="shared" si="58"/>
        <v>0</v>
      </c>
      <c r="BG245" s="905">
        <f t="shared" si="59"/>
        <v>0</v>
      </c>
      <c r="BH245" s="905">
        <f t="shared" si="60"/>
        <v>0</v>
      </c>
      <c r="BI245" s="713">
        <v>0</v>
      </c>
      <c r="BJ245" s="695"/>
      <c r="BK245" s="752">
        <f>IF(X246=0,0,           IF(ISNUMBER(BJ245),BJ245,               IF(ISTEXT(BJ245),INDEX(BA245:BH245,MATCH(BJ245,$BA$12:$BH$12,0)),             IF(BI245="INT",_xll.qInterp(X246,AK245:AR245,BA245:BH245),            INDEX(BA245:BH245,MATCH(BI245,$BA$12:$BH$12,0))))))</f>
        <v>0</v>
      </c>
      <c r="BL245" s="389">
        <f t="shared" si="65"/>
        <v>0</v>
      </c>
      <c r="BM245" s="394">
        <f t="shared" si="66"/>
        <v>0</v>
      </c>
      <c r="BN245" s="389">
        <f t="shared" si="67"/>
        <v>0</v>
      </c>
    </row>
    <row r="246" spans="16:66">
      <c r="P246" s="714">
        <v>0</v>
      </c>
      <c r="Q246" s="715">
        <f t="shared" si="51"/>
        <v>0</v>
      </c>
      <c r="R246" s="712">
        <f>IF(P247,_xll.qDateYears(P246,P247,DCCfixed),0)</f>
        <v>0</v>
      </c>
      <c r="S246" s="519">
        <f ca="1"/>
        <v>0</v>
      </c>
      <c r="T246" s="720"/>
      <c r="U246" s="390">
        <f t="shared" si="61"/>
        <v>0</v>
      </c>
      <c r="X246" s="345">
        <v>0</v>
      </c>
      <c r="Y246" s="711">
        <f t="shared" si="52"/>
        <v>0</v>
      </c>
      <c r="Z246" s="712">
        <f>IF(X247,_xll.qDateYears(X246,X247,DCCfloat),0)</f>
        <v>0</v>
      </c>
      <c r="AA246" s="519">
        <f ca="1"/>
        <v>0</v>
      </c>
      <c r="AB246" s="890">
        <f>IF(X246=0,0,         IF(OR(CCY="AUD",CCY="NZD",CCY="GBP"),X246,   _xll.qDateNext(X246,"-2b",,,IF(CCY="EUR","TGT","LON"))))</f>
        <v>0</v>
      </c>
      <c r="AC246" s="879" t="str">
        <v/>
      </c>
      <c r="AD246" s="879" t="str">
        <v/>
      </c>
      <c r="AE246" s="879" t="str">
        <v/>
      </c>
      <c r="AF246" s="879" t="str">
        <v/>
      </c>
      <c r="AG246" s="879" t="str">
        <v/>
      </c>
      <c r="AH246" s="879" t="str">
        <v/>
      </c>
      <c r="AI246" s="879" t="str">
        <v/>
      </c>
      <c r="AJ246" s="879" t="str">
        <v/>
      </c>
      <c r="AK246" s="882">
        <f>IF($X246=0,0,      _xll.qDateNext($X246,AK$12,$AR$11,FRM&lt;&gt;"Calypso",CCY))</f>
        <v>0</v>
      </c>
      <c r="AL246" s="882">
        <f>IF($X246=0,0,      _xll.qDateNext($X246,AL$12,$AR$11,FRM&lt;&gt;"Calypso",CCY))</f>
        <v>0</v>
      </c>
      <c r="AM246" s="882">
        <f>IF($X246=0,0,      _xll.qDateNext($X246,AM$12,$AR$11,FRM&lt;&gt;"Calypso",CCY))</f>
        <v>0</v>
      </c>
      <c r="AN246" s="882">
        <f>IF($X246=0,0,      _xll.qDateNext($X246,AN$12,$AR$11,FRM&lt;&gt;"Calypso",CCY))</f>
        <v>0</v>
      </c>
      <c r="AO246" s="882">
        <f>IF($X246=0,0,      _xll.qDateNext($X246,AO$12,$AR$11,FRM&lt;&gt;"Calypso",CCY))</f>
        <v>0</v>
      </c>
      <c r="AP246" s="882">
        <f>IF($X246=0,0,      _xll.qDateNext($X246,AP$12,$AR$11,FRM&lt;&gt;"Calypso",CCY))</f>
        <v>0</v>
      </c>
      <c r="AQ246" s="882">
        <f>IF($X246=0,0,      _xll.qDateNext($X246,AQ$12,$AR$11,FRM&lt;&gt;"Calypso",CCY))</f>
        <v>0</v>
      </c>
      <c r="AR246" s="882">
        <f>IF($X246=0,0,      _xll.qDateNext($X246,AR$12,$AR$11,FRM&lt;&gt;"Calypso",CCY))</f>
        <v>0</v>
      </c>
      <c r="AS246" s="901">
        <f ca="1"/>
        <v>0</v>
      </c>
      <c r="AT246" s="901">
        <f ca="1"/>
        <v>0</v>
      </c>
      <c r="AU246" s="901">
        <f t="shared" si="62"/>
        <v>0</v>
      </c>
      <c r="AV246" s="901">
        <f ca="1"/>
        <v>0</v>
      </c>
      <c r="AW246" s="901">
        <f t="shared" si="63"/>
        <v>0</v>
      </c>
      <c r="AX246" s="901">
        <f t="shared" si="64"/>
        <v>0</v>
      </c>
      <c r="AY246" s="901">
        <f ca="1"/>
        <v>0</v>
      </c>
      <c r="AZ246" s="901">
        <f ca="1"/>
        <v>0</v>
      </c>
      <c r="BA246" s="905">
        <f t="shared" si="53"/>
        <v>0</v>
      </c>
      <c r="BB246" s="905">
        <f t="shared" si="54"/>
        <v>0</v>
      </c>
      <c r="BC246" s="905">
        <f t="shared" si="55"/>
        <v>0</v>
      </c>
      <c r="BD246" s="905">
        <f t="shared" si="56"/>
        <v>0</v>
      </c>
      <c r="BE246" s="905">
        <f t="shared" si="57"/>
        <v>0</v>
      </c>
      <c r="BF246" s="905">
        <f t="shared" si="58"/>
        <v>0</v>
      </c>
      <c r="BG246" s="905">
        <f t="shared" si="59"/>
        <v>0</v>
      </c>
      <c r="BH246" s="905">
        <f t="shared" si="60"/>
        <v>0</v>
      </c>
      <c r="BI246" s="713">
        <v>0</v>
      </c>
      <c r="BJ246" s="695"/>
      <c r="BK246" s="752">
        <f>IF(X247=0,0,           IF(ISNUMBER(BJ246),BJ246,               IF(ISTEXT(BJ246),INDEX(BA246:BH246,MATCH(BJ246,$BA$12:$BH$12,0)),             IF(BI246="INT",_xll.qInterp(X247,AK246:AR246,BA246:BH246),            INDEX(BA246:BH246,MATCH(BI246,$BA$12:$BH$12,0))))))</f>
        <v>0</v>
      </c>
      <c r="BL246" s="389">
        <f t="shared" si="65"/>
        <v>0</v>
      </c>
      <c r="BM246" s="394">
        <f t="shared" si="66"/>
        <v>0</v>
      </c>
      <c r="BN246" s="389">
        <f t="shared" si="67"/>
        <v>0</v>
      </c>
    </row>
    <row r="247" spans="16:66">
      <c r="P247" s="714">
        <v>0</v>
      </c>
      <c r="Q247" s="715">
        <f t="shared" si="51"/>
        <v>0</v>
      </c>
      <c r="R247" s="712">
        <f>IF(P248,_xll.qDateYears(P247,P248,DCCfixed),0)</f>
        <v>0</v>
      </c>
      <c r="S247" s="519">
        <f ca="1"/>
        <v>0</v>
      </c>
      <c r="T247" s="720"/>
      <c r="U247" s="390">
        <f t="shared" si="61"/>
        <v>0</v>
      </c>
      <c r="X247" s="345">
        <v>0</v>
      </c>
      <c r="Y247" s="711">
        <f t="shared" si="52"/>
        <v>0</v>
      </c>
      <c r="Z247" s="712">
        <f>IF(X248,_xll.qDateYears(X247,X248,DCCfloat),0)</f>
        <v>0</v>
      </c>
      <c r="AA247" s="519">
        <f ca="1"/>
        <v>0</v>
      </c>
      <c r="AB247" s="890">
        <f>IF(X247=0,0,         IF(OR(CCY="AUD",CCY="NZD",CCY="GBP"),X247,   _xll.qDateNext(X247,"-2b",,,IF(CCY="EUR","TGT","LON"))))</f>
        <v>0</v>
      </c>
      <c r="AC247" s="879" t="str">
        <v/>
      </c>
      <c r="AD247" s="879" t="str">
        <v/>
      </c>
      <c r="AE247" s="879" t="str">
        <v/>
      </c>
      <c r="AF247" s="879" t="str">
        <v/>
      </c>
      <c r="AG247" s="879" t="str">
        <v/>
      </c>
      <c r="AH247" s="879" t="str">
        <v/>
      </c>
      <c r="AI247" s="879" t="str">
        <v/>
      </c>
      <c r="AJ247" s="879" t="str">
        <v/>
      </c>
      <c r="AK247" s="882">
        <f>IF($X247=0,0,      _xll.qDateNext($X247,AK$12,$AR$11,FRM&lt;&gt;"Calypso",CCY))</f>
        <v>0</v>
      </c>
      <c r="AL247" s="882">
        <f>IF($X247=0,0,      _xll.qDateNext($X247,AL$12,$AR$11,FRM&lt;&gt;"Calypso",CCY))</f>
        <v>0</v>
      </c>
      <c r="AM247" s="882">
        <f>IF($X247=0,0,      _xll.qDateNext($X247,AM$12,$AR$11,FRM&lt;&gt;"Calypso",CCY))</f>
        <v>0</v>
      </c>
      <c r="AN247" s="882">
        <f>IF($X247=0,0,      _xll.qDateNext($X247,AN$12,$AR$11,FRM&lt;&gt;"Calypso",CCY))</f>
        <v>0</v>
      </c>
      <c r="AO247" s="882">
        <f>IF($X247=0,0,      _xll.qDateNext($X247,AO$12,$AR$11,FRM&lt;&gt;"Calypso",CCY))</f>
        <v>0</v>
      </c>
      <c r="AP247" s="882">
        <f>IF($X247=0,0,      _xll.qDateNext($X247,AP$12,$AR$11,FRM&lt;&gt;"Calypso",CCY))</f>
        <v>0</v>
      </c>
      <c r="AQ247" s="882">
        <f>IF($X247=0,0,      _xll.qDateNext($X247,AQ$12,$AR$11,FRM&lt;&gt;"Calypso",CCY))</f>
        <v>0</v>
      </c>
      <c r="AR247" s="882">
        <f>IF($X247=0,0,      _xll.qDateNext($X247,AR$12,$AR$11,FRM&lt;&gt;"Calypso",CCY))</f>
        <v>0</v>
      </c>
      <c r="AS247" s="901">
        <f ca="1"/>
        <v>0</v>
      </c>
      <c r="AT247" s="901">
        <f ca="1"/>
        <v>0</v>
      </c>
      <c r="AU247" s="901">
        <f t="shared" si="62"/>
        <v>0</v>
      </c>
      <c r="AV247" s="901">
        <f ca="1"/>
        <v>0</v>
      </c>
      <c r="AW247" s="901">
        <f t="shared" si="63"/>
        <v>0</v>
      </c>
      <c r="AX247" s="901">
        <f t="shared" si="64"/>
        <v>0</v>
      </c>
      <c r="AY247" s="901">
        <f ca="1"/>
        <v>0</v>
      </c>
      <c r="AZ247" s="901">
        <f ca="1"/>
        <v>0</v>
      </c>
      <c r="BA247" s="905">
        <f t="shared" si="53"/>
        <v>0</v>
      </c>
      <c r="BB247" s="905">
        <f t="shared" si="54"/>
        <v>0</v>
      </c>
      <c r="BC247" s="905">
        <f t="shared" si="55"/>
        <v>0</v>
      </c>
      <c r="BD247" s="905">
        <f t="shared" si="56"/>
        <v>0</v>
      </c>
      <c r="BE247" s="905">
        <f t="shared" si="57"/>
        <v>0</v>
      </c>
      <c r="BF247" s="905">
        <f t="shared" si="58"/>
        <v>0</v>
      </c>
      <c r="BG247" s="905">
        <f t="shared" si="59"/>
        <v>0</v>
      </c>
      <c r="BH247" s="905">
        <f t="shared" si="60"/>
        <v>0</v>
      </c>
      <c r="BI247" s="713">
        <v>0</v>
      </c>
      <c r="BJ247" s="695"/>
      <c r="BK247" s="752">
        <f>IF(X248=0,0,           IF(ISNUMBER(BJ247),BJ247,               IF(ISTEXT(BJ247),INDEX(BA247:BH247,MATCH(BJ247,$BA$12:$BH$12,0)),             IF(BI247="INT",_xll.qInterp(X248,AK247:AR247,BA247:BH247),            INDEX(BA247:BH247,MATCH(BI247,$BA$12:$BH$12,0))))))</f>
        <v>0</v>
      </c>
      <c r="BL247" s="389">
        <f t="shared" si="65"/>
        <v>0</v>
      </c>
      <c r="BM247" s="394">
        <f t="shared" si="66"/>
        <v>0</v>
      </c>
      <c r="BN247" s="389">
        <f t="shared" si="67"/>
        <v>0</v>
      </c>
    </row>
    <row r="248" spans="16:66">
      <c r="P248" s="714">
        <v>0</v>
      </c>
      <c r="Q248" s="715">
        <f t="shared" si="51"/>
        <v>0</v>
      </c>
      <c r="R248" s="712">
        <f>IF(P249,_xll.qDateYears(P248,P249,DCCfixed),0)</f>
        <v>0</v>
      </c>
      <c r="S248" s="519">
        <f ca="1"/>
        <v>0</v>
      </c>
      <c r="T248" s="720"/>
      <c r="U248" s="390">
        <f t="shared" si="61"/>
        <v>0</v>
      </c>
      <c r="X248" s="345">
        <v>0</v>
      </c>
      <c r="Y248" s="711">
        <f t="shared" si="52"/>
        <v>0</v>
      </c>
      <c r="Z248" s="712">
        <f>IF(X249,_xll.qDateYears(X248,X249,DCCfloat),0)</f>
        <v>0</v>
      </c>
      <c r="AA248" s="519">
        <f ca="1"/>
        <v>0</v>
      </c>
      <c r="AB248" s="890">
        <f>IF(X248=0,0,         IF(OR(CCY="AUD",CCY="NZD",CCY="GBP"),X248,   _xll.qDateNext(X248,"-2b",,,IF(CCY="EUR","TGT","LON"))))</f>
        <v>0</v>
      </c>
      <c r="AC248" s="879" t="str">
        <v/>
      </c>
      <c r="AD248" s="879" t="str">
        <v/>
      </c>
      <c r="AE248" s="879" t="str">
        <v/>
      </c>
      <c r="AF248" s="879" t="str">
        <v/>
      </c>
      <c r="AG248" s="879" t="str">
        <v/>
      </c>
      <c r="AH248" s="879" t="str">
        <v/>
      </c>
      <c r="AI248" s="879" t="str">
        <v/>
      </c>
      <c r="AJ248" s="879" t="str">
        <v/>
      </c>
      <c r="AK248" s="882">
        <f>IF($X248=0,0,      _xll.qDateNext($X248,AK$12,$AR$11,FRM&lt;&gt;"Calypso",CCY))</f>
        <v>0</v>
      </c>
      <c r="AL248" s="882">
        <f>IF($X248=0,0,      _xll.qDateNext($X248,AL$12,$AR$11,FRM&lt;&gt;"Calypso",CCY))</f>
        <v>0</v>
      </c>
      <c r="AM248" s="882">
        <f>IF($X248=0,0,      _xll.qDateNext($X248,AM$12,$AR$11,FRM&lt;&gt;"Calypso",CCY))</f>
        <v>0</v>
      </c>
      <c r="AN248" s="882">
        <f>IF($X248=0,0,      _xll.qDateNext($X248,AN$12,$AR$11,FRM&lt;&gt;"Calypso",CCY))</f>
        <v>0</v>
      </c>
      <c r="AO248" s="882">
        <f>IF($X248=0,0,      _xll.qDateNext($X248,AO$12,$AR$11,FRM&lt;&gt;"Calypso",CCY))</f>
        <v>0</v>
      </c>
      <c r="AP248" s="882">
        <f>IF($X248=0,0,      _xll.qDateNext($X248,AP$12,$AR$11,FRM&lt;&gt;"Calypso",CCY))</f>
        <v>0</v>
      </c>
      <c r="AQ248" s="882">
        <f>IF($X248=0,0,      _xll.qDateNext($X248,AQ$12,$AR$11,FRM&lt;&gt;"Calypso",CCY))</f>
        <v>0</v>
      </c>
      <c r="AR248" s="882">
        <f>IF($X248=0,0,      _xll.qDateNext($X248,AR$12,$AR$11,FRM&lt;&gt;"Calypso",CCY))</f>
        <v>0</v>
      </c>
      <c r="AS248" s="901">
        <f ca="1"/>
        <v>0</v>
      </c>
      <c r="AT248" s="901">
        <f ca="1"/>
        <v>0</v>
      </c>
      <c r="AU248" s="901">
        <f t="shared" si="62"/>
        <v>0</v>
      </c>
      <c r="AV248" s="901">
        <f ca="1"/>
        <v>0</v>
      </c>
      <c r="AW248" s="901">
        <f t="shared" si="63"/>
        <v>0</v>
      </c>
      <c r="AX248" s="901">
        <f t="shared" si="64"/>
        <v>0</v>
      </c>
      <c r="AY248" s="901">
        <f ca="1"/>
        <v>0</v>
      </c>
      <c r="AZ248" s="901">
        <f ca="1"/>
        <v>0</v>
      </c>
      <c r="BA248" s="905">
        <f t="shared" si="53"/>
        <v>0</v>
      </c>
      <c r="BB248" s="905">
        <f t="shared" si="54"/>
        <v>0</v>
      </c>
      <c r="BC248" s="905">
        <f t="shared" si="55"/>
        <v>0</v>
      </c>
      <c r="BD248" s="905">
        <f t="shared" si="56"/>
        <v>0</v>
      </c>
      <c r="BE248" s="905">
        <f t="shared" si="57"/>
        <v>0</v>
      </c>
      <c r="BF248" s="905">
        <f t="shared" si="58"/>
        <v>0</v>
      </c>
      <c r="BG248" s="905">
        <f t="shared" si="59"/>
        <v>0</v>
      </c>
      <c r="BH248" s="905">
        <f t="shared" si="60"/>
        <v>0</v>
      </c>
      <c r="BI248" s="713">
        <v>0</v>
      </c>
      <c r="BJ248" s="695"/>
      <c r="BK248" s="752">
        <f>IF(X249=0,0,           IF(ISNUMBER(BJ248),BJ248,               IF(ISTEXT(BJ248),INDEX(BA248:BH248,MATCH(BJ248,$BA$12:$BH$12,0)),             IF(BI248="INT",_xll.qInterp(X249,AK248:AR248,BA248:BH248),            INDEX(BA248:BH248,MATCH(BI248,$BA$12:$BH$12,0))))))</f>
        <v>0</v>
      </c>
      <c r="BL248" s="389">
        <f t="shared" si="65"/>
        <v>0</v>
      </c>
      <c r="BM248" s="394">
        <f t="shared" si="66"/>
        <v>0</v>
      </c>
      <c r="BN248" s="389">
        <f t="shared" si="67"/>
        <v>0</v>
      </c>
    </row>
    <row r="249" spans="16:66">
      <c r="P249" s="714">
        <v>0</v>
      </c>
      <c r="Q249" s="715">
        <f t="shared" si="51"/>
        <v>0</v>
      </c>
      <c r="R249" s="712">
        <f>IF(P250,_xll.qDateYears(P249,P250,DCCfixed),0)</f>
        <v>0</v>
      </c>
      <c r="S249" s="519">
        <f ca="1"/>
        <v>0</v>
      </c>
      <c r="T249" s="720"/>
      <c r="U249" s="390">
        <f t="shared" si="61"/>
        <v>0</v>
      </c>
      <c r="X249" s="345">
        <v>0</v>
      </c>
      <c r="Y249" s="711">
        <f t="shared" si="52"/>
        <v>0</v>
      </c>
      <c r="Z249" s="712">
        <f>IF(X250,_xll.qDateYears(X249,X250,DCCfloat),0)</f>
        <v>0</v>
      </c>
      <c r="AA249" s="519">
        <f ca="1"/>
        <v>0</v>
      </c>
      <c r="AB249" s="890">
        <f>IF(X249=0,0,         IF(OR(CCY="AUD",CCY="NZD",CCY="GBP"),X249,   _xll.qDateNext(X249,"-2b",,,IF(CCY="EUR","TGT","LON"))))</f>
        <v>0</v>
      </c>
      <c r="AC249" s="879" t="str">
        <v/>
      </c>
      <c r="AD249" s="879" t="str">
        <v/>
      </c>
      <c r="AE249" s="879" t="str">
        <v/>
      </c>
      <c r="AF249" s="879" t="str">
        <v/>
      </c>
      <c r="AG249" s="879" t="str">
        <v/>
      </c>
      <c r="AH249" s="879" t="str">
        <v/>
      </c>
      <c r="AI249" s="879" t="str">
        <v/>
      </c>
      <c r="AJ249" s="879" t="str">
        <v/>
      </c>
      <c r="AK249" s="882">
        <f>IF($X249=0,0,      _xll.qDateNext($X249,AK$12,$AR$11,FRM&lt;&gt;"Calypso",CCY))</f>
        <v>0</v>
      </c>
      <c r="AL249" s="882">
        <f>IF($X249=0,0,      _xll.qDateNext($X249,AL$12,$AR$11,FRM&lt;&gt;"Calypso",CCY))</f>
        <v>0</v>
      </c>
      <c r="AM249" s="882">
        <f>IF($X249=0,0,      _xll.qDateNext($X249,AM$12,$AR$11,FRM&lt;&gt;"Calypso",CCY))</f>
        <v>0</v>
      </c>
      <c r="AN249" s="882">
        <f>IF($X249=0,0,      _xll.qDateNext($X249,AN$12,$AR$11,FRM&lt;&gt;"Calypso",CCY))</f>
        <v>0</v>
      </c>
      <c r="AO249" s="882">
        <f>IF($X249=0,0,      _xll.qDateNext($X249,AO$12,$AR$11,FRM&lt;&gt;"Calypso",CCY))</f>
        <v>0</v>
      </c>
      <c r="AP249" s="882">
        <f>IF($X249=0,0,      _xll.qDateNext($X249,AP$12,$AR$11,FRM&lt;&gt;"Calypso",CCY))</f>
        <v>0</v>
      </c>
      <c r="AQ249" s="882">
        <f>IF($X249=0,0,      _xll.qDateNext($X249,AQ$12,$AR$11,FRM&lt;&gt;"Calypso",CCY))</f>
        <v>0</v>
      </c>
      <c r="AR249" s="882">
        <f>IF($X249=0,0,      _xll.qDateNext($X249,AR$12,$AR$11,FRM&lt;&gt;"Calypso",CCY))</f>
        <v>0</v>
      </c>
      <c r="AS249" s="901">
        <f ca="1"/>
        <v>0</v>
      </c>
      <c r="AT249" s="901">
        <f ca="1"/>
        <v>0</v>
      </c>
      <c r="AU249" s="901">
        <f t="shared" si="62"/>
        <v>0</v>
      </c>
      <c r="AV249" s="901">
        <f ca="1"/>
        <v>0</v>
      </c>
      <c r="AW249" s="901">
        <f t="shared" si="63"/>
        <v>0</v>
      </c>
      <c r="AX249" s="901">
        <f t="shared" si="64"/>
        <v>0</v>
      </c>
      <c r="AY249" s="901">
        <f ca="1"/>
        <v>0</v>
      </c>
      <c r="AZ249" s="901">
        <f ca="1"/>
        <v>0</v>
      </c>
      <c r="BA249" s="905">
        <f t="shared" si="53"/>
        <v>0</v>
      </c>
      <c r="BB249" s="905">
        <f t="shared" si="54"/>
        <v>0</v>
      </c>
      <c r="BC249" s="905">
        <f t="shared" si="55"/>
        <v>0</v>
      </c>
      <c r="BD249" s="905">
        <f t="shared" si="56"/>
        <v>0</v>
      </c>
      <c r="BE249" s="905">
        <f t="shared" si="57"/>
        <v>0</v>
      </c>
      <c r="BF249" s="905">
        <f t="shared" si="58"/>
        <v>0</v>
      </c>
      <c r="BG249" s="905">
        <f t="shared" si="59"/>
        <v>0</v>
      </c>
      <c r="BH249" s="905">
        <f t="shared" si="60"/>
        <v>0</v>
      </c>
      <c r="BI249" s="713">
        <v>0</v>
      </c>
      <c r="BJ249" s="695"/>
      <c r="BK249" s="752">
        <f>IF(X250=0,0,           IF(ISNUMBER(BJ249),BJ249,               IF(ISTEXT(BJ249),INDEX(BA249:BH249,MATCH(BJ249,$BA$12:$BH$12,0)),             IF(BI249="INT",_xll.qInterp(X250,AK249:AR249,BA249:BH249),            INDEX(BA249:BH249,MATCH(BI249,$BA$12:$BH$12,0))))))</f>
        <v>0</v>
      </c>
      <c r="BL249" s="389">
        <f t="shared" si="65"/>
        <v>0</v>
      </c>
      <c r="BM249" s="394">
        <f t="shared" si="66"/>
        <v>0</v>
      </c>
      <c r="BN249" s="389">
        <f t="shared" si="67"/>
        <v>0</v>
      </c>
    </row>
    <row r="250" spans="16:66">
      <c r="P250" s="714">
        <v>0</v>
      </c>
      <c r="Q250" s="715">
        <f t="shared" si="51"/>
        <v>0</v>
      </c>
      <c r="R250" s="712">
        <f>IF(P251,_xll.qDateYears(P250,P251,DCCfixed),0)</f>
        <v>0</v>
      </c>
      <c r="S250" s="519">
        <f ca="1"/>
        <v>0</v>
      </c>
      <c r="T250" s="720"/>
      <c r="U250" s="390">
        <f t="shared" si="61"/>
        <v>0</v>
      </c>
      <c r="X250" s="345">
        <v>0</v>
      </c>
      <c r="Y250" s="711">
        <f t="shared" si="52"/>
        <v>0</v>
      </c>
      <c r="Z250" s="712">
        <f>IF(X251,_xll.qDateYears(X250,X251,DCCfloat),0)</f>
        <v>0</v>
      </c>
      <c r="AA250" s="519">
        <f ca="1"/>
        <v>0</v>
      </c>
      <c r="AB250" s="890">
        <f>IF(X250=0,0,         IF(OR(CCY="AUD",CCY="NZD",CCY="GBP"),X250,   _xll.qDateNext(X250,"-2b",,,IF(CCY="EUR","TGT","LON"))))</f>
        <v>0</v>
      </c>
      <c r="AC250" s="879" t="str">
        <v/>
      </c>
      <c r="AD250" s="879" t="str">
        <v/>
      </c>
      <c r="AE250" s="879" t="str">
        <v/>
      </c>
      <c r="AF250" s="879" t="str">
        <v/>
      </c>
      <c r="AG250" s="879" t="str">
        <v/>
      </c>
      <c r="AH250" s="879" t="str">
        <v/>
      </c>
      <c r="AI250" s="879" t="str">
        <v/>
      </c>
      <c r="AJ250" s="879" t="str">
        <v/>
      </c>
      <c r="AK250" s="882">
        <f>IF($X250=0,0,      _xll.qDateNext($X250,AK$12,$AR$11,FRM&lt;&gt;"Calypso",CCY))</f>
        <v>0</v>
      </c>
      <c r="AL250" s="882">
        <f>IF($X250=0,0,      _xll.qDateNext($X250,AL$12,$AR$11,FRM&lt;&gt;"Calypso",CCY))</f>
        <v>0</v>
      </c>
      <c r="AM250" s="882">
        <f>IF($X250=0,0,      _xll.qDateNext($X250,AM$12,$AR$11,FRM&lt;&gt;"Calypso",CCY))</f>
        <v>0</v>
      </c>
      <c r="AN250" s="882">
        <f>IF($X250=0,0,      _xll.qDateNext($X250,AN$12,$AR$11,FRM&lt;&gt;"Calypso",CCY))</f>
        <v>0</v>
      </c>
      <c r="AO250" s="882">
        <f>IF($X250=0,0,      _xll.qDateNext($X250,AO$12,$AR$11,FRM&lt;&gt;"Calypso",CCY))</f>
        <v>0</v>
      </c>
      <c r="AP250" s="882">
        <f>IF($X250=0,0,      _xll.qDateNext($X250,AP$12,$AR$11,FRM&lt;&gt;"Calypso",CCY))</f>
        <v>0</v>
      </c>
      <c r="AQ250" s="882">
        <f>IF($X250=0,0,      _xll.qDateNext($X250,AQ$12,$AR$11,FRM&lt;&gt;"Calypso",CCY))</f>
        <v>0</v>
      </c>
      <c r="AR250" s="882">
        <f>IF($X250=0,0,      _xll.qDateNext($X250,AR$12,$AR$11,FRM&lt;&gt;"Calypso",CCY))</f>
        <v>0</v>
      </c>
      <c r="AS250" s="901">
        <f ca="1"/>
        <v>0</v>
      </c>
      <c r="AT250" s="901">
        <f ca="1"/>
        <v>0</v>
      </c>
      <c r="AU250" s="901">
        <f t="shared" si="62"/>
        <v>0</v>
      </c>
      <c r="AV250" s="901">
        <f ca="1"/>
        <v>0</v>
      </c>
      <c r="AW250" s="901">
        <f t="shared" si="63"/>
        <v>0</v>
      </c>
      <c r="AX250" s="901">
        <f t="shared" si="64"/>
        <v>0</v>
      </c>
      <c r="AY250" s="901">
        <f ca="1"/>
        <v>0</v>
      </c>
      <c r="AZ250" s="901">
        <f ca="1"/>
        <v>0</v>
      </c>
      <c r="BA250" s="905">
        <f t="shared" si="53"/>
        <v>0</v>
      </c>
      <c r="BB250" s="905">
        <f t="shared" si="54"/>
        <v>0</v>
      </c>
      <c r="BC250" s="905">
        <f t="shared" si="55"/>
        <v>0</v>
      </c>
      <c r="BD250" s="905">
        <f t="shared" si="56"/>
        <v>0</v>
      </c>
      <c r="BE250" s="905">
        <f t="shared" si="57"/>
        <v>0</v>
      </c>
      <c r="BF250" s="905">
        <f t="shared" si="58"/>
        <v>0</v>
      </c>
      <c r="BG250" s="905">
        <f t="shared" si="59"/>
        <v>0</v>
      </c>
      <c r="BH250" s="905">
        <f t="shared" si="60"/>
        <v>0</v>
      </c>
      <c r="BI250" s="713">
        <v>0</v>
      </c>
      <c r="BJ250" s="695"/>
      <c r="BK250" s="752">
        <f>IF(X251=0,0,           IF(ISNUMBER(BJ250),BJ250,               IF(ISTEXT(BJ250),INDEX(BA250:BH250,MATCH(BJ250,$BA$12:$BH$12,0)),             IF(BI250="INT",_xll.qInterp(X251,AK250:AR250,BA250:BH250),            INDEX(BA250:BH250,MATCH(BI250,$BA$12:$BH$12,0))))))</f>
        <v>0</v>
      </c>
      <c r="BL250" s="389">
        <f t="shared" si="65"/>
        <v>0</v>
      </c>
      <c r="BM250" s="394">
        <f t="shared" si="66"/>
        <v>0</v>
      </c>
      <c r="BN250" s="389">
        <f t="shared" si="67"/>
        <v>0</v>
      </c>
    </row>
    <row r="251" spans="16:66">
      <c r="P251" s="714">
        <v>0</v>
      </c>
      <c r="Q251" s="715">
        <f t="shared" si="51"/>
        <v>0</v>
      </c>
      <c r="R251" s="712">
        <f>IF(P252,_xll.qDateYears(P251,P252,DCCfixed),0)</f>
        <v>0</v>
      </c>
      <c r="S251" s="519">
        <f ca="1"/>
        <v>0</v>
      </c>
      <c r="T251" s="720"/>
      <c r="U251" s="390">
        <f t="shared" si="61"/>
        <v>0</v>
      </c>
      <c r="X251" s="345">
        <v>0</v>
      </c>
      <c r="Y251" s="711">
        <f t="shared" si="52"/>
        <v>0</v>
      </c>
      <c r="Z251" s="712">
        <f>IF(X252,_xll.qDateYears(X251,X252,DCCfloat),0)</f>
        <v>0</v>
      </c>
      <c r="AA251" s="519">
        <f ca="1"/>
        <v>0</v>
      </c>
      <c r="AB251" s="890">
        <f>IF(X251=0,0,         IF(OR(CCY="AUD",CCY="NZD",CCY="GBP"),X251,   _xll.qDateNext(X251,"-2b",,,IF(CCY="EUR","TGT","LON"))))</f>
        <v>0</v>
      </c>
      <c r="AC251" s="879" t="str">
        <v/>
      </c>
      <c r="AD251" s="879" t="str">
        <v/>
      </c>
      <c r="AE251" s="879" t="str">
        <v/>
      </c>
      <c r="AF251" s="879" t="str">
        <v/>
      </c>
      <c r="AG251" s="879" t="str">
        <v/>
      </c>
      <c r="AH251" s="879" t="str">
        <v/>
      </c>
      <c r="AI251" s="879" t="str">
        <v/>
      </c>
      <c r="AJ251" s="879" t="str">
        <v/>
      </c>
      <c r="AK251" s="882">
        <f>IF($X251=0,0,      _xll.qDateNext($X251,AK$12,$AR$11,FRM&lt;&gt;"Calypso",CCY))</f>
        <v>0</v>
      </c>
      <c r="AL251" s="882">
        <f>IF($X251=0,0,      _xll.qDateNext($X251,AL$12,$AR$11,FRM&lt;&gt;"Calypso",CCY))</f>
        <v>0</v>
      </c>
      <c r="AM251" s="882">
        <f>IF($X251=0,0,      _xll.qDateNext($X251,AM$12,$AR$11,FRM&lt;&gt;"Calypso",CCY))</f>
        <v>0</v>
      </c>
      <c r="AN251" s="882">
        <f>IF($X251=0,0,      _xll.qDateNext($X251,AN$12,$AR$11,FRM&lt;&gt;"Calypso",CCY))</f>
        <v>0</v>
      </c>
      <c r="AO251" s="882">
        <f>IF($X251=0,0,      _xll.qDateNext($X251,AO$12,$AR$11,FRM&lt;&gt;"Calypso",CCY))</f>
        <v>0</v>
      </c>
      <c r="AP251" s="882">
        <f>IF($X251=0,0,      _xll.qDateNext($X251,AP$12,$AR$11,FRM&lt;&gt;"Calypso",CCY))</f>
        <v>0</v>
      </c>
      <c r="AQ251" s="882">
        <f>IF($X251=0,0,      _xll.qDateNext($X251,AQ$12,$AR$11,FRM&lt;&gt;"Calypso",CCY))</f>
        <v>0</v>
      </c>
      <c r="AR251" s="882">
        <f>IF($X251=0,0,      _xll.qDateNext($X251,AR$12,$AR$11,FRM&lt;&gt;"Calypso",CCY))</f>
        <v>0</v>
      </c>
      <c r="AS251" s="901">
        <f ca="1"/>
        <v>0</v>
      </c>
      <c r="AT251" s="901">
        <f ca="1"/>
        <v>0</v>
      </c>
      <c r="AU251" s="901">
        <f t="shared" si="62"/>
        <v>0</v>
      </c>
      <c r="AV251" s="901">
        <f ca="1"/>
        <v>0</v>
      </c>
      <c r="AW251" s="901">
        <f t="shared" si="63"/>
        <v>0</v>
      </c>
      <c r="AX251" s="901">
        <f t="shared" si="64"/>
        <v>0</v>
      </c>
      <c r="AY251" s="901">
        <f ca="1"/>
        <v>0</v>
      </c>
      <c r="AZ251" s="901">
        <f ca="1"/>
        <v>0</v>
      </c>
      <c r="BA251" s="905">
        <f t="shared" si="53"/>
        <v>0</v>
      </c>
      <c r="BB251" s="905">
        <f t="shared" si="54"/>
        <v>0</v>
      </c>
      <c r="BC251" s="905">
        <f t="shared" si="55"/>
        <v>0</v>
      </c>
      <c r="BD251" s="905">
        <f t="shared" si="56"/>
        <v>0</v>
      </c>
      <c r="BE251" s="905">
        <f t="shared" si="57"/>
        <v>0</v>
      </c>
      <c r="BF251" s="905">
        <f t="shared" si="58"/>
        <v>0</v>
      </c>
      <c r="BG251" s="905">
        <f t="shared" si="59"/>
        <v>0</v>
      </c>
      <c r="BH251" s="905">
        <f t="shared" si="60"/>
        <v>0</v>
      </c>
      <c r="BI251" s="713">
        <v>0</v>
      </c>
      <c r="BJ251" s="695"/>
      <c r="BK251" s="752">
        <f>IF(X252=0,0,           IF(ISNUMBER(BJ251),BJ251,               IF(ISTEXT(BJ251),INDEX(BA251:BH251,MATCH(BJ251,$BA$12:$BH$12,0)),             IF(BI251="INT",_xll.qInterp(X252,AK251:AR251,BA251:BH251),            INDEX(BA251:BH251,MATCH(BI251,$BA$12:$BH$12,0))))))</f>
        <v>0</v>
      </c>
      <c r="BL251" s="389">
        <f t="shared" si="65"/>
        <v>0</v>
      </c>
      <c r="BM251" s="394">
        <f t="shared" si="66"/>
        <v>0</v>
      </c>
      <c r="BN251" s="389">
        <f t="shared" si="67"/>
        <v>0</v>
      </c>
    </row>
    <row r="252" spans="16:66">
      <c r="P252" s="714">
        <v>0</v>
      </c>
      <c r="Q252" s="715">
        <f t="shared" si="51"/>
        <v>0</v>
      </c>
      <c r="R252" s="712">
        <f>IF(P253,_xll.qDateYears(P252,P253,DCCfixed),0)</f>
        <v>0</v>
      </c>
      <c r="S252" s="519">
        <f ca="1"/>
        <v>0</v>
      </c>
      <c r="T252" s="720"/>
      <c r="U252" s="390">
        <f t="shared" si="61"/>
        <v>0</v>
      </c>
      <c r="X252" s="345">
        <v>0</v>
      </c>
      <c r="Y252" s="711">
        <f t="shared" si="52"/>
        <v>0</v>
      </c>
      <c r="Z252" s="712">
        <f>IF(X253,_xll.qDateYears(X252,X253,DCCfloat),0)</f>
        <v>0</v>
      </c>
      <c r="AA252" s="519">
        <f ca="1"/>
        <v>0</v>
      </c>
      <c r="AB252" s="890">
        <f>IF(X252=0,0,         IF(OR(CCY="AUD",CCY="NZD",CCY="GBP"),X252,   _xll.qDateNext(X252,"-2b",,,IF(CCY="EUR","TGT","LON"))))</f>
        <v>0</v>
      </c>
      <c r="AC252" s="879" t="str">
        <v/>
      </c>
      <c r="AD252" s="879" t="str">
        <v/>
      </c>
      <c r="AE252" s="879" t="str">
        <v/>
      </c>
      <c r="AF252" s="879" t="str">
        <v/>
      </c>
      <c r="AG252" s="879" t="str">
        <v/>
      </c>
      <c r="AH252" s="879" t="str">
        <v/>
      </c>
      <c r="AI252" s="879" t="str">
        <v/>
      </c>
      <c r="AJ252" s="879" t="str">
        <v/>
      </c>
      <c r="AK252" s="882">
        <f>IF($X252=0,0,      _xll.qDateNext($X252,AK$12,$AR$11,FRM&lt;&gt;"Calypso",CCY))</f>
        <v>0</v>
      </c>
      <c r="AL252" s="882">
        <f>IF($X252=0,0,      _xll.qDateNext($X252,AL$12,$AR$11,FRM&lt;&gt;"Calypso",CCY))</f>
        <v>0</v>
      </c>
      <c r="AM252" s="882">
        <f>IF($X252=0,0,      _xll.qDateNext($X252,AM$12,$AR$11,FRM&lt;&gt;"Calypso",CCY))</f>
        <v>0</v>
      </c>
      <c r="AN252" s="882">
        <f>IF($X252=0,0,      _xll.qDateNext($X252,AN$12,$AR$11,FRM&lt;&gt;"Calypso",CCY))</f>
        <v>0</v>
      </c>
      <c r="AO252" s="882">
        <f>IF($X252=0,0,      _xll.qDateNext($X252,AO$12,$AR$11,FRM&lt;&gt;"Calypso",CCY))</f>
        <v>0</v>
      </c>
      <c r="AP252" s="882">
        <f>IF($X252=0,0,      _xll.qDateNext($X252,AP$12,$AR$11,FRM&lt;&gt;"Calypso",CCY))</f>
        <v>0</v>
      </c>
      <c r="AQ252" s="882">
        <f>IF($X252=0,0,      _xll.qDateNext($X252,AQ$12,$AR$11,FRM&lt;&gt;"Calypso",CCY))</f>
        <v>0</v>
      </c>
      <c r="AR252" s="882">
        <f>IF($X252=0,0,      _xll.qDateNext($X252,AR$12,$AR$11,FRM&lt;&gt;"Calypso",CCY))</f>
        <v>0</v>
      </c>
      <c r="AS252" s="901">
        <f ca="1"/>
        <v>0</v>
      </c>
      <c r="AT252" s="901">
        <f ca="1"/>
        <v>0</v>
      </c>
      <c r="AU252" s="901">
        <f t="shared" si="62"/>
        <v>0</v>
      </c>
      <c r="AV252" s="901">
        <f ca="1"/>
        <v>0</v>
      </c>
      <c r="AW252" s="901">
        <f t="shared" si="63"/>
        <v>0</v>
      </c>
      <c r="AX252" s="901">
        <f t="shared" si="64"/>
        <v>0</v>
      </c>
      <c r="AY252" s="901">
        <f ca="1"/>
        <v>0</v>
      </c>
      <c r="AZ252" s="901">
        <f ca="1"/>
        <v>0</v>
      </c>
      <c r="BA252" s="905">
        <f t="shared" si="53"/>
        <v>0</v>
      </c>
      <c r="BB252" s="905">
        <f t="shared" si="54"/>
        <v>0</v>
      </c>
      <c r="BC252" s="905">
        <f t="shared" si="55"/>
        <v>0</v>
      </c>
      <c r="BD252" s="905">
        <f t="shared" si="56"/>
        <v>0</v>
      </c>
      <c r="BE252" s="905">
        <f t="shared" si="57"/>
        <v>0</v>
      </c>
      <c r="BF252" s="905">
        <f t="shared" si="58"/>
        <v>0</v>
      </c>
      <c r="BG252" s="905">
        <f t="shared" si="59"/>
        <v>0</v>
      </c>
      <c r="BH252" s="905">
        <f t="shared" si="60"/>
        <v>0</v>
      </c>
      <c r="BI252" s="713">
        <v>0</v>
      </c>
      <c r="BJ252" s="695"/>
      <c r="BK252" s="752">
        <f>IF(X253=0,0,           IF(ISNUMBER(BJ252),BJ252,               IF(ISTEXT(BJ252),INDEX(BA252:BH252,MATCH(BJ252,$BA$12:$BH$12,0)),             IF(BI252="INT",_xll.qInterp(X253,AK252:AR252,BA252:BH252),            INDEX(BA252:BH252,MATCH(BI252,$BA$12:$BH$12,0))))))</f>
        <v>0</v>
      </c>
      <c r="BL252" s="389">
        <f t="shared" si="65"/>
        <v>0</v>
      </c>
      <c r="BM252" s="394">
        <f t="shared" si="66"/>
        <v>0</v>
      </c>
      <c r="BN252" s="389">
        <f t="shared" si="67"/>
        <v>0</v>
      </c>
    </row>
    <row r="253" spans="16:66">
      <c r="P253" s="714">
        <v>0</v>
      </c>
      <c r="Q253" s="715">
        <f t="shared" si="51"/>
        <v>0</v>
      </c>
      <c r="R253" s="712">
        <f>IF(P254,_xll.qDateYears(P253,P254,DCCfixed),0)</f>
        <v>0</v>
      </c>
      <c r="S253" s="519">
        <f ca="1"/>
        <v>0</v>
      </c>
      <c r="T253" s="720"/>
      <c r="U253" s="390">
        <f t="shared" si="61"/>
        <v>0</v>
      </c>
      <c r="X253" s="345">
        <v>0</v>
      </c>
      <c r="Y253" s="711">
        <f t="shared" si="52"/>
        <v>0</v>
      </c>
      <c r="Z253" s="712">
        <f>IF(X254,_xll.qDateYears(X253,X254,DCCfloat),0)</f>
        <v>0</v>
      </c>
      <c r="AA253" s="519">
        <f ca="1"/>
        <v>0</v>
      </c>
      <c r="AB253" s="890">
        <f>IF(X253=0,0,         IF(OR(CCY="AUD",CCY="NZD",CCY="GBP"),X253,   _xll.qDateNext(X253,"-2b",,,IF(CCY="EUR","TGT","LON"))))</f>
        <v>0</v>
      </c>
      <c r="AC253" s="879" t="str">
        <v/>
      </c>
      <c r="AD253" s="879" t="str">
        <v/>
      </c>
      <c r="AE253" s="879" t="str">
        <v/>
      </c>
      <c r="AF253" s="879" t="str">
        <v/>
      </c>
      <c r="AG253" s="879" t="str">
        <v/>
      </c>
      <c r="AH253" s="879" t="str">
        <v/>
      </c>
      <c r="AI253" s="879" t="str">
        <v/>
      </c>
      <c r="AJ253" s="879" t="str">
        <v/>
      </c>
      <c r="AK253" s="882">
        <f>IF($X253=0,0,      _xll.qDateNext($X253,AK$12,$AR$11,FRM&lt;&gt;"Calypso",CCY))</f>
        <v>0</v>
      </c>
      <c r="AL253" s="882">
        <f>IF($X253=0,0,      _xll.qDateNext($X253,AL$12,$AR$11,FRM&lt;&gt;"Calypso",CCY))</f>
        <v>0</v>
      </c>
      <c r="AM253" s="882">
        <f>IF($X253=0,0,      _xll.qDateNext($X253,AM$12,$AR$11,FRM&lt;&gt;"Calypso",CCY))</f>
        <v>0</v>
      </c>
      <c r="AN253" s="882">
        <f>IF($X253=0,0,      _xll.qDateNext($X253,AN$12,$AR$11,FRM&lt;&gt;"Calypso",CCY))</f>
        <v>0</v>
      </c>
      <c r="AO253" s="882">
        <f>IF($X253=0,0,      _xll.qDateNext($X253,AO$12,$AR$11,FRM&lt;&gt;"Calypso",CCY))</f>
        <v>0</v>
      </c>
      <c r="AP253" s="882">
        <f>IF($X253=0,0,      _xll.qDateNext($X253,AP$12,$AR$11,FRM&lt;&gt;"Calypso",CCY))</f>
        <v>0</v>
      </c>
      <c r="AQ253" s="882">
        <f>IF($X253=0,0,      _xll.qDateNext($X253,AQ$12,$AR$11,FRM&lt;&gt;"Calypso",CCY))</f>
        <v>0</v>
      </c>
      <c r="AR253" s="882">
        <f>IF($X253=0,0,      _xll.qDateNext($X253,AR$12,$AR$11,FRM&lt;&gt;"Calypso",CCY))</f>
        <v>0</v>
      </c>
      <c r="AS253" s="901">
        <f ca="1"/>
        <v>0</v>
      </c>
      <c r="AT253" s="901">
        <f ca="1"/>
        <v>0</v>
      </c>
      <c r="AU253" s="901">
        <f t="shared" si="62"/>
        <v>0</v>
      </c>
      <c r="AV253" s="901">
        <f ca="1"/>
        <v>0</v>
      </c>
      <c r="AW253" s="901">
        <f t="shared" si="63"/>
        <v>0</v>
      </c>
      <c r="AX253" s="901">
        <f t="shared" si="64"/>
        <v>0</v>
      </c>
      <c r="AY253" s="901">
        <f ca="1"/>
        <v>0</v>
      </c>
      <c r="AZ253" s="901">
        <f ca="1"/>
        <v>0</v>
      </c>
      <c r="BA253" s="905">
        <f t="shared" si="53"/>
        <v>0</v>
      </c>
      <c r="BB253" s="905">
        <f t="shared" si="54"/>
        <v>0</v>
      </c>
      <c r="BC253" s="905">
        <f t="shared" si="55"/>
        <v>0</v>
      </c>
      <c r="BD253" s="905">
        <f t="shared" si="56"/>
        <v>0</v>
      </c>
      <c r="BE253" s="905">
        <f t="shared" si="57"/>
        <v>0</v>
      </c>
      <c r="BF253" s="905">
        <f t="shared" si="58"/>
        <v>0</v>
      </c>
      <c r="BG253" s="905">
        <f t="shared" si="59"/>
        <v>0</v>
      </c>
      <c r="BH253" s="905">
        <f t="shared" si="60"/>
        <v>0</v>
      </c>
      <c r="BI253" s="713">
        <v>0</v>
      </c>
      <c r="BJ253" s="695"/>
      <c r="BK253" s="752">
        <f>IF(X254=0,0,           IF(ISNUMBER(BJ253),BJ253,               IF(ISTEXT(BJ253),INDEX(BA253:BH253,MATCH(BJ253,$BA$12:$BH$12,0)),             IF(BI253="INT",_xll.qInterp(X254,AK253:AR253,BA253:BH253),            INDEX(BA253:BH253,MATCH(BI253,$BA$12:$BH$12,0))))))</f>
        <v>0</v>
      </c>
      <c r="BL253" s="389">
        <f t="shared" si="65"/>
        <v>0</v>
      </c>
      <c r="BM253" s="394">
        <f t="shared" si="66"/>
        <v>0</v>
      </c>
      <c r="BN253" s="389">
        <f t="shared" si="67"/>
        <v>0</v>
      </c>
    </row>
    <row r="254" spans="16:66">
      <c r="P254" s="714">
        <v>0</v>
      </c>
      <c r="Q254" s="715">
        <f t="shared" si="51"/>
        <v>0</v>
      </c>
      <c r="R254" s="712">
        <f>IF(P255,_xll.qDateYears(P254,P255,DCCfixed),0)</f>
        <v>0</v>
      </c>
      <c r="S254" s="519">
        <f ca="1"/>
        <v>0</v>
      </c>
      <c r="T254" s="720"/>
      <c r="U254" s="390">
        <f t="shared" si="61"/>
        <v>0</v>
      </c>
      <c r="X254" s="345">
        <v>0</v>
      </c>
      <c r="Y254" s="711">
        <f t="shared" si="52"/>
        <v>0</v>
      </c>
      <c r="Z254" s="712">
        <f>IF(X255,_xll.qDateYears(X254,X255,DCCfloat),0)</f>
        <v>0</v>
      </c>
      <c r="AA254" s="519">
        <f ca="1"/>
        <v>0</v>
      </c>
      <c r="AB254" s="890">
        <f>IF(X254=0,0,         IF(OR(CCY="AUD",CCY="NZD",CCY="GBP"),X254,   _xll.qDateNext(X254,"-2b",,,IF(CCY="EUR","TGT","LON"))))</f>
        <v>0</v>
      </c>
      <c r="AC254" s="879" t="str">
        <v/>
      </c>
      <c r="AD254" s="879" t="str">
        <v/>
      </c>
      <c r="AE254" s="879" t="str">
        <v/>
      </c>
      <c r="AF254" s="879" t="str">
        <v/>
      </c>
      <c r="AG254" s="879" t="str">
        <v/>
      </c>
      <c r="AH254" s="879" t="str">
        <v/>
      </c>
      <c r="AI254" s="879" t="str">
        <v/>
      </c>
      <c r="AJ254" s="879" t="str">
        <v/>
      </c>
      <c r="AK254" s="882">
        <f>IF($X254=0,0,      _xll.qDateNext($X254,AK$12,$AR$11,FRM&lt;&gt;"Calypso",CCY))</f>
        <v>0</v>
      </c>
      <c r="AL254" s="882">
        <f>IF($X254=0,0,      _xll.qDateNext($X254,AL$12,$AR$11,FRM&lt;&gt;"Calypso",CCY))</f>
        <v>0</v>
      </c>
      <c r="AM254" s="882">
        <f>IF($X254=0,0,      _xll.qDateNext($X254,AM$12,$AR$11,FRM&lt;&gt;"Calypso",CCY))</f>
        <v>0</v>
      </c>
      <c r="AN254" s="882">
        <f>IF($X254=0,0,      _xll.qDateNext($X254,AN$12,$AR$11,FRM&lt;&gt;"Calypso",CCY))</f>
        <v>0</v>
      </c>
      <c r="AO254" s="882">
        <f>IF($X254=0,0,      _xll.qDateNext($X254,AO$12,$AR$11,FRM&lt;&gt;"Calypso",CCY))</f>
        <v>0</v>
      </c>
      <c r="AP254" s="882">
        <f>IF($X254=0,0,      _xll.qDateNext($X254,AP$12,$AR$11,FRM&lt;&gt;"Calypso",CCY))</f>
        <v>0</v>
      </c>
      <c r="AQ254" s="882">
        <f>IF($X254=0,0,      _xll.qDateNext($X254,AQ$12,$AR$11,FRM&lt;&gt;"Calypso",CCY))</f>
        <v>0</v>
      </c>
      <c r="AR254" s="882">
        <f>IF($X254=0,0,      _xll.qDateNext($X254,AR$12,$AR$11,FRM&lt;&gt;"Calypso",CCY))</f>
        <v>0</v>
      </c>
      <c r="AS254" s="901">
        <f ca="1"/>
        <v>0</v>
      </c>
      <c r="AT254" s="901">
        <f ca="1"/>
        <v>0</v>
      </c>
      <c r="AU254" s="901">
        <f t="shared" si="62"/>
        <v>0</v>
      </c>
      <c r="AV254" s="901">
        <f ca="1"/>
        <v>0</v>
      </c>
      <c r="AW254" s="901">
        <f t="shared" si="63"/>
        <v>0</v>
      </c>
      <c r="AX254" s="901">
        <f t="shared" si="64"/>
        <v>0</v>
      </c>
      <c r="AY254" s="901">
        <f ca="1"/>
        <v>0</v>
      </c>
      <c r="AZ254" s="901">
        <f ca="1"/>
        <v>0</v>
      </c>
      <c r="BA254" s="905">
        <f t="shared" si="53"/>
        <v>0</v>
      </c>
      <c r="BB254" s="905">
        <f t="shared" si="54"/>
        <v>0</v>
      </c>
      <c r="BC254" s="905">
        <f t="shared" si="55"/>
        <v>0</v>
      </c>
      <c r="BD254" s="905">
        <f t="shared" si="56"/>
        <v>0</v>
      </c>
      <c r="BE254" s="905">
        <f t="shared" si="57"/>
        <v>0</v>
      </c>
      <c r="BF254" s="905">
        <f t="shared" si="58"/>
        <v>0</v>
      </c>
      <c r="BG254" s="905">
        <f t="shared" si="59"/>
        <v>0</v>
      </c>
      <c r="BH254" s="905">
        <f t="shared" si="60"/>
        <v>0</v>
      </c>
      <c r="BI254" s="713">
        <v>0</v>
      </c>
      <c r="BJ254" s="695"/>
      <c r="BK254" s="752">
        <f>IF(X255=0,0,           IF(ISNUMBER(BJ254),BJ254,               IF(ISTEXT(BJ254),INDEX(BA254:BH254,MATCH(BJ254,$BA$12:$BH$12,0)),             IF(BI254="INT",_xll.qInterp(X255,AK254:AR254,BA254:BH254),            INDEX(BA254:BH254,MATCH(BI254,$BA$12:$BH$12,0))))))</f>
        <v>0</v>
      </c>
      <c r="BL254" s="389">
        <f t="shared" si="65"/>
        <v>0</v>
      </c>
      <c r="BM254" s="394">
        <f t="shared" si="66"/>
        <v>0</v>
      </c>
      <c r="BN254" s="389">
        <f t="shared" si="67"/>
        <v>0</v>
      </c>
    </row>
    <row r="255" spans="16:66">
      <c r="P255" s="714">
        <v>0</v>
      </c>
      <c r="Q255" s="715">
        <f t="shared" si="51"/>
        <v>0</v>
      </c>
      <c r="R255" s="712">
        <f>IF(P256,_xll.qDateYears(P255,P256,DCCfixed),0)</f>
        <v>0</v>
      </c>
      <c r="S255" s="519">
        <f ca="1"/>
        <v>0</v>
      </c>
      <c r="T255" s="720"/>
      <c r="U255" s="390">
        <f t="shared" si="61"/>
        <v>0</v>
      </c>
      <c r="X255" s="345">
        <v>0</v>
      </c>
      <c r="Y255" s="711">
        <f t="shared" si="52"/>
        <v>0</v>
      </c>
      <c r="Z255" s="712">
        <f>IF(X256,_xll.qDateYears(X255,X256,DCCfloat),0)</f>
        <v>0</v>
      </c>
      <c r="AA255" s="519">
        <f ca="1"/>
        <v>0</v>
      </c>
      <c r="AB255" s="890">
        <f>IF(X255=0,0,         IF(OR(CCY="AUD",CCY="NZD",CCY="GBP"),X255,   _xll.qDateNext(X255,"-2b",,,IF(CCY="EUR","TGT","LON"))))</f>
        <v>0</v>
      </c>
      <c r="AC255" s="879" t="str">
        <v/>
      </c>
      <c r="AD255" s="879" t="str">
        <v/>
      </c>
      <c r="AE255" s="879" t="str">
        <v/>
      </c>
      <c r="AF255" s="879" t="str">
        <v/>
      </c>
      <c r="AG255" s="879" t="str">
        <v/>
      </c>
      <c r="AH255" s="879" t="str">
        <v/>
      </c>
      <c r="AI255" s="879" t="str">
        <v/>
      </c>
      <c r="AJ255" s="879" t="str">
        <v/>
      </c>
      <c r="AK255" s="882">
        <f>IF($X255=0,0,      _xll.qDateNext($X255,AK$12,$AR$11,FRM&lt;&gt;"Calypso",CCY))</f>
        <v>0</v>
      </c>
      <c r="AL255" s="882">
        <f>IF($X255=0,0,      _xll.qDateNext($X255,AL$12,$AR$11,FRM&lt;&gt;"Calypso",CCY))</f>
        <v>0</v>
      </c>
      <c r="AM255" s="882">
        <f>IF($X255=0,0,      _xll.qDateNext($X255,AM$12,$AR$11,FRM&lt;&gt;"Calypso",CCY))</f>
        <v>0</v>
      </c>
      <c r="AN255" s="882">
        <f>IF($X255=0,0,      _xll.qDateNext($X255,AN$12,$AR$11,FRM&lt;&gt;"Calypso",CCY))</f>
        <v>0</v>
      </c>
      <c r="AO255" s="882">
        <f>IF($X255=0,0,      _xll.qDateNext($X255,AO$12,$AR$11,FRM&lt;&gt;"Calypso",CCY))</f>
        <v>0</v>
      </c>
      <c r="AP255" s="882">
        <f>IF($X255=0,0,      _xll.qDateNext($X255,AP$12,$AR$11,FRM&lt;&gt;"Calypso",CCY))</f>
        <v>0</v>
      </c>
      <c r="AQ255" s="882">
        <f>IF($X255=0,0,      _xll.qDateNext($X255,AQ$12,$AR$11,FRM&lt;&gt;"Calypso",CCY))</f>
        <v>0</v>
      </c>
      <c r="AR255" s="882">
        <f>IF($X255=0,0,      _xll.qDateNext($X255,AR$12,$AR$11,FRM&lt;&gt;"Calypso",CCY))</f>
        <v>0</v>
      </c>
      <c r="AS255" s="901">
        <f ca="1"/>
        <v>0</v>
      </c>
      <c r="AT255" s="901">
        <f ca="1"/>
        <v>0</v>
      </c>
      <c r="AU255" s="901">
        <f t="shared" si="62"/>
        <v>0</v>
      </c>
      <c r="AV255" s="901">
        <f ca="1"/>
        <v>0</v>
      </c>
      <c r="AW255" s="901">
        <f t="shared" si="63"/>
        <v>0</v>
      </c>
      <c r="AX255" s="901">
        <f t="shared" si="64"/>
        <v>0</v>
      </c>
      <c r="AY255" s="901">
        <f ca="1"/>
        <v>0</v>
      </c>
      <c r="AZ255" s="901">
        <f ca="1"/>
        <v>0</v>
      </c>
      <c r="BA255" s="905">
        <f t="shared" si="53"/>
        <v>0</v>
      </c>
      <c r="BB255" s="905">
        <f t="shared" si="54"/>
        <v>0</v>
      </c>
      <c r="BC255" s="905">
        <f t="shared" si="55"/>
        <v>0</v>
      </c>
      <c r="BD255" s="905">
        <f t="shared" si="56"/>
        <v>0</v>
      </c>
      <c r="BE255" s="905">
        <f t="shared" si="57"/>
        <v>0</v>
      </c>
      <c r="BF255" s="905">
        <f t="shared" si="58"/>
        <v>0</v>
      </c>
      <c r="BG255" s="905">
        <f t="shared" si="59"/>
        <v>0</v>
      </c>
      <c r="BH255" s="905">
        <f t="shared" si="60"/>
        <v>0</v>
      </c>
      <c r="BI255" s="713">
        <v>0</v>
      </c>
      <c r="BJ255" s="695"/>
      <c r="BK255" s="752">
        <f>IF(X256=0,0,           IF(ISNUMBER(BJ255),BJ255,               IF(ISTEXT(BJ255),INDEX(BA255:BH255,MATCH(BJ255,$BA$12:$BH$12,0)),             IF(BI255="INT",_xll.qInterp(X256,AK255:AR255,BA255:BH255),            INDEX(BA255:BH255,MATCH(BI255,$BA$12:$BH$12,0))))))</f>
        <v>0</v>
      </c>
      <c r="BL255" s="389">
        <f t="shared" si="65"/>
        <v>0</v>
      </c>
      <c r="BM255" s="394">
        <f t="shared" si="66"/>
        <v>0</v>
      </c>
      <c r="BN255" s="389">
        <f t="shared" si="67"/>
        <v>0</v>
      </c>
    </row>
    <row r="256" spans="16:66">
      <c r="P256" s="714">
        <v>0</v>
      </c>
      <c r="Q256" s="715">
        <f t="shared" si="51"/>
        <v>0</v>
      </c>
      <c r="R256" s="712">
        <f>IF(P257,_xll.qDateYears(P256,P257,DCCfixed),0)</f>
        <v>0</v>
      </c>
      <c r="S256" s="519">
        <f ca="1"/>
        <v>0</v>
      </c>
      <c r="T256" s="720"/>
      <c r="U256" s="390">
        <f t="shared" si="61"/>
        <v>0</v>
      </c>
      <c r="X256" s="345">
        <v>0</v>
      </c>
      <c r="Y256" s="711">
        <f t="shared" si="52"/>
        <v>0</v>
      </c>
      <c r="Z256" s="712">
        <f>IF(X257,_xll.qDateYears(X256,X257,DCCfloat),0)</f>
        <v>0</v>
      </c>
      <c r="AA256" s="519">
        <f ca="1"/>
        <v>0</v>
      </c>
      <c r="AB256" s="890">
        <f>IF(X256=0,0,         IF(OR(CCY="AUD",CCY="NZD",CCY="GBP"),X256,   _xll.qDateNext(X256,"-2b",,,IF(CCY="EUR","TGT","LON"))))</f>
        <v>0</v>
      </c>
      <c r="AC256" s="879" t="str">
        <v/>
      </c>
      <c r="AD256" s="879" t="str">
        <v/>
      </c>
      <c r="AE256" s="879" t="str">
        <v/>
      </c>
      <c r="AF256" s="879" t="str">
        <v/>
      </c>
      <c r="AG256" s="879" t="str">
        <v/>
      </c>
      <c r="AH256" s="879" t="str">
        <v/>
      </c>
      <c r="AI256" s="879" t="str">
        <v/>
      </c>
      <c r="AJ256" s="879" t="str">
        <v/>
      </c>
      <c r="AK256" s="882">
        <f>IF($X256=0,0,      _xll.qDateNext($X256,AK$12,$AR$11,FRM&lt;&gt;"Calypso",CCY))</f>
        <v>0</v>
      </c>
      <c r="AL256" s="882">
        <f>IF($X256=0,0,      _xll.qDateNext($X256,AL$12,$AR$11,FRM&lt;&gt;"Calypso",CCY))</f>
        <v>0</v>
      </c>
      <c r="AM256" s="882">
        <f>IF($X256=0,0,      _xll.qDateNext($X256,AM$12,$AR$11,FRM&lt;&gt;"Calypso",CCY))</f>
        <v>0</v>
      </c>
      <c r="AN256" s="882">
        <f>IF($X256=0,0,      _xll.qDateNext($X256,AN$12,$AR$11,FRM&lt;&gt;"Calypso",CCY))</f>
        <v>0</v>
      </c>
      <c r="AO256" s="882">
        <f>IF($X256=0,0,      _xll.qDateNext($X256,AO$12,$AR$11,FRM&lt;&gt;"Calypso",CCY))</f>
        <v>0</v>
      </c>
      <c r="AP256" s="882">
        <f>IF($X256=0,0,      _xll.qDateNext($X256,AP$12,$AR$11,FRM&lt;&gt;"Calypso",CCY))</f>
        <v>0</v>
      </c>
      <c r="AQ256" s="882">
        <f>IF($X256=0,0,      _xll.qDateNext($X256,AQ$12,$AR$11,FRM&lt;&gt;"Calypso",CCY))</f>
        <v>0</v>
      </c>
      <c r="AR256" s="882">
        <f>IF($X256=0,0,      _xll.qDateNext($X256,AR$12,$AR$11,FRM&lt;&gt;"Calypso",CCY))</f>
        <v>0</v>
      </c>
      <c r="AS256" s="901">
        <f ca="1"/>
        <v>0</v>
      </c>
      <c r="AT256" s="901">
        <f ca="1"/>
        <v>0</v>
      </c>
      <c r="AU256" s="901">
        <f t="shared" si="62"/>
        <v>0</v>
      </c>
      <c r="AV256" s="901">
        <f ca="1"/>
        <v>0</v>
      </c>
      <c r="AW256" s="901">
        <f t="shared" si="63"/>
        <v>0</v>
      </c>
      <c r="AX256" s="901">
        <f t="shared" si="64"/>
        <v>0</v>
      </c>
      <c r="AY256" s="901">
        <f ca="1"/>
        <v>0</v>
      </c>
      <c r="AZ256" s="901">
        <f ca="1"/>
        <v>0</v>
      </c>
      <c r="BA256" s="905">
        <f t="shared" si="53"/>
        <v>0</v>
      </c>
      <c r="BB256" s="905">
        <f t="shared" si="54"/>
        <v>0</v>
      </c>
      <c r="BC256" s="905">
        <f t="shared" si="55"/>
        <v>0</v>
      </c>
      <c r="BD256" s="905">
        <f t="shared" si="56"/>
        <v>0</v>
      </c>
      <c r="BE256" s="905">
        <f t="shared" si="57"/>
        <v>0</v>
      </c>
      <c r="BF256" s="905">
        <f t="shared" si="58"/>
        <v>0</v>
      </c>
      <c r="BG256" s="905">
        <f t="shared" si="59"/>
        <v>0</v>
      </c>
      <c r="BH256" s="905">
        <f t="shared" si="60"/>
        <v>0</v>
      </c>
      <c r="BI256" s="713">
        <v>0</v>
      </c>
      <c r="BJ256" s="695"/>
      <c r="BK256" s="752">
        <f>IF(X257=0,0,           IF(ISNUMBER(BJ256),BJ256,               IF(ISTEXT(BJ256),INDEX(BA256:BH256,MATCH(BJ256,$BA$12:$BH$12,0)),             IF(BI256="INT",_xll.qInterp(X257,AK256:AR256,BA256:BH256),            INDEX(BA256:BH256,MATCH(BI256,$BA$12:$BH$12,0))))))</f>
        <v>0</v>
      </c>
      <c r="BL256" s="389">
        <f t="shared" si="65"/>
        <v>0</v>
      </c>
      <c r="BM256" s="394">
        <f t="shared" si="66"/>
        <v>0</v>
      </c>
      <c r="BN256" s="389">
        <f t="shared" si="67"/>
        <v>0</v>
      </c>
    </row>
    <row r="257" spans="16:66">
      <c r="P257" s="714">
        <v>0</v>
      </c>
      <c r="Q257" s="715">
        <f t="shared" si="51"/>
        <v>0</v>
      </c>
      <c r="R257" s="712">
        <f>IF(P258,_xll.qDateYears(P257,P258,DCCfixed),0)</f>
        <v>0</v>
      </c>
      <c r="S257" s="519">
        <f ca="1"/>
        <v>0</v>
      </c>
      <c r="T257" s="720"/>
      <c r="U257" s="390">
        <f t="shared" si="61"/>
        <v>0</v>
      </c>
      <c r="X257" s="345">
        <v>0</v>
      </c>
      <c r="Y257" s="711">
        <f t="shared" si="52"/>
        <v>0</v>
      </c>
      <c r="Z257" s="712">
        <f>IF(X258,_xll.qDateYears(X257,X258,DCCfloat),0)</f>
        <v>0</v>
      </c>
      <c r="AA257" s="519">
        <f ca="1"/>
        <v>0</v>
      </c>
      <c r="AB257" s="890">
        <f>IF(X257=0,0,         IF(OR(CCY="AUD",CCY="NZD",CCY="GBP"),X257,   _xll.qDateNext(X257,"-2b",,,IF(CCY="EUR","TGT","LON"))))</f>
        <v>0</v>
      </c>
      <c r="AC257" s="879" t="str">
        <v/>
      </c>
      <c r="AD257" s="879" t="str">
        <v/>
      </c>
      <c r="AE257" s="879" t="str">
        <v/>
      </c>
      <c r="AF257" s="879" t="str">
        <v/>
      </c>
      <c r="AG257" s="879" t="str">
        <v/>
      </c>
      <c r="AH257" s="879" t="str">
        <v/>
      </c>
      <c r="AI257" s="879" t="str">
        <v/>
      </c>
      <c r="AJ257" s="879" t="str">
        <v/>
      </c>
      <c r="AK257" s="882">
        <f>IF($X257=0,0,      _xll.qDateNext($X257,AK$12,$AR$11,FRM&lt;&gt;"Calypso",CCY))</f>
        <v>0</v>
      </c>
      <c r="AL257" s="882">
        <f>IF($X257=0,0,      _xll.qDateNext($X257,AL$12,$AR$11,FRM&lt;&gt;"Calypso",CCY))</f>
        <v>0</v>
      </c>
      <c r="AM257" s="882">
        <f>IF($X257=0,0,      _xll.qDateNext($X257,AM$12,$AR$11,FRM&lt;&gt;"Calypso",CCY))</f>
        <v>0</v>
      </c>
      <c r="AN257" s="882">
        <f>IF($X257=0,0,      _xll.qDateNext($X257,AN$12,$AR$11,FRM&lt;&gt;"Calypso",CCY))</f>
        <v>0</v>
      </c>
      <c r="AO257" s="882">
        <f>IF($X257=0,0,      _xll.qDateNext($X257,AO$12,$AR$11,FRM&lt;&gt;"Calypso",CCY))</f>
        <v>0</v>
      </c>
      <c r="AP257" s="882">
        <f>IF($X257=0,0,      _xll.qDateNext($X257,AP$12,$AR$11,FRM&lt;&gt;"Calypso",CCY))</f>
        <v>0</v>
      </c>
      <c r="AQ257" s="882">
        <f>IF($X257=0,0,      _xll.qDateNext($X257,AQ$12,$AR$11,FRM&lt;&gt;"Calypso",CCY))</f>
        <v>0</v>
      </c>
      <c r="AR257" s="882">
        <f>IF($X257=0,0,      _xll.qDateNext($X257,AR$12,$AR$11,FRM&lt;&gt;"Calypso",CCY))</f>
        <v>0</v>
      </c>
      <c r="AS257" s="901">
        <f ca="1"/>
        <v>0</v>
      </c>
      <c r="AT257" s="901">
        <f ca="1"/>
        <v>0</v>
      </c>
      <c r="AU257" s="901">
        <f t="shared" si="62"/>
        <v>0</v>
      </c>
      <c r="AV257" s="901">
        <f ca="1"/>
        <v>0</v>
      </c>
      <c r="AW257" s="901">
        <f t="shared" si="63"/>
        <v>0</v>
      </c>
      <c r="AX257" s="901">
        <f t="shared" si="64"/>
        <v>0</v>
      </c>
      <c r="AY257" s="901">
        <f ca="1"/>
        <v>0</v>
      </c>
      <c r="AZ257" s="901">
        <f ca="1"/>
        <v>0</v>
      </c>
      <c r="BA257" s="905">
        <f t="shared" si="53"/>
        <v>0</v>
      </c>
      <c r="BB257" s="905">
        <f t="shared" si="54"/>
        <v>0</v>
      </c>
      <c r="BC257" s="905">
        <f t="shared" si="55"/>
        <v>0</v>
      </c>
      <c r="BD257" s="905">
        <f t="shared" si="56"/>
        <v>0</v>
      </c>
      <c r="BE257" s="905">
        <f t="shared" si="57"/>
        <v>0</v>
      </c>
      <c r="BF257" s="905">
        <f t="shared" si="58"/>
        <v>0</v>
      </c>
      <c r="BG257" s="905">
        <f t="shared" si="59"/>
        <v>0</v>
      </c>
      <c r="BH257" s="905">
        <f t="shared" si="60"/>
        <v>0</v>
      </c>
      <c r="BI257" s="713">
        <v>0</v>
      </c>
      <c r="BJ257" s="695"/>
      <c r="BK257" s="752">
        <f>IF(X258=0,0,           IF(ISNUMBER(BJ257),BJ257,               IF(ISTEXT(BJ257),INDEX(BA257:BH257,MATCH(BJ257,$BA$12:$BH$12,0)),             IF(BI257="INT",_xll.qInterp(X258,AK257:AR257,BA257:BH257),            INDEX(BA257:BH257,MATCH(BI257,$BA$12:$BH$12,0))))))</f>
        <v>0</v>
      </c>
      <c r="BL257" s="389">
        <f t="shared" si="65"/>
        <v>0</v>
      </c>
      <c r="BM257" s="394">
        <f t="shared" si="66"/>
        <v>0</v>
      </c>
      <c r="BN257" s="389">
        <f t="shared" si="67"/>
        <v>0</v>
      </c>
    </row>
    <row r="258" spans="16:66">
      <c r="P258" s="714">
        <v>0</v>
      </c>
      <c r="Q258" s="715">
        <f t="shared" si="51"/>
        <v>0</v>
      </c>
      <c r="R258" s="712">
        <f>IF(P259,_xll.qDateYears(P258,P259,DCCfixed),0)</f>
        <v>0</v>
      </c>
      <c r="S258" s="519">
        <f ca="1"/>
        <v>0</v>
      </c>
      <c r="T258" s="720"/>
      <c r="U258" s="390">
        <f t="shared" si="61"/>
        <v>0</v>
      </c>
      <c r="X258" s="345">
        <v>0</v>
      </c>
      <c r="Y258" s="711">
        <f t="shared" si="52"/>
        <v>0</v>
      </c>
      <c r="Z258" s="712">
        <f>IF(X259,_xll.qDateYears(X258,X259,DCCfloat),0)</f>
        <v>0</v>
      </c>
      <c r="AA258" s="519">
        <f ca="1"/>
        <v>0</v>
      </c>
      <c r="AB258" s="890">
        <f>IF(X258=0,0,         IF(OR(CCY="AUD",CCY="NZD",CCY="GBP"),X258,   _xll.qDateNext(X258,"-2b",,,IF(CCY="EUR","TGT","LON"))))</f>
        <v>0</v>
      </c>
      <c r="AC258" s="879" t="str">
        <v/>
      </c>
      <c r="AD258" s="879" t="str">
        <v/>
      </c>
      <c r="AE258" s="879" t="str">
        <v/>
      </c>
      <c r="AF258" s="879" t="str">
        <v/>
      </c>
      <c r="AG258" s="879" t="str">
        <v/>
      </c>
      <c r="AH258" s="879" t="str">
        <v/>
      </c>
      <c r="AI258" s="879" t="str">
        <v/>
      </c>
      <c r="AJ258" s="879" t="str">
        <v/>
      </c>
      <c r="AK258" s="882">
        <f>IF($X258=0,0,      _xll.qDateNext($X258,AK$12,$AR$11,FRM&lt;&gt;"Calypso",CCY))</f>
        <v>0</v>
      </c>
      <c r="AL258" s="882">
        <f>IF($X258=0,0,      _xll.qDateNext($X258,AL$12,$AR$11,FRM&lt;&gt;"Calypso",CCY))</f>
        <v>0</v>
      </c>
      <c r="AM258" s="882">
        <f>IF($X258=0,0,      _xll.qDateNext($X258,AM$12,$AR$11,FRM&lt;&gt;"Calypso",CCY))</f>
        <v>0</v>
      </c>
      <c r="AN258" s="882">
        <f>IF($X258=0,0,      _xll.qDateNext($X258,AN$12,$AR$11,FRM&lt;&gt;"Calypso",CCY))</f>
        <v>0</v>
      </c>
      <c r="AO258" s="882">
        <f>IF($X258=0,0,      _xll.qDateNext($X258,AO$12,$AR$11,FRM&lt;&gt;"Calypso",CCY))</f>
        <v>0</v>
      </c>
      <c r="AP258" s="882">
        <f>IF($X258=0,0,      _xll.qDateNext($X258,AP$12,$AR$11,FRM&lt;&gt;"Calypso",CCY))</f>
        <v>0</v>
      </c>
      <c r="AQ258" s="882">
        <f>IF($X258=0,0,      _xll.qDateNext($X258,AQ$12,$AR$11,FRM&lt;&gt;"Calypso",CCY))</f>
        <v>0</v>
      </c>
      <c r="AR258" s="882">
        <f>IF($X258=0,0,      _xll.qDateNext($X258,AR$12,$AR$11,FRM&lt;&gt;"Calypso",CCY))</f>
        <v>0</v>
      </c>
      <c r="AS258" s="901">
        <f ca="1"/>
        <v>0</v>
      </c>
      <c r="AT258" s="901">
        <f ca="1"/>
        <v>0</v>
      </c>
      <c r="AU258" s="901">
        <f t="shared" si="62"/>
        <v>0</v>
      </c>
      <c r="AV258" s="901">
        <f ca="1"/>
        <v>0</v>
      </c>
      <c r="AW258" s="901">
        <f t="shared" si="63"/>
        <v>0</v>
      </c>
      <c r="AX258" s="901">
        <f t="shared" si="64"/>
        <v>0</v>
      </c>
      <c r="AY258" s="901">
        <f ca="1"/>
        <v>0</v>
      </c>
      <c r="AZ258" s="901">
        <f ca="1"/>
        <v>0</v>
      </c>
      <c r="BA258" s="905">
        <f t="shared" si="53"/>
        <v>0</v>
      </c>
      <c r="BB258" s="905">
        <f t="shared" si="54"/>
        <v>0</v>
      </c>
      <c r="BC258" s="905">
        <f t="shared" si="55"/>
        <v>0</v>
      </c>
      <c r="BD258" s="905">
        <f t="shared" si="56"/>
        <v>0</v>
      </c>
      <c r="BE258" s="905">
        <f t="shared" si="57"/>
        <v>0</v>
      </c>
      <c r="BF258" s="905">
        <f t="shared" si="58"/>
        <v>0</v>
      </c>
      <c r="BG258" s="905">
        <f t="shared" si="59"/>
        <v>0</v>
      </c>
      <c r="BH258" s="905">
        <f t="shared" si="60"/>
        <v>0</v>
      </c>
      <c r="BI258" s="713">
        <v>0</v>
      </c>
      <c r="BJ258" s="695"/>
      <c r="BK258" s="752">
        <f>IF(X259=0,0,           IF(ISNUMBER(BJ258),BJ258,               IF(ISTEXT(BJ258),INDEX(BA258:BH258,MATCH(BJ258,$BA$12:$BH$12,0)),             IF(BI258="INT",_xll.qInterp(X259,AK258:AR258,BA258:BH258),            INDEX(BA258:BH258,MATCH(BI258,$BA$12:$BH$12,0))))))</f>
        <v>0</v>
      </c>
      <c r="BL258" s="389">
        <f t="shared" si="65"/>
        <v>0</v>
      </c>
      <c r="BM258" s="394">
        <f t="shared" si="66"/>
        <v>0</v>
      </c>
      <c r="BN258" s="389">
        <f t="shared" si="67"/>
        <v>0</v>
      </c>
    </row>
    <row r="259" spans="16:66">
      <c r="P259" s="714">
        <v>0</v>
      </c>
      <c r="Q259" s="715">
        <f t="shared" si="51"/>
        <v>0</v>
      </c>
      <c r="R259" s="712">
        <f>IF(P260,_xll.qDateYears(P259,P260,DCCfixed),0)</f>
        <v>0</v>
      </c>
      <c r="S259" s="519">
        <f ca="1"/>
        <v>0</v>
      </c>
      <c r="T259" s="720"/>
      <c r="U259" s="390">
        <f t="shared" si="61"/>
        <v>0</v>
      </c>
      <c r="X259" s="345">
        <v>0</v>
      </c>
      <c r="Y259" s="711">
        <f t="shared" si="52"/>
        <v>0</v>
      </c>
      <c r="Z259" s="712">
        <f>IF(X260,_xll.qDateYears(X259,X260,DCCfloat),0)</f>
        <v>0</v>
      </c>
      <c r="AA259" s="519">
        <f ca="1"/>
        <v>0</v>
      </c>
      <c r="AB259" s="890">
        <f>IF(X259=0,0,         IF(OR(CCY="AUD",CCY="NZD",CCY="GBP"),X259,   _xll.qDateNext(X259,"-2b",,,IF(CCY="EUR","TGT","LON"))))</f>
        <v>0</v>
      </c>
      <c r="AC259" s="879" t="str">
        <v/>
      </c>
      <c r="AD259" s="879" t="str">
        <v/>
      </c>
      <c r="AE259" s="879" t="str">
        <v/>
      </c>
      <c r="AF259" s="879" t="str">
        <v/>
      </c>
      <c r="AG259" s="879" t="str">
        <v/>
      </c>
      <c r="AH259" s="879" t="str">
        <v/>
      </c>
      <c r="AI259" s="879" t="str">
        <v/>
      </c>
      <c r="AJ259" s="879" t="str">
        <v/>
      </c>
      <c r="AK259" s="882">
        <f>IF($X259=0,0,      _xll.qDateNext($X259,AK$12,$AR$11,FRM&lt;&gt;"Calypso",CCY))</f>
        <v>0</v>
      </c>
      <c r="AL259" s="882">
        <f>IF($X259=0,0,      _xll.qDateNext($X259,AL$12,$AR$11,FRM&lt;&gt;"Calypso",CCY))</f>
        <v>0</v>
      </c>
      <c r="AM259" s="882">
        <f>IF($X259=0,0,      _xll.qDateNext($X259,AM$12,$AR$11,FRM&lt;&gt;"Calypso",CCY))</f>
        <v>0</v>
      </c>
      <c r="AN259" s="882">
        <f>IF($X259=0,0,      _xll.qDateNext($X259,AN$12,$AR$11,FRM&lt;&gt;"Calypso",CCY))</f>
        <v>0</v>
      </c>
      <c r="AO259" s="882">
        <f>IF($X259=0,0,      _xll.qDateNext($X259,AO$12,$AR$11,FRM&lt;&gt;"Calypso",CCY))</f>
        <v>0</v>
      </c>
      <c r="AP259" s="882">
        <f>IF($X259=0,0,      _xll.qDateNext($X259,AP$12,$AR$11,FRM&lt;&gt;"Calypso",CCY))</f>
        <v>0</v>
      </c>
      <c r="AQ259" s="882">
        <f>IF($X259=0,0,      _xll.qDateNext($X259,AQ$12,$AR$11,FRM&lt;&gt;"Calypso",CCY))</f>
        <v>0</v>
      </c>
      <c r="AR259" s="882">
        <f>IF($X259=0,0,      _xll.qDateNext($X259,AR$12,$AR$11,FRM&lt;&gt;"Calypso",CCY))</f>
        <v>0</v>
      </c>
      <c r="AS259" s="901">
        <f ca="1"/>
        <v>0</v>
      </c>
      <c r="AT259" s="901">
        <f ca="1"/>
        <v>0</v>
      </c>
      <c r="AU259" s="901">
        <f t="shared" si="62"/>
        <v>0</v>
      </c>
      <c r="AV259" s="901">
        <f ca="1"/>
        <v>0</v>
      </c>
      <c r="AW259" s="901">
        <f t="shared" si="63"/>
        <v>0</v>
      </c>
      <c r="AX259" s="901">
        <f t="shared" si="64"/>
        <v>0</v>
      </c>
      <c r="AY259" s="901">
        <f ca="1"/>
        <v>0</v>
      </c>
      <c r="AZ259" s="901">
        <f ca="1"/>
        <v>0</v>
      </c>
      <c r="BA259" s="905">
        <f t="shared" si="53"/>
        <v>0</v>
      </c>
      <c r="BB259" s="905">
        <f t="shared" si="54"/>
        <v>0</v>
      </c>
      <c r="BC259" s="905">
        <f t="shared" si="55"/>
        <v>0</v>
      </c>
      <c r="BD259" s="905">
        <f t="shared" si="56"/>
        <v>0</v>
      </c>
      <c r="BE259" s="905">
        <f t="shared" si="57"/>
        <v>0</v>
      </c>
      <c r="BF259" s="905">
        <f t="shared" si="58"/>
        <v>0</v>
      </c>
      <c r="BG259" s="905">
        <f t="shared" si="59"/>
        <v>0</v>
      </c>
      <c r="BH259" s="905">
        <f t="shared" si="60"/>
        <v>0</v>
      </c>
      <c r="BI259" s="713">
        <v>0</v>
      </c>
      <c r="BJ259" s="695"/>
      <c r="BK259" s="752">
        <f>IF(X260=0,0,           IF(ISNUMBER(BJ259),BJ259,               IF(ISTEXT(BJ259),INDEX(BA259:BH259,MATCH(BJ259,$BA$12:$BH$12,0)),             IF(BI259="INT",_xll.qInterp(X260,AK259:AR259,BA259:BH259),            INDEX(BA259:BH259,MATCH(BI259,$BA$12:$BH$12,0))))))</f>
        <v>0</v>
      </c>
      <c r="BL259" s="389">
        <f t="shared" si="65"/>
        <v>0</v>
      </c>
      <c r="BM259" s="394">
        <f t="shared" si="66"/>
        <v>0</v>
      </c>
      <c r="BN259" s="389">
        <f t="shared" si="67"/>
        <v>0</v>
      </c>
    </row>
    <row r="260" spans="16:66">
      <c r="P260" s="714">
        <v>0</v>
      </c>
      <c r="Q260" s="715">
        <f t="shared" si="51"/>
        <v>0</v>
      </c>
      <c r="R260" s="712">
        <f>IF(P261,_xll.qDateYears(P260,P261,DCCfixed),0)</f>
        <v>0</v>
      </c>
      <c r="S260" s="519">
        <f ca="1"/>
        <v>0</v>
      </c>
      <c r="T260" s="720"/>
      <c r="U260" s="390">
        <f t="shared" si="61"/>
        <v>0</v>
      </c>
      <c r="X260" s="345">
        <v>0</v>
      </c>
      <c r="Y260" s="711">
        <f t="shared" si="52"/>
        <v>0</v>
      </c>
      <c r="Z260" s="712">
        <f>IF(X261,_xll.qDateYears(X260,X261,DCCfloat),0)</f>
        <v>0</v>
      </c>
      <c r="AA260" s="519">
        <f ca="1"/>
        <v>0</v>
      </c>
      <c r="AB260" s="890">
        <f>IF(X260=0,0,         IF(OR(CCY="AUD",CCY="NZD",CCY="GBP"),X260,   _xll.qDateNext(X260,"-2b",,,IF(CCY="EUR","TGT","LON"))))</f>
        <v>0</v>
      </c>
      <c r="AC260" s="879" t="str">
        <v/>
      </c>
      <c r="AD260" s="879" t="str">
        <v/>
      </c>
      <c r="AE260" s="879" t="str">
        <v/>
      </c>
      <c r="AF260" s="879" t="str">
        <v/>
      </c>
      <c r="AG260" s="879" t="str">
        <v/>
      </c>
      <c r="AH260" s="879" t="str">
        <v/>
      </c>
      <c r="AI260" s="879" t="str">
        <v/>
      </c>
      <c r="AJ260" s="879" t="str">
        <v/>
      </c>
      <c r="AK260" s="882">
        <f>IF($X260=0,0,      _xll.qDateNext($X260,AK$12,$AR$11,FRM&lt;&gt;"Calypso",CCY))</f>
        <v>0</v>
      </c>
      <c r="AL260" s="882">
        <f>IF($X260=0,0,      _xll.qDateNext($X260,AL$12,$AR$11,FRM&lt;&gt;"Calypso",CCY))</f>
        <v>0</v>
      </c>
      <c r="AM260" s="882">
        <f>IF($X260=0,0,      _xll.qDateNext($X260,AM$12,$AR$11,FRM&lt;&gt;"Calypso",CCY))</f>
        <v>0</v>
      </c>
      <c r="AN260" s="882">
        <f>IF($X260=0,0,      _xll.qDateNext($X260,AN$12,$AR$11,FRM&lt;&gt;"Calypso",CCY))</f>
        <v>0</v>
      </c>
      <c r="AO260" s="882">
        <f>IF($X260=0,0,      _xll.qDateNext($X260,AO$12,$AR$11,FRM&lt;&gt;"Calypso",CCY))</f>
        <v>0</v>
      </c>
      <c r="AP260" s="882">
        <f>IF($X260=0,0,      _xll.qDateNext($X260,AP$12,$AR$11,FRM&lt;&gt;"Calypso",CCY))</f>
        <v>0</v>
      </c>
      <c r="AQ260" s="882">
        <f>IF($X260=0,0,      _xll.qDateNext($X260,AQ$12,$AR$11,FRM&lt;&gt;"Calypso",CCY))</f>
        <v>0</v>
      </c>
      <c r="AR260" s="882">
        <f>IF($X260=0,0,      _xll.qDateNext($X260,AR$12,$AR$11,FRM&lt;&gt;"Calypso",CCY))</f>
        <v>0</v>
      </c>
      <c r="AS260" s="901">
        <f ca="1"/>
        <v>0</v>
      </c>
      <c r="AT260" s="901">
        <f ca="1"/>
        <v>0</v>
      </c>
      <c r="AU260" s="901">
        <f t="shared" si="62"/>
        <v>0</v>
      </c>
      <c r="AV260" s="901">
        <f ca="1"/>
        <v>0</v>
      </c>
      <c r="AW260" s="901">
        <f t="shared" si="63"/>
        <v>0</v>
      </c>
      <c r="AX260" s="901">
        <f t="shared" si="64"/>
        <v>0</v>
      </c>
      <c r="AY260" s="901">
        <f ca="1"/>
        <v>0</v>
      </c>
      <c r="AZ260" s="901">
        <f ca="1"/>
        <v>0</v>
      </c>
      <c r="BA260" s="905">
        <f t="shared" si="53"/>
        <v>0</v>
      </c>
      <c r="BB260" s="905">
        <f t="shared" si="54"/>
        <v>0</v>
      </c>
      <c r="BC260" s="905">
        <f t="shared" si="55"/>
        <v>0</v>
      </c>
      <c r="BD260" s="905">
        <f t="shared" si="56"/>
        <v>0</v>
      </c>
      <c r="BE260" s="905">
        <f t="shared" si="57"/>
        <v>0</v>
      </c>
      <c r="BF260" s="905">
        <f t="shared" si="58"/>
        <v>0</v>
      </c>
      <c r="BG260" s="905">
        <f t="shared" si="59"/>
        <v>0</v>
      </c>
      <c r="BH260" s="905">
        <f t="shared" si="60"/>
        <v>0</v>
      </c>
      <c r="BI260" s="713">
        <v>0</v>
      </c>
      <c r="BJ260" s="695"/>
      <c r="BK260" s="752">
        <f>IF(X261=0,0,           IF(ISNUMBER(BJ260),BJ260,               IF(ISTEXT(BJ260),INDEX(BA260:BH260,MATCH(BJ260,$BA$12:$BH$12,0)),             IF(BI260="INT",_xll.qInterp(X261,AK260:AR260,BA260:BH260),            INDEX(BA260:BH260,MATCH(BI260,$BA$12:$BH$12,0))))))</f>
        <v>0</v>
      </c>
      <c r="BL260" s="389">
        <f t="shared" si="65"/>
        <v>0</v>
      </c>
      <c r="BM260" s="394">
        <f t="shared" si="66"/>
        <v>0</v>
      </c>
      <c r="BN260" s="389">
        <f t="shared" si="67"/>
        <v>0</v>
      </c>
    </row>
    <row r="261" spans="16:66">
      <c r="P261" s="714">
        <v>0</v>
      </c>
      <c r="Q261" s="715">
        <f t="shared" si="51"/>
        <v>0</v>
      </c>
      <c r="R261" s="712">
        <f>IF(P262,_xll.qDateYears(P261,P262,DCCfixed),0)</f>
        <v>0</v>
      </c>
      <c r="S261" s="519">
        <f ca="1"/>
        <v>0</v>
      </c>
      <c r="T261" s="720"/>
      <c r="U261" s="390">
        <f t="shared" si="61"/>
        <v>0</v>
      </c>
      <c r="X261" s="345">
        <v>0</v>
      </c>
      <c r="Y261" s="711">
        <f t="shared" si="52"/>
        <v>0</v>
      </c>
      <c r="Z261" s="712">
        <f>IF(X262,_xll.qDateYears(X261,X262,DCCfloat),0)</f>
        <v>0</v>
      </c>
      <c r="AA261" s="519">
        <f ca="1"/>
        <v>0</v>
      </c>
      <c r="AB261" s="890">
        <f>IF(X261=0,0,         IF(OR(CCY="AUD",CCY="NZD",CCY="GBP"),X261,   _xll.qDateNext(X261,"-2b",,,IF(CCY="EUR","TGT","LON"))))</f>
        <v>0</v>
      </c>
      <c r="AC261" s="879" t="str">
        <v/>
      </c>
      <c r="AD261" s="879" t="str">
        <v/>
      </c>
      <c r="AE261" s="879" t="str">
        <v/>
      </c>
      <c r="AF261" s="879" t="str">
        <v/>
      </c>
      <c r="AG261" s="879" t="str">
        <v/>
      </c>
      <c r="AH261" s="879" t="str">
        <v/>
      </c>
      <c r="AI261" s="879" t="str">
        <v/>
      </c>
      <c r="AJ261" s="879" t="str">
        <v/>
      </c>
      <c r="AK261" s="882">
        <f>IF($X261=0,0,      _xll.qDateNext($X261,AK$12,$AR$11,FRM&lt;&gt;"Calypso",CCY))</f>
        <v>0</v>
      </c>
      <c r="AL261" s="882">
        <f>IF($X261=0,0,      _xll.qDateNext($X261,AL$12,$AR$11,FRM&lt;&gt;"Calypso",CCY))</f>
        <v>0</v>
      </c>
      <c r="AM261" s="882">
        <f>IF($X261=0,0,      _xll.qDateNext($X261,AM$12,$AR$11,FRM&lt;&gt;"Calypso",CCY))</f>
        <v>0</v>
      </c>
      <c r="AN261" s="882">
        <f>IF($X261=0,0,      _xll.qDateNext($X261,AN$12,$AR$11,FRM&lt;&gt;"Calypso",CCY))</f>
        <v>0</v>
      </c>
      <c r="AO261" s="882">
        <f>IF($X261=0,0,      _xll.qDateNext($X261,AO$12,$AR$11,FRM&lt;&gt;"Calypso",CCY))</f>
        <v>0</v>
      </c>
      <c r="AP261" s="882">
        <f>IF($X261=0,0,      _xll.qDateNext($X261,AP$12,$AR$11,FRM&lt;&gt;"Calypso",CCY))</f>
        <v>0</v>
      </c>
      <c r="AQ261" s="882">
        <f>IF($X261=0,0,      _xll.qDateNext($X261,AQ$12,$AR$11,FRM&lt;&gt;"Calypso",CCY))</f>
        <v>0</v>
      </c>
      <c r="AR261" s="882">
        <f>IF($X261=0,0,      _xll.qDateNext($X261,AR$12,$AR$11,FRM&lt;&gt;"Calypso",CCY))</f>
        <v>0</v>
      </c>
      <c r="AS261" s="901">
        <f ca="1"/>
        <v>0</v>
      </c>
      <c r="AT261" s="901">
        <f ca="1"/>
        <v>0</v>
      </c>
      <c r="AU261" s="901">
        <f t="shared" si="62"/>
        <v>0</v>
      </c>
      <c r="AV261" s="901">
        <f ca="1"/>
        <v>0</v>
      </c>
      <c r="AW261" s="901">
        <f t="shared" si="63"/>
        <v>0</v>
      </c>
      <c r="AX261" s="901">
        <f t="shared" si="64"/>
        <v>0</v>
      </c>
      <c r="AY261" s="901">
        <f ca="1"/>
        <v>0</v>
      </c>
      <c r="AZ261" s="901">
        <f ca="1"/>
        <v>0</v>
      </c>
      <c r="BA261" s="905">
        <f t="shared" si="53"/>
        <v>0</v>
      </c>
      <c r="BB261" s="905">
        <f t="shared" si="54"/>
        <v>0</v>
      </c>
      <c r="BC261" s="905">
        <f t="shared" si="55"/>
        <v>0</v>
      </c>
      <c r="BD261" s="905">
        <f t="shared" si="56"/>
        <v>0</v>
      </c>
      <c r="BE261" s="905">
        <f t="shared" si="57"/>
        <v>0</v>
      </c>
      <c r="BF261" s="905">
        <f t="shared" si="58"/>
        <v>0</v>
      </c>
      <c r="BG261" s="905">
        <f t="shared" si="59"/>
        <v>0</v>
      </c>
      <c r="BH261" s="905">
        <f t="shared" si="60"/>
        <v>0</v>
      </c>
      <c r="BI261" s="713">
        <v>0</v>
      </c>
      <c r="BJ261" s="695"/>
      <c r="BK261" s="752">
        <f>IF(X262=0,0,           IF(ISNUMBER(BJ261),BJ261,               IF(ISTEXT(BJ261),INDEX(BA261:BH261,MATCH(BJ261,$BA$12:$BH$12,0)),             IF(BI261="INT",_xll.qInterp(X262,AK261:AR261,BA261:BH261),            INDEX(BA261:BH261,MATCH(BI261,$BA$12:$BH$12,0))))))</f>
        <v>0</v>
      </c>
      <c r="BL261" s="389">
        <f t="shared" si="65"/>
        <v>0</v>
      </c>
      <c r="BM261" s="394">
        <f t="shared" si="66"/>
        <v>0</v>
      </c>
      <c r="BN261" s="389">
        <f t="shared" si="67"/>
        <v>0</v>
      </c>
    </row>
    <row r="262" spans="16:66">
      <c r="P262" s="714">
        <v>0</v>
      </c>
      <c r="Q262" s="715">
        <f t="shared" si="51"/>
        <v>0</v>
      </c>
      <c r="R262" s="712">
        <f>IF(P263,_xll.qDateYears(P262,P263,DCCfixed),0)</f>
        <v>0</v>
      </c>
      <c r="S262" s="519">
        <f ca="1"/>
        <v>0</v>
      </c>
      <c r="T262" s="720"/>
      <c r="U262" s="390">
        <f t="shared" si="61"/>
        <v>0</v>
      </c>
      <c r="X262" s="345">
        <v>0</v>
      </c>
      <c r="Y262" s="711">
        <f t="shared" si="52"/>
        <v>0</v>
      </c>
      <c r="Z262" s="712">
        <f>IF(X263,_xll.qDateYears(X262,X263,DCCfloat),0)</f>
        <v>0</v>
      </c>
      <c r="AA262" s="519">
        <f ca="1"/>
        <v>0</v>
      </c>
      <c r="AB262" s="890">
        <f>IF(X262=0,0,         IF(OR(CCY="AUD",CCY="NZD",CCY="GBP"),X262,   _xll.qDateNext(X262,"-2b",,,IF(CCY="EUR","TGT","LON"))))</f>
        <v>0</v>
      </c>
      <c r="AC262" s="879" t="str">
        <v/>
      </c>
      <c r="AD262" s="879" t="str">
        <v/>
      </c>
      <c r="AE262" s="879" t="str">
        <v/>
      </c>
      <c r="AF262" s="879" t="str">
        <v/>
      </c>
      <c r="AG262" s="879" t="str">
        <v/>
      </c>
      <c r="AH262" s="879" t="str">
        <v/>
      </c>
      <c r="AI262" s="879" t="str">
        <v/>
      </c>
      <c r="AJ262" s="879" t="str">
        <v/>
      </c>
      <c r="AK262" s="882">
        <f>IF($X262=0,0,      _xll.qDateNext($X262,AK$12,$AR$11,FRM&lt;&gt;"Calypso",CCY))</f>
        <v>0</v>
      </c>
      <c r="AL262" s="882">
        <f>IF($X262=0,0,      _xll.qDateNext($X262,AL$12,$AR$11,FRM&lt;&gt;"Calypso",CCY))</f>
        <v>0</v>
      </c>
      <c r="AM262" s="882">
        <f>IF($X262=0,0,      _xll.qDateNext($X262,AM$12,$AR$11,FRM&lt;&gt;"Calypso",CCY))</f>
        <v>0</v>
      </c>
      <c r="AN262" s="882">
        <f>IF($X262=0,0,      _xll.qDateNext($X262,AN$12,$AR$11,FRM&lt;&gt;"Calypso",CCY))</f>
        <v>0</v>
      </c>
      <c r="AO262" s="882">
        <f>IF($X262=0,0,      _xll.qDateNext($X262,AO$12,$AR$11,FRM&lt;&gt;"Calypso",CCY))</f>
        <v>0</v>
      </c>
      <c r="AP262" s="882">
        <f>IF($X262=0,0,      _xll.qDateNext($X262,AP$12,$AR$11,FRM&lt;&gt;"Calypso",CCY))</f>
        <v>0</v>
      </c>
      <c r="AQ262" s="882">
        <f>IF($X262=0,0,      _xll.qDateNext($X262,AQ$12,$AR$11,FRM&lt;&gt;"Calypso",CCY))</f>
        <v>0</v>
      </c>
      <c r="AR262" s="882">
        <f>IF($X262=0,0,      _xll.qDateNext($X262,AR$12,$AR$11,FRM&lt;&gt;"Calypso",CCY))</f>
        <v>0</v>
      </c>
      <c r="AS262" s="901">
        <f ca="1"/>
        <v>0</v>
      </c>
      <c r="AT262" s="901">
        <f ca="1"/>
        <v>0</v>
      </c>
      <c r="AU262" s="901">
        <f t="shared" si="62"/>
        <v>0</v>
      </c>
      <c r="AV262" s="901">
        <f ca="1"/>
        <v>0</v>
      </c>
      <c r="AW262" s="901">
        <f t="shared" si="63"/>
        <v>0</v>
      </c>
      <c r="AX262" s="901">
        <f t="shared" si="64"/>
        <v>0</v>
      </c>
      <c r="AY262" s="901">
        <f ca="1"/>
        <v>0</v>
      </c>
      <c r="AZ262" s="901">
        <f ca="1"/>
        <v>0</v>
      </c>
      <c r="BA262" s="905">
        <f t="shared" si="53"/>
        <v>0</v>
      </c>
      <c r="BB262" s="905">
        <f t="shared" si="54"/>
        <v>0</v>
      </c>
      <c r="BC262" s="905">
        <f t="shared" si="55"/>
        <v>0</v>
      </c>
      <c r="BD262" s="905">
        <f t="shared" si="56"/>
        <v>0</v>
      </c>
      <c r="BE262" s="905">
        <f t="shared" si="57"/>
        <v>0</v>
      </c>
      <c r="BF262" s="905">
        <f t="shared" si="58"/>
        <v>0</v>
      </c>
      <c r="BG262" s="905">
        <f t="shared" si="59"/>
        <v>0</v>
      </c>
      <c r="BH262" s="905">
        <f t="shared" si="60"/>
        <v>0</v>
      </c>
      <c r="BI262" s="713">
        <v>0</v>
      </c>
      <c r="BJ262" s="695"/>
      <c r="BK262" s="752">
        <f>IF(X263=0,0,           IF(ISNUMBER(BJ262),BJ262,               IF(ISTEXT(BJ262),INDEX(BA262:BH262,MATCH(BJ262,$BA$12:$BH$12,0)),             IF(BI262="INT",_xll.qInterp(X263,AK262:AR262,BA262:BH262),            INDEX(BA262:BH262,MATCH(BI262,$BA$12:$BH$12,0))))))</f>
        <v>0</v>
      </c>
      <c r="BL262" s="389">
        <f t="shared" si="65"/>
        <v>0</v>
      </c>
      <c r="BM262" s="394">
        <f t="shared" si="66"/>
        <v>0</v>
      </c>
      <c r="BN262" s="389">
        <f t="shared" si="67"/>
        <v>0</v>
      </c>
    </row>
    <row r="263" spans="16:66">
      <c r="P263" s="716">
        <v>0</v>
      </c>
      <c r="Q263" s="715">
        <f t="shared" si="51"/>
        <v>0</v>
      </c>
      <c r="R263" s="712">
        <f>IF(P264,_xll.qDateYears(P263,P264,DCCfixed),0)</f>
        <v>0</v>
      </c>
      <c r="S263" s="519">
        <f ca="1"/>
        <v>0</v>
      </c>
      <c r="T263" s="720"/>
      <c r="U263" s="390">
        <f t="shared" si="61"/>
        <v>0</v>
      </c>
      <c r="X263" s="345">
        <v>0</v>
      </c>
      <c r="Y263" s="711">
        <f t="shared" si="52"/>
        <v>0</v>
      </c>
      <c r="Z263" s="712">
        <f>IF(X264,_xll.qDateYears(X263,X264,DCCfloat),0)</f>
        <v>0</v>
      </c>
      <c r="AA263" s="519">
        <f ca="1"/>
        <v>0</v>
      </c>
      <c r="AB263" s="890">
        <f>IF(X263=0,0,         IF(OR(CCY="AUD",CCY="NZD",CCY="GBP"),X263,   _xll.qDateNext(X263,"-2b",,,IF(CCY="EUR","TGT","LON"))))</f>
        <v>0</v>
      </c>
      <c r="AC263" s="879" t="str">
        <v/>
      </c>
      <c r="AD263" s="879" t="str">
        <v/>
      </c>
      <c r="AE263" s="879" t="str">
        <v/>
      </c>
      <c r="AF263" s="879" t="str">
        <v/>
      </c>
      <c r="AG263" s="879" t="str">
        <v/>
      </c>
      <c r="AH263" s="879" t="str">
        <v/>
      </c>
      <c r="AI263" s="879" t="str">
        <v/>
      </c>
      <c r="AJ263" s="879" t="str">
        <v/>
      </c>
      <c r="AK263" s="882">
        <f>IF($X263=0,0,      _xll.qDateNext($X263,AK$12,$AR$11,FRM&lt;&gt;"Calypso",CCY))</f>
        <v>0</v>
      </c>
      <c r="AL263" s="882">
        <f>IF($X263=0,0,      _xll.qDateNext($X263,AL$12,$AR$11,FRM&lt;&gt;"Calypso",CCY))</f>
        <v>0</v>
      </c>
      <c r="AM263" s="882">
        <f>IF($X263=0,0,      _xll.qDateNext($X263,AM$12,$AR$11,FRM&lt;&gt;"Calypso",CCY))</f>
        <v>0</v>
      </c>
      <c r="AN263" s="882">
        <f>IF($X263=0,0,      _xll.qDateNext($X263,AN$12,$AR$11,FRM&lt;&gt;"Calypso",CCY))</f>
        <v>0</v>
      </c>
      <c r="AO263" s="882">
        <f>IF($X263=0,0,      _xll.qDateNext($X263,AO$12,$AR$11,FRM&lt;&gt;"Calypso",CCY))</f>
        <v>0</v>
      </c>
      <c r="AP263" s="882">
        <f>IF($X263=0,0,      _xll.qDateNext($X263,AP$12,$AR$11,FRM&lt;&gt;"Calypso",CCY))</f>
        <v>0</v>
      </c>
      <c r="AQ263" s="882">
        <f>IF($X263=0,0,      _xll.qDateNext($X263,AQ$12,$AR$11,FRM&lt;&gt;"Calypso",CCY))</f>
        <v>0</v>
      </c>
      <c r="AR263" s="882">
        <f>IF($X263=0,0,      _xll.qDateNext($X263,AR$12,$AR$11,FRM&lt;&gt;"Calypso",CCY))</f>
        <v>0</v>
      </c>
      <c r="AS263" s="901">
        <f ca="1"/>
        <v>0</v>
      </c>
      <c r="AT263" s="901">
        <f ca="1"/>
        <v>0</v>
      </c>
      <c r="AU263" s="901">
        <f t="shared" si="62"/>
        <v>0</v>
      </c>
      <c r="AV263" s="901">
        <f ca="1"/>
        <v>0</v>
      </c>
      <c r="AW263" s="901">
        <f t="shared" si="63"/>
        <v>0</v>
      </c>
      <c r="AX263" s="901">
        <f t="shared" si="64"/>
        <v>0</v>
      </c>
      <c r="AY263" s="901">
        <f ca="1"/>
        <v>0</v>
      </c>
      <c r="AZ263" s="901">
        <f ca="1"/>
        <v>0</v>
      </c>
      <c r="BA263" s="905">
        <f t="shared" si="53"/>
        <v>0</v>
      </c>
      <c r="BB263" s="905">
        <f t="shared" si="54"/>
        <v>0</v>
      </c>
      <c r="BC263" s="905">
        <f t="shared" si="55"/>
        <v>0</v>
      </c>
      <c r="BD263" s="905">
        <f t="shared" si="56"/>
        <v>0</v>
      </c>
      <c r="BE263" s="905">
        <f t="shared" si="57"/>
        <v>0</v>
      </c>
      <c r="BF263" s="905">
        <f t="shared" si="58"/>
        <v>0</v>
      </c>
      <c r="BG263" s="905">
        <f t="shared" si="59"/>
        <v>0</v>
      </c>
      <c r="BH263" s="905">
        <f t="shared" si="60"/>
        <v>0</v>
      </c>
      <c r="BI263" s="713">
        <v>0</v>
      </c>
      <c r="BJ263" s="695"/>
      <c r="BK263" s="752">
        <f>IF(X264=0,0,           IF(ISNUMBER(BJ263),BJ263,               IF(ISTEXT(BJ263),INDEX(BA263:BH263,MATCH(BJ263,$BA$12:$BH$12,0)),             IF(BI263="INT",_xll.qInterp(X264,AK263:AR263,BA263:BH263),            INDEX(BA263:BH263,MATCH(BI263,$BA$12:$BH$12,0))))))</f>
        <v>0</v>
      </c>
      <c r="BL263" s="389">
        <f t="shared" si="65"/>
        <v>0</v>
      </c>
      <c r="BM263" s="394">
        <f t="shared" si="66"/>
        <v>0</v>
      </c>
      <c r="BN263" s="389">
        <f t="shared" si="67"/>
        <v>0</v>
      </c>
    </row>
    <row r="264" spans="16:66">
      <c r="P264" s="716">
        <v>0</v>
      </c>
      <c r="Q264" s="715">
        <f t="shared" si="51"/>
        <v>0</v>
      </c>
      <c r="R264" s="712">
        <f>IF(P265,_xll.qDateYears(P264,P265,DCCfixed),0)</f>
        <v>0</v>
      </c>
      <c r="S264" s="519">
        <f ca="1"/>
        <v>0</v>
      </c>
      <c r="T264" s="720"/>
      <c r="U264" s="390">
        <f t="shared" si="61"/>
        <v>0</v>
      </c>
      <c r="X264" s="345">
        <v>0</v>
      </c>
      <c r="Y264" s="711">
        <f t="shared" si="52"/>
        <v>0</v>
      </c>
      <c r="Z264" s="712">
        <f>IF(X265,_xll.qDateYears(X264,X265,DCCfloat),0)</f>
        <v>0</v>
      </c>
      <c r="AA264" s="519">
        <f ca="1"/>
        <v>0</v>
      </c>
      <c r="AB264" s="890">
        <f>IF(X264=0,0,         IF(OR(CCY="AUD",CCY="NZD",CCY="GBP"),X264,   _xll.qDateNext(X264,"-2b",,,IF(CCY="EUR","TGT","LON"))))</f>
        <v>0</v>
      </c>
      <c r="AC264" s="879" t="str">
        <v/>
      </c>
      <c r="AD264" s="879" t="str">
        <v/>
      </c>
      <c r="AE264" s="879" t="str">
        <v/>
      </c>
      <c r="AF264" s="879" t="str">
        <v/>
      </c>
      <c r="AG264" s="879" t="str">
        <v/>
      </c>
      <c r="AH264" s="879" t="str">
        <v/>
      </c>
      <c r="AI264" s="879" t="str">
        <v/>
      </c>
      <c r="AJ264" s="879" t="str">
        <v/>
      </c>
      <c r="AK264" s="882">
        <f>IF($X264=0,0,      _xll.qDateNext($X264,AK$12,$AR$11,FRM&lt;&gt;"Calypso",CCY))</f>
        <v>0</v>
      </c>
      <c r="AL264" s="882">
        <f>IF($X264=0,0,      _xll.qDateNext($X264,AL$12,$AR$11,FRM&lt;&gt;"Calypso",CCY))</f>
        <v>0</v>
      </c>
      <c r="AM264" s="882">
        <f>IF($X264=0,0,      _xll.qDateNext($X264,AM$12,$AR$11,FRM&lt;&gt;"Calypso",CCY))</f>
        <v>0</v>
      </c>
      <c r="AN264" s="882">
        <f>IF($X264=0,0,      _xll.qDateNext($X264,AN$12,$AR$11,FRM&lt;&gt;"Calypso",CCY))</f>
        <v>0</v>
      </c>
      <c r="AO264" s="882">
        <f>IF($X264=0,0,      _xll.qDateNext($X264,AO$12,$AR$11,FRM&lt;&gt;"Calypso",CCY))</f>
        <v>0</v>
      </c>
      <c r="AP264" s="882">
        <f>IF($X264=0,0,      _xll.qDateNext($X264,AP$12,$AR$11,FRM&lt;&gt;"Calypso",CCY))</f>
        <v>0</v>
      </c>
      <c r="AQ264" s="882">
        <f>IF($X264=0,0,      _xll.qDateNext($X264,AQ$12,$AR$11,FRM&lt;&gt;"Calypso",CCY))</f>
        <v>0</v>
      </c>
      <c r="AR264" s="882">
        <f>IF($X264=0,0,      _xll.qDateNext($X264,AR$12,$AR$11,FRM&lt;&gt;"Calypso",CCY))</f>
        <v>0</v>
      </c>
      <c r="AS264" s="901">
        <f ca="1"/>
        <v>0</v>
      </c>
      <c r="AT264" s="901">
        <f ca="1"/>
        <v>0</v>
      </c>
      <c r="AU264" s="901">
        <f t="shared" si="62"/>
        <v>0</v>
      </c>
      <c r="AV264" s="901">
        <f ca="1"/>
        <v>0</v>
      </c>
      <c r="AW264" s="901">
        <f t="shared" si="63"/>
        <v>0</v>
      </c>
      <c r="AX264" s="901">
        <f t="shared" si="64"/>
        <v>0</v>
      </c>
      <c r="AY264" s="901">
        <f ca="1"/>
        <v>0</v>
      </c>
      <c r="AZ264" s="901">
        <f ca="1"/>
        <v>0</v>
      </c>
      <c r="BA264" s="905">
        <f t="shared" si="53"/>
        <v>0</v>
      </c>
      <c r="BB264" s="905">
        <f t="shared" si="54"/>
        <v>0</v>
      </c>
      <c r="BC264" s="905">
        <f t="shared" si="55"/>
        <v>0</v>
      </c>
      <c r="BD264" s="905">
        <f t="shared" si="56"/>
        <v>0</v>
      </c>
      <c r="BE264" s="905">
        <f t="shared" si="57"/>
        <v>0</v>
      </c>
      <c r="BF264" s="905">
        <f t="shared" si="58"/>
        <v>0</v>
      </c>
      <c r="BG264" s="905">
        <f t="shared" si="59"/>
        <v>0</v>
      </c>
      <c r="BH264" s="905">
        <f t="shared" si="60"/>
        <v>0</v>
      </c>
      <c r="BI264" s="713">
        <v>0</v>
      </c>
      <c r="BJ264" s="695"/>
      <c r="BK264" s="752">
        <f>IF(X265=0,0,           IF(ISNUMBER(BJ264),BJ264,               IF(ISTEXT(BJ264),INDEX(BA264:BH264,MATCH(BJ264,$BA$12:$BH$12,0)),             IF(BI264="INT",_xll.qInterp(X265,AK264:AR264,BA264:BH264),            INDEX(BA264:BH264,MATCH(BI264,$BA$12:$BH$12,0))))))</f>
        <v>0</v>
      </c>
      <c r="BL264" s="389">
        <f t="shared" si="65"/>
        <v>0</v>
      </c>
      <c r="BM264" s="394">
        <f t="shared" si="66"/>
        <v>0</v>
      </c>
      <c r="BN264" s="389">
        <f t="shared" si="67"/>
        <v>0</v>
      </c>
    </row>
    <row r="265" spans="16:66">
      <c r="P265" s="716">
        <v>0</v>
      </c>
      <c r="Q265" s="715">
        <f t="shared" si="51"/>
        <v>0</v>
      </c>
      <c r="R265" s="712">
        <f>IF(P266,_xll.qDateYears(P265,P266,DCCfixed),0)</f>
        <v>0</v>
      </c>
      <c r="S265" s="519">
        <f ca="1"/>
        <v>0</v>
      </c>
      <c r="T265" s="720"/>
      <c r="U265" s="390">
        <f t="shared" si="61"/>
        <v>0</v>
      </c>
      <c r="X265" s="345">
        <v>0</v>
      </c>
      <c r="Y265" s="711">
        <f t="shared" si="52"/>
        <v>0</v>
      </c>
      <c r="Z265" s="712">
        <f>IF(X266,_xll.qDateYears(X265,X266,DCCfloat),0)</f>
        <v>0</v>
      </c>
      <c r="AA265" s="519">
        <f ca="1"/>
        <v>0</v>
      </c>
      <c r="AB265" s="890">
        <f>IF(X265=0,0,         IF(OR(CCY="AUD",CCY="NZD",CCY="GBP"),X265,   _xll.qDateNext(X265,"-2b",,,IF(CCY="EUR","TGT","LON"))))</f>
        <v>0</v>
      </c>
      <c r="AC265" s="879" t="str">
        <v/>
      </c>
      <c r="AD265" s="879" t="str">
        <v/>
      </c>
      <c r="AE265" s="879" t="str">
        <v/>
      </c>
      <c r="AF265" s="879" t="str">
        <v/>
      </c>
      <c r="AG265" s="879" t="str">
        <v/>
      </c>
      <c r="AH265" s="879" t="str">
        <v/>
      </c>
      <c r="AI265" s="879" t="str">
        <v/>
      </c>
      <c r="AJ265" s="879" t="str">
        <v/>
      </c>
      <c r="AK265" s="882">
        <f>IF($X265=0,0,      _xll.qDateNext($X265,AK$12,$AR$11,FRM&lt;&gt;"Calypso",CCY))</f>
        <v>0</v>
      </c>
      <c r="AL265" s="882">
        <f>IF($X265=0,0,      _xll.qDateNext($X265,AL$12,$AR$11,FRM&lt;&gt;"Calypso",CCY))</f>
        <v>0</v>
      </c>
      <c r="AM265" s="882">
        <f>IF($X265=0,0,      _xll.qDateNext($X265,AM$12,$AR$11,FRM&lt;&gt;"Calypso",CCY))</f>
        <v>0</v>
      </c>
      <c r="AN265" s="882">
        <f>IF($X265=0,0,      _xll.qDateNext($X265,AN$12,$AR$11,FRM&lt;&gt;"Calypso",CCY))</f>
        <v>0</v>
      </c>
      <c r="AO265" s="882">
        <f>IF($X265=0,0,      _xll.qDateNext($X265,AO$12,$AR$11,FRM&lt;&gt;"Calypso",CCY))</f>
        <v>0</v>
      </c>
      <c r="AP265" s="882">
        <f>IF($X265=0,0,      _xll.qDateNext($X265,AP$12,$AR$11,FRM&lt;&gt;"Calypso",CCY))</f>
        <v>0</v>
      </c>
      <c r="AQ265" s="882">
        <f>IF($X265=0,0,      _xll.qDateNext($X265,AQ$12,$AR$11,FRM&lt;&gt;"Calypso",CCY))</f>
        <v>0</v>
      </c>
      <c r="AR265" s="882">
        <f>IF($X265=0,0,      _xll.qDateNext($X265,AR$12,$AR$11,FRM&lt;&gt;"Calypso",CCY))</f>
        <v>0</v>
      </c>
      <c r="AS265" s="901">
        <f ca="1"/>
        <v>0</v>
      </c>
      <c r="AT265" s="901">
        <f ca="1"/>
        <v>0</v>
      </c>
      <c r="AU265" s="901">
        <f t="shared" si="62"/>
        <v>0</v>
      </c>
      <c r="AV265" s="901">
        <f ca="1"/>
        <v>0</v>
      </c>
      <c r="AW265" s="901">
        <f t="shared" si="63"/>
        <v>0</v>
      </c>
      <c r="AX265" s="901">
        <f t="shared" si="64"/>
        <v>0</v>
      </c>
      <c r="AY265" s="901">
        <f ca="1"/>
        <v>0</v>
      </c>
      <c r="AZ265" s="901">
        <f ca="1"/>
        <v>0</v>
      </c>
      <c r="BA265" s="905">
        <f t="shared" si="53"/>
        <v>0</v>
      </c>
      <c r="BB265" s="905">
        <f t="shared" si="54"/>
        <v>0</v>
      </c>
      <c r="BC265" s="905">
        <f t="shared" si="55"/>
        <v>0</v>
      </c>
      <c r="BD265" s="905">
        <f t="shared" si="56"/>
        <v>0</v>
      </c>
      <c r="BE265" s="905">
        <f t="shared" si="57"/>
        <v>0</v>
      </c>
      <c r="BF265" s="905">
        <f t="shared" si="58"/>
        <v>0</v>
      </c>
      <c r="BG265" s="905">
        <f t="shared" si="59"/>
        <v>0</v>
      </c>
      <c r="BH265" s="905">
        <f t="shared" si="60"/>
        <v>0</v>
      </c>
      <c r="BI265" s="713">
        <v>0</v>
      </c>
      <c r="BJ265" s="695"/>
      <c r="BK265" s="752">
        <f>IF(X266=0,0,           IF(ISNUMBER(BJ265),BJ265,               IF(ISTEXT(BJ265),INDEX(BA265:BH265,MATCH(BJ265,$BA$12:$BH$12,0)),             IF(BI265="INT",_xll.qInterp(X266,AK265:AR265,BA265:BH265),            INDEX(BA265:BH265,MATCH(BI265,$BA$12:$BH$12,0))))))</f>
        <v>0</v>
      </c>
      <c r="BL265" s="389">
        <f t="shared" si="65"/>
        <v>0</v>
      </c>
      <c r="BM265" s="394">
        <f t="shared" si="66"/>
        <v>0</v>
      </c>
      <c r="BN265" s="389">
        <f t="shared" si="67"/>
        <v>0</v>
      </c>
    </row>
    <row r="266" spans="16:66">
      <c r="P266" s="716">
        <v>0</v>
      </c>
      <c r="Q266" s="715">
        <f t="shared" si="51"/>
        <v>0</v>
      </c>
      <c r="R266" s="712">
        <f>IF(P267,_xll.qDateYears(P266,P267,DCCfixed),0)</f>
        <v>0</v>
      </c>
      <c r="S266" s="519">
        <f ca="1"/>
        <v>0</v>
      </c>
      <c r="T266" s="720"/>
      <c r="U266" s="390">
        <f t="shared" si="61"/>
        <v>0</v>
      </c>
      <c r="X266" s="345">
        <v>0</v>
      </c>
      <c r="Y266" s="711">
        <f t="shared" si="52"/>
        <v>0</v>
      </c>
      <c r="Z266" s="712">
        <f>IF(X267,_xll.qDateYears(X266,X267,DCCfloat),0)</f>
        <v>0</v>
      </c>
      <c r="AA266" s="519">
        <f ca="1"/>
        <v>0</v>
      </c>
      <c r="AB266" s="890">
        <f>IF(X266=0,0,         IF(OR(CCY="AUD",CCY="NZD",CCY="GBP"),X266,   _xll.qDateNext(X266,"-2b",,,IF(CCY="EUR","TGT","LON"))))</f>
        <v>0</v>
      </c>
      <c r="AC266" s="879" t="str">
        <v/>
      </c>
      <c r="AD266" s="879" t="str">
        <v/>
      </c>
      <c r="AE266" s="879" t="str">
        <v/>
      </c>
      <c r="AF266" s="879" t="str">
        <v/>
      </c>
      <c r="AG266" s="879" t="str">
        <v/>
      </c>
      <c r="AH266" s="879" t="str">
        <v/>
      </c>
      <c r="AI266" s="879" t="str">
        <v/>
      </c>
      <c r="AJ266" s="879" t="str">
        <v/>
      </c>
      <c r="AK266" s="882">
        <f>IF($X266=0,0,      _xll.qDateNext($X266,AK$12,$AR$11,FRM&lt;&gt;"Calypso",CCY))</f>
        <v>0</v>
      </c>
      <c r="AL266" s="882">
        <f>IF($X266=0,0,      _xll.qDateNext($X266,AL$12,$AR$11,FRM&lt;&gt;"Calypso",CCY))</f>
        <v>0</v>
      </c>
      <c r="AM266" s="882">
        <f>IF($X266=0,0,      _xll.qDateNext($X266,AM$12,$AR$11,FRM&lt;&gt;"Calypso",CCY))</f>
        <v>0</v>
      </c>
      <c r="AN266" s="882">
        <f>IF($X266=0,0,      _xll.qDateNext($X266,AN$12,$AR$11,FRM&lt;&gt;"Calypso",CCY))</f>
        <v>0</v>
      </c>
      <c r="AO266" s="882">
        <f>IF($X266=0,0,      _xll.qDateNext($X266,AO$12,$AR$11,FRM&lt;&gt;"Calypso",CCY))</f>
        <v>0</v>
      </c>
      <c r="AP266" s="882">
        <f>IF($X266=0,0,      _xll.qDateNext($X266,AP$12,$AR$11,FRM&lt;&gt;"Calypso",CCY))</f>
        <v>0</v>
      </c>
      <c r="AQ266" s="882">
        <f>IF($X266=0,0,      _xll.qDateNext($X266,AQ$12,$AR$11,FRM&lt;&gt;"Calypso",CCY))</f>
        <v>0</v>
      </c>
      <c r="AR266" s="882">
        <f>IF($X266=0,0,      _xll.qDateNext($X266,AR$12,$AR$11,FRM&lt;&gt;"Calypso",CCY))</f>
        <v>0</v>
      </c>
      <c r="AS266" s="901">
        <f ca="1"/>
        <v>0</v>
      </c>
      <c r="AT266" s="901">
        <f ca="1"/>
        <v>0</v>
      </c>
      <c r="AU266" s="901">
        <f t="shared" si="62"/>
        <v>0</v>
      </c>
      <c r="AV266" s="901">
        <f ca="1"/>
        <v>0</v>
      </c>
      <c r="AW266" s="901">
        <f t="shared" si="63"/>
        <v>0</v>
      </c>
      <c r="AX266" s="901">
        <f t="shared" si="64"/>
        <v>0</v>
      </c>
      <c r="AY266" s="901">
        <f ca="1"/>
        <v>0</v>
      </c>
      <c r="AZ266" s="901">
        <f ca="1"/>
        <v>0</v>
      </c>
      <c r="BA266" s="905">
        <f t="shared" si="53"/>
        <v>0</v>
      </c>
      <c r="BB266" s="905">
        <f t="shared" si="54"/>
        <v>0</v>
      </c>
      <c r="BC266" s="905">
        <f t="shared" si="55"/>
        <v>0</v>
      </c>
      <c r="BD266" s="905">
        <f t="shared" si="56"/>
        <v>0</v>
      </c>
      <c r="BE266" s="905">
        <f t="shared" si="57"/>
        <v>0</v>
      </c>
      <c r="BF266" s="905">
        <f t="shared" si="58"/>
        <v>0</v>
      </c>
      <c r="BG266" s="905">
        <f t="shared" si="59"/>
        <v>0</v>
      </c>
      <c r="BH266" s="905">
        <f t="shared" si="60"/>
        <v>0</v>
      </c>
      <c r="BI266" s="713">
        <v>0</v>
      </c>
      <c r="BJ266" s="695"/>
      <c r="BK266" s="752">
        <f>IF(X267=0,0,           IF(ISNUMBER(BJ266),BJ266,               IF(ISTEXT(BJ266),INDEX(BA266:BH266,MATCH(BJ266,$BA$12:$BH$12,0)),             IF(BI266="INT",_xll.qInterp(X267,AK266:AR266,BA266:BH266),            INDEX(BA266:BH266,MATCH(BI266,$BA$12:$BH$12,0))))))</f>
        <v>0</v>
      </c>
      <c r="BL266" s="389">
        <f t="shared" si="65"/>
        <v>0</v>
      </c>
      <c r="BM266" s="394">
        <f t="shared" si="66"/>
        <v>0</v>
      </c>
      <c r="BN266" s="389">
        <f t="shared" si="67"/>
        <v>0</v>
      </c>
    </row>
    <row r="267" spans="16:66">
      <c r="P267" s="716">
        <v>0</v>
      </c>
      <c r="Q267" s="715">
        <f t="shared" si="51"/>
        <v>0</v>
      </c>
      <c r="R267" s="712">
        <f>IF(P268,_xll.qDateYears(P267,P268,DCCfixed),0)</f>
        <v>0</v>
      </c>
      <c r="S267" s="519">
        <f ca="1"/>
        <v>0</v>
      </c>
      <c r="T267" s="720"/>
      <c r="U267" s="390">
        <f t="shared" si="61"/>
        <v>0</v>
      </c>
      <c r="X267" s="345">
        <v>0</v>
      </c>
      <c r="Y267" s="711">
        <f t="shared" si="52"/>
        <v>0</v>
      </c>
      <c r="Z267" s="712">
        <f>IF(X268,_xll.qDateYears(X267,X268,DCCfloat),0)</f>
        <v>0</v>
      </c>
      <c r="AA267" s="519">
        <f ca="1"/>
        <v>0</v>
      </c>
      <c r="AB267" s="890">
        <f>IF(X267=0,0,         IF(OR(CCY="AUD",CCY="NZD",CCY="GBP"),X267,   _xll.qDateNext(X267,"-2b",,,IF(CCY="EUR","TGT","LON"))))</f>
        <v>0</v>
      </c>
      <c r="AC267" s="879" t="str">
        <v/>
      </c>
      <c r="AD267" s="879" t="str">
        <v/>
      </c>
      <c r="AE267" s="879" t="str">
        <v/>
      </c>
      <c r="AF267" s="879" t="str">
        <v/>
      </c>
      <c r="AG267" s="879" t="str">
        <v/>
      </c>
      <c r="AH267" s="879" t="str">
        <v/>
      </c>
      <c r="AI267" s="879" t="str">
        <v/>
      </c>
      <c r="AJ267" s="879" t="str">
        <v/>
      </c>
      <c r="AK267" s="882">
        <f>IF($X267=0,0,      _xll.qDateNext($X267,AK$12,$AR$11,FRM&lt;&gt;"Calypso",CCY))</f>
        <v>0</v>
      </c>
      <c r="AL267" s="882">
        <f>IF($X267=0,0,      _xll.qDateNext($X267,AL$12,$AR$11,FRM&lt;&gt;"Calypso",CCY))</f>
        <v>0</v>
      </c>
      <c r="AM267" s="882">
        <f>IF($X267=0,0,      _xll.qDateNext($X267,AM$12,$AR$11,FRM&lt;&gt;"Calypso",CCY))</f>
        <v>0</v>
      </c>
      <c r="AN267" s="882">
        <f>IF($X267=0,0,      _xll.qDateNext($X267,AN$12,$AR$11,FRM&lt;&gt;"Calypso",CCY))</f>
        <v>0</v>
      </c>
      <c r="AO267" s="882">
        <f>IF($X267=0,0,      _xll.qDateNext($X267,AO$12,$AR$11,FRM&lt;&gt;"Calypso",CCY))</f>
        <v>0</v>
      </c>
      <c r="AP267" s="882">
        <f>IF($X267=0,0,      _xll.qDateNext($X267,AP$12,$AR$11,FRM&lt;&gt;"Calypso",CCY))</f>
        <v>0</v>
      </c>
      <c r="AQ267" s="882">
        <f>IF($X267=0,0,      _xll.qDateNext($X267,AQ$12,$AR$11,FRM&lt;&gt;"Calypso",CCY))</f>
        <v>0</v>
      </c>
      <c r="AR267" s="882">
        <f>IF($X267=0,0,      _xll.qDateNext($X267,AR$12,$AR$11,FRM&lt;&gt;"Calypso",CCY))</f>
        <v>0</v>
      </c>
      <c r="AS267" s="901">
        <f ca="1"/>
        <v>0</v>
      </c>
      <c r="AT267" s="901">
        <f ca="1"/>
        <v>0</v>
      </c>
      <c r="AU267" s="901">
        <f t="shared" si="62"/>
        <v>0</v>
      </c>
      <c r="AV267" s="901">
        <f ca="1"/>
        <v>0</v>
      </c>
      <c r="AW267" s="901">
        <f t="shared" si="63"/>
        <v>0</v>
      </c>
      <c r="AX267" s="901">
        <f t="shared" si="64"/>
        <v>0</v>
      </c>
      <c r="AY267" s="901">
        <f ca="1"/>
        <v>0</v>
      </c>
      <c r="AZ267" s="901">
        <f ca="1"/>
        <v>0</v>
      </c>
      <c r="BA267" s="905">
        <f t="shared" si="53"/>
        <v>0</v>
      </c>
      <c r="BB267" s="905">
        <f t="shared" si="54"/>
        <v>0</v>
      </c>
      <c r="BC267" s="905">
        <f t="shared" si="55"/>
        <v>0</v>
      </c>
      <c r="BD267" s="905">
        <f t="shared" si="56"/>
        <v>0</v>
      </c>
      <c r="BE267" s="905">
        <f t="shared" si="57"/>
        <v>0</v>
      </c>
      <c r="BF267" s="905">
        <f t="shared" si="58"/>
        <v>0</v>
      </c>
      <c r="BG267" s="905">
        <f t="shared" si="59"/>
        <v>0</v>
      </c>
      <c r="BH267" s="905">
        <f t="shared" si="60"/>
        <v>0</v>
      </c>
      <c r="BI267" s="713">
        <v>0</v>
      </c>
      <c r="BJ267" s="695"/>
      <c r="BK267" s="752">
        <f>IF(X268=0,0,           IF(ISNUMBER(BJ267),BJ267,               IF(ISTEXT(BJ267),INDEX(BA267:BH267,MATCH(BJ267,$BA$12:$BH$12,0)),             IF(BI267="INT",_xll.qInterp(X268,AK267:AR267,BA267:BH267),            INDEX(BA267:BH267,MATCH(BI267,$BA$12:$BH$12,0))))))</f>
        <v>0</v>
      </c>
      <c r="BL267" s="389">
        <f t="shared" si="65"/>
        <v>0</v>
      </c>
      <c r="BM267" s="394">
        <f t="shared" si="66"/>
        <v>0</v>
      </c>
      <c r="BN267" s="389">
        <f t="shared" si="67"/>
        <v>0</v>
      </c>
    </row>
    <row r="268" spans="16:66">
      <c r="P268" s="716">
        <v>0</v>
      </c>
      <c r="Q268" s="715">
        <f t="shared" si="51"/>
        <v>0</v>
      </c>
      <c r="R268" s="712">
        <f>IF(P269,_xll.qDateYears(P268,P269,DCCfixed),0)</f>
        <v>0</v>
      </c>
      <c r="S268" s="519">
        <f ca="1"/>
        <v>0</v>
      </c>
      <c r="T268" s="720"/>
      <c r="U268" s="390">
        <f t="shared" si="61"/>
        <v>0</v>
      </c>
      <c r="X268" s="345">
        <v>0</v>
      </c>
      <c r="Y268" s="711">
        <f t="shared" si="52"/>
        <v>0</v>
      </c>
      <c r="Z268" s="712">
        <f>IF(X269,_xll.qDateYears(X268,X269,DCCfloat),0)</f>
        <v>0</v>
      </c>
      <c r="AA268" s="519">
        <f ca="1"/>
        <v>0</v>
      </c>
      <c r="AB268" s="890">
        <f>IF(X268=0,0,         IF(OR(CCY="AUD",CCY="NZD",CCY="GBP"),X268,   _xll.qDateNext(X268,"-2b",,,IF(CCY="EUR","TGT","LON"))))</f>
        <v>0</v>
      </c>
      <c r="AC268" s="879" t="str">
        <v/>
      </c>
      <c r="AD268" s="879" t="str">
        <v/>
      </c>
      <c r="AE268" s="879" t="str">
        <v/>
      </c>
      <c r="AF268" s="879" t="str">
        <v/>
      </c>
      <c r="AG268" s="879" t="str">
        <v/>
      </c>
      <c r="AH268" s="879" t="str">
        <v/>
      </c>
      <c r="AI268" s="879" t="str">
        <v/>
      </c>
      <c r="AJ268" s="879" t="str">
        <v/>
      </c>
      <c r="AK268" s="882">
        <f>IF($X268=0,0,      _xll.qDateNext($X268,AK$12,$AR$11,FRM&lt;&gt;"Calypso",CCY))</f>
        <v>0</v>
      </c>
      <c r="AL268" s="882">
        <f>IF($X268=0,0,      _xll.qDateNext($X268,AL$12,$AR$11,FRM&lt;&gt;"Calypso",CCY))</f>
        <v>0</v>
      </c>
      <c r="AM268" s="882">
        <f>IF($X268=0,0,      _xll.qDateNext($X268,AM$12,$AR$11,FRM&lt;&gt;"Calypso",CCY))</f>
        <v>0</v>
      </c>
      <c r="AN268" s="882">
        <f>IF($X268=0,0,      _xll.qDateNext($X268,AN$12,$AR$11,FRM&lt;&gt;"Calypso",CCY))</f>
        <v>0</v>
      </c>
      <c r="AO268" s="882">
        <f>IF($X268=0,0,      _xll.qDateNext($X268,AO$12,$AR$11,FRM&lt;&gt;"Calypso",CCY))</f>
        <v>0</v>
      </c>
      <c r="AP268" s="882">
        <f>IF($X268=0,0,      _xll.qDateNext($X268,AP$12,$AR$11,FRM&lt;&gt;"Calypso",CCY))</f>
        <v>0</v>
      </c>
      <c r="AQ268" s="882">
        <f>IF($X268=0,0,      _xll.qDateNext($X268,AQ$12,$AR$11,FRM&lt;&gt;"Calypso",CCY))</f>
        <v>0</v>
      </c>
      <c r="AR268" s="882">
        <f>IF($X268=0,0,      _xll.qDateNext($X268,AR$12,$AR$11,FRM&lt;&gt;"Calypso",CCY))</f>
        <v>0</v>
      </c>
      <c r="AS268" s="901">
        <f ca="1"/>
        <v>0</v>
      </c>
      <c r="AT268" s="901">
        <f ca="1"/>
        <v>0</v>
      </c>
      <c r="AU268" s="901">
        <f t="shared" si="62"/>
        <v>0</v>
      </c>
      <c r="AV268" s="901">
        <f ca="1"/>
        <v>0</v>
      </c>
      <c r="AW268" s="901">
        <f t="shared" si="63"/>
        <v>0</v>
      </c>
      <c r="AX268" s="901">
        <f t="shared" si="64"/>
        <v>0</v>
      </c>
      <c r="AY268" s="901">
        <f ca="1"/>
        <v>0</v>
      </c>
      <c r="AZ268" s="901">
        <f ca="1"/>
        <v>0</v>
      </c>
      <c r="BA268" s="905">
        <f t="shared" si="53"/>
        <v>0</v>
      </c>
      <c r="BB268" s="905">
        <f t="shared" si="54"/>
        <v>0</v>
      </c>
      <c r="BC268" s="905">
        <f t="shared" si="55"/>
        <v>0</v>
      </c>
      <c r="BD268" s="905">
        <f t="shared" si="56"/>
        <v>0</v>
      </c>
      <c r="BE268" s="905">
        <f t="shared" si="57"/>
        <v>0</v>
      </c>
      <c r="BF268" s="905">
        <f t="shared" si="58"/>
        <v>0</v>
      </c>
      <c r="BG268" s="905">
        <f t="shared" si="59"/>
        <v>0</v>
      </c>
      <c r="BH268" s="905">
        <f t="shared" si="60"/>
        <v>0</v>
      </c>
      <c r="BI268" s="713">
        <v>0</v>
      </c>
      <c r="BJ268" s="695"/>
      <c r="BK268" s="752">
        <f>IF(X269=0,0,           IF(ISNUMBER(BJ268),BJ268,               IF(ISTEXT(BJ268),INDEX(BA268:BH268,MATCH(BJ268,$BA$12:$BH$12,0)),             IF(BI268="INT",_xll.qInterp(X269,AK268:AR268,BA268:BH268),            INDEX(BA268:BH268,MATCH(BI268,$BA$12:$BH$12,0))))))</f>
        <v>0</v>
      </c>
      <c r="BL268" s="389">
        <f t="shared" si="65"/>
        <v>0</v>
      </c>
      <c r="BM268" s="394">
        <f t="shared" si="66"/>
        <v>0</v>
      </c>
      <c r="BN268" s="389">
        <f t="shared" si="67"/>
        <v>0</v>
      </c>
    </row>
    <row r="269" spans="16:66">
      <c r="P269" s="716">
        <v>0</v>
      </c>
      <c r="Q269" s="715">
        <f t="shared" ref="Q269:Q332" si="68">IF(P270,IF(LEFT(DCCfixed,3)="Act",P270-P269,DAYS360(P269,P270)),0)</f>
        <v>0</v>
      </c>
      <c r="R269" s="712">
        <f>IF(P270,_xll.qDateYears(P269,P270,DCCfixed),0)</f>
        <v>0</v>
      </c>
      <c r="S269" s="519">
        <f ca="1"/>
        <v>0</v>
      </c>
      <c r="T269" s="720"/>
      <c r="U269" s="390">
        <f t="shared" si="61"/>
        <v>0</v>
      </c>
      <c r="X269" s="345">
        <v>0</v>
      </c>
      <c r="Y269" s="711">
        <f t="shared" ref="Y269:Y332" si="69">IF(X270,IF(LEFT(DCCfloat,3)="Act",X270-X269,DAYS360(X269,X270)),0)</f>
        <v>0</v>
      </c>
      <c r="Z269" s="712">
        <f>IF(X270,_xll.qDateYears(X269,X270,DCCfloat),0)</f>
        <v>0</v>
      </c>
      <c r="AA269" s="519">
        <f ca="1"/>
        <v>0</v>
      </c>
      <c r="AB269" s="890">
        <f>IF(X269=0,0,         IF(OR(CCY="AUD",CCY="NZD",CCY="GBP"),X269,   _xll.qDateNext(X269,"-2b",,,IF(CCY="EUR","TGT","LON"))))</f>
        <v>0</v>
      </c>
      <c r="AC269" s="879" t="str">
        <v/>
      </c>
      <c r="AD269" s="879" t="str">
        <v/>
      </c>
      <c r="AE269" s="879" t="str">
        <v/>
      </c>
      <c r="AF269" s="879" t="str">
        <v/>
      </c>
      <c r="AG269" s="879" t="str">
        <v/>
      </c>
      <c r="AH269" s="879" t="str">
        <v/>
      </c>
      <c r="AI269" s="879" t="str">
        <v/>
      </c>
      <c r="AJ269" s="879" t="str">
        <v/>
      </c>
      <c r="AK269" s="882">
        <f>IF($X269=0,0,      _xll.qDateNext($X269,AK$12,$AR$11,FRM&lt;&gt;"Calypso",CCY))</f>
        <v>0</v>
      </c>
      <c r="AL269" s="882">
        <f>IF($X269=0,0,      _xll.qDateNext($X269,AL$12,$AR$11,FRM&lt;&gt;"Calypso",CCY))</f>
        <v>0</v>
      </c>
      <c r="AM269" s="882">
        <f>IF($X269=0,0,      _xll.qDateNext($X269,AM$12,$AR$11,FRM&lt;&gt;"Calypso",CCY))</f>
        <v>0</v>
      </c>
      <c r="AN269" s="882">
        <f>IF($X269=0,0,      _xll.qDateNext($X269,AN$12,$AR$11,FRM&lt;&gt;"Calypso",CCY))</f>
        <v>0</v>
      </c>
      <c r="AO269" s="882">
        <f>IF($X269=0,0,      _xll.qDateNext($X269,AO$12,$AR$11,FRM&lt;&gt;"Calypso",CCY))</f>
        <v>0</v>
      </c>
      <c r="AP269" s="882">
        <f>IF($X269=0,0,      _xll.qDateNext($X269,AP$12,$AR$11,FRM&lt;&gt;"Calypso",CCY))</f>
        <v>0</v>
      </c>
      <c r="AQ269" s="882">
        <f>IF($X269=0,0,      _xll.qDateNext($X269,AQ$12,$AR$11,FRM&lt;&gt;"Calypso",CCY))</f>
        <v>0</v>
      </c>
      <c r="AR269" s="882">
        <f>IF($X269=0,0,      _xll.qDateNext($X269,AR$12,$AR$11,FRM&lt;&gt;"Calypso",CCY))</f>
        <v>0</v>
      </c>
      <c r="AS269" s="901">
        <f ca="1"/>
        <v>0</v>
      </c>
      <c r="AT269" s="901">
        <f ca="1"/>
        <v>0</v>
      </c>
      <c r="AU269" s="901">
        <f t="shared" si="62"/>
        <v>0</v>
      </c>
      <c r="AV269" s="901">
        <f ca="1"/>
        <v>0</v>
      </c>
      <c r="AW269" s="901">
        <f t="shared" si="63"/>
        <v>0</v>
      </c>
      <c r="AX269" s="901">
        <f t="shared" si="64"/>
        <v>0</v>
      </c>
      <c r="AY269" s="901">
        <f ca="1"/>
        <v>0</v>
      </c>
      <c r="AZ269" s="901">
        <f ca="1"/>
        <v>0</v>
      </c>
      <c r="BA269" s="905">
        <f t="shared" ref="BA269:BA332" si="70">IF($X269=0,0,   IF(ISNUMBER(AC269),AC269,AS269))</f>
        <v>0</v>
      </c>
      <c r="BB269" s="905">
        <f t="shared" ref="BB269:BB332" si="71">IF($X269=0,0,   IF(ISNUMBER(AD269),AD269,AT269))</f>
        <v>0</v>
      </c>
      <c r="BC269" s="905">
        <f t="shared" ref="BC269:BC332" si="72">IF($X269=0,0,   IF(ISNUMBER(AE269),AE269,AU269))</f>
        <v>0</v>
      </c>
      <c r="BD269" s="905">
        <f t="shared" ref="BD269:BD332" si="73">IF($X269=0,0,   IF(ISNUMBER(AF269),AF269,AV269))</f>
        <v>0</v>
      </c>
      <c r="BE269" s="905">
        <f t="shared" ref="BE269:BE332" si="74">IF($X269=0,0,   IF(ISNUMBER(AG269),AG269,AW269))</f>
        <v>0</v>
      </c>
      <c r="BF269" s="905">
        <f t="shared" ref="BF269:BF332" si="75">IF($X269=0,0,   IF(ISNUMBER(AH269),AH269,AX269))</f>
        <v>0</v>
      </c>
      <c r="BG269" s="905">
        <f t="shared" ref="BG269:BG332" si="76">IF($X269=0,0,   IF(ISNUMBER(AI269),AI269,AY269))</f>
        <v>0</v>
      </c>
      <c r="BH269" s="905">
        <f t="shared" ref="BH269:BH332" si="77">IF($X269=0,0,   IF(ISNUMBER(AJ269),AJ269,AZ269))</f>
        <v>0</v>
      </c>
      <c r="BI269" s="713">
        <v>0</v>
      </c>
      <c r="BJ269" s="695"/>
      <c r="BK269" s="752">
        <f>IF(X270=0,0,           IF(ISNUMBER(BJ269),BJ269,               IF(ISTEXT(BJ269),INDEX(BA269:BH269,MATCH(BJ269,$BA$12:$BH$12,0)),             IF(BI269="INT",_xll.qInterp(X270,AK269:AR269,BA269:BH269),            INDEX(BA269:BH269,MATCH(BI269,$BA$12:$BH$12,0))))))</f>
        <v>0</v>
      </c>
      <c r="BL269" s="389">
        <f t="shared" si="65"/>
        <v>0</v>
      </c>
      <c r="BM269" s="394">
        <f t="shared" si="66"/>
        <v>0</v>
      </c>
      <c r="BN269" s="389">
        <f t="shared" si="67"/>
        <v>0</v>
      </c>
    </row>
    <row r="270" spans="16:66">
      <c r="P270" s="716">
        <v>0</v>
      </c>
      <c r="Q270" s="715">
        <f t="shared" si="68"/>
        <v>0</v>
      </c>
      <c r="R270" s="712">
        <f>IF(P271,_xll.qDateYears(P270,P271,DCCfixed),0)</f>
        <v>0</v>
      </c>
      <c r="S270" s="519">
        <f ca="1"/>
        <v>0</v>
      </c>
      <c r="T270" s="720"/>
      <c r="U270" s="390">
        <f t="shared" ref="U270:U333" si="78">IF(P270,$U$5%*R269*Face,0) + IF(AND(IncludePrincipals,P270&gt;0,P271=0),Face,0) + IF(P270,T270,0)</f>
        <v>0</v>
      </c>
      <c r="X270" s="345">
        <v>0</v>
      </c>
      <c r="Y270" s="711">
        <f t="shared" si="69"/>
        <v>0</v>
      </c>
      <c r="Z270" s="712">
        <f>IF(X271,_xll.qDateYears(X270,X271,DCCfloat),0)</f>
        <v>0</v>
      </c>
      <c r="AA270" s="519">
        <f ca="1"/>
        <v>0</v>
      </c>
      <c r="AB270" s="890">
        <f>IF(X270=0,0,         IF(OR(CCY="AUD",CCY="NZD",CCY="GBP"),X270,   _xll.qDateNext(X270,"-2b",,,IF(CCY="EUR","TGT","LON"))))</f>
        <v>0</v>
      </c>
      <c r="AC270" s="879" t="str">
        <v/>
      </c>
      <c r="AD270" s="879" t="str">
        <v/>
      </c>
      <c r="AE270" s="879" t="str">
        <v/>
      </c>
      <c r="AF270" s="879" t="str">
        <v/>
      </c>
      <c r="AG270" s="879" t="str">
        <v/>
      </c>
      <c r="AH270" s="879" t="str">
        <v/>
      </c>
      <c r="AI270" s="879" t="str">
        <v/>
      </c>
      <c r="AJ270" s="879" t="str">
        <v/>
      </c>
      <c r="AK270" s="882">
        <f>IF($X270=0,0,      _xll.qDateNext($X270,AK$12,$AR$11,FRM&lt;&gt;"Calypso",CCY))</f>
        <v>0</v>
      </c>
      <c r="AL270" s="882">
        <f>IF($X270=0,0,      _xll.qDateNext($X270,AL$12,$AR$11,FRM&lt;&gt;"Calypso",CCY))</f>
        <v>0</v>
      </c>
      <c r="AM270" s="882">
        <f>IF($X270=0,0,      _xll.qDateNext($X270,AM$12,$AR$11,FRM&lt;&gt;"Calypso",CCY))</f>
        <v>0</v>
      </c>
      <c r="AN270" s="882">
        <f>IF($X270=0,0,      _xll.qDateNext($X270,AN$12,$AR$11,FRM&lt;&gt;"Calypso",CCY))</f>
        <v>0</v>
      </c>
      <c r="AO270" s="882">
        <f>IF($X270=0,0,      _xll.qDateNext($X270,AO$12,$AR$11,FRM&lt;&gt;"Calypso",CCY))</f>
        <v>0</v>
      </c>
      <c r="AP270" s="882">
        <f>IF($X270=0,0,      _xll.qDateNext($X270,AP$12,$AR$11,FRM&lt;&gt;"Calypso",CCY))</f>
        <v>0</v>
      </c>
      <c r="AQ270" s="882">
        <f>IF($X270=0,0,      _xll.qDateNext($X270,AQ$12,$AR$11,FRM&lt;&gt;"Calypso",CCY))</f>
        <v>0</v>
      </c>
      <c r="AR270" s="882">
        <f>IF($X270=0,0,      _xll.qDateNext($X270,AR$12,$AR$11,FRM&lt;&gt;"Calypso",CCY))</f>
        <v>0</v>
      </c>
      <c r="AS270" s="901">
        <f ca="1"/>
        <v>0</v>
      </c>
      <c r="AT270" s="901">
        <f ca="1"/>
        <v>0</v>
      </c>
      <c r="AU270" s="901">
        <f t="shared" ref="AU270:AU333" si="79">IF($X270,AVERAGE(AT270,AV270),0)</f>
        <v>0</v>
      </c>
      <c r="AV270" s="901">
        <f ca="1"/>
        <v>0</v>
      </c>
      <c r="AW270" s="901">
        <f t="shared" ref="AW270:AW333" si="80">IF($X270,AV270+(AY270-AV270)/3,0)</f>
        <v>0</v>
      </c>
      <c r="AX270" s="901">
        <f t="shared" ref="AX270:AX333" si="81">IF($X270,AVERAGE(AW270,AY270),0)</f>
        <v>0</v>
      </c>
      <c r="AY270" s="901">
        <f ca="1"/>
        <v>0</v>
      </c>
      <c r="AZ270" s="901">
        <f ca="1"/>
        <v>0</v>
      </c>
      <c r="BA270" s="905">
        <f t="shared" si="70"/>
        <v>0</v>
      </c>
      <c r="BB270" s="905">
        <f t="shared" si="71"/>
        <v>0</v>
      </c>
      <c r="BC270" s="905">
        <f t="shared" si="72"/>
        <v>0</v>
      </c>
      <c r="BD270" s="905">
        <f t="shared" si="73"/>
        <v>0</v>
      </c>
      <c r="BE270" s="905">
        <f t="shared" si="74"/>
        <v>0</v>
      </c>
      <c r="BF270" s="905">
        <f t="shared" si="75"/>
        <v>0</v>
      </c>
      <c r="BG270" s="905">
        <f t="shared" si="76"/>
        <v>0</v>
      </c>
      <c r="BH270" s="905">
        <f t="shared" si="77"/>
        <v>0</v>
      </c>
      <c r="BI270" s="713">
        <v>0</v>
      </c>
      <c r="BJ270" s="695"/>
      <c r="BK270" s="752">
        <f>IF(X271=0,0,           IF(ISNUMBER(BJ270),BJ270,               IF(ISTEXT(BJ270),INDEX(BA270:BH270,MATCH(BJ270,$BA$12:$BH$12,0)),             IF(BI270="INT",_xll.qInterp(X271,AK270:AR270,BA270:BH270),            INDEX(BA270:BH270,MATCH(BI270,$BA$12:$BH$12,0))))))</f>
        <v>0</v>
      </c>
      <c r="BL270" s="389">
        <f t="shared" ref="BL270:BL333" si="82">IF(X270,-BK269%*Face*Z269,0)</f>
        <v>0</v>
      </c>
      <c r="BM270" s="394">
        <f t="shared" ref="BM270:BM333" si="83">IF(X270,-Margin%%*Z269*Face,0)</f>
        <v>0</v>
      </c>
      <c r="BN270" s="389">
        <f t="shared" ref="BN270:BN333" si="84">SUM(BL270:BM270)+IF(AND(IncludePrincipals,X270&lt;&gt;0,X271=0),-Face,0)</f>
        <v>0</v>
      </c>
    </row>
    <row r="271" spans="16:66">
      <c r="P271" s="716">
        <v>0</v>
      </c>
      <c r="Q271" s="715">
        <f t="shared" si="68"/>
        <v>0</v>
      </c>
      <c r="R271" s="712">
        <f>IF(P272,_xll.qDateYears(P271,P272,DCCfixed),0)</f>
        <v>0</v>
      </c>
      <c r="S271" s="519">
        <f ca="1"/>
        <v>0</v>
      </c>
      <c r="T271" s="720"/>
      <c r="U271" s="390">
        <f t="shared" si="78"/>
        <v>0</v>
      </c>
      <c r="X271" s="345">
        <v>0</v>
      </c>
      <c r="Y271" s="711">
        <f t="shared" si="69"/>
        <v>0</v>
      </c>
      <c r="Z271" s="712">
        <f>IF(X272,_xll.qDateYears(X271,X272,DCCfloat),0)</f>
        <v>0</v>
      </c>
      <c r="AA271" s="519">
        <f ca="1"/>
        <v>0</v>
      </c>
      <c r="AB271" s="890">
        <f>IF(X271=0,0,         IF(OR(CCY="AUD",CCY="NZD",CCY="GBP"),X271,   _xll.qDateNext(X271,"-2b",,,IF(CCY="EUR","TGT","LON"))))</f>
        <v>0</v>
      </c>
      <c r="AC271" s="879" t="str">
        <v/>
      </c>
      <c r="AD271" s="879" t="str">
        <v/>
      </c>
      <c r="AE271" s="879" t="str">
        <v/>
      </c>
      <c r="AF271" s="879" t="str">
        <v/>
      </c>
      <c r="AG271" s="879" t="str">
        <v/>
      </c>
      <c r="AH271" s="879" t="str">
        <v/>
      </c>
      <c r="AI271" s="879" t="str">
        <v/>
      </c>
      <c r="AJ271" s="879" t="str">
        <v/>
      </c>
      <c r="AK271" s="882">
        <f>IF($X271=0,0,      _xll.qDateNext($X271,AK$12,$AR$11,FRM&lt;&gt;"Calypso",CCY))</f>
        <v>0</v>
      </c>
      <c r="AL271" s="882">
        <f>IF($X271=0,0,      _xll.qDateNext($X271,AL$12,$AR$11,FRM&lt;&gt;"Calypso",CCY))</f>
        <v>0</v>
      </c>
      <c r="AM271" s="882">
        <f>IF($X271=0,0,      _xll.qDateNext($X271,AM$12,$AR$11,FRM&lt;&gt;"Calypso",CCY))</f>
        <v>0</v>
      </c>
      <c r="AN271" s="882">
        <f>IF($X271=0,0,      _xll.qDateNext($X271,AN$12,$AR$11,FRM&lt;&gt;"Calypso",CCY))</f>
        <v>0</v>
      </c>
      <c r="AO271" s="882">
        <f>IF($X271=0,0,      _xll.qDateNext($X271,AO$12,$AR$11,FRM&lt;&gt;"Calypso",CCY))</f>
        <v>0</v>
      </c>
      <c r="AP271" s="882">
        <f>IF($X271=0,0,      _xll.qDateNext($X271,AP$12,$AR$11,FRM&lt;&gt;"Calypso",CCY))</f>
        <v>0</v>
      </c>
      <c r="AQ271" s="882">
        <f>IF($X271=0,0,      _xll.qDateNext($X271,AQ$12,$AR$11,FRM&lt;&gt;"Calypso",CCY))</f>
        <v>0</v>
      </c>
      <c r="AR271" s="882">
        <f>IF($X271=0,0,      _xll.qDateNext($X271,AR$12,$AR$11,FRM&lt;&gt;"Calypso",CCY))</f>
        <v>0</v>
      </c>
      <c r="AS271" s="901">
        <f ca="1"/>
        <v>0</v>
      </c>
      <c r="AT271" s="901">
        <f ca="1"/>
        <v>0</v>
      </c>
      <c r="AU271" s="901">
        <f t="shared" si="79"/>
        <v>0</v>
      </c>
      <c r="AV271" s="901">
        <f ca="1"/>
        <v>0</v>
      </c>
      <c r="AW271" s="901">
        <f t="shared" si="80"/>
        <v>0</v>
      </c>
      <c r="AX271" s="901">
        <f t="shared" si="81"/>
        <v>0</v>
      </c>
      <c r="AY271" s="901">
        <f ca="1"/>
        <v>0</v>
      </c>
      <c r="AZ271" s="901">
        <f ca="1"/>
        <v>0</v>
      </c>
      <c r="BA271" s="905">
        <f t="shared" si="70"/>
        <v>0</v>
      </c>
      <c r="BB271" s="905">
        <f t="shared" si="71"/>
        <v>0</v>
      </c>
      <c r="BC271" s="905">
        <f t="shared" si="72"/>
        <v>0</v>
      </c>
      <c r="BD271" s="905">
        <f t="shared" si="73"/>
        <v>0</v>
      </c>
      <c r="BE271" s="905">
        <f t="shared" si="74"/>
        <v>0</v>
      </c>
      <c r="BF271" s="905">
        <f t="shared" si="75"/>
        <v>0</v>
      </c>
      <c r="BG271" s="905">
        <f t="shared" si="76"/>
        <v>0</v>
      </c>
      <c r="BH271" s="905">
        <f t="shared" si="77"/>
        <v>0</v>
      </c>
      <c r="BI271" s="713">
        <v>0</v>
      </c>
      <c r="BJ271" s="695"/>
      <c r="BK271" s="752">
        <f>IF(X272=0,0,           IF(ISNUMBER(BJ271),BJ271,               IF(ISTEXT(BJ271),INDEX(BA271:BH271,MATCH(BJ271,$BA$12:$BH$12,0)),             IF(BI271="INT",_xll.qInterp(X272,AK271:AR271,BA271:BH271),            INDEX(BA271:BH271,MATCH(BI271,$BA$12:$BH$12,0))))))</f>
        <v>0</v>
      </c>
      <c r="BL271" s="389">
        <f t="shared" si="82"/>
        <v>0</v>
      </c>
      <c r="BM271" s="394">
        <f t="shared" si="83"/>
        <v>0</v>
      </c>
      <c r="BN271" s="389">
        <f t="shared" si="84"/>
        <v>0</v>
      </c>
    </row>
    <row r="272" spans="16:66">
      <c r="P272" s="716">
        <v>0</v>
      </c>
      <c r="Q272" s="715">
        <f t="shared" si="68"/>
        <v>0</v>
      </c>
      <c r="R272" s="712">
        <f>IF(P273,_xll.qDateYears(P272,P273,DCCfixed),0)</f>
        <v>0</v>
      </c>
      <c r="S272" s="519">
        <f ca="1"/>
        <v>0</v>
      </c>
      <c r="T272" s="720"/>
      <c r="U272" s="390">
        <f t="shared" si="78"/>
        <v>0</v>
      </c>
      <c r="X272" s="345">
        <v>0</v>
      </c>
      <c r="Y272" s="711">
        <f t="shared" si="69"/>
        <v>0</v>
      </c>
      <c r="Z272" s="712">
        <f>IF(X273,_xll.qDateYears(X272,X273,DCCfloat),0)</f>
        <v>0</v>
      </c>
      <c r="AA272" s="519">
        <f ca="1"/>
        <v>0</v>
      </c>
      <c r="AB272" s="890">
        <f>IF(X272=0,0,         IF(OR(CCY="AUD",CCY="NZD",CCY="GBP"),X272,   _xll.qDateNext(X272,"-2b",,,IF(CCY="EUR","TGT","LON"))))</f>
        <v>0</v>
      </c>
      <c r="AC272" s="879" t="str">
        <v/>
      </c>
      <c r="AD272" s="879" t="str">
        <v/>
      </c>
      <c r="AE272" s="879" t="str">
        <v/>
      </c>
      <c r="AF272" s="879" t="str">
        <v/>
      </c>
      <c r="AG272" s="879" t="str">
        <v/>
      </c>
      <c r="AH272" s="879" t="str">
        <v/>
      </c>
      <c r="AI272" s="879" t="str">
        <v/>
      </c>
      <c r="AJ272" s="879" t="str">
        <v/>
      </c>
      <c r="AK272" s="882">
        <f>IF($X272=0,0,      _xll.qDateNext($X272,AK$12,$AR$11,FRM&lt;&gt;"Calypso",CCY))</f>
        <v>0</v>
      </c>
      <c r="AL272" s="882">
        <f>IF($X272=0,0,      _xll.qDateNext($X272,AL$12,$AR$11,FRM&lt;&gt;"Calypso",CCY))</f>
        <v>0</v>
      </c>
      <c r="AM272" s="882">
        <f>IF($X272=0,0,      _xll.qDateNext($X272,AM$12,$AR$11,FRM&lt;&gt;"Calypso",CCY))</f>
        <v>0</v>
      </c>
      <c r="AN272" s="882">
        <f>IF($X272=0,0,      _xll.qDateNext($X272,AN$12,$AR$11,FRM&lt;&gt;"Calypso",CCY))</f>
        <v>0</v>
      </c>
      <c r="AO272" s="882">
        <f>IF($X272=0,0,      _xll.qDateNext($X272,AO$12,$AR$11,FRM&lt;&gt;"Calypso",CCY))</f>
        <v>0</v>
      </c>
      <c r="AP272" s="882">
        <f>IF($X272=0,0,      _xll.qDateNext($X272,AP$12,$AR$11,FRM&lt;&gt;"Calypso",CCY))</f>
        <v>0</v>
      </c>
      <c r="AQ272" s="882">
        <f>IF($X272=0,0,      _xll.qDateNext($X272,AQ$12,$AR$11,FRM&lt;&gt;"Calypso",CCY))</f>
        <v>0</v>
      </c>
      <c r="AR272" s="882">
        <f>IF($X272=0,0,      _xll.qDateNext($X272,AR$12,$AR$11,FRM&lt;&gt;"Calypso",CCY))</f>
        <v>0</v>
      </c>
      <c r="AS272" s="901">
        <f ca="1"/>
        <v>0</v>
      </c>
      <c r="AT272" s="901">
        <f ca="1"/>
        <v>0</v>
      </c>
      <c r="AU272" s="901">
        <f t="shared" si="79"/>
        <v>0</v>
      </c>
      <c r="AV272" s="901">
        <f ca="1"/>
        <v>0</v>
      </c>
      <c r="AW272" s="901">
        <f t="shared" si="80"/>
        <v>0</v>
      </c>
      <c r="AX272" s="901">
        <f t="shared" si="81"/>
        <v>0</v>
      </c>
      <c r="AY272" s="901">
        <f ca="1"/>
        <v>0</v>
      </c>
      <c r="AZ272" s="901">
        <f ca="1"/>
        <v>0</v>
      </c>
      <c r="BA272" s="905">
        <f t="shared" si="70"/>
        <v>0</v>
      </c>
      <c r="BB272" s="905">
        <f t="shared" si="71"/>
        <v>0</v>
      </c>
      <c r="BC272" s="905">
        <f t="shared" si="72"/>
        <v>0</v>
      </c>
      <c r="BD272" s="905">
        <f t="shared" si="73"/>
        <v>0</v>
      </c>
      <c r="BE272" s="905">
        <f t="shared" si="74"/>
        <v>0</v>
      </c>
      <c r="BF272" s="905">
        <f t="shared" si="75"/>
        <v>0</v>
      </c>
      <c r="BG272" s="905">
        <f t="shared" si="76"/>
        <v>0</v>
      </c>
      <c r="BH272" s="905">
        <f t="shared" si="77"/>
        <v>0</v>
      </c>
      <c r="BI272" s="713">
        <v>0</v>
      </c>
      <c r="BJ272" s="695"/>
      <c r="BK272" s="752">
        <f>IF(X273=0,0,           IF(ISNUMBER(BJ272),BJ272,               IF(ISTEXT(BJ272),INDEX(BA272:BH272,MATCH(BJ272,$BA$12:$BH$12,0)),             IF(BI272="INT",_xll.qInterp(X273,AK272:AR272,BA272:BH272),            INDEX(BA272:BH272,MATCH(BI272,$BA$12:$BH$12,0))))))</f>
        <v>0</v>
      </c>
      <c r="BL272" s="389">
        <f t="shared" si="82"/>
        <v>0</v>
      </c>
      <c r="BM272" s="394">
        <f t="shared" si="83"/>
        <v>0</v>
      </c>
      <c r="BN272" s="389">
        <f t="shared" si="84"/>
        <v>0</v>
      </c>
    </row>
    <row r="273" spans="16:66">
      <c r="P273" s="716">
        <v>0</v>
      </c>
      <c r="Q273" s="715">
        <f t="shared" si="68"/>
        <v>0</v>
      </c>
      <c r="R273" s="712">
        <f>IF(P274,_xll.qDateYears(P273,P274,DCCfixed),0)</f>
        <v>0</v>
      </c>
      <c r="S273" s="519">
        <f ca="1"/>
        <v>0</v>
      </c>
      <c r="T273" s="720"/>
      <c r="U273" s="390">
        <f t="shared" si="78"/>
        <v>0</v>
      </c>
      <c r="X273" s="345">
        <v>0</v>
      </c>
      <c r="Y273" s="711">
        <f t="shared" si="69"/>
        <v>0</v>
      </c>
      <c r="Z273" s="712">
        <f>IF(X274,_xll.qDateYears(X273,X274,DCCfloat),0)</f>
        <v>0</v>
      </c>
      <c r="AA273" s="519">
        <f ca="1"/>
        <v>0</v>
      </c>
      <c r="AB273" s="890">
        <f>IF(X273=0,0,         IF(OR(CCY="AUD",CCY="NZD",CCY="GBP"),X273,   _xll.qDateNext(X273,"-2b",,,IF(CCY="EUR","TGT","LON"))))</f>
        <v>0</v>
      </c>
      <c r="AC273" s="879" t="str">
        <v/>
      </c>
      <c r="AD273" s="879" t="str">
        <v/>
      </c>
      <c r="AE273" s="879" t="str">
        <v/>
      </c>
      <c r="AF273" s="879" t="str">
        <v/>
      </c>
      <c r="AG273" s="879" t="str">
        <v/>
      </c>
      <c r="AH273" s="879" t="str">
        <v/>
      </c>
      <c r="AI273" s="879" t="str">
        <v/>
      </c>
      <c r="AJ273" s="879" t="str">
        <v/>
      </c>
      <c r="AK273" s="882">
        <f>IF($X273=0,0,      _xll.qDateNext($X273,AK$12,$AR$11,FRM&lt;&gt;"Calypso",CCY))</f>
        <v>0</v>
      </c>
      <c r="AL273" s="882">
        <f>IF($X273=0,0,      _xll.qDateNext($X273,AL$12,$AR$11,FRM&lt;&gt;"Calypso",CCY))</f>
        <v>0</v>
      </c>
      <c r="AM273" s="882">
        <f>IF($X273=0,0,      _xll.qDateNext($X273,AM$12,$AR$11,FRM&lt;&gt;"Calypso",CCY))</f>
        <v>0</v>
      </c>
      <c r="AN273" s="882">
        <f>IF($X273=0,0,      _xll.qDateNext($X273,AN$12,$AR$11,FRM&lt;&gt;"Calypso",CCY))</f>
        <v>0</v>
      </c>
      <c r="AO273" s="882">
        <f>IF($X273=0,0,      _xll.qDateNext($X273,AO$12,$AR$11,FRM&lt;&gt;"Calypso",CCY))</f>
        <v>0</v>
      </c>
      <c r="AP273" s="882">
        <f>IF($X273=0,0,      _xll.qDateNext($X273,AP$12,$AR$11,FRM&lt;&gt;"Calypso",CCY))</f>
        <v>0</v>
      </c>
      <c r="AQ273" s="882">
        <f>IF($X273=0,0,      _xll.qDateNext($X273,AQ$12,$AR$11,FRM&lt;&gt;"Calypso",CCY))</f>
        <v>0</v>
      </c>
      <c r="AR273" s="882">
        <f>IF($X273=0,0,      _xll.qDateNext($X273,AR$12,$AR$11,FRM&lt;&gt;"Calypso",CCY))</f>
        <v>0</v>
      </c>
      <c r="AS273" s="901">
        <f ca="1"/>
        <v>0</v>
      </c>
      <c r="AT273" s="901">
        <f ca="1"/>
        <v>0</v>
      </c>
      <c r="AU273" s="901">
        <f t="shared" si="79"/>
        <v>0</v>
      </c>
      <c r="AV273" s="901">
        <f ca="1"/>
        <v>0</v>
      </c>
      <c r="AW273" s="901">
        <f t="shared" si="80"/>
        <v>0</v>
      </c>
      <c r="AX273" s="901">
        <f t="shared" si="81"/>
        <v>0</v>
      </c>
      <c r="AY273" s="901">
        <f ca="1"/>
        <v>0</v>
      </c>
      <c r="AZ273" s="901">
        <f ca="1"/>
        <v>0</v>
      </c>
      <c r="BA273" s="905">
        <f t="shared" si="70"/>
        <v>0</v>
      </c>
      <c r="BB273" s="905">
        <f t="shared" si="71"/>
        <v>0</v>
      </c>
      <c r="BC273" s="905">
        <f t="shared" si="72"/>
        <v>0</v>
      </c>
      <c r="BD273" s="905">
        <f t="shared" si="73"/>
        <v>0</v>
      </c>
      <c r="BE273" s="905">
        <f t="shared" si="74"/>
        <v>0</v>
      </c>
      <c r="BF273" s="905">
        <f t="shared" si="75"/>
        <v>0</v>
      </c>
      <c r="BG273" s="905">
        <f t="shared" si="76"/>
        <v>0</v>
      </c>
      <c r="BH273" s="905">
        <f t="shared" si="77"/>
        <v>0</v>
      </c>
      <c r="BI273" s="713">
        <v>0</v>
      </c>
      <c r="BJ273" s="695"/>
      <c r="BK273" s="752">
        <f>IF(X274=0,0,           IF(ISNUMBER(BJ273),BJ273,               IF(ISTEXT(BJ273),INDEX(BA273:BH273,MATCH(BJ273,$BA$12:$BH$12,0)),             IF(BI273="INT",_xll.qInterp(X274,AK273:AR273,BA273:BH273),            INDEX(BA273:BH273,MATCH(BI273,$BA$12:$BH$12,0))))))</f>
        <v>0</v>
      </c>
      <c r="BL273" s="389">
        <f t="shared" si="82"/>
        <v>0</v>
      </c>
      <c r="BM273" s="394">
        <f t="shared" si="83"/>
        <v>0</v>
      </c>
      <c r="BN273" s="389">
        <f t="shared" si="84"/>
        <v>0</v>
      </c>
    </row>
    <row r="274" spans="16:66">
      <c r="P274" s="716">
        <v>0</v>
      </c>
      <c r="Q274" s="715">
        <f t="shared" si="68"/>
        <v>0</v>
      </c>
      <c r="R274" s="712">
        <f>IF(P275,_xll.qDateYears(P274,P275,DCCfixed),0)</f>
        <v>0</v>
      </c>
      <c r="S274" s="519">
        <f ca="1"/>
        <v>0</v>
      </c>
      <c r="T274" s="720"/>
      <c r="U274" s="390">
        <f t="shared" si="78"/>
        <v>0</v>
      </c>
      <c r="X274" s="345">
        <v>0</v>
      </c>
      <c r="Y274" s="711">
        <f t="shared" si="69"/>
        <v>0</v>
      </c>
      <c r="Z274" s="712">
        <f>IF(X275,_xll.qDateYears(X274,X275,DCCfloat),0)</f>
        <v>0</v>
      </c>
      <c r="AA274" s="519">
        <f ca="1"/>
        <v>0</v>
      </c>
      <c r="AB274" s="890">
        <f>IF(X274=0,0,         IF(OR(CCY="AUD",CCY="NZD",CCY="GBP"),X274,   _xll.qDateNext(X274,"-2b",,,IF(CCY="EUR","TGT","LON"))))</f>
        <v>0</v>
      </c>
      <c r="AC274" s="879" t="str">
        <v/>
      </c>
      <c r="AD274" s="879" t="str">
        <v/>
      </c>
      <c r="AE274" s="879" t="str">
        <v/>
      </c>
      <c r="AF274" s="879" t="str">
        <v/>
      </c>
      <c r="AG274" s="879" t="str">
        <v/>
      </c>
      <c r="AH274" s="879" t="str">
        <v/>
      </c>
      <c r="AI274" s="879" t="str">
        <v/>
      </c>
      <c r="AJ274" s="879" t="str">
        <v/>
      </c>
      <c r="AK274" s="882">
        <f>IF($X274=0,0,      _xll.qDateNext($X274,AK$12,$AR$11,FRM&lt;&gt;"Calypso",CCY))</f>
        <v>0</v>
      </c>
      <c r="AL274" s="882">
        <f>IF($X274=0,0,      _xll.qDateNext($X274,AL$12,$AR$11,FRM&lt;&gt;"Calypso",CCY))</f>
        <v>0</v>
      </c>
      <c r="AM274" s="882">
        <f>IF($X274=0,0,      _xll.qDateNext($X274,AM$12,$AR$11,FRM&lt;&gt;"Calypso",CCY))</f>
        <v>0</v>
      </c>
      <c r="AN274" s="882">
        <f>IF($X274=0,0,      _xll.qDateNext($X274,AN$12,$AR$11,FRM&lt;&gt;"Calypso",CCY))</f>
        <v>0</v>
      </c>
      <c r="AO274" s="882">
        <f>IF($X274=0,0,      _xll.qDateNext($X274,AO$12,$AR$11,FRM&lt;&gt;"Calypso",CCY))</f>
        <v>0</v>
      </c>
      <c r="AP274" s="882">
        <f>IF($X274=0,0,      _xll.qDateNext($X274,AP$12,$AR$11,FRM&lt;&gt;"Calypso",CCY))</f>
        <v>0</v>
      </c>
      <c r="AQ274" s="882">
        <f>IF($X274=0,0,      _xll.qDateNext($X274,AQ$12,$AR$11,FRM&lt;&gt;"Calypso",CCY))</f>
        <v>0</v>
      </c>
      <c r="AR274" s="882">
        <f>IF($X274=0,0,      _xll.qDateNext($X274,AR$12,$AR$11,FRM&lt;&gt;"Calypso",CCY))</f>
        <v>0</v>
      </c>
      <c r="AS274" s="901">
        <f ca="1"/>
        <v>0</v>
      </c>
      <c r="AT274" s="901">
        <f ca="1"/>
        <v>0</v>
      </c>
      <c r="AU274" s="901">
        <f t="shared" si="79"/>
        <v>0</v>
      </c>
      <c r="AV274" s="901">
        <f ca="1"/>
        <v>0</v>
      </c>
      <c r="AW274" s="901">
        <f t="shared" si="80"/>
        <v>0</v>
      </c>
      <c r="AX274" s="901">
        <f t="shared" si="81"/>
        <v>0</v>
      </c>
      <c r="AY274" s="901">
        <f ca="1"/>
        <v>0</v>
      </c>
      <c r="AZ274" s="901">
        <f ca="1"/>
        <v>0</v>
      </c>
      <c r="BA274" s="905">
        <f t="shared" si="70"/>
        <v>0</v>
      </c>
      <c r="BB274" s="905">
        <f t="shared" si="71"/>
        <v>0</v>
      </c>
      <c r="BC274" s="905">
        <f t="shared" si="72"/>
        <v>0</v>
      </c>
      <c r="BD274" s="905">
        <f t="shared" si="73"/>
        <v>0</v>
      </c>
      <c r="BE274" s="905">
        <f t="shared" si="74"/>
        <v>0</v>
      </c>
      <c r="BF274" s="905">
        <f t="shared" si="75"/>
        <v>0</v>
      </c>
      <c r="BG274" s="905">
        <f t="shared" si="76"/>
        <v>0</v>
      </c>
      <c r="BH274" s="905">
        <f t="shared" si="77"/>
        <v>0</v>
      </c>
      <c r="BI274" s="713">
        <v>0</v>
      </c>
      <c r="BJ274" s="695"/>
      <c r="BK274" s="752">
        <f>IF(X275=0,0,           IF(ISNUMBER(BJ274),BJ274,               IF(ISTEXT(BJ274),INDEX(BA274:BH274,MATCH(BJ274,$BA$12:$BH$12,0)),             IF(BI274="INT",_xll.qInterp(X275,AK274:AR274,BA274:BH274),            INDEX(BA274:BH274,MATCH(BI274,$BA$12:$BH$12,0))))))</f>
        <v>0</v>
      </c>
      <c r="BL274" s="389">
        <f t="shared" si="82"/>
        <v>0</v>
      </c>
      <c r="BM274" s="394">
        <f t="shared" si="83"/>
        <v>0</v>
      </c>
      <c r="BN274" s="389">
        <f t="shared" si="84"/>
        <v>0</v>
      </c>
    </row>
    <row r="275" spans="16:66">
      <c r="P275" s="716">
        <v>0</v>
      </c>
      <c r="Q275" s="715">
        <f t="shared" si="68"/>
        <v>0</v>
      </c>
      <c r="R275" s="712">
        <f>IF(P276,_xll.qDateYears(P275,P276,DCCfixed),0)</f>
        <v>0</v>
      </c>
      <c r="S275" s="519">
        <f ca="1"/>
        <v>0</v>
      </c>
      <c r="T275" s="720"/>
      <c r="U275" s="390">
        <f t="shared" si="78"/>
        <v>0</v>
      </c>
      <c r="X275" s="345">
        <v>0</v>
      </c>
      <c r="Y275" s="711">
        <f t="shared" si="69"/>
        <v>0</v>
      </c>
      <c r="Z275" s="712">
        <f>IF(X276,_xll.qDateYears(X275,X276,DCCfloat),0)</f>
        <v>0</v>
      </c>
      <c r="AA275" s="519">
        <f ca="1"/>
        <v>0</v>
      </c>
      <c r="AB275" s="890">
        <f>IF(X275=0,0,         IF(OR(CCY="AUD",CCY="NZD",CCY="GBP"),X275,   _xll.qDateNext(X275,"-2b",,,IF(CCY="EUR","TGT","LON"))))</f>
        <v>0</v>
      </c>
      <c r="AC275" s="879" t="str">
        <v/>
      </c>
      <c r="AD275" s="879" t="str">
        <v/>
      </c>
      <c r="AE275" s="879" t="str">
        <v/>
      </c>
      <c r="AF275" s="879" t="str">
        <v/>
      </c>
      <c r="AG275" s="879" t="str">
        <v/>
      </c>
      <c r="AH275" s="879" t="str">
        <v/>
      </c>
      <c r="AI275" s="879" t="str">
        <v/>
      </c>
      <c r="AJ275" s="879" t="str">
        <v/>
      </c>
      <c r="AK275" s="882">
        <f>IF($X275=0,0,      _xll.qDateNext($X275,AK$12,$AR$11,FRM&lt;&gt;"Calypso",CCY))</f>
        <v>0</v>
      </c>
      <c r="AL275" s="882">
        <f>IF($X275=0,0,      _xll.qDateNext($X275,AL$12,$AR$11,FRM&lt;&gt;"Calypso",CCY))</f>
        <v>0</v>
      </c>
      <c r="AM275" s="882">
        <f>IF($X275=0,0,      _xll.qDateNext($X275,AM$12,$AR$11,FRM&lt;&gt;"Calypso",CCY))</f>
        <v>0</v>
      </c>
      <c r="AN275" s="882">
        <f>IF($X275=0,0,      _xll.qDateNext($X275,AN$12,$AR$11,FRM&lt;&gt;"Calypso",CCY))</f>
        <v>0</v>
      </c>
      <c r="AO275" s="882">
        <f>IF($X275=0,0,      _xll.qDateNext($X275,AO$12,$AR$11,FRM&lt;&gt;"Calypso",CCY))</f>
        <v>0</v>
      </c>
      <c r="AP275" s="882">
        <f>IF($X275=0,0,      _xll.qDateNext($X275,AP$12,$AR$11,FRM&lt;&gt;"Calypso",CCY))</f>
        <v>0</v>
      </c>
      <c r="AQ275" s="882">
        <f>IF($X275=0,0,      _xll.qDateNext($X275,AQ$12,$AR$11,FRM&lt;&gt;"Calypso",CCY))</f>
        <v>0</v>
      </c>
      <c r="AR275" s="882">
        <f>IF($X275=0,0,      _xll.qDateNext($X275,AR$12,$AR$11,FRM&lt;&gt;"Calypso",CCY))</f>
        <v>0</v>
      </c>
      <c r="AS275" s="901">
        <f ca="1"/>
        <v>0</v>
      </c>
      <c r="AT275" s="901">
        <f ca="1"/>
        <v>0</v>
      </c>
      <c r="AU275" s="901">
        <f t="shared" si="79"/>
        <v>0</v>
      </c>
      <c r="AV275" s="901">
        <f ca="1"/>
        <v>0</v>
      </c>
      <c r="AW275" s="901">
        <f t="shared" si="80"/>
        <v>0</v>
      </c>
      <c r="AX275" s="901">
        <f t="shared" si="81"/>
        <v>0</v>
      </c>
      <c r="AY275" s="901">
        <f ca="1"/>
        <v>0</v>
      </c>
      <c r="AZ275" s="901">
        <f ca="1"/>
        <v>0</v>
      </c>
      <c r="BA275" s="905">
        <f t="shared" si="70"/>
        <v>0</v>
      </c>
      <c r="BB275" s="905">
        <f t="shared" si="71"/>
        <v>0</v>
      </c>
      <c r="BC275" s="905">
        <f t="shared" si="72"/>
        <v>0</v>
      </c>
      <c r="BD275" s="905">
        <f t="shared" si="73"/>
        <v>0</v>
      </c>
      <c r="BE275" s="905">
        <f t="shared" si="74"/>
        <v>0</v>
      </c>
      <c r="BF275" s="905">
        <f t="shared" si="75"/>
        <v>0</v>
      </c>
      <c r="BG275" s="905">
        <f t="shared" si="76"/>
        <v>0</v>
      </c>
      <c r="BH275" s="905">
        <f t="shared" si="77"/>
        <v>0</v>
      </c>
      <c r="BI275" s="713">
        <v>0</v>
      </c>
      <c r="BJ275" s="695"/>
      <c r="BK275" s="752">
        <f>IF(X276=0,0,           IF(ISNUMBER(BJ275),BJ275,               IF(ISTEXT(BJ275),INDEX(BA275:BH275,MATCH(BJ275,$BA$12:$BH$12,0)),             IF(BI275="INT",_xll.qInterp(X276,AK275:AR275,BA275:BH275),            INDEX(BA275:BH275,MATCH(BI275,$BA$12:$BH$12,0))))))</f>
        <v>0</v>
      </c>
      <c r="BL275" s="389">
        <f t="shared" si="82"/>
        <v>0</v>
      </c>
      <c r="BM275" s="394">
        <f t="shared" si="83"/>
        <v>0</v>
      </c>
      <c r="BN275" s="389">
        <f t="shared" si="84"/>
        <v>0</v>
      </c>
    </row>
    <row r="276" spans="16:66">
      <c r="P276" s="716">
        <v>0</v>
      </c>
      <c r="Q276" s="715">
        <f t="shared" si="68"/>
        <v>0</v>
      </c>
      <c r="R276" s="712">
        <f>IF(P277,_xll.qDateYears(P276,P277,DCCfixed),0)</f>
        <v>0</v>
      </c>
      <c r="S276" s="519">
        <f ca="1"/>
        <v>0</v>
      </c>
      <c r="T276" s="720"/>
      <c r="U276" s="390">
        <f t="shared" si="78"/>
        <v>0</v>
      </c>
      <c r="X276" s="345">
        <v>0</v>
      </c>
      <c r="Y276" s="711">
        <f t="shared" si="69"/>
        <v>0</v>
      </c>
      <c r="Z276" s="712">
        <f>IF(X277,_xll.qDateYears(X276,X277,DCCfloat),0)</f>
        <v>0</v>
      </c>
      <c r="AA276" s="519">
        <f ca="1"/>
        <v>0</v>
      </c>
      <c r="AB276" s="890">
        <f>IF(X276=0,0,         IF(OR(CCY="AUD",CCY="NZD",CCY="GBP"),X276,   _xll.qDateNext(X276,"-2b",,,IF(CCY="EUR","TGT","LON"))))</f>
        <v>0</v>
      </c>
      <c r="AC276" s="879" t="str">
        <v/>
      </c>
      <c r="AD276" s="879" t="str">
        <v/>
      </c>
      <c r="AE276" s="879" t="str">
        <v/>
      </c>
      <c r="AF276" s="879" t="str">
        <v/>
      </c>
      <c r="AG276" s="879" t="str">
        <v/>
      </c>
      <c r="AH276" s="879" t="str">
        <v/>
      </c>
      <c r="AI276" s="879" t="str">
        <v/>
      </c>
      <c r="AJ276" s="879" t="str">
        <v/>
      </c>
      <c r="AK276" s="882">
        <f>IF($X276=0,0,      _xll.qDateNext($X276,AK$12,$AR$11,FRM&lt;&gt;"Calypso",CCY))</f>
        <v>0</v>
      </c>
      <c r="AL276" s="882">
        <f>IF($X276=0,0,      _xll.qDateNext($X276,AL$12,$AR$11,FRM&lt;&gt;"Calypso",CCY))</f>
        <v>0</v>
      </c>
      <c r="AM276" s="882">
        <f>IF($X276=0,0,      _xll.qDateNext($X276,AM$12,$AR$11,FRM&lt;&gt;"Calypso",CCY))</f>
        <v>0</v>
      </c>
      <c r="AN276" s="882">
        <f>IF($X276=0,0,      _xll.qDateNext($X276,AN$12,$AR$11,FRM&lt;&gt;"Calypso",CCY))</f>
        <v>0</v>
      </c>
      <c r="AO276" s="882">
        <f>IF($X276=0,0,      _xll.qDateNext($X276,AO$12,$AR$11,FRM&lt;&gt;"Calypso",CCY))</f>
        <v>0</v>
      </c>
      <c r="AP276" s="882">
        <f>IF($X276=0,0,      _xll.qDateNext($X276,AP$12,$AR$11,FRM&lt;&gt;"Calypso",CCY))</f>
        <v>0</v>
      </c>
      <c r="AQ276" s="882">
        <f>IF($X276=0,0,      _xll.qDateNext($X276,AQ$12,$AR$11,FRM&lt;&gt;"Calypso",CCY))</f>
        <v>0</v>
      </c>
      <c r="AR276" s="882">
        <f>IF($X276=0,0,      _xll.qDateNext($X276,AR$12,$AR$11,FRM&lt;&gt;"Calypso",CCY))</f>
        <v>0</v>
      </c>
      <c r="AS276" s="901">
        <f ca="1"/>
        <v>0</v>
      </c>
      <c r="AT276" s="901">
        <f ca="1"/>
        <v>0</v>
      </c>
      <c r="AU276" s="901">
        <f t="shared" si="79"/>
        <v>0</v>
      </c>
      <c r="AV276" s="901">
        <f ca="1"/>
        <v>0</v>
      </c>
      <c r="AW276" s="901">
        <f t="shared" si="80"/>
        <v>0</v>
      </c>
      <c r="AX276" s="901">
        <f t="shared" si="81"/>
        <v>0</v>
      </c>
      <c r="AY276" s="901">
        <f ca="1"/>
        <v>0</v>
      </c>
      <c r="AZ276" s="901">
        <f ca="1"/>
        <v>0</v>
      </c>
      <c r="BA276" s="905">
        <f t="shared" si="70"/>
        <v>0</v>
      </c>
      <c r="BB276" s="905">
        <f t="shared" si="71"/>
        <v>0</v>
      </c>
      <c r="BC276" s="905">
        <f t="shared" si="72"/>
        <v>0</v>
      </c>
      <c r="BD276" s="905">
        <f t="shared" si="73"/>
        <v>0</v>
      </c>
      <c r="BE276" s="905">
        <f t="shared" si="74"/>
        <v>0</v>
      </c>
      <c r="BF276" s="905">
        <f t="shared" si="75"/>
        <v>0</v>
      </c>
      <c r="BG276" s="905">
        <f t="shared" si="76"/>
        <v>0</v>
      </c>
      <c r="BH276" s="905">
        <f t="shared" si="77"/>
        <v>0</v>
      </c>
      <c r="BI276" s="713">
        <v>0</v>
      </c>
      <c r="BJ276" s="695"/>
      <c r="BK276" s="752">
        <f>IF(X277=0,0,           IF(ISNUMBER(BJ276),BJ276,               IF(ISTEXT(BJ276),INDEX(BA276:BH276,MATCH(BJ276,$BA$12:$BH$12,0)),             IF(BI276="INT",_xll.qInterp(X277,AK276:AR276,BA276:BH276),            INDEX(BA276:BH276,MATCH(BI276,$BA$12:$BH$12,0))))))</f>
        <v>0</v>
      </c>
      <c r="BL276" s="389">
        <f t="shared" si="82"/>
        <v>0</v>
      </c>
      <c r="BM276" s="394">
        <f t="shared" si="83"/>
        <v>0</v>
      </c>
      <c r="BN276" s="389">
        <f t="shared" si="84"/>
        <v>0</v>
      </c>
    </row>
    <row r="277" spans="16:66">
      <c r="P277" s="716">
        <v>0</v>
      </c>
      <c r="Q277" s="715">
        <f t="shared" si="68"/>
        <v>0</v>
      </c>
      <c r="R277" s="712">
        <f>IF(P278,_xll.qDateYears(P277,P278,DCCfixed),0)</f>
        <v>0</v>
      </c>
      <c r="S277" s="519">
        <f ca="1"/>
        <v>0</v>
      </c>
      <c r="T277" s="720"/>
      <c r="U277" s="390">
        <f t="shared" si="78"/>
        <v>0</v>
      </c>
      <c r="X277" s="345">
        <v>0</v>
      </c>
      <c r="Y277" s="711">
        <f t="shared" si="69"/>
        <v>0</v>
      </c>
      <c r="Z277" s="712">
        <f>IF(X278,_xll.qDateYears(X277,X278,DCCfloat),0)</f>
        <v>0</v>
      </c>
      <c r="AA277" s="519">
        <f ca="1"/>
        <v>0</v>
      </c>
      <c r="AB277" s="890">
        <f>IF(X277=0,0,         IF(OR(CCY="AUD",CCY="NZD",CCY="GBP"),X277,   _xll.qDateNext(X277,"-2b",,,IF(CCY="EUR","TGT","LON"))))</f>
        <v>0</v>
      </c>
      <c r="AC277" s="879" t="str">
        <v/>
      </c>
      <c r="AD277" s="879" t="str">
        <v/>
      </c>
      <c r="AE277" s="879" t="str">
        <v/>
      </c>
      <c r="AF277" s="879" t="str">
        <v/>
      </c>
      <c r="AG277" s="879" t="str">
        <v/>
      </c>
      <c r="AH277" s="879" t="str">
        <v/>
      </c>
      <c r="AI277" s="879" t="str">
        <v/>
      </c>
      <c r="AJ277" s="879" t="str">
        <v/>
      </c>
      <c r="AK277" s="882">
        <f>IF($X277=0,0,      _xll.qDateNext($X277,AK$12,$AR$11,FRM&lt;&gt;"Calypso",CCY))</f>
        <v>0</v>
      </c>
      <c r="AL277" s="882">
        <f>IF($X277=0,0,      _xll.qDateNext($X277,AL$12,$AR$11,FRM&lt;&gt;"Calypso",CCY))</f>
        <v>0</v>
      </c>
      <c r="AM277" s="882">
        <f>IF($X277=0,0,      _xll.qDateNext($X277,AM$12,$AR$11,FRM&lt;&gt;"Calypso",CCY))</f>
        <v>0</v>
      </c>
      <c r="AN277" s="882">
        <f>IF($X277=0,0,      _xll.qDateNext($X277,AN$12,$AR$11,FRM&lt;&gt;"Calypso",CCY))</f>
        <v>0</v>
      </c>
      <c r="AO277" s="882">
        <f>IF($X277=0,0,      _xll.qDateNext($X277,AO$12,$AR$11,FRM&lt;&gt;"Calypso",CCY))</f>
        <v>0</v>
      </c>
      <c r="AP277" s="882">
        <f>IF($X277=0,0,      _xll.qDateNext($X277,AP$12,$AR$11,FRM&lt;&gt;"Calypso",CCY))</f>
        <v>0</v>
      </c>
      <c r="AQ277" s="882">
        <f>IF($X277=0,0,      _xll.qDateNext($X277,AQ$12,$AR$11,FRM&lt;&gt;"Calypso",CCY))</f>
        <v>0</v>
      </c>
      <c r="AR277" s="882">
        <f>IF($X277=0,0,      _xll.qDateNext($X277,AR$12,$AR$11,FRM&lt;&gt;"Calypso",CCY))</f>
        <v>0</v>
      </c>
      <c r="AS277" s="901">
        <f ca="1"/>
        <v>0</v>
      </c>
      <c r="AT277" s="901">
        <f ca="1"/>
        <v>0</v>
      </c>
      <c r="AU277" s="901">
        <f t="shared" si="79"/>
        <v>0</v>
      </c>
      <c r="AV277" s="901">
        <f ca="1"/>
        <v>0</v>
      </c>
      <c r="AW277" s="901">
        <f t="shared" si="80"/>
        <v>0</v>
      </c>
      <c r="AX277" s="901">
        <f t="shared" si="81"/>
        <v>0</v>
      </c>
      <c r="AY277" s="901">
        <f ca="1"/>
        <v>0</v>
      </c>
      <c r="AZ277" s="901">
        <f ca="1"/>
        <v>0</v>
      </c>
      <c r="BA277" s="905">
        <f t="shared" si="70"/>
        <v>0</v>
      </c>
      <c r="BB277" s="905">
        <f t="shared" si="71"/>
        <v>0</v>
      </c>
      <c r="BC277" s="905">
        <f t="shared" si="72"/>
        <v>0</v>
      </c>
      <c r="BD277" s="905">
        <f t="shared" si="73"/>
        <v>0</v>
      </c>
      <c r="BE277" s="905">
        <f t="shared" si="74"/>
        <v>0</v>
      </c>
      <c r="BF277" s="905">
        <f t="shared" si="75"/>
        <v>0</v>
      </c>
      <c r="BG277" s="905">
        <f t="shared" si="76"/>
        <v>0</v>
      </c>
      <c r="BH277" s="905">
        <f t="shared" si="77"/>
        <v>0</v>
      </c>
      <c r="BI277" s="713">
        <v>0</v>
      </c>
      <c r="BJ277" s="695"/>
      <c r="BK277" s="752">
        <f>IF(X278=0,0,           IF(ISNUMBER(BJ277),BJ277,               IF(ISTEXT(BJ277),INDEX(BA277:BH277,MATCH(BJ277,$BA$12:$BH$12,0)),             IF(BI277="INT",_xll.qInterp(X278,AK277:AR277,BA277:BH277),            INDEX(BA277:BH277,MATCH(BI277,$BA$12:$BH$12,0))))))</f>
        <v>0</v>
      </c>
      <c r="BL277" s="389">
        <f t="shared" si="82"/>
        <v>0</v>
      </c>
      <c r="BM277" s="394">
        <f t="shared" si="83"/>
        <v>0</v>
      </c>
      <c r="BN277" s="389">
        <f t="shared" si="84"/>
        <v>0</v>
      </c>
    </row>
    <row r="278" spans="16:66">
      <c r="P278" s="716">
        <v>0</v>
      </c>
      <c r="Q278" s="715">
        <f t="shared" si="68"/>
        <v>0</v>
      </c>
      <c r="R278" s="712">
        <f>IF(P279,_xll.qDateYears(P278,P279,DCCfixed),0)</f>
        <v>0</v>
      </c>
      <c r="S278" s="519">
        <f ca="1"/>
        <v>0</v>
      </c>
      <c r="T278" s="720"/>
      <c r="U278" s="390">
        <f t="shared" si="78"/>
        <v>0</v>
      </c>
      <c r="X278" s="345">
        <v>0</v>
      </c>
      <c r="Y278" s="711">
        <f t="shared" si="69"/>
        <v>0</v>
      </c>
      <c r="Z278" s="712">
        <f>IF(X279,_xll.qDateYears(X278,X279,DCCfloat),0)</f>
        <v>0</v>
      </c>
      <c r="AA278" s="519">
        <f ca="1"/>
        <v>0</v>
      </c>
      <c r="AB278" s="890">
        <f>IF(X278=0,0,         IF(OR(CCY="AUD",CCY="NZD",CCY="GBP"),X278,   _xll.qDateNext(X278,"-2b",,,IF(CCY="EUR","TGT","LON"))))</f>
        <v>0</v>
      </c>
      <c r="AC278" s="879" t="str">
        <v/>
      </c>
      <c r="AD278" s="879" t="str">
        <v/>
      </c>
      <c r="AE278" s="879" t="str">
        <v/>
      </c>
      <c r="AF278" s="879" t="str">
        <v/>
      </c>
      <c r="AG278" s="879" t="str">
        <v/>
      </c>
      <c r="AH278" s="879" t="str">
        <v/>
      </c>
      <c r="AI278" s="879" t="str">
        <v/>
      </c>
      <c r="AJ278" s="879" t="str">
        <v/>
      </c>
      <c r="AK278" s="882">
        <f>IF($X278=0,0,      _xll.qDateNext($X278,AK$12,$AR$11,FRM&lt;&gt;"Calypso",CCY))</f>
        <v>0</v>
      </c>
      <c r="AL278" s="882">
        <f>IF($X278=0,0,      _xll.qDateNext($X278,AL$12,$AR$11,FRM&lt;&gt;"Calypso",CCY))</f>
        <v>0</v>
      </c>
      <c r="AM278" s="882">
        <f>IF($X278=0,0,      _xll.qDateNext($X278,AM$12,$AR$11,FRM&lt;&gt;"Calypso",CCY))</f>
        <v>0</v>
      </c>
      <c r="AN278" s="882">
        <f>IF($X278=0,0,      _xll.qDateNext($X278,AN$12,$AR$11,FRM&lt;&gt;"Calypso",CCY))</f>
        <v>0</v>
      </c>
      <c r="AO278" s="882">
        <f>IF($X278=0,0,      _xll.qDateNext($X278,AO$12,$AR$11,FRM&lt;&gt;"Calypso",CCY))</f>
        <v>0</v>
      </c>
      <c r="AP278" s="882">
        <f>IF($X278=0,0,      _xll.qDateNext($X278,AP$12,$AR$11,FRM&lt;&gt;"Calypso",CCY))</f>
        <v>0</v>
      </c>
      <c r="AQ278" s="882">
        <f>IF($X278=0,0,      _xll.qDateNext($X278,AQ$12,$AR$11,FRM&lt;&gt;"Calypso",CCY))</f>
        <v>0</v>
      </c>
      <c r="AR278" s="882">
        <f>IF($X278=0,0,      _xll.qDateNext($X278,AR$12,$AR$11,FRM&lt;&gt;"Calypso",CCY))</f>
        <v>0</v>
      </c>
      <c r="AS278" s="901">
        <f ca="1"/>
        <v>0</v>
      </c>
      <c r="AT278" s="901">
        <f ca="1"/>
        <v>0</v>
      </c>
      <c r="AU278" s="901">
        <f t="shared" si="79"/>
        <v>0</v>
      </c>
      <c r="AV278" s="901">
        <f ca="1"/>
        <v>0</v>
      </c>
      <c r="AW278" s="901">
        <f t="shared" si="80"/>
        <v>0</v>
      </c>
      <c r="AX278" s="901">
        <f t="shared" si="81"/>
        <v>0</v>
      </c>
      <c r="AY278" s="901">
        <f ca="1"/>
        <v>0</v>
      </c>
      <c r="AZ278" s="901">
        <f ca="1"/>
        <v>0</v>
      </c>
      <c r="BA278" s="905">
        <f t="shared" si="70"/>
        <v>0</v>
      </c>
      <c r="BB278" s="905">
        <f t="shared" si="71"/>
        <v>0</v>
      </c>
      <c r="BC278" s="905">
        <f t="shared" si="72"/>
        <v>0</v>
      </c>
      <c r="BD278" s="905">
        <f t="shared" si="73"/>
        <v>0</v>
      </c>
      <c r="BE278" s="905">
        <f t="shared" si="74"/>
        <v>0</v>
      </c>
      <c r="BF278" s="905">
        <f t="shared" si="75"/>
        <v>0</v>
      </c>
      <c r="BG278" s="905">
        <f t="shared" si="76"/>
        <v>0</v>
      </c>
      <c r="BH278" s="905">
        <f t="shared" si="77"/>
        <v>0</v>
      </c>
      <c r="BI278" s="713">
        <v>0</v>
      </c>
      <c r="BJ278" s="695"/>
      <c r="BK278" s="752">
        <f>IF(X279=0,0,           IF(ISNUMBER(BJ278),BJ278,               IF(ISTEXT(BJ278),INDEX(BA278:BH278,MATCH(BJ278,$BA$12:$BH$12,0)),             IF(BI278="INT",_xll.qInterp(X279,AK278:AR278,BA278:BH278),            INDEX(BA278:BH278,MATCH(BI278,$BA$12:$BH$12,0))))))</f>
        <v>0</v>
      </c>
      <c r="BL278" s="389">
        <f t="shared" si="82"/>
        <v>0</v>
      </c>
      <c r="BM278" s="394">
        <f t="shared" si="83"/>
        <v>0</v>
      </c>
      <c r="BN278" s="389">
        <f t="shared" si="84"/>
        <v>0</v>
      </c>
    </row>
    <row r="279" spans="16:66">
      <c r="P279" s="716">
        <v>0</v>
      </c>
      <c r="Q279" s="715">
        <f t="shared" si="68"/>
        <v>0</v>
      </c>
      <c r="R279" s="712">
        <f>IF(P280,_xll.qDateYears(P279,P280,DCCfixed),0)</f>
        <v>0</v>
      </c>
      <c r="S279" s="519">
        <f ca="1"/>
        <v>0</v>
      </c>
      <c r="T279" s="720"/>
      <c r="U279" s="390">
        <f t="shared" si="78"/>
        <v>0</v>
      </c>
      <c r="X279" s="345">
        <v>0</v>
      </c>
      <c r="Y279" s="711">
        <f t="shared" si="69"/>
        <v>0</v>
      </c>
      <c r="Z279" s="712">
        <f>IF(X280,_xll.qDateYears(X279,X280,DCCfloat),0)</f>
        <v>0</v>
      </c>
      <c r="AA279" s="519">
        <f ca="1"/>
        <v>0</v>
      </c>
      <c r="AB279" s="890">
        <f>IF(X279=0,0,         IF(OR(CCY="AUD",CCY="NZD",CCY="GBP"),X279,   _xll.qDateNext(X279,"-2b",,,IF(CCY="EUR","TGT","LON"))))</f>
        <v>0</v>
      </c>
      <c r="AC279" s="879" t="str">
        <v/>
      </c>
      <c r="AD279" s="879" t="str">
        <v/>
      </c>
      <c r="AE279" s="879" t="str">
        <v/>
      </c>
      <c r="AF279" s="879" t="str">
        <v/>
      </c>
      <c r="AG279" s="879" t="str">
        <v/>
      </c>
      <c r="AH279" s="879" t="str">
        <v/>
      </c>
      <c r="AI279" s="879" t="str">
        <v/>
      </c>
      <c r="AJ279" s="879" t="str">
        <v/>
      </c>
      <c r="AK279" s="882">
        <f>IF($X279=0,0,      _xll.qDateNext($X279,AK$12,$AR$11,FRM&lt;&gt;"Calypso",CCY))</f>
        <v>0</v>
      </c>
      <c r="AL279" s="882">
        <f>IF($X279=0,0,      _xll.qDateNext($X279,AL$12,$AR$11,FRM&lt;&gt;"Calypso",CCY))</f>
        <v>0</v>
      </c>
      <c r="AM279" s="882">
        <f>IF($X279=0,0,      _xll.qDateNext($X279,AM$12,$AR$11,FRM&lt;&gt;"Calypso",CCY))</f>
        <v>0</v>
      </c>
      <c r="AN279" s="882">
        <f>IF($X279=0,0,      _xll.qDateNext($X279,AN$12,$AR$11,FRM&lt;&gt;"Calypso",CCY))</f>
        <v>0</v>
      </c>
      <c r="AO279" s="882">
        <f>IF($X279=0,0,      _xll.qDateNext($X279,AO$12,$AR$11,FRM&lt;&gt;"Calypso",CCY))</f>
        <v>0</v>
      </c>
      <c r="AP279" s="882">
        <f>IF($X279=0,0,      _xll.qDateNext($X279,AP$12,$AR$11,FRM&lt;&gt;"Calypso",CCY))</f>
        <v>0</v>
      </c>
      <c r="AQ279" s="882">
        <f>IF($X279=0,0,      _xll.qDateNext($X279,AQ$12,$AR$11,FRM&lt;&gt;"Calypso",CCY))</f>
        <v>0</v>
      </c>
      <c r="AR279" s="882">
        <f>IF($X279=0,0,      _xll.qDateNext($X279,AR$12,$AR$11,FRM&lt;&gt;"Calypso",CCY))</f>
        <v>0</v>
      </c>
      <c r="AS279" s="901">
        <f ca="1"/>
        <v>0</v>
      </c>
      <c r="AT279" s="901">
        <f ca="1"/>
        <v>0</v>
      </c>
      <c r="AU279" s="901">
        <f t="shared" si="79"/>
        <v>0</v>
      </c>
      <c r="AV279" s="901">
        <f ca="1"/>
        <v>0</v>
      </c>
      <c r="AW279" s="901">
        <f t="shared" si="80"/>
        <v>0</v>
      </c>
      <c r="AX279" s="901">
        <f t="shared" si="81"/>
        <v>0</v>
      </c>
      <c r="AY279" s="901">
        <f ca="1"/>
        <v>0</v>
      </c>
      <c r="AZ279" s="901">
        <f ca="1"/>
        <v>0</v>
      </c>
      <c r="BA279" s="905">
        <f t="shared" si="70"/>
        <v>0</v>
      </c>
      <c r="BB279" s="905">
        <f t="shared" si="71"/>
        <v>0</v>
      </c>
      <c r="BC279" s="905">
        <f t="shared" si="72"/>
        <v>0</v>
      </c>
      <c r="BD279" s="905">
        <f t="shared" si="73"/>
        <v>0</v>
      </c>
      <c r="BE279" s="905">
        <f t="shared" si="74"/>
        <v>0</v>
      </c>
      <c r="BF279" s="905">
        <f t="shared" si="75"/>
        <v>0</v>
      </c>
      <c r="BG279" s="905">
        <f t="shared" si="76"/>
        <v>0</v>
      </c>
      <c r="BH279" s="905">
        <f t="shared" si="77"/>
        <v>0</v>
      </c>
      <c r="BI279" s="713">
        <v>0</v>
      </c>
      <c r="BJ279" s="695"/>
      <c r="BK279" s="752">
        <f>IF(X280=0,0,           IF(ISNUMBER(BJ279),BJ279,               IF(ISTEXT(BJ279),INDEX(BA279:BH279,MATCH(BJ279,$BA$12:$BH$12,0)),             IF(BI279="INT",_xll.qInterp(X280,AK279:AR279,BA279:BH279),            INDEX(BA279:BH279,MATCH(BI279,$BA$12:$BH$12,0))))))</f>
        <v>0</v>
      </c>
      <c r="BL279" s="389">
        <f t="shared" si="82"/>
        <v>0</v>
      </c>
      <c r="BM279" s="394">
        <f t="shared" si="83"/>
        <v>0</v>
      </c>
      <c r="BN279" s="389">
        <f t="shared" si="84"/>
        <v>0</v>
      </c>
    </row>
    <row r="280" spans="16:66">
      <c r="P280" s="716">
        <v>0</v>
      </c>
      <c r="Q280" s="715">
        <f t="shared" si="68"/>
        <v>0</v>
      </c>
      <c r="R280" s="712">
        <f>IF(P281,_xll.qDateYears(P280,P281,DCCfixed),0)</f>
        <v>0</v>
      </c>
      <c r="S280" s="519">
        <f ca="1"/>
        <v>0</v>
      </c>
      <c r="T280" s="720"/>
      <c r="U280" s="390">
        <f t="shared" si="78"/>
        <v>0</v>
      </c>
      <c r="X280" s="345">
        <v>0</v>
      </c>
      <c r="Y280" s="711">
        <f t="shared" si="69"/>
        <v>0</v>
      </c>
      <c r="Z280" s="712">
        <f>IF(X281,_xll.qDateYears(X280,X281,DCCfloat),0)</f>
        <v>0</v>
      </c>
      <c r="AA280" s="519">
        <f ca="1"/>
        <v>0</v>
      </c>
      <c r="AB280" s="890">
        <f>IF(X280=0,0,         IF(OR(CCY="AUD",CCY="NZD",CCY="GBP"),X280,   _xll.qDateNext(X280,"-2b",,,IF(CCY="EUR","TGT","LON"))))</f>
        <v>0</v>
      </c>
      <c r="AC280" s="879" t="str">
        <v/>
      </c>
      <c r="AD280" s="879" t="str">
        <v/>
      </c>
      <c r="AE280" s="879" t="str">
        <v/>
      </c>
      <c r="AF280" s="879" t="str">
        <v/>
      </c>
      <c r="AG280" s="879" t="str">
        <v/>
      </c>
      <c r="AH280" s="879" t="str">
        <v/>
      </c>
      <c r="AI280" s="879" t="str">
        <v/>
      </c>
      <c r="AJ280" s="879" t="str">
        <v/>
      </c>
      <c r="AK280" s="882">
        <f>IF($X280=0,0,      _xll.qDateNext($X280,AK$12,$AR$11,FRM&lt;&gt;"Calypso",CCY))</f>
        <v>0</v>
      </c>
      <c r="AL280" s="882">
        <f>IF($X280=0,0,      _xll.qDateNext($X280,AL$12,$AR$11,FRM&lt;&gt;"Calypso",CCY))</f>
        <v>0</v>
      </c>
      <c r="AM280" s="882">
        <f>IF($X280=0,0,      _xll.qDateNext($X280,AM$12,$AR$11,FRM&lt;&gt;"Calypso",CCY))</f>
        <v>0</v>
      </c>
      <c r="AN280" s="882">
        <f>IF($X280=0,0,      _xll.qDateNext($X280,AN$12,$AR$11,FRM&lt;&gt;"Calypso",CCY))</f>
        <v>0</v>
      </c>
      <c r="AO280" s="882">
        <f>IF($X280=0,0,      _xll.qDateNext($X280,AO$12,$AR$11,FRM&lt;&gt;"Calypso",CCY))</f>
        <v>0</v>
      </c>
      <c r="AP280" s="882">
        <f>IF($X280=0,0,      _xll.qDateNext($X280,AP$12,$AR$11,FRM&lt;&gt;"Calypso",CCY))</f>
        <v>0</v>
      </c>
      <c r="AQ280" s="882">
        <f>IF($X280=0,0,      _xll.qDateNext($X280,AQ$12,$AR$11,FRM&lt;&gt;"Calypso",CCY))</f>
        <v>0</v>
      </c>
      <c r="AR280" s="882">
        <f>IF($X280=0,0,      _xll.qDateNext($X280,AR$12,$AR$11,FRM&lt;&gt;"Calypso",CCY))</f>
        <v>0</v>
      </c>
      <c r="AS280" s="901">
        <f ca="1"/>
        <v>0</v>
      </c>
      <c r="AT280" s="901">
        <f ca="1"/>
        <v>0</v>
      </c>
      <c r="AU280" s="901">
        <f t="shared" si="79"/>
        <v>0</v>
      </c>
      <c r="AV280" s="901">
        <f ca="1"/>
        <v>0</v>
      </c>
      <c r="AW280" s="901">
        <f t="shared" si="80"/>
        <v>0</v>
      </c>
      <c r="AX280" s="901">
        <f t="shared" si="81"/>
        <v>0</v>
      </c>
      <c r="AY280" s="901">
        <f ca="1"/>
        <v>0</v>
      </c>
      <c r="AZ280" s="901">
        <f ca="1"/>
        <v>0</v>
      </c>
      <c r="BA280" s="905">
        <f t="shared" si="70"/>
        <v>0</v>
      </c>
      <c r="BB280" s="905">
        <f t="shared" si="71"/>
        <v>0</v>
      </c>
      <c r="BC280" s="905">
        <f t="shared" si="72"/>
        <v>0</v>
      </c>
      <c r="BD280" s="905">
        <f t="shared" si="73"/>
        <v>0</v>
      </c>
      <c r="BE280" s="905">
        <f t="shared" si="74"/>
        <v>0</v>
      </c>
      <c r="BF280" s="905">
        <f t="shared" si="75"/>
        <v>0</v>
      </c>
      <c r="BG280" s="905">
        <f t="shared" si="76"/>
        <v>0</v>
      </c>
      <c r="BH280" s="905">
        <f t="shared" si="77"/>
        <v>0</v>
      </c>
      <c r="BI280" s="713">
        <v>0</v>
      </c>
      <c r="BJ280" s="695"/>
      <c r="BK280" s="752">
        <f>IF(X281=0,0,           IF(ISNUMBER(BJ280),BJ280,               IF(ISTEXT(BJ280),INDEX(BA280:BH280,MATCH(BJ280,$BA$12:$BH$12,0)),             IF(BI280="INT",_xll.qInterp(X281,AK280:AR280,BA280:BH280),            INDEX(BA280:BH280,MATCH(BI280,$BA$12:$BH$12,0))))))</f>
        <v>0</v>
      </c>
      <c r="BL280" s="389">
        <f t="shared" si="82"/>
        <v>0</v>
      </c>
      <c r="BM280" s="394">
        <f t="shared" si="83"/>
        <v>0</v>
      </c>
      <c r="BN280" s="389">
        <f t="shared" si="84"/>
        <v>0</v>
      </c>
    </row>
    <row r="281" spans="16:66">
      <c r="P281" s="716">
        <v>0</v>
      </c>
      <c r="Q281" s="715">
        <f t="shared" si="68"/>
        <v>0</v>
      </c>
      <c r="R281" s="712">
        <f>IF(P282,_xll.qDateYears(P281,P282,DCCfixed),0)</f>
        <v>0</v>
      </c>
      <c r="S281" s="519">
        <f ca="1"/>
        <v>0</v>
      </c>
      <c r="T281" s="720"/>
      <c r="U281" s="390">
        <f t="shared" si="78"/>
        <v>0</v>
      </c>
      <c r="X281" s="345">
        <v>0</v>
      </c>
      <c r="Y281" s="711">
        <f t="shared" si="69"/>
        <v>0</v>
      </c>
      <c r="Z281" s="712">
        <f>IF(X282,_xll.qDateYears(X281,X282,DCCfloat),0)</f>
        <v>0</v>
      </c>
      <c r="AA281" s="519">
        <f ca="1"/>
        <v>0</v>
      </c>
      <c r="AB281" s="890">
        <f>IF(X281=0,0,         IF(OR(CCY="AUD",CCY="NZD",CCY="GBP"),X281,   _xll.qDateNext(X281,"-2b",,,IF(CCY="EUR","TGT","LON"))))</f>
        <v>0</v>
      </c>
      <c r="AC281" s="879" t="str">
        <v/>
      </c>
      <c r="AD281" s="879" t="str">
        <v/>
      </c>
      <c r="AE281" s="879" t="str">
        <v/>
      </c>
      <c r="AF281" s="879" t="str">
        <v/>
      </c>
      <c r="AG281" s="879" t="str">
        <v/>
      </c>
      <c r="AH281" s="879" t="str">
        <v/>
      </c>
      <c r="AI281" s="879" t="str">
        <v/>
      </c>
      <c r="AJ281" s="879" t="str">
        <v/>
      </c>
      <c r="AK281" s="882">
        <f>IF($X281=0,0,      _xll.qDateNext($X281,AK$12,$AR$11,FRM&lt;&gt;"Calypso",CCY))</f>
        <v>0</v>
      </c>
      <c r="AL281" s="882">
        <f>IF($X281=0,0,      _xll.qDateNext($X281,AL$12,$AR$11,FRM&lt;&gt;"Calypso",CCY))</f>
        <v>0</v>
      </c>
      <c r="AM281" s="882">
        <f>IF($X281=0,0,      _xll.qDateNext($X281,AM$12,$AR$11,FRM&lt;&gt;"Calypso",CCY))</f>
        <v>0</v>
      </c>
      <c r="AN281" s="882">
        <f>IF($X281=0,0,      _xll.qDateNext($X281,AN$12,$AR$11,FRM&lt;&gt;"Calypso",CCY))</f>
        <v>0</v>
      </c>
      <c r="AO281" s="882">
        <f>IF($X281=0,0,      _xll.qDateNext($X281,AO$12,$AR$11,FRM&lt;&gt;"Calypso",CCY))</f>
        <v>0</v>
      </c>
      <c r="AP281" s="882">
        <f>IF($X281=0,0,      _xll.qDateNext($X281,AP$12,$AR$11,FRM&lt;&gt;"Calypso",CCY))</f>
        <v>0</v>
      </c>
      <c r="AQ281" s="882">
        <f>IF($X281=0,0,      _xll.qDateNext($X281,AQ$12,$AR$11,FRM&lt;&gt;"Calypso",CCY))</f>
        <v>0</v>
      </c>
      <c r="AR281" s="882">
        <f>IF($X281=0,0,      _xll.qDateNext($X281,AR$12,$AR$11,FRM&lt;&gt;"Calypso",CCY))</f>
        <v>0</v>
      </c>
      <c r="AS281" s="901">
        <f ca="1"/>
        <v>0</v>
      </c>
      <c r="AT281" s="901">
        <f ca="1"/>
        <v>0</v>
      </c>
      <c r="AU281" s="901">
        <f t="shared" si="79"/>
        <v>0</v>
      </c>
      <c r="AV281" s="901">
        <f ca="1"/>
        <v>0</v>
      </c>
      <c r="AW281" s="901">
        <f t="shared" si="80"/>
        <v>0</v>
      </c>
      <c r="AX281" s="901">
        <f t="shared" si="81"/>
        <v>0</v>
      </c>
      <c r="AY281" s="901">
        <f ca="1"/>
        <v>0</v>
      </c>
      <c r="AZ281" s="901">
        <f ca="1"/>
        <v>0</v>
      </c>
      <c r="BA281" s="905">
        <f t="shared" si="70"/>
        <v>0</v>
      </c>
      <c r="BB281" s="905">
        <f t="shared" si="71"/>
        <v>0</v>
      </c>
      <c r="BC281" s="905">
        <f t="shared" si="72"/>
        <v>0</v>
      </c>
      <c r="BD281" s="905">
        <f t="shared" si="73"/>
        <v>0</v>
      </c>
      <c r="BE281" s="905">
        <f t="shared" si="74"/>
        <v>0</v>
      </c>
      <c r="BF281" s="905">
        <f t="shared" si="75"/>
        <v>0</v>
      </c>
      <c r="BG281" s="905">
        <f t="shared" si="76"/>
        <v>0</v>
      </c>
      <c r="BH281" s="905">
        <f t="shared" si="77"/>
        <v>0</v>
      </c>
      <c r="BI281" s="713">
        <v>0</v>
      </c>
      <c r="BJ281" s="695"/>
      <c r="BK281" s="752">
        <f>IF(X282=0,0,           IF(ISNUMBER(BJ281),BJ281,               IF(ISTEXT(BJ281),INDEX(BA281:BH281,MATCH(BJ281,$BA$12:$BH$12,0)),             IF(BI281="INT",_xll.qInterp(X282,AK281:AR281,BA281:BH281),            INDEX(BA281:BH281,MATCH(BI281,$BA$12:$BH$12,0))))))</f>
        <v>0</v>
      </c>
      <c r="BL281" s="389">
        <f t="shared" si="82"/>
        <v>0</v>
      </c>
      <c r="BM281" s="394">
        <f t="shared" si="83"/>
        <v>0</v>
      </c>
      <c r="BN281" s="389">
        <f t="shared" si="84"/>
        <v>0</v>
      </c>
    </row>
    <row r="282" spans="16:66">
      <c r="P282" s="716">
        <v>0</v>
      </c>
      <c r="Q282" s="715">
        <f t="shared" si="68"/>
        <v>0</v>
      </c>
      <c r="R282" s="712">
        <f>IF(P283,_xll.qDateYears(P282,P283,DCCfixed),0)</f>
        <v>0</v>
      </c>
      <c r="S282" s="519">
        <f ca="1"/>
        <v>0</v>
      </c>
      <c r="T282" s="720"/>
      <c r="U282" s="390">
        <f t="shared" si="78"/>
        <v>0</v>
      </c>
      <c r="X282" s="345">
        <v>0</v>
      </c>
      <c r="Y282" s="711">
        <f t="shared" si="69"/>
        <v>0</v>
      </c>
      <c r="Z282" s="712">
        <f>IF(X283,_xll.qDateYears(X282,X283,DCCfloat),0)</f>
        <v>0</v>
      </c>
      <c r="AA282" s="519">
        <f ca="1"/>
        <v>0</v>
      </c>
      <c r="AB282" s="890">
        <f>IF(X282=0,0,         IF(OR(CCY="AUD",CCY="NZD",CCY="GBP"),X282,   _xll.qDateNext(X282,"-2b",,,IF(CCY="EUR","TGT","LON"))))</f>
        <v>0</v>
      </c>
      <c r="AC282" s="879" t="str">
        <v/>
      </c>
      <c r="AD282" s="879" t="str">
        <v/>
      </c>
      <c r="AE282" s="879" t="str">
        <v/>
      </c>
      <c r="AF282" s="879" t="str">
        <v/>
      </c>
      <c r="AG282" s="879" t="str">
        <v/>
      </c>
      <c r="AH282" s="879" t="str">
        <v/>
      </c>
      <c r="AI282" s="879" t="str">
        <v/>
      </c>
      <c r="AJ282" s="879" t="str">
        <v/>
      </c>
      <c r="AK282" s="882">
        <f>IF($X282=0,0,      _xll.qDateNext($X282,AK$12,$AR$11,FRM&lt;&gt;"Calypso",CCY))</f>
        <v>0</v>
      </c>
      <c r="AL282" s="882">
        <f>IF($X282=0,0,      _xll.qDateNext($X282,AL$12,$AR$11,FRM&lt;&gt;"Calypso",CCY))</f>
        <v>0</v>
      </c>
      <c r="AM282" s="882">
        <f>IF($X282=0,0,      _xll.qDateNext($X282,AM$12,$AR$11,FRM&lt;&gt;"Calypso",CCY))</f>
        <v>0</v>
      </c>
      <c r="AN282" s="882">
        <f>IF($X282=0,0,      _xll.qDateNext($X282,AN$12,$AR$11,FRM&lt;&gt;"Calypso",CCY))</f>
        <v>0</v>
      </c>
      <c r="AO282" s="882">
        <f>IF($X282=0,0,      _xll.qDateNext($X282,AO$12,$AR$11,FRM&lt;&gt;"Calypso",CCY))</f>
        <v>0</v>
      </c>
      <c r="AP282" s="882">
        <f>IF($X282=0,0,      _xll.qDateNext($X282,AP$12,$AR$11,FRM&lt;&gt;"Calypso",CCY))</f>
        <v>0</v>
      </c>
      <c r="AQ282" s="882">
        <f>IF($X282=0,0,      _xll.qDateNext($X282,AQ$12,$AR$11,FRM&lt;&gt;"Calypso",CCY))</f>
        <v>0</v>
      </c>
      <c r="AR282" s="882">
        <f>IF($X282=0,0,      _xll.qDateNext($X282,AR$12,$AR$11,FRM&lt;&gt;"Calypso",CCY))</f>
        <v>0</v>
      </c>
      <c r="AS282" s="901">
        <f ca="1"/>
        <v>0</v>
      </c>
      <c r="AT282" s="901">
        <f ca="1"/>
        <v>0</v>
      </c>
      <c r="AU282" s="901">
        <f t="shared" si="79"/>
        <v>0</v>
      </c>
      <c r="AV282" s="901">
        <f ca="1"/>
        <v>0</v>
      </c>
      <c r="AW282" s="901">
        <f t="shared" si="80"/>
        <v>0</v>
      </c>
      <c r="AX282" s="901">
        <f t="shared" si="81"/>
        <v>0</v>
      </c>
      <c r="AY282" s="901">
        <f ca="1"/>
        <v>0</v>
      </c>
      <c r="AZ282" s="901">
        <f ca="1"/>
        <v>0</v>
      </c>
      <c r="BA282" s="905">
        <f t="shared" si="70"/>
        <v>0</v>
      </c>
      <c r="BB282" s="905">
        <f t="shared" si="71"/>
        <v>0</v>
      </c>
      <c r="BC282" s="905">
        <f t="shared" si="72"/>
        <v>0</v>
      </c>
      <c r="BD282" s="905">
        <f t="shared" si="73"/>
        <v>0</v>
      </c>
      <c r="BE282" s="905">
        <f t="shared" si="74"/>
        <v>0</v>
      </c>
      <c r="BF282" s="905">
        <f t="shared" si="75"/>
        <v>0</v>
      </c>
      <c r="BG282" s="905">
        <f t="shared" si="76"/>
        <v>0</v>
      </c>
      <c r="BH282" s="905">
        <f t="shared" si="77"/>
        <v>0</v>
      </c>
      <c r="BI282" s="713">
        <v>0</v>
      </c>
      <c r="BJ282" s="695"/>
      <c r="BK282" s="752">
        <f>IF(X283=0,0,           IF(ISNUMBER(BJ282),BJ282,               IF(ISTEXT(BJ282),INDEX(BA282:BH282,MATCH(BJ282,$BA$12:$BH$12,0)),             IF(BI282="INT",_xll.qInterp(X283,AK282:AR282,BA282:BH282),            INDEX(BA282:BH282,MATCH(BI282,$BA$12:$BH$12,0))))))</f>
        <v>0</v>
      </c>
      <c r="BL282" s="389">
        <f t="shared" si="82"/>
        <v>0</v>
      </c>
      <c r="BM282" s="394">
        <f t="shared" si="83"/>
        <v>0</v>
      </c>
      <c r="BN282" s="389">
        <f t="shared" si="84"/>
        <v>0</v>
      </c>
    </row>
    <row r="283" spans="16:66">
      <c r="P283" s="716">
        <v>0</v>
      </c>
      <c r="Q283" s="715">
        <f t="shared" si="68"/>
        <v>0</v>
      </c>
      <c r="R283" s="712">
        <f>IF(P284,_xll.qDateYears(P283,P284,DCCfixed),0)</f>
        <v>0</v>
      </c>
      <c r="S283" s="519">
        <f ca="1"/>
        <v>0</v>
      </c>
      <c r="T283" s="720"/>
      <c r="U283" s="390">
        <f t="shared" si="78"/>
        <v>0</v>
      </c>
      <c r="X283" s="345">
        <v>0</v>
      </c>
      <c r="Y283" s="711">
        <f t="shared" si="69"/>
        <v>0</v>
      </c>
      <c r="Z283" s="712">
        <f>IF(X284,_xll.qDateYears(X283,X284,DCCfloat),0)</f>
        <v>0</v>
      </c>
      <c r="AA283" s="519">
        <f ca="1"/>
        <v>0</v>
      </c>
      <c r="AB283" s="890">
        <f>IF(X283=0,0,         IF(OR(CCY="AUD",CCY="NZD",CCY="GBP"),X283,   _xll.qDateNext(X283,"-2b",,,IF(CCY="EUR","TGT","LON"))))</f>
        <v>0</v>
      </c>
      <c r="AC283" s="879" t="str">
        <v/>
      </c>
      <c r="AD283" s="879" t="str">
        <v/>
      </c>
      <c r="AE283" s="879" t="str">
        <v/>
      </c>
      <c r="AF283" s="879" t="str">
        <v/>
      </c>
      <c r="AG283" s="879" t="str">
        <v/>
      </c>
      <c r="AH283" s="879" t="str">
        <v/>
      </c>
      <c r="AI283" s="879" t="str">
        <v/>
      </c>
      <c r="AJ283" s="879" t="str">
        <v/>
      </c>
      <c r="AK283" s="882">
        <f>IF($X283=0,0,      _xll.qDateNext($X283,AK$12,$AR$11,FRM&lt;&gt;"Calypso",CCY))</f>
        <v>0</v>
      </c>
      <c r="AL283" s="882">
        <f>IF($X283=0,0,      _xll.qDateNext($X283,AL$12,$AR$11,FRM&lt;&gt;"Calypso",CCY))</f>
        <v>0</v>
      </c>
      <c r="AM283" s="882">
        <f>IF($X283=0,0,      _xll.qDateNext($X283,AM$12,$AR$11,FRM&lt;&gt;"Calypso",CCY))</f>
        <v>0</v>
      </c>
      <c r="AN283" s="882">
        <f>IF($X283=0,0,      _xll.qDateNext($X283,AN$12,$AR$11,FRM&lt;&gt;"Calypso",CCY))</f>
        <v>0</v>
      </c>
      <c r="AO283" s="882">
        <f>IF($X283=0,0,      _xll.qDateNext($X283,AO$12,$AR$11,FRM&lt;&gt;"Calypso",CCY))</f>
        <v>0</v>
      </c>
      <c r="AP283" s="882">
        <f>IF($X283=0,0,      _xll.qDateNext($X283,AP$12,$AR$11,FRM&lt;&gt;"Calypso",CCY))</f>
        <v>0</v>
      </c>
      <c r="AQ283" s="882">
        <f>IF($X283=0,0,      _xll.qDateNext($X283,AQ$12,$AR$11,FRM&lt;&gt;"Calypso",CCY))</f>
        <v>0</v>
      </c>
      <c r="AR283" s="882">
        <f>IF($X283=0,0,      _xll.qDateNext($X283,AR$12,$AR$11,FRM&lt;&gt;"Calypso",CCY))</f>
        <v>0</v>
      </c>
      <c r="AS283" s="901">
        <f ca="1"/>
        <v>0</v>
      </c>
      <c r="AT283" s="901">
        <f ca="1"/>
        <v>0</v>
      </c>
      <c r="AU283" s="901">
        <f t="shared" si="79"/>
        <v>0</v>
      </c>
      <c r="AV283" s="901">
        <f ca="1"/>
        <v>0</v>
      </c>
      <c r="AW283" s="901">
        <f t="shared" si="80"/>
        <v>0</v>
      </c>
      <c r="AX283" s="901">
        <f t="shared" si="81"/>
        <v>0</v>
      </c>
      <c r="AY283" s="901">
        <f ca="1"/>
        <v>0</v>
      </c>
      <c r="AZ283" s="901">
        <f ca="1"/>
        <v>0</v>
      </c>
      <c r="BA283" s="905">
        <f t="shared" si="70"/>
        <v>0</v>
      </c>
      <c r="BB283" s="905">
        <f t="shared" si="71"/>
        <v>0</v>
      </c>
      <c r="BC283" s="905">
        <f t="shared" si="72"/>
        <v>0</v>
      </c>
      <c r="BD283" s="905">
        <f t="shared" si="73"/>
        <v>0</v>
      </c>
      <c r="BE283" s="905">
        <f t="shared" si="74"/>
        <v>0</v>
      </c>
      <c r="BF283" s="905">
        <f t="shared" si="75"/>
        <v>0</v>
      </c>
      <c r="BG283" s="905">
        <f t="shared" si="76"/>
        <v>0</v>
      </c>
      <c r="BH283" s="905">
        <f t="shared" si="77"/>
        <v>0</v>
      </c>
      <c r="BI283" s="713">
        <v>0</v>
      </c>
      <c r="BJ283" s="695"/>
      <c r="BK283" s="752">
        <f>IF(X284=0,0,           IF(ISNUMBER(BJ283),BJ283,               IF(ISTEXT(BJ283),INDEX(BA283:BH283,MATCH(BJ283,$BA$12:$BH$12,0)),             IF(BI283="INT",_xll.qInterp(X284,AK283:AR283,BA283:BH283),            INDEX(BA283:BH283,MATCH(BI283,$BA$12:$BH$12,0))))))</f>
        <v>0</v>
      </c>
      <c r="BL283" s="389">
        <f t="shared" si="82"/>
        <v>0</v>
      </c>
      <c r="BM283" s="394">
        <f t="shared" si="83"/>
        <v>0</v>
      </c>
      <c r="BN283" s="389">
        <f t="shared" si="84"/>
        <v>0</v>
      </c>
    </row>
    <row r="284" spans="16:66">
      <c r="P284" s="716">
        <v>0</v>
      </c>
      <c r="Q284" s="715">
        <f t="shared" si="68"/>
        <v>0</v>
      </c>
      <c r="R284" s="712">
        <f>IF(P285,_xll.qDateYears(P284,P285,DCCfixed),0)</f>
        <v>0</v>
      </c>
      <c r="S284" s="519">
        <f ca="1"/>
        <v>0</v>
      </c>
      <c r="T284" s="720"/>
      <c r="U284" s="390">
        <f t="shared" si="78"/>
        <v>0</v>
      </c>
      <c r="X284" s="345">
        <v>0</v>
      </c>
      <c r="Y284" s="711">
        <f t="shared" si="69"/>
        <v>0</v>
      </c>
      <c r="Z284" s="712">
        <f>IF(X285,_xll.qDateYears(X284,X285,DCCfloat),0)</f>
        <v>0</v>
      </c>
      <c r="AA284" s="519">
        <f ca="1"/>
        <v>0</v>
      </c>
      <c r="AB284" s="890">
        <f>IF(X284=0,0,         IF(OR(CCY="AUD",CCY="NZD",CCY="GBP"),X284,   _xll.qDateNext(X284,"-2b",,,IF(CCY="EUR","TGT","LON"))))</f>
        <v>0</v>
      </c>
      <c r="AC284" s="879" t="str">
        <v/>
      </c>
      <c r="AD284" s="879" t="str">
        <v/>
      </c>
      <c r="AE284" s="879" t="str">
        <v/>
      </c>
      <c r="AF284" s="879" t="str">
        <v/>
      </c>
      <c r="AG284" s="879" t="str">
        <v/>
      </c>
      <c r="AH284" s="879" t="str">
        <v/>
      </c>
      <c r="AI284" s="879" t="str">
        <v/>
      </c>
      <c r="AJ284" s="879" t="str">
        <v/>
      </c>
      <c r="AK284" s="882">
        <f>IF($X284=0,0,      _xll.qDateNext($X284,AK$12,$AR$11,FRM&lt;&gt;"Calypso",CCY))</f>
        <v>0</v>
      </c>
      <c r="AL284" s="882">
        <f>IF($X284=0,0,      _xll.qDateNext($X284,AL$12,$AR$11,FRM&lt;&gt;"Calypso",CCY))</f>
        <v>0</v>
      </c>
      <c r="AM284" s="882">
        <f>IF($X284=0,0,      _xll.qDateNext($X284,AM$12,$AR$11,FRM&lt;&gt;"Calypso",CCY))</f>
        <v>0</v>
      </c>
      <c r="AN284" s="882">
        <f>IF($X284=0,0,      _xll.qDateNext($X284,AN$12,$AR$11,FRM&lt;&gt;"Calypso",CCY))</f>
        <v>0</v>
      </c>
      <c r="AO284" s="882">
        <f>IF($X284=0,0,      _xll.qDateNext($X284,AO$12,$AR$11,FRM&lt;&gt;"Calypso",CCY))</f>
        <v>0</v>
      </c>
      <c r="AP284" s="882">
        <f>IF($X284=0,0,      _xll.qDateNext($X284,AP$12,$AR$11,FRM&lt;&gt;"Calypso",CCY))</f>
        <v>0</v>
      </c>
      <c r="AQ284" s="882">
        <f>IF($X284=0,0,      _xll.qDateNext($X284,AQ$12,$AR$11,FRM&lt;&gt;"Calypso",CCY))</f>
        <v>0</v>
      </c>
      <c r="AR284" s="882">
        <f>IF($X284=0,0,      _xll.qDateNext($X284,AR$12,$AR$11,FRM&lt;&gt;"Calypso",CCY))</f>
        <v>0</v>
      </c>
      <c r="AS284" s="901">
        <f ca="1"/>
        <v>0</v>
      </c>
      <c r="AT284" s="901">
        <f ca="1"/>
        <v>0</v>
      </c>
      <c r="AU284" s="901">
        <f t="shared" si="79"/>
        <v>0</v>
      </c>
      <c r="AV284" s="901">
        <f ca="1"/>
        <v>0</v>
      </c>
      <c r="AW284" s="901">
        <f t="shared" si="80"/>
        <v>0</v>
      </c>
      <c r="AX284" s="901">
        <f t="shared" si="81"/>
        <v>0</v>
      </c>
      <c r="AY284" s="901">
        <f ca="1"/>
        <v>0</v>
      </c>
      <c r="AZ284" s="901">
        <f ca="1"/>
        <v>0</v>
      </c>
      <c r="BA284" s="905">
        <f t="shared" si="70"/>
        <v>0</v>
      </c>
      <c r="BB284" s="905">
        <f t="shared" si="71"/>
        <v>0</v>
      </c>
      <c r="BC284" s="905">
        <f t="shared" si="72"/>
        <v>0</v>
      </c>
      <c r="BD284" s="905">
        <f t="shared" si="73"/>
        <v>0</v>
      </c>
      <c r="BE284" s="905">
        <f t="shared" si="74"/>
        <v>0</v>
      </c>
      <c r="BF284" s="905">
        <f t="shared" si="75"/>
        <v>0</v>
      </c>
      <c r="BG284" s="905">
        <f t="shared" si="76"/>
        <v>0</v>
      </c>
      <c r="BH284" s="905">
        <f t="shared" si="77"/>
        <v>0</v>
      </c>
      <c r="BI284" s="713">
        <v>0</v>
      </c>
      <c r="BJ284" s="695"/>
      <c r="BK284" s="752">
        <f>IF(X285=0,0,           IF(ISNUMBER(BJ284),BJ284,               IF(ISTEXT(BJ284),INDEX(BA284:BH284,MATCH(BJ284,$BA$12:$BH$12,0)),             IF(BI284="INT",_xll.qInterp(X285,AK284:AR284,BA284:BH284),            INDEX(BA284:BH284,MATCH(BI284,$BA$12:$BH$12,0))))))</f>
        <v>0</v>
      </c>
      <c r="BL284" s="389">
        <f t="shared" si="82"/>
        <v>0</v>
      </c>
      <c r="BM284" s="394">
        <f t="shared" si="83"/>
        <v>0</v>
      </c>
      <c r="BN284" s="389">
        <f t="shared" si="84"/>
        <v>0</v>
      </c>
    </row>
    <row r="285" spans="16:66">
      <c r="P285" s="716">
        <v>0</v>
      </c>
      <c r="Q285" s="715">
        <f t="shared" si="68"/>
        <v>0</v>
      </c>
      <c r="R285" s="712">
        <f>IF(P286,_xll.qDateYears(P285,P286,DCCfixed),0)</f>
        <v>0</v>
      </c>
      <c r="S285" s="519">
        <f ca="1"/>
        <v>0</v>
      </c>
      <c r="T285" s="720"/>
      <c r="U285" s="390">
        <f t="shared" si="78"/>
        <v>0</v>
      </c>
      <c r="X285" s="345">
        <v>0</v>
      </c>
      <c r="Y285" s="711">
        <f t="shared" si="69"/>
        <v>0</v>
      </c>
      <c r="Z285" s="712">
        <f>IF(X286,_xll.qDateYears(X285,X286,DCCfloat),0)</f>
        <v>0</v>
      </c>
      <c r="AA285" s="519">
        <f ca="1"/>
        <v>0</v>
      </c>
      <c r="AB285" s="890">
        <f>IF(X285=0,0,         IF(OR(CCY="AUD",CCY="NZD",CCY="GBP"),X285,   _xll.qDateNext(X285,"-2b",,,IF(CCY="EUR","TGT","LON"))))</f>
        <v>0</v>
      </c>
      <c r="AC285" s="879" t="str">
        <v/>
      </c>
      <c r="AD285" s="879" t="str">
        <v/>
      </c>
      <c r="AE285" s="879" t="str">
        <v/>
      </c>
      <c r="AF285" s="879" t="str">
        <v/>
      </c>
      <c r="AG285" s="879" t="str">
        <v/>
      </c>
      <c r="AH285" s="879" t="str">
        <v/>
      </c>
      <c r="AI285" s="879" t="str">
        <v/>
      </c>
      <c r="AJ285" s="879" t="str">
        <v/>
      </c>
      <c r="AK285" s="882">
        <f>IF($X285=0,0,      _xll.qDateNext($X285,AK$12,$AR$11,FRM&lt;&gt;"Calypso",CCY))</f>
        <v>0</v>
      </c>
      <c r="AL285" s="882">
        <f>IF($X285=0,0,      _xll.qDateNext($X285,AL$12,$AR$11,FRM&lt;&gt;"Calypso",CCY))</f>
        <v>0</v>
      </c>
      <c r="AM285" s="882">
        <f>IF($X285=0,0,      _xll.qDateNext($X285,AM$12,$AR$11,FRM&lt;&gt;"Calypso",CCY))</f>
        <v>0</v>
      </c>
      <c r="AN285" s="882">
        <f>IF($X285=0,0,      _xll.qDateNext($X285,AN$12,$AR$11,FRM&lt;&gt;"Calypso",CCY))</f>
        <v>0</v>
      </c>
      <c r="AO285" s="882">
        <f>IF($X285=0,0,      _xll.qDateNext($X285,AO$12,$AR$11,FRM&lt;&gt;"Calypso",CCY))</f>
        <v>0</v>
      </c>
      <c r="AP285" s="882">
        <f>IF($X285=0,0,      _xll.qDateNext($X285,AP$12,$AR$11,FRM&lt;&gt;"Calypso",CCY))</f>
        <v>0</v>
      </c>
      <c r="AQ285" s="882">
        <f>IF($X285=0,0,      _xll.qDateNext($X285,AQ$12,$AR$11,FRM&lt;&gt;"Calypso",CCY))</f>
        <v>0</v>
      </c>
      <c r="AR285" s="882">
        <f>IF($X285=0,0,      _xll.qDateNext($X285,AR$12,$AR$11,FRM&lt;&gt;"Calypso",CCY))</f>
        <v>0</v>
      </c>
      <c r="AS285" s="901">
        <f ca="1"/>
        <v>0</v>
      </c>
      <c r="AT285" s="901">
        <f ca="1"/>
        <v>0</v>
      </c>
      <c r="AU285" s="901">
        <f t="shared" si="79"/>
        <v>0</v>
      </c>
      <c r="AV285" s="901">
        <f ca="1"/>
        <v>0</v>
      </c>
      <c r="AW285" s="901">
        <f t="shared" si="80"/>
        <v>0</v>
      </c>
      <c r="AX285" s="901">
        <f t="shared" si="81"/>
        <v>0</v>
      </c>
      <c r="AY285" s="901">
        <f ca="1"/>
        <v>0</v>
      </c>
      <c r="AZ285" s="901">
        <f ca="1"/>
        <v>0</v>
      </c>
      <c r="BA285" s="905">
        <f t="shared" si="70"/>
        <v>0</v>
      </c>
      <c r="BB285" s="905">
        <f t="shared" si="71"/>
        <v>0</v>
      </c>
      <c r="BC285" s="905">
        <f t="shared" si="72"/>
        <v>0</v>
      </c>
      <c r="BD285" s="905">
        <f t="shared" si="73"/>
        <v>0</v>
      </c>
      <c r="BE285" s="905">
        <f t="shared" si="74"/>
        <v>0</v>
      </c>
      <c r="BF285" s="905">
        <f t="shared" si="75"/>
        <v>0</v>
      </c>
      <c r="BG285" s="905">
        <f t="shared" si="76"/>
        <v>0</v>
      </c>
      <c r="BH285" s="905">
        <f t="shared" si="77"/>
        <v>0</v>
      </c>
      <c r="BI285" s="713">
        <v>0</v>
      </c>
      <c r="BJ285" s="695"/>
      <c r="BK285" s="752">
        <f>IF(X286=0,0,           IF(ISNUMBER(BJ285),BJ285,               IF(ISTEXT(BJ285),INDEX(BA285:BH285,MATCH(BJ285,$BA$12:$BH$12,0)),             IF(BI285="INT",_xll.qInterp(X286,AK285:AR285,BA285:BH285),            INDEX(BA285:BH285,MATCH(BI285,$BA$12:$BH$12,0))))))</f>
        <v>0</v>
      </c>
      <c r="BL285" s="389">
        <f t="shared" si="82"/>
        <v>0</v>
      </c>
      <c r="BM285" s="394">
        <f t="shared" si="83"/>
        <v>0</v>
      </c>
      <c r="BN285" s="389">
        <f t="shared" si="84"/>
        <v>0</v>
      </c>
    </row>
    <row r="286" spans="16:66">
      <c r="P286" s="716">
        <v>0</v>
      </c>
      <c r="Q286" s="715">
        <f t="shared" si="68"/>
        <v>0</v>
      </c>
      <c r="R286" s="712">
        <f>IF(P287,_xll.qDateYears(P286,P287,DCCfixed),0)</f>
        <v>0</v>
      </c>
      <c r="S286" s="519">
        <f ca="1"/>
        <v>0</v>
      </c>
      <c r="T286" s="720"/>
      <c r="U286" s="390">
        <f t="shared" si="78"/>
        <v>0</v>
      </c>
      <c r="X286" s="345">
        <v>0</v>
      </c>
      <c r="Y286" s="711">
        <f t="shared" si="69"/>
        <v>0</v>
      </c>
      <c r="Z286" s="712">
        <f>IF(X287,_xll.qDateYears(X286,X287,DCCfloat),0)</f>
        <v>0</v>
      </c>
      <c r="AA286" s="519">
        <f ca="1"/>
        <v>0</v>
      </c>
      <c r="AB286" s="890">
        <f>IF(X286=0,0,         IF(OR(CCY="AUD",CCY="NZD",CCY="GBP"),X286,   _xll.qDateNext(X286,"-2b",,,IF(CCY="EUR","TGT","LON"))))</f>
        <v>0</v>
      </c>
      <c r="AC286" s="879" t="str">
        <v/>
      </c>
      <c r="AD286" s="879" t="str">
        <v/>
      </c>
      <c r="AE286" s="879" t="str">
        <v/>
      </c>
      <c r="AF286" s="879" t="str">
        <v/>
      </c>
      <c r="AG286" s="879" t="str">
        <v/>
      </c>
      <c r="AH286" s="879" t="str">
        <v/>
      </c>
      <c r="AI286" s="879" t="str">
        <v/>
      </c>
      <c r="AJ286" s="879" t="str">
        <v/>
      </c>
      <c r="AK286" s="882">
        <f>IF($X286=0,0,      _xll.qDateNext($X286,AK$12,$AR$11,FRM&lt;&gt;"Calypso",CCY))</f>
        <v>0</v>
      </c>
      <c r="AL286" s="882">
        <f>IF($X286=0,0,      _xll.qDateNext($X286,AL$12,$AR$11,FRM&lt;&gt;"Calypso",CCY))</f>
        <v>0</v>
      </c>
      <c r="AM286" s="882">
        <f>IF($X286=0,0,      _xll.qDateNext($X286,AM$12,$AR$11,FRM&lt;&gt;"Calypso",CCY))</f>
        <v>0</v>
      </c>
      <c r="AN286" s="882">
        <f>IF($X286=0,0,      _xll.qDateNext($X286,AN$12,$AR$11,FRM&lt;&gt;"Calypso",CCY))</f>
        <v>0</v>
      </c>
      <c r="AO286" s="882">
        <f>IF($X286=0,0,      _xll.qDateNext($X286,AO$12,$AR$11,FRM&lt;&gt;"Calypso",CCY))</f>
        <v>0</v>
      </c>
      <c r="AP286" s="882">
        <f>IF($X286=0,0,      _xll.qDateNext($X286,AP$12,$AR$11,FRM&lt;&gt;"Calypso",CCY))</f>
        <v>0</v>
      </c>
      <c r="AQ286" s="882">
        <f>IF($X286=0,0,      _xll.qDateNext($X286,AQ$12,$AR$11,FRM&lt;&gt;"Calypso",CCY))</f>
        <v>0</v>
      </c>
      <c r="AR286" s="882">
        <f>IF($X286=0,0,      _xll.qDateNext($X286,AR$12,$AR$11,FRM&lt;&gt;"Calypso",CCY))</f>
        <v>0</v>
      </c>
      <c r="AS286" s="901">
        <f ca="1"/>
        <v>0</v>
      </c>
      <c r="AT286" s="901">
        <f ca="1"/>
        <v>0</v>
      </c>
      <c r="AU286" s="901">
        <f t="shared" si="79"/>
        <v>0</v>
      </c>
      <c r="AV286" s="901">
        <f ca="1"/>
        <v>0</v>
      </c>
      <c r="AW286" s="901">
        <f t="shared" si="80"/>
        <v>0</v>
      </c>
      <c r="AX286" s="901">
        <f t="shared" si="81"/>
        <v>0</v>
      </c>
      <c r="AY286" s="901">
        <f ca="1"/>
        <v>0</v>
      </c>
      <c r="AZ286" s="901">
        <f ca="1"/>
        <v>0</v>
      </c>
      <c r="BA286" s="905">
        <f t="shared" si="70"/>
        <v>0</v>
      </c>
      <c r="BB286" s="905">
        <f t="shared" si="71"/>
        <v>0</v>
      </c>
      <c r="BC286" s="905">
        <f t="shared" si="72"/>
        <v>0</v>
      </c>
      <c r="BD286" s="905">
        <f t="shared" si="73"/>
        <v>0</v>
      </c>
      <c r="BE286" s="905">
        <f t="shared" si="74"/>
        <v>0</v>
      </c>
      <c r="BF286" s="905">
        <f t="shared" si="75"/>
        <v>0</v>
      </c>
      <c r="BG286" s="905">
        <f t="shared" si="76"/>
        <v>0</v>
      </c>
      <c r="BH286" s="905">
        <f t="shared" si="77"/>
        <v>0</v>
      </c>
      <c r="BI286" s="713">
        <v>0</v>
      </c>
      <c r="BJ286" s="695"/>
      <c r="BK286" s="752">
        <f>IF(X287=0,0,           IF(ISNUMBER(BJ286),BJ286,               IF(ISTEXT(BJ286),INDEX(BA286:BH286,MATCH(BJ286,$BA$12:$BH$12,0)),             IF(BI286="INT",_xll.qInterp(X287,AK286:AR286,BA286:BH286),            INDEX(BA286:BH286,MATCH(BI286,$BA$12:$BH$12,0))))))</f>
        <v>0</v>
      </c>
      <c r="BL286" s="389">
        <f t="shared" si="82"/>
        <v>0</v>
      </c>
      <c r="BM286" s="394">
        <f t="shared" si="83"/>
        <v>0</v>
      </c>
      <c r="BN286" s="389">
        <f t="shared" si="84"/>
        <v>0</v>
      </c>
    </row>
    <row r="287" spans="16:66">
      <c r="P287" s="716">
        <v>0</v>
      </c>
      <c r="Q287" s="715">
        <f t="shared" si="68"/>
        <v>0</v>
      </c>
      <c r="R287" s="712">
        <f>IF(P288,_xll.qDateYears(P287,P288,DCCfixed),0)</f>
        <v>0</v>
      </c>
      <c r="S287" s="519">
        <f ca="1"/>
        <v>0</v>
      </c>
      <c r="T287" s="720"/>
      <c r="U287" s="390">
        <f t="shared" si="78"/>
        <v>0</v>
      </c>
      <c r="X287" s="345">
        <v>0</v>
      </c>
      <c r="Y287" s="711">
        <f t="shared" si="69"/>
        <v>0</v>
      </c>
      <c r="Z287" s="712">
        <f>IF(X288,_xll.qDateYears(X287,X288,DCCfloat),0)</f>
        <v>0</v>
      </c>
      <c r="AA287" s="519">
        <f ca="1"/>
        <v>0</v>
      </c>
      <c r="AB287" s="890">
        <f>IF(X287=0,0,         IF(OR(CCY="AUD",CCY="NZD",CCY="GBP"),X287,   _xll.qDateNext(X287,"-2b",,,IF(CCY="EUR","TGT","LON"))))</f>
        <v>0</v>
      </c>
      <c r="AC287" s="879" t="str">
        <v/>
      </c>
      <c r="AD287" s="879" t="str">
        <v/>
      </c>
      <c r="AE287" s="879" t="str">
        <v/>
      </c>
      <c r="AF287" s="879" t="str">
        <v/>
      </c>
      <c r="AG287" s="879" t="str">
        <v/>
      </c>
      <c r="AH287" s="879" t="str">
        <v/>
      </c>
      <c r="AI287" s="879" t="str">
        <v/>
      </c>
      <c r="AJ287" s="879" t="str">
        <v/>
      </c>
      <c r="AK287" s="882">
        <f>IF($X287=0,0,      _xll.qDateNext($X287,AK$12,$AR$11,FRM&lt;&gt;"Calypso",CCY))</f>
        <v>0</v>
      </c>
      <c r="AL287" s="882">
        <f>IF($X287=0,0,      _xll.qDateNext($X287,AL$12,$AR$11,FRM&lt;&gt;"Calypso",CCY))</f>
        <v>0</v>
      </c>
      <c r="AM287" s="882">
        <f>IF($X287=0,0,      _xll.qDateNext($X287,AM$12,$AR$11,FRM&lt;&gt;"Calypso",CCY))</f>
        <v>0</v>
      </c>
      <c r="AN287" s="882">
        <f>IF($X287=0,0,      _xll.qDateNext($X287,AN$12,$AR$11,FRM&lt;&gt;"Calypso",CCY))</f>
        <v>0</v>
      </c>
      <c r="AO287" s="882">
        <f>IF($X287=0,0,      _xll.qDateNext($X287,AO$12,$AR$11,FRM&lt;&gt;"Calypso",CCY))</f>
        <v>0</v>
      </c>
      <c r="AP287" s="882">
        <f>IF($X287=0,0,      _xll.qDateNext($X287,AP$12,$AR$11,FRM&lt;&gt;"Calypso",CCY))</f>
        <v>0</v>
      </c>
      <c r="AQ287" s="882">
        <f>IF($X287=0,0,      _xll.qDateNext($X287,AQ$12,$AR$11,FRM&lt;&gt;"Calypso",CCY))</f>
        <v>0</v>
      </c>
      <c r="AR287" s="882">
        <f>IF($X287=0,0,      _xll.qDateNext($X287,AR$12,$AR$11,FRM&lt;&gt;"Calypso",CCY))</f>
        <v>0</v>
      </c>
      <c r="AS287" s="901">
        <f ca="1"/>
        <v>0</v>
      </c>
      <c r="AT287" s="901">
        <f ca="1"/>
        <v>0</v>
      </c>
      <c r="AU287" s="901">
        <f t="shared" si="79"/>
        <v>0</v>
      </c>
      <c r="AV287" s="901">
        <f ca="1"/>
        <v>0</v>
      </c>
      <c r="AW287" s="901">
        <f t="shared" si="80"/>
        <v>0</v>
      </c>
      <c r="AX287" s="901">
        <f t="shared" si="81"/>
        <v>0</v>
      </c>
      <c r="AY287" s="901">
        <f ca="1"/>
        <v>0</v>
      </c>
      <c r="AZ287" s="901">
        <f ca="1"/>
        <v>0</v>
      </c>
      <c r="BA287" s="905">
        <f t="shared" si="70"/>
        <v>0</v>
      </c>
      <c r="BB287" s="905">
        <f t="shared" si="71"/>
        <v>0</v>
      </c>
      <c r="BC287" s="905">
        <f t="shared" si="72"/>
        <v>0</v>
      </c>
      <c r="BD287" s="905">
        <f t="shared" si="73"/>
        <v>0</v>
      </c>
      <c r="BE287" s="905">
        <f t="shared" si="74"/>
        <v>0</v>
      </c>
      <c r="BF287" s="905">
        <f t="shared" si="75"/>
        <v>0</v>
      </c>
      <c r="BG287" s="905">
        <f t="shared" si="76"/>
        <v>0</v>
      </c>
      <c r="BH287" s="905">
        <f t="shared" si="77"/>
        <v>0</v>
      </c>
      <c r="BI287" s="713">
        <v>0</v>
      </c>
      <c r="BJ287" s="695"/>
      <c r="BK287" s="752">
        <f>IF(X288=0,0,           IF(ISNUMBER(BJ287),BJ287,               IF(ISTEXT(BJ287),INDEX(BA287:BH287,MATCH(BJ287,$BA$12:$BH$12,0)),             IF(BI287="INT",_xll.qInterp(X288,AK287:AR287,BA287:BH287),            INDEX(BA287:BH287,MATCH(BI287,$BA$12:$BH$12,0))))))</f>
        <v>0</v>
      </c>
      <c r="BL287" s="389">
        <f t="shared" si="82"/>
        <v>0</v>
      </c>
      <c r="BM287" s="394">
        <f t="shared" si="83"/>
        <v>0</v>
      </c>
      <c r="BN287" s="389">
        <f t="shared" si="84"/>
        <v>0</v>
      </c>
    </row>
    <row r="288" spans="16:66">
      <c r="P288" s="716">
        <v>0</v>
      </c>
      <c r="Q288" s="715">
        <f t="shared" si="68"/>
        <v>0</v>
      </c>
      <c r="R288" s="712">
        <f>IF(P289,_xll.qDateYears(P288,P289,DCCfixed),0)</f>
        <v>0</v>
      </c>
      <c r="S288" s="519">
        <f ca="1"/>
        <v>0</v>
      </c>
      <c r="T288" s="720"/>
      <c r="U288" s="390">
        <f t="shared" si="78"/>
        <v>0</v>
      </c>
      <c r="X288" s="345">
        <v>0</v>
      </c>
      <c r="Y288" s="711">
        <f t="shared" si="69"/>
        <v>0</v>
      </c>
      <c r="Z288" s="712">
        <f>IF(X289,_xll.qDateYears(X288,X289,DCCfloat),0)</f>
        <v>0</v>
      </c>
      <c r="AA288" s="519">
        <f ca="1"/>
        <v>0</v>
      </c>
      <c r="AB288" s="890">
        <f>IF(X288=0,0,         IF(OR(CCY="AUD",CCY="NZD",CCY="GBP"),X288,   _xll.qDateNext(X288,"-2b",,,IF(CCY="EUR","TGT","LON"))))</f>
        <v>0</v>
      </c>
      <c r="AC288" s="879" t="str">
        <v/>
      </c>
      <c r="AD288" s="879" t="str">
        <v/>
      </c>
      <c r="AE288" s="879" t="str">
        <v/>
      </c>
      <c r="AF288" s="879" t="str">
        <v/>
      </c>
      <c r="AG288" s="879" t="str">
        <v/>
      </c>
      <c r="AH288" s="879" t="str">
        <v/>
      </c>
      <c r="AI288" s="879" t="str">
        <v/>
      </c>
      <c r="AJ288" s="879" t="str">
        <v/>
      </c>
      <c r="AK288" s="882">
        <f>IF($X288=0,0,      _xll.qDateNext($X288,AK$12,$AR$11,FRM&lt;&gt;"Calypso",CCY))</f>
        <v>0</v>
      </c>
      <c r="AL288" s="882">
        <f>IF($X288=0,0,      _xll.qDateNext($X288,AL$12,$AR$11,FRM&lt;&gt;"Calypso",CCY))</f>
        <v>0</v>
      </c>
      <c r="AM288" s="882">
        <f>IF($X288=0,0,      _xll.qDateNext($X288,AM$12,$AR$11,FRM&lt;&gt;"Calypso",CCY))</f>
        <v>0</v>
      </c>
      <c r="AN288" s="882">
        <f>IF($X288=0,0,      _xll.qDateNext($X288,AN$12,$AR$11,FRM&lt;&gt;"Calypso",CCY))</f>
        <v>0</v>
      </c>
      <c r="AO288" s="882">
        <f>IF($X288=0,0,      _xll.qDateNext($X288,AO$12,$AR$11,FRM&lt;&gt;"Calypso",CCY))</f>
        <v>0</v>
      </c>
      <c r="AP288" s="882">
        <f>IF($X288=0,0,      _xll.qDateNext($X288,AP$12,$AR$11,FRM&lt;&gt;"Calypso",CCY))</f>
        <v>0</v>
      </c>
      <c r="AQ288" s="882">
        <f>IF($X288=0,0,      _xll.qDateNext($X288,AQ$12,$AR$11,FRM&lt;&gt;"Calypso",CCY))</f>
        <v>0</v>
      </c>
      <c r="AR288" s="882">
        <f>IF($X288=0,0,      _xll.qDateNext($X288,AR$12,$AR$11,FRM&lt;&gt;"Calypso",CCY))</f>
        <v>0</v>
      </c>
      <c r="AS288" s="901">
        <f ca="1"/>
        <v>0</v>
      </c>
      <c r="AT288" s="901">
        <f ca="1"/>
        <v>0</v>
      </c>
      <c r="AU288" s="901">
        <f t="shared" si="79"/>
        <v>0</v>
      </c>
      <c r="AV288" s="901">
        <f ca="1"/>
        <v>0</v>
      </c>
      <c r="AW288" s="901">
        <f t="shared" si="80"/>
        <v>0</v>
      </c>
      <c r="AX288" s="901">
        <f t="shared" si="81"/>
        <v>0</v>
      </c>
      <c r="AY288" s="901">
        <f ca="1"/>
        <v>0</v>
      </c>
      <c r="AZ288" s="901">
        <f ca="1"/>
        <v>0</v>
      </c>
      <c r="BA288" s="905">
        <f t="shared" si="70"/>
        <v>0</v>
      </c>
      <c r="BB288" s="905">
        <f t="shared" si="71"/>
        <v>0</v>
      </c>
      <c r="BC288" s="905">
        <f t="shared" si="72"/>
        <v>0</v>
      </c>
      <c r="BD288" s="905">
        <f t="shared" si="73"/>
        <v>0</v>
      </c>
      <c r="BE288" s="905">
        <f t="shared" si="74"/>
        <v>0</v>
      </c>
      <c r="BF288" s="905">
        <f t="shared" si="75"/>
        <v>0</v>
      </c>
      <c r="BG288" s="905">
        <f t="shared" si="76"/>
        <v>0</v>
      </c>
      <c r="BH288" s="905">
        <f t="shared" si="77"/>
        <v>0</v>
      </c>
      <c r="BI288" s="713">
        <v>0</v>
      </c>
      <c r="BJ288" s="695"/>
      <c r="BK288" s="752">
        <f>IF(X289=0,0,           IF(ISNUMBER(BJ288),BJ288,               IF(ISTEXT(BJ288),INDEX(BA288:BH288,MATCH(BJ288,$BA$12:$BH$12,0)),             IF(BI288="INT",_xll.qInterp(X289,AK288:AR288,BA288:BH288),            INDEX(BA288:BH288,MATCH(BI288,$BA$12:$BH$12,0))))))</f>
        <v>0</v>
      </c>
      <c r="BL288" s="389">
        <f t="shared" si="82"/>
        <v>0</v>
      </c>
      <c r="BM288" s="394">
        <f t="shared" si="83"/>
        <v>0</v>
      </c>
      <c r="BN288" s="389">
        <f t="shared" si="84"/>
        <v>0</v>
      </c>
    </row>
    <row r="289" spans="16:66">
      <c r="P289" s="716">
        <v>0</v>
      </c>
      <c r="Q289" s="715">
        <f t="shared" si="68"/>
        <v>0</v>
      </c>
      <c r="R289" s="712">
        <f>IF(P290,_xll.qDateYears(P289,P290,DCCfixed),0)</f>
        <v>0</v>
      </c>
      <c r="S289" s="519">
        <f ca="1"/>
        <v>0</v>
      </c>
      <c r="T289" s="720"/>
      <c r="U289" s="390">
        <f t="shared" si="78"/>
        <v>0</v>
      </c>
      <c r="X289" s="345">
        <v>0</v>
      </c>
      <c r="Y289" s="711">
        <f t="shared" si="69"/>
        <v>0</v>
      </c>
      <c r="Z289" s="712">
        <f>IF(X290,_xll.qDateYears(X289,X290,DCCfloat),0)</f>
        <v>0</v>
      </c>
      <c r="AA289" s="519">
        <f ca="1"/>
        <v>0</v>
      </c>
      <c r="AB289" s="890">
        <f>IF(X289=0,0,         IF(OR(CCY="AUD",CCY="NZD",CCY="GBP"),X289,   _xll.qDateNext(X289,"-2b",,,IF(CCY="EUR","TGT","LON"))))</f>
        <v>0</v>
      </c>
      <c r="AC289" s="879" t="str">
        <v/>
      </c>
      <c r="AD289" s="879" t="str">
        <v/>
      </c>
      <c r="AE289" s="879" t="str">
        <v/>
      </c>
      <c r="AF289" s="879" t="str">
        <v/>
      </c>
      <c r="AG289" s="879" t="str">
        <v/>
      </c>
      <c r="AH289" s="879" t="str">
        <v/>
      </c>
      <c r="AI289" s="879" t="str">
        <v/>
      </c>
      <c r="AJ289" s="879" t="str">
        <v/>
      </c>
      <c r="AK289" s="882">
        <f>IF($X289=0,0,      _xll.qDateNext($X289,AK$12,$AR$11,FRM&lt;&gt;"Calypso",CCY))</f>
        <v>0</v>
      </c>
      <c r="AL289" s="882">
        <f>IF($X289=0,0,      _xll.qDateNext($X289,AL$12,$AR$11,FRM&lt;&gt;"Calypso",CCY))</f>
        <v>0</v>
      </c>
      <c r="AM289" s="882">
        <f>IF($X289=0,0,      _xll.qDateNext($X289,AM$12,$AR$11,FRM&lt;&gt;"Calypso",CCY))</f>
        <v>0</v>
      </c>
      <c r="AN289" s="882">
        <f>IF($X289=0,0,      _xll.qDateNext($X289,AN$12,$AR$11,FRM&lt;&gt;"Calypso",CCY))</f>
        <v>0</v>
      </c>
      <c r="AO289" s="882">
        <f>IF($X289=0,0,      _xll.qDateNext($X289,AO$12,$AR$11,FRM&lt;&gt;"Calypso",CCY))</f>
        <v>0</v>
      </c>
      <c r="AP289" s="882">
        <f>IF($X289=0,0,      _xll.qDateNext($X289,AP$12,$AR$11,FRM&lt;&gt;"Calypso",CCY))</f>
        <v>0</v>
      </c>
      <c r="AQ289" s="882">
        <f>IF($X289=0,0,      _xll.qDateNext($X289,AQ$12,$AR$11,FRM&lt;&gt;"Calypso",CCY))</f>
        <v>0</v>
      </c>
      <c r="AR289" s="882">
        <f>IF($X289=0,0,      _xll.qDateNext($X289,AR$12,$AR$11,FRM&lt;&gt;"Calypso",CCY))</f>
        <v>0</v>
      </c>
      <c r="AS289" s="901">
        <f ca="1"/>
        <v>0</v>
      </c>
      <c r="AT289" s="901">
        <f ca="1"/>
        <v>0</v>
      </c>
      <c r="AU289" s="901">
        <f t="shared" si="79"/>
        <v>0</v>
      </c>
      <c r="AV289" s="901">
        <f ca="1"/>
        <v>0</v>
      </c>
      <c r="AW289" s="901">
        <f t="shared" si="80"/>
        <v>0</v>
      </c>
      <c r="AX289" s="901">
        <f t="shared" si="81"/>
        <v>0</v>
      </c>
      <c r="AY289" s="901">
        <f ca="1"/>
        <v>0</v>
      </c>
      <c r="AZ289" s="901">
        <f ca="1"/>
        <v>0</v>
      </c>
      <c r="BA289" s="905">
        <f t="shared" si="70"/>
        <v>0</v>
      </c>
      <c r="BB289" s="905">
        <f t="shared" si="71"/>
        <v>0</v>
      </c>
      <c r="BC289" s="905">
        <f t="shared" si="72"/>
        <v>0</v>
      </c>
      <c r="BD289" s="905">
        <f t="shared" si="73"/>
        <v>0</v>
      </c>
      <c r="BE289" s="905">
        <f t="shared" si="74"/>
        <v>0</v>
      </c>
      <c r="BF289" s="905">
        <f t="shared" si="75"/>
        <v>0</v>
      </c>
      <c r="BG289" s="905">
        <f t="shared" si="76"/>
        <v>0</v>
      </c>
      <c r="BH289" s="905">
        <f t="shared" si="77"/>
        <v>0</v>
      </c>
      <c r="BI289" s="713">
        <v>0</v>
      </c>
      <c r="BJ289" s="695"/>
      <c r="BK289" s="752">
        <f>IF(X290=0,0,           IF(ISNUMBER(BJ289),BJ289,               IF(ISTEXT(BJ289),INDEX(BA289:BH289,MATCH(BJ289,$BA$12:$BH$12,0)),             IF(BI289="INT",_xll.qInterp(X290,AK289:AR289,BA289:BH289),            INDEX(BA289:BH289,MATCH(BI289,$BA$12:$BH$12,0))))))</f>
        <v>0</v>
      </c>
      <c r="BL289" s="389">
        <f t="shared" si="82"/>
        <v>0</v>
      </c>
      <c r="BM289" s="394">
        <f t="shared" si="83"/>
        <v>0</v>
      </c>
      <c r="BN289" s="389">
        <f t="shared" si="84"/>
        <v>0</v>
      </c>
    </row>
    <row r="290" spans="16:66">
      <c r="P290" s="716">
        <v>0</v>
      </c>
      <c r="Q290" s="715">
        <f t="shared" si="68"/>
        <v>0</v>
      </c>
      <c r="R290" s="712">
        <f>IF(P291,_xll.qDateYears(P290,P291,DCCfixed),0)</f>
        <v>0</v>
      </c>
      <c r="S290" s="519">
        <f ca="1"/>
        <v>0</v>
      </c>
      <c r="T290" s="720"/>
      <c r="U290" s="390">
        <f t="shared" si="78"/>
        <v>0</v>
      </c>
      <c r="X290" s="345">
        <v>0</v>
      </c>
      <c r="Y290" s="711">
        <f t="shared" si="69"/>
        <v>0</v>
      </c>
      <c r="Z290" s="712">
        <f>IF(X291,_xll.qDateYears(X290,X291,DCCfloat),0)</f>
        <v>0</v>
      </c>
      <c r="AA290" s="519">
        <f ca="1"/>
        <v>0</v>
      </c>
      <c r="AB290" s="890">
        <f>IF(X290=0,0,         IF(OR(CCY="AUD",CCY="NZD",CCY="GBP"),X290,   _xll.qDateNext(X290,"-2b",,,IF(CCY="EUR","TGT","LON"))))</f>
        <v>0</v>
      </c>
      <c r="AC290" s="879" t="str">
        <v/>
      </c>
      <c r="AD290" s="879" t="str">
        <v/>
      </c>
      <c r="AE290" s="879" t="str">
        <v/>
      </c>
      <c r="AF290" s="879" t="str">
        <v/>
      </c>
      <c r="AG290" s="879" t="str">
        <v/>
      </c>
      <c r="AH290" s="879" t="str">
        <v/>
      </c>
      <c r="AI290" s="879" t="str">
        <v/>
      </c>
      <c r="AJ290" s="879" t="str">
        <v/>
      </c>
      <c r="AK290" s="882">
        <f>IF($X290=0,0,      _xll.qDateNext($X290,AK$12,$AR$11,FRM&lt;&gt;"Calypso",CCY))</f>
        <v>0</v>
      </c>
      <c r="AL290" s="882">
        <f>IF($X290=0,0,      _xll.qDateNext($X290,AL$12,$AR$11,FRM&lt;&gt;"Calypso",CCY))</f>
        <v>0</v>
      </c>
      <c r="AM290" s="882">
        <f>IF($X290=0,0,      _xll.qDateNext($X290,AM$12,$AR$11,FRM&lt;&gt;"Calypso",CCY))</f>
        <v>0</v>
      </c>
      <c r="AN290" s="882">
        <f>IF($X290=0,0,      _xll.qDateNext($X290,AN$12,$AR$11,FRM&lt;&gt;"Calypso",CCY))</f>
        <v>0</v>
      </c>
      <c r="AO290" s="882">
        <f>IF($X290=0,0,      _xll.qDateNext($X290,AO$12,$AR$11,FRM&lt;&gt;"Calypso",CCY))</f>
        <v>0</v>
      </c>
      <c r="AP290" s="882">
        <f>IF($X290=0,0,      _xll.qDateNext($X290,AP$12,$AR$11,FRM&lt;&gt;"Calypso",CCY))</f>
        <v>0</v>
      </c>
      <c r="AQ290" s="882">
        <f>IF($X290=0,0,      _xll.qDateNext($X290,AQ$12,$AR$11,FRM&lt;&gt;"Calypso",CCY))</f>
        <v>0</v>
      </c>
      <c r="AR290" s="882">
        <f>IF($X290=0,0,      _xll.qDateNext($X290,AR$12,$AR$11,FRM&lt;&gt;"Calypso",CCY))</f>
        <v>0</v>
      </c>
      <c r="AS290" s="901">
        <f ca="1"/>
        <v>0</v>
      </c>
      <c r="AT290" s="901">
        <f ca="1"/>
        <v>0</v>
      </c>
      <c r="AU290" s="901">
        <f t="shared" si="79"/>
        <v>0</v>
      </c>
      <c r="AV290" s="901">
        <f ca="1"/>
        <v>0</v>
      </c>
      <c r="AW290" s="901">
        <f t="shared" si="80"/>
        <v>0</v>
      </c>
      <c r="AX290" s="901">
        <f t="shared" si="81"/>
        <v>0</v>
      </c>
      <c r="AY290" s="901">
        <f ca="1"/>
        <v>0</v>
      </c>
      <c r="AZ290" s="901">
        <f ca="1"/>
        <v>0</v>
      </c>
      <c r="BA290" s="905">
        <f t="shared" si="70"/>
        <v>0</v>
      </c>
      <c r="BB290" s="905">
        <f t="shared" si="71"/>
        <v>0</v>
      </c>
      <c r="BC290" s="905">
        <f t="shared" si="72"/>
        <v>0</v>
      </c>
      <c r="BD290" s="905">
        <f t="shared" si="73"/>
        <v>0</v>
      </c>
      <c r="BE290" s="905">
        <f t="shared" si="74"/>
        <v>0</v>
      </c>
      <c r="BF290" s="905">
        <f t="shared" si="75"/>
        <v>0</v>
      </c>
      <c r="BG290" s="905">
        <f t="shared" si="76"/>
        <v>0</v>
      </c>
      <c r="BH290" s="905">
        <f t="shared" si="77"/>
        <v>0</v>
      </c>
      <c r="BI290" s="713">
        <v>0</v>
      </c>
      <c r="BJ290" s="695"/>
      <c r="BK290" s="752">
        <f>IF(X291=0,0,           IF(ISNUMBER(BJ290),BJ290,               IF(ISTEXT(BJ290),INDEX(BA290:BH290,MATCH(BJ290,$BA$12:$BH$12,0)),             IF(BI290="INT",_xll.qInterp(X291,AK290:AR290,BA290:BH290),            INDEX(BA290:BH290,MATCH(BI290,$BA$12:$BH$12,0))))))</f>
        <v>0</v>
      </c>
      <c r="BL290" s="389">
        <f t="shared" si="82"/>
        <v>0</v>
      </c>
      <c r="BM290" s="394">
        <f t="shared" si="83"/>
        <v>0</v>
      </c>
      <c r="BN290" s="389">
        <f t="shared" si="84"/>
        <v>0</v>
      </c>
    </row>
    <row r="291" spans="16:66">
      <c r="P291" s="716">
        <v>0</v>
      </c>
      <c r="Q291" s="715">
        <f t="shared" si="68"/>
        <v>0</v>
      </c>
      <c r="R291" s="712">
        <f>IF(P292,_xll.qDateYears(P291,P292,DCCfixed),0)</f>
        <v>0</v>
      </c>
      <c r="S291" s="519">
        <f ca="1"/>
        <v>0</v>
      </c>
      <c r="T291" s="720"/>
      <c r="U291" s="390">
        <f t="shared" si="78"/>
        <v>0</v>
      </c>
      <c r="X291" s="345">
        <v>0</v>
      </c>
      <c r="Y291" s="711">
        <f t="shared" si="69"/>
        <v>0</v>
      </c>
      <c r="Z291" s="712">
        <f>IF(X292,_xll.qDateYears(X291,X292,DCCfloat),0)</f>
        <v>0</v>
      </c>
      <c r="AA291" s="519">
        <f ca="1"/>
        <v>0</v>
      </c>
      <c r="AB291" s="890">
        <f>IF(X291=0,0,         IF(OR(CCY="AUD",CCY="NZD",CCY="GBP"),X291,   _xll.qDateNext(X291,"-2b",,,IF(CCY="EUR","TGT","LON"))))</f>
        <v>0</v>
      </c>
      <c r="AC291" s="879" t="str">
        <v/>
      </c>
      <c r="AD291" s="879" t="str">
        <v/>
      </c>
      <c r="AE291" s="879" t="str">
        <v/>
      </c>
      <c r="AF291" s="879" t="str">
        <v/>
      </c>
      <c r="AG291" s="879" t="str">
        <v/>
      </c>
      <c r="AH291" s="879" t="str">
        <v/>
      </c>
      <c r="AI291" s="879" t="str">
        <v/>
      </c>
      <c r="AJ291" s="879" t="str">
        <v/>
      </c>
      <c r="AK291" s="882">
        <f>IF($X291=0,0,      _xll.qDateNext($X291,AK$12,$AR$11,FRM&lt;&gt;"Calypso",CCY))</f>
        <v>0</v>
      </c>
      <c r="AL291" s="882">
        <f>IF($X291=0,0,      _xll.qDateNext($X291,AL$12,$AR$11,FRM&lt;&gt;"Calypso",CCY))</f>
        <v>0</v>
      </c>
      <c r="AM291" s="882">
        <f>IF($X291=0,0,      _xll.qDateNext($X291,AM$12,$AR$11,FRM&lt;&gt;"Calypso",CCY))</f>
        <v>0</v>
      </c>
      <c r="AN291" s="882">
        <f>IF($X291=0,0,      _xll.qDateNext($X291,AN$12,$AR$11,FRM&lt;&gt;"Calypso",CCY))</f>
        <v>0</v>
      </c>
      <c r="AO291" s="882">
        <f>IF($X291=0,0,      _xll.qDateNext($X291,AO$12,$AR$11,FRM&lt;&gt;"Calypso",CCY))</f>
        <v>0</v>
      </c>
      <c r="AP291" s="882">
        <f>IF($X291=0,0,      _xll.qDateNext($X291,AP$12,$AR$11,FRM&lt;&gt;"Calypso",CCY))</f>
        <v>0</v>
      </c>
      <c r="AQ291" s="882">
        <f>IF($X291=0,0,      _xll.qDateNext($X291,AQ$12,$AR$11,FRM&lt;&gt;"Calypso",CCY))</f>
        <v>0</v>
      </c>
      <c r="AR291" s="882">
        <f>IF($X291=0,0,      _xll.qDateNext($X291,AR$12,$AR$11,FRM&lt;&gt;"Calypso",CCY))</f>
        <v>0</v>
      </c>
      <c r="AS291" s="901">
        <f ca="1"/>
        <v>0</v>
      </c>
      <c r="AT291" s="901">
        <f ca="1"/>
        <v>0</v>
      </c>
      <c r="AU291" s="901">
        <f t="shared" si="79"/>
        <v>0</v>
      </c>
      <c r="AV291" s="901">
        <f ca="1"/>
        <v>0</v>
      </c>
      <c r="AW291" s="901">
        <f t="shared" si="80"/>
        <v>0</v>
      </c>
      <c r="AX291" s="901">
        <f t="shared" si="81"/>
        <v>0</v>
      </c>
      <c r="AY291" s="901">
        <f ca="1"/>
        <v>0</v>
      </c>
      <c r="AZ291" s="901">
        <f ca="1"/>
        <v>0</v>
      </c>
      <c r="BA291" s="905">
        <f t="shared" si="70"/>
        <v>0</v>
      </c>
      <c r="BB291" s="905">
        <f t="shared" si="71"/>
        <v>0</v>
      </c>
      <c r="BC291" s="905">
        <f t="shared" si="72"/>
        <v>0</v>
      </c>
      <c r="BD291" s="905">
        <f t="shared" si="73"/>
        <v>0</v>
      </c>
      <c r="BE291" s="905">
        <f t="shared" si="74"/>
        <v>0</v>
      </c>
      <c r="BF291" s="905">
        <f t="shared" si="75"/>
        <v>0</v>
      </c>
      <c r="BG291" s="905">
        <f t="shared" si="76"/>
        <v>0</v>
      </c>
      <c r="BH291" s="905">
        <f t="shared" si="77"/>
        <v>0</v>
      </c>
      <c r="BI291" s="713">
        <v>0</v>
      </c>
      <c r="BJ291" s="695"/>
      <c r="BK291" s="752">
        <f>IF(X292=0,0,           IF(ISNUMBER(BJ291),BJ291,               IF(ISTEXT(BJ291),INDEX(BA291:BH291,MATCH(BJ291,$BA$12:$BH$12,0)),             IF(BI291="INT",_xll.qInterp(X292,AK291:AR291,BA291:BH291),            INDEX(BA291:BH291,MATCH(BI291,$BA$12:$BH$12,0))))))</f>
        <v>0</v>
      </c>
      <c r="BL291" s="389">
        <f t="shared" si="82"/>
        <v>0</v>
      </c>
      <c r="BM291" s="394">
        <f t="shared" si="83"/>
        <v>0</v>
      </c>
      <c r="BN291" s="389">
        <f t="shared" si="84"/>
        <v>0</v>
      </c>
    </row>
    <row r="292" spans="16:66">
      <c r="P292" s="716">
        <v>0</v>
      </c>
      <c r="Q292" s="715">
        <f t="shared" si="68"/>
        <v>0</v>
      </c>
      <c r="R292" s="712">
        <f>IF(P293,_xll.qDateYears(P292,P293,DCCfixed),0)</f>
        <v>0</v>
      </c>
      <c r="S292" s="519">
        <f ca="1"/>
        <v>0</v>
      </c>
      <c r="T292" s="720"/>
      <c r="U292" s="390">
        <f t="shared" si="78"/>
        <v>0</v>
      </c>
      <c r="X292" s="345">
        <v>0</v>
      </c>
      <c r="Y292" s="711">
        <f t="shared" si="69"/>
        <v>0</v>
      </c>
      <c r="Z292" s="712">
        <f>IF(X293,_xll.qDateYears(X292,X293,DCCfloat),0)</f>
        <v>0</v>
      </c>
      <c r="AA292" s="519">
        <f ca="1"/>
        <v>0</v>
      </c>
      <c r="AB292" s="890">
        <f>IF(X292=0,0,         IF(OR(CCY="AUD",CCY="NZD",CCY="GBP"),X292,   _xll.qDateNext(X292,"-2b",,,IF(CCY="EUR","TGT","LON"))))</f>
        <v>0</v>
      </c>
      <c r="AC292" s="879" t="str">
        <v/>
      </c>
      <c r="AD292" s="879" t="str">
        <v/>
      </c>
      <c r="AE292" s="879" t="str">
        <v/>
      </c>
      <c r="AF292" s="879" t="str">
        <v/>
      </c>
      <c r="AG292" s="879" t="str">
        <v/>
      </c>
      <c r="AH292" s="879" t="str">
        <v/>
      </c>
      <c r="AI292" s="879" t="str">
        <v/>
      </c>
      <c r="AJ292" s="879" t="str">
        <v/>
      </c>
      <c r="AK292" s="882">
        <f>IF($X292=0,0,      _xll.qDateNext($X292,AK$12,$AR$11,FRM&lt;&gt;"Calypso",CCY))</f>
        <v>0</v>
      </c>
      <c r="AL292" s="882">
        <f>IF($X292=0,0,      _xll.qDateNext($X292,AL$12,$AR$11,FRM&lt;&gt;"Calypso",CCY))</f>
        <v>0</v>
      </c>
      <c r="AM292" s="882">
        <f>IF($X292=0,0,      _xll.qDateNext($X292,AM$12,$AR$11,FRM&lt;&gt;"Calypso",CCY))</f>
        <v>0</v>
      </c>
      <c r="AN292" s="882">
        <f>IF($X292=0,0,      _xll.qDateNext($X292,AN$12,$AR$11,FRM&lt;&gt;"Calypso",CCY))</f>
        <v>0</v>
      </c>
      <c r="AO292" s="882">
        <f>IF($X292=0,0,      _xll.qDateNext($X292,AO$12,$AR$11,FRM&lt;&gt;"Calypso",CCY))</f>
        <v>0</v>
      </c>
      <c r="AP292" s="882">
        <f>IF($X292=0,0,      _xll.qDateNext($X292,AP$12,$AR$11,FRM&lt;&gt;"Calypso",CCY))</f>
        <v>0</v>
      </c>
      <c r="AQ292" s="882">
        <f>IF($X292=0,0,      _xll.qDateNext($X292,AQ$12,$AR$11,FRM&lt;&gt;"Calypso",CCY))</f>
        <v>0</v>
      </c>
      <c r="AR292" s="882">
        <f>IF($X292=0,0,      _xll.qDateNext($X292,AR$12,$AR$11,FRM&lt;&gt;"Calypso",CCY))</f>
        <v>0</v>
      </c>
      <c r="AS292" s="901">
        <f ca="1"/>
        <v>0</v>
      </c>
      <c r="AT292" s="901">
        <f ca="1"/>
        <v>0</v>
      </c>
      <c r="AU292" s="901">
        <f t="shared" si="79"/>
        <v>0</v>
      </c>
      <c r="AV292" s="901">
        <f ca="1"/>
        <v>0</v>
      </c>
      <c r="AW292" s="901">
        <f t="shared" si="80"/>
        <v>0</v>
      </c>
      <c r="AX292" s="901">
        <f t="shared" si="81"/>
        <v>0</v>
      </c>
      <c r="AY292" s="901">
        <f ca="1"/>
        <v>0</v>
      </c>
      <c r="AZ292" s="901">
        <f ca="1"/>
        <v>0</v>
      </c>
      <c r="BA292" s="905">
        <f t="shared" si="70"/>
        <v>0</v>
      </c>
      <c r="BB292" s="905">
        <f t="shared" si="71"/>
        <v>0</v>
      </c>
      <c r="BC292" s="905">
        <f t="shared" si="72"/>
        <v>0</v>
      </c>
      <c r="BD292" s="905">
        <f t="shared" si="73"/>
        <v>0</v>
      </c>
      <c r="BE292" s="905">
        <f t="shared" si="74"/>
        <v>0</v>
      </c>
      <c r="BF292" s="905">
        <f t="shared" si="75"/>
        <v>0</v>
      </c>
      <c r="BG292" s="905">
        <f t="shared" si="76"/>
        <v>0</v>
      </c>
      <c r="BH292" s="905">
        <f t="shared" si="77"/>
        <v>0</v>
      </c>
      <c r="BI292" s="713">
        <v>0</v>
      </c>
      <c r="BJ292" s="695"/>
      <c r="BK292" s="752">
        <f>IF(X293=0,0,           IF(ISNUMBER(BJ292),BJ292,               IF(ISTEXT(BJ292),INDEX(BA292:BH292,MATCH(BJ292,$BA$12:$BH$12,0)),             IF(BI292="INT",_xll.qInterp(X293,AK292:AR292,BA292:BH292),            INDEX(BA292:BH292,MATCH(BI292,$BA$12:$BH$12,0))))))</f>
        <v>0</v>
      </c>
      <c r="BL292" s="389">
        <f t="shared" si="82"/>
        <v>0</v>
      </c>
      <c r="BM292" s="394">
        <f t="shared" si="83"/>
        <v>0</v>
      </c>
      <c r="BN292" s="389">
        <f t="shared" si="84"/>
        <v>0</v>
      </c>
    </row>
    <row r="293" spans="16:66">
      <c r="P293" s="716">
        <v>0</v>
      </c>
      <c r="Q293" s="715">
        <f t="shared" si="68"/>
        <v>0</v>
      </c>
      <c r="R293" s="712">
        <f>IF(P294,_xll.qDateYears(P293,P294,DCCfixed),0)</f>
        <v>0</v>
      </c>
      <c r="S293" s="519">
        <f ca="1"/>
        <v>0</v>
      </c>
      <c r="T293" s="720"/>
      <c r="U293" s="390">
        <f t="shared" si="78"/>
        <v>0</v>
      </c>
      <c r="X293" s="345">
        <v>0</v>
      </c>
      <c r="Y293" s="711">
        <f t="shared" si="69"/>
        <v>0</v>
      </c>
      <c r="Z293" s="712">
        <f>IF(X294,_xll.qDateYears(X293,X294,DCCfloat),0)</f>
        <v>0</v>
      </c>
      <c r="AA293" s="519">
        <f ca="1"/>
        <v>0</v>
      </c>
      <c r="AB293" s="890">
        <f>IF(X293=0,0,         IF(OR(CCY="AUD",CCY="NZD",CCY="GBP"),X293,   _xll.qDateNext(X293,"-2b",,,IF(CCY="EUR","TGT","LON"))))</f>
        <v>0</v>
      </c>
      <c r="AC293" s="879" t="str">
        <v/>
      </c>
      <c r="AD293" s="879" t="str">
        <v/>
      </c>
      <c r="AE293" s="879" t="str">
        <v/>
      </c>
      <c r="AF293" s="879" t="str">
        <v/>
      </c>
      <c r="AG293" s="879" t="str">
        <v/>
      </c>
      <c r="AH293" s="879" t="str">
        <v/>
      </c>
      <c r="AI293" s="879" t="str">
        <v/>
      </c>
      <c r="AJ293" s="879" t="str">
        <v/>
      </c>
      <c r="AK293" s="882">
        <f>IF($X293=0,0,      _xll.qDateNext($X293,AK$12,$AR$11,FRM&lt;&gt;"Calypso",CCY))</f>
        <v>0</v>
      </c>
      <c r="AL293" s="882">
        <f>IF($X293=0,0,      _xll.qDateNext($X293,AL$12,$AR$11,FRM&lt;&gt;"Calypso",CCY))</f>
        <v>0</v>
      </c>
      <c r="AM293" s="882">
        <f>IF($X293=0,0,      _xll.qDateNext($X293,AM$12,$AR$11,FRM&lt;&gt;"Calypso",CCY))</f>
        <v>0</v>
      </c>
      <c r="AN293" s="882">
        <f>IF($X293=0,0,      _xll.qDateNext($X293,AN$12,$AR$11,FRM&lt;&gt;"Calypso",CCY))</f>
        <v>0</v>
      </c>
      <c r="AO293" s="882">
        <f>IF($X293=0,0,      _xll.qDateNext($X293,AO$12,$AR$11,FRM&lt;&gt;"Calypso",CCY))</f>
        <v>0</v>
      </c>
      <c r="AP293" s="882">
        <f>IF($X293=0,0,      _xll.qDateNext($X293,AP$12,$AR$11,FRM&lt;&gt;"Calypso",CCY))</f>
        <v>0</v>
      </c>
      <c r="AQ293" s="882">
        <f>IF($X293=0,0,      _xll.qDateNext($X293,AQ$12,$AR$11,FRM&lt;&gt;"Calypso",CCY))</f>
        <v>0</v>
      </c>
      <c r="AR293" s="882">
        <f>IF($X293=0,0,      _xll.qDateNext($X293,AR$12,$AR$11,FRM&lt;&gt;"Calypso",CCY))</f>
        <v>0</v>
      </c>
      <c r="AS293" s="901">
        <f ca="1"/>
        <v>0</v>
      </c>
      <c r="AT293" s="901">
        <f ca="1"/>
        <v>0</v>
      </c>
      <c r="AU293" s="901">
        <f t="shared" si="79"/>
        <v>0</v>
      </c>
      <c r="AV293" s="901">
        <f ca="1"/>
        <v>0</v>
      </c>
      <c r="AW293" s="901">
        <f t="shared" si="80"/>
        <v>0</v>
      </c>
      <c r="AX293" s="901">
        <f t="shared" si="81"/>
        <v>0</v>
      </c>
      <c r="AY293" s="901">
        <f ca="1"/>
        <v>0</v>
      </c>
      <c r="AZ293" s="901">
        <f ca="1"/>
        <v>0</v>
      </c>
      <c r="BA293" s="905">
        <f t="shared" si="70"/>
        <v>0</v>
      </c>
      <c r="BB293" s="905">
        <f t="shared" si="71"/>
        <v>0</v>
      </c>
      <c r="BC293" s="905">
        <f t="shared" si="72"/>
        <v>0</v>
      </c>
      <c r="BD293" s="905">
        <f t="shared" si="73"/>
        <v>0</v>
      </c>
      <c r="BE293" s="905">
        <f t="shared" si="74"/>
        <v>0</v>
      </c>
      <c r="BF293" s="905">
        <f t="shared" si="75"/>
        <v>0</v>
      </c>
      <c r="BG293" s="905">
        <f t="shared" si="76"/>
        <v>0</v>
      </c>
      <c r="BH293" s="905">
        <f t="shared" si="77"/>
        <v>0</v>
      </c>
      <c r="BI293" s="713">
        <v>0</v>
      </c>
      <c r="BJ293" s="695"/>
      <c r="BK293" s="752">
        <f>IF(X294=0,0,           IF(ISNUMBER(BJ293),BJ293,               IF(ISTEXT(BJ293),INDEX(BA293:BH293,MATCH(BJ293,$BA$12:$BH$12,0)),             IF(BI293="INT",_xll.qInterp(X294,AK293:AR293,BA293:BH293),            INDEX(BA293:BH293,MATCH(BI293,$BA$12:$BH$12,0))))))</f>
        <v>0</v>
      </c>
      <c r="BL293" s="389">
        <f t="shared" si="82"/>
        <v>0</v>
      </c>
      <c r="BM293" s="394">
        <f t="shared" si="83"/>
        <v>0</v>
      </c>
      <c r="BN293" s="389">
        <f t="shared" si="84"/>
        <v>0</v>
      </c>
    </row>
    <row r="294" spans="16:66">
      <c r="P294" s="716">
        <v>0</v>
      </c>
      <c r="Q294" s="715">
        <f t="shared" si="68"/>
        <v>0</v>
      </c>
      <c r="R294" s="712">
        <f>IF(P295,_xll.qDateYears(P294,P295,DCCfixed),0)</f>
        <v>0</v>
      </c>
      <c r="S294" s="519">
        <f ca="1"/>
        <v>0</v>
      </c>
      <c r="T294" s="720"/>
      <c r="U294" s="390">
        <f t="shared" si="78"/>
        <v>0</v>
      </c>
      <c r="X294" s="345">
        <v>0</v>
      </c>
      <c r="Y294" s="711">
        <f t="shared" si="69"/>
        <v>0</v>
      </c>
      <c r="Z294" s="712">
        <f>IF(X295,_xll.qDateYears(X294,X295,DCCfloat),0)</f>
        <v>0</v>
      </c>
      <c r="AA294" s="519">
        <f ca="1"/>
        <v>0</v>
      </c>
      <c r="AB294" s="890">
        <f>IF(X294=0,0,         IF(OR(CCY="AUD",CCY="NZD",CCY="GBP"),X294,   _xll.qDateNext(X294,"-2b",,,IF(CCY="EUR","TGT","LON"))))</f>
        <v>0</v>
      </c>
      <c r="AC294" s="879" t="str">
        <v/>
      </c>
      <c r="AD294" s="879" t="str">
        <v/>
      </c>
      <c r="AE294" s="879" t="str">
        <v/>
      </c>
      <c r="AF294" s="879" t="str">
        <v/>
      </c>
      <c r="AG294" s="879" t="str">
        <v/>
      </c>
      <c r="AH294" s="879" t="str">
        <v/>
      </c>
      <c r="AI294" s="879" t="str">
        <v/>
      </c>
      <c r="AJ294" s="879" t="str">
        <v/>
      </c>
      <c r="AK294" s="882">
        <f>IF($X294=0,0,      _xll.qDateNext($X294,AK$12,$AR$11,FRM&lt;&gt;"Calypso",CCY))</f>
        <v>0</v>
      </c>
      <c r="AL294" s="882">
        <f>IF($X294=0,0,      _xll.qDateNext($X294,AL$12,$AR$11,FRM&lt;&gt;"Calypso",CCY))</f>
        <v>0</v>
      </c>
      <c r="AM294" s="882">
        <f>IF($X294=0,0,      _xll.qDateNext($X294,AM$12,$AR$11,FRM&lt;&gt;"Calypso",CCY))</f>
        <v>0</v>
      </c>
      <c r="AN294" s="882">
        <f>IF($X294=0,0,      _xll.qDateNext($X294,AN$12,$AR$11,FRM&lt;&gt;"Calypso",CCY))</f>
        <v>0</v>
      </c>
      <c r="AO294" s="882">
        <f>IF($X294=0,0,      _xll.qDateNext($X294,AO$12,$AR$11,FRM&lt;&gt;"Calypso",CCY))</f>
        <v>0</v>
      </c>
      <c r="AP294" s="882">
        <f>IF($X294=0,0,      _xll.qDateNext($X294,AP$12,$AR$11,FRM&lt;&gt;"Calypso",CCY))</f>
        <v>0</v>
      </c>
      <c r="AQ294" s="882">
        <f>IF($X294=0,0,      _xll.qDateNext($X294,AQ$12,$AR$11,FRM&lt;&gt;"Calypso",CCY))</f>
        <v>0</v>
      </c>
      <c r="AR294" s="882">
        <f>IF($X294=0,0,      _xll.qDateNext($X294,AR$12,$AR$11,FRM&lt;&gt;"Calypso",CCY))</f>
        <v>0</v>
      </c>
      <c r="AS294" s="901">
        <f ca="1"/>
        <v>0</v>
      </c>
      <c r="AT294" s="901">
        <f ca="1"/>
        <v>0</v>
      </c>
      <c r="AU294" s="901">
        <f t="shared" si="79"/>
        <v>0</v>
      </c>
      <c r="AV294" s="901">
        <f ca="1"/>
        <v>0</v>
      </c>
      <c r="AW294" s="901">
        <f t="shared" si="80"/>
        <v>0</v>
      </c>
      <c r="AX294" s="901">
        <f t="shared" si="81"/>
        <v>0</v>
      </c>
      <c r="AY294" s="901">
        <f ca="1"/>
        <v>0</v>
      </c>
      <c r="AZ294" s="901">
        <f ca="1"/>
        <v>0</v>
      </c>
      <c r="BA294" s="905">
        <f t="shared" si="70"/>
        <v>0</v>
      </c>
      <c r="BB294" s="905">
        <f t="shared" si="71"/>
        <v>0</v>
      </c>
      <c r="BC294" s="905">
        <f t="shared" si="72"/>
        <v>0</v>
      </c>
      <c r="BD294" s="905">
        <f t="shared" si="73"/>
        <v>0</v>
      </c>
      <c r="BE294" s="905">
        <f t="shared" si="74"/>
        <v>0</v>
      </c>
      <c r="BF294" s="905">
        <f t="shared" si="75"/>
        <v>0</v>
      </c>
      <c r="BG294" s="905">
        <f t="shared" si="76"/>
        <v>0</v>
      </c>
      <c r="BH294" s="905">
        <f t="shared" si="77"/>
        <v>0</v>
      </c>
      <c r="BI294" s="713">
        <v>0</v>
      </c>
      <c r="BJ294" s="695"/>
      <c r="BK294" s="752">
        <f>IF(X295=0,0,           IF(ISNUMBER(BJ294),BJ294,               IF(ISTEXT(BJ294),INDEX(BA294:BH294,MATCH(BJ294,$BA$12:$BH$12,0)),             IF(BI294="INT",_xll.qInterp(X295,AK294:AR294,BA294:BH294),            INDEX(BA294:BH294,MATCH(BI294,$BA$12:$BH$12,0))))))</f>
        <v>0</v>
      </c>
      <c r="BL294" s="389">
        <f t="shared" si="82"/>
        <v>0</v>
      </c>
      <c r="BM294" s="394">
        <f t="shared" si="83"/>
        <v>0</v>
      </c>
      <c r="BN294" s="389">
        <f t="shared" si="84"/>
        <v>0</v>
      </c>
    </row>
    <row r="295" spans="16:66">
      <c r="P295" s="716">
        <v>0</v>
      </c>
      <c r="Q295" s="715">
        <f t="shared" si="68"/>
        <v>0</v>
      </c>
      <c r="R295" s="712">
        <f>IF(P296,_xll.qDateYears(P295,P296,DCCfixed),0)</f>
        <v>0</v>
      </c>
      <c r="S295" s="519">
        <f ca="1"/>
        <v>0</v>
      </c>
      <c r="T295" s="720"/>
      <c r="U295" s="390">
        <f t="shared" si="78"/>
        <v>0</v>
      </c>
      <c r="X295" s="345">
        <v>0</v>
      </c>
      <c r="Y295" s="711">
        <f t="shared" si="69"/>
        <v>0</v>
      </c>
      <c r="Z295" s="712">
        <f>IF(X296,_xll.qDateYears(X295,X296,DCCfloat),0)</f>
        <v>0</v>
      </c>
      <c r="AA295" s="519">
        <f ca="1"/>
        <v>0</v>
      </c>
      <c r="AB295" s="890">
        <f>IF(X295=0,0,         IF(OR(CCY="AUD",CCY="NZD",CCY="GBP"),X295,   _xll.qDateNext(X295,"-2b",,,IF(CCY="EUR","TGT","LON"))))</f>
        <v>0</v>
      </c>
      <c r="AC295" s="879" t="str">
        <v/>
      </c>
      <c r="AD295" s="879" t="str">
        <v/>
      </c>
      <c r="AE295" s="879" t="str">
        <v/>
      </c>
      <c r="AF295" s="879" t="str">
        <v/>
      </c>
      <c r="AG295" s="879" t="str">
        <v/>
      </c>
      <c r="AH295" s="879" t="str">
        <v/>
      </c>
      <c r="AI295" s="879" t="str">
        <v/>
      </c>
      <c r="AJ295" s="879" t="str">
        <v/>
      </c>
      <c r="AK295" s="882">
        <f>IF($X295=0,0,      _xll.qDateNext($X295,AK$12,$AR$11,FRM&lt;&gt;"Calypso",CCY))</f>
        <v>0</v>
      </c>
      <c r="AL295" s="882">
        <f>IF($X295=0,0,      _xll.qDateNext($X295,AL$12,$AR$11,FRM&lt;&gt;"Calypso",CCY))</f>
        <v>0</v>
      </c>
      <c r="AM295" s="882">
        <f>IF($X295=0,0,      _xll.qDateNext($X295,AM$12,$AR$11,FRM&lt;&gt;"Calypso",CCY))</f>
        <v>0</v>
      </c>
      <c r="AN295" s="882">
        <f>IF($X295=0,0,      _xll.qDateNext($X295,AN$12,$AR$11,FRM&lt;&gt;"Calypso",CCY))</f>
        <v>0</v>
      </c>
      <c r="AO295" s="882">
        <f>IF($X295=0,0,      _xll.qDateNext($X295,AO$12,$AR$11,FRM&lt;&gt;"Calypso",CCY))</f>
        <v>0</v>
      </c>
      <c r="AP295" s="882">
        <f>IF($X295=0,0,      _xll.qDateNext($X295,AP$12,$AR$11,FRM&lt;&gt;"Calypso",CCY))</f>
        <v>0</v>
      </c>
      <c r="AQ295" s="882">
        <f>IF($X295=0,0,      _xll.qDateNext($X295,AQ$12,$AR$11,FRM&lt;&gt;"Calypso",CCY))</f>
        <v>0</v>
      </c>
      <c r="AR295" s="882">
        <f>IF($X295=0,0,      _xll.qDateNext($X295,AR$12,$AR$11,FRM&lt;&gt;"Calypso",CCY))</f>
        <v>0</v>
      </c>
      <c r="AS295" s="901">
        <f ca="1"/>
        <v>0</v>
      </c>
      <c r="AT295" s="901">
        <f ca="1"/>
        <v>0</v>
      </c>
      <c r="AU295" s="901">
        <f t="shared" si="79"/>
        <v>0</v>
      </c>
      <c r="AV295" s="901">
        <f ca="1"/>
        <v>0</v>
      </c>
      <c r="AW295" s="901">
        <f t="shared" si="80"/>
        <v>0</v>
      </c>
      <c r="AX295" s="901">
        <f t="shared" si="81"/>
        <v>0</v>
      </c>
      <c r="AY295" s="901">
        <f ca="1"/>
        <v>0</v>
      </c>
      <c r="AZ295" s="901">
        <f ca="1"/>
        <v>0</v>
      </c>
      <c r="BA295" s="905">
        <f t="shared" si="70"/>
        <v>0</v>
      </c>
      <c r="BB295" s="905">
        <f t="shared" si="71"/>
        <v>0</v>
      </c>
      <c r="BC295" s="905">
        <f t="shared" si="72"/>
        <v>0</v>
      </c>
      <c r="BD295" s="905">
        <f t="shared" si="73"/>
        <v>0</v>
      </c>
      <c r="BE295" s="905">
        <f t="shared" si="74"/>
        <v>0</v>
      </c>
      <c r="BF295" s="905">
        <f t="shared" si="75"/>
        <v>0</v>
      </c>
      <c r="BG295" s="905">
        <f t="shared" si="76"/>
        <v>0</v>
      </c>
      <c r="BH295" s="905">
        <f t="shared" si="77"/>
        <v>0</v>
      </c>
      <c r="BI295" s="713">
        <v>0</v>
      </c>
      <c r="BJ295" s="695"/>
      <c r="BK295" s="752">
        <f>IF(X296=0,0,           IF(ISNUMBER(BJ295),BJ295,               IF(ISTEXT(BJ295),INDEX(BA295:BH295,MATCH(BJ295,$BA$12:$BH$12,0)),             IF(BI295="INT",_xll.qInterp(X296,AK295:AR295,BA295:BH295),            INDEX(BA295:BH295,MATCH(BI295,$BA$12:$BH$12,0))))))</f>
        <v>0</v>
      </c>
      <c r="BL295" s="389">
        <f t="shared" si="82"/>
        <v>0</v>
      </c>
      <c r="BM295" s="394">
        <f t="shared" si="83"/>
        <v>0</v>
      </c>
      <c r="BN295" s="389">
        <f t="shared" si="84"/>
        <v>0</v>
      </c>
    </row>
    <row r="296" spans="16:66">
      <c r="P296" s="716">
        <v>0</v>
      </c>
      <c r="Q296" s="715">
        <f t="shared" si="68"/>
        <v>0</v>
      </c>
      <c r="R296" s="712">
        <f>IF(P297,_xll.qDateYears(P296,P297,DCCfixed),0)</f>
        <v>0</v>
      </c>
      <c r="S296" s="519">
        <f ca="1"/>
        <v>0</v>
      </c>
      <c r="T296" s="720"/>
      <c r="U296" s="390">
        <f t="shared" si="78"/>
        <v>0</v>
      </c>
      <c r="X296" s="345">
        <v>0</v>
      </c>
      <c r="Y296" s="711">
        <f t="shared" si="69"/>
        <v>0</v>
      </c>
      <c r="Z296" s="712">
        <f>IF(X297,_xll.qDateYears(X296,X297,DCCfloat),0)</f>
        <v>0</v>
      </c>
      <c r="AA296" s="519">
        <f ca="1"/>
        <v>0</v>
      </c>
      <c r="AB296" s="890">
        <f>IF(X296=0,0,         IF(OR(CCY="AUD",CCY="NZD",CCY="GBP"),X296,   _xll.qDateNext(X296,"-2b",,,IF(CCY="EUR","TGT","LON"))))</f>
        <v>0</v>
      </c>
      <c r="AC296" s="879" t="str">
        <v/>
      </c>
      <c r="AD296" s="879" t="str">
        <v/>
      </c>
      <c r="AE296" s="879" t="str">
        <v/>
      </c>
      <c r="AF296" s="879" t="str">
        <v/>
      </c>
      <c r="AG296" s="879" t="str">
        <v/>
      </c>
      <c r="AH296" s="879" t="str">
        <v/>
      </c>
      <c r="AI296" s="879" t="str">
        <v/>
      </c>
      <c r="AJ296" s="879" t="str">
        <v/>
      </c>
      <c r="AK296" s="882">
        <f>IF($X296=0,0,      _xll.qDateNext($X296,AK$12,$AR$11,FRM&lt;&gt;"Calypso",CCY))</f>
        <v>0</v>
      </c>
      <c r="AL296" s="882">
        <f>IF($X296=0,0,      _xll.qDateNext($X296,AL$12,$AR$11,FRM&lt;&gt;"Calypso",CCY))</f>
        <v>0</v>
      </c>
      <c r="AM296" s="882">
        <f>IF($X296=0,0,      _xll.qDateNext($X296,AM$12,$AR$11,FRM&lt;&gt;"Calypso",CCY))</f>
        <v>0</v>
      </c>
      <c r="AN296" s="882">
        <f>IF($X296=0,0,      _xll.qDateNext($X296,AN$12,$AR$11,FRM&lt;&gt;"Calypso",CCY))</f>
        <v>0</v>
      </c>
      <c r="AO296" s="882">
        <f>IF($X296=0,0,      _xll.qDateNext($X296,AO$12,$AR$11,FRM&lt;&gt;"Calypso",CCY))</f>
        <v>0</v>
      </c>
      <c r="AP296" s="882">
        <f>IF($X296=0,0,      _xll.qDateNext($X296,AP$12,$AR$11,FRM&lt;&gt;"Calypso",CCY))</f>
        <v>0</v>
      </c>
      <c r="AQ296" s="882">
        <f>IF($X296=0,0,      _xll.qDateNext($X296,AQ$12,$AR$11,FRM&lt;&gt;"Calypso",CCY))</f>
        <v>0</v>
      </c>
      <c r="AR296" s="882">
        <f>IF($X296=0,0,      _xll.qDateNext($X296,AR$12,$AR$11,FRM&lt;&gt;"Calypso",CCY))</f>
        <v>0</v>
      </c>
      <c r="AS296" s="901">
        <f ca="1"/>
        <v>0</v>
      </c>
      <c r="AT296" s="901">
        <f ca="1"/>
        <v>0</v>
      </c>
      <c r="AU296" s="901">
        <f t="shared" si="79"/>
        <v>0</v>
      </c>
      <c r="AV296" s="901">
        <f ca="1"/>
        <v>0</v>
      </c>
      <c r="AW296" s="901">
        <f t="shared" si="80"/>
        <v>0</v>
      </c>
      <c r="AX296" s="901">
        <f t="shared" si="81"/>
        <v>0</v>
      </c>
      <c r="AY296" s="901">
        <f ca="1"/>
        <v>0</v>
      </c>
      <c r="AZ296" s="901">
        <f ca="1"/>
        <v>0</v>
      </c>
      <c r="BA296" s="905">
        <f t="shared" si="70"/>
        <v>0</v>
      </c>
      <c r="BB296" s="905">
        <f t="shared" si="71"/>
        <v>0</v>
      </c>
      <c r="BC296" s="905">
        <f t="shared" si="72"/>
        <v>0</v>
      </c>
      <c r="BD296" s="905">
        <f t="shared" si="73"/>
        <v>0</v>
      </c>
      <c r="BE296" s="905">
        <f t="shared" si="74"/>
        <v>0</v>
      </c>
      <c r="BF296" s="905">
        <f t="shared" si="75"/>
        <v>0</v>
      </c>
      <c r="BG296" s="905">
        <f t="shared" si="76"/>
        <v>0</v>
      </c>
      <c r="BH296" s="905">
        <f t="shared" si="77"/>
        <v>0</v>
      </c>
      <c r="BI296" s="713">
        <v>0</v>
      </c>
      <c r="BJ296" s="695"/>
      <c r="BK296" s="752">
        <f>IF(X297=0,0,           IF(ISNUMBER(BJ296),BJ296,               IF(ISTEXT(BJ296),INDEX(BA296:BH296,MATCH(BJ296,$BA$12:$BH$12,0)),             IF(BI296="INT",_xll.qInterp(X297,AK296:AR296,BA296:BH296),            INDEX(BA296:BH296,MATCH(BI296,$BA$12:$BH$12,0))))))</f>
        <v>0</v>
      </c>
      <c r="BL296" s="389">
        <f t="shared" si="82"/>
        <v>0</v>
      </c>
      <c r="BM296" s="394">
        <f t="shared" si="83"/>
        <v>0</v>
      </c>
      <c r="BN296" s="389">
        <f t="shared" si="84"/>
        <v>0</v>
      </c>
    </row>
    <row r="297" spans="16:66">
      <c r="P297" s="716">
        <v>0</v>
      </c>
      <c r="Q297" s="715">
        <f t="shared" si="68"/>
        <v>0</v>
      </c>
      <c r="R297" s="712">
        <f>IF(P298,_xll.qDateYears(P297,P298,DCCfixed),0)</f>
        <v>0</v>
      </c>
      <c r="S297" s="519">
        <f ca="1"/>
        <v>0</v>
      </c>
      <c r="T297" s="720"/>
      <c r="U297" s="390">
        <f t="shared" si="78"/>
        <v>0</v>
      </c>
      <c r="X297" s="345">
        <v>0</v>
      </c>
      <c r="Y297" s="711">
        <f t="shared" si="69"/>
        <v>0</v>
      </c>
      <c r="Z297" s="712">
        <f>IF(X298,_xll.qDateYears(X297,X298,DCCfloat),0)</f>
        <v>0</v>
      </c>
      <c r="AA297" s="519">
        <f ca="1"/>
        <v>0</v>
      </c>
      <c r="AB297" s="890">
        <f>IF(X297=0,0,         IF(OR(CCY="AUD",CCY="NZD",CCY="GBP"),X297,   _xll.qDateNext(X297,"-2b",,,IF(CCY="EUR","TGT","LON"))))</f>
        <v>0</v>
      </c>
      <c r="AC297" s="879" t="str">
        <v/>
      </c>
      <c r="AD297" s="879" t="str">
        <v/>
      </c>
      <c r="AE297" s="879" t="str">
        <v/>
      </c>
      <c r="AF297" s="879" t="str">
        <v/>
      </c>
      <c r="AG297" s="879" t="str">
        <v/>
      </c>
      <c r="AH297" s="879" t="str">
        <v/>
      </c>
      <c r="AI297" s="879" t="str">
        <v/>
      </c>
      <c r="AJ297" s="879" t="str">
        <v/>
      </c>
      <c r="AK297" s="882">
        <f>IF($X297=0,0,      _xll.qDateNext($X297,AK$12,$AR$11,FRM&lt;&gt;"Calypso",CCY))</f>
        <v>0</v>
      </c>
      <c r="AL297" s="882">
        <f>IF($X297=0,0,      _xll.qDateNext($X297,AL$12,$AR$11,FRM&lt;&gt;"Calypso",CCY))</f>
        <v>0</v>
      </c>
      <c r="AM297" s="882">
        <f>IF($X297=0,0,      _xll.qDateNext($X297,AM$12,$AR$11,FRM&lt;&gt;"Calypso",CCY))</f>
        <v>0</v>
      </c>
      <c r="AN297" s="882">
        <f>IF($X297=0,0,      _xll.qDateNext($X297,AN$12,$AR$11,FRM&lt;&gt;"Calypso",CCY))</f>
        <v>0</v>
      </c>
      <c r="AO297" s="882">
        <f>IF($X297=0,0,      _xll.qDateNext($X297,AO$12,$AR$11,FRM&lt;&gt;"Calypso",CCY))</f>
        <v>0</v>
      </c>
      <c r="AP297" s="882">
        <f>IF($X297=0,0,      _xll.qDateNext($X297,AP$12,$AR$11,FRM&lt;&gt;"Calypso",CCY))</f>
        <v>0</v>
      </c>
      <c r="AQ297" s="882">
        <f>IF($X297=0,0,      _xll.qDateNext($X297,AQ$12,$AR$11,FRM&lt;&gt;"Calypso",CCY))</f>
        <v>0</v>
      </c>
      <c r="AR297" s="882">
        <f>IF($X297=0,0,      _xll.qDateNext($X297,AR$12,$AR$11,FRM&lt;&gt;"Calypso",CCY))</f>
        <v>0</v>
      </c>
      <c r="AS297" s="901">
        <f ca="1"/>
        <v>0</v>
      </c>
      <c r="AT297" s="901">
        <f ca="1"/>
        <v>0</v>
      </c>
      <c r="AU297" s="901">
        <f t="shared" si="79"/>
        <v>0</v>
      </c>
      <c r="AV297" s="901">
        <f ca="1"/>
        <v>0</v>
      </c>
      <c r="AW297" s="901">
        <f t="shared" si="80"/>
        <v>0</v>
      </c>
      <c r="AX297" s="901">
        <f t="shared" si="81"/>
        <v>0</v>
      </c>
      <c r="AY297" s="901">
        <f ca="1"/>
        <v>0</v>
      </c>
      <c r="AZ297" s="901">
        <f ca="1"/>
        <v>0</v>
      </c>
      <c r="BA297" s="905">
        <f t="shared" si="70"/>
        <v>0</v>
      </c>
      <c r="BB297" s="905">
        <f t="shared" si="71"/>
        <v>0</v>
      </c>
      <c r="BC297" s="905">
        <f t="shared" si="72"/>
        <v>0</v>
      </c>
      <c r="BD297" s="905">
        <f t="shared" si="73"/>
        <v>0</v>
      </c>
      <c r="BE297" s="905">
        <f t="shared" si="74"/>
        <v>0</v>
      </c>
      <c r="BF297" s="905">
        <f t="shared" si="75"/>
        <v>0</v>
      </c>
      <c r="BG297" s="905">
        <f t="shared" si="76"/>
        <v>0</v>
      </c>
      <c r="BH297" s="905">
        <f t="shared" si="77"/>
        <v>0</v>
      </c>
      <c r="BI297" s="713">
        <v>0</v>
      </c>
      <c r="BJ297" s="695"/>
      <c r="BK297" s="752">
        <f>IF(X298=0,0,           IF(ISNUMBER(BJ297),BJ297,               IF(ISTEXT(BJ297),INDEX(BA297:BH297,MATCH(BJ297,$BA$12:$BH$12,0)),             IF(BI297="INT",_xll.qInterp(X298,AK297:AR297,BA297:BH297),            INDEX(BA297:BH297,MATCH(BI297,$BA$12:$BH$12,0))))))</f>
        <v>0</v>
      </c>
      <c r="BL297" s="389">
        <f t="shared" si="82"/>
        <v>0</v>
      </c>
      <c r="BM297" s="394">
        <f t="shared" si="83"/>
        <v>0</v>
      </c>
      <c r="BN297" s="389">
        <f t="shared" si="84"/>
        <v>0</v>
      </c>
    </row>
    <row r="298" spans="16:66">
      <c r="P298" s="716">
        <v>0</v>
      </c>
      <c r="Q298" s="715">
        <f t="shared" si="68"/>
        <v>0</v>
      </c>
      <c r="R298" s="712">
        <f>IF(P299,_xll.qDateYears(P298,P299,DCCfixed),0)</f>
        <v>0</v>
      </c>
      <c r="S298" s="519">
        <f ca="1"/>
        <v>0</v>
      </c>
      <c r="T298" s="720"/>
      <c r="U298" s="390">
        <f t="shared" si="78"/>
        <v>0</v>
      </c>
      <c r="X298" s="345">
        <v>0</v>
      </c>
      <c r="Y298" s="711">
        <f t="shared" si="69"/>
        <v>0</v>
      </c>
      <c r="Z298" s="712">
        <f>IF(X299,_xll.qDateYears(X298,X299,DCCfloat),0)</f>
        <v>0</v>
      </c>
      <c r="AA298" s="519">
        <f ca="1"/>
        <v>0</v>
      </c>
      <c r="AB298" s="890">
        <f>IF(X298=0,0,         IF(OR(CCY="AUD",CCY="NZD",CCY="GBP"),X298,   _xll.qDateNext(X298,"-2b",,,IF(CCY="EUR","TGT","LON"))))</f>
        <v>0</v>
      </c>
      <c r="AC298" s="879" t="str">
        <v/>
      </c>
      <c r="AD298" s="879" t="str">
        <v/>
      </c>
      <c r="AE298" s="879" t="str">
        <v/>
      </c>
      <c r="AF298" s="879" t="str">
        <v/>
      </c>
      <c r="AG298" s="879" t="str">
        <v/>
      </c>
      <c r="AH298" s="879" t="str">
        <v/>
      </c>
      <c r="AI298" s="879" t="str">
        <v/>
      </c>
      <c r="AJ298" s="879" t="str">
        <v/>
      </c>
      <c r="AK298" s="882">
        <f>IF($X298=0,0,      _xll.qDateNext($X298,AK$12,$AR$11,FRM&lt;&gt;"Calypso",CCY))</f>
        <v>0</v>
      </c>
      <c r="AL298" s="882">
        <f>IF($X298=0,0,      _xll.qDateNext($X298,AL$12,$AR$11,FRM&lt;&gt;"Calypso",CCY))</f>
        <v>0</v>
      </c>
      <c r="AM298" s="882">
        <f>IF($X298=0,0,      _xll.qDateNext($X298,AM$12,$AR$11,FRM&lt;&gt;"Calypso",CCY))</f>
        <v>0</v>
      </c>
      <c r="AN298" s="882">
        <f>IF($X298=0,0,      _xll.qDateNext($X298,AN$12,$AR$11,FRM&lt;&gt;"Calypso",CCY))</f>
        <v>0</v>
      </c>
      <c r="AO298" s="882">
        <f>IF($X298=0,0,      _xll.qDateNext($X298,AO$12,$AR$11,FRM&lt;&gt;"Calypso",CCY))</f>
        <v>0</v>
      </c>
      <c r="AP298" s="882">
        <f>IF($X298=0,0,      _xll.qDateNext($X298,AP$12,$AR$11,FRM&lt;&gt;"Calypso",CCY))</f>
        <v>0</v>
      </c>
      <c r="AQ298" s="882">
        <f>IF($X298=0,0,      _xll.qDateNext($X298,AQ$12,$AR$11,FRM&lt;&gt;"Calypso",CCY))</f>
        <v>0</v>
      </c>
      <c r="AR298" s="882">
        <f>IF($X298=0,0,      _xll.qDateNext($X298,AR$12,$AR$11,FRM&lt;&gt;"Calypso",CCY))</f>
        <v>0</v>
      </c>
      <c r="AS298" s="901">
        <f ca="1"/>
        <v>0</v>
      </c>
      <c r="AT298" s="901">
        <f ca="1"/>
        <v>0</v>
      </c>
      <c r="AU298" s="901">
        <f t="shared" si="79"/>
        <v>0</v>
      </c>
      <c r="AV298" s="901">
        <f ca="1"/>
        <v>0</v>
      </c>
      <c r="AW298" s="901">
        <f t="shared" si="80"/>
        <v>0</v>
      </c>
      <c r="AX298" s="901">
        <f t="shared" si="81"/>
        <v>0</v>
      </c>
      <c r="AY298" s="901">
        <f ca="1"/>
        <v>0</v>
      </c>
      <c r="AZ298" s="901">
        <f ca="1"/>
        <v>0</v>
      </c>
      <c r="BA298" s="905">
        <f t="shared" si="70"/>
        <v>0</v>
      </c>
      <c r="BB298" s="905">
        <f t="shared" si="71"/>
        <v>0</v>
      </c>
      <c r="BC298" s="905">
        <f t="shared" si="72"/>
        <v>0</v>
      </c>
      <c r="BD298" s="905">
        <f t="shared" si="73"/>
        <v>0</v>
      </c>
      <c r="BE298" s="905">
        <f t="shared" si="74"/>
        <v>0</v>
      </c>
      <c r="BF298" s="905">
        <f t="shared" si="75"/>
        <v>0</v>
      </c>
      <c r="BG298" s="905">
        <f t="shared" si="76"/>
        <v>0</v>
      </c>
      <c r="BH298" s="905">
        <f t="shared" si="77"/>
        <v>0</v>
      </c>
      <c r="BI298" s="713">
        <v>0</v>
      </c>
      <c r="BJ298" s="695"/>
      <c r="BK298" s="752">
        <f>IF(X299=0,0,           IF(ISNUMBER(BJ298),BJ298,               IF(ISTEXT(BJ298),INDEX(BA298:BH298,MATCH(BJ298,$BA$12:$BH$12,0)),             IF(BI298="INT",_xll.qInterp(X299,AK298:AR298,BA298:BH298),            INDEX(BA298:BH298,MATCH(BI298,$BA$12:$BH$12,0))))))</f>
        <v>0</v>
      </c>
      <c r="BL298" s="389">
        <f t="shared" si="82"/>
        <v>0</v>
      </c>
      <c r="BM298" s="394">
        <f t="shared" si="83"/>
        <v>0</v>
      </c>
      <c r="BN298" s="389">
        <f t="shared" si="84"/>
        <v>0</v>
      </c>
    </row>
    <row r="299" spans="16:66">
      <c r="P299" s="716">
        <v>0</v>
      </c>
      <c r="Q299" s="715">
        <f t="shared" si="68"/>
        <v>0</v>
      </c>
      <c r="R299" s="712">
        <f>IF(P300,_xll.qDateYears(P299,P300,DCCfixed),0)</f>
        <v>0</v>
      </c>
      <c r="S299" s="519">
        <f ca="1"/>
        <v>0</v>
      </c>
      <c r="T299" s="720"/>
      <c r="U299" s="390">
        <f t="shared" si="78"/>
        <v>0</v>
      </c>
      <c r="X299" s="345">
        <v>0</v>
      </c>
      <c r="Y299" s="711">
        <f t="shared" si="69"/>
        <v>0</v>
      </c>
      <c r="Z299" s="712">
        <f>IF(X300,_xll.qDateYears(X299,X300,DCCfloat),0)</f>
        <v>0</v>
      </c>
      <c r="AA299" s="519">
        <f ca="1"/>
        <v>0</v>
      </c>
      <c r="AB299" s="890">
        <f>IF(X299=0,0,         IF(OR(CCY="AUD",CCY="NZD",CCY="GBP"),X299,   _xll.qDateNext(X299,"-2b",,,IF(CCY="EUR","TGT","LON"))))</f>
        <v>0</v>
      </c>
      <c r="AC299" s="879" t="str">
        <v/>
      </c>
      <c r="AD299" s="879" t="str">
        <v/>
      </c>
      <c r="AE299" s="879" t="str">
        <v/>
      </c>
      <c r="AF299" s="879" t="str">
        <v/>
      </c>
      <c r="AG299" s="879" t="str">
        <v/>
      </c>
      <c r="AH299" s="879" t="str">
        <v/>
      </c>
      <c r="AI299" s="879" t="str">
        <v/>
      </c>
      <c r="AJ299" s="879" t="str">
        <v/>
      </c>
      <c r="AK299" s="882">
        <f>IF($X299=0,0,      _xll.qDateNext($X299,AK$12,$AR$11,FRM&lt;&gt;"Calypso",CCY))</f>
        <v>0</v>
      </c>
      <c r="AL299" s="882">
        <f>IF($X299=0,0,      _xll.qDateNext($X299,AL$12,$AR$11,FRM&lt;&gt;"Calypso",CCY))</f>
        <v>0</v>
      </c>
      <c r="AM299" s="882">
        <f>IF($X299=0,0,      _xll.qDateNext($X299,AM$12,$AR$11,FRM&lt;&gt;"Calypso",CCY))</f>
        <v>0</v>
      </c>
      <c r="AN299" s="882">
        <f>IF($X299=0,0,      _xll.qDateNext($X299,AN$12,$AR$11,FRM&lt;&gt;"Calypso",CCY))</f>
        <v>0</v>
      </c>
      <c r="AO299" s="882">
        <f>IF($X299=0,0,      _xll.qDateNext($X299,AO$12,$AR$11,FRM&lt;&gt;"Calypso",CCY))</f>
        <v>0</v>
      </c>
      <c r="AP299" s="882">
        <f>IF($X299=0,0,      _xll.qDateNext($X299,AP$12,$AR$11,FRM&lt;&gt;"Calypso",CCY))</f>
        <v>0</v>
      </c>
      <c r="AQ299" s="882">
        <f>IF($X299=0,0,      _xll.qDateNext($X299,AQ$12,$AR$11,FRM&lt;&gt;"Calypso",CCY))</f>
        <v>0</v>
      </c>
      <c r="AR299" s="882">
        <f>IF($X299=0,0,      _xll.qDateNext($X299,AR$12,$AR$11,FRM&lt;&gt;"Calypso",CCY))</f>
        <v>0</v>
      </c>
      <c r="AS299" s="901">
        <f ca="1"/>
        <v>0</v>
      </c>
      <c r="AT299" s="901">
        <f ca="1"/>
        <v>0</v>
      </c>
      <c r="AU299" s="901">
        <f t="shared" si="79"/>
        <v>0</v>
      </c>
      <c r="AV299" s="901">
        <f ca="1"/>
        <v>0</v>
      </c>
      <c r="AW299" s="901">
        <f t="shared" si="80"/>
        <v>0</v>
      </c>
      <c r="AX299" s="901">
        <f t="shared" si="81"/>
        <v>0</v>
      </c>
      <c r="AY299" s="901">
        <f ca="1"/>
        <v>0</v>
      </c>
      <c r="AZ299" s="901">
        <f ca="1"/>
        <v>0</v>
      </c>
      <c r="BA299" s="905">
        <f t="shared" si="70"/>
        <v>0</v>
      </c>
      <c r="BB299" s="905">
        <f t="shared" si="71"/>
        <v>0</v>
      </c>
      <c r="BC299" s="905">
        <f t="shared" si="72"/>
        <v>0</v>
      </c>
      <c r="BD299" s="905">
        <f t="shared" si="73"/>
        <v>0</v>
      </c>
      <c r="BE299" s="905">
        <f t="shared" si="74"/>
        <v>0</v>
      </c>
      <c r="BF299" s="905">
        <f t="shared" si="75"/>
        <v>0</v>
      </c>
      <c r="BG299" s="905">
        <f t="shared" si="76"/>
        <v>0</v>
      </c>
      <c r="BH299" s="905">
        <f t="shared" si="77"/>
        <v>0</v>
      </c>
      <c r="BI299" s="713">
        <v>0</v>
      </c>
      <c r="BJ299" s="695"/>
      <c r="BK299" s="752">
        <f>IF(X300=0,0,           IF(ISNUMBER(BJ299),BJ299,               IF(ISTEXT(BJ299),INDEX(BA299:BH299,MATCH(BJ299,$BA$12:$BH$12,0)),             IF(BI299="INT",_xll.qInterp(X300,AK299:AR299,BA299:BH299),            INDEX(BA299:BH299,MATCH(BI299,$BA$12:$BH$12,0))))))</f>
        <v>0</v>
      </c>
      <c r="BL299" s="389">
        <f t="shared" si="82"/>
        <v>0</v>
      </c>
      <c r="BM299" s="394">
        <f t="shared" si="83"/>
        <v>0</v>
      </c>
      <c r="BN299" s="389">
        <f t="shared" si="84"/>
        <v>0</v>
      </c>
    </row>
    <row r="300" spans="16:66">
      <c r="P300" s="716">
        <v>0</v>
      </c>
      <c r="Q300" s="715">
        <f t="shared" si="68"/>
        <v>0</v>
      </c>
      <c r="R300" s="712">
        <f>IF(P301,_xll.qDateYears(P300,P301,DCCfixed),0)</f>
        <v>0</v>
      </c>
      <c r="S300" s="519">
        <f ca="1"/>
        <v>0</v>
      </c>
      <c r="T300" s="720"/>
      <c r="U300" s="390">
        <f t="shared" si="78"/>
        <v>0</v>
      </c>
      <c r="X300" s="345">
        <v>0</v>
      </c>
      <c r="Y300" s="711">
        <f t="shared" si="69"/>
        <v>0</v>
      </c>
      <c r="Z300" s="712">
        <f>IF(X301,_xll.qDateYears(X300,X301,DCCfloat),0)</f>
        <v>0</v>
      </c>
      <c r="AA300" s="519">
        <f ca="1"/>
        <v>0</v>
      </c>
      <c r="AB300" s="890">
        <f>IF(X300=0,0,         IF(OR(CCY="AUD",CCY="NZD",CCY="GBP"),X300,   _xll.qDateNext(X300,"-2b",,,IF(CCY="EUR","TGT","LON"))))</f>
        <v>0</v>
      </c>
      <c r="AC300" s="879" t="str">
        <v/>
      </c>
      <c r="AD300" s="879" t="str">
        <v/>
      </c>
      <c r="AE300" s="879" t="str">
        <v/>
      </c>
      <c r="AF300" s="879" t="str">
        <v/>
      </c>
      <c r="AG300" s="879" t="str">
        <v/>
      </c>
      <c r="AH300" s="879" t="str">
        <v/>
      </c>
      <c r="AI300" s="879" t="str">
        <v/>
      </c>
      <c r="AJ300" s="879" t="str">
        <v/>
      </c>
      <c r="AK300" s="882">
        <f>IF($X300=0,0,      _xll.qDateNext($X300,AK$12,$AR$11,FRM&lt;&gt;"Calypso",CCY))</f>
        <v>0</v>
      </c>
      <c r="AL300" s="882">
        <f>IF($X300=0,0,      _xll.qDateNext($X300,AL$12,$AR$11,FRM&lt;&gt;"Calypso",CCY))</f>
        <v>0</v>
      </c>
      <c r="AM300" s="882">
        <f>IF($X300=0,0,      _xll.qDateNext($X300,AM$12,$AR$11,FRM&lt;&gt;"Calypso",CCY))</f>
        <v>0</v>
      </c>
      <c r="AN300" s="882">
        <f>IF($X300=0,0,      _xll.qDateNext($X300,AN$12,$AR$11,FRM&lt;&gt;"Calypso",CCY))</f>
        <v>0</v>
      </c>
      <c r="AO300" s="882">
        <f>IF($X300=0,0,      _xll.qDateNext($X300,AO$12,$AR$11,FRM&lt;&gt;"Calypso",CCY))</f>
        <v>0</v>
      </c>
      <c r="AP300" s="882">
        <f>IF($X300=0,0,      _xll.qDateNext($X300,AP$12,$AR$11,FRM&lt;&gt;"Calypso",CCY))</f>
        <v>0</v>
      </c>
      <c r="AQ300" s="882">
        <f>IF($X300=0,0,      _xll.qDateNext($X300,AQ$12,$AR$11,FRM&lt;&gt;"Calypso",CCY))</f>
        <v>0</v>
      </c>
      <c r="AR300" s="882">
        <f>IF($X300=0,0,      _xll.qDateNext($X300,AR$12,$AR$11,FRM&lt;&gt;"Calypso",CCY))</f>
        <v>0</v>
      </c>
      <c r="AS300" s="901">
        <f ca="1"/>
        <v>0</v>
      </c>
      <c r="AT300" s="901">
        <f ca="1"/>
        <v>0</v>
      </c>
      <c r="AU300" s="901">
        <f t="shared" si="79"/>
        <v>0</v>
      </c>
      <c r="AV300" s="901">
        <f ca="1"/>
        <v>0</v>
      </c>
      <c r="AW300" s="901">
        <f t="shared" si="80"/>
        <v>0</v>
      </c>
      <c r="AX300" s="901">
        <f t="shared" si="81"/>
        <v>0</v>
      </c>
      <c r="AY300" s="901">
        <f ca="1"/>
        <v>0</v>
      </c>
      <c r="AZ300" s="901">
        <f ca="1"/>
        <v>0</v>
      </c>
      <c r="BA300" s="905">
        <f t="shared" si="70"/>
        <v>0</v>
      </c>
      <c r="BB300" s="905">
        <f t="shared" si="71"/>
        <v>0</v>
      </c>
      <c r="BC300" s="905">
        <f t="shared" si="72"/>
        <v>0</v>
      </c>
      <c r="BD300" s="905">
        <f t="shared" si="73"/>
        <v>0</v>
      </c>
      <c r="BE300" s="905">
        <f t="shared" si="74"/>
        <v>0</v>
      </c>
      <c r="BF300" s="905">
        <f t="shared" si="75"/>
        <v>0</v>
      </c>
      <c r="BG300" s="905">
        <f t="shared" si="76"/>
        <v>0</v>
      </c>
      <c r="BH300" s="905">
        <f t="shared" si="77"/>
        <v>0</v>
      </c>
      <c r="BI300" s="713">
        <v>0</v>
      </c>
      <c r="BJ300" s="695"/>
      <c r="BK300" s="752">
        <f>IF(X301=0,0,           IF(ISNUMBER(BJ300),BJ300,               IF(ISTEXT(BJ300),INDEX(BA300:BH300,MATCH(BJ300,$BA$12:$BH$12,0)),             IF(BI300="INT",_xll.qInterp(X301,AK300:AR300,BA300:BH300),            INDEX(BA300:BH300,MATCH(BI300,$BA$12:$BH$12,0))))))</f>
        <v>0</v>
      </c>
      <c r="BL300" s="389">
        <f t="shared" si="82"/>
        <v>0</v>
      </c>
      <c r="BM300" s="394">
        <f t="shared" si="83"/>
        <v>0</v>
      </c>
      <c r="BN300" s="389">
        <f t="shared" si="84"/>
        <v>0</v>
      </c>
    </row>
    <row r="301" spans="16:66">
      <c r="P301" s="716">
        <v>0</v>
      </c>
      <c r="Q301" s="715">
        <f t="shared" si="68"/>
        <v>0</v>
      </c>
      <c r="R301" s="712">
        <f>IF(P302,_xll.qDateYears(P301,P302,DCCfixed),0)</f>
        <v>0</v>
      </c>
      <c r="S301" s="519">
        <f ca="1"/>
        <v>0</v>
      </c>
      <c r="T301" s="720"/>
      <c r="U301" s="390">
        <f t="shared" si="78"/>
        <v>0</v>
      </c>
      <c r="X301" s="345">
        <v>0</v>
      </c>
      <c r="Y301" s="711">
        <f t="shared" si="69"/>
        <v>0</v>
      </c>
      <c r="Z301" s="712">
        <f>IF(X302,_xll.qDateYears(X301,X302,DCCfloat),0)</f>
        <v>0</v>
      </c>
      <c r="AA301" s="519">
        <f ca="1"/>
        <v>0</v>
      </c>
      <c r="AB301" s="890">
        <f>IF(X301=0,0,         IF(OR(CCY="AUD",CCY="NZD",CCY="GBP"),X301,   _xll.qDateNext(X301,"-2b",,,IF(CCY="EUR","TGT","LON"))))</f>
        <v>0</v>
      </c>
      <c r="AC301" s="879" t="str">
        <v/>
      </c>
      <c r="AD301" s="879" t="str">
        <v/>
      </c>
      <c r="AE301" s="879" t="str">
        <v/>
      </c>
      <c r="AF301" s="879" t="str">
        <v/>
      </c>
      <c r="AG301" s="879" t="str">
        <v/>
      </c>
      <c r="AH301" s="879" t="str">
        <v/>
      </c>
      <c r="AI301" s="879" t="str">
        <v/>
      </c>
      <c r="AJ301" s="879" t="str">
        <v/>
      </c>
      <c r="AK301" s="882">
        <f>IF($X301=0,0,      _xll.qDateNext($X301,AK$12,$AR$11,FRM&lt;&gt;"Calypso",CCY))</f>
        <v>0</v>
      </c>
      <c r="AL301" s="882">
        <f>IF($X301=0,0,      _xll.qDateNext($X301,AL$12,$AR$11,FRM&lt;&gt;"Calypso",CCY))</f>
        <v>0</v>
      </c>
      <c r="AM301" s="882">
        <f>IF($X301=0,0,      _xll.qDateNext($X301,AM$12,$AR$11,FRM&lt;&gt;"Calypso",CCY))</f>
        <v>0</v>
      </c>
      <c r="AN301" s="882">
        <f>IF($X301=0,0,      _xll.qDateNext($X301,AN$12,$AR$11,FRM&lt;&gt;"Calypso",CCY))</f>
        <v>0</v>
      </c>
      <c r="AO301" s="882">
        <f>IF($X301=0,0,      _xll.qDateNext($X301,AO$12,$AR$11,FRM&lt;&gt;"Calypso",CCY))</f>
        <v>0</v>
      </c>
      <c r="AP301" s="882">
        <f>IF($X301=0,0,      _xll.qDateNext($X301,AP$12,$AR$11,FRM&lt;&gt;"Calypso",CCY))</f>
        <v>0</v>
      </c>
      <c r="AQ301" s="882">
        <f>IF($X301=0,0,      _xll.qDateNext($X301,AQ$12,$AR$11,FRM&lt;&gt;"Calypso",CCY))</f>
        <v>0</v>
      </c>
      <c r="AR301" s="882">
        <f>IF($X301=0,0,      _xll.qDateNext($X301,AR$12,$AR$11,FRM&lt;&gt;"Calypso",CCY))</f>
        <v>0</v>
      </c>
      <c r="AS301" s="901">
        <f ca="1"/>
        <v>0</v>
      </c>
      <c r="AT301" s="901">
        <f ca="1"/>
        <v>0</v>
      </c>
      <c r="AU301" s="901">
        <f t="shared" si="79"/>
        <v>0</v>
      </c>
      <c r="AV301" s="901">
        <f ca="1"/>
        <v>0</v>
      </c>
      <c r="AW301" s="901">
        <f t="shared" si="80"/>
        <v>0</v>
      </c>
      <c r="AX301" s="901">
        <f t="shared" si="81"/>
        <v>0</v>
      </c>
      <c r="AY301" s="901">
        <f ca="1"/>
        <v>0</v>
      </c>
      <c r="AZ301" s="901">
        <f ca="1"/>
        <v>0</v>
      </c>
      <c r="BA301" s="905">
        <f t="shared" si="70"/>
        <v>0</v>
      </c>
      <c r="BB301" s="905">
        <f t="shared" si="71"/>
        <v>0</v>
      </c>
      <c r="BC301" s="905">
        <f t="shared" si="72"/>
        <v>0</v>
      </c>
      <c r="BD301" s="905">
        <f t="shared" si="73"/>
        <v>0</v>
      </c>
      <c r="BE301" s="905">
        <f t="shared" si="74"/>
        <v>0</v>
      </c>
      <c r="BF301" s="905">
        <f t="shared" si="75"/>
        <v>0</v>
      </c>
      <c r="BG301" s="905">
        <f t="shared" si="76"/>
        <v>0</v>
      </c>
      <c r="BH301" s="905">
        <f t="shared" si="77"/>
        <v>0</v>
      </c>
      <c r="BI301" s="713">
        <v>0</v>
      </c>
      <c r="BJ301" s="695"/>
      <c r="BK301" s="752">
        <f>IF(X302=0,0,           IF(ISNUMBER(BJ301),BJ301,               IF(ISTEXT(BJ301),INDEX(BA301:BH301,MATCH(BJ301,$BA$12:$BH$12,0)),             IF(BI301="INT",_xll.qInterp(X302,AK301:AR301,BA301:BH301),            INDEX(BA301:BH301,MATCH(BI301,$BA$12:$BH$12,0))))))</f>
        <v>0</v>
      </c>
      <c r="BL301" s="389">
        <f t="shared" si="82"/>
        <v>0</v>
      </c>
      <c r="BM301" s="394">
        <f t="shared" si="83"/>
        <v>0</v>
      </c>
      <c r="BN301" s="389">
        <f t="shared" si="84"/>
        <v>0</v>
      </c>
    </row>
    <row r="302" spans="16:66">
      <c r="P302" s="716">
        <v>0</v>
      </c>
      <c r="Q302" s="715">
        <f t="shared" si="68"/>
        <v>0</v>
      </c>
      <c r="R302" s="712">
        <f>IF(P303,_xll.qDateYears(P302,P303,DCCfixed),0)</f>
        <v>0</v>
      </c>
      <c r="S302" s="519">
        <f ca="1"/>
        <v>0</v>
      </c>
      <c r="T302" s="720"/>
      <c r="U302" s="390">
        <f t="shared" si="78"/>
        <v>0</v>
      </c>
      <c r="X302" s="345">
        <v>0</v>
      </c>
      <c r="Y302" s="711">
        <f t="shared" si="69"/>
        <v>0</v>
      </c>
      <c r="Z302" s="712">
        <f>IF(X303,_xll.qDateYears(X302,X303,DCCfloat),0)</f>
        <v>0</v>
      </c>
      <c r="AA302" s="519">
        <f ca="1"/>
        <v>0</v>
      </c>
      <c r="AB302" s="890">
        <f>IF(X302=0,0,         IF(OR(CCY="AUD",CCY="NZD",CCY="GBP"),X302,   _xll.qDateNext(X302,"-2b",,,IF(CCY="EUR","TGT","LON"))))</f>
        <v>0</v>
      </c>
      <c r="AC302" s="879" t="str">
        <v/>
      </c>
      <c r="AD302" s="879" t="str">
        <v/>
      </c>
      <c r="AE302" s="879" t="str">
        <v/>
      </c>
      <c r="AF302" s="879" t="str">
        <v/>
      </c>
      <c r="AG302" s="879" t="str">
        <v/>
      </c>
      <c r="AH302" s="879" t="str">
        <v/>
      </c>
      <c r="AI302" s="879" t="str">
        <v/>
      </c>
      <c r="AJ302" s="879" t="str">
        <v/>
      </c>
      <c r="AK302" s="882">
        <f>IF($X302=0,0,      _xll.qDateNext($X302,AK$12,$AR$11,FRM&lt;&gt;"Calypso",CCY))</f>
        <v>0</v>
      </c>
      <c r="AL302" s="882">
        <f>IF($X302=0,0,      _xll.qDateNext($X302,AL$12,$AR$11,FRM&lt;&gt;"Calypso",CCY))</f>
        <v>0</v>
      </c>
      <c r="AM302" s="882">
        <f>IF($X302=0,0,      _xll.qDateNext($X302,AM$12,$AR$11,FRM&lt;&gt;"Calypso",CCY))</f>
        <v>0</v>
      </c>
      <c r="AN302" s="882">
        <f>IF($X302=0,0,      _xll.qDateNext($X302,AN$12,$AR$11,FRM&lt;&gt;"Calypso",CCY))</f>
        <v>0</v>
      </c>
      <c r="AO302" s="882">
        <f>IF($X302=0,0,      _xll.qDateNext($X302,AO$12,$AR$11,FRM&lt;&gt;"Calypso",CCY))</f>
        <v>0</v>
      </c>
      <c r="AP302" s="882">
        <f>IF($X302=0,0,      _xll.qDateNext($X302,AP$12,$AR$11,FRM&lt;&gt;"Calypso",CCY))</f>
        <v>0</v>
      </c>
      <c r="AQ302" s="882">
        <f>IF($X302=0,0,      _xll.qDateNext($X302,AQ$12,$AR$11,FRM&lt;&gt;"Calypso",CCY))</f>
        <v>0</v>
      </c>
      <c r="AR302" s="882">
        <f>IF($X302=0,0,      _xll.qDateNext($X302,AR$12,$AR$11,FRM&lt;&gt;"Calypso",CCY))</f>
        <v>0</v>
      </c>
      <c r="AS302" s="901">
        <f ca="1"/>
        <v>0</v>
      </c>
      <c r="AT302" s="901">
        <f ca="1"/>
        <v>0</v>
      </c>
      <c r="AU302" s="901">
        <f t="shared" si="79"/>
        <v>0</v>
      </c>
      <c r="AV302" s="901">
        <f ca="1"/>
        <v>0</v>
      </c>
      <c r="AW302" s="901">
        <f t="shared" si="80"/>
        <v>0</v>
      </c>
      <c r="AX302" s="901">
        <f t="shared" si="81"/>
        <v>0</v>
      </c>
      <c r="AY302" s="901">
        <f ca="1"/>
        <v>0</v>
      </c>
      <c r="AZ302" s="901">
        <f ca="1"/>
        <v>0</v>
      </c>
      <c r="BA302" s="905">
        <f t="shared" si="70"/>
        <v>0</v>
      </c>
      <c r="BB302" s="905">
        <f t="shared" si="71"/>
        <v>0</v>
      </c>
      <c r="BC302" s="905">
        <f t="shared" si="72"/>
        <v>0</v>
      </c>
      <c r="BD302" s="905">
        <f t="shared" si="73"/>
        <v>0</v>
      </c>
      <c r="BE302" s="905">
        <f t="shared" si="74"/>
        <v>0</v>
      </c>
      <c r="BF302" s="905">
        <f t="shared" si="75"/>
        <v>0</v>
      </c>
      <c r="BG302" s="905">
        <f t="shared" si="76"/>
        <v>0</v>
      </c>
      <c r="BH302" s="905">
        <f t="shared" si="77"/>
        <v>0</v>
      </c>
      <c r="BI302" s="713">
        <v>0</v>
      </c>
      <c r="BJ302" s="695"/>
      <c r="BK302" s="752">
        <f>IF(X303=0,0,           IF(ISNUMBER(BJ302),BJ302,               IF(ISTEXT(BJ302),INDEX(BA302:BH302,MATCH(BJ302,$BA$12:$BH$12,0)),             IF(BI302="INT",_xll.qInterp(X303,AK302:AR302,BA302:BH302),            INDEX(BA302:BH302,MATCH(BI302,$BA$12:$BH$12,0))))))</f>
        <v>0</v>
      </c>
      <c r="BL302" s="389">
        <f t="shared" si="82"/>
        <v>0</v>
      </c>
      <c r="BM302" s="394">
        <f t="shared" si="83"/>
        <v>0</v>
      </c>
      <c r="BN302" s="389">
        <f t="shared" si="84"/>
        <v>0</v>
      </c>
    </row>
    <row r="303" spans="16:66">
      <c r="P303" s="716">
        <v>0</v>
      </c>
      <c r="Q303" s="715">
        <f t="shared" si="68"/>
        <v>0</v>
      </c>
      <c r="R303" s="712">
        <f>IF(P304,_xll.qDateYears(P303,P304,DCCfixed),0)</f>
        <v>0</v>
      </c>
      <c r="S303" s="519">
        <f ca="1"/>
        <v>0</v>
      </c>
      <c r="T303" s="720"/>
      <c r="U303" s="390">
        <f t="shared" si="78"/>
        <v>0</v>
      </c>
      <c r="X303" s="345">
        <v>0</v>
      </c>
      <c r="Y303" s="711">
        <f t="shared" si="69"/>
        <v>0</v>
      </c>
      <c r="Z303" s="712">
        <f>IF(X304,_xll.qDateYears(X303,X304,DCCfloat),0)</f>
        <v>0</v>
      </c>
      <c r="AA303" s="519">
        <f ca="1"/>
        <v>0</v>
      </c>
      <c r="AB303" s="890">
        <f>IF(X303=0,0,         IF(OR(CCY="AUD",CCY="NZD",CCY="GBP"),X303,   _xll.qDateNext(X303,"-2b",,,IF(CCY="EUR","TGT","LON"))))</f>
        <v>0</v>
      </c>
      <c r="AC303" s="879" t="str">
        <v/>
      </c>
      <c r="AD303" s="879" t="str">
        <v/>
      </c>
      <c r="AE303" s="879" t="str">
        <v/>
      </c>
      <c r="AF303" s="879" t="str">
        <v/>
      </c>
      <c r="AG303" s="879" t="str">
        <v/>
      </c>
      <c r="AH303" s="879" t="str">
        <v/>
      </c>
      <c r="AI303" s="879" t="str">
        <v/>
      </c>
      <c r="AJ303" s="879" t="str">
        <v/>
      </c>
      <c r="AK303" s="882">
        <f>IF($X303=0,0,      _xll.qDateNext($X303,AK$12,$AR$11,FRM&lt;&gt;"Calypso",CCY))</f>
        <v>0</v>
      </c>
      <c r="AL303" s="882">
        <f>IF($X303=0,0,      _xll.qDateNext($X303,AL$12,$AR$11,FRM&lt;&gt;"Calypso",CCY))</f>
        <v>0</v>
      </c>
      <c r="AM303" s="882">
        <f>IF($X303=0,0,      _xll.qDateNext($X303,AM$12,$AR$11,FRM&lt;&gt;"Calypso",CCY))</f>
        <v>0</v>
      </c>
      <c r="AN303" s="882">
        <f>IF($X303=0,0,      _xll.qDateNext($X303,AN$12,$AR$11,FRM&lt;&gt;"Calypso",CCY))</f>
        <v>0</v>
      </c>
      <c r="AO303" s="882">
        <f>IF($X303=0,0,      _xll.qDateNext($X303,AO$12,$AR$11,FRM&lt;&gt;"Calypso",CCY))</f>
        <v>0</v>
      </c>
      <c r="AP303" s="882">
        <f>IF($X303=0,0,      _xll.qDateNext($X303,AP$12,$AR$11,FRM&lt;&gt;"Calypso",CCY))</f>
        <v>0</v>
      </c>
      <c r="AQ303" s="882">
        <f>IF($X303=0,0,      _xll.qDateNext($X303,AQ$12,$AR$11,FRM&lt;&gt;"Calypso",CCY))</f>
        <v>0</v>
      </c>
      <c r="AR303" s="882">
        <f>IF($X303=0,0,      _xll.qDateNext($X303,AR$12,$AR$11,FRM&lt;&gt;"Calypso",CCY))</f>
        <v>0</v>
      </c>
      <c r="AS303" s="901">
        <f ca="1"/>
        <v>0</v>
      </c>
      <c r="AT303" s="901">
        <f ca="1"/>
        <v>0</v>
      </c>
      <c r="AU303" s="901">
        <f t="shared" si="79"/>
        <v>0</v>
      </c>
      <c r="AV303" s="901">
        <f ca="1"/>
        <v>0</v>
      </c>
      <c r="AW303" s="901">
        <f t="shared" si="80"/>
        <v>0</v>
      </c>
      <c r="AX303" s="901">
        <f t="shared" si="81"/>
        <v>0</v>
      </c>
      <c r="AY303" s="901">
        <f ca="1"/>
        <v>0</v>
      </c>
      <c r="AZ303" s="901">
        <f ca="1"/>
        <v>0</v>
      </c>
      <c r="BA303" s="905">
        <f t="shared" si="70"/>
        <v>0</v>
      </c>
      <c r="BB303" s="905">
        <f t="shared" si="71"/>
        <v>0</v>
      </c>
      <c r="BC303" s="905">
        <f t="shared" si="72"/>
        <v>0</v>
      </c>
      <c r="BD303" s="905">
        <f t="shared" si="73"/>
        <v>0</v>
      </c>
      <c r="BE303" s="905">
        <f t="shared" si="74"/>
        <v>0</v>
      </c>
      <c r="BF303" s="905">
        <f t="shared" si="75"/>
        <v>0</v>
      </c>
      <c r="BG303" s="905">
        <f t="shared" si="76"/>
        <v>0</v>
      </c>
      <c r="BH303" s="905">
        <f t="shared" si="77"/>
        <v>0</v>
      </c>
      <c r="BI303" s="713">
        <v>0</v>
      </c>
      <c r="BJ303" s="695"/>
      <c r="BK303" s="752">
        <f>IF(X304=0,0,           IF(ISNUMBER(BJ303),BJ303,               IF(ISTEXT(BJ303),INDEX(BA303:BH303,MATCH(BJ303,$BA$12:$BH$12,0)),             IF(BI303="INT",_xll.qInterp(X304,AK303:AR303,BA303:BH303),            INDEX(BA303:BH303,MATCH(BI303,$BA$12:$BH$12,0))))))</f>
        <v>0</v>
      </c>
      <c r="BL303" s="389">
        <f t="shared" si="82"/>
        <v>0</v>
      </c>
      <c r="BM303" s="394">
        <f t="shared" si="83"/>
        <v>0</v>
      </c>
      <c r="BN303" s="389">
        <f t="shared" si="84"/>
        <v>0</v>
      </c>
    </row>
    <row r="304" spans="16:66">
      <c r="P304" s="716">
        <v>0</v>
      </c>
      <c r="Q304" s="715">
        <f t="shared" si="68"/>
        <v>0</v>
      </c>
      <c r="R304" s="712">
        <f>IF(P305,_xll.qDateYears(P304,P305,DCCfixed),0)</f>
        <v>0</v>
      </c>
      <c r="S304" s="519">
        <f ca="1"/>
        <v>0</v>
      </c>
      <c r="T304" s="720"/>
      <c r="U304" s="390">
        <f t="shared" si="78"/>
        <v>0</v>
      </c>
      <c r="X304" s="345">
        <v>0</v>
      </c>
      <c r="Y304" s="711">
        <f t="shared" si="69"/>
        <v>0</v>
      </c>
      <c r="Z304" s="712">
        <f>IF(X305,_xll.qDateYears(X304,X305,DCCfloat),0)</f>
        <v>0</v>
      </c>
      <c r="AA304" s="519">
        <f ca="1"/>
        <v>0</v>
      </c>
      <c r="AB304" s="890">
        <f>IF(X304=0,0,         IF(OR(CCY="AUD",CCY="NZD",CCY="GBP"),X304,   _xll.qDateNext(X304,"-2b",,,IF(CCY="EUR","TGT","LON"))))</f>
        <v>0</v>
      </c>
      <c r="AC304" s="879" t="str">
        <v/>
      </c>
      <c r="AD304" s="879" t="str">
        <v/>
      </c>
      <c r="AE304" s="879" t="str">
        <v/>
      </c>
      <c r="AF304" s="879" t="str">
        <v/>
      </c>
      <c r="AG304" s="879" t="str">
        <v/>
      </c>
      <c r="AH304" s="879" t="str">
        <v/>
      </c>
      <c r="AI304" s="879" t="str">
        <v/>
      </c>
      <c r="AJ304" s="879" t="str">
        <v/>
      </c>
      <c r="AK304" s="882">
        <f>IF($X304=0,0,      _xll.qDateNext($X304,AK$12,$AR$11,FRM&lt;&gt;"Calypso",CCY))</f>
        <v>0</v>
      </c>
      <c r="AL304" s="882">
        <f>IF($X304=0,0,      _xll.qDateNext($X304,AL$12,$AR$11,FRM&lt;&gt;"Calypso",CCY))</f>
        <v>0</v>
      </c>
      <c r="AM304" s="882">
        <f>IF($X304=0,0,      _xll.qDateNext($X304,AM$12,$AR$11,FRM&lt;&gt;"Calypso",CCY))</f>
        <v>0</v>
      </c>
      <c r="AN304" s="882">
        <f>IF($X304=0,0,      _xll.qDateNext($X304,AN$12,$AR$11,FRM&lt;&gt;"Calypso",CCY))</f>
        <v>0</v>
      </c>
      <c r="AO304" s="882">
        <f>IF($X304=0,0,      _xll.qDateNext($X304,AO$12,$AR$11,FRM&lt;&gt;"Calypso",CCY))</f>
        <v>0</v>
      </c>
      <c r="AP304" s="882">
        <f>IF($X304=0,0,      _xll.qDateNext($X304,AP$12,$AR$11,FRM&lt;&gt;"Calypso",CCY))</f>
        <v>0</v>
      </c>
      <c r="AQ304" s="882">
        <f>IF($X304=0,0,      _xll.qDateNext($X304,AQ$12,$AR$11,FRM&lt;&gt;"Calypso",CCY))</f>
        <v>0</v>
      </c>
      <c r="AR304" s="882">
        <f>IF($X304=0,0,      _xll.qDateNext($X304,AR$12,$AR$11,FRM&lt;&gt;"Calypso",CCY))</f>
        <v>0</v>
      </c>
      <c r="AS304" s="901">
        <f ca="1"/>
        <v>0</v>
      </c>
      <c r="AT304" s="901">
        <f ca="1"/>
        <v>0</v>
      </c>
      <c r="AU304" s="901">
        <f t="shared" si="79"/>
        <v>0</v>
      </c>
      <c r="AV304" s="901">
        <f ca="1"/>
        <v>0</v>
      </c>
      <c r="AW304" s="901">
        <f t="shared" si="80"/>
        <v>0</v>
      </c>
      <c r="AX304" s="901">
        <f t="shared" si="81"/>
        <v>0</v>
      </c>
      <c r="AY304" s="901">
        <f ca="1"/>
        <v>0</v>
      </c>
      <c r="AZ304" s="901">
        <f ca="1"/>
        <v>0</v>
      </c>
      <c r="BA304" s="905">
        <f t="shared" si="70"/>
        <v>0</v>
      </c>
      <c r="BB304" s="905">
        <f t="shared" si="71"/>
        <v>0</v>
      </c>
      <c r="BC304" s="905">
        <f t="shared" si="72"/>
        <v>0</v>
      </c>
      <c r="BD304" s="905">
        <f t="shared" si="73"/>
        <v>0</v>
      </c>
      <c r="BE304" s="905">
        <f t="shared" si="74"/>
        <v>0</v>
      </c>
      <c r="BF304" s="905">
        <f t="shared" si="75"/>
        <v>0</v>
      </c>
      <c r="BG304" s="905">
        <f t="shared" si="76"/>
        <v>0</v>
      </c>
      <c r="BH304" s="905">
        <f t="shared" si="77"/>
        <v>0</v>
      </c>
      <c r="BI304" s="713">
        <v>0</v>
      </c>
      <c r="BJ304" s="695"/>
      <c r="BK304" s="752">
        <f>IF(X305=0,0,           IF(ISNUMBER(BJ304),BJ304,               IF(ISTEXT(BJ304),INDEX(BA304:BH304,MATCH(BJ304,$BA$12:$BH$12,0)),             IF(BI304="INT",_xll.qInterp(X305,AK304:AR304,BA304:BH304),            INDEX(BA304:BH304,MATCH(BI304,$BA$12:$BH$12,0))))))</f>
        <v>0</v>
      </c>
      <c r="BL304" s="389">
        <f t="shared" si="82"/>
        <v>0</v>
      </c>
      <c r="BM304" s="394">
        <f t="shared" si="83"/>
        <v>0</v>
      </c>
      <c r="BN304" s="389">
        <f t="shared" si="84"/>
        <v>0</v>
      </c>
    </row>
    <row r="305" spans="16:66">
      <c r="P305" s="716">
        <v>0</v>
      </c>
      <c r="Q305" s="715">
        <f t="shared" si="68"/>
        <v>0</v>
      </c>
      <c r="R305" s="712">
        <f>IF(P306,_xll.qDateYears(P305,P306,DCCfixed),0)</f>
        <v>0</v>
      </c>
      <c r="S305" s="519">
        <f ca="1"/>
        <v>0</v>
      </c>
      <c r="T305" s="720"/>
      <c r="U305" s="390">
        <f t="shared" si="78"/>
        <v>0</v>
      </c>
      <c r="X305" s="345">
        <v>0</v>
      </c>
      <c r="Y305" s="711">
        <f t="shared" si="69"/>
        <v>0</v>
      </c>
      <c r="Z305" s="712">
        <f>IF(X306,_xll.qDateYears(X305,X306,DCCfloat),0)</f>
        <v>0</v>
      </c>
      <c r="AA305" s="519">
        <f ca="1"/>
        <v>0</v>
      </c>
      <c r="AB305" s="890">
        <f>IF(X305=0,0,         IF(OR(CCY="AUD",CCY="NZD",CCY="GBP"),X305,   _xll.qDateNext(X305,"-2b",,,IF(CCY="EUR","TGT","LON"))))</f>
        <v>0</v>
      </c>
      <c r="AC305" s="879" t="str">
        <v/>
      </c>
      <c r="AD305" s="879" t="str">
        <v/>
      </c>
      <c r="AE305" s="879" t="str">
        <v/>
      </c>
      <c r="AF305" s="879" t="str">
        <v/>
      </c>
      <c r="AG305" s="879" t="str">
        <v/>
      </c>
      <c r="AH305" s="879" t="str">
        <v/>
      </c>
      <c r="AI305" s="879" t="str">
        <v/>
      </c>
      <c r="AJ305" s="879" t="str">
        <v/>
      </c>
      <c r="AK305" s="882">
        <f>IF($X305=0,0,      _xll.qDateNext($X305,AK$12,$AR$11,FRM&lt;&gt;"Calypso",CCY))</f>
        <v>0</v>
      </c>
      <c r="AL305" s="882">
        <f>IF($X305=0,0,      _xll.qDateNext($X305,AL$12,$AR$11,FRM&lt;&gt;"Calypso",CCY))</f>
        <v>0</v>
      </c>
      <c r="AM305" s="882">
        <f>IF($X305=0,0,      _xll.qDateNext($X305,AM$12,$AR$11,FRM&lt;&gt;"Calypso",CCY))</f>
        <v>0</v>
      </c>
      <c r="AN305" s="882">
        <f>IF($X305=0,0,      _xll.qDateNext($X305,AN$12,$AR$11,FRM&lt;&gt;"Calypso",CCY))</f>
        <v>0</v>
      </c>
      <c r="AO305" s="882">
        <f>IF($X305=0,0,      _xll.qDateNext($X305,AO$12,$AR$11,FRM&lt;&gt;"Calypso",CCY))</f>
        <v>0</v>
      </c>
      <c r="AP305" s="882">
        <f>IF($X305=0,0,      _xll.qDateNext($X305,AP$12,$AR$11,FRM&lt;&gt;"Calypso",CCY))</f>
        <v>0</v>
      </c>
      <c r="AQ305" s="882">
        <f>IF($X305=0,0,      _xll.qDateNext($X305,AQ$12,$AR$11,FRM&lt;&gt;"Calypso",CCY))</f>
        <v>0</v>
      </c>
      <c r="AR305" s="882">
        <f>IF($X305=0,0,      _xll.qDateNext($X305,AR$12,$AR$11,FRM&lt;&gt;"Calypso",CCY))</f>
        <v>0</v>
      </c>
      <c r="AS305" s="901">
        <f ca="1"/>
        <v>0</v>
      </c>
      <c r="AT305" s="901">
        <f ca="1"/>
        <v>0</v>
      </c>
      <c r="AU305" s="901">
        <f t="shared" si="79"/>
        <v>0</v>
      </c>
      <c r="AV305" s="901">
        <f ca="1"/>
        <v>0</v>
      </c>
      <c r="AW305" s="901">
        <f t="shared" si="80"/>
        <v>0</v>
      </c>
      <c r="AX305" s="901">
        <f t="shared" si="81"/>
        <v>0</v>
      </c>
      <c r="AY305" s="901">
        <f ca="1"/>
        <v>0</v>
      </c>
      <c r="AZ305" s="901">
        <f ca="1"/>
        <v>0</v>
      </c>
      <c r="BA305" s="905">
        <f t="shared" si="70"/>
        <v>0</v>
      </c>
      <c r="BB305" s="905">
        <f t="shared" si="71"/>
        <v>0</v>
      </c>
      <c r="BC305" s="905">
        <f t="shared" si="72"/>
        <v>0</v>
      </c>
      <c r="BD305" s="905">
        <f t="shared" si="73"/>
        <v>0</v>
      </c>
      <c r="BE305" s="905">
        <f t="shared" si="74"/>
        <v>0</v>
      </c>
      <c r="BF305" s="905">
        <f t="shared" si="75"/>
        <v>0</v>
      </c>
      <c r="BG305" s="905">
        <f t="shared" si="76"/>
        <v>0</v>
      </c>
      <c r="BH305" s="905">
        <f t="shared" si="77"/>
        <v>0</v>
      </c>
      <c r="BI305" s="713">
        <v>0</v>
      </c>
      <c r="BJ305" s="695"/>
      <c r="BK305" s="752">
        <f>IF(X306=0,0,           IF(ISNUMBER(BJ305),BJ305,               IF(ISTEXT(BJ305),INDEX(BA305:BH305,MATCH(BJ305,$BA$12:$BH$12,0)),             IF(BI305="INT",_xll.qInterp(X306,AK305:AR305,BA305:BH305),            INDEX(BA305:BH305,MATCH(BI305,$BA$12:$BH$12,0))))))</f>
        <v>0</v>
      </c>
      <c r="BL305" s="389">
        <f t="shared" si="82"/>
        <v>0</v>
      </c>
      <c r="BM305" s="394">
        <f t="shared" si="83"/>
        <v>0</v>
      </c>
      <c r="BN305" s="389">
        <f t="shared" si="84"/>
        <v>0</v>
      </c>
    </row>
    <row r="306" spans="16:66">
      <c r="P306" s="716">
        <v>0</v>
      </c>
      <c r="Q306" s="715">
        <f t="shared" si="68"/>
        <v>0</v>
      </c>
      <c r="R306" s="712">
        <f>IF(P307,_xll.qDateYears(P306,P307,DCCfixed),0)</f>
        <v>0</v>
      </c>
      <c r="S306" s="519">
        <f ca="1"/>
        <v>0</v>
      </c>
      <c r="T306" s="720"/>
      <c r="U306" s="390">
        <f t="shared" si="78"/>
        <v>0</v>
      </c>
      <c r="X306" s="345">
        <v>0</v>
      </c>
      <c r="Y306" s="711">
        <f t="shared" si="69"/>
        <v>0</v>
      </c>
      <c r="Z306" s="712">
        <f>IF(X307,_xll.qDateYears(X306,X307,DCCfloat),0)</f>
        <v>0</v>
      </c>
      <c r="AA306" s="519">
        <f ca="1"/>
        <v>0</v>
      </c>
      <c r="AB306" s="890">
        <f>IF(X306=0,0,         IF(OR(CCY="AUD",CCY="NZD",CCY="GBP"),X306,   _xll.qDateNext(X306,"-2b",,,IF(CCY="EUR","TGT","LON"))))</f>
        <v>0</v>
      </c>
      <c r="AC306" s="879" t="str">
        <v/>
      </c>
      <c r="AD306" s="879" t="str">
        <v/>
      </c>
      <c r="AE306" s="879" t="str">
        <v/>
      </c>
      <c r="AF306" s="879" t="str">
        <v/>
      </c>
      <c r="AG306" s="879" t="str">
        <v/>
      </c>
      <c r="AH306" s="879" t="str">
        <v/>
      </c>
      <c r="AI306" s="879" t="str">
        <v/>
      </c>
      <c r="AJ306" s="879" t="str">
        <v/>
      </c>
      <c r="AK306" s="882">
        <f>IF($X306=0,0,      _xll.qDateNext($X306,AK$12,$AR$11,FRM&lt;&gt;"Calypso",CCY))</f>
        <v>0</v>
      </c>
      <c r="AL306" s="882">
        <f>IF($X306=0,0,      _xll.qDateNext($X306,AL$12,$AR$11,FRM&lt;&gt;"Calypso",CCY))</f>
        <v>0</v>
      </c>
      <c r="AM306" s="882">
        <f>IF($X306=0,0,      _xll.qDateNext($X306,AM$12,$AR$11,FRM&lt;&gt;"Calypso",CCY))</f>
        <v>0</v>
      </c>
      <c r="AN306" s="882">
        <f>IF($X306=0,0,      _xll.qDateNext($X306,AN$12,$AR$11,FRM&lt;&gt;"Calypso",CCY))</f>
        <v>0</v>
      </c>
      <c r="AO306" s="882">
        <f>IF($X306=0,0,      _xll.qDateNext($X306,AO$12,$AR$11,FRM&lt;&gt;"Calypso",CCY))</f>
        <v>0</v>
      </c>
      <c r="AP306" s="882">
        <f>IF($X306=0,0,      _xll.qDateNext($X306,AP$12,$AR$11,FRM&lt;&gt;"Calypso",CCY))</f>
        <v>0</v>
      </c>
      <c r="AQ306" s="882">
        <f>IF($X306=0,0,      _xll.qDateNext($X306,AQ$12,$AR$11,FRM&lt;&gt;"Calypso",CCY))</f>
        <v>0</v>
      </c>
      <c r="AR306" s="882">
        <f>IF($X306=0,0,      _xll.qDateNext($X306,AR$12,$AR$11,FRM&lt;&gt;"Calypso",CCY))</f>
        <v>0</v>
      </c>
      <c r="AS306" s="901">
        <f ca="1"/>
        <v>0</v>
      </c>
      <c r="AT306" s="901">
        <f ca="1"/>
        <v>0</v>
      </c>
      <c r="AU306" s="901">
        <f t="shared" si="79"/>
        <v>0</v>
      </c>
      <c r="AV306" s="901">
        <f ca="1"/>
        <v>0</v>
      </c>
      <c r="AW306" s="901">
        <f t="shared" si="80"/>
        <v>0</v>
      </c>
      <c r="AX306" s="901">
        <f t="shared" si="81"/>
        <v>0</v>
      </c>
      <c r="AY306" s="901">
        <f ca="1"/>
        <v>0</v>
      </c>
      <c r="AZ306" s="901">
        <f ca="1"/>
        <v>0</v>
      </c>
      <c r="BA306" s="905">
        <f t="shared" si="70"/>
        <v>0</v>
      </c>
      <c r="BB306" s="905">
        <f t="shared" si="71"/>
        <v>0</v>
      </c>
      <c r="BC306" s="905">
        <f t="shared" si="72"/>
        <v>0</v>
      </c>
      <c r="BD306" s="905">
        <f t="shared" si="73"/>
        <v>0</v>
      </c>
      <c r="BE306" s="905">
        <f t="shared" si="74"/>
        <v>0</v>
      </c>
      <c r="BF306" s="905">
        <f t="shared" si="75"/>
        <v>0</v>
      </c>
      <c r="BG306" s="905">
        <f t="shared" si="76"/>
        <v>0</v>
      </c>
      <c r="BH306" s="905">
        <f t="shared" si="77"/>
        <v>0</v>
      </c>
      <c r="BI306" s="713">
        <v>0</v>
      </c>
      <c r="BJ306" s="695"/>
      <c r="BK306" s="752">
        <f>IF(X307=0,0,           IF(ISNUMBER(BJ306),BJ306,               IF(ISTEXT(BJ306),INDEX(BA306:BH306,MATCH(BJ306,$BA$12:$BH$12,0)),             IF(BI306="INT",_xll.qInterp(X307,AK306:AR306,BA306:BH306),            INDEX(BA306:BH306,MATCH(BI306,$BA$12:$BH$12,0))))))</f>
        <v>0</v>
      </c>
      <c r="BL306" s="389">
        <f t="shared" si="82"/>
        <v>0</v>
      </c>
      <c r="BM306" s="394">
        <f t="shared" si="83"/>
        <v>0</v>
      </c>
      <c r="BN306" s="389">
        <f t="shared" si="84"/>
        <v>0</v>
      </c>
    </row>
    <row r="307" spans="16:66">
      <c r="P307" s="716">
        <v>0</v>
      </c>
      <c r="Q307" s="715">
        <f t="shared" si="68"/>
        <v>0</v>
      </c>
      <c r="R307" s="712">
        <f>IF(P308,_xll.qDateYears(P307,P308,DCCfixed),0)</f>
        <v>0</v>
      </c>
      <c r="S307" s="519">
        <f ca="1"/>
        <v>0</v>
      </c>
      <c r="T307" s="720"/>
      <c r="U307" s="390">
        <f t="shared" si="78"/>
        <v>0</v>
      </c>
      <c r="X307" s="345">
        <v>0</v>
      </c>
      <c r="Y307" s="711">
        <f t="shared" si="69"/>
        <v>0</v>
      </c>
      <c r="Z307" s="712">
        <f>IF(X308,_xll.qDateYears(X307,X308,DCCfloat),0)</f>
        <v>0</v>
      </c>
      <c r="AA307" s="519">
        <f ca="1"/>
        <v>0</v>
      </c>
      <c r="AB307" s="890">
        <f>IF(X307=0,0,         IF(OR(CCY="AUD",CCY="NZD",CCY="GBP"),X307,   _xll.qDateNext(X307,"-2b",,,IF(CCY="EUR","TGT","LON"))))</f>
        <v>0</v>
      </c>
      <c r="AC307" s="879" t="str">
        <v/>
      </c>
      <c r="AD307" s="879" t="str">
        <v/>
      </c>
      <c r="AE307" s="879" t="str">
        <v/>
      </c>
      <c r="AF307" s="879" t="str">
        <v/>
      </c>
      <c r="AG307" s="879" t="str">
        <v/>
      </c>
      <c r="AH307" s="879" t="str">
        <v/>
      </c>
      <c r="AI307" s="879" t="str">
        <v/>
      </c>
      <c r="AJ307" s="879" t="str">
        <v/>
      </c>
      <c r="AK307" s="882">
        <f>IF($X307=0,0,      _xll.qDateNext($X307,AK$12,$AR$11,FRM&lt;&gt;"Calypso",CCY))</f>
        <v>0</v>
      </c>
      <c r="AL307" s="882">
        <f>IF($X307=0,0,      _xll.qDateNext($X307,AL$12,$AR$11,FRM&lt;&gt;"Calypso",CCY))</f>
        <v>0</v>
      </c>
      <c r="AM307" s="882">
        <f>IF($X307=0,0,      _xll.qDateNext($X307,AM$12,$AR$11,FRM&lt;&gt;"Calypso",CCY))</f>
        <v>0</v>
      </c>
      <c r="AN307" s="882">
        <f>IF($X307=0,0,      _xll.qDateNext($X307,AN$12,$AR$11,FRM&lt;&gt;"Calypso",CCY))</f>
        <v>0</v>
      </c>
      <c r="AO307" s="882">
        <f>IF($X307=0,0,      _xll.qDateNext($X307,AO$12,$AR$11,FRM&lt;&gt;"Calypso",CCY))</f>
        <v>0</v>
      </c>
      <c r="AP307" s="882">
        <f>IF($X307=0,0,      _xll.qDateNext($X307,AP$12,$AR$11,FRM&lt;&gt;"Calypso",CCY))</f>
        <v>0</v>
      </c>
      <c r="AQ307" s="882">
        <f>IF($X307=0,0,      _xll.qDateNext($X307,AQ$12,$AR$11,FRM&lt;&gt;"Calypso",CCY))</f>
        <v>0</v>
      </c>
      <c r="AR307" s="882">
        <f>IF($X307=0,0,      _xll.qDateNext($X307,AR$12,$AR$11,FRM&lt;&gt;"Calypso",CCY))</f>
        <v>0</v>
      </c>
      <c r="AS307" s="901">
        <f ca="1"/>
        <v>0</v>
      </c>
      <c r="AT307" s="901">
        <f ca="1"/>
        <v>0</v>
      </c>
      <c r="AU307" s="901">
        <f t="shared" si="79"/>
        <v>0</v>
      </c>
      <c r="AV307" s="901">
        <f ca="1"/>
        <v>0</v>
      </c>
      <c r="AW307" s="901">
        <f t="shared" si="80"/>
        <v>0</v>
      </c>
      <c r="AX307" s="901">
        <f t="shared" si="81"/>
        <v>0</v>
      </c>
      <c r="AY307" s="901">
        <f ca="1"/>
        <v>0</v>
      </c>
      <c r="AZ307" s="901">
        <f ca="1"/>
        <v>0</v>
      </c>
      <c r="BA307" s="905">
        <f t="shared" si="70"/>
        <v>0</v>
      </c>
      <c r="BB307" s="905">
        <f t="shared" si="71"/>
        <v>0</v>
      </c>
      <c r="BC307" s="905">
        <f t="shared" si="72"/>
        <v>0</v>
      </c>
      <c r="BD307" s="905">
        <f t="shared" si="73"/>
        <v>0</v>
      </c>
      <c r="BE307" s="905">
        <f t="shared" si="74"/>
        <v>0</v>
      </c>
      <c r="BF307" s="905">
        <f t="shared" si="75"/>
        <v>0</v>
      </c>
      <c r="BG307" s="905">
        <f t="shared" si="76"/>
        <v>0</v>
      </c>
      <c r="BH307" s="905">
        <f t="shared" si="77"/>
        <v>0</v>
      </c>
      <c r="BI307" s="713">
        <v>0</v>
      </c>
      <c r="BJ307" s="695"/>
      <c r="BK307" s="752">
        <f>IF(X308=0,0,           IF(ISNUMBER(BJ307),BJ307,               IF(ISTEXT(BJ307),INDEX(BA307:BH307,MATCH(BJ307,$BA$12:$BH$12,0)),             IF(BI307="INT",_xll.qInterp(X308,AK307:AR307,BA307:BH307),            INDEX(BA307:BH307,MATCH(BI307,$BA$12:$BH$12,0))))))</f>
        <v>0</v>
      </c>
      <c r="BL307" s="389">
        <f t="shared" si="82"/>
        <v>0</v>
      </c>
      <c r="BM307" s="394">
        <f t="shared" si="83"/>
        <v>0</v>
      </c>
      <c r="BN307" s="389">
        <f t="shared" si="84"/>
        <v>0</v>
      </c>
    </row>
    <row r="308" spans="16:66">
      <c r="P308" s="716">
        <v>0</v>
      </c>
      <c r="Q308" s="715">
        <f t="shared" si="68"/>
        <v>0</v>
      </c>
      <c r="R308" s="712">
        <f>IF(P309,_xll.qDateYears(P308,P309,DCCfixed),0)</f>
        <v>0</v>
      </c>
      <c r="S308" s="519">
        <f ca="1"/>
        <v>0</v>
      </c>
      <c r="T308" s="720"/>
      <c r="U308" s="390">
        <f t="shared" si="78"/>
        <v>0</v>
      </c>
      <c r="X308" s="345">
        <v>0</v>
      </c>
      <c r="Y308" s="711">
        <f t="shared" si="69"/>
        <v>0</v>
      </c>
      <c r="Z308" s="712">
        <f>IF(X309,_xll.qDateYears(X308,X309,DCCfloat),0)</f>
        <v>0</v>
      </c>
      <c r="AA308" s="519">
        <f ca="1"/>
        <v>0</v>
      </c>
      <c r="AB308" s="890">
        <f>IF(X308=0,0,         IF(OR(CCY="AUD",CCY="NZD",CCY="GBP"),X308,   _xll.qDateNext(X308,"-2b",,,IF(CCY="EUR","TGT","LON"))))</f>
        <v>0</v>
      </c>
      <c r="AC308" s="879" t="str">
        <v/>
      </c>
      <c r="AD308" s="879" t="str">
        <v/>
      </c>
      <c r="AE308" s="879" t="str">
        <v/>
      </c>
      <c r="AF308" s="879" t="str">
        <v/>
      </c>
      <c r="AG308" s="879" t="str">
        <v/>
      </c>
      <c r="AH308" s="879" t="str">
        <v/>
      </c>
      <c r="AI308" s="879" t="str">
        <v/>
      </c>
      <c r="AJ308" s="879" t="str">
        <v/>
      </c>
      <c r="AK308" s="882">
        <f>IF($X308=0,0,      _xll.qDateNext($X308,AK$12,$AR$11,FRM&lt;&gt;"Calypso",CCY))</f>
        <v>0</v>
      </c>
      <c r="AL308" s="882">
        <f>IF($X308=0,0,      _xll.qDateNext($X308,AL$12,$AR$11,FRM&lt;&gt;"Calypso",CCY))</f>
        <v>0</v>
      </c>
      <c r="AM308" s="882">
        <f>IF($X308=0,0,      _xll.qDateNext($X308,AM$12,$AR$11,FRM&lt;&gt;"Calypso",CCY))</f>
        <v>0</v>
      </c>
      <c r="AN308" s="882">
        <f>IF($X308=0,0,      _xll.qDateNext($X308,AN$12,$AR$11,FRM&lt;&gt;"Calypso",CCY))</f>
        <v>0</v>
      </c>
      <c r="AO308" s="882">
        <f>IF($X308=0,0,      _xll.qDateNext($X308,AO$12,$AR$11,FRM&lt;&gt;"Calypso",CCY))</f>
        <v>0</v>
      </c>
      <c r="AP308" s="882">
        <f>IF($X308=0,0,      _xll.qDateNext($X308,AP$12,$AR$11,FRM&lt;&gt;"Calypso",CCY))</f>
        <v>0</v>
      </c>
      <c r="AQ308" s="882">
        <f>IF($X308=0,0,      _xll.qDateNext($X308,AQ$12,$AR$11,FRM&lt;&gt;"Calypso",CCY))</f>
        <v>0</v>
      </c>
      <c r="AR308" s="882">
        <f>IF($X308=0,0,      _xll.qDateNext($X308,AR$12,$AR$11,FRM&lt;&gt;"Calypso",CCY))</f>
        <v>0</v>
      </c>
      <c r="AS308" s="901">
        <f ca="1"/>
        <v>0</v>
      </c>
      <c r="AT308" s="901">
        <f ca="1"/>
        <v>0</v>
      </c>
      <c r="AU308" s="901">
        <f t="shared" si="79"/>
        <v>0</v>
      </c>
      <c r="AV308" s="901">
        <f ca="1"/>
        <v>0</v>
      </c>
      <c r="AW308" s="901">
        <f t="shared" si="80"/>
        <v>0</v>
      </c>
      <c r="AX308" s="901">
        <f t="shared" si="81"/>
        <v>0</v>
      </c>
      <c r="AY308" s="901">
        <f ca="1"/>
        <v>0</v>
      </c>
      <c r="AZ308" s="901">
        <f ca="1"/>
        <v>0</v>
      </c>
      <c r="BA308" s="905">
        <f t="shared" si="70"/>
        <v>0</v>
      </c>
      <c r="BB308" s="905">
        <f t="shared" si="71"/>
        <v>0</v>
      </c>
      <c r="BC308" s="905">
        <f t="shared" si="72"/>
        <v>0</v>
      </c>
      <c r="BD308" s="905">
        <f t="shared" si="73"/>
        <v>0</v>
      </c>
      <c r="BE308" s="905">
        <f t="shared" si="74"/>
        <v>0</v>
      </c>
      <c r="BF308" s="905">
        <f t="shared" si="75"/>
        <v>0</v>
      </c>
      <c r="BG308" s="905">
        <f t="shared" si="76"/>
        <v>0</v>
      </c>
      <c r="BH308" s="905">
        <f t="shared" si="77"/>
        <v>0</v>
      </c>
      <c r="BI308" s="713">
        <v>0</v>
      </c>
      <c r="BJ308" s="695"/>
      <c r="BK308" s="752">
        <f>IF(X309=0,0,           IF(ISNUMBER(BJ308),BJ308,               IF(ISTEXT(BJ308),INDEX(BA308:BH308,MATCH(BJ308,$BA$12:$BH$12,0)),             IF(BI308="INT",_xll.qInterp(X309,AK308:AR308,BA308:BH308),            INDEX(BA308:BH308,MATCH(BI308,$BA$12:$BH$12,0))))))</f>
        <v>0</v>
      </c>
      <c r="BL308" s="389">
        <f t="shared" si="82"/>
        <v>0</v>
      </c>
      <c r="BM308" s="394">
        <f t="shared" si="83"/>
        <v>0</v>
      </c>
      <c r="BN308" s="389">
        <f t="shared" si="84"/>
        <v>0</v>
      </c>
    </row>
    <row r="309" spans="16:66">
      <c r="P309" s="716">
        <v>0</v>
      </c>
      <c r="Q309" s="715">
        <f t="shared" si="68"/>
        <v>0</v>
      </c>
      <c r="R309" s="712">
        <f>IF(P310,_xll.qDateYears(P309,P310,DCCfixed),0)</f>
        <v>0</v>
      </c>
      <c r="S309" s="519">
        <f ca="1"/>
        <v>0</v>
      </c>
      <c r="T309" s="720"/>
      <c r="U309" s="390">
        <f t="shared" si="78"/>
        <v>0</v>
      </c>
      <c r="X309" s="345">
        <v>0</v>
      </c>
      <c r="Y309" s="711">
        <f t="shared" si="69"/>
        <v>0</v>
      </c>
      <c r="Z309" s="712">
        <f>IF(X310,_xll.qDateYears(X309,X310,DCCfloat),0)</f>
        <v>0</v>
      </c>
      <c r="AA309" s="519">
        <f ca="1"/>
        <v>0</v>
      </c>
      <c r="AB309" s="890">
        <f>IF(X309=0,0,         IF(OR(CCY="AUD",CCY="NZD",CCY="GBP"),X309,   _xll.qDateNext(X309,"-2b",,,IF(CCY="EUR","TGT","LON"))))</f>
        <v>0</v>
      </c>
      <c r="AC309" s="879" t="str">
        <v/>
      </c>
      <c r="AD309" s="879" t="str">
        <v/>
      </c>
      <c r="AE309" s="879" t="str">
        <v/>
      </c>
      <c r="AF309" s="879" t="str">
        <v/>
      </c>
      <c r="AG309" s="879" t="str">
        <v/>
      </c>
      <c r="AH309" s="879" t="str">
        <v/>
      </c>
      <c r="AI309" s="879" t="str">
        <v/>
      </c>
      <c r="AJ309" s="879" t="str">
        <v/>
      </c>
      <c r="AK309" s="882">
        <f>IF($X309=0,0,      _xll.qDateNext($X309,AK$12,$AR$11,FRM&lt;&gt;"Calypso",CCY))</f>
        <v>0</v>
      </c>
      <c r="AL309" s="882">
        <f>IF($X309=0,0,      _xll.qDateNext($X309,AL$12,$AR$11,FRM&lt;&gt;"Calypso",CCY))</f>
        <v>0</v>
      </c>
      <c r="AM309" s="882">
        <f>IF($X309=0,0,      _xll.qDateNext($X309,AM$12,$AR$11,FRM&lt;&gt;"Calypso",CCY))</f>
        <v>0</v>
      </c>
      <c r="AN309" s="882">
        <f>IF($X309=0,0,      _xll.qDateNext($X309,AN$12,$AR$11,FRM&lt;&gt;"Calypso",CCY))</f>
        <v>0</v>
      </c>
      <c r="AO309" s="882">
        <f>IF($X309=0,0,      _xll.qDateNext($X309,AO$12,$AR$11,FRM&lt;&gt;"Calypso",CCY))</f>
        <v>0</v>
      </c>
      <c r="AP309" s="882">
        <f>IF($X309=0,0,      _xll.qDateNext($X309,AP$12,$AR$11,FRM&lt;&gt;"Calypso",CCY))</f>
        <v>0</v>
      </c>
      <c r="AQ309" s="882">
        <f>IF($X309=0,0,      _xll.qDateNext($X309,AQ$12,$AR$11,FRM&lt;&gt;"Calypso",CCY))</f>
        <v>0</v>
      </c>
      <c r="AR309" s="882">
        <f>IF($X309=0,0,      _xll.qDateNext($X309,AR$12,$AR$11,FRM&lt;&gt;"Calypso",CCY))</f>
        <v>0</v>
      </c>
      <c r="AS309" s="901">
        <f ca="1"/>
        <v>0</v>
      </c>
      <c r="AT309" s="901">
        <f ca="1"/>
        <v>0</v>
      </c>
      <c r="AU309" s="901">
        <f t="shared" si="79"/>
        <v>0</v>
      </c>
      <c r="AV309" s="901">
        <f ca="1"/>
        <v>0</v>
      </c>
      <c r="AW309" s="901">
        <f t="shared" si="80"/>
        <v>0</v>
      </c>
      <c r="AX309" s="901">
        <f t="shared" si="81"/>
        <v>0</v>
      </c>
      <c r="AY309" s="901">
        <f ca="1"/>
        <v>0</v>
      </c>
      <c r="AZ309" s="901">
        <f ca="1"/>
        <v>0</v>
      </c>
      <c r="BA309" s="905">
        <f t="shared" si="70"/>
        <v>0</v>
      </c>
      <c r="BB309" s="905">
        <f t="shared" si="71"/>
        <v>0</v>
      </c>
      <c r="BC309" s="905">
        <f t="shared" si="72"/>
        <v>0</v>
      </c>
      <c r="BD309" s="905">
        <f t="shared" si="73"/>
        <v>0</v>
      </c>
      <c r="BE309" s="905">
        <f t="shared" si="74"/>
        <v>0</v>
      </c>
      <c r="BF309" s="905">
        <f t="shared" si="75"/>
        <v>0</v>
      </c>
      <c r="BG309" s="905">
        <f t="shared" si="76"/>
        <v>0</v>
      </c>
      <c r="BH309" s="905">
        <f t="shared" si="77"/>
        <v>0</v>
      </c>
      <c r="BI309" s="713">
        <v>0</v>
      </c>
      <c r="BJ309" s="695"/>
      <c r="BK309" s="752">
        <f>IF(X310=0,0,           IF(ISNUMBER(BJ309),BJ309,               IF(ISTEXT(BJ309),INDEX(BA309:BH309,MATCH(BJ309,$BA$12:$BH$12,0)),             IF(BI309="INT",_xll.qInterp(X310,AK309:AR309,BA309:BH309),            INDEX(BA309:BH309,MATCH(BI309,$BA$12:$BH$12,0))))))</f>
        <v>0</v>
      </c>
      <c r="BL309" s="389">
        <f t="shared" si="82"/>
        <v>0</v>
      </c>
      <c r="BM309" s="394">
        <f t="shared" si="83"/>
        <v>0</v>
      </c>
      <c r="BN309" s="389">
        <f t="shared" si="84"/>
        <v>0</v>
      </c>
    </row>
    <row r="310" spans="16:66">
      <c r="P310" s="716">
        <v>0</v>
      </c>
      <c r="Q310" s="715">
        <f t="shared" si="68"/>
        <v>0</v>
      </c>
      <c r="R310" s="712">
        <f>IF(P311,_xll.qDateYears(P310,P311,DCCfixed),0)</f>
        <v>0</v>
      </c>
      <c r="S310" s="519">
        <f ca="1"/>
        <v>0</v>
      </c>
      <c r="T310" s="720"/>
      <c r="U310" s="390">
        <f t="shared" si="78"/>
        <v>0</v>
      </c>
      <c r="X310" s="345">
        <v>0</v>
      </c>
      <c r="Y310" s="711">
        <f t="shared" si="69"/>
        <v>0</v>
      </c>
      <c r="Z310" s="712">
        <f>IF(X311,_xll.qDateYears(X310,X311,DCCfloat),0)</f>
        <v>0</v>
      </c>
      <c r="AA310" s="519">
        <f ca="1"/>
        <v>0</v>
      </c>
      <c r="AB310" s="890">
        <f>IF(X310=0,0,         IF(OR(CCY="AUD",CCY="NZD",CCY="GBP"),X310,   _xll.qDateNext(X310,"-2b",,,IF(CCY="EUR","TGT","LON"))))</f>
        <v>0</v>
      </c>
      <c r="AC310" s="879" t="str">
        <v/>
      </c>
      <c r="AD310" s="879" t="str">
        <v/>
      </c>
      <c r="AE310" s="879" t="str">
        <v/>
      </c>
      <c r="AF310" s="879" t="str">
        <v/>
      </c>
      <c r="AG310" s="879" t="str">
        <v/>
      </c>
      <c r="AH310" s="879" t="str">
        <v/>
      </c>
      <c r="AI310" s="879" t="str">
        <v/>
      </c>
      <c r="AJ310" s="879" t="str">
        <v/>
      </c>
      <c r="AK310" s="882">
        <f>IF($X310=0,0,      _xll.qDateNext($X310,AK$12,$AR$11,FRM&lt;&gt;"Calypso",CCY))</f>
        <v>0</v>
      </c>
      <c r="AL310" s="882">
        <f>IF($X310=0,0,      _xll.qDateNext($X310,AL$12,$AR$11,FRM&lt;&gt;"Calypso",CCY))</f>
        <v>0</v>
      </c>
      <c r="AM310" s="882">
        <f>IF($X310=0,0,      _xll.qDateNext($X310,AM$12,$AR$11,FRM&lt;&gt;"Calypso",CCY))</f>
        <v>0</v>
      </c>
      <c r="AN310" s="882">
        <f>IF($X310=0,0,      _xll.qDateNext($X310,AN$12,$AR$11,FRM&lt;&gt;"Calypso",CCY))</f>
        <v>0</v>
      </c>
      <c r="AO310" s="882">
        <f>IF($X310=0,0,      _xll.qDateNext($X310,AO$12,$AR$11,FRM&lt;&gt;"Calypso",CCY))</f>
        <v>0</v>
      </c>
      <c r="AP310" s="882">
        <f>IF($X310=0,0,      _xll.qDateNext($X310,AP$12,$AR$11,FRM&lt;&gt;"Calypso",CCY))</f>
        <v>0</v>
      </c>
      <c r="AQ310" s="882">
        <f>IF($X310=0,0,      _xll.qDateNext($X310,AQ$12,$AR$11,FRM&lt;&gt;"Calypso",CCY))</f>
        <v>0</v>
      </c>
      <c r="AR310" s="882">
        <f>IF($X310=0,0,      _xll.qDateNext($X310,AR$12,$AR$11,FRM&lt;&gt;"Calypso",CCY))</f>
        <v>0</v>
      </c>
      <c r="AS310" s="901">
        <f ca="1"/>
        <v>0</v>
      </c>
      <c r="AT310" s="901">
        <f ca="1"/>
        <v>0</v>
      </c>
      <c r="AU310" s="901">
        <f t="shared" si="79"/>
        <v>0</v>
      </c>
      <c r="AV310" s="901">
        <f ca="1"/>
        <v>0</v>
      </c>
      <c r="AW310" s="901">
        <f t="shared" si="80"/>
        <v>0</v>
      </c>
      <c r="AX310" s="901">
        <f t="shared" si="81"/>
        <v>0</v>
      </c>
      <c r="AY310" s="901">
        <f ca="1"/>
        <v>0</v>
      </c>
      <c r="AZ310" s="901">
        <f ca="1"/>
        <v>0</v>
      </c>
      <c r="BA310" s="905">
        <f t="shared" si="70"/>
        <v>0</v>
      </c>
      <c r="BB310" s="905">
        <f t="shared" si="71"/>
        <v>0</v>
      </c>
      <c r="BC310" s="905">
        <f t="shared" si="72"/>
        <v>0</v>
      </c>
      <c r="BD310" s="905">
        <f t="shared" si="73"/>
        <v>0</v>
      </c>
      <c r="BE310" s="905">
        <f t="shared" si="74"/>
        <v>0</v>
      </c>
      <c r="BF310" s="905">
        <f t="shared" si="75"/>
        <v>0</v>
      </c>
      <c r="BG310" s="905">
        <f t="shared" si="76"/>
        <v>0</v>
      </c>
      <c r="BH310" s="905">
        <f t="shared" si="77"/>
        <v>0</v>
      </c>
      <c r="BI310" s="713">
        <v>0</v>
      </c>
      <c r="BJ310" s="695"/>
      <c r="BK310" s="752">
        <f>IF(X311=0,0,           IF(ISNUMBER(BJ310),BJ310,               IF(ISTEXT(BJ310),INDEX(BA310:BH310,MATCH(BJ310,$BA$12:$BH$12,0)),             IF(BI310="INT",_xll.qInterp(X311,AK310:AR310,BA310:BH310),            INDEX(BA310:BH310,MATCH(BI310,$BA$12:$BH$12,0))))))</f>
        <v>0</v>
      </c>
      <c r="BL310" s="389">
        <f t="shared" si="82"/>
        <v>0</v>
      </c>
      <c r="BM310" s="394">
        <f t="shared" si="83"/>
        <v>0</v>
      </c>
      <c r="BN310" s="389">
        <f t="shared" si="84"/>
        <v>0</v>
      </c>
    </row>
    <row r="311" spans="16:66">
      <c r="P311" s="716">
        <v>0</v>
      </c>
      <c r="Q311" s="715">
        <f t="shared" si="68"/>
        <v>0</v>
      </c>
      <c r="R311" s="712">
        <f>IF(P312,_xll.qDateYears(P311,P312,DCCfixed),0)</f>
        <v>0</v>
      </c>
      <c r="S311" s="519">
        <f ca="1"/>
        <v>0</v>
      </c>
      <c r="T311" s="720"/>
      <c r="U311" s="390">
        <f t="shared" si="78"/>
        <v>0</v>
      </c>
      <c r="X311" s="345">
        <v>0</v>
      </c>
      <c r="Y311" s="711">
        <f t="shared" si="69"/>
        <v>0</v>
      </c>
      <c r="Z311" s="712">
        <f>IF(X312,_xll.qDateYears(X311,X312,DCCfloat),0)</f>
        <v>0</v>
      </c>
      <c r="AA311" s="519">
        <f ca="1"/>
        <v>0</v>
      </c>
      <c r="AB311" s="890">
        <f>IF(X311=0,0,         IF(OR(CCY="AUD",CCY="NZD",CCY="GBP"),X311,   _xll.qDateNext(X311,"-2b",,,IF(CCY="EUR","TGT","LON"))))</f>
        <v>0</v>
      </c>
      <c r="AC311" s="879" t="str">
        <v/>
      </c>
      <c r="AD311" s="879" t="str">
        <v/>
      </c>
      <c r="AE311" s="879" t="str">
        <v/>
      </c>
      <c r="AF311" s="879" t="str">
        <v/>
      </c>
      <c r="AG311" s="879" t="str">
        <v/>
      </c>
      <c r="AH311" s="879" t="str">
        <v/>
      </c>
      <c r="AI311" s="879" t="str">
        <v/>
      </c>
      <c r="AJ311" s="879" t="str">
        <v/>
      </c>
      <c r="AK311" s="882">
        <f>IF($X311=0,0,      _xll.qDateNext($X311,AK$12,$AR$11,FRM&lt;&gt;"Calypso",CCY))</f>
        <v>0</v>
      </c>
      <c r="AL311" s="882">
        <f>IF($X311=0,0,      _xll.qDateNext($X311,AL$12,$AR$11,FRM&lt;&gt;"Calypso",CCY))</f>
        <v>0</v>
      </c>
      <c r="AM311" s="882">
        <f>IF($X311=0,0,      _xll.qDateNext($X311,AM$12,$AR$11,FRM&lt;&gt;"Calypso",CCY))</f>
        <v>0</v>
      </c>
      <c r="AN311" s="882">
        <f>IF($X311=0,0,      _xll.qDateNext($X311,AN$12,$AR$11,FRM&lt;&gt;"Calypso",CCY))</f>
        <v>0</v>
      </c>
      <c r="AO311" s="882">
        <f>IF($X311=0,0,      _xll.qDateNext($X311,AO$12,$AR$11,FRM&lt;&gt;"Calypso",CCY))</f>
        <v>0</v>
      </c>
      <c r="AP311" s="882">
        <f>IF($X311=0,0,      _xll.qDateNext($X311,AP$12,$AR$11,FRM&lt;&gt;"Calypso",CCY))</f>
        <v>0</v>
      </c>
      <c r="AQ311" s="882">
        <f>IF($X311=0,0,      _xll.qDateNext($X311,AQ$12,$AR$11,FRM&lt;&gt;"Calypso",CCY))</f>
        <v>0</v>
      </c>
      <c r="AR311" s="882">
        <f>IF($X311=0,0,      _xll.qDateNext($X311,AR$12,$AR$11,FRM&lt;&gt;"Calypso",CCY))</f>
        <v>0</v>
      </c>
      <c r="AS311" s="901">
        <f ca="1"/>
        <v>0</v>
      </c>
      <c r="AT311" s="901">
        <f ca="1"/>
        <v>0</v>
      </c>
      <c r="AU311" s="901">
        <f t="shared" si="79"/>
        <v>0</v>
      </c>
      <c r="AV311" s="901">
        <f ca="1"/>
        <v>0</v>
      </c>
      <c r="AW311" s="901">
        <f t="shared" si="80"/>
        <v>0</v>
      </c>
      <c r="AX311" s="901">
        <f t="shared" si="81"/>
        <v>0</v>
      </c>
      <c r="AY311" s="901">
        <f ca="1"/>
        <v>0</v>
      </c>
      <c r="AZ311" s="901">
        <f ca="1"/>
        <v>0</v>
      </c>
      <c r="BA311" s="905">
        <f t="shared" si="70"/>
        <v>0</v>
      </c>
      <c r="BB311" s="905">
        <f t="shared" si="71"/>
        <v>0</v>
      </c>
      <c r="BC311" s="905">
        <f t="shared" si="72"/>
        <v>0</v>
      </c>
      <c r="BD311" s="905">
        <f t="shared" si="73"/>
        <v>0</v>
      </c>
      <c r="BE311" s="905">
        <f t="shared" si="74"/>
        <v>0</v>
      </c>
      <c r="BF311" s="905">
        <f t="shared" si="75"/>
        <v>0</v>
      </c>
      <c r="BG311" s="905">
        <f t="shared" si="76"/>
        <v>0</v>
      </c>
      <c r="BH311" s="905">
        <f t="shared" si="77"/>
        <v>0</v>
      </c>
      <c r="BI311" s="713">
        <v>0</v>
      </c>
      <c r="BJ311" s="695"/>
      <c r="BK311" s="752">
        <f>IF(X312=0,0,           IF(ISNUMBER(BJ311),BJ311,               IF(ISTEXT(BJ311),INDEX(BA311:BH311,MATCH(BJ311,$BA$12:$BH$12,0)),             IF(BI311="INT",_xll.qInterp(X312,AK311:AR311,BA311:BH311),            INDEX(BA311:BH311,MATCH(BI311,$BA$12:$BH$12,0))))))</f>
        <v>0</v>
      </c>
      <c r="BL311" s="389">
        <f t="shared" si="82"/>
        <v>0</v>
      </c>
      <c r="BM311" s="394">
        <f t="shared" si="83"/>
        <v>0</v>
      </c>
      <c r="BN311" s="389">
        <f t="shared" si="84"/>
        <v>0</v>
      </c>
    </row>
    <row r="312" spans="16:66">
      <c r="P312" s="716">
        <v>0</v>
      </c>
      <c r="Q312" s="715">
        <f t="shared" si="68"/>
        <v>0</v>
      </c>
      <c r="R312" s="712">
        <f>IF(P313,_xll.qDateYears(P312,P313,DCCfixed),0)</f>
        <v>0</v>
      </c>
      <c r="S312" s="519">
        <f ca="1"/>
        <v>0</v>
      </c>
      <c r="T312" s="720"/>
      <c r="U312" s="390">
        <f t="shared" si="78"/>
        <v>0</v>
      </c>
      <c r="X312" s="345">
        <v>0</v>
      </c>
      <c r="Y312" s="711">
        <f t="shared" si="69"/>
        <v>0</v>
      </c>
      <c r="Z312" s="712">
        <f>IF(X313,_xll.qDateYears(X312,X313,DCCfloat),0)</f>
        <v>0</v>
      </c>
      <c r="AA312" s="519">
        <f ca="1"/>
        <v>0</v>
      </c>
      <c r="AB312" s="890">
        <f>IF(X312=0,0,         IF(OR(CCY="AUD",CCY="NZD",CCY="GBP"),X312,   _xll.qDateNext(X312,"-2b",,,IF(CCY="EUR","TGT","LON"))))</f>
        <v>0</v>
      </c>
      <c r="AC312" s="879" t="str">
        <v/>
      </c>
      <c r="AD312" s="879" t="str">
        <v/>
      </c>
      <c r="AE312" s="879" t="str">
        <v/>
      </c>
      <c r="AF312" s="879" t="str">
        <v/>
      </c>
      <c r="AG312" s="879" t="str">
        <v/>
      </c>
      <c r="AH312" s="879" t="str">
        <v/>
      </c>
      <c r="AI312" s="879" t="str">
        <v/>
      </c>
      <c r="AJ312" s="879" t="str">
        <v/>
      </c>
      <c r="AK312" s="882">
        <f>IF($X312=0,0,      _xll.qDateNext($X312,AK$12,$AR$11,FRM&lt;&gt;"Calypso",CCY))</f>
        <v>0</v>
      </c>
      <c r="AL312" s="882">
        <f>IF($X312=0,0,      _xll.qDateNext($X312,AL$12,$AR$11,FRM&lt;&gt;"Calypso",CCY))</f>
        <v>0</v>
      </c>
      <c r="AM312" s="882">
        <f>IF($X312=0,0,      _xll.qDateNext($X312,AM$12,$AR$11,FRM&lt;&gt;"Calypso",CCY))</f>
        <v>0</v>
      </c>
      <c r="AN312" s="882">
        <f>IF($X312=0,0,      _xll.qDateNext($X312,AN$12,$AR$11,FRM&lt;&gt;"Calypso",CCY))</f>
        <v>0</v>
      </c>
      <c r="AO312" s="882">
        <f>IF($X312=0,0,      _xll.qDateNext($X312,AO$12,$AR$11,FRM&lt;&gt;"Calypso",CCY))</f>
        <v>0</v>
      </c>
      <c r="AP312" s="882">
        <f>IF($X312=0,0,      _xll.qDateNext($X312,AP$12,$AR$11,FRM&lt;&gt;"Calypso",CCY))</f>
        <v>0</v>
      </c>
      <c r="AQ312" s="882">
        <f>IF($X312=0,0,      _xll.qDateNext($X312,AQ$12,$AR$11,FRM&lt;&gt;"Calypso",CCY))</f>
        <v>0</v>
      </c>
      <c r="AR312" s="882">
        <f>IF($X312=0,0,      _xll.qDateNext($X312,AR$12,$AR$11,FRM&lt;&gt;"Calypso",CCY))</f>
        <v>0</v>
      </c>
      <c r="AS312" s="901">
        <f ca="1"/>
        <v>0</v>
      </c>
      <c r="AT312" s="901">
        <f ca="1"/>
        <v>0</v>
      </c>
      <c r="AU312" s="901">
        <f t="shared" si="79"/>
        <v>0</v>
      </c>
      <c r="AV312" s="901">
        <f ca="1"/>
        <v>0</v>
      </c>
      <c r="AW312" s="901">
        <f t="shared" si="80"/>
        <v>0</v>
      </c>
      <c r="AX312" s="901">
        <f t="shared" si="81"/>
        <v>0</v>
      </c>
      <c r="AY312" s="901">
        <f ca="1"/>
        <v>0</v>
      </c>
      <c r="AZ312" s="901">
        <f ca="1"/>
        <v>0</v>
      </c>
      <c r="BA312" s="905">
        <f t="shared" si="70"/>
        <v>0</v>
      </c>
      <c r="BB312" s="905">
        <f t="shared" si="71"/>
        <v>0</v>
      </c>
      <c r="BC312" s="905">
        <f t="shared" si="72"/>
        <v>0</v>
      </c>
      <c r="BD312" s="905">
        <f t="shared" si="73"/>
        <v>0</v>
      </c>
      <c r="BE312" s="905">
        <f t="shared" si="74"/>
        <v>0</v>
      </c>
      <c r="BF312" s="905">
        <f t="shared" si="75"/>
        <v>0</v>
      </c>
      <c r="BG312" s="905">
        <f t="shared" si="76"/>
        <v>0</v>
      </c>
      <c r="BH312" s="905">
        <f t="shared" si="77"/>
        <v>0</v>
      </c>
      <c r="BI312" s="713">
        <v>0</v>
      </c>
      <c r="BJ312" s="695"/>
      <c r="BK312" s="752">
        <f>IF(X313=0,0,           IF(ISNUMBER(BJ312),BJ312,               IF(ISTEXT(BJ312),INDEX(BA312:BH312,MATCH(BJ312,$BA$12:$BH$12,0)),             IF(BI312="INT",_xll.qInterp(X313,AK312:AR312,BA312:BH312),            INDEX(BA312:BH312,MATCH(BI312,$BA$12:$BH$12,0))))))</f>
        <v>0</v>
      </c>
      <c r="BL312" s="389">
        <f t="shared" si="82"/>
        <v>0</v>
      </c>
      <c r="BM312" s="394">
        <f t="shared" si="83"/>
        <v>0</v>
      </c>
      <c r="BN312" s="389">
        <f t="shared" si="84"/>
        <v>0</v>
      </c>
    </row>
    <row r="313" spans="16:66">
      <c r="P313" s="716">
        <v>0</v>
      </c>
      <c r="Q313" s="715">
        <f t="shared" si="68"/>
        <v>0</v>
      </c>
      <c r="R313" s="712">
        <f>IF(P314,_xll.qDateYears(P313,P314,DCCfixed),0)</f>
        <v>0</v>
      </c>
      <c r="S313" s="519">
        <f ca="1"/>
        <v>0</v>
      </c>
      <c r="T313" s="720"/>
      <c r="U313" s="390">
        <f t="shared" si="78"/>
        <v>0</v>
      </c>
      <c r="X313" s="345">
        <v>0</v>
      </c>
      <c r="Y313" s="711">
        <f t="shared" si="69"/>
        <v>0</v>
      </c>
      <c r="Z313" s="712">
        <f>IF(X314,_xll.qDateYears(X313,X314,DCCfloat),0)</f>
        <v>0</v>
      </c>
      <c r="AA313" s="519">
        <f ca="1"/>
        <v>0</v>
      </c>
      <c r="AB313" s="890">
        <f>IF(X313=0,0,         IF(OR(CCY="AUD",CCY="NZD",CCY="GBP"),X313,   _xll.qDateNext(X313,"-2b",,,IF(CCY="EUR","TGT","LON"))))</f>
        <v>0</v>
      </c>
      <c r="AC313" s="879" t="str">
        <v/>
      </c>
      <c r="AD313" s="879" t="str">
        <v/>
      </c>
      <c r="AE313" s="879" t="str">
        <v/>
      </c>
      <c r="AF313" s="879" t="str">
        <v/>
      </c>
      <c r="AG313" s="879" t="str">
        <v/>
      </c>
      <c r="AH313" s="879" t="str">
        <v/>
      </c>
      <c r="AI313" s="879" t="str">
        <v/>
      </c>
      <c r="AJ313" s="879" t="str">
        <v/>
      </c>
      <c r="AK313" s="882">
        <f>IF($X313=0,0,      _xll.qDateNext($X313,AK$12,$AR$11,FRM&lt;&gt;"Calypso",CCY))</f>
        <v>0</v>
      </c>
      <c r="AL313" s="882">
        <f>IF($X313=0,0,      _xll.qDateNext($X313,AL$12,$AR$11,FRM&lt;&gt;"Calypso",CCY))</f>
        <v>0</v>
      </c>
      <c r="AM313" s="882">
        <f>IF($X313=0,0,      _xll.qDateNext($X313,AM$12,$AR$11,FRM&lt;&gt;"Calypso",CCY))</f>
        <v>0</v>
      </c>
      <c r="AN313" s="882">
        <f>IF($X313=0,0,      _xll.qDateNext($X313,AN$12,$AR$11,FRM&lt;&gt;"Calypso",CCY))</f>
        <v>0</v>
      </c>
      <c r="AO313" s="882">
        <f>IF($X313=0,0,      _xll.qDateNext($X313,AO$12,$AR$11,FRM&lt;&gt;"Calypso",CCY))</f>
        <v>0</v>
      </c>
      <c r="AP313" s="882">
        <f>IF($X313=0,0,      _xll.qDateNext($X313,AP$12,$AR$11,FRM&lt;&gt;"Calypso",CCY))</f>
        <v>0</v>
      </c>
      <c r="AQ313" s="882">
        <f>IF($X313=0,0,      _xll.qDateNext($X313,AQ$12,$AR$11,FRM&lt;&gt;"Calypso",CCY))</f>
        <v>0</v>
      </c>
      <c r="AR313" s="882">
        <f>IF($X313=0,0,      _xll.qDateNext($X313,AR$12,$AR$11,FRM&lt;&gt;"Calypso",CCY))</f>
        <v>0</v>
      </c>
      <c r="AS313" s="901">
        <f ca="1"/>
        <v>0</v>
      </c>
      <c r="AT313" s="901">
        <f ca="1"/>
        <v>0</v>
      </c>
      <c r="AU313" s="901">
        <f t="shared" si="79"/>
        <v>0</v>
      </c>
      <c r="AV313" s="901">
        <f ca="1"/>
        <v>0</v>
      </c>
      <c r="AW313" s="901">
        <f t="shared" si="80"/>
        <v>0</v>
      </c>
      <c r="AX313" s="901">
        <f t="shared" si="81"/>
        <v>0</v>
      </c>
      <c r="AY313" s="901">
        <f ca="1"/>
        <v>0</v>
      </c>
      <c r="AZ313" s="901">
        <f ca="1"/>
        <v>0</v>
      </c>
      <c r="BA313" s="905">
        <f t="shared" si="70"/>
        <v>0</v>
      </c>
      <c r="BB313" s="905">
        <f t="shared" si="71"/>
        <v>0</v>
      </c>
      <c r="BC313" s="905">
        <f t="shared" si="72"/>
        <v>0</v>
      </c>
      <c r="BD313" s="905">
        <f t="shared" si="73"/>
        <v>0</v>
      </c>
      <c r="BE313" s="905">
        <f t="shared" si="74"/>
        <v>0</v>
      </c>
      <c r="BF313" s="905">
        <f t="shared" si="75"/>
        <v>0</v>
      </c>
      <c r="BG313" s="905">
        <f t="shared" si="76"/>
        <v>0</v>
      </c>
      <c r="BH313" s="905">
        <f t="shared" si="77"/>
        <v>0</v>
      </c>
      <c r="BI313" s="713">
        <v>0</v>
      </c>
      <c r="BJ313" s="695"/>
      <c r="BK313" s="752">
        <f>IF(X314=0,0,           IF(ISNUMBER(BJ313),BJ313,               IF(ISTEXT(BJ313),INDEX(BA313:BH313,MATCH(BJ313,$BA$12:$BH$12,0)),             IF(BI313="INT",_xll.qInterp(X314,AK313:AR313,BA313:BH313),            INDEX(BA313:BH313,MATCH(BI313,$BA$12:$BH$12,0))))))</f>
        <v>0</v>
      </c>
      <c r="BL313" s="389">
        <f t="shared" si="82"/>
        <v>0</v>
      </c>
      <c r="BM313" s="394">
        <f t="shared" si="83"/>
        <v>0</v>
      </c>
      <c r="BN313" s="389">
        <f t="shared" si="84"/>
        <v>0</v>
      </c>
    </row>
    <row r="314" spans="16:66">
      <c r="P314" s="716">
        <v>0</v>
      </c>
      <c r="Q314" s="715">
        <f t="shared" si="68"/>
        <v>0</v>
      </c>
      <c r="R314" s="712">
        <f>IF(P315,_xll.qDateYears(P314,P315,DCCfixed),0)</f>
        <v>0</v>
      </c>
      <c r="S314" s="519">
        <f ca="1"/>
        <v>0</v>
      </c>
      <c r="T314" s="720"/>
      <c r="U314" s="390">
        <f t="shared" si="78"/>
        <v>0</v>
      </c>
      <c r="X314" s="345">
        <v>0</v>
      </c>
      <c r="Y314" s="711">
        <f t="shared" si="69"/>
        <v>0</v>
      </c>
      <c r="Z314" s="712">
        <f>IF(X315,_xll.qDateYears(X314,X315,DCCfloat),0)</f>
        <v>0</v>
      </c>
      <c r="AA314" s="519">
        <f ca="1"/>
        <v>0</v>
      </c>
      <c r="AB314" s="890">
        <f>IF(X314=0,0,         IF(OR(CCY="AUD",CCY="NZD",CCY="GBP"),X314,   _xll.qDateNext(X314,"-2b",,,IF(CCY="EUR","TGT","LON"))))</f>
        <v>0</v>
      </c>
      <c r="AC314" s="879" t="str">
        <v/>
      </c>
      <c r="AD314" s="879" t="str">
        <v/>
      </c>
      <c r="AE314" s="879" t="str">
        <v/>
      </c>
      <c r="AF314" s="879" t="str">
        <v/>
      </c>
      <c r="AG314" s="879" t="str">
        <v/>
      </c>
      <c r="AH314" s="879" t="str">
        <v/>
      </c>
      <c r="AI314" s="879" t="str">
        <v/>
      </c>
      <c r="AJ314" s="879" t="str">
        <v/>
      </c>
      <c r="AK314" s="882">
        <f>IF($X314=0,0,      _xll.qDateNext($X314,AK$12,$AR$11,FRM&lt;&gt;"Calypso",CCY))</f>
        <v>0</v>
      </c>
      <c r="AL314" s="882">
        <f>IF($X314=0,0,      _xll.qDateNext($X314,AL$12,$AR$11,FRM&lt;&gt;"Calypso",CCY))</f>
        <v>0</v>
      </c>
      <c r="AM314" s="882">
        <f>IF($X314=0,0,      _xll.qDateNext($X314,AM$12,$AR$11,FRM&lt;&gt;"Calypso",CCY))</f>
        <v>0</v>
      </c>
      <c r="AN314" s="882">
        <f>IF($X314=0,0,      _xll.qDateNext($X314,AN$12,$AR$11,FRM&lt;&gt;"Calypso",CCY))</f>
        <v>0</v>
      </c>
      <c r="AO314" s="882">
        <f>IF($X314=0,0,      _xll.qDateNext($X314,AO$12,$AR$11,FRM&lt;&gt;"Calypso",CCY))</f>
        <v>0</v>
      </c>
      <c r="AP314" s="882">
        <f>IF($X314=0,0,      _xll.qDateNext($X314,AP$12,$AR$11,FRM&lt;&gt;"Calypso",CCY))</f>
        <v>0</v>
      </c>
      <c r="AQ314" s="882">
        <f>IF($X314=0,0,      _xll.qDateNext($X314,AQ$12,$AR$11,FRM&lt;&gt;"Calypso",CCY))</f>
        <v>0</v>
      </c>
      <c r="AR314" s="882">
        <f>IF($X314=0,0,      _xll.qDateNext($X314,AR$12,$AR$11,FRM&lt;&gt;"Calypso",CCY))</f>
        <v>0</v>
      </c>
      <c r="AS314" s="901">
        <f ca="1"/>
        <v>0</v>
      </c>
      <c r="AT314" s="901">
        <f ca="1"/>
        <v>0</v>
      </c>
      <c r="AU314" s="901">
        <f t="shared" si="79"/>
        <v>0</v>
      </c>
      <c r="AV314" s="901">
        <f ca="1"/>
        <v>0</v>
      </c>
      <c r="AW314" s="901">
        <f t="shared" si="80"/>
        <v>0</v>
      </c>
      <c r="AX314" s="901">
        <f t="shared" si="81"/>
        <v>0</v>
      </c>
      <c r="AY314" s="901">
        <f ca="1"/>
        <v>0</v>
      </c>
      <c r="AZ314" s="901">
        <f ca="1"/>
        <v>0</v>
      </c>
      <c r="BA314" s="905">
        <f t="shared" si="70"/>
        <v>0</v>
      </c>
      <c r="BB314" s="905">
        <f t="shared" si="71"/>
        <v>0</v>
      </c>
      <c r="BC314" s="905">
        <f t="shared" si="72"/>
        <v>0</v>
      </c>
      <c r="BD314" s="905">
        <f t="shared" si="73"/>
        <v>0</v>
      </c>
      <c r="BE314" s="905">
        <f t="shared" si="74"/>
        <v>0</v>
      </c>
      <c r="BF314" s="905">
        <f t="shared" si="75"/>
        <v>0</v>
      </c>
      <c r="BG314" s="905">
        <f t="shared" si="76"/>
        <v>0</v>
      </c>
      <c r="BH314" s="905">
        <f t="shared" si="77"/>
        <v>0</v>
      </c>
      <c r="BI314" s="713">
        <v>0</v>
      </c>
      <c r="BJ314" s="695"/>
      <c r="BK314" s="752">
        <f>IF(X315=0,0,           IF(ISNUMBER(BJ314),BJ314,               IF(ISTEXT(BJ314),INDEX(BA314:BH314,MATCH(BJ314,$BA$12:$BH$12,0)),             IF(BI314="INT",_xll.qInterp(X315,AK314:AR314,BA314:BH314),            INDEX(BA314:BH314,MATCH(BI314,$BA$12:$BH$12,0))))))</f>
        <v>0</v>
      </c>
      <c r="BL314" s="389">
        <f t="shared" si="82"/>
        <v>0</v>
      </c>
      <c r="BM314" s="394">
        <f t="shared" si="83"/>
        <v>0</v>
      </c>
      <c r="BN314" s="389">
        <f t="shared" si="84"/>
        <v>0</v>
      </c>
    </row>
    <row r="315" spans="16:66">
      <c r="P315" s="716">
        <v>0</v>
      </c>
      <c r="Q315" s="715">
        <f t="shared" si="68"/>
        <v>0</v>
      </c>
      <c r="R315" s="712">
        <f>IF(P316,_xll.qDateYears(P315,P316,DCCfixed),0)</f>
        <v>0</v>
      </c>
      <c r="S315" s="519">
        <f ca="1"/>
        <v>0</v>
      </c>
      <c r="T315" s="720"/>
      <c r="U315" s="390">
        <f t="shared" si="78"/>
        <v>0</v>
      </c>
      <c r="X315" s="345">
        <v>0</v>
      </c>
      <c r="Y315" s="711">
        <f t="shared" si="69"/>
        <v>0</v>
      </c>
      <c r="Z315" s="712">
        <f>IF(X316,_xll.qDateYears(X315,X316,DCCfloat),0)</f>
        <v>0</v>
      </c>
      <c r="AA315" s="519">
        <f ca="1"/>
        <v>0</v>
      </c>
      <c r="AB315" s="890">
        <f>IF(X315=0,0,         IF(OR(CCY="AUD",CCY="NZD",CCY="GBP"),X315,   _xll.qDateNext(X315,"-2b",,,IF(CCY="EUR","TGT","LON"))))</f>
        <v>0</v>
      </c>
      <c r="AC315" s="879" t="str">
        <v/>
      </c>
      <c r="AD315" s="879" t="str">
        <v/>
      </c>
      <c r="AE315" s="879" t="str">
        <v/>
      </c>
      <c r="AF315" s="879" t="str">
        <v/>
      </c>
      <c r="AG315" s="879" t="str">
        <v/>
      </c>
      <c r="AH315" s="879" t="str">
        <v/>
      </c>
      <c r="AI315" s="879" t="str">
        <v/>
      </c>
      <c r="AJ315" s="879" t="str">
        <v/>
      </c>
      <c r="AK315" s="882">
        <f>IF($X315=0,0,      _xll.qDateNext($X315,AK$12,$AR$11,FRM&lt;&gt;"Calypso",CCY))</f>
        <v>0</v>
      </c>
      <c r="AL315" s="882">
        <f>IF($X315=0,0,      _xll.qDateNext($X315,AL$12,$AR$11,FRM&lt;&gt;"Calypso",CCY))</f>
        <v>0</v>
      </c>
      <c r="AM315" s="882">
        <f>IF($X315=0,0,      _xll.qDateNext($X315,AM$12,$AR$11,FRM&lt;&gt;"Calypso",CCY))</f>
        <v>0</v>
      </c>
      <c r="AN315" s="882">
        <f>IF($X315=0,0,      _xll.qDateNext($X315,AN$12,$AR$11,FRM&lt;&gt;"Calypso",CCY))</f>
        <v>0</v>
      </c>
      <c r="AO315" s="882">
        <f>IF($X315=0,0,      _xll.qDateNext($X315,AO$12,$AR$11,FRM&lt;&gt;"Calypso",CCY))</f>
        <v>0</v>
      </c>
      <c r="AP315" s="882">
        <f>IF($X315=0,0,      _xll.qDateNext($X315,AP$12,$AR$11,FRM&lt;&gt;"Calypso",CCY))</f>
        <v>0</v>
      </c>
      <c r="AQ315" s="882">
        <f>IF($X315=0,0,      _xll.qDateNext($X315,AQ$12,$AR$11,FRM&lt;&gt;"Calypso",CCY))</f>
        <v>0</v>
      </c>
      <c r="AR315" s="882">
        <f>IF($X315=0,0,      _xll.qDateNext($X315,AR$12,$AR$11,FRM&lt;&gt;"Calypso",CCY))</f>
        <v>0</v>
      </c>
      <c r="AS315" s="901">
        <f ca="1"/>
        <v>0</v>
      </c>
      <c r="AT315" s="901">
        <f ca="1"/>
        <v>0</v>
      </c>
      <c r="AU315" s="901">
        <f t="shared" si="79"/>
        <v>0</v>
      </c>
      <c r="AV315" s="901">
        <f ca="1"/>
        <v>0</v>
      </c>
      <c r="AW315" s="901">
        <f t="shared" si="80"/>
        <v>0</v>
      </c>
      <c r="AX315" s="901">
        <f t="shared" si="81"/>
        <v>0</v>
      </c>
      <c r="AY315" s="901">
        <f ca="1"/>
        <v>0</v>
      </c>
      <c r="AZ315" s="901">
        <f ca="1"/>
        <v>0</v>
      </c>
      <c r="BA315" s="905">
        <f t="shared" si="70"/>
        <v>0</v>
      </c>
      <c r="BB315" s="905">
        <f t="shared" si="71"/>
        <v>0</v>
      </c>
      <c r="BC315" s="905">
        <f t="shared" si="72"/>
        <v>0</v>
      </c>
      <c r="BD315" s="905">
        <f t="shared" si="73"/>
        <v>0</v>
      </c>
      <c r="BE315" s="905">
        <f t="shared" si="74"/>
        <v>0</v>
      </c>
      <c r="BF315" s="905">
        <f t="shared" si="75"/>
        <v>0</v>
      </c>
      <c r="BG315" s="905">
        <f t="shared" si="76"/>
        <v>0</v>
      </c>
      <c r="BH315" s="905">
        <f t="shared" si="77"/>
        <v>0</v>
      </c>
      <c r="BI315" s="713">
        <v>0</v>
      </c>
      <c r="BJ315" s="695"/>
      <c r="BK315" s="752">
        <f>IF(X316=0,0,           IF(ISNUMBER(BJ315),BJ315,               IF(ISTEXT(BJ315),INDEX(BA315:BH315,MATCH(BJ315,$BA$12:$BH$12,0)),             IF(BI315="INT",_xll.qInterp(X316,AK315:AR315,BA315:BH315),            INDEX(BA315:BH315,MATCH(BI315,$BA$12:$BH$12,0))))))</f>
        <v>0</v>
      </c>
      <c r="BL315" s="389">
        <f t="shared" si="82"/>
        <v>0</v>
      </c>
      <c r="BM315" s="394">
        <f t="shared" si="83"/>
        <v>0</v>
      </c>
      <c r="BN315" s="389">
        <f t="shared" si="84"/>
        <v>0</v>
      </c>
    </row>
    <row r="316" spans="16:66">
      <c r="P316" s="716">
        <v>0</v>
      </c>
      <c r="Q316" s="715">
        <f t="shared" si="68"/>
        <v>0</v>
      </c>
      <c r="R316" s="712">
        <f>IF(P317,_xll.qDateYears(P316,P317,DCCfixed),0)</f>
        <v>0</v>
      </c>
      <c r="S316" s="519">
        <f ca="1"/>
        <v>0</v>
      </c>
      <c r="T316" s="720"/>
      <c r="U316" s="390">
        <f t="shared" si="78"/>
        <v>0</v>
      </c>
      <c r="X316" s="345">
        <v>0</v>
      </c>
      <c r="Y316" s="711">
        <f t="shared" si="69"/>
        <v>0</v>
      </c>
      <c r="Z316" s="712">
        <f>IF(X317,_xll.qDateYears(X316,X317,DCCfloat),0)</f>
        <v>0</v>
      </c>
      <c r="AA316" s="519">
        <f ca="1"/>
        <v>0</v>
      </c>
      <c r="AB316" s="890">
        <f>IF(X316=0,0,         IF(OR(CCY="AUD",CCY="NZD",CCY="GBP"),X316,   _xll.qDateNext(X316,"-2b",,,IF(CCY="EUR","TGT","LON"))))</f>
        <v>0</v>
      </c>
      <c r="AC316" s="879" t="str">
        <v/>
      </c>
      <c r="AD316" s="879" t="str">
        <v/>
      </c>
      <c r="AE316" s="879" t="str">
        <v/>
      </c>
      <c r="AF316" s="879" t="str">
        <v/>
      </c>
      <c r="AG316" s="879" t="str">
        <v/>
      </c>
      <c r="AH316" s="879" t="str">
        <v/>
      </c>
      <c r="AI316" s="879" t="str">
        <v/>
      </c>
      <c r="AJ316" s="879" t="str">
        <v/>
      </c>
      <c r="AK316" s="882">
        <f>IF($X316=0,0,      _xll.qDateNext($X316,AK$12,$AR$11,FRM&lt;&gt;"Calypso",CCY))</f>
        <v>0</v>
      </c>
      <c r="AL316" s="882">
        <f>IF($X316=0,0,      _xll.qDateNext($X316,AL$12,$AR$11,FRM&lt;&gt;"Calypso",CCY))</f>
        <v>0</v>
      </c>
      <c r="AM316" s="882">
        <f>IF($X316=0,0,      _xll.qDateNext($X316,AM$12,$AR$11,FRM&lt;&gt;"Calypso",CCY))</f>
        <v>0</v>
      </c>
      <c r="AN316" s="882">
        <f>IF($X316=0,0,      _xll.qDateNext($X316,AN$12,$AR$11,FRM&lt;&gt;"Calypso",CCY))</f>
        <v>0</v>
      </c>
      <c r="AO316" s="882">
        <f>IF($X316=0,0,      _xll.qDateNext($X316,AO$12,$AR$11,FRM&lt;&gt;"Calypso",CCY))</f>
        <v>0</v>
      </c>
      <c r="AP316" s="882">
        <f>IF($X316=0,0,      _xll.qDateNext($X316,AP$12,$AR$11,FRM&lt;&gt;"Calypso",CCY))</f>
        <v>0</v>
      </c>
      <c r="AQ316" s="882">
        <f>IF($X316=0,0,      _xll.qDateNext($X316,AQ$12,$AR$11,FRM&lt;&gt;"Calypso",CCY))</f>
        <v>0</v>
      </c>
      <c r="AR316" s="882">
        <f>IF($X316=0,0,      _xll.qDateNext($X316,AR$12,$AR$11,FRM&lt;&gt;"Calypso",CCY))</f>
        <v>0</v>
      </c>
      <c r="AS316" s="901">
        <f ca="1"/>
        <v>0</v>
      </c>
      <c r="AT316" s="901">
        <f ca="1"/>
        <v>0</v>
      </c>
      <c r="AU316" s="901">
        <f t="shared" si="79"/>
        <v>0</v>
      </c>
      <c r="AV316" s="901">
        <f ca="1"/>
        <v>0</v>
      </c>
      <c r="AW316" s="901">
        <f t="shared" si="80"/>
        <v>0</v>
      </c>
      <c r="AX316" s="901">
        <f t="shared" si="81"/>
        <v>0</v>
      </c>
      <c r="AY316" s="901">
        <f ca="1"/>
        <v>0</v>
      </c>
      <c r="AZ316" s="901">
        <f ca="1"/>
        <v>0</v>
      </c>
      <c r="BA316" s="905">
        <f t="shared" si="70"/>
        <v>0</v>
      </c>
      <c r="BB316" s="905">
        <f t="shared" si="71"/>
        <v>0</v>
      </c>
      <c r="BC316" s="905">
        <f t="shared" si="72"/>
        <v>0</v>
      </c>
      <c r="BD316" s="905">
        <f t="shared" si="73"/>
        <v>0</v>
      </c>
      <c r="BE316" s="905">
        <f t="shared" si="74"/>
        <v>0</v>
      </c>
      <c r="BF316" s="905">
        <f t="shared" si="75"/>
        <v>0</v>
      </c>
      <c r="BG316" s="905">
        <f t="shared" si="76"/>
        <v>0</v>
      </c>
      <c r="BH316" s="905">
        <f t="shared" si="77"/>
        <v>0</v>
      </c>
      <c r="BI316" s="713">
        <v>0</v>
      </c>
      <c r="BJ316" s="695"/>
      <c r="BK316" s="752">
        <f>IF(X317=0,0,           IF(ISNUMBER(BJ316),BJ316,               IF(ISTEXT(BJ316),INDEX(BA316:BH316,MATCH(BJ316,$BA$12:$BH$12,0)),             IF(BI316="INT",_xll.qInterp(X317,AK316:AR316,BA316:BH316),            INDEX(BA316:BH316,MATCH(BI316,$BA$12:$BH$12,0))))))</f>
        <v>0</v>
      </c>
      <c r="BL316" s="389">
        <f t="shared" si="82"/>
        <v>0</v>
      </c>
      <c r="BM316" s="394">
        <f t="shared" si="83"/>
        <v>0</v>
      </c>
      <c r="BN316" s="389">
        <f t="shared" si="84"/>
        <v>0</v>
      </c>
    </row>
    <row r="317" spans="16:66">
      <c r="P317" s="716">
        <v>0</v>
      </c>
      <c r="Q317" s="715">
        <f t="shared" si="68"/>
        <v>0</v>
      </c>
      <c r="R317" s="712">
        <f>IF(P318,_xll.qDateYears(P317,P318,DCCfixed),0)</f>
        <v>0</v>
      </c>
      <c r="S317" s="519">
        <f ca="1"/>
        <v>0</v>
      </c>
      <c r="T317" s="720"/>
      <c r="U317" s="390">
        <f t="shared" si="78"/>
        <v>0</v>
      </c>
      <c r="X317" s="345">
        <v>0</v>
      </c>
      <c r="Y317" s="711">
        <f t="shared" si="69"/>
        <v>0</v>
      </c>
      <c r="Z317" s="712">
        <f>IF(X318,_xll.qDateYears(X317,X318,DCCfloat),0)</f>
        <v>0</v>
      </c>
      <c r="AA317" s="519">
        <f ca="1"/>
        <v>0</v>
      </c>
      <c r="AB317" s="890">
        <f>IF(X317=0,0,         IF(OR(CCY="AUD",CCY="NZD",CCY="GBP"),X317,   _xll.qDateNext(X317,"-2b",,,IF(CCY="EUR","TGT","LON"))))</f>
        <v>0</v>
      </c>
      <c r="AC317" s="879" t="str">
        <v/>
      </c>
      <c r="AD317" s="879" t="str">
        <v/>
      </c>
      <c r="AE317" s="879" t="str">
        <v/>
      </c>
      <c r="AF317" s="879" t="str">
        <v/>
      </c>
      <c r="AG317" s="879" t="str">
        <v/>
      </c>
      <c r="AH317" s="879" t="str">
        <v/>
      </c>
      <c r="AI317" s="879" t="str">
        <v/>
      </c>
      <c r="AJ317" s="879" t="str">
        <v/>
      </c>
      <c r="AK317" s="882">
        <f>IF($X317=0,0,      _xll.qDateNext($X317,AK$12,$AR$11,FRM&lt;&gt;"Calypso",CCY))</f>
        <v>0</v>
      </c>
      <c r="AL317" s="882">
        <f>IF($X317=0,0,      _xll.qDateNext($X317,AL$12,$AR$11,FRM&lt;&gt;"Calypso",CCY))</f>
        <v>0</v>
      </c>
      <c r="AM317" s="882">
        <f>IF($X317=0,0,      _xll.qDateNext($X317,AM$12,$AR$11,FRM&lt;&gt;"Calypso",CCY))</f>
        <v>0</v>
      </c>
      <c r="AN317" s="882">
        <f>IF($X317=0,0,      _xll.qDateNext($X317,AN$12,$AR$11,FRM&lt;&gt;"Calypso",CCY))</f>
        <v>0</v>
      </c>
      <c r="AO317" s="882">
        <f>IF($X317=0,0,      _xll.qDateNext($X317,AO$12,$AR$11,FRM&lt;&gt;"Calypso",CCY))</f>
        <v>0</v>
      </c>
      <c r="AP317" s="882">
        <f>IF($X317=0,0,      _xll.qDateNext($X317,AP$12,$AR$11,FRM&lt;&gt;"Calypso",CCY))</f>
        <v>0</v>
      </c>
      <c r="AQ317" s="882">
        <f>IF($X317=0,0,      _xll.qDateNext($X317,AQ$12,$AR$11,FRM&lt;&gt;"Calypso",CCY))</f>
        <v>0</v>
      </c>
      <c r="AR317" s="882">
        <f>IF($X317=0,0,      _xll.qDateNext($X317,AR$12,$AR$11,FRM&lt;&gt;"Calypso",CCY))</f>
        <v>0</v>
      </c>
      <c r="AS317" s="901">
        <f ca="1"/>
        <v>0</v>
      </c>
      <c r="AT317" s="901">
        <f ca="1"/>
        <v>0</v>
      </c>
      <c r="AU317" s="901">
        <f t="shared" si="79"/>
        <v>0</v>
      </c>
      <c r="AV317" s="901">
        <f ca="1"/>
        <v>0</v>
      </c>
      <c r="AW317" s="901">
        <f t="shared" si="80"/>
        <v>0</v>
      </c>
      <c r="AX317" s="901">
        <f t="shared" si="81"/>
        <v>0</v>
      </c>
      <c r="AY317" s="901">
        <f ca="1"/>
        <v>0</v>
      </c>
      <c r="AZ317" s="901">
        <f ca="1"/>
        <v>0</v>
      </c>
      <c r="BA317" s="905">
        <f t="shared" si="70"/>
        <v>0</v>
      </c>
      <c r="BB317" s="905">
        <f t="shared" si="71"/>
        <v>0</v>
      </c>
      <c r="BC317" s="905">
        <f t="shared" si="72"/>
        <v>0</v>
      </c>
      <c r="BD317" s="905">
        <f t="shared" si="73"/>
        <v>0</v>
      </c>
      <c r="BE317" s="905">
        <f t="shared" si="74"/>
        <v>0</v>
      </c>
      <c r="BF317" s="905">
        <f t="shared" si="75"/>
        <v>0</v>
      </c>
      <c r="BG317" s="905">
        <f t="shared" si="76"/>
        <v>0</v>
      </c>
      <c r="BH317" s="905">
        <f t="shared" si="77"/>
        <v>0</v>
      </c>
      <c r="BI317" s="713">
        <v>0</v>
      </c>
      <c r="BJ317" s="695"/>
      <c r="BK317" s="752">
        <f>IF(X318=0,0,           IF(ISNUMBER(BJ317),BJ317,               IF(ISTEXT(BJ317),INDEX(BA317:BH317,MATCH(BJ317,$BA$12:$BH$12,0)),             IF(BI317="INT",_xll.qInterp(X318,AK317:AR317,BA317:BH317),            INDEX(BA317:BH317,MATCH(BI317,$BA$12:$BH$12,0))))))</f>
        <v>0</v>
      </c>
      <c r="BL317" s="389">
        <f t="shared" si="82"/>
        <v>0</v>
      </c>
      <c r="BM317" s="394">
        <f t="shared" si="83"/>
        <v>0</v>
      </c>
      <c r="BN317" s="389">
        <f t="shared" si="84"/>
        <v>0</v>
      </c>
    </row>
    <row r="318" spans="16:66">
      <c r="P318" s="716">
        <v>0</v>
      </c>
      <c r="Q318" s="715">
        <f t="shared" si="68"/>
        <v>0</v>
      </c>
      <c r="R318" s="712">
        <f>IF(P319,_xll.qDateYears(P318,P319,DCCfixed),0)</f>
        <v>0</v>
      </c>
      <c r="S318" s="519">
        <f ca="1"/>
        <v>0</v>
      </c>
      <c r="T318" s="720"/>
      <c r="U318" s="390">
        <f t="shared" si="78"/>
        <v>0</v>
      </c>
      <c r="X318" s="345">
        <v>0</v>
      </c>
      <c r="Y318" s="711">
        <f t="shared" si="69"/>
        <v>0</v>
      </c>
      <c r="Z318" s="712">
        <f>IF(X319,_xll.qDateYears(X318,X319,DCCfloat),0)</f>
        <v>0</v>
      </c>
      <c r="AA318" s="519">
        <f ca="1"/>
        <v>0</v>
      </c>
      <c r="AB318" s="890">
        <f>IF(X318=0,0,         IF(OR(CCY="AUD",CCY="NZD",CCY="GBP"),X318,   _xll.qDateNext(X318,"-2b",,,IF(CCY="EUR","TGT","LON"))))</f>
        <v>0</v>
      </c>
      <c r="AC318" s="879" t="str">
        <v/>
      </c>
      <c r="AD318" s="879" t="str">
        <v/>
      </c>
      <c r="AE318" s="879" t="str">
        <v/>
      </c>
      <c r="AF318" s="879" t="str">
        <v/>
      </c>
      <c r="AG318" s="879" t="str">
        <v/>
      </c>
      <c r="AH318" s="879" t="str">
        <v/>
      </c>
      <c r="AI318" s="879" t="str">
        <v/>
      </c>
      <c r="AJ318" s="879" t="str">
        <v/>
      </c>
      <c r="AK318" s="882">
        <f>IF($X318=0,0,      _xll.qDateNext($X318,AK$12,$AR$11,FRM&lt;&gt;"Calypso",CCY))</f>
        <v>0</v>
      </c>
      <c r="AL318" s="882">
        <f>IF($X318=0,0,      _xll.qDateNext($X318,AL$12,$AR$11,FRM&lt;&gt;"Calypso",CCY))</f>
        <v>0</v>
      </c>
      <c r="AM318" s="882">
        <f>IF($X318=0,0,      _xll.qDateNext($X318,AM$12,$AR$11,FRM&lt;&gt;"Calypso",CCY))</f>
        <v>0</v>
      </c>
      <c r="AN318" s="882">
        <f>IF($X318=0,0,      _xll.qDateNext($X318,AN$12,$AR$11,FRM&lt;&gt;"Calypso",CCY))</f>
        <v>0</v>
      </c>
      <c r="AO318" s="882">
        <f>IF($X318=0,0,      _xll.qDateNext($X318,AO$12,$AR$11,FRM&lt;&gt;"Calypso",CCY))</f>
        <v>0</v>
      </c>
      <c r="AP318" s="882">
        <f>IF($X318=0,0,      _xll.qDateNext($X318,AP$12,$AR$11,FRM&lt;&gt;"Calypso",CCY))</f>
        <v>0</v>
      </c>
      <c r="AQ318" s="882">
        <f>IF($X318=0,0,      _xll.qDateNext($X318,AQ$12,$AR$11,FRM&lt;&gt;"Calypso",CCY))</f>
        <v>0</v>
      </c>
      <c r="AR318" s="882">
        <f>IF($X318=0,0,      _xll.qDateNext($X318,AR$12,$AR$11,FRM&lt;&gt;"Calypso",CCY))</f>
        <v>0</v>
      </c>
      <c r="AS318" s="901">
        <f ca="1"/>
        <v>0</v>
      </c>
      <c r="AT318" s="901">
        <f ca="1"/>
        <v>0</v>
      </c>
      <c r="AU318" s="901">
        <f t="shared" si="79"/>
        <v>0</v>
      </c>
      <c r="AV318" s="901">
        <f ca="1"/>
        <v>0</v>
      </c>
      <c r="AW318" s="901">
        <f t="shared" si="80"/>
        <v>0</v>
      </c>
      <c r="AX318" s="901">
        <f t="shared" si="81"/>
        <v>0</v>
      </c>
      <c r="AY318" s="901">
        <f ca="1"/>
        <v>0</v>
      </c>
      <c r="AZ318" s="901">
        <f ca="1"/>
        <v>0</v>
      </c>
      <c r="BA318" s="905">
        <f t="shared" si="70"/>
        <v>0</v>
      </c>
      <c r="BB318" s="905">
        <f t="shared" si="71"/>
        <v>0</v>
      </c>
      <c r="BC318" s="905">
        <f t="shared" si="72"/>
        <v>0</v>
      </c>
      <c r="BD318" s="905">
        <f t="shared" si="73"/>
        <v>0</v>
      </c>
      <c r="BE318" s="905">
        <f t="shared" si="74"/>
        <v>0</v>
      </c>
      <c r="BF318" s="905">
        <f t="shared" si="75"/>
        <v>0</v>
      </c>
      <c r="BG318" s="905">
        <f t="shared" si="76"/>
        <v>0</v>
      </c>
      <c r="BH318" s="905">
        <f t="shared" si="77"/>
        <v>0</v>
      </c>
      <c r="BI318" s="713">
        <v>0</v>
      </c>
      <c r="BJ318" s="695"/>
      <c r="BK318" s="752">
        <f>IF(X319=0,0,           IF(ISNUMBER(BJ318),BJ318,               IF(ISTEXT(BJ318),INDEX(BA318:BH318,MATCH(BJ318,$BA$12:$BH$12,0)),             IF(BI318="INT",_xll.qInterp(X319,AK318:AR318,BA318:BH318),            INDEX(BA318:BH318,MATCH(BI318,$BA$12:$BH$12,0))))))</f>
        <v>0</v>
      </c>
      <c r="BL318" s="389">
        <f t="shared" si="82"/>
        <v>0</v>
      </c>
      <c r="BM318" s="394">
        <f t="shared" si="83"/>
        <v>0</v>
      </c>
      <c r="BN318" s="389">
        <f t="shared" si="84"/>
        <v>0</v>
      </c>
    </row>
    <row r="319" spans="16:66">
      <c r="P319" s="716">
        <v>0</v>
      </c>
      <c r="Q319" s="715">
        <f t="shared" si="68"/>
        <v>0</v>
      </c>
      <c r="R319" s="712">
        <f>IF(P320,_xll.qDateYears(P319,P320,DCCfixed),0)</f>
        <v>0</v>
      </c>
      <c r="S319" s="519">
        <f ca="1"/>
        <v>0</v>
      </c>
      <c r="T319" s="720"/>
      <c r="U319" s="390">
        <f t="shared" si="78"/>
        <v>0</v>
      </c>
      <c r="X319" s="345">
        <v>0</v>
      </c>
      <c r="Y319" s="711">
        <f t="shared" si="69"/>
        <v>0</v>
      </c>
      <c r="Z319" s="712">
        <f>IF(X320,_xll.qDateYears(X319,X320,DCCfloat),0)</f>
        <v>0</v>
      </c>
      <c r="AA319" s="519">
        <f ca="1"/>
        <v>0</v>
      </c>
      <c r="AB319" s="890">
        <f>IF(X319=0,0,         IF(OR(CCY="AUD",CCY="NZD",CCY="GBP"),X319,   _xll.qDateNext(X319,"-2b",,,IF(CCY="EUR","TGT","LON"))))</f>
        <v>0</v>
      </c>
      <c r="AC319" s="879" t="str">
        <v/>
      </c>
      <c r="AD319" s="879" t="str">
        <v/>
      </c>
      <c r="AE319" s="879" t="str">
        <v/>
      </c>
      <c r="AF319" s="879" t="str">
        <v/>
      </c>
      <c r="AG319" s="879" t="str">
        <v/>
      </c>
      <c r="AH319" s="879" t="str">
        <v/>
      </c>
      <c r="AI319" s="879" t="str">
        <v/>
      </c>
      <c r="AJ319" s="879" t="str">
        <v/>
      </c>
      <c r="AK319" s="882">
        <f>IF($X319=0,0,      _xll.qDateNext($X319,AK$12,$AR$11,FRM&lt;&gt;"Calypso",CCY))</f>
        <v>0</v>
      </c>
      <c r="AL319" s="882">
        <f>IF($X319=0,0,      _xll.qDateNext($X319,AL$12,$AR$11,FRM&lt;&gt;"Calypso",CCY))</f>
        <v>0</v>
      </c>
      <c r="AM319" s="882">
        <f>IF($X319=0,0,      _xll.qDateNext($X319,AM$12,$AR$11,FRM&lt;&gt;"Calypso",CCY))</f>
        <v>0</v>
      </c>
      <c r="AN319" s="882">
        <f>IF($X319=0,0,      _xll.qDateNext($X319,AN$12,$AR$11,FRM&lt;&gt;"Calypso",CCY))</f>
        <v>0</v>
      </c>
      <c r="AO319" s="882">
        <f>IF($X319=0,0,      _xll.qDateNext($X319,AO$12,$AR$11,FRM&lt;&gt;"Calypso",CCY))</f>
        <v>0</v>
      </c>
      <c r="AP319" s="882">
        <f>IF($X319=0,0,      _xll.qDateNext($X319,AP$12,$AR$11,FRM&lt;&gt;"Calypso",CCY))</f>
        <v>0</v>
      </c>
      <c r="AQ319" s="882">
        <f>IF($X319=0,0,      _xll.qDateNext($X319,AQ$12,$AR$11,FRM&lt;&gt;"Calypso",CCY))</f>
        <v>0</v>
      </c>
      <c r="AR319" s="882">
        <f>IF($X319=0,0,      _xll.qDateNext($X319,AR$12,$AR$11,FRM&lt;&gt;"Calypso",CCY))</f>
        <v>0</v>
      </c>
      <c r="AS319" s="901">
        <f ca="1"/>
        <v>0</v>
      </c>
      <c r="AT319" s="901">
        <f ca="1"/>
        <v>0</v>
      </c>
      <c r="AU319" s="901">
        <f t="shared" si="79"/>
        <v>0</v>
      </c>
      <c r="AV319" s="901">
        <f ca="1"/>
        <v>0</v>
      </c>
      <c r="AW319" s="901">
        <f t="shared" si="80"/>
        <v>0</v>
      </c>
      <c r="AX319" s="901">
        <f t="shared" si="81"/>
        <v>0</v>
      </c>
      <c r="AY319" s="901">
        <f ca="1"/>
        <v>0</v>
      </c>
      <c r="AZ319" s="901">
        <f ca="1"/>
        <v>0</v>
      </c>
      <c r="BA319" s="905">
        <f t="shared" si="70"/>
        <v>0</v>
      </c>
      <c r="BB319" s="905">
        <f t="shared" si="71"/>
        <v>0</v>
      </c>
      <c r="BC319" s="905">
        <f t="shared" si="72"/>
        <v>0</v>
      </c>
      <c r="BD319" s="905">
        <f t="shared" si="73"/>
        <v>0</v>
      </c>
      <c r="BE319" s="905">
        <f t="shared" si="74"/>
        <v>0</v>
      </c>
      <c r="BF319" s="905">
        <f t="shared" si="75"/>
        <v>0</v>
      </c>
      <c r="BG319" s="905">
        <f t="shared" si="76"/>
        <v>0</v>
      </c>
      <c r="BH319" s="905">
        <f t="shared" si="77"/>
        <v>0</v>
      </c>
      <c r="BI319" s="713">
        <v>0</v>
      </c>
      <c r="BJ319" s="695"/>
      <c r="BK319" s="752">
        <f>IF(X320=0,0,           IF(ISNUMBER(BJ319),BJ319,               IF(ISTEXT(BJ319),INDEX(BA319:BH319,MATCH(BJ319,$BA$12:$BH$12,0)),             IF(BI319="INT",_xll.qInterp(X320,AK319:AR319,BA319:BH319),            INDEX(BA319:BH319,MATCH(BI319,$BA$12:$BH$12,0))))))</f>
        <v>0</v>
      </c>
      <c r="BL319" s="389">
        <f t="shared" si="82"/>
        <v>0</v>
      </c>
      <c r="BM319" s="394">
        <f t="shared" si="83"/>
        <v>0</v>
      </c>
      <c r="BN319" s="389">
        <f t="shared" si="84"/>
        <v>0</v>
      </c>
    </row>
    <row r="320" spans="16:66">
      <c r="P320" s="716">
        <v>0</v>
      </c>
      <c r="Q320" s="715">
        <f t="shared" si="68"/>
        <v>0</v>
      </c>
      <c r="R320" s="712">
        <f>IF(P321,_xll.qDateYears(P320,P321,DCCfixed),0)</f>
        <v>0</v>
      </c>
      <c r="S320" s="519">
        <f ca="1"/>
        <v>0</v>
      </c>
      <c r="T320" s="720"/>
      <c r="U320" s="390">
        <f t="shared" si="78"/>
        <v>0</v>
      </c>
      <c r="X320" s="345">
        <v>0</v>
      </c>
      <c r="Y320" s="711">
        <f t="shared" si="69"/>
        <v>0</v>
      </c>
      <c r="Z320" s="712">
        <f>IF(X321,_xll.qDateYears(X320,X321,DCCfloat),0)</f>
        <v>0</v>
      </c>
      <c r="AA320" s="519">
        <f ca="1"/>
        <v>0</v>
      </c>
      <c r="AB320" s="890">
        <f>IF(X320=0,0,         IF(OR(CCY="AUD",CCY="NZD",CCY="GBP"),X320,   _xll.qDateNext(X320,"-2b",,,IF(CCY="EUR","TGT","LON"))))</f>
        <v>0</v>
      </c>
      <c r="AC320" s="879" t="str">
        <v/>
      </c>
      <c r="AD320" s="879" t="str">
        <v/>
      </c>
      <c r="AE320" s="879" t="str">
        <v/>
      </c>
      <c r="AF320" s="879" t="str">
        <v/>
      </c>
      <c r="AG320" s="879" t="str">
        <v/>
      </c>
      <c r="AH320" s="879" t="str">
        <v/>
      </c>
      <c r="AI320" s="879" t="str">
        <v/>
      </c>
      <c r="AJ320" s="879" t="str">
        <v/>
      </c>
      <c r="AK320" s="882">
        <f>IF($X320=0,0,      _xll.qDateNext($X320,AK$12,$AR$11,FRM&lt;&gt;"Calypso",CCY))</f>
        <v>0</v>
      </c>
      <c r="AL320" s="882">
        <f>IF($X320=0,0,      _xll.qDateNext($X320,AL$12,$AR$11,FRM&lt;&gt;"Calypso",CCY))</f>
        <v>0</v>
      </c>
      <c r="AM320" s="882">
        <f>IF($X320=0,0,      _xll.qDateNext($X320,AM$12,$AR$11,FRM&lt;&gt;"Calypso",CCY))</f>
        <v>0</v>
      </c>
      <c r="AN320" s="882">
        <f>IF($X320=0,0,      _xll.qDateNext($X320,AN$12,$AR$11,FRM&lt;&gt;"Calypso",CCY))</f>
        <v>0</v>
      </c>
      <c r="AO320" s="882">
        <f>IF($X320=0,0,      _xll.qDateNext($X320,AO$12,$AR$11,FRM&lt;&gt;"Calypso",CCY))</f>
        <v>0</v>
      </c>
      <c r="AP320" s="882">
        <f>IF($X320=0,0,      _xll.qDateNext($X320,AP$12,$AR$11,FRM&lt;&gt;"Calypso",CCY))</f>
        <v>0</v>
      </c>
      <c r="AQ320" s="882">
        <f>IF($X320=0,0,      _xll.qDateNext($X320,AQ$12,$AR$11,FRM&lt;&gt;"Calypso",CCY))</f>
        <v>0</v>
      </c>
      <c r="AR320" s="882">
        <f>IF($X320=0,0,      _xll.qDateNext($X320,AR$12,$AR$11,FRM&lt;&gt;"Calypso",CCY))</f>
        <v>0</v>
      </c>
      <c r="AS320" s="901">
        <f ca="1"/>
        <v>0</v>
      </c>
      <c r="AT320" s="901">
        <f ca="1"/>
        <v>0</v>
      </c>
      <c r="AU320" s="901">
        <f t="shared" si="79"/>
        <v>0</v>
      </c>
      <c r="AV320" s="901">
        <f ca="1"/>
        <v>0</v>
      </c>
      <c r="AW320" s="901">
        <f t="shared" si="80"/>
        <v>0</v>
      </c>
      <c r="AX320" s="901">
        <f t="shared" si="81"/>
        <v>0</v>
      </c>
      <c r="AY320" s="901">
        <f ca="1"/>
        <v>0</v>
      </c>
      <c r="AZ320" s="901">
        <f ca="1"/>
        <v>0</v>
      </c>
      <c r="BA320" s="905">
        <f t="shared" si="70"/>
        <v>0</v>
      </c>
      <c r="BB320" s="905">
        <f t="shared" si="71"/>
        <v>0</v>
      </c>
      <c r="BC320" s="905">
        <f t="shared" si="72"/>
        <v>0</v>
      </c>
      <c r="BD320" s="905">
        <f t="shared" si="73"/>
        <v>0</v>
      </c>
      <c r="BE320" s="905">
        <f t="shared" si="74"/>
        <v>0</v>
      </c>
      <c r="BF320" s="905">
        <f t="shared" si="75"/>
        <v>0</v>
      </c>
      <c r="BG320" s="905">
        <f t="shared" si="76"/>
        <v>0</v>
      </c>
      <c r="BH320" s="905">
        <f t="shared" si="77"/>
        <v>0</v>
      </c>
      <c r="BI320" s="713">
        <v>0</v>
      </c>
      <c r="BJ320" s="695"/>
      <c r="BK320" s="752">
        <f>IF(X321=0,0,           IF(ISNUMBER(BJ320),BJ320,               IF(ISTEXT(BJ320),INDEX(BA320:BH320,MATCH(BJ320,$BA$12:$BH$12,0)),             IF(BI320="INT",_xll.qInterp(X321,AK320:AR320,BA320:BH320),            INDEX(BA320:BH320,MATCH(BI320,$BA$12:$BH$12,0))))))</f>
        <v>0</v>
      </c>
      <c r="BL320" s="389">
        <f t="shared" si="82"/>
        <v>0</v>
      </c>
      <c r="BM320" s="394">
        <f t="shared" si="83"/>
        <v>0</v>
      </c>
      <c r="BN320" s="389">
        <f t="shared" si="84"/>
        <v>0</v>
      </c>
    </row>
    <row r="321" spans="16:66">
      <c r="P321" s="716">
        <v>0</v>
      </c>
      <c r="Q321" s="715">
        <f t="shared" si="68"/>
        <v>0</v>
      </c>
      <c r="R321" s="712">
        <f>IF(P322,_xll.qDateYears(P321,P322,DCCfixed),0)</f>
        <v>0</v>
      </c>
      <c r="S321" s="519">
        <f ca="1"/>
        <v>0</v>
      </c>
      <c r="T321" s="720"/>
      <c r="U321" s="390">
        <f t="shared" si="78"/>
        <v>0</v>
      </c>
      <c r="X321" s="345">
        <v>0</v>
      </c>
      <c r="Y321" s="711">
        <f t="shared" si="69"/>
        <v>0</v>
      </c>
      <c r="Z321" s="712">
        <f>IF(X322,_xll.qDateYears(X321,X322,DCCfloat),0)</f>
        <v>0</v>
      </c>
      <c r="AA321" s="519">
        <f ca="1"/>
        <v>0</v>
      </c>
      <c r="AB321" s="890">
        <f>IF(X321=0,0,         IF(OR(CCY="AUD",CCY="NZD",CCY="GBP"),X321,   _xll.qDateNext(X321,"-2b",,,IF(CCY="EUR","TGT","LON"))))</f>
        <v>0</v>
      </c>
      <c r="AC321" s="879" t="str">
        <v/>
      </c>
      <c r="AD321" s="879" t="str">
        <v/>
      </c>
      <c r="AE321" s="879" t="str">
        <v/>
      </c>
      <c r="AF321" s="879" t="str">
        <v/>
      </c>
      <c r="AG321" s="879" t="str">
        <v/>
      </c>
      <c r="AH321" s="879" t="str">
        <v/>
      </c>
      <c r="AI321" s="879" t="str">
        <v/>
      </c>
      <c r="AJ321" s="879" t="str">
        <v/>
      </c>
      <c r="AK321" s="882">
        <f>IF($X321=0,0,      _xll.qDateNext($X321,AK$12,$AR$11,FRM&lt;&gt;"Calypso",CCY))</f>
        <v>0</v>
      </c>
      <c r="AL321" s="882">
        <f>IF($X321=0,0,      _xll.qDateNext($X321,AL$12,$AR$11,FRM&lt;&gt;"Calypso",CCY))</f>
        <v>0</v>
      </c>
      <c r="AM321" s="882">
        <f>IF($X321=0,0,      _xll.qDateNext($X321,AM$12,$AR$11,FRM&lt;&gt;"Calypso",CCY))</f>
        <v>0</v>
      </c>
      <c r="AN321" s="882">
        <f>IF($X321=0,0,      _xll.qDateNext($X321,AN$12,$AR$11,FRM&lt;&gt;"Calypso",CCY))</f>
        <v>0</v>
      </c>
      <c r="AO321" s="882">
        <f>IF($X321=0,0,      _xll.qDateNext($X321,AO$12,$AR$11,FRM&lt;&gt;"Calypso",CCY))</f>
        <v>0</v>
      </c>
      <c r="AP321" s="882">
        <f>IF($X321=0,0,      _xll.qDateNext($X321,AP$12,$AR$11,FRM&lt;&gt;"Calypso",CCY))</f>
        <v>0</v>
      </c>
      <c r="AQ321" s="882">
        <f>IF($X321=0,0,      _xll.qDateNext($X321,AQ$12,$AR$11,FRM&lt;&gt;"Calypso",CCY))</f>
        <v>0</v>
      </c>
      <c r="AR321" s="882">
        <f>IF($X321=0,0,      _xll.qDateNext($X321,AR$12,$AR$11,FRM&lt;&gt;"Calypso",CCY))</f>
        <v>0</v>
      </c>
      <c r="AS321" s="901">
        <f ca="1"/>
        <v>0</v>
      </c>
      <c r="AT321" s="901">
        <f ca="1"/>
        <v>0</v>
      </c>
      <c r="AU321" s="901">
        <f t="shared" si="79"/>
        <v>0</v>
      </c>
      <c r="AV321" s="901">
        <f ca="1"/>
        <v>0</v>
      </c>
      <c r="AW321" s="901">
        <f t="shared" si="80"/>
        <v>0</v>
      </c>
      <c r="AX321" s="901">
        <f t="shared" si="81"/>
        <v>0</v>
      </c>
      <c r="AY321" s="901">
        <f ca="1"/>
        <v>0</v>
      </c>
      <c r="AZ321" s="901">
        <f ca="1"/>
        <v>0</v>
      </c>
      <c r="BA321" s="905">
        <f t="shared" si="70"/>
        <v>0</v>
      </c>
      <c r="BB321" s="905">
        <f t="shared" si="71"/>
        <v>0</v>
      </c>
      <c r="BC321" s="905">
        <f t="shared" si="72"/>
        <v>0</v>
      </c>
      <c r="BD321" s="905">
        <f t="shared" si="73"/>
        <v>0</v>
      </c>
      <c r="BE321" s="905">
        <f t="shared" si="74"/>
        <v>0</v>
      </c>
      <c r="BF321" s="905">
        <f t="shared" si="75"/>
        <v>0</v>
      </c>
      <c r="BG321" s="905">
        <f t="shared" si="76"/>
        <v>0</v>
      </c>
      <c r="BH321" s="905">
        <f t="shared" si="77"/>
        <v>0</v>
      </c>
      <c r="BI321" s="713">
        <v>0</v>
      </c>
      <c r="BJ321" s="695"/>
      <c r="BK321" s="752">
        <f>IF(X322=0,0,           IF(ISNUMBER(BJ321),BJ321,               IF(ISTEXT(BJ321),INDEX(BA321:BH321,MATCH(BJ321,$BA$12:$BH$12,0)),             IF(BI321="INT",_xll.qInterp(X322,AK321:AR321,BA321:BH321),            INDEX(BA321:BH321,MATCH(BI321,$BA$12:$BH$12,0))))))</f>
        <v>0</v>
      </c>
      <c r="BL321" s="389">
        <f t="shared" si="82"/>
        <v>0</v>
      </c>
      <c r="BM321" s="394">
        <f t="shared" si="83"/>
        <v>0</v>
      </c>
      <c r="BN321" s="389">
        <f t="shared" si="84"/>
        <v>0</v>
      </c>
    </row>
    <row r="322" spans="16:66">
      <c r="P322" s="716">
        <v>0</v>
      </c>
      <c r="Q322" s="715">
        <f t="shared" si="68"/>
        <v>0</v>
      </c>
      <c r="R322" s="712">
        <f>IF(P323,_xll.qDateYears(P322,P323,DCCfixed),0)</f>
        <v>0</v>
      </c>
      <c r="S322" s="519">
        <f ca="1"/>
        <v>0</v>
      </c>
      <c r="T322" s="720"/>
      <c r="U322" s="390">
        <f t="shared" si="78"/>
        <v>0</v>
      </c>
      <c r="X322" s="345">
        <v>0</v>
      </c>
      <c r="Y322" s="711">
        <f t="shared" si="69"/>
        <v>0</v>
      </c>
      <c r="Z322" s="712">
        <f>IF(X323,_xll.qDateYears(X322,X323,DCCfloat),0)</f>
        <v>0</v>
      </c>
      <c r="AA322" s="519">
        <f ca="1"/>
        <v>0</v>
      </c>
      <c r="AB322" s="890">
        <f>IF(X322=0,0,         IF(OR(CCY="AUD",CCY="NZD",CCY="GBP"),X322,   _xll.qDateNext(X322,"-2b",,,IF(CCY="EUR","TGT","LON"))))</f>
        <v>0</v>
      </c>
      <c r="AC322" s="879" t="str">
        <v/>
      </c>
      <c r="AD322" s="879" t="str">
        <v/>
      </c>
      <c r="AE322" s="879" t="str">
        <v/>
      </c>
      <c r="AF322" s="879" t="str">
        <v/>
      </c>
      <c r="AG322" s="879" t="str">
        <v/>
      </c>
      <c r="AH322" s="879" t="str">
        <v/>
      </c>
      <c r="AI322" s="879" t="str">
        <v/>
      </c>
      <c r="AJ322" s="879" t="str">
        <v/>
      </c>
      <c r="AK322" s="882">
        <f>IF($X322=0,0,      _xll.qDateNext($X322,AK$12,$AR$11,FRM&lt;&gt;"Calypso",CCY))</f>
        <v>0</v>
      </c>
      <c r="AL322" s="882">
        <f>IF($X322=0,0,      _xll.qDateNext($X322,AL$12,$AR$11,FRM&lt;&gt;"Calypso",CCY))</f>
        <v>0</v>
      </c>
      <c r="AM322" s="882">
        <f>IF($X322=0,0,      _xll.qDateNext($X322,AM$12,$AR$11,FRM&lt;&gt;"Calypso",CCY))</f>
        <v>0</v>
      </c>
      <c r="AN322" s="882">
        <f>IF($X322=0,0,      _xll.qDateNext($X322,AN$12,$AR$11,FRM&lt;&gt;"Calypso",CCY))</f>
        <v>0</v>
      </c>
      <c r="AO322" s="882">
        <f>IF($X322=0,0,      _xll.qDateNext($X322,AO$12,$AR$11,FRM&lt;&gt;"Calypso",CCY))</f>
        <v>0</v>
      </c>
      <c r="AP322" s="882">
        <f>IF($X322=0,0,      _xll.qDateNext($X322,AP$12,$AR$11,FRM&lt;&gt;"Calypso",CCY))</f>
        <v>0</v>
      </c>
      <c r="AQ322" s="882">
        <f>IF($X322=0,0,      _xll.qDateNext($X322,AQ$12,$AR$11,FRM&lt;&gt;"Calypso",CCY))</f>
        <v>0</v>
      </c>
      <c r="AR322" s="882">
        <f>IF($X322=0,0,      _xll.qDateNext($X322,AR$12,$AR$11,FRM&lt;&gt;"Calypso",CCY))</f>
        <v>0</v>
      </c>
      <c r="AS322" s="901">
        <f ca="1"/>
        <v>0</v>
      </c>
      <c r="AT322" s="901">
        <f ca="1"/>
        <v>0</v>
      </c>
      <c r="AU322" s="901">
        <f t="shared" si="79"/>
        <v>0</v>
      </c>
      <c r="AV322" s="901">
        <f ca="1"/>
        <v>0</v>
      </c>
      <c r="AW322" s="901">
        <f t="shared" si="80"/>
        <v>0</v>
      </c>
      <c r="AX322" s="901">
        <f t="shared" si="81"/>
        <v>0</v>
      </c>
      <c r="AY322" s="901">
        <f ca="1"/>
        <v>0</v>
      </c>
      <c r="AZ322" s="901">
        <f ca="1"/>
        <v>0</v>
      </c>
      <c r="BA322" s="905">
        <f t="shared" si="70"/>
        <v>0</v>
      </c>
      <c r="BB322" s="905">
        <f t="shared" si="71"/>
        <v>0</v>
      </c>
      <c r="BC322" s="905">
        <f t="shared" si="72"/>
        <v>0</v>
      </c>
      <c r="BD322" s="905">
        <f t="shared" si="73"/>
        <v>0</v>
      </c>
      <c r="BE322" s="905">
        <f t="shared" si="74"/>
        <v>0</v>
      </c>
      <c r="BF322" s="905">
        <f t="shared" si="75"/>
        <v>0</v>
      </c>
      <c r="BG322" s="905">
        <f t="shared" si="76"/>
        <v>0</v>
      </c>
      <c r="BH322" s="905">
        <f t="shared" si="77"/>
        <v>0</v>
      </c>
      <c r="BI322" s="713">
        <v>0</v>
      </c>
      <c r="BJ322" s="695"/>
      <c r="BK322" s="752">
        <f>IF(X323=0,0,           IF(ISNUMBER(BJ322),BJ322,               IF(ISTEXT(BJ322),INDEX(BA322:BH322,MATCH(BJ322,$BA$12:$BH$12,0)),             IF(BI322="INT",_xll.qInterp(X323,AK322:AR322,BA322:BH322),            INDEX(BA322:BH322,MATCH(BI322,$BA$12:$BH$12,0))))))</f>
        <v>0</v>
      </c>
      <c r="BL322" s="389">
        <f t="shared" si="82"/>
        <v>0</v>
      </c>
      <c r="BM322" s="394">
        <f t="shared" si="83"/>
        <v>0</v>
      </c>
      <c r="BN322" s="389">
        <f t="shared" si="84"/>
        <v>0</v>
      </c>
    </row>
    <row r="323" spans="16:66">
      <c r="P323" s="716">
        <v>0</v>
      </c>
      <c r="Q323" s="715">
        <f t="shared" si="68"/>
        <v>0</v>
      </c>
      <c r="R323" s="712">
        <f>IF(P324,_xll.qDateYears(P323,P324,DCCfixed),0)</f>
        <v>0</v>
      </c>
      <c r="S323" s="519">
        <f ca="1"/>
        <v>0</v>
      </c>
      <c r="T323" s="720"/>
      <c r="U323" s="390">
        <f t="shared" si="78"/>
        <v>0</v>
      </c>
      <c r="X323" s="345">
        <v>0</v>
      </c>
      <c r="Y323" s="711">
        <f t="shared" si="69"/>
        <v>0</v>
      </c>
      <c r="Z323" s="712">
        <f>IF(X324,_xll.qDateYears(X323,X324,DCCfloat),0)</f>
        <v>0</v>
      </c>
      <c r="AA323" s="519">
        <f ca="1"/>
        <v>0</v>
      </c>
      <c r="AB323" s="890">
        <f>IF(X323=0,0,         IF(OR(CCY="AUD",CCY="NZD",CCY="GBP"),X323,   _xll.qDateNext(X323,"-2b",,,IF(CCY="EUR","TGT","LON"))))</f>
        <v>0</v>
      </c>
      <c r="AC323" s="879" t="str">
        <v/>
      </c>
      <c r="AD323" s="879" t="str">
        <v/>
      </c>
      <c r="AE323" s="879" t="str">
        <v/>
      </c>
      <c r="AF323" s="879" t="str">
        <v/>
      </c>
      <c r="AG323" s="879" t="str">
        <v/>
      </c>
      <c r="AH323" s="879" t="str">
        <v/>
      </c>
      <c r="AI323" s="879" t="str">
        <v/>
      </c>
      <c r="AJ323" s="879" t="str">
        <v/>
      </c>
      <c r="AK323" s="882">
        <f>IF($X323=0,0,      _xll.qDateNext($X323,AK$12,$AR$11,FRM&lt;&gt;"Calypso",CCY))</f>
        <v>0</v>
      </c>
      <c r="AL323" s="882">
        <f>IF($X323=0,0,      _xll.qDateNext($X323,AL$12,$AR$11,FRM&lt;&gt;"Calypso",CCY))</f>
        <v>0</v>
      </c>
      <c r="AM323" s="882">
        <f>IF($X323=0,0,      _xll.qDateNext($X323,AM$12,$AR$11,FRM&lt;&gt;"Calypso",CCY))</f>
        <v>0</v>
      </c>
      <c r="AN323" s="882">
        <f>IF($X323=0,0,      _xll.qDateNext($X323,AN$12,$AR$11,FRM&lt;&gt;"Calypso",CCY))</f>
        <v>0</v>
      </c>
      <c r="AO323" s="882">
        <f>IF($X323=0,0,      _xll.qDateNext($X323,AO$12,$AR$11,FRM&lt;&gt;"Calypso",CCY))</f>
        <v>0</v>
      </c>
      <c r="AP323" s="882">
        <f>IF($X323=0,0,      _xll.qDateNext($X323,AP$12,$AR$11,FRM&lt;&gt;"Calypso",CCY))</f>
        <v>0</v>
      </c>
      <c r="AQ323" s="882">
        <f>IF($X323=0,0,      _xll.qDateNext($X323,AQ$12,$AR$11,FRM&lt;&gt;"Calypso",CCY))</f>
        <v>0</v>
      </c>
      <c r="AR323" s="882">
        <f>IF($X323=0,0,      _xll.qDateNext($X323,AR$12,$AR$11,FRM&lt;&gt;"Calypso",CCY))</f>
        <v>0</v>
      </c>
      <c r="AS323" s="901">
        <f ca="1"/>
        <v>0</v>
      </c>
      <c r="AT323" s="901">
        <f ca="1"/>
        <v>0</v>
      </c>
      <c r="AU323" s="901">
        <f t="shared" si="79"/>
        <v>0</v>
      </c>
      <c r="AV323" s="901">
        <f ca="1"/>
        <v>0</v>
      </c>
      <c r="AW323" s="901">
        <f t="shared" si="80"/>
        <v>0</v>
      </c>
      <c r="AX323" s="901">
        <f t="shared" si="81"/>
        <v>0</v>
      </c>
      <c r="AY323" s="901">
        <f ca="1"/>
        <v>0</v>
      </c>
      <c r="AZ323" s="901">
        <f ca="1"/>
        <v>0</v>
      </c>
      <c r="BA323" s="905">
        <f t="shared" si="70"/>
        <v>0</v>
      </c>
      <c r="BB323" s="905">
        <f t="shared" si="71"/>
        <v>0</v>
      </c>
      <c r="BC323" s="905">
        <f t="shared" si="72"/>
        <v>0</v>
      </c>
      <c r="BD323" s="905">
        <f t="shared" si="73"/>
        <v>0</v>
      </c>
      <c r="BE323" s="905">
        <f t="shared" si="74"/>
        <v>0</v>
      </c>
      <c r="BF323" s="905">
        <f t="shared" si="75"/>
        <v>0</v>
      </c>
      <c r="BG323" s="905">
        <f t="shared" si="76"/>
        <v>0</v>
      </c>
      <c r="BH323" s="905">
        <f t="shared" si="77"/>
        <v>0</v>
      </c>
      <c r="BI323" s="713">
        <v>0</v>
      </c>
      <c r="BJ323" s="695"/>
      <c r="BK323" s="752">
        <f>IF(X324=0,0,           IF(ISNUMBER(BJ323),BJ323,               IF(ISTEXT(BJ323),INDEX(BA323:BH323,MATCH(BJ323,$BA$12:$BH$12,0)),             IF(BI323="INT",_xll.qInterp(X324,AK323:AR323,BA323:BH323),            INDEX(BA323:BH323,MATCH(BI323,$BA$12:$BH$12,0))))))</f>
        <v>0</v>
      </c>
      <c r="BL323" s="389">
        <f t="shared" si="82"/>
        <v>0</v>
      </c>
      <c r="BM323" s="394">
        <f t="shared" si="83"/>
        <v>0</v>
      </c>
      <c r="BN323" s="389">
        <f t="shared" si="84"/>
        <v>0</v>
      </c>
    </row>
    <row r="324" spans="16:66">
      <c r="P324" s="716">
        <v>0</v>
      </c>
      <c r="Q324" s="715">
        <f t="shared" si="68"/>
        <v>0</v>
      </c>
      <c r="R324" s="712">
        <f>IF(P325,_xll.qDateYears(P324,P325,DCCfixed),0)</f>
        <v>0</v>
      </c>
      <c r="S324" s="519">
        <f ca="1"/>
        <v>0</v>
      </c>
      <c r="T324" s="720"/>
      <c r="U324" s="390">
        <f t="shared" si="78"/>
        <v>0</v>
      </c>
      <c r="X324" s="345">
        <v>0</v>
      </c>
      <c r="Y324" s="711">
        <f t="shared" si="69"/>
        <v>0</v>
      </c>
      <c r="Z324" s="712">
        <f>IF(X325,_xll.qDateYears(X324,X325,DCCfloat),0)</f>
        <v>0</v>
      </c>
      <c r="AA324" s="519">
        <f ca="1"/>
        <v>0</v>
      </c>
      <c r="AB324" s="890">
        <f>IF(X324=0,0,         IF(OR(CCY="AUD",CCY="NZD",CCY="GBP"),X324,   _xll.qDateNext(X324,"-2b",,,IF(CCY="EUR","TGT","LON"))))</f>
        <v>0</v>
      </c>
      <c r="AC324" s="879" t="str">
        <v/>
      </c>
      <c r="AD324" s="879" t="str">
        <v/>
      </c>
      <c r="AE324" s="879" t="str">
        <v/>
      </c>
      <c r="AF324" s="879" t="str">
        <v/>
      </c>
      <c r="AG324" s="879" t="str">
        <v/>
      </c>
      <c r="AH324" s="879" t="str">
        <v/>
      </c>
      <c r="AI324" s="879" t="str">
        <v/>
      </c>
      <c r="AJ324" s="879" t="str">
        <v/>
      </c>
      <c r="AK324" s="882">
        <f>IF($X324=0,0,      _xll.qDateNext($X324,AK$12,$AR$11,FRM&lt;&gt;"Calypso",CCY))</f>
        <v>0</v>
      </c>
      <c r="AL324" s="882">
        <f>IF($X324=0,0,      _xll.qDateNext($X324,AL$12,$AR$11,FRM&lt;&gt;"Calypso",CCY))</f>
        <v>0</v>
      </c>
      <c r="AM324" s="882">
        <f>IF($X324=0,0,      _xll.qDateNext($X324,AM$12,$AR$11,FRM&lt;&gt;"Calypso",CCY))</f>
        <v>0</v>
      </c>
      <c r="AN324" s="882">
        <f>IF($X324=0,0,      _xll.qDateNext($X324,AN$12,$AR$11,FRM&lt;&gt;"Calypso",CCY))</f>
        <v>0</v>
      </c>
      <c r="AO324" s="882">
        <f>IF($X324=0,0,      _xll.qDateNext($X324,AO$12,$AR$11,FRM&lt;&gt;"Calypso",CCY))</f>
        <v>0</v>
      </c>
      <c r="AP324" s="882">
        <f>IF($X324=0,0,      _xll.qDateNext($X324,AP$12,$AR$11,FRM&lt;&gt;"Calypso",CCY))</f>
        <v>0</v>
      </c>
      <c r="AQ324" s="882">
        <f>IF($X324=0,0,      _xll.qDateNext($X324,AQ$12,$AR$11,FRM&lt;&gt;"Calypso",CCY))</f>
        <v>0</v>
      </c>
      <c r="AR324" s="882">
        <f>IF($X324=0,0,      _xll.qDateNext($X324,AR$12,$AR$11,FRM&lt;&gt;"Calypso",CCY))</f>
        <v>0</v>
      </c>
      <c r="AS324" s="901">
        <f ca="1"/>
        <v>0</v>
      </c>
      <c r="AT324" s="901">
        <f ca="1"/>
        <v>0</v>
      </c>
      <c r="AU324" s="901">
        <f t="shared" si="79"/>
        <v>0</v>
      </c>
      <c r="AV324" s="901">
        <f ca="1"/>
        <v>0</v>
      </c>
      <c r="AW324" s="901">
        <f t="shared" si="80"/>
        <v>0</v>
      </c>
      <c r="AX324" s="901">
        <f t="shared" si="81"/>
        <v>0</v>
      </c>
      <c r="AY324" s="901">
        <f ca="1"/>
        <v>0</v>
      </c>
      <c r="AZ324" s="901">
        <f ca="1"/>
        <v>0</v>
      </c>
      <c r="BA324" s="905">
        <f t="shared" si="70"/>
        <v>0</v>
      </c>
      <c r="BB324" s="905">
        <f t="shared" si="71"/>
        <v>0</v>
      </c>
      <c r="BC324" s="905">
        <f t="shared" si="72"/>
        <v>0</v>
      </c>
      <c r="BD324" s="905">
        <f t="shared" si="73"/>
        <v>0</v>
      </c>
      <c r="BE324" s="905">
        <f t="shared" si="74"/>
        <v>0</v>
      </c>
      <c r="BF324" s="905">
        <f t="shared" si="75"/>
        <v>0</v>
      </c>
      <c r="BG324" s="905">
        <f t="shared" si="76"/>
        <v>0</v>
      </c>
      <c r="BH324" s="905">
        <f t="shared" si="77"/>
        <v>0</v>
      </c>
      <c r="BI324" s="713">
        <v>0</v>
      </c>
      <c r="BJ324" s="695"/>
      <c r="BK324" s="752">
        <f>IF(X325=0,0,           IF(ISNUMBER(BJ324),BJ324,               IF(ISTEXT(BJ324),INDEX(BA324:BH324,MATCH(BJ324,$BA$12:$BH$12,0)),             IF(BI324="INT",_xll.qInterp(X325,AK324:AR324,BA324:BH324),            INDEX(BA324:BH324,MATCH(BI324,$BA$12:$BH$12,0))))))</f>
        <v>0</v>
      </c>
      <c r="BL324" s="389">
        <f t="shared" si="82"/>
        <v>0</v>
      </c>
      <c r="BM324" s="394">
        <f t="shared" si="83"/>
        <v>0</v>
      </c>
      <c r="BN324" s="389">
        <f t="shared" si="84"/>
        <v>0</v>
      </c>
    </row>
    <row r="325" spans="16:66">
      <c r="P325" s="716">
        <v>0</v>
      </c>
      <c r="Q325" s="715">
        <f t="shared" si="68"/>
        <v>0</v>
      </c>
      <c r="R325" s="712">
        <f>IF(P326,_xll.qDateYears(P325,P326,DCCfixed),0)</f>
        <v>0</v>
      </c>
      <c r="S325" s="519">
        <f ca="1"/>
        <v>0</v>
      </c>
      <c r="T325" s="720"/>
      <c r="U325" s="390">
        <f t="shared" si="78"/>
        <v>0</v>
      </c>
      <c r="X325" s="345">
        <v>0</v>
      </c>
      <c r="Y325" s="711">
        <f t="shared" si="69"/>
        <v>0</v>
      </c>
      <c r="Z325" s="712">
        <f>IF(X326,_xll.qDateYears(X325,X326,DCCfloat),0)</f>
        <v>0</v>
      </c>
      <c r="AA325" s="519">
        <f ca="1"/>
        <v>0</v>
      </c>
      <c r="AB325" s="890">
        <f>IF(X325=0,0,         IF(OR(CCY="AUD",CCY="NZD",CCY="GBP"),X325,   _xll.qDateNext(X325,"-2b",,,IF(CCY="EUR","TGT","LON"))))</f>
        <v>0</v>
      </c>
      <c r="AC325" s="879" t="str">
        <v/>
      </c>
      <c r="AD325" s="879" t="str">
        <v/>
      </c>
      <c r="AE325" s="879" t="str">
        <v/>
      </c>
      <c r="AF325" s="879" t="str">
        <v/>
      </c>
      <c r="AG325" s="879" t="str">
        <v/>
      </c>
      <c r="AH325" s="879" t="str">
        <v/>
      </c>
      <c r="AI325" s="879" t="str">
        <v/>
      </c>
      <c r="AJ325" s="879" t="str">
        <v/>
      </c>
      <c r="AK325" s="882">
        <f>IF($X325=0,0,      _xll.qDateNext($X325,AK$12,$AR$11,FRM&lt;&gt;"Calypso",CCY))</f>
        <v>0</v>
      </c>
      <c r="AL325" s="882">
        <f>IF($X325=0,0,      _xll.qDateNext($X325,AL$12,$AR$11,FRM&lt;&gt;"Calypso",CCY))</f>
        <v>0</v>
      </c>
      <c r="AM325" s="882">
        <f>IF($X325=0,0,      _xll.qDateNext($X325,AM$12,$AR$11,FRM&lt;&gt;"Calypso",CCY))</f>
        <v>0</v>
      </c>
      <c r="AN325" s="882">
        <f>IF($X325=0,0,      _xll.qDateNext($X325,AN$12,$AR$11,FRM&lt;&gt;"Calypso",CCY))</f>
        <v>0</v>
      </c>
      <c r="AO325" s="882">
        <f>IF($X325=0,0,      _xll.qDateNext($X325,AO$12,$AR$11,FRM&lt;&gt;"Calypso",CCY))</f>
        <v>0</v>
      </c>
      <c r="AP325" s="882">
        <f>IF($X325=0,0,      _xll.qDateNext($X325,AP$12,$AR$11,FRM&lt;&gt;"Calypso",CCY))</f>
        <v>0</v>
      </c>
      <c r="AQ325" s="882">
        <f>IF($X325=0,0,      _xll.qDateNext($X325,AQ$12,$AR$11,FRM&lt;&gt;"Calypso",CCY))</f>
        <v>0</v>
      </c>
      <c r="AR325" s="882">
        <f>IF($X325=0,0,      _xll.qDateNext($X325,AR$12,$AR$11,FRM&lt;&gt;"Calypso",CCY))</f>
        <v>0</v>
      </c>
      <c r="AS325" s="901">
        <f ca="1"/>
        <v>0</v>
      </c>
      <c r="AT325" s="901">
        <f ca="1"/>
        <v>0</v>
      </c>
      <c r="AU325" s="901">
        <f t="shared" si="79"/>
        <v>0</v>
      </c>
      <c r="AV325" s="901">
        <f ca="1"/>
        <v>0</v>
      </c>
      <c r="AW325" s="901">
        <f t="shared" si="80"/>
        <v>0</v>
      </c>
      <c r="AX325" s="901">
        <f t="shared" si="81"/>
        <v>0</v>
      </c>
      <c r="AY325" s="901">
        <f ca="1"/>
        <v>0</v>
      </c>
      <c r="AZ325" s="901">
        <f ca="1"/>
        <v>0</v>
      </c>
      <c r="BA325" s="905">
        <f t="shared" si="70"/>
        <v>0</v>
      </c>
      <c r="BB325" s="905">
        <f t="shared" si="71"/>
        <v>0</v>
      </c>
      <c r="BC325" s="905">
        <f t="shared" si="72"/>
        <v>0</v>
      </c>
      <c r="BD325" s="905">
        <f t="shared" si="73"/>
        <v>0</v>
      </c>
      <c r="BE325" s="905">
        <f t="shared" si="74"/>
        <v>0</v>
      </c>
      <c r="BF325" s="905">
        <f t="shared" si="75"/>
        <v>0</v>
      </c>
      <c r="BG325" s="905">
        <f t="shared" si="76"/>
        <v>0</v>
      </c>
      <c r="BH325" s="905">
        <f t="shared" si="77"/>
        <v>0</v>
      </c>
      <c r="BI325" s="713">
        <v>0</v>
      </c>
      <c r="BJ325" s="695"/>
      <c r="BK325" s="752">
        <f>IF(X326=0,0,           IF(ISNUMBER(BJ325),BJ325,               IF(ISTEXT(BJ325),INDEX(BA325:BH325,MATCH(BJ325,$BA$12:$BH$12,0)),             IF(BI325="INT",_xll.qInterp(X326,AK325:AR325,BA325:BH325),            INDEX(BA325:BH325,MATCH(BI325,$BA$12:$BH$12,0))))))</f>
        <v>0</v>
      </c>
      <c r="BL325" s="389">
        <f t="shared" si="82"/>
        <v>0</v>
      </c>
      <c r="BM325" s="394">
        <f t="shared" si="83"/>
        <v>0</v>
      </c>
      <c r="BN325" s="389">
        <f t="shared" si="84"/>
        <v>0</v>
      </c>
    </row>
    <row r="326" spans="16:66">
      <c r="P326" s="716">
        <v>0</v>
      </c>
      <c r="Q326" s="715">
        <f t="shared" si="68"/>
        <v>0</v>
      </c>
      <c r="R326" s="712">
        <f>IF(P327,_xll.qDateYears(P326,P327,DCCfixed),0)</f>
        <v>0</v>
      </c>
      <c r="S326" s="519">
        <f ca="1"/>
        <v>0</v>
      </c>
      <c r="T326" s="720"/>
      <c r="U326" s="390">
        <f t="shared" si="78"/>
        <v>0</v>
      </c>
      <c r="X326" s="345">
        <v>0</v>
      </c>
      <c r="Y326" s="711">
        <f t="shared" si="69"/>
        <v>0</v>
      </c>
      <c r="Z326" s="712">
        <f>IF(X327,_xll.qDateYears(X326,X327,DCCfloat),0)</f>
        <v>0</v>
      </c>
      <c r="AA326" s="519">
        <f ca="1"/>
        <v>0</v>
      </c>
      <c r="AB326" s="890">
        <f>IF(X326=0,0,         IF(OR(CCY="AUD",CCY="NZD",CCY="GBP"),X326,   _xll.qDateNext(X326,"-2b",,,IF(CCY="EUR","TGT","LON"))))</f>
        <v>0</v>
      </c>
      <c r="AC326" s="879" t="str">
        <v/>
      </c>
      <c r="AD326" s="879" t="str">
        <v/>
      </c>
      <c r="AE326" s="879" t="str">
        <v/>
      </c>
      <c r="AF326" s="879" t="str">
        <v/>
      </c>
      <c r="AG326" s="879" t="str">
        <v/>
      </c>
      <c r="AH326" s="879" t="str">
        <v/>
      </c>
      <c r="AI326" s="879" t="str">
        <v/>
      </c>
      <c r="AJ326" s="879" t="str">
        <v/>
      </c>
      <c r="AK326" s="882">
        <f>IF($X326=0,0,      _xll.qDateNext($X326,AK$12,$AR$11,FRM&lt;&gt;"Calypso",CCY))</f>
        <v>0</v>
      </c>
      <c r="AL326" s="882">
        <f>IF($X326=0,0,      _xll.qDateNext($X326,AL$12,$AR$11,FRM&lt;&gt;"Calypso",CCY))</f>
        <v>0</v>
      </c>
      <c r="AM326" s="882">
        <f>IF($X326=0,0,      _xll.qDateNext($X326,AM$12,$AR$11,FRM&lt;&gt;"Calypso",CCY))</f>
        <v>0</v>
      </c>
      <c r="AN326" s="882">
        <f>IF($X326=0,0,      _xll.qDateNext($X326,AN$12,$AR$11,FRM&lt;&gt;"Calypso",CCY))</f>
        <v>0</v>
      </c>
      <c r="AO326" s="882">
        <f>IF($X326=0,0,      _xll.qDateNext($X326,AO$12,$AR$11,FRM&lt;&gt;"Calypso",CCY))</f>
        <v>0</v>
      </c>
      <c r="AP326" s="882">
        <f>IF($X326=0,0,      _xll.qDateNext($X326,AP$12,$AR$11,FRM&lt;&gt;"Calypso",CCY))</f>
        <v>0</v>
      </c>
      <c r="AQ326" s="882">
        <f>IF($X326=0,0,      _xll.qDateNext($X326,AQ$12,$AR$11,FRM&lt;&gt;"Calypso",CCY))</f>
        <v>0</v>
      </c>
      <c r="AR326" s="882">
        <f>IF($X326=0,0,      _xll.qDateNext($X326,AR$12,$AR$11,FRM&lt;&gt;"Calypso",CCY))</f>
        <v>0</v>
      </c>
      <c r="AS326" s="901">
        <f ca="1"/>
        <v>0</v>
      </c>
      <c r="AT326" s="901">
        <f ca="1"/>
        <v>0</v>
      </c>
      <c r="AU326" s="901">
        <f t="shared" si="79"/>
        <v>0</v>
      </c>
      <c r="AV326" s="901">
        <f ca="1"/>
        <v>0</v>
      </c>
      <c r="AW326" s="901">
        <f t="shared" si="80"/>
        <v>0</v>
      </c>
      <c r="AX326" s="901">
        <f t="shared" si="81"/>
        <v>0</v>
      </c>
      <c r="AY326" s="901">
        <f ca="1"/>
        <v>0</v>
      </c>
      <c r="AZ326" s="901">
        <f ca="1"/>
        <v>0</v>
      </c>
      <c r="BA326" s="905">
        <f t="shared" si="70"/>
        <v>0</v>
      </c>
      <c r="BB326" s="905">
        <f t="shared" si="71"/>
        <v>0</v>
      </c>
      <c r="BC326" s="905">
        <f t="shared" si="72"/>
        <v>0</v>
      </c>
      <c r="BD326" s="905">
        <f t="shared" si="73"/>
        <v>0</v>
      </c>
      <c r="BE326" s="905">
        <f t="shared" si="74"/>
        <v>0</v>
      </c>
      <c r="BF326" s="905">
        <f t="shared" si="75"/>
        <v>0</v>
      </c>
      <c r="BG326" s="905">
        <f t="shared" si="76"/>
        <v>0</v>
      </c>
      <c r="BH326" s="905">
        <f t="shared" si="77"/>
        <v>0</v>
      </c>
      <c r="BI326" s="713">
        <v>0</v>
      </c>
      <c r="BJ326" s="695"/>
      <c r="BK326" s="752">
        <f>IF(X327=0,0,           IF(ISNUMBER(BJ326),BJ326,               IF(ISTEXT(BJ326),INDEX(BA326:BH326,MATCH(BJ326,$BA$12:$BH$12,0)),             IF(BI326="INT",_xll.qInterp(X327,AK326:AR326,BA326:BH326),            INDEX(BA326:BH326,MATCH(BI326,$BA$12:$BH$12,0))))))</f>
        <v>0</v>
      </c>
      <c r="BL326" s="389">
        <f t="shared" si="82"/>
        <v>0</v>
      </c>
      <c r="BM326" s="394">
        <f t="shared" si="83"/>
        <v>0</v>
      </c>
      <c r="BN326" s="389">
        <f t="shared" si="84"/>
        <v>0</v>
      </c>
    </row>
    <row r="327" spans="16:66">
      <c r="P327" s="716">
        <v>0</v>
      </c>
      <c r="Q327" s="715">
        <f t="shared" si="68"/>
        <v>0</v>
      </c>
      <c r="R327" s="712">
        <f>IF(P328,_xll.qDateYears(P327,P328,DCCfixed),0)</f>
        <v>0</v>
      </c>
      <c r="S327" s="519">
        <f ca="1"/>
        <v>0</v>
      </c>
      <c r="T327" s="720"/>
      <c r="U327" s="390">
        <f t="shared" si="78"/>
        <v>0</v>
      </c>
      <c r="X327" s="345">
        <v>0</v>
      </c>
      <c r="Y327" s="711">
        <f t="shared" si="69"/>
        <v>0</v>
      </c>
      <c r="Z327" s="712">
        <f>IF(X328,_xll.qDateYears(X327,X328,DCCfloat),0)</f>
        <v>0</v>
      </c>
      <c r="AA327" s="519">
        <f ca="1"/>
        <v>0</v>
      </c>
      <c r="AB327" s="890">
        <f>IF(X327=0,0,         IF(OR(CCY="AUD",CCY="NZD",CCY="GBP"),X327,   _xll.qDateNext(X327,"-2b",,,IF(CCY="EUR","TGT","LON"))))</f>
        <v>0</v>
      </c>
      <c r="AC327" s="879" t="str">
        <v/>
      </c>
      <c r="AD327" s="879" t="str">
        <v/>
      </c>
      <c r="AE327" s="879" t="str">
        <v/>
      </c>
      <c r="AF327" s="879" t="str">
        <v/>
      </c>
      <c r="AG327" s="879" t="str">
        <v/>
      </c>
      <c r="AH327" s="879" t="str">
        <v/>
      </c>
      <c r="AI327" s="879" t="str">
        <v/>
      </c>
      <c r="AJ327" s="879" t="str">
        <v/>
      </c>
      <c r="AK327" s="882">
        <f>IF($X327=0,0,      _xll.qDateNext($X327,AK$12,$AR$11,FRM&lt;&gt;"Calypso",CCY))</f>
        <v>0</v>
      </c>
      <c r="AL327" s="882">
        <f>IF($X327=0,0,      _xll.qDateNext($X327,AL$12,$AR$11,FRM&lt;&gt;"Calypso",CCY))</f>
        <v>0</v>
      </c>
      <c r="AM327" s="882">
        <f>IF($X327=0,0,      _xll.qDateNext($X327,AM$12,$AR$11,FRM&lt;&gt;"Calypso",CCY))</f>
        <v>0</v>
      </c>
      <c r="AN327" s="882">
        <f>IF($X327=0,0,      _xll.qDateNext($X327,AN$12,$AR$11,FRM&lt;&gt;"Calypso",CCY))</f>
        <v>0</v>
      </c>
      <c r="AO327" s="882">
        <f>IF($X327=0,0,      _xll.qDateNext($X327,AO$12,$AR$11,FRM&lt;&gt;"Calypso",CCY))</f>
        <v>0</v>
      </c>
      <c r="AP327" s="882">
        <f>IF($X327=0,0,      _xll.qDateNext($X327,AP$12,$AR$11,FRM&lt;&gt;"Calypso",CCY))</f>
        <v>0</v>
      </c>
      <c r="AQ327" s="882">
        <f>IF($X327=0,0,      _xll.qDateNext($X327,AQ$12,$AR$11,FRM&lt;&gt;"Calypso",CCY))</f>
        <v>0</v>
      </c>
      <c r="AR327" s="882">
        <f>IF($X327=0,0,      _xll.qDateNext($X327,AR$12,$AR$11,FRM&lt;&gt;"Calypso",CCY))</f>
        <v>0</v>
      </c>
      <c r="AS327" s="901">
        <f ca="1"/>
        <v>0</v>
      </c>
      <c r="AT327" s="901">
        <f ca="1"/>
        <v>0</v>
      </c>
      <c r="AU327" s="901">
        <f t="shared" si="79"/>
        <v>0</v>
      </c>
      <c r="AV327" s="901">
        <f ca="1"/>
        <v>0</v>
      </c>
      <c r="AW327" s="901">
        <f t="shared" si="80"/>
        <v>0</v>
      </c>
      <c r="AX327" s="901">
        <f t="shared" si="81"/>
        <v>0</v>
      </c>
      <c r="AY327" s="901">
        <f ca="1"/>
        <v>0</v>
      </c>
      <c r="AZ327" s="901">
        <f ca="1"/>
        <v>0</v>
      </c>
      <c r="BA327" s="905">
        <f t="shared" si="70"/>
        <v>0</v>
      </c>
      <c r="BB327" s="905">
        <f t="shared" si="71"/>
        <v>0</v>
      </c>
      <c r="BC327" s="905">
        <f t="shared" si="72"/>
        <v>0</v>
      </c>
      <c r="BD327" s="905">
        <f t="shared" si="73"/>
        <v>0</v>
      </c>
      <c r="BE327" s="905">
        <f t="shared" si="74"/>
        <v>0</v>
      </c>
      <c r="BF327" s="905">
        <f t="shared" si="75"/>
        <v>0</v>
      </c>
      <c r="BG327" s="905">
        <f t="shared" si="76"/>
        <v>0</v>
      </c>
      <c r="BH327" s="905">
        <f t="shared" si="77"/>
        <v>0</v>
      </c>
      <c r="BI327" s="713">
        <v>0</v>
      </c>
      <c r="BJ327" s="695"/>
      <c r="BK327" s="752">
        <f>IF(X328=0,0,           IF(ISNUMBER(BJ327),BJ327,               IF(ISTEXT(BJ327),INDEX(BA327:BH327,MATCH(BJ327,$BA$12:$BH$12,0)),             IF(BI327="INT",_xll.qInterp(X328,AK327:AR327,BA327:BH327),            INDEX(BA327:BH327,MATCH(BI327,$BA$12:$BH$12,0))))))</f>
        <v>0</v>
      </c>
      <c r="BL327" s="389">
        <f t="shared" si="82"/>
        <v>0</v>
      </c>
      <c r="BM327" s="394">
        <f t="shared" si="83"/>
        <v>0</v>
      </c>
      <c r="BN327" s="389">
        <f t="shared" si="84"/>
        <v>0</v>
      </c>
    </row>
    <row r="328" spans="16:66">
      <c r="P328" s="716">
        <v>0</v>
      </c>
      <c r="Q328" s="715">
        <f t="shared" si="68"/>
        <v>0</v>
      </c>
      <c r="R328" s="712">
        <f>IF(P329,_xll.qDateYears(P328,P329,DCCfixed),0)</f>
        <v>0</v>
      </c>
      <c r="S328" s="519">
        <f ca="1"/>
        <v>0</v>
      </c>
      <c r="T328" s="720"/>
      <c r="U328" s="390">
        <f t="shared" si="78"/>
        <v>0</v>
      </c>
      <c r="X328" s="345">
        <v>0</v>
      </c>
      <c r="Y328" s="711">
        <f t="shared" si="69"/>
        <v>0</v>
      </c>
      <c r="Z328" s="712">
        <f>IF(X329,_xll.qDateYears(X328,X329,DCCfloat),0)</f>
        <v>0</v>
      </c>
      <c r="AA328" s="519">
        <f ca="1"/>
        <v>0</v>
      </c>
      <c r="AB328" s="890">
        <f>IF(X328=0,0,         IF(OR(CCY="AUD",CCY="NZD",CCY="GBP"),X328,   _xll.qDateNext(X328,"-2b",,,IF(CCY="EUR","TGT","LON"))))</f>
        <v>0</v>
      </c>
      <c r="AC328" s="879" t="str">
        <v/>
      </c>
      <c r="AD328" s="879" t="str">
        <v/>
      </c>
      <c r="AE328" s="879" t="str">
        <v/>
      </c>
      <c r="AF328" s="879" t="str">
        <v/>
      </c>
      <c r="AG328" s="879" t="str">
        <v/>
      </c>
      <c r="AH328" s="879" t="str">
        <v/>
      </c>
      <c r="AI328" s="879" t="str">
        <v/>
      </c>
      <c r="AJ328" s="879" t="str">
        <v/>
      </c>
      <c r="AK328" s="882">
        <f>IF($X328=0,0,      _xll.qDateNext($X328,AK$12,$AR$11,FRM&lt;&gt;"Calypso",CCY))</f>
        <v>0</v>
      </c>
      <c r="AL328" s="882">
        <f>IF($X328=0,0,      _xll.qDateNext($X328,AL$12,$AR$11,FRM&lt;&gt;"Calypso",CCY))</f>
        <v>0</v>
      </c>
      <c r="AM328" s="882">
        <f>IF($X328=0,0,      _xll.qDateNext($X328,AM$12,$AR$11,FRM&lt;&gt;"Calypso",CCY))</f>
        <v>0</v>
      </c>
      <c r="AN328" s="882">
        <f>IF($X328=0,0,      _xll.qDateNext($X328,AN$12,$AR$11,FRM&lt;&gt;"Calypso",CCY))</f>
        <v>0</v>
      </c>
      <c r="AO328" s="882">
        <f>IF($X328=0,0,      _xll.qDateNext($X328,AO$12,$AR$11,FRM&lt;&gt;"Calypso",CCY))</f>
        <v>0</v>
      </c>
      <c r="AP328" s="882">
        <f>IF($X328=0,0,      _xll.qDateNext($X328,AP$12,$AR$11,FRM&lt;&gt;"Calypso",CCY))</f>
        <v>0</v>
      </c>
      <c r="AQ328" s="882">
        <f>IF($X328=0,0,      _xll.qDateNext($X328,AQ$12,$AR$11,FRM&lt;&gt;"Calypso",CCY))</f>
        <v>0</v>
      </c>
      <c r="AR328" s="882">
        <f>IF($X328=0,0,      _xll.qDateNext($X328,AR$12,$AR$11,FRM&lt;&gt;"Calypso",CCY))</f>
        <v>0</v>
      </c>
      <c r="AS328" s="901">
        <f ca="1"/>
        <v>0</v>
      </c>
      <c r="AT328" s="901">
        <f ca="1"/>
        <v>0</v>
      </c>
      <c r="AU328" s="901">
        <f t="shared" si="79"/>
        <v>0</v>
      </c>
      <c r="AV328" s="901">
        <f ca="1"/>
        <v>0</v>
      </c>
      <c r="AW328" s="901">
        <f t="shared" si="80"/>
        <v>0</v>
      </c>
      <c r="AX328" s="901">
        <f t="shared" si="81"/>
        <v>0</v>
      </c>
      <c r="AY328" s="901">
        <f ca="1"/>
        <v>0</v>
      </c>
      <c r="AZ328" s="901">
        <f ca="1"/>
        <v>0</v>
      </c>
      <c r="BA328" s="905">
        <f t="shared" si="70"/>
        <v>0</v>
      </c>
      <c r="BB328" s="905">
        <f t="shared" si="71"/>
        <v>0</v>
      </c>
      <c r="BC328" s="905">
        <f t="shared" si="72"/>
        <v>0</v>
      </c>
      <c r="BD328" s="905">
        <f t="shared" si="73"/>
        <v>0</v>
      </c>
      <c r="BE328" s="905">
        <f t="shared" si="74"/>
        <v>0</v>
      </c>
      <c r="BF328" s="905">
        <f t="shared" si="75"/>
        <v>0</v>
      </c>
      <c r="BG328" s="905">
        <f t="shared" si="76"/>
        <v>0</v>
      </c>
      <c r="BH328" s="905">
        <f t="shared" si="77"/>
        <v>0</v>
      </c>
      <c r="BI328" s="713">
        <v>0</v>
      </c>
      <c r="BJ328" s="695"/>
      <c r="BK328" s="752">
        <f>IF(X329=0,0,           IF(ISNUMBER(BJ328),BJ328,               IF(ISTEXT(BJ328),INDEX(BA328:BH328,MATCH(BJ328,$BA$12:$BH$12,0)),             IF(BI328="INT",_xll.qInterp(X329,AK328:AR328,BA328:BH328),            INDEX(BA328:BH328,MATCH(BI328,$BA$12:$BH$12,0))))))</f>
        <v>0</v>
      </c>
      <c r="BL328" s="389">
        <f t="shared" si="82"/>
        <v>0</v>
      </c>
      <c r="BM328" s="394">
        <f t="shared" si="83"/>
        <v>0</v>
      </c>
      <c r="BN328" s="389">
        <f t="shared" si="84"/>
        <v>0</v>
      </c>
    </row>
    <row r="329" spans="16:66">
      <c r="P329" s="716">
        <v>0</v>
      </c>
      <c r="Q329" s="715">
        <f t="shared" si="68"/>
        <v>0</v>
      </c>
      <c r="R329" s="712">
        <f>IF(P330,_xll.qDateYears(P329,P330,DCCfixed),0)</f>
        <v>0</v>
      </c>
      <c r="S329" s="519">
        <f ca="1"/>
        <v>0</v>
      </c>
      <c r="T329" s="720"/>
      <c r="U329" s="390">
        <f t="shared" si="78"/>
        <v>0</v>
      </c>
      <c r="X329" s="345">
        <v>0</v>
      </c>
      <c r="Y329" s="711">
        <f t="shared" si="69"/>
        <v>0</v>
      </c>
      <c r="Z329" s="712">
        <f>IF(X330,_xll.qDateYears(X329,X330,DCCfloat),0)</f>
        <v>0</v>
      </c>
      <c r="AA329" s="519">
        <f ca="1"/>
        <v>0</v>
      </c>
      <c r="AB329" s="890">
        <f>IF(X329=0,0,         IF(OR(CCY="AUD",CCY="NZD",CCY="GBP"),X329,   _xll.qDateNext(X329,"-2b",,,IF(CCY="EUR","TGT","LON"))))</f>
        <v>0</v>
      </c>
      <c r="AC329" s="879" t="str">
        <v/>
      </c>
      <c r="AD329" s="879" t="str">
        <v/>
      </c>
      <c r="AE329" s="879" t="str">
        <v/>
      </c>
      <c r="AF329" s="879" t="str">
        <v/>
      </c>
      <c r="AG329" s="879" t="str">
        <v/>
      </c>
      <c r="AH329" s="879" t="str">
        <v/>
      </c>
      <c r="AI329" s="879" t="str">
        <v/>
      </c>
      <c r="AJ329" s="879" t="str">
        <v/>
      </c>
      <c r="AK329" s="882">
        <f>IF($X329=0,0,      _xll.qDateNext($X329,AK$12,$AR$11,FRM&lt;&gt;"Calypso",CCY))</f>
        <v>0</v>
      </c>
      <c r="AL329" s="882">
        <f>IF($X329=0,0,      _xll.qDateNext($X329,AL$12,$AR$11,FRM&lt;&gt;"Calypso",CCY))</f>
        <v>0</v>
      </c>
      <c r="AM329" s="882">
        <f>IF($X329=0,0,      _xll.qDateNext($X329,AM$12,$AR$11,FRM&lt;&gt;"Calypso",CCY))</f>
        <v>0</v>
      </c>
      <c r="AN329" s="882">
        <f>IF($X329=0,0,      _xll.qDateNext($X329,AN$12,$AR$11,FRM&lt;&gt;"Calypso",CCY))</f>
        <v>0</v>
      </c>
      <c r="AO329" s="882">
        <f>IF($X329=0,0,      _xll.qDateNext($X329,AO$12,$AR$11,FRM&lt;&gt;"Calypso",CCY))</f>
        <v>0</v>
      </c>
      <c r="AP329" s="882">
        <f>IF($X329=0,0,      _xll.qDateNext($X329,AP$12,$AR$11,FRM&lt;&gt;"Calypso",CCY))</f>
        <v>0</v>
      </c>
      <c r="AQ329" s="882">
        <f>IF($X329=0,0,      _xll.qDateNext($X329,AQ$12,$AR$11,FRM&lt;&gt;"Calypso",CCY))</f>
        <v>0</v>
      </c>
      <c r="AR329" s="882">
        <f>IF($X329=0,0,      _xll.qDateNext($X329,AR$12,$AR$11,FRM&lt;&gt;"Calypso",CCY))</f>
        <v>0</v>
      </c>
      <c r="AS329" s="901">
        <f ca="1"/>
        <v>0</v>
      </c>
      <c r="AT329" s="901">
        <f ca="1"/>
        <v>0</v>
      </c>
      <c r="AU329" s="901">
        <f t="shared" si="79"/>
        <v>0</v>
      </c>
      <c r="AV329" s="901">
        <f ca="1"/>
        <v>0</v>
      </c>
      <c r="AW329" s="901">
        <f t="shared" si="80"/>
        <v>0</v>
      </c>
      <c r="AX329" s="901">
        <f t="shared" si="81"/>
        <v>0</v>
      </c>
      <c r="AY329" s="901">
        <f ca="1"/>
        <v>0</v>
      </c>
      <c r="AZ329" s="901">
        <f ca="1"/>
        <v>0</v>
      </c>
      <c r="BA329" s="905">
        <f t="shared" si="70"/>
        <v>0</v>
      </c>
      <c r="BB329" s="905">
        <f t="shared" si="71"/>
        <v>0</v>
      </c>
      <c r="BC329" s="905">
        <f t="shared" si="72"/>
        <v>0</v>
      </c>
      <c r="BD329" s="905">
        <f t="shared" si="73"/>
        <v>0</v>
      </c>
      <c r="BE329" s="905">
        <f t="shared" si="74"/>
        <v>0</v>
      </c>
      <c r="BF329" s="905">
        <f t="shared" si="75"/>
        <v>0</v>
      </c>
      <c r="BG329" s="905">
        <f t="shared" si="76"/>
        <v>0</v>
      </c>
      <c r="BH329" s="905">
        <f t="shared" si="77"/>
        <v>0</v>
      </c>
      <c r="BI329" s="713">
        <v>0</v>
      </c>
      <c r="BJ329" s="695"/>
      <c r="BK329" s="752">
        <f>IF(X330=0,0,           IF(ISNUMBER(BJ329),BJ329,               IF(ISTEXT(BJ329),INDEX(BA329:BH329,MATCH(BJ329,$BA$12:$BH$12,0)),             IF(BI329="INT",_xll.qInterp(X330,AK329:AR329,BA329:BH329),            INDEX(BA329:BH329,MATCH(BI329,$BA$12:$BH$12,0))))))</f>
        <v>0</v>
      </c>
      <c r="BL329" s="389">
        <f t="shared" si="82"/>
        <v>0</v>
      </c>
      <c r="BM329" s="394">
        <f t="shared" si="83"/>
        <v>0</v>
      </c>
      <c r="BN329" s="389">
        <f t="shared" si="84"/>
        <v>0</v>
      </c>
    </row>
    <row r="330" spans="16:66">
      <c r="P330" s="716">
        <v>0</v>
      </c>
      <c r="Q330" s="715">
        <f t="shared" si="68"/>
        <v>0</v>
      </c>
      <c r="R330" s="712">
        <f>IF(P331,_xll.qDateYears(P330,P331,DCCfixed),0)</f>
        <v>0</v>
      </c>
      <c r="S330" s="519">
        <f ca="1"/>
        <v>0</v>
      </c>
      <c r="T330" s="720"/>
      <c r="U330" s="390">
        <f t="shared" si="78"/>
        <v>0</v>
      </c>
      <c r="X330" s="345">
        <v>0</v>
      </c>
      <c r="Y330" s="711">
        <f t="shared" si="69"/>
        <v>0</v>
      </c>
      <c r="Z330" s="712">
        <f>IF(X331,_xll.qDateYears(X330,X331,DCCfloat),0)</f>
        <v>0</v>
      </c>
      <c r="AA330" s="519">
        <f ca="1"/>
        <v>0</v>
      </c>
      <c r="AB330" s="890">
        <f>IF(X330=0,0,         IF(OR(CCY="AUD",CCY="NZD",CCY="GBP"),X330,   _xll.qDateNext(X330,"-2b",,,IF(CCY="EUR","TGT","LON"))))</f>
        <v>0</v>
      </c>
      <c r="AC330" s="879" t="str">
        <v/>
      </c>
      <c r="AD330" s="879" t="str">
        <v/>
      </c>
      <c r="AE330" s="879" t="str">
        <v/>
      </c>
      <c r="AF330" s="879" t="str">
        <v/>
      </c>
      <c r="AG330" s="879" t="str">
        <v/>
      </c>
      <c r="AH330" s="879" t="str">
        <v/>
      </c>
      <c r="AI330" s="879" t="str">
        <v/>
      </c>
      <c r="AJ330" s="879" t="str">
        <v/>
      </c>
      <c r="AK330" s="882">
        <f>IF($X330=0,0,      _xll.qDateNext($X330,AK$12,$AR$11,FRM&lt;&gt;"Calypso",CCY))</f>
        <v>0</v>
      </c>
      <c r="AL330" s="882">
        <f>IF($X330=0,0,      _xll.qDateNext($X330,AL$12,$AR$11,FRM&lt;&gt;"Calypso",CCY))</f>
        <v>0</v>
      </c>
      <c r="AM330" s="882">
        <f>IF($X330=0,0,      _xll.qDateNext($X330,AM$12,$AR$11,FRM&lt;&gt;"Calypso",CCY))</f>
        <v>0</v>
      </c>
      <c r="AN330" s="882">
        <f>IF($X330=0,0,      _xll.qDateNext($X330,AN$12,$AR$11,FRM&lt;&gt;"Calypso",CCY))</f>
        <v>0</v>
      </c>
      <c r="AO330" s="882">
        <f>IF($X330=0,0,      _xll.qDateNext($X330,AO$12,$AR$11,FRM&lt;&gt;"Calypso",CCY))</f>
        <v>0</v>
      </c>
      <c r="AP330" s="882">
        <f>IF($X330=0,0,      _xll.qDateNext($X330,AP$12,$AR$11,FRM&lt;&gt;"Calypso",CCY))</f>
        <v>0</v>
      </c>
      <c r="AQ330" s="882">
        <f>IF($X330=0,0,      _xll.qDateNext($X330,AQ$12,$AR$11,FRM&lt;&gt;"Calypso",CCY))</f>
        <v>0</v>
      </c>
      <c r="AR330" s="882">
        <f>IF($X330=0,0,      _xll.qDateNext($X330,AR$12,$AR$11,FRM&lt;&gt;"Calypso",CCY))</f>
        <v>0</v>
      </c>
      <c r="AS330" s="901">
        <f ca="1"/>
        <v>0</v>
      </c>
      <c r="AT330" s="901">
        <f ca="1"/>
        <v>0</v>
      </c>
      <c r="AU330" s="901">
        <f t="shared" si="79"/>
        <v>0</v>
      </c>
      <c r="AV330" s="901">
        <f ca="1"/>
        <v>0</v>
      </c>
      <c r="AW330" s="901">
        <f t="shared" si="80"/>
        <v>0</v>
      </c>
      <c r="AX330" s="901">
        <f t="shared" si="81"/>
        <v>0</v>
      </c>
      <c r="AY330" s="901">
        <f ca="1"/>
        <v>0</v>
      </c>
      <c r="AZ330" s="901">
        <f ca="1"/>
        <v>0</v>
      </c>
      <c r="BA330" s="905">
        <f t="shared" si="70"/>
        <v>0</v>
      </c>
      <c r="BB330" s="905">
        <f t="shared" si="71"/>
        <v>0</v>
      </c>
      <c r="BC330" s="905">
        <f t="shared" si="72"/>
        <v>0</v>
      </c>
      <c r="BD330" s="905">
        <f t="shared" si="73"/>
        <v>0</v>
      </c>
      <c r="BE330" s="905">
        <f t="shared" si="74"/>
        <v>0</v>
      </c>
      <c r="BF330" s="905">
        <f t="shared" si="75"/>
        <v>0</v>
      </c>
      <c r="BG330" s="905">
        <f t="shared" si="76"/>
        <v>0</v>
      </c>
      <c r="BH330" s="905">
        <f t="shared" si="77"/>
        <v>0</v>
      </c>
      <c r="BI330" s="713">
        <v>0</v>
      </c>
      <c r="BJ330" s="695"/>
      <c r="BK330" s="752">
        <f>IF(X331=0,0,           IF(ISNUMBER(BJ330),BJ330,               IF(ISTEXT(BJ330),INDEX(BA330:BH330,MATCH(BJ330,$BA$12:$BH$12,0)),             IF(BI330="INT",_xll.qInterp(X331,AK330:AR330,BA330:BH330),            INDEX(BA330:BH330,MATCH(BI330,$BA$12:$BH$12,0))))))</f>
        <v>0</v>
      </c>
      <c r="BL330" s="389">
        <f t="shared" si="82"/>
        <v>0</v>
      </c>
      <c r="BM330" s="394">
        <f t="shared" si="83"/>
        <v>0</v>
      </c>
      <c r="BN330" s="389">
        <f t="shared" si="84"/>
        <v>0</v>
      </c>
    </row>
    <row r="331" spans="16:66">
      <c r="P331" s="716">
        <v>0</v>
      </c>
      <c r="Q331" s="715">
        <f t="shared" si="68"/>
        <v>0</v>
      </c>
      <c r="R331" s="712">
        <f>IF(P332,_xll.qDateYears(P331,P332,DCCfixed),0)</f>
        <v>0</v>
      </c>
      <c r="S331" s="519">
        <f ca="1"/>
        <v>0</v>
      </c>
      <c r="T331" s="720"/>
      <c r="U331" s="390">
        <f t="shared" si="78"/>
        <v>0</v>
      </c>
      <c r="X331" s="345">
        <v>0</v>
      </c>
      <c r="Y331" s="711">
        <f t="shared" si="69"/>
        <v>0</v>
      </c>
      <c r="Z331" s="712">
        <f>IF(X332,_xll.qDateYears(X331,X332,DCCfloat),0)</f>
        <v>0</v>
      </c>
      <c r="AA331" s="519">
        <f ca="1"/>
        <v>0</v>
      </c>
      <c r="AB331" s="890">
        <f>IF(X331=0,0,         IF(OR(CCY="AUD",CCY="NZD",CCY="GBP"),X331,   _xll.qDateNext(X331,"-2b",,,IF(CCY="EUR","TGT","LON"))))</f>
        <v>0</v>
      </c>
      <c r="AC331" s="879" t="str">
        <v/>
      </c>
      <c r="AD331" s="879" t="str">
        <v/>
      </c>
      <c r="AE331" s="879" t="str">
        <v/>
      </c>
      <c r="AF331" s="879" t="str">
        <v/>
      </c>
      <c r="AG331" s="879" t="str">
        <v/>
      </c>
      <c r="AH331" s="879" t="str">
        <v/>
      </c>
      <c r="AI331" s="879" t="str">
        <v/>
      </c>
      <c r="AJ331" s="879" t="str">
        <v/>
      </c>
      <c r="AK331" s="882">
        <f>IF($X331=0,0,      _xll.qDateNext($X331,AK$12,$AR$11,FRM&lt;&gt;"Calypso",CCY))</f>
        <v>0</v>
      </c>
      <c r="AL331" s="882">
        <f>IF($X331=0,0,      _xll.qDateNext($X331,AL$12,$AR$11,FRM&lt;&gt;"Calypso",CCY))</f>
        <v>0</v>
      </c>
      <c r="AM331" s="882">
        <f>IF($X331=0,0,      _xll.qDateNext($X331,AM$12,$AR$11,FRM&lt;&gt;"Calypso",CCY))</f>
        <v>0</v>
      </c>
      <c r="AN331" s="882">
        <f>IF($X331=0,0,      _xll.qDateNext($X331,AN$12,$AR$11,FRM&lt;&gt;"Calypso",CCY))</f>
        <v>0</v>
      </c>
      <c r="AO331" s="882">
        <f>IF($X331=0,0,      _xll.qDateNext($X331,AO$12,$AR$11,FRM&lt;&gt;"Calypso",CCY))</f>
        <v>0</v>
      </c>
      <c r="AP331" s="882">
        <f>IF($X331=0,0,      _xll.qDateNext($X331,AP$12,$AR$11,FRM&lt;&gt;"Calypso",CCY))</f>
        <v>0</v>
      </c>
      <c r="AQ331" s="882">
        <f>IF($X331=0,0,      _xll.qDateNext($X331,AQ$12,$AR$11,FRM&lt;&gt;"Calypso",CCY))</f>
        <v>0</v>
      </c>
      <c r="AR331" s="882">
        <f>IF($X331=0,0,      _xll.qDateNext($X331,AR$12,$AR$11,FRM&lt;&gt;"Calypso",CCY))</f>
        <v>0</v>
      </c>
      <c r="AS331" s="901">
        <f ca="1"/>
        <v>0</v>
      </c>
      <c r="AT331" s="901">
        <f ca="1"/>
        <v>0</v>
      </c>
      <c r="AU331" s="901">
        <f t="shared" si="79"/>
        <v>0</v>
      </c>
      <c r="AV331" s="901">
        <f ca="1"/>
        <v>0</v>
      </c>
      <c r="AW331" s="901">
        <f t="shared" si="80"/>
        <v>0</v>
      </c>
      <c r="AX331" s="901">
        <f t="shared" si="81"/>
        <v>0</v>
      </c>
      <c r="AY331" s="901">
        <f ca="1"/>
        <v>0</v>
      </c>
      <c r="AZ331" s="901">
        <f ca="1"/>
        <v>0</v>
      </c>
      <c r="BA331" s="905">
        <f t="shared" si="70"/>
        <v>0</v>
      </c>
      <c r="BB331" s="905">
        <f t="shared" si="71"/>
        <v>0</v>
      </c>
      <c r="BC331" s="905">
        <f t="shared" si="72"/>
        <v>0</v>
      </c>
      <c r="BD331" s="905">
        <f t="shared" si="73"/>
        <v>0</v>
      </c>
      <c r="BE331" s="905">
        <f t="shared" si="74"/>
        <v>0</v>
      </c>
      <c r="BF331" s="905">
        <f t="shared" si="75"/>
        <v>0</v>
      </c>
      <c r="BG331" s="905">
        <f t="shared" si="76"/>
        <v>0</v>
      </c>
      <c r="BH331" s="905">
        <f t="shared" si="77"/>
        <v>0</v>
      </c>
      <c r="BI331" s="713">
        <v>0</v>
      </c>
      <c r="BJ331" s="695"/>
      <c r="BK331" s="752">
        <f>IF(X332=0,0,           IF(ISNUMBER(BJ331),BJ331,               IF(ISTEXT(BJ331),INDEX(BA331:BH331,MATCH(BJ331,$BA$12:$BH$12,0)),             IF(BI331="INT",_xll.qInterp(X332,AK331:AR331,BA331:BH331),            INDEX(BA331:BH331,MATCH(BI331,$BA$12:$BH$12,0))))))</f>
        <v>0</v>
      </c>
      <c r="BL331" s="389">
        <f t="shared" si="82"/>
        <v>0</v>
      </c>
      <c r="BM331" s="394">
        <f t="shared" si="83"/>
        <v>0</v>
      </c>
      <c r="BN331" s="389">
        <f t="shared" si="84"/>
        <v>0</v>
      </c>
    </row>
    <row r="332" spans="16:66">
      <c r="P332" s="716">
        <v>0</v>
      </c>
      <c r="Q332" s="715">
        <f t="shared" si="68"/>
        <v>0</v>
      </c>
      <c r="R332" s="712">
        <f>IF(P333,_xll.qDateYears(P332,P333,DCCfixed),0)</f>
        <v>0</v>
      </c>
      <c r="S332" s="519">
        <f ca="1"/>
        <v>0</v>
      </c>
      <c r="T332" s="720"/>
      <c r="U332" s="390">
        <f t="shared" si="78"/>
        <v>0</v>
      </c>
      <c r="X332" s="345">
        <v>0</v>
      </c>
      <c r="Y332" s="711">
        <f t="shared" si="69"/>
        <v>0</v>
      </c>
      <c r="Z332" s="712">
        <f>IF(X333,_xll.qDateYears(X332,X333,DCCfloat),0)</f>
        <v>0</v>
      </c>
      <c r="AA332" s="519">
        <f ca="1"/>
        <v>0</v>
      </c>
      <c r="AB332" s="890">
        <f>IF(X332=0,0,         IF(OR(CCY="AUD",CCY="NZD",CCY="GBP"),X332,   _xll.qDateNext(X332,"-2b",,,IF(CCY="EUR","TGT","LON"))))</f>
        <v>0</v>
      </c>
      <c r="AC332" s="879" t="str">
        <v/>
      </c>
      <c r="AD332" s="879" t="str">
        <v/>
      </c>
      <c r="AE332" s="879" t="str">
        <v/>
      </c>
      <c r="AF332" s="879" t="str">
        <v/>
      </c>
      <c r="AG332" s="879" t="str">
        <v/>
      </c>
      <c r="AH332" s="879" t="str">
        <v/>
      </c>
      <c r="AI332" s="879" t="str">
        <v/>
      </c>
      <c r="AJ332" s="879" t="str">
        <v/>
      </c>
      <c r="AK332" s="882">
        <f>IF($X332=0,0,      _xll.qDateNext($X332,AK$12,$AR$11,FRM&lt;&gt;"Calypso",CCY))</f>
        <v>0</v>
      </c>
      <c r="AL332" s="882">
        <f>IF($X332=0,0,      _xll.qDateNext($X332,AL$12,$AR$11,FRM&lt;&gt;"Calypso",CCY))</f>
        <v>0</v>
      </c>
      <c r="AM332" s="882">
        <f>IF($X332=0,0,      _xll.qDateNext($X332,AM$12,$AR$11,FRM&lt;&gt;"Calypso",CCY))</f>
        <v>0</v>
      </c>
      <c r="AN332" s="882">
        <f>IF($X332=0,0,      _xll.qDateNext($X332,AN$12,$AR$11,FRM&lt;&gt;"Calypso",CCY))</f>
        <v>0</v>
      </c>
      <c r="AO332" s="882">
        <f>IF($X332=0,0,      _xll.qDateNext($X332,AO$12,$AR$11,FRM&lt;&gt;"Calypso",CCY))</f>
        <v>0</v>
      </c>
      <c r="AP332" s="882">
        <f>IF($X332=0,0,      _xll.qDateNext($X332,AP$12,$AR$11,FRM&lt;&gt;"Calypso",CCY))</f>
        <v>0</v>
      </c>
      <c r="AQ332" s="882">
        <f>IF($X332=0,0,      _xll.qDateNext($X332,AQ$12,$AR$11,FRM&lt;&gt;"Calypso",CCY))</f>
        <v>0</v>
      </c>
      <c r="AR332" s="882">
        <f>IF($X332=0,0,      _xll.qDateNext($X332,AR$12,$AR$11,FRM&lt;&gt;"Calypso",CCY))</f>
        <v>0</v>
      </c>
      <c r="AS332" s="901">
        <f ca="1"/>
        <v>0</v>
      </c>
      <c r="AT332" s="901">
        <f ca="1"/>
        <v>0</v>
      </c>
      <c r="AU332" s="901">
        <f t="shared" si="79"/>
        <v>0</v>
      </c>
      <c r="AV332" s="901">
        <f ca="1"/>
        <v>0</v>
      </c>
      <c r="AW332" s="901">
        <f t="shared" si="80"/>
        <v>0</v>
      </c>
      <c r="AX332" s="901">
        <f t="shared" si="81"/>
        <v>0</v>
      </c>
      <c r="AY332" s="901">
        <f ca="1"/>
        <v>0</v>
      </c>
      <c r="AZ332" s="901">
        <f ca="1"/>
        <v>0</v>
      </c>
      <c r="BA332" s="905">
        <f t="shared" si="70"/>
        <v>0</v>
      </c>
      <c r="BB332" s="905">
        <f t="shared" si="71"/>
        <v>0</v>
      </c>
      <c r="BC332" s="905">
        <f t="shared" si="72"/>
        <v>0</v>
      </c>
      <c r="BD332" s="905">
        <f t="shared" si="73"/>
        <v>0</v>
      </c>
      <c r="BE332" s="905">
        <f t="shared" si="74"/>
        <v>0</v>
      </c>
      <c r="BF332" s="905">
        <f t="shared" si="75"/>
        <v>0</v>
      </c>
      <c r="BG332" s="905">
        <f t="shared" si="76"/>
        <v>0</v>
      </c>
      <c r="BH332" s="905">
        <f t="shared" si="77"/>
        <v>0</v>
      </c>
      <c r="BI332" s="713">
        <v>0</v>
      </c>
      <c r="BJ332" s="695"/>
      <c r="BK332" s="752">
        <f>IF(X333=0,0,           IF(ISNUMBER(BJ332),BJ332,               IF(ISTEXT(BJ332),INDEX(BA332:BH332,MATCH(BJ332,$BA$12:$BH$12,0)),             IF(BI332="INT",_xll.qInterp(X333,AK332:AR332,BA332:BH332),            INDEX(BA332:BH332,MATCH(BI332,$BA$12:$BH$12,0))))))</f>
        <v>0</v>
      </c>
      <c r="BL332" s="389">
        <f t="shared" si="82"/>
        <v>0</v>
      </c>
      <c r="BM332" s="394">
        <f t="shared" si="83"/>
        <v>0</v>
      </c>
      <c r="BN332" s="389">
        <f t="shared" si="84"/>
        <v>0</v>
      </c>
    </row>
    <row r="333" spans="16:66">
      <c r="P333" s="716">
        <v>0</v>
      </c>
      <c r="Q333" s="715">
        <f t="shared" ref="Q333:Q396" si="85">IF(P334,IF(LEFT(DCCfixed,3)="Act",P334-P333,DAYS360(P333,P334)),0)</f>
        <v>0</v>
      </c>
      <c r="R333" s="712">
        <f>IF(P334,_xll.qDateYears(P333,P334,DCCfixed),0)</f>
        <v>0</v>
      </c>
      <c r="S333" s="519">
        <f ca="1"/>
        <v>0</v>
      </c>
      <c r="T333" s="720"/>
      <c r="U333" s="390">
        <f t="shared" si="78"/>
        <v>0</v>
      </c>
      <c r="X333" s="345">
        <v>0</v>
      </c>
      <c r="Y333" s="711">
        <f t="shared" ref="Y333:Y396" si="86">IF(X334,IF(LEFT(DCCfloat,3)="Act",X334-X333,DAYS360(X333,X334)),0)</f>
        <v>0</v>
      </c>
      <c r="Z333" s="712">
        <f>IF(X334,_xll.qDateYears(X333,X334,DCCfloat),0)</f>
        <v>0</v>
      </c>
      <c r="AA333" s="519">
        <f ca="1"/>
        <v>0</v>
      </c>
      <c r="AB333" s="890">
        <f>IF(X333=0,0,         IF(OR(CCY="AUD",CCY="NZD",CCY="GBP"),X333,   _xll.qDateNext(X333,"-2b",,,IF(CCY="EUR","TGT","LON"))))</f>
        <v>0</v>
      </c>
      <c r="AC333" s="879" t="str">
        <v/>
      </c>
      <c r="AD333" s="879" t="str">
        <v/>
      </c>
      <c r="AE333" s="879" t="str">
        <v/>
      </c>
      <c r="AF333" s="879" t="str">
        <v/>
      </c>
      <c r="AG333" s="879" t="str">
        <v/>
      </c>
      <c r="AH333" s="879" t="str">
        <v/>
      </c>
      <c r="AI333" s="879" t="str">
        <v/>
      </c>
      <c r="AJ333" s="879" t="str">
        <v/>
      </c>
      <c r="AK333" s="882">
        <f>IF($X333=0,0,      _xll.qDateNext($X333,AK$12,$AR$11,FRM&lt;&gt;"Calypso",CCY))</f>
        <v>0</v>
      </c>
      <c r="AL333" s="882">
        <f>IF($X333=0,0,      _xll.qDateNext($X333,AL$12,$AR$11,FRM&lt;&gt;"Calypso",CCY))</f>
        <v>0</v>
      </c>
      <c r="AM333" s="882">
        <f>IF($X333=0,0,      _xll.qDateNext($X333,AM$12,$AR$11,FRM&lt;&gt;"Calypso",CCY))</f>
        <v>0</v>
      </c>
      <c r="AN333" s="882">
        <f>IF($X333=0,0,      _xll.qDateNext($X333,AN$12,$AR$11,FRM&lt;&gt;"Calypso",CCY))</f>
        <v>0</v>
      </c>
      <c r="AO333" s="882">
        <f>IF($X333=0,0,      _xll.qDateNext($X333,AO$12,$AR$11,FRM&lt;&gt;"Calypso",CCY))</f>
        <v>0</v>
      </c>
      <c r="AP333" s="882">
        <f>IF($X333=0,0,      _xll.qDateNext($X333,AP$12,$AR$11,FRM&lt;&gt;"Calypso",CCY))</f>
        <v>0</v>
      </c>
      <c r="AQ333" s="882">
        <f>IF($X333=0,0,      _xll.qDateNext($X333,AQ$12,$AR$11,FRM&lt;&gt;"Calypso",CCY))</f>
        <v>0</v>
      </c>
      <c r="AR333" s="882">
        <f>IF($X333=0,0,      _xll.qDateNext($X333,AR$12,$AR$11,FRM&lt;&gt;"Calypso",CCY))</f>
        <v>0</v>
      </c>
      <c r="AS333" s="901">
        <f ca="1"/>
        <v>0</v>
      </c>
      <c r="AT333" s="901">
        <f ca="1"/>
        <v>0</v>
      </c>
      <c r="AU333" s="901">
        <f t="shared" si="79"/>
        <v>0</v>
      </c>
      <c r="AV333" s="901">
        <f ca="1"/>
        <v>0</v>
      </c>
      <c r="AW333" s="901">
        <f t="shared" si="80"/>
        <v>0</v>
      </c>
      <c r="AX333" s="901">
        <f t="shared" si="81"/>
        <v>0</v>
      </c>
      <c r="AY333" s="901">
        <f ca="1"/>
        <v>0</v>
      </c>
      <c r="AZ333" s="901">
        <f ca="1"/>
        <v>0</v>
      </c>
      <c r="BA333" s="905">
        <f t="shared" ref="BA333:BA396" si="87">IF($X333=0,0,   IF(ISNUMBER(AC333),AC333,AS333))</f>
        <v>0</v>
      </c>
      <c r="BB333" s="905">
        <f t="shared" ref="BB333:BB396" si="88">IF($X333=0,0,   IF(ISNUMBER(AD333),AD333,AT333))</f>
        <v>0</v>
      </c>
      <c r="BC333" s="905">
        <f t="shared" ref="BC333:BC396" si="89">IF($X333=0,0,   IF(ISNUMBER(AE333),AE333,AU333))</f>
        <v>0</v>
      </c>
      <c r="BD333" s="905">
        <f t="shared" ref="BD333:BD396" si="90">IF($X333=0,0,   IF(ISNUMBER(AF333),AF333,AV333))</f>
        <v>0</v>
      </c>
      <c r="BE333" s="905">
        <f t="shared" ref="BE333:BE396" si="91">IF($X333=0,0,   IF(ISNUMBER(AG333),AG333,AW333))</f>
        <v>0</v>
      </c>
      <c r="BF333" s="905">
        <f t="shared" ref="BF333:BF396" si="92">IF($X333=0,0,   IF(ISNUMBER(AH333),AH333,AX333))</f>
        <v>0</v>
      </c>
      <c r="BG333" s="905">
        <f t="shared" ref="BG333:BG396" si="93">IF($X333=0,0,   IF(ISNUMBER(AI333),AI333,AY333))</f>
        <v>0</v>
      </c>
      <c r="BH333" s="905">
        <f t="shared" ref="BH333:BH396" si="94">IF($X333=0,0,   IF(ISNUMBER(AJ333),AJ333,AZ333))</f>
        <v>0</v>
      </c>
      <c r="BI333" s="713">
        <v>0</v>
      </c>
      <c r="BJ333" s="695"/>
      <c r="BK333" s="752">
        <f>IF(X334=0,0,           IF(ISNUMBER(BJ333),BJ333,               IF(ISTEXT(BJ333),INDEX(BA333:BH333,MATCH(BJ333,$BA$12:$BH$12,0)),             IF(BI333="INT",_xll.qInterp(X334,AK333:AR333,BA333:BH333),            INDEX(BA333:BH333,MATCH(BI333,$BA$12:$BH$12,0))))))</f>
        <v>0</v>
      </c>
      <c r="BL333" s="389">
        <f t="shared" si="82"/>
        <v>0</v>
      </c>
      <c r="BM333" s="394">
        <f t="shared" si="83"/>
        <v>0</v>
      </c>
      <c r="BN333" s="389">
        <f t="shared" si="84"/>
        <v>0</v>
      </c>
    </row>
    <row r="334" spans="16:66">
      <c r="P334" s="716">
        <v>0</v>
      </c>
      <c r="Q334" s="715">
        <f t="shared" si="85"/>
        <v>0</v>
      </c>
      <c r="R334" s="712">
        <f>IF(P335,_xll.qDateYears(P334,P335,DCCfixed),0)</f>
        <v>0</v>
      </c>
      <c r="S334" s="519">
        <f ca="1"/>
        <v>0</v>
      </c>
      <c r="T334" s="720"/>
      <c r="U334" s="390">
        <f t="shared" ref="U334:U397" si="95">IF(P334,$U$5%*R333*Face,0) + IF(AND(IncludePrincipals,P334&gt;0,P335=0),Face,0) + IF(P334,T334,0)</f>
        <v>0</v>
      </c>
      <c r="X334" s="345">
        <v>0</v>
      </c>
      <c r="Y334" s="711">
        <f t="shared" si="86"/>
        <v>0</v>
      </c>
      <c r="Z334" s="712">
        <f>IF(X335,_xll.qDateYears(X334,X335,DCCfloat),0)</f>
        <v>0</v>
      </c>
      <c r="AA334" s="519">
        <f ca="1"/>
        <v>0</v>
      </c>
      <c r="AB334" s="890">
        <f>IF(X334=0,0,         IF(OR(CCY="AUD",CCY="NZD",CCY="GBP"),X334,   _xll.qDateNext(X334,"-2b",,,IF(CCY="EUR","TGT","LON"))))</f>
        <v>0</v>
      </c>
      <c r="AC334" s="879" t="str">
        <v/>
      </c>
      <c r="AD334" s="879" t="str">
        <v/>
      </c>
      <c r="AE334" s="879" t="str">
        <v/>
      </c>
      <c r="AF334" s="879" t="str">
        <v/>
      </c>
      <c r="AG334" s="879" t="str">
        <v/>
      </c>
      <c r="AH334" s="879" t="str">
        <v/>
      </c>
      <c r="AI334" s="879" t="str">
        <v/>
      </c>
      <c r="AJ334" s="879" t="str">
        <v/>
      </c>
      <c r="AK334" s="882">
        <f>IF($X334=0,0,      _xll.qDateNext($X334,AK$12,$AR$11,FRM&lt;&gt;"Calypso",CCY))</f>
        <v>0</v>
      </c>
      <c r="AL334" s="882">
        <f>IF($X334=0,0,      _xll.qDateNext($X334,AL$12,$AR$11,FRM&lt;&gt;"Calypso",CCY))</f>
        <v>0</v>
      </c>
      <c r="AM334" s="882">
        <f>IF($X334=0,0,      _xll.qDateNext($X334,AM$12,$AR$11,FRM&lt;&gt;"Calypso",CCY))</f>
        <v>0</v>
      </c>
      <c r="AN334" s="882">
        <f>IF($X334=0,0,      _xll.qDateNext($X334,AN$12,$AR$11,FRM&lt;&gt;"Calypso",CCY))</f>
        <v>0</v>
      </c>
      <c r="AO334" s="882">
        <f>IF($X334=0,0,      _xll.qDateNext($X334,AO$12,$AR$11,FRM&lt;&gt;"Calypso",CCY))</f>
        <v>0</v>
      </c>
      <c r="AP334" s="882">
        <f>IF($X334=0,0,      _xll.qDateNext($X334,AP$12,$AR$11,FRM&lt;&gt;"Calypso",CCY))</f>
        <v>0</v>
      </c>
      <c r="AQ334" s="882">
        <f>IF($X334=0,0,      _xll.qDateNext($X334,AQ$12,$AR$11,FRM&lt;&gt;"Calypso",CCY))</f>
        <v>0</v>
      </c>
      <c r="AR334" s="882">
        <f>IF($X334=0,0,      _xll.qDateNext($X334,AR$12,$AR$11,FRM&lt;&gt;"Calypso",CCY))</f>
        <v>0</v>
      </c>
      <c r="AS334" s="901">
        <f ca="1"/>
        <v>0</v>
      </c>
      <c r="AT334" s="901">
        <f ca="1"/>
        <v>0</v>
      </c>
      <c r="AU334" s="901">
        <f t="shared" ref="AU334:AU397" si="96">IF($X334,AVERAGE(AT334,AV334),0)</f>
        <v>0</v>
      </c>
      <c r="AV334" s="901">
        <f ca="1"/>
        <v>0</v>
      </c>
      <c r="AW334" s="901">
        <f t="shared" ref="AW334:AW397" si="97">IF($X334,AV334+(AY334-AV334)/3,0)</f>
        <v>0</v>
      </c>
      <c r="AX334" s="901">
        <f t="shared" ref="AX334:AX397" si="98">IF($X334,AVERAGE(AW334,AY334),0)</f>
        <v>0</v>
      </c>
      <c r="AY334" s="901">
        <f ca="1"/>
        <v>0</v>
      </c>
      <c r="AZ334" s="901">
        <f ca="1"/>
        <v>0</v>
      </c>
      <c r="BA334" s="905">
        <f t="shared" si="87"/>
        <v>0</v>
      </c>
      <c r="BB334" s="905">
        <f t="shared" si="88"/>
        <v>0</v>
      </c>
      <c r="BC334" s="905">
        <f t="shared" si="89"/>
        <v>0</v>
      </c>
      <c r="BD334" s="905">
        <f t="shared" si="90"/>
        <v>0</v>
      </c>
      <c r="BE334" s="905">
        <f t="shared" si="91"/>
        <v>0</v>
      </c>
      <c r="BF334" s="905">
        <f t="shared" si="92"/>
        <v>0</v>
      </c>
      <c r="BG334" s="905">
        <f t="shared" si="93"/>
        <v>0</v>
      </c>
      <c r="BH334" s="905">
        <f t="shared" si="94"/>
        <v>0</v>
      </c>
      <c r="BI334" s="713">
        <v>0</v>
      </c>
      <c r="BJ334" s="695"/>
      <c r="BK334" s="752">
        <f>IF(X335=0,0,           IF(ISNUMBER(BJ334),BJ334,               IF(ISTEXT(BJ334),INDEX(BA334:BH334,MATCH(BJ334,$BA$12:$BH$12,0)),             IF(BI334="INT",_xll.qInterp(X335,AK334:AR334,BA334:BH334),            INDEX(BA334:BH334,MATCH(BI334,$BA$12:$BH$12,0))))))</f>
        <v>0</v>
      </c>
      <c r="BL334" s="389">
        <f t="shared" ref="BL334:BL397" si="99">IF(X334,-BK333%*Face*Z333,0)</f>
        <v>0</v>
      </c>
      <c r="BM334" s="394">
        <f t="shared" ref="BM334:BM397" si="100">IF(X334,-Margin%%*Z333*Face,0)</f>
        <v>0</v>
      </c>
      <c r="BN334" s="389">
        <f t="shared" ref="BN334:BN397" si="101">SUM(BL334:BM334)+IF(AND(IncludePrincipals,X334&lt;&gt;0,X335=0),-Face,0)</f>
        <v>0</v>
      </c>
    </row>
    <row r="335" spans="16:66">
      <c r="P335" s="716">
        <v>0</v>
      </c>
      <c r="Q335" s="715">
        <f t="shared" si="85"/>
        <v>0</v>
      </c>
      <c r="R335" s="712">
        <f>IF(P336,_xll.qDateYears(P335,P336,DCCfixed),0)</f>
        <v>0</v>
      </c>
      <c r="S335" s="519">
        <f ca="1"/>
        <v>0</v>
      </c>
      <c r="T335" s="720"/>
      <c r="U335" s="390">
        <f t="shared" si="95"/>
        <v>0</v>
      </c>
      <c r="X335" s="345">
        <v>0</v>
      </c>
      <c r="Y335" s="711">
        <f t="shared" si="86"/>
        <v>0</v>
      </c>
      <c r="Z335" s="712">
        <f>IF(X336,_xll.qDateYears(X335,X336,DCCfloat),0)</f>
        <v>0</v>
      </c>
      <c r="AA335" s="519">
        <f ca="1"/>
        <v>0</v>
      </c>
      <c r="AB335" s="890">
        <f>IF(X335=0,0,         IF(OR(CCY="AUD",CCY="NZD",CCY="GBP"),X335,   _xll.qDateNext(X335,"-2b",,,IF(CCY="EUR","TGT","LON"))))</f>
        <v>0</v>
      </c>
      <c r="AC335" s="879" t="str">
        <v/>
      </c>
      <c r="AD335" s="879" t="str">
        <v/>
      </c>
      <c r="AE335" s="879" t="str">
        <v/>
      </c>
      <c r="AF335" s="879" t="str">
        <v/>
      </c>
      <c r="AG335" s="879" t="str">
        <v/>
      </c>
      <c r="AH335" s="879" t="str">
        <v/>
      </c>
      <c r="AI335" s="879" t="str">
        <v/>
      </c>
      <c r="AJ335" s="879" t="str">
        <v/>
      </c>
      <c r="AK335" s="882">
        <f>IF($X335=0,0,      _xll.qDateNext($X335,AK$12,$AR$11,FRM&lt;&gt;"Calypso",CCY))</f>
        <v>0</v>
      </c>
      <c r="AL335" s="882">
        <f>IF($X335=0,0,      _xll.qDateNext($X335,AL$12,$AR$11,FRM&lt;&gt;"Calypso",CCY))</f>
        <v>0</v>
      </c>
      <c r="AM335" s="882">
        <f>IF($X335=0,0,      _xll.qDateNext($X335,AM$12,$AR$11,FRM&lt;&gt;"Calypso",CCY))</f>
        <v>0</v>
      </c>
      <c r="AN335" s="882">
        <f>IF($X335=0,0,      _xll.qDateNext($X335,AN$12,$AR$11,FRM&lt;&gt;"Calypso",CCY))</f>
        <v>0</v>
      </c>
      <c r="AO335" s="882">
        <f>IF($X335=0,0,      _xll.qDateNext($X335,AO$12,$AR$11,FRM&lt;&gt;"Calypso",CCY))</f>
        <v>0</v>
      </c>
      <c r="AP335" s="882">
        <f>IF($X335=0,0,      _xll.qDateNext($X335,AP$12,$AR$11,FRM&lt;&gt;"Calypso",CCY))</f>
        <v>0</v>
      </c>
      <c r="AQ335" s="882">
        <f>IF($X335=0,0,      _xll.qDateNext($X335,AQ$12,$AR$11,FRM&lt;&gt;"Calypso",CCY))</f>
        <v>0</v>
      </c>
      <c r="AR335" s="882">
        <f>IF($X335=0,0,      _xll.qDateNext($X335,AR$12,$AR$11,FRM&lt;&gt;"Calypso",CCY))</f>
        <v>0</v>
      </c>
      <c r="AS335" s="901">
        <f ca="1"/>
        <v>0</v>
      </c>
      <c r="AT335" s="901">
        <f ca="1"/>
        <v>0</v>
      </c>
      <c r="AU335" s="901">
        <f t="shared" si="96"/>
        <v>0</v>
      </c>
      <c r="AV335" s="901">
        <f ca="1"/>
        <v>0</v>
      </c>
      <c r="AW335" s="901">
        <f t="shared" si="97"/>
        <v>0</v>
      </c>
      <c r="AX335" s="901">
        <f t="shared" si="98"/>
        <v>0</v>
      </c>
      <c r="AY335" s="901">
        <f ca="1"/>
        <v>0</v>
      </c>
      <c r="AZ335" s="901">
        <f ca="1"/>
        <v>0</v>
      </c>
      <c r="BA335" s="905">
        <f t="shared" si="87"/>
        <v>0</v>
      </c>
      <c r="BB335" s="905">
        <f t="shared" si="88"/>
        <v>0</v>
      </c>
      <c r="BC335" s="905">
        <f t="shared" si="89"/>
        <v>0</v>
      </c>
      <c r="BD335" s="905">
        <f t="shared" si="90"/>
        <v>0</v>
      </c>
      <c r="BE335" s="905">
        <f t="shared" si="91"/>
        <v>0</v>
      </c>
      <c r="BF335" s="905">
        <f t="shared" si="92"/>
        <v>0</v>
      </c>
      <c r="BG335" s="905">
        <f t="shared" si="93"/>
        <v>0</v>
      </c>
      <c r="BH335" s="905">
        <f t="shared" si="94"/>
        <v>0</v>
      </c>
      <c r="BI335" s="713">
        <v>0</v>
      </c>
      <c r="BJ335" s="695"/>
      <c r="BK335" s="752">
        <f>IF(X336=0,0,           IF(ISNUMBER(BJ335),BJ335,               IF(ISTEXT(BJ335),INDEX(BA335:BH335,MATCH(BJ335,$BA$12:$BH$12,0)),             IF(BI335="INT",_xll.qInterp(X336,AK335:AR335,BA335:BH335),            INDEX(BA335:BH335,MATCH(BI335,$BA$12:$BH$12,0))))))</f>
        <v>0</v>
      </c>
      <c r="BL335" s="389">
        <f t="shared" si="99"/>
        <v>0</v>
      </c>
      <c r="BM335" s="394">
        <f t="shared" si="100"/>
        <v>0</v>
      </c>
      <c r="BN335" s="389">
        <f t="shared" si="101"/>
        <v>0</v>
      </c>
    </row>
    <row r="336" spans="16:66">
      <c r="P336" s="716">
        <v>0</v>
      </c>
      <c r="Q336" s="715">
        <f t="shared" si="85"/>
        <v>0</v>
      </c>
      <c r="R336" s="712">
        <f>IF(P337,_xll.qDateYears(P336,P337,DCCfixed),0)</f>
        <v>0</v>
      </c>
      <c r="S336" s="519">
        <f ca="1"/>
        <v>0</v>
      </c>
      <c r="T336" s="720"/>
      <c r="U336" s="390">
        <f t="shared" si="95"/>
        <v>0</v>
      </c>
      <c r="X336" s="345">
        <v>0</v>
      </c>
      <c r="Y336" s="711">
        <f t="shared" si="86"/>
        <v>0</v>
      </c>
      <c r="Z336" s="712">
        <f>IF(X337,_xll.qDateYears(X336,X337,DCCfloat),0)</f>
        <v>0</v>
      </c>
      <c r="AA336" s="519">
        <f ca="1"/>
        <v>0</v>
      </c>
      <c r="AB336" s="890">
        <f>IF(X336=0,0,         IF(OR(CCY="AUD",CCY="NZD",CCY="GBP"),X336,   _xll.qDateNext(X336,"-2b",,,IF(CCY="EUR","TGT","LON"))))</f>
        <v>0</v>
      </c>
      <c r="AC336" s="879" t="str">
        <v/>
      </c>
      <c r="AD336" s="879" t="str">
        <v/>
      </c>
      <c r="AE336" s="879" t="str">
        <v/>
      </c>
      <c r="AF336" s="879" t="str">
        <v/>
      </c>
      <c r="AG336" s="879" t="str">
        <v/>
      </c>
      <c r="AH336" s="879" t="str">
        <v/>
      </c>
      <c r="AI336" s="879" t="str">
        <v/>
      </c>
      <c r="AJ336" s="879" t="str">
        <v/>
      </c>
      <c r="AK336" s="882">
        <f>IF($X336=0,0,      _xll.qDateNext($X336,AK$12,$AR$11,FRM&lt;&gt;"Calypso",CCY))</f>
        <v>0</v>
      </c>
      <c r="AL336" s="882">
        <f>IF($X336=0,0,      _xll.qDateNext($X336,AL$12,$AR$11,FRM&lt;&gt;"Calypso",CCY))</f>
        <v>0</v>
      </c>
      <c r="AM336" s="882">
        <f>IF($X336=0,0,      _xll.qDateNext($X336,AM$12,$AR$11,FRM&lt;&gt;"Calypso",CCY))</f>
        <v>0</v>
      </c>
      <c r="AN336" s="882">
        <f>IF($X336=0,0,      _xll.qDateNext($X336,AN$12,$AR$11,FRM&lt;&gt;"Calypso",CCY))</f>
        <v>0</v>
      </c>
      <c r="AO336" s="882">
        <f>IF($X336=0,0,      _xll.qDateNext($X336,AO$12,$AR$11,FRM&lt;&gt;"Calypso",CCY))</f>
        <v>0</v>
      </c>
      <c r="AP336" s="882">
        <f>IF($X336=0,0,      _xll.qDateNext($X336,AP$12,$AR$11,FRM&lt;&gt;"Calypso",CCY))</f>
        <v>0</v>
      </c>
      <c r="AQ336" s="882">
        <f>IF($X336=0,0,      _xll.qDateNext($X336,AQ$12,$AR$11,FRM&lt;&gt;"Calypso",CCY))</f>
        <v>0</v>
      </c>
      <c r="AR336" s="882">
        <f>IF($X336=0,0,      _xll.qDateNext($X336,AR$12,$AR$11,FRM&lt;&gt;"Calypso",CCY))</f>
        <v>0</v>
      </c>
      <c r="AS336" s="901">
        <f ca="1"/>
        <v>0</v>
      </c>
      <c r="AT336" s="901">
        <f ca="1"/>
        <v>0</v>
      </c>
      <c r="AU336" s="901">
        <f t="shared" si="96"/>
        <v>0</v>
      </c>
      <c r="AV336" s="901">
        <f ca="1"/>
        <v>0</v>
      </c>
      <c r="AW336" s="901">
        <f t="shared" si="97"/>
        <v>0</v>
      </c>
      <c r="AX336" s="901">
        <f t="shared" si="98"/>
        <v>0</v>
      </c>
      <c r="AY336" s="901">
        <f ca="1"/>
        <v>0</v>
      </c>
      <c r="AZ336" s="901">
        <f ca="1"/>
        <v>0</v>
      </c>
      <c r="BA336" s="905">
        <f t="shared" si="87"/>
        <v>0</v>
      </c>
      <c r="BB336" s="905">
        <f t="shared" si="88"/>
        <v>0</v>
      </c>
      <c r="BC336" s="905">
        <f t="shared" si="89"/>
        <v>0</v>
      </c>
      <c r="BD336" s="905">
        <f t="shared" si="90"/>
        <v>0</v>
      </c>
      <c r="BE336" s="905">
        <f t="shared" si="91"/>
        <v>0</v>
      </c>
      <c r="BF336" s="905">
        <f t="shared" si="92"/>
        <v>0</v>
      </c>
      <c r="BG336" s="905">
        <f t="shared" si="93"/>
        <v>0</v>
      </c>
      <c r="BH336" s="905">
        <f t="shared" si="94"/>
        <v>0</v>
      </c>
      <c r="BI336" s="713">
        <v>0</v>
      </c>
      <c r="BJ336" s="695"/>
      <c r="BK336" s="752">
        <f>IF(X337=0,0,           IF(ISNUMBER(BJ336),BJ336,               IF(ISTEXT(BJ336),INDEX(BA336:BH336,MATCH(BJ336,$BA$12:$BH$12,0)),             IF(BI336="INT",_xll.qInterp(X337,AK336:AR336,BA336:BH336),            INDEX(BA336:BH336,MATCH(BI336,$BA$12:$BH$12,0))))))</f>
        <v>0</v>
      </c>
      <c r="BL336" s="389">
        <f t="shared" si="99"/>
        <v>0</v>
      </c>
      <c r="BM336" s="394">
        <f t="shared" si="100"/>
        <v>0</v>
      </c>
      <c r="BN336" s="389">
        <f t="shared" si="101"/>
        <v>0</v>
      </c>
    </row>
    <row r="337" spans="16:66">
      <c r="P337" s="716">
        <v>0</v>
      </c>
      <c r="Q337" s="715">
        <f t="shared" si="85"/>
        <v>0</v>
      </c>
      <c r="R337" s="712">
        <f>IF(P338,_xll.qDateYears(P337,P338,DCCfixed),0)</f>
        <v>0</v>
      </c>
      <c r="S337" s="519">
        <f ca="1"/>
        <v>0</v>
      </c>
      <c r="T337" s="720"/>
      <c r="U337" s="390">
        <f t="shared" si="95"/>
        <v>0</v>
      </c>
      <c r="X337" s="345">
        <v>0</v>
      </c>
      <c r="Y337" s="711">
        <f t="shared" si="86"/>
        <v>0</v>
      </c>
      <c r="Z337" s="712">
        <f>IF(X338,_xll.qDateYears(X337,X338,DCCfloat),0)</f>
        <v>0</v>
      </c>
      <c r="AA337" s="519">
        <f ca="1"/>
        <v>0</v>
      </c>
      <c r="AB337" s="890">
        <f>IF(X337=0,0,         IF(OR(CCY="AUD",CCY="NZD",CCY="GBP"),X337,   _xll.qDateNext(X337,"-2b",,,IF(CCY="EUR","TGT","LON"))))</f>
        <v>0</v>
      </c>
      <c r="AC337" s="879" t="str">
        <v/>
      </c>
      <c r="AD337" s="879" t="str">
        <v/>
      </c>
      <c r="AE337" s="879" t="str">
        <v/>
      </c>
      <c r="AF337" s="879" t="str">
        <v/>
      </c>
      <c r="AG337" s="879" t="str">
        <v/>
      </c>
      <c r="AH337" s="879" t="str">
        <v/>
      </c>
      <c r="AI337" s="879" t="str">
        <v/>
      </c>
      <c r="AJ337" s="879" t="str">
        <v/>
      </c>
      <c r="AK337" s="882">
        <f>IF($X337=0,0,      _xll.qDateNext($X337,AK$12,$AR$11,FRM&lt;&gt;"Calypso",CCY))</f>
        <v>0</v>
      </c>
      <c r="AL337" s="882">
        <f>IF($X337=0,0,      _xll.qDateNext($X337,AL$12,$AR$11,FRM&lt;&gt;"Calypso",CCY))</f>
        <v>0</v>
      </c>
      <c r="AM337" s="882">
        <f>IF($X337=0,0,      _xll.qDateNext($X337,AM$12,$AR$11,FRM&lt;&gt;"Calypso",CCY))</f>
        <v>0</v>
      </c>
      <c r="AN337" s="882">
        <f>IF($X337=0,0,      _xll.qDateNext($X337,AN$12,$AR$11,FRM&lt;&gt;"Calypso",CCY))</f>
        <v>0</v>
      </c>
      <c r="AO337" s="882">
        <f>IF($X337=0,0,      _xll.qDateNext($X337,AO$12,$AR$11,FRM&lt;&gt;"Calypso",CCY))</f>
        <v>0</v>
      </c>
      <c r="AP337" s="882">
        <f>IF($X337=0,0,      _xll.qDateNext($X337,AP$12,$AR$11,FRM&lt;&gt;"Calypso",CCY))</f>
        <v>0</v>
      </c>
      <c r="AQ337" s="882">
        <f>IF($X337=0,0,      _xll.qDateNext($X337,AQ$12,$AR$11,FRM&lt;&gt;"Calypso",CCY))</f>
        <v>0</v>
      </c>
      <c r="AR337" s="882">
        <f>IF($X337=0,0,      _xll.qDateNext($X337,AR$12,$AR$11,FRM&lt;&gt;"Calypso",CCY))</f>
        <v>0</v>
      </c>
      <c r="AS337" s="901">
        <f ca="1"/>
        <v>0</v>
      </c>
      <c r="AT337" s="901">
        <f ca="1"/>
        <v>0</v>
      </c>
      <c r="AU337" s="901">
        <f t="shared" si="96"/>
        <v>0</v>
      </c>
      <c r="AV337" s="901">
        <f ca="1"/>
        <v>0</v>
      </c>
      <c r="AW337" s="901">
        <f t="shared" si="97"/>
        <v>0</v>
      </c>
      <c r="AX337" s="901">
        <f t="shared" si="98"/>
        <v>0</v>
      </c>
      <c r="AY337" s="901">
        <f ca="1"/>
        <v>0</v>
      </c>
      <c r="AZ337" s="901">
        <f ca="1"/>
        <v>0</v>
      </c>
      <c r="BA337" s="905">
        <f t="shared" si="87"/>
        <v>0</v>
      </c>
      <c r="BB337" s="905">
        <f t="shared" si="88"/>
        <v>0</v>
      </c>
      <c r="BC337" s="905">
        <f t="shared" si="89"/>
        <v>0</v>
      </c>
      <c r="BD337" s="905">
        <f t="shared" si="90"/>
        <v>0</v>
      </c>
      <c r="BE337" s="905">
        <f t="shared" si="91"/>
        <v>0</v>
      </c>
      <c r="BF337" s="905">
        <f t="shared" si="92"/>
        <v>0</v>
      </c>
      <c r="BG337" s="905">
        <f t="shared" si="93"/>
        <v>0</v>
      </c>
      <c r="BH337" s="905">
        <f t="shared" si="94"/>
        <v>0</v>
      </c>
      <c r="BI337" s="713">
        <v>0</v>
      </c>
      <c r="BJ337" s="695"/>
      <c r="BK337" s="752">
        <f>IF(X338=0,0,           IF(ISNUMBER(BJ337),BJ337,               IF(ISTEXT(BJ337),INDEX(BA337:BH337,MATCH(BJ337,$BA$12:$BH$12,0)),             IF(BI337="INT",_xll.qInterp(X338,AK337:AR337,BA337:BH337),            INDEX(BA337:BH337,MATCH(BI337,$BA$12:$BH$12,0))))))</f>
        <v>0</v>
      </c>
      <c r="BL337" s="389">
        <f t="shared" si="99"/>
        <v>0</v>
      </c>
      <c r="BM337" s="394">
        <f t="shared" si="100"/>
        <v>0</v>
      </c>
      <c r="BN337" s="389">
        <f t="shared" si="101"/>
        <v>0</v>
      </c>
    </row>
    <row r="338" spans="16:66">
      <c r="P338" s="716">
        <v>0</v>
      </c>
      <c r="Q338" s="715">
        <f t="shared" si="85"/>
        <v>0</v>
      </c>
      <c r="R338" s="712">
        <f>IF(P339,_xll.qDateYears(P338,P339,DCCfixed),0)</f>
        <v>0</v>
      </c>
      <c r="S338" s="519">
        <f ca="1"/>
        <v>0</v>
      </c>
      <c r="T338" s="720"/>
      <c r="U338" s="390">
        <f t="shared" si="95"/>
        <v>0</v>
      </c>
      <c r="X338" s="345">
        <v>0</v>
      </c>
      <c r="Y338" s="711">
        <f t="shared" si="86"/>
        <v>0</v>
      </c>
      <c r="Z338" s="712">
        <f>IF(X339,_xll.qDateYears(X338,X339,DCCfloat),0)</f>
        <v>0</v>
      </c>
      <c r="AA338" s="519">
        <f ca="1"/>
        <v>0</v>
      </c>
      <c r="AB338" s="890">
        <f>IF(X338=0,0,         IF(OR(CCY="AUD",CCY="NZD",CCY="GBP"),X338,   _xll.qDateNext(X338,"-2b",,,IF(CCY="EUR","TGT","LON"))))</f>
        <v>0</v>
      </c>
      <c r="AC338" s="879" t="str">
        <v/>
      </c>
      <c r="AD338" s="879" t="str">
        <v/>
      </c>
      <c r="AE338" s="879" t="str">
        <v/>
      </c>
      <c r="AF338" s="879" t="str">
        <v/>
      </c>
      <c r="AG338" s="879" t="str">
        <v/>
      </c>
      <c r="AH338" s="879" t="str">
        <v/>
      </c>
      <c r="AI338" s="879" t="str">
        <v/>
      </c>
      <c r="AJ338" s="879" t="str">
        <v/>
      </c>
      <c r="AK338" s="882">
        <f>IF($X338=0,0,      _xll.qDateNext($X338,AK$12,$AR$11,FRM&lt;&gt;"Calypso",CCY))</f>
        <v>0</v>
      </c>
      <c r="AL338" s="882">
        <f>IF($X338=0,0,      _xll.qDateNext($X338,AL$12,$AR$11,FRM&lt;&gt;"Calypso",CCY))</f>
        <v>0</v>
      </c>
      <c r="AM338" s="882">
        <f>IF($X338=0,0,      _xll.qDateNext($X338,AM$12,$AR$11,FRM&lt;&gt;"Calypso",CCY))</f>
        <v>0</v>
      </c>
      <c r="AN338" s="882">
        <f>IF($X338=0,0,      _xll.qDateNext($X338,AN$12,$AR$11,FRM&lt;&gt;"Calypso",CCY))</f>
        <v>0</v>
      </c>
      <c r="AO338" s="882">
        <f>IF($X338=0,0,      _xll.qDateNext($X338,AO$12,$AR$11,FRM&lt;&gt;"Calypso",CCY))</f>
        <v>0</v>
      </c>
      <c r="AP338" s="882">
        <f>IF($X338=0,0,      _xll.qDateNext($X338,AP$12,$AR$11,FRM&lt;&gt;"Calypso",CCY))</f>
        <v>0</v>
      </c>
      <c r="AQ338" s="882">
        <f>IF($X338=0,0,      _xll.qDateNext($X338,AQ$12,$AR$11,FRM&lt;&gt;"Calypso",CCY))</f>
        <v>0</v>
      </c>
      <c r="AR338" s="882">
        <f>IF($X338=0,0,      _xll.qDateNext($X338,AR$12,$AR$11,FRM&lt;&gt;"Calypso",CCY))</f>
        <v>0</v>
      </c>
      <c r="AS338" s="901">
        <f ca="1"/>
        <v>0</v>
      </c>
      <c r="AT338" s="901">
        <f ca="1"/>
        <v>0</v>
      </c>
      <c r="AU338" s="901">
        <f t="shared" si="96"/>
        <v>0</v>
      </c>
      <c r="AV338" s="901">
        <f ca="1"/>
        <v>0</v>
      </c>
      <c r="AW338" s="901">
        <f t="shared" si="97"/>
        <v>0</v>
      </c>
      <c r="AX338" s="901">
        <f t="shared" si="98"/>
        <v>0</v>
      </c>
      <c r="AY338" s="901">
        <f ca="1"/>
        <v>0</v>
      </c>
      <c r="AZ338" s="901">
        <f ca="1"/>
        <v>0</v>
      </c>
      <c r="BA338" s="905">
        <f t="shared" si="87"/>
        <v>0</v>
      </c>
      <c r="BB338" s="905">
        <f t="shared" si="88"/>
        <v>0</v>
      </c>
      <c r="BC338" s="905">
        <f t="shared" si="89"/>
        <v>0</v>
      </c>
      <c r="BD338" s="905">
        <f t="shared" si="90"/>
        <v>0</v>
      </c>
      <c r="BE338" s="905">
        <f t="shared" si="91"/>
        <v>0</v>
      </c>
      <c r="BF338" s="905">
        <f t="shared" si="92"/>
        <v>0</v>
      </c>
      <c r="BG338" s="905">
        <f t="shared" si="93"/>
        <v>0</v>
      </c>
      <c r="BH338" s="905">
        <f t="shared" si="94"/>
        <v>0</v>
      </c>
      <c r="BI338" s="713">
        <v>0</v>
      </c>
      <c r="BJ338" s="695"/>
      <c r="BK338" s="752">
        <f>IF(X339=0,0,           IF(ISNUMBER(BJ338),BJ338,               IF(ISTEXT(BJ338),INDEX(BA338:BH338,MATCH(BJ338,$BA$12:$BH$12,0)),             IF(BI338="INT",_xll.qInterp(X339,AK338:AR338,BA338:BH338),            INDEX(BA338:BH338,MATCH(BI338,$BA$12:$BH$12,0))))))</f>
        <v>0</v>
      </c>
      <c r="BL338" s="389">
        <f t="shared" si="99"/>
        <v>0</v>
      </c>
      <c r="BM338" s="394">
        <f t="shared" si="100"/>
        <v>0</v>
      </c>
      <c r="BN338" s="389">
        <f t="shared" si="101"/>
        <v>0</v>
      </c>
    </row>
    <row r="339" spans="16:66">
      <c r="P339" s="716">
        <v>0</v>
      </c>
      <c r="Q339" s="715">
        <f t="shared" si="85"/>
        <v>0</v>
      </c>
      <c r="R339" s="712">
        <f>IF(P340,_xll.qDateYears(P339,P340,DCCfixed),0)</f>
        <v>0</v>
      </c>
      <c r="S339" s="519">
        <f ca="1"/>
        <v>0</v>
      </c>
      <c r="T339" s="720"/>
      <c r="U339" s="390">
        <f t="shared" si="95"/>
        <v>0</v>
      </c>
      <c r="X339" s="345">
        <v>0</v>
      </c>
      <c r="Y339" s="711">
        <f t="shared" si="86"/>
        <v>0</v>
      </c>
      <c r="Z339" s="712">
        <f>IF(X340,_xll.qDateYears(X339,X340,DCCfloat),0)</f>
        <v>0</v>
      </c>
      <c r="AA339" s="519">
        <f ca="1"/>
        <v>0</v>
      </c>
      <c r="AB339" s="890">
        <f>IF(X339=0,0,         IF(OR(CCY="AUD",CCY="NZD",CCY="GBP"),X339,   _xll.qDateNext(X339,"-2b",,,IF(CCY="EUR","TGT","LON"))))</f>
        <v>0</v>
      </c>
      <c r="AC339" s="879" t="str">
        <v/>
      </c>
      <c r="AD339" s="879" t="str">
        <v/>
      </c>
      <c r="AE339" s="879" t="str">
        <v/>
      </c>
      <c r="AF339" s="879" t="str">
        <v/>
      </c>
      <c r="AG339" s="879" t="str">
        <v/>
      </c>
      <c r="AH339" s="879" t="str">
        <v/>
      </c>
      <c r="AI339" s="879" t="str">
        <v/>
      </c>
      <c r="AJ339" s="879" t="str">
        <v/>
      </c>
      <c r="AK339" s="882">
        <f>IF($X339=0,0,      _xll.qDateNext($X339,AK$12,$AR$11,FRM&lt;&gt;"Calypso",CCY))</f>
        <v>0</v>
      </c>
      <c r="AL339" s="882">
        <f>IF($X339=0,0,      _xll.qDateNext($X339,AL$12,$AR$11,FRM&lt;&gt;"Calypso",CCY))</f>
        <v>0</v>
      </c>
      <c r="AM339" s="882">
        <f>IF($X339=0,0,      _xll.qDateNext($X339,AM$12,$AR$11,FRM&lt;&gt;"Calypso",CCY))</f>
        <v>0</v>
      </c>
      <c r="AN339" s="882">
        <f>IF($X339=0,0,      _xll.qDateNext($X339,AN$12,$AR$11,FRM&lt;&gt;"Calypso",CCY))</f>
        <v>0</v>
      </c>
      <c r="AO339" s="882">
        <f>IF($X339=0,0,      _xll.qDateNext($X339,AO$12,$AR$11,FRM&lt;&gt;"Calypso",CCY))</f>
        <v>0</v>
      </c>
      <c r="AP339" s="882">
        <f>IF($X339=0,0,      _xll.qDateNext($X339,AP$12,$AR$11,FRM&lt;&gt;"Calypso",CCY))</f>
        <v>0</v>
      </c>
      <c r="AQ339" s="882">
        <f>IF($X339=0,0,      _xll.qDateNext($X339,AQ$12,$AR$11,FRM&lt;&gt;"Calypso",CCY))</f>
        <v>0</v>
      </c>
      <c r="AR339" s="882">
        <f>IF($X339=0,0,      _xll.qDateNext($X339,AR$12,$AR$11,FRM&lt;&gt;"Calypso",CCY))</f>
        <v>0</v>
      </c>
      <c r="AS339" s="901">
        <f ca="1"/>
        <v>0</v>
      </c>
      <c r="AT339" s="901">
        <f ca="1"/>
        <v>0</v>
      </c>
      <c r="AU339" s="901">
        <f t="shared" si="96"/>
        <v>0</v>
      </c>
      <c r="AV339" s="901">
        <f ca="1"/>
        <v>0</v>
      </c>
      <c r="AW339" s="901">
        <f t="shared" si="97"/>
        <v>0</v>
      </c>
      <c r="AX339" s="901">
        <f t="shared" si="98"/>
        <v>0</v>
      </c>
      <c r="AY339" s="901">
        <f ca="1"/>
        <v>0</v>
      </c>
      <c r="AZ339" s="901">
        <f ca="1"/>
        <v>0</v>
      </c>
      <c r="BA339" s="905">
        <f t="shared" si="87"/>
        <v>0</v>
      </c>
      <c r="BB339" s="905">
        <f t="shared" si="88"/>
        <v>0</v>
      </c>
      <c r="BC339" s="905">
        <f t="shared" si="89"/>
        <v>0</v>
      </c>
      <c r="BD339" s="905">
        <f t="shared" si="90"/>
        <v>0</v>
      </c>
      <c r="BE339" s="905">
        <f t="shared" si="91"/>
        <v>0</v>
      </c>
      <c r="BF339" s="905">
        <f t="shared" si="92"/>
        <v>0</v>
      </c>
      <c r="BG339" s="905">
        <f t="shared" si="93"/>
        <v>0</v>
      </c>
      <c r="BH339" s="905">
        <f t="shared" si="94"/>
        <v>0</v>
      </c>
      <c r="BI339" s="713">
        <v>0</v>
      </c>
      <c r="BJ339" s="695"/>
      <c r="BK339" s="752">
        <f>IF(X340=0,0,           IF(ISNUMBER(BJ339),BJ339,               IF(ISTEXT(BJ339),INDEX(BA339:BH339,MATCH(BJ339,$BA$12:$BH$12,0)),             IF(BI339="INT",_xll.qInterp(X340,AK339:AR339,BA339:BH339),            INDEX(BA339:BH339,MATCH(BI339,$BA$12:$BH$12,0))))))</f>
        <v>0</v>
      </c>
      <c r="BL339" s="389">
        <f t="shared" si="99"/>
        <v>0</v>
      </c>
      <c r="BM339" s="394">
        <f t="shared" si="100"/>
        <v>0</v>
      </c>
      <c r="BN339" s="389">
        <f t="shared" si="101"/>
        <v>0</v>
      </c>
    </row>
    <row r="340" spans="16:66">
      <c r="P340" s="716">
        <v>0</v>
      </c>
      <c r="Q340" s="715">
        <f t="shared" si="85"/>
        <v>0</v>
      </c>
      <c r="R340" s="712">
        <f>IF(P341,_xll.qDateYears(P340,P341,DCCfixed),0)</f>
        <v>0</v>
      </c>
      <c r="S340" s="519">
        <f ca="1"/>
        <v>0</v>
      </c>
      <c r="T340" s="720"/>
      <c r="U340" s="390">
        <f t="shared" si="95"/>
        <v>0</v>
      </c>
      <c r="X340" s="345">
        <v>0</v>
      </c>
      <c r="Y340" s="711">
        <f t="shared" si="86"/>
        <v>0</v>
      </c>
      <c r="Z340" s="712">
        <f>IF(X341,_xll.qDateYears(X340,X341,DCCfloat),0)</f>
        <v>0</v>
      </c>
      <c r="AA340" s="519">
        <f ca="1"/>
        <v>0</v>
      </c>
      <c r="AB340" s="890">
        <f>IF(X340=0,0,         IF(OR(CCY="AUD",CCY="NZD",CCY="GBP"),X340,   _xll.qDateNext(X340,"-2b",,,IF(CCY="EUR","TGT","LON"))))</f>
        <v>0</v>
      </c>
      <c r="AC340" s="879" t="str">
        <v/>
      </c>
      <c r="AD340" s="879" t="str">
        <v/>
      </c>
      <c r="AE340" s="879" t="str">
        <v/>
      </c>
      <c r="AF340" s="879" t="str">
        <v/>
      </c>
      <c r="AG340" s="879" t="str">
        <v/>
      </c>
      <c r="AH340" s="879" t="str">
        <v/>
      </c>
      <c r="AI340" s="879" t="str">
        <v/>
      </c>
      <c r="AJ340" s="879" t="str">
        <v/>
      </c>
      <c r="AK340" s="882">
        <f>IF($X340=0,0,      _xll.qDateNext($X340,AK$12,$AR$11,FRM&lt;&gt;"Calypso",CCY))</f>
        <v>0</v>
      </c>
      <c r="AL340" s="882">
        <f>IF($X340=0,0,      _xll.qDateNext($X340,AL$12,$AR$11,FRM&lt;&gt;"Calypso",CCY))</f>
        <v>0</v>
      </c>
      <c r="AM340" s="882">
        <f>IF($X340=0,0,      _xll.qDateNext($X340,AM$12,$AR$11,FRM&lt;&gt;"Calypso",CCY))</f>
        <v>0</v>
      </c>
      <c r="AN340" s="882">
        <f>IF($X340=0,0,      _xll.qDateNext($X340,AN$12,$AR$11,FRM&lt;&gt;"Calypso",CCY))</f>
        <v>0</v>
      </c>
      <c r="AO340" s="882">
        <f>IF($X340=0,0,      _xll.qDateNext($X340,AO$12,$AR$11,FRM&lt;&gt;"Calypso",CCY))</f>
        <v>0</v>
      </c>
      <c r="AP340" s="882">
        <f>IF($X340=0,0,      _xll.qDateNext($X340,AP$12,$AR$11,FRM&lt;&gt;"Calypso",CCY))</f>
        <v>0</v>
      </c>
      <c r="AQ340" s="882">
        <f>IF($X340=0,0,      _xll.qDateNext($X340,AQ$12,$AR$11,FRM&lt;&gt;"Calypso",CCY))</f>
        <v>0</v>
      </c>
      <c r="AR340" s="882">
        <f>IF($X340=0,0,      _xll.qDateNext($X340,AR$12,$AR$11,FRM&lt;&gt;"Calypso",CCY))</f>
        <v>0</v>
      </c>
      <c r="AS340" s="901">
        <f ca="1"/>
        <v>0</v>
      </c>
      <c r="AT340" s="901">
        <f ca="1"/>
        <v>0</v>
      </c>
      <c r="AU340" s="901">
        <f t="shared" si="96"/>
        <v>0</v>
      </c>
      <c r="AV340" s="901">
        <f ca="1"/>
        <v>0</v>
      </c>
      <c r="AW340" s="901">
        <f t="shared" si="97"/>
        <v>0</v>
      </c>
      <c r="AX340" s="901">
        <f t="shared" si="98"/>
        <v>0</v>
      </c>
      <c r="AY340" s="901">
        <f ca="1"/>
        <v>0</v>
      </c>
      <c r="AZ340" s="901">
        <f ca="1"/>
        <v>0</v>
      </c>
      <c r="BA340" s="905">
        <f t="shared" si="87"/>
        <v>0</v>
      </c>
      <c r="BB340" s="905">
        <f t="shared" si="88"/>
        <v>0</v>
      </c>
      <c r="BC340" s="905">
        <f t="shared" si="89"/>
        <v>0</v>
      </c>
      <c r="BD340" s="905">
        <f t="shared" si="90"/>
        <v>0</v>
      </c>
      <c r="BE340" s="905">
        <f t="shared" si="91"/>
        <v>0</v>
      </c>
      <c r="BF340" s="905">
        <f t="shared" si="92"/>
        <v>0</v>
      </c>
      <c r="BG340" s="905">
        <f t="shared" si="93"/>
        <v>0</v>
      </c>
      <c r="BH340" s="905">
        <f t="shared" si="94"/>
        <v>0</v>
      </c>
      <c r="BI340" s="713">
        <v>0</v>
      </c>
      <c r="BJ340" s="695"/>
      <c r="BK340" s="752">
        <f>IF(X341=0,0,           IF(ISNUMBER(BJ340),BJ340,               IF(ISTEXT(BJ340),INDEX(BA340:BH340,MATCH(BJ340,$BA$12:$BH$12,0)),             IF(BI340="INT",_xll.qInterp(X341,AK340:AR340,BA340:BH340),            INDEX(BA340:BH340,MATCH(BI340,$BA$12:$BH$12,0))))))</f>
        <v>0</v>
      </c>
      <c r="BL340" s="389">
        <f t="shared" si="99"/>
        <v>0</v>
      </c>
      <c r="BM340" s="394">
        <f t="shared" si="100"/>
        <v>0</v>
      </c>
      <c r="BN340" s="389">
        <f t="shared" si="101"/>
        <v>0</v>
      </c>
    </row>
    <row r="341" spans="16:66">
      <c r="P341" s="716">
        <v>0</v>
      </c>
      <c r="Q341" s="715">
        <f t="shared" si="85"/>
        <v>0</v>
      </c>
      <c r="R341" s="712">
        <f>IF(P342,_xll.qDateYears(P341,P342,DCCfixed),0)</f>
        <v>0</v>
      </c>
      <c r="S341" s="519">
        <f ca="1"/>
        <v>0</v>
      </c>
      <c r="T341" s="720"/>
      <c r="U341" s="390">
        <f t="shared" si="95"/>
        <v>0</v>
      </c>
      <c r="X341" s="345">
        <v>0</v>
      </c>
      <c r="Y341" s="711">
        <f t="shared" si="86"/>
        <v>0</v>
      </c>
      <c r="Z341" s="712">
        <f>IF(X342,_xll.qDateYears(X341,X342,DCCfloat),0)</f>
        <v>0</v>
      </c>
      <c r="AA341" s="519">
        <f ca="1"/>
        <v>0</v>
      </c>
      <c r="AB341" s="890">
        <f>IF(X341=0,0,         IF(OR(CCY="AUD",CCY="NZD",CCY="GBP"),X341,   _xll.qDateNext(X341,"-2b",,,IF(CCY="EUR","TGT","LON"))))</f>
        <v>0</v>
      </c>
      <c r="AC341" s="879" t="str">
        <v/>
      </c>
      <c r="AD341" s="879" t="str">
        <v/>
      </c>
      <c r="AE341" s="879" t="str">
        <v/>
      </c>
      <c r="AF341" s="879" t="str">
        <v/>
      </c>
      <c r="AG341" s="879" t="str">
        <v/>
      </c>
      <c r="AH341" s="879" t="str">
        <v/>
      </c>
      <c r="AI341" s="879" t="str">
        <v/>
      </c>
      <c r="AJ341" s="879" t="str">
        <v/>
      </c>
      <c r="AK341" s="882">
        <f>IF($X341=0,0,      _xll.qDateNext($X341,AK$12,$AR$11,FRM&lt;&gt;"Calypso",CCY))</f>
        <v>0</v>
      </c>
      <c r="AL341" s="882">
        <f>IF($X341=0,0,      _xll.qDateNext($X341,AL$12,$AR$11,FRM&lt;&gt;"Calypso",CCY))</f>
        <v>0</v>
      </c>
      <c r="AM341" s="882">
        <f>IF($X341=0,0,      _xll.qDateNext($X341,AM$12,$AR$11,FRM&lt;&gt;"Calypso",CCY))</f>
        <v>0</v>
      </c>
      <c r="AN341" s="882">
        <f>IF($X341=0,0,      _xll.qDateNext($X341,AN$12,$AR$11,FRM&lt;&gt;"Calypso",CCY))</f>
        <v>0</v>
      </c>
      <c r="AO341" s="882">
        <f>IF($X341=0,0,      _xll.qDateNext($X341,AO$12,$AR$11,FRM&lt;&gt;"Calypso",CCY))</f>
        <v>0</v>
      </c>
      <c r="AP341" s="882">
        <f>IF($X341=0,0,      _xll.qDateNext($X341,AP$12,$AR$11,FRM&lt;&gt;"Calypso",CCY))</f>
        <v>0</v>
      </c>
      <c r="AQ341" s="882">
        <f>IF($X341=0,0,      _xll.qDateNext($X341,AQ$12,$AR$11,FRM&lt;&gt;"Calypso",CCY))</f>
        <v>0</v>
      </c>
      <c r="AR341" s="882">
        <f>IF($X341=0,0,      _xll.qDateNext($X341,AR$12,$AR$11,FRM&lt;&gt;"Calypso",CCY))</f>
        <v>0</v>
      </c>
      <c r="AS341" s="901">
        <f ca="1"/>
        <v>0</v>
      </c>
      <c r="AT341" s="901">
        <f ca="1"/>
        <v>0</v>
      </c>
      <c r="AU341" s="901">
        <f t="shared" si="96"/>
        <v>0</v>
      </c>
      <c r="AV341" s="901">
        <f ca="1"/>
        <v>0</v>
      </c>
      <c r="AW341" s="901">
        <f t="shared" si="97"/>
        <v>0</v>
      </c>
      <c r="AX341" s="901">
        <f t="shared" si="98"/>
        <v>0</v>
      </c>
      <c r="AY341" s="901">
        <f ca="1"/>
        <v>0</v>
      </c>
      <c r="AZ341" s="901">
        <f ca="1"/>
        <v>0</v>
      </c>
      <c r="BA341" s="905">
        <f t="shared" si="87"/>
        <v>0</v>
      </c>
      <c r="BB341" s="905">
        <f t="shared" si="88"/>
        <v>0</v>
      </c>
      <c r="BC341" s="905">
        <f t="shared" si="89"/>
        <v>0</v>
      </c>
      <c r="BD341" s="905">
        <f t="shared" si="90"/>
        <v>0</v>
      </c>
      <c r="BE341" s="905">
        <f t="shared" si="91"/>
        <v>0</v>
      </c>
      <c r="BF341" s="905">
        <f t="shared" si="92"/>
        <v>0</v>
      </c>
      <c r="BG341" s="905">
        <f t="shared" si="93"/>
        <v>0</v>
      </c>
      <c r="BH341" s="905">
        <f t="shared" si="94"/>
        <v>0</v>
      </c>
      <c r="BI341" s="713">
        <v>0</v>
      </c>
      <c r="BJ341" s="695"/>
      <c r="BK341" s="752">
        <f>IF(X342=0,0,           IF(ISNUMBER(BJ341),BJ341,               IF(ISTEXT(BJ341),INDEX(BA341:BH341,MATCH(BJ341,$BA$12:$BH$12,0)),             IF(BI341="INT",_xll.qInterp(X342,AK341:AR341,BA341:BH341),            INDEX(BA341:BH341,MATCH(BI341,$BA$12:$BH$12,0))))))</f>
        <v>0</v>
      </c>
      <c r="BL341" s="389">
        <f t="shared" si="99"/>
        <v>0</v>
      </c>
      <c r="BM341" s="394">
        <f t="shared" si="100"/>
        <v>0</v>
      </c>
      <c r="BN341" s="389">
        <f t="shared" si="101"/>
        <v>0</v>
      </c>
    </row>
    <row r="342" spans="16:66">
      <c r="P342" s="716">
        <v>0</v>
      </c>
      <c r="Q342" s="715">
        <f t="shared" si="85"/>
        <v>0</v>
      </c>
      <c r="R342" s="712">
        <f>IF(P343,_xll.qDateYears(P342,P343,DCCfixed),0)</f>
        <v>0</v>
      </c>
      <c r="S342" s="519">
        <f ca="1"/>
        <v>0</v>
      </c>
      <c r="T342" s="720"/>
      <c r="U342" s="390">
        <f t="shared" si="95"/>
        <v>0</v>
      </c>
      <c r="X342" s="345">
        <v>0</v>
      </c>
      <c r="Y342" s="711">
        <f t="shared" si="86"/>
        <v>0</v>
      </c>
      <c r="Z342" s="712">
        <f>IF(X343,_xll.qDateYears(X342,X343,DCCfloat),0)</f>
        <v>0</v>
      </c>
      <c r="AA342" s="519">
        <f ca="1"/>
        <v>0</v>
      </c>
      <c r="AB342" s="890">
        <f>IF(X342=0,0,         IF(OR(CCY="AUD",CCY="NZD",CCY="GBP"),X342,   _xll.qDateNext(X342,"-2b",,,IF(CCY="EUR","TGT","LON"))))</f>
        <v>0</v>
      </c>
      <c r="AC342" s="879" t="str">
        <v/>
      </c>
      <c r="AD342" s="879" t="str">
        <v/>
      </c>
      <c r="AE342" s="879" t="str">
        <v/>
      </c>
      <c r="AF342" s="879" t="str">
        <v/>
      </c>
      <c r="AG342" s="879" t="str">
        <v/>
      </c>
      <c r="AH342" s="879" t="str">
        <v/>
      </c>
      <c r="AI342" s="879" t="str">
        <v/>
      </c>
      <c r="AJ342" s="879" t="str">
        <v/>
      </c>
      <c r="AK342" s="882">
        <f>IF($X342=0,0,      _xll.qDateNext($X342,AK$12,$AR$11,FRM&lt;&gt;"Calypso",CCY))</f>
        <v>0</v>
      </c>
      <c r="AL342" s="882">
        <f>IF($X342=0,0,      _xll.qDateNext($X342,AL$12,$AR$11,FRM&lt;&gt;"Calypso",CCY))</f>
        <v>0</v>
      </c>
      <c r="AM342" s="882">
        <f>IF($X342=0,0,      _xll.qDateNext($X342,AM$12,$AR$11,FRM&lt;&gt;"Calypso",CCY))</f>
        <v>0</v>
      </c>
      <c r="AN342" s="882">
        <f>IF($X342=0,0,      _xll.qDateNext($X342,AN$12,$AR$11,FRM&lt;&gt;"Calypso",CCY))</f>
        <v>0</v>
      </c>
      <c r="AO342" s="882">
        <f>IF($X342=0,0,      _xll.qDateNext($X342,AO$12,$AR$11,FRM&lt;&gt;"Calypso",CCY))</f>
        <v>0</v>
      </c>
      <c r="AP342" s="882">
        <f>IF($X342=0,0,      _xll.qDateNext($X342,AP$12,$AR$11,FRM&lt;&gt;"Calypso",CCY))</f>
        <v>0</v>
      </c>
      <c r="AQ342" s="882">
        <f>IF($X342=0,0,      _xll.qDateNext($X342,AQ$12,$AR$11,FRM&lt;&gt;"Calypso",CCY))</f>
        <v>0</v>
      </c>
      <c r="AR342" s="882">
        <f>IF($X342=0,0,      _xll.qDateNext($X342,AR$12,$AR$11,FRM&lt;&gt;"Calypso",CCY))</f>
        <v>0</v>
      </c>
      <c r="AS342" s="901">
        <f ca="1"/>
        <v>0</v>
      </c>
      <c r="AT342" s="901">
        <f ca="1"/>
        <v>0</v>
      </c>
      <c r="AU342" s="901">
        <f t="shared" si="96"/>
        <v>0</v>
      </c>
      <c r="AV342" s="901">
        <f ca="1"/>
        <v>0</v>
      </c>
      <c r="AW342" s="901">
        <f t="shared" si="97"/>
        <v>0</v>
      </c>
      <c r="AX342" s="901">
        <f t="shared" si="98"/>
        <v>0</v>
      </c>
      <c r="AY342" s="901">
        <f ca="1"/>
        <v>0</v>
      </c>
      <c r="AZ342" s="901">
        <f ca="1"/>
        <v>0</v>
      </c>
      <c r="BA342" s="905">
        <f t="shared" si="87"/>
        <v>0</v>
      </c>
      <c r="BB342" s="905">
        <f t="shared" si="88"/>
        <v>0</v>
      </c>
      <c r="BC342" s="905">
        <f t="shared" si="89"/>
        <v>0</v>
      </c>
      <c r="BD342" s="905">
        <f t="shared" si="90"/>
        <v>0</v>
      </c>
      <c r="BE342" s="905">
        <f t="shared" si="91"/>
        <v>0</v>
      </c>
      <c r="BF342" s="905">
        <f t="shared" si="92"/>
        <v>0</v>
      </c>
      <c r="BG342" s="905">
        <f t="shared" si="93"/>
        <v>0</v>
      </c>
      <c r="BH342" s="905">
        <f t="shared" si="94"/>
        <v>0</v>
      </c>
      <c r="BI342" s="713">
        <v>0</v>
      </c>
      <c r="BJ342" s="695"/>
      <c r="BK342" s="752">
        <f>IF(X343=0,0,           IF(ISNUMBER(BJ342),BJ342,               IF(ISTEXT(BJ342),INDEX(BA342:BH342,MATCH(BJ342,$BA$12:$BH$12,0)),             IF(BI342="INT",_xll.qInterp(X343,AK342:AR342,BA342:BH342),            INDEX(BA342:BH342,MATCH(BI342,$BA$12:$BH$12,0))))))</f>
        <v>0</v>
      </c>
      <c r="BL342" s="389">
        <f t="shared" si="99"/>
        <v>0</v>
      </c>
      <c r="BM342" s="394">
        <f t="shared" si="100"/>
        <v>0</v>
      </c>
      <c r="BN342" s="389">
        <f t="shared" si="101"/>
        <v>0</v>
      </c>
    </row>
    <row r="343" spans="16:66">
      <c r="P343" s="716">
        <v>0</v>
      </c>
      <c r="Q343" s="715">
        <f t="shared" si="85"/>
        <v>0</v>
      </c>
      <c r="R343" s="712">
        <f>IF(P344,_xll.qDateYears(P343,P344,DCCfixed),0)</f>
        <v>0</v>
      </c>
      <c r="S343" s="519">
        <f ca="1"/>
        <v>0</v>
      </c>
      <c r="T343" s="720"/>
      <c r="U343" s="390">
        <f t="shared" si="95"/>
        <v>0</v>
      </c>
      <c r="X343" s="345">
        <v>0</v>
      </c>
      <c r="Y343" s="711">
        <f t="shared" si="86"/>
        <v>0</v>
      </c>
      <c r="Z343" s="712">
        <f>IF(X344,_xll.qDateYears(X343,X344,DCCfloat),0)</f>
        <v>0</v>
      </c>
      <c r="AA343" s="519">
        <f ca="1"/>
        <v>0</v>
      </c>
      <c r="AB343" s="890">
        <f>IF(X343=0,0,         IF(OR(CCY="AUD",CCY="NZD",CCY="GBP"),X343,   _xll.qDateNext(X343,"-2b",,,IF(CCY="EUR","TGT","LON"))))</f>
        <v>0</v>
      </c>
      <c r="AC343" s="879" t="str">
        <v/>
      </c>
      <c r="AD343" s="879" t="str">
        <v/>
      </c>
      <c r="AE343" s="879" t="str">
        <v/>
      </c>
      <c r="AF343" s="879" t="str">
        <v/>
      </c>
      <c r="AG343" s="879" t="str">
        <v/>
      </c>
      <c r="AH343" s="879" t="str">
        <v/>
      </c>
      <c r="AI343" s="879" t="str">
        <v/>
      </c>
      <c r="AJ343" s="879" t="str">
        <v/>
      </c>
      <c r="AK343" s="882">
        <f>IF($X343=0,0,      _xll.qDateNext($X343,AK$12,$AR$11,FRM&lt;&gt;"Calypso",CCY))</f>
        <v>0</v>
      </c>
      <c r="AL343" s="882">
        <f>IF($X343=0,0,      _xll.qDateNext($X343,AL$12,$AR$11,FRM&lt;&gt;"Calypso",CCY))</f>
        <v>0</v>
      </c>
      <c r="AM343" s="882">
        <f>IF($X343=0,0,      _xll.qDateNext($X343,AM$12,$AR$11,FRM&lt;&gt;"Calypso",CCY))</f>
        <v>0</v>
      </c>
      <c r="AN343" s="882">
        <f>IF($X343=0,0,      _xll.qDateNext($X343,AN$12,$AR$11,FRM&lt;&gt;"Calypso",CCY))</f>
        <v>0</v>
      </c>
      <c r="AO343" s="882">
        <f>IF($X343=0,0,      _xll.qDateNext($X343,AO$12,$AR$11,FRM&lt;&gt;"Calypso",CCY))</f>
        <v>0</v>
      </c>
      <c r="AP343" s="882">
        <f>IF($X343=0,0,      _xll.qDateNext($X343,AP$12,$AR$11,FRM&lt;&gt;"Calypso",CCY))</f>
        <v>0</v>
      </c>
      <c r="AQ343" s="882">
        <f>IF($X343=0,0,      _xll.qDateNext($X343,AQ$12,$AR$11,FRM&lt;&gt;"Calypso",CCY))</f>
        <v>0</v>
      </c>
      <c r="AR343" s="882">
        <f>IF($X343=0,0,      _xll.qDateNext($X343,AR$12,$AR$11,FRM&lt;&gt;"Calypso",CCY))</f>
        <v>0</v>
      </c>
      <c r="AS343" s="901">
        <f ca="1"/>
        <v>0</v>
      </c>
      <c r="AT343" s="901">
        <f ca="1"/>
        <v>0</v>
      </c>
      <c r="AU343" s="901">
        <f t="shared" si="96"/>
        <v>0</v>
      </c>
      <c r="AV343" s="901">
        <f ca="1"/>
        <v>0</v>
      </c>
      <c r="AW343" s="901">
        <f t="shared" si="97"/>
        <v>0</v>
      </c>
      <c r="AX343" s="901">
        <f t="shared" si="98"/>
        <v>0</v>
      </c>
      <c r="AY343" s="901">
        <f ca="1"/>
        <v>0</v>
      </c>
      <c r="AZ343" s="901">
        <f ca="1"/>
        <v>0</v>
      </c>
      <c r="BA343" s="905">
        <f t="shared" si="87"/>
        <v>0</v>
      </c>
      <c r="BB343" s="905">
        <f t="shared" si="88"/>
        <v>0</v>
      </c>
      <c r="BC343" s="905">
        <f t="shared" si="89"/>
        <v>0</v>
      </c>
      <c r="BD343" s="905">
        <f t="shared" si="90"/>
        <v>0</v>
      </c>
      <c r="BE343" s="905">
        <f t="shared" si="91"/>
        <v>0</v>
      </c>
      <c r="BF343" s="905">
        <f t="shared" si="92"/>
        <v>0</v>
      </c>
      <c r="BG343" s="905">
        <f t="shared" si="93"/>
        <v>0</v>
      </c>
      <c r="BH343" s="905">
        <f t="shared" si="94"/>
        <v>0</v>
      </c>
      <c r="BI343" s="713">
        <v>0</v>
      </c>
      <c r="BJ343" s="695"/>
      <c r="BK343" s="752">
        <f>IF(X344=0,0,           IF(ISNUMBER(BJ343),BJ343,               IF(ISTEXT(BJ343),INDEX(BA343:BH343,MATCH(BJ343,$BA$12:$BH$12,0)),             IF(BI343="INT",_xll.qInterp(X344,AK343:AR343,BA343:BH343),            INDEX(BA343:BH343,MATCH(BI343,$BA$12:$BH$12,0))))))</f>
        <v>0</v>
      </c>
      <c r="BL343" s="389">
        <f t="shared" si="99"/>
        <v>0</v>
      </c>
      <c r="BM343" s="394">
        <f t="shared" si="100"/>
        <v>0</v>
      </c>
      <c r="BN343" s="389">
        <f t="shared" si="101"/>
        <v>0</v>
      </c>
    </row>
    <row r="344" spans="16:66">
      <c r="P344" s="716">
        <v>0</v>
      </c>
      <c r="Q344" s="715">
        <f t="shared" si="85"/>
        <v>0</v>
      </c>
      <c r="R344" s="712">
        <f>IF(P345,_xll.qDateYears(P344,P345,DCCfixed),0)</f>
        <v>0</v>
      </c>
      <c r="S344" s="519">
        <f ca="1"/>
        <v>0</v>
      </c>
      <c r="T344" s="720"/>
      <c r="U344" s="390">
        <f t="shared" si="95"/>
        <v>0</v>
      </c>
      <c r="X344" s="345">
        <v>0</v>
      </c>
      <c r="Y344" s="711">
        <f t="shared" si="86"/>
        <v>0</v>
      </c>
      <c r="Z344" s="712">
        <f>IF(X345,_xll.qDateYears(X344,X345,DCCfloat),0)</f>
        <v>0</v>
      </c>
      <c r="AA344" s="519">
        <f ca="1"/>
        <v>0</v>
      </c>
      <c r="AB344" s="890">
        <f>IF(X344=0,0,         IF(OR(CCY="AUD",CCY="NZD",CCY="GBP"),X344,   _xll.qDateNext(X344,"-2b",,,IF(CCY="EUR","TGT","LON"))))</f>
        <v>0</v>
      </c>
      <c r="AC344" s="879" t="str">
        <v/>
      </c>
      <c r="AD344" s="879" t="str">
        <v/>
      </c>
      <c r="AE344" s="879" t="str">
        <v/>
      </c>
      <c r="AF344" s="879" t="str">
        <v/>
      </c>
      <c r="AG344" s="879" t="str">
        <v/>
      </c>
      <c r="AH344" s="879" t="str">
        <v/>
      </c>
      <c r="AI344" s="879" t="str">
        <v/>
      </c>
      <c r="AJ344" s="879" t="str">
        <v/>
      </c>
      <c r="AK344" s="882">
        <f>IF($X344=0,0,      _xll.qDateNext($X344,AK$12,$AR$11,FRM&lt;&gt;"Calypso",CCY))</f>
        <v>0</v>
      </c>
      <c r="AL344" s="882">
        <f>IF($X344=0,0,      _xll.qDateNext($X344,AL$12,$AR$11,FRM&lt;&gt;"Calypso",CCY))</f>
        <v>0</v>
      </c>
      <c r="AM344" s="882">
        <f>IF($X344=0,0,      _xll.qDateNext($X344,AM$12,$AR$11,FRM&lt;&gt;"Calypso",CCY))</f>
        <v>0</v>
      </c>
      <c r="AN344" s="882">
        <f>IF($X344=0,0,      _xll.qDateNext($X344,AN$12,$AR$11,FRM&lt;&gt;"Calypso",CCY))</f>
        <v>0</v>
      </c>
      <c r="AO344" s="882">
        <f>IF($X344=0,0,      _xll.qDateNext($X344,AO$12,$AR$11,FRM&lt;&gt;"Calypso",CCY))</f>
        <v>0</v>
      </c>
      <c r="AP344" s="882">
        <f>IF($X344=0,0,      _xll.qDateNext($X344,AP$12,$AR$11,FRM&lt;&gt;"Calypso",CCY))</f>
        <v>0</v>
      </c>
      <c r="AQ344" s="882">
        <f>IF($X344=0,0,      _xll.qDateNext($X344,AQ$12,$AR$11,FRM&lt;&gt;"Calypso",CCY))</f>
        <v>0</v>
      </c>
      <c r="AR344" s="882">
        <f>IF($X344=0,0,      _xll.qDateNext($X344,AR$12,$AR$11,FRM&lt;&gt;"Calypso",CCY))</f>
        <v>0</v>
      </c>
      <c r="AS344" s="901">
        <f ca="1"/>
        <v>0</v>
      </c>
      <c r="AT344" s="901">
        <f ca="1"/>
        <v>0</v>
      </c>
      <c r="AU344" s="901">
        <f t="shared" si="96"/>
        <v>0</v>
      </c>
      <c r="AV344" s="901">
        <f ca="1"/>
        <v>0</v>
      </c>
      <c r="AW344" s="901">
        <f t="shared" si="97"/>
        <v>0</v>
      </c>
      <c r="AX344" s="901">
        <f t="shared" si="98"/>
        <v>0</v>
      </c>
      <c r="AY344" s="901">
        <f ca="1"/>
        <v>0</v>
      </c>
      <c r="AZ344" s="901">
        <f ca="1"/>
        <v>0</v>
      </c>
      <c r="BA344" s="905">
        <f t="shared" si="87"/>
        <v>0</v>
      </c>
      <c r="BB344" s="905">
        <f t="shared" si="88"/>
        <v>0</v>
      </c>
      <c r="BC344" s="905">
        <f t="shared" si="89"/>
        <v>0</v>
      </c>
      <c r="BD344" s="905">
        <f t="shared" si="90"/>
        <v>0</v>
      </c>
      <c r="BE344" s="905">
        <f t="shared" si="91"/>
        <v>0</v>
      </c>
      <c r="BF344" s="905">
        <f t="shared" si="92"/>
        <v>0</v>
      </c>
      <c r="BG344" s="905">
        <f t="shared" si="93"/>
        <v>0</v>
      </c>
      <c r="BH344" s="905">
        <f t="shared" si="94"/>
        <v>0</v>
      </c>
      <c r="BI344" s="713">
        <v>0</v>
      </c>
      <c r="BJ344" s="695"/>
      <c r="BK344" s="752">
        <f>IF(X345=0,0,           IF(ISNUMBER(BJ344),BJ344,               IF(ISTEXT(BJ344),INDEX(BA344:BH344,MATCH(BJ344,$BA$12:$BH$12,0)),             IF(BI344="INT",_xll.qInterp(X345,AK344:AR344,BA344:BH344),            INDEX(BA344:BH344,MATCH(BI344,$BA$12:$BH$12,0))))))</f>
        <v>0</v>
      </c>
      <c r="BL344" s="389">
        <f t="shared" si="99"/>
        <v>0</v>
      </c>
      <c r="BM344" s="394">
        <f t="shared" si="100"/>
        <v>0</v>
      </c>
      <c r="BN344" s="389">
        <f t="shared" si="101"/>
        <v>0</v>
      </c>
    </row>
    <row r="345" spans="16:66">
      <c r="P345" s="716">
        <v>0</v>
      </c>
      <c r="Q345" s="715">
        <f t="shared" si="85"/>
        <v>0</v>
      </c>
      <c r="R345" s="712">
        <f>IF(P346,_xll.qDateYears(P345,P346,DCCfixed),0)</f>
        <v>0</v>
      </c>
      <c r="S345" s="519">
        <f ca="1"/>
        <v>0</v>
      </c>
      <c r="T345" s="720"/>
      <c r="U345" s="390">
        <f t="shared" si="95"/>
        <v>0</v>
      </c>
      <c r="X345" s="345">
        <v>0</v>
      </c>
      <c r="Y345" s="711">
        <f t="shared" si="86"/>
        <v>0</v>
      </c>
      <c r="Z345" s="712">
        <f>IF(X346,_xll.qDateYears(X345,X346,DCCfloat),0)</f>
        <v>0</v>
      </c>
      <c r="AA345" s="519">
        <f ca="1"/>
        <v>0</v>
      </c>
      <c r="AB345" s="890">
        <f>IF(X345=0,0,         IF(OR(CCY="AUD",CCY="NZD",CCY="GBP"),X345,   _xll.qDateNext(X345,"-2b",,,IF(CCY="EUR","TGT","LON"))))</f>
        <v>0</v>
      </c>
      <c r="AC345" s="879" t="str">
        <v/>
      </c>
      <c r="AD345" s="879" t="str">
        <v/>
      </c>
      <c r="AE345" s="879" t="str">
        <v/>
      </c>
      <c r="AF345" s="879" t="str">
        <v/>
      </c>
      <c r="AG345" s="879" t="str">
        <v/>
      </c>
      <c r="AH345" s="879" t="str">
        <v/>
      </c>
      <c r="AI345" s="879" t="str">
        <v/>
      </c>
      <c r="AJ345" s="879" t="str">
        <v/>
      </c>
      <c r="AK345" s="882">
        <f>IF($X345=0,0,      _xll.qDateNext($X345,AK$12,$AR$11,FRM&lt;&gt;"Calypso",CCY))</f>
        <v>0</v>
      </c>
      <c r="AL345" s="882">
        <f>IF($X345=0,0,      _xll.qDateNext($X345,AL$12,$AR$11,FRM&lt;&gt;"Calypso",CCY))</f>
        <v>0</v>
      </c>
      <c r="AM345" s="882">
        <f>IF($X345=0,0,      _xll.qDateNext($X345,AM$12,$AR$11,FRM&lt;&gt;"Calypso",CCY))</f>
        <v>0</v>
      </c>
      <c r="AN345" s="882">
        <f>IF($X345=0,0,      _xll.qDateNext($X345,AN$12,$AR$11,FRM&lt;&gt;"Calypso",CCY))</f>
        <v>0</v>
      </c>
      <c r="AO345" s="882">
        <f>IF($X345=0,0,      _xll.qDateNext($X345,AO$12,$AR$11,FRM&lt;&gt;"Calypso",CCY))</f>
        <v>0</v>
      </c>
      <c r="AP345" s="882">
        <f>IF($X345=0,0,      _xll.qDateNext($X345,AP$12,$AR$11,FRM&lt;&gt;"Calypso",CCY))</f>
        <v>0</v>
      </c>
      <c r="AQ345" s="882">
        <f>IF($X345=0,0,      _xll.qDateNext($X345,AQ$12,$AR$11,FRM&lt;&gt;"Calypso",CCY))</f>
        <v>0</v>
      </c>
      <c r="AR345" s="882">
        <f>IF($X345=0,0,      _xll.qDateNext($X345,AR$12,$AR$11,FRM&lt;&gt;"Calypso",CCY))</f>
        <v>0</v>
      </c>
      <c r="AS345" s="901">
        <f ca="1"/>
        <v>0</v>
      </c>
      <c r="AT345" s="901">
        <f ca="1"/>
        <v>0</v>
      </c>
      <c r="AU345" s="901">
        <f t="shared" si="96"/>
        <v>0</v>
      </c>
      <c r="AV345" s="901">
        <f ca="1"/>
        <v>0</v>
      </c>
      <c r="AW345" s="901">
        <f t="shared" si="97"/>
        <v>0</v>
      </c>
      <c r="AX345" s="901">
        <f t="shared" si="98"/>
        <v>0</v>
      </c>
      <c r="AY345" s="901">
        <f ca="1"/>
        <v>0</v>
      </c>
      <c r="AZ345" s="901">
        <f ca="1"/>
        <v>0</v>
      </c>
      <c r="BA345" s="905">
        <f t="shared" si="87"/>
        <v>0</v>
      </c>
      <c r="BB345" s="905">
        <f t="shared" si="88"/>
        <v>0</v>
      </c>
      <c r="BC345" s="905">
        <f t="shared" si="89"/>
        <v>0</v>
      </c>
      <c r="BD345" s="905">
        <f t="shared" si="90"/>
        <v>0</v>
      </c>
      <c r="BE345" s="905">
        <f t="shared" si="91"/>
        <v>0</v>
      </c>
      <c r="BF345" s="905">
        <f t="shared" si="92"/>
        <v>0</v>
      </c>
      <c r="BG345" s="905">
        <f t="shared" si="93"/>
        <v>0</v>
      </c>
      <c r="BH345" s="905">
        <f t="shared" si="94"/>
        <v>0</v>
      </c>
      <c r="BI345" s="713">
        <v>0</v>
      </c>
      <c r="BJ345" s="695"/>
      <c r="BK345" s="752">
        <f>IF(X346=0,0,           IF(ISNUMBER(BJ345),BJ345,               IF(ISTEXT(BJ345),INDEX(BA345:BH345,MATCH(BJ345,$BA$12:$BH$12,0)),             IF(BI345="INT",_xll.qInterp(X346,AK345:AR345,BA345:BH345),            INDEX(BA345:BH345,MATCH(BI345,$BA$12:$BH$12,0))))))</f>
        <v>0</v>
      </c>
      <c r="BL345" s="389">
        <f t="shared" si="99"/>
        <v>0</v>
      </c>
      <c r="BM345" s="394">
        <f t="shared" si="100"/>
        <v>0</v>
      </c>
      <c r="BN345" s="389">
        <f t="shared" si="101"/>
        <v>0</v>
      </c>
    </row>
    <row r="346" spans="16:66">
      <c r="P346" s="716">
        <v>0</v>
      </c>
      <c r="Q346" s="715">
        <f t="shared" si="85"/>
        <v>0</v>
      </c>
      <c r="R346" s="712">
        <f>IF(P347,_xll.qDateYears(P346,P347,DCCfixed),0)</f>
        <v>0</v>
      </c>
      <c r="S346" s="519">
        <f ca="1"/>
        <v>0</v>
      </c>
      <c r="T346" s="720"/>
      <c r="U346" s="390">
        <f t="shared" si="95"/>
        <v>0</v>
      </c>
      <c r="X346" s="345">
        <v>0</v>
      </c>
      <c r="Y346" s="711">
        <f t="shared" si="86"/>
        <v>0</v>
      </c>
      <c r="Z346" s="712">
        <f>IF(X347,_xll.qDateYears(X346,X347,DCCfloat),0)</f>
        <v>0</v>
      </c>
      <c r="AA346" s="519">
        <f ca="1"/>
        <v>0</v>
      </c>
      <c r="AB346" s="890">
        <f>IF(X346=0,0,         IF(OR(CCY="AUD",CCY="NZD",CCY="GBP"),X346,   _xll.qDateNext(X346,"-2b",,,IF(CCY="EUR","TGT","LON"))))</f>
        <v>0</v>
      </c>
      <c r="AC346" s="879" t="str">
        <v/>
      </c>
      <c r="AD346" s="879" t="str">
        <v/>
      </c>
      <c r="AE346" s="879" t="str">
        <v/>
      </c>
      <c r="AF346" s="879" t="str">
        <v/>
      </c>
      <c r="AG346" s="879" t="str">
        <v/>
      </c>
      <c r="AH346" s="879" t="str">
        <v/>
      </c>
      <c r="AI346" s="879" t="str">
        <v/>
      </c>
      <c r="AJ346" s="879" t="str">
        <v/>
      </c>
      <c r="AK346" s="882">
        <f>IF($X346=0,0,      _xll.qDateNext($X346,AK$12,$AR$11,FRM&lt;&gt;"Calypso",CCY))</f>
        <v>0</v>
      </c>
      <c r="AL346" s="882">
        <f>IF($X346=0,0,      _xll.qDateNext($X346,AL$12,$AR$11,FRM&lt;&gt;"Calypso",CCY))</f>
        <v>0</v>
      </c>
      <c r="AM346" s="882">
        <f>IF($X346=0,0,      _xll.qDateNext($X346,AM$12,$AR$11,FRM&lt;&gt;"Calypso",CCY))</f>
        <v>0</v>
      </c>
      <c r="AN346" s="882">
        <f>IF($X346=0,0,      _xll.qDateNext($X346,AN$12,$AR$11,FRM&lt;&gt;"Calypso",CCY))</f>
        <v>0</v>
      </c>
      <c r="AO346" s="882">
        <f>IF($X346=0,0,      _xll.qDateNext($X346,AO$12,$AR$11,FRM&lt;&gt;"Calypso",CCY))</f>
        <v>0</v>
      </c>
      <c r="AP346" s="882">
        <f>IF($X346=0,0,      _xll.qDateNext($X346,AP$12,$AR$11,FRM&lt;&gt;"Calypso",CCY))</f>
        <v>0</v>
      </c>
      <c r="AQ346" s="882">
        <f>IF($X346=0,0,      _xll.qDateNext($X346,AQ$12,$AR$11,FRM&lt;&gt;"Calypso",CCY))</f>
        <v>0</v>
      </c>
      <c r="AR346" s="882">
        <f>IF($X346=0,0,      _xll.qDateNext($X346,AR$12,$AR$11,FRM&lt;&gt;"Calypso",CCY))</f>
        <v>0</v>
      </c>
      <c r="AS346" s="901">
        <f ca="1"/>
        <v>0</v>
      </c>
      <c r="AT346" s="901">
        <f ca="1"/>
        <v>0</v>
      </c>
      <c r="AU346" s="901">
        <f t="shared" si="96"/>
        <v>0</v>
      </c>
      <c r="AV346" s="901">
        <f ca="1"/>
        <v>0</v>
      </c>
      <c r="AW346" s="901">
        <f t="shared" si="97"/>
        <v>0</v>
      </c>
      <c r="AX346" s="901">
        <f t="shared" si="98"/>
        <v>0</v>
      </c>
      <c r="AY346" s="901">
        <f ca="1"/>
        <v>0</v>
      </c>
      <c r="AZ346" s="901">
        <f ca="1"/>
        <v>0</v>
      </c>
      <c r="BA346" s="905">
        <f t="shared" si="87"/>
        <v>0</v>
      </c>
      <c r="BB346" s="905">
        <f t="shared" si="88"/>
        <v>0</v>
      </c>
      <c r="BC346" s="905">
        <f t="shared" si="89"/>
        <v>0</v>
      </c>
      <c r="BD346" s="905">
        <f t="shared" si="90"/>
        <v>0</v>
      </c>
      <c r="BE346" s="905">
        <f t="shared" si="91"/>
        <v>0</v>
      </c>
      <c r="BF346" s="905">
        <f t="shared" si="92"/>
        <v>0</v>
      </c>
      <c r="BG346" s="905">
        <f t="shared" si="93"/>
        <v>0</v>
      </c>
      <c r="BH346" s="905">
        <f t="shared" si="94"/>
        <v>0</v>
      </c>
      <c r="BI346" s="713">
        <v>0</v>
      </c>
      <c r="BJ346" s="695"/>
      <c r="BK346" s="752">
        <f>IF(X347=0,0,           IF(ISNUMBER(BJ346),BJ346,               IF(ISTEXT(BJ346),INDEX(BA346:BH346,MATCH(BJ346,$BA$12:$BH$12,0)),             IF(BI346="INT",_xll.qInterp(X347,AK346:AR346,BA346:BH346),            INDEX(BA346:BH346,MATCH(BI346,$BA$12:$BH$12,0))))))</f>
        <v>0</v>
      </c>
      <c r="BL346" s="389">
        <f t="shared" si="99"/>
        <v>0</v>
      </c>
      <c r="BM346" s="394">
        <f t="shared" si="100"/>
        <v>0</v>
      </c>
      <c r="BN346" s="389">
        <f t="shared" si="101"/>
        <v>0</v>
      </c>
    </row>
    <row r="347" spans="16:66">
      <c r="P347" s="716">
        <v>0</v>
      </c>
      <c r="Q347" s="715">
        <f t="shared" si="85"/>
        <v>0</v>
      </c>
      <c r="R347" s="712">
        <f>IF(P348,_xll.qDateYears(P347,P348,DCCfixed),0)</f>
        <v>0</v>
      </c>
      <c r="S347" s="519">
        <f ca="1"/>
        <v>0</v>
      </c>
      <c r="T347" s="720"/>
      <c r="U347" s="390">
        <f t="shared" si="95"/>
        <v>0</v>
      </c>
      <c r="X347" s="345">
        <v>0</v>
      </c>
      <c r="Y347" s="711">
        <f t="shared" si="86"/>
        <v>0</v>
      </c>
      <c r="Z347" s="712">
        <f>IF(X348,_xll.qDateYears(X347,X348,DCCfloat),0)</f>
        <v>0</v>
      </c>
      <c r="AA347" s="519">
        <f ca="1"/>
        <v>0</v>
      </c>
      <c r="AB347" s="890">
        <f>IF(X347=0,0,         IF(OR(CCY="AUD",CCY="NZD",CCY="GBP"),X347,   _xll.qDateNext(X347,"-2b",,,IF(CCY="EUR","TGT","LON"))))</f>
        <v>0</v>
      </c>
      <c r="AC347" s="879" t="str">
        <v/>
      </c>
      <c r="AD347" s="879" t="str">
        <v/>
      </c>
      <c r="AE347" s="879" t="str">
        <v/>
      </c>
      <c r="AF347" s="879" t="str">
        <v/>
      </c>
      <c r="AG347" s="879" t="str">
        <v/>
      </c>
      <c r="AH347" s="879" t="str">
        <v/>
      </c>
      <c r="AI347" s="879" t="str">
        <v/>
      </c>
      <c r="AJ347" s="879" t="str">
        <v/>
      </c>
      <c r="AK347" s="882">
        <f>IF($X347=0,0,      _xll.qDateNext($X347,AK$12,$AR$11,FRM&lt;&gt;"Calypso",CCY))</f>
        <v>0</v>
      </c>
      <c r="AL347" s="882">
        <f>IF($X347=0,0,      _xll.qDateNext($X347,AL$12,$AR$11,FRM&lt;&gt;"Calypso",CCY))</f>
        <v>0</v>
      </c>
      <c r="AM347" s="882">
        <f>IF($X347=0,0,      _xll.qDateNext($X347,AM$12,$AR$11,FRM&lt;&gt;"Calypso",CCY))</f>
        <v>0</v>
      </c>
      <c r="AN347" s="882">
        <f>IF($X347=0,0,      _xll.qDateNext($X347,AN$12,$AR$11,FRM&lt;&gt;"Calypso",CCY))</f>
        <v>0</v>
      </c>
      <c r="AO347" s="882">
        <f>IF($X347=0,0,      _xll.qDateNext($X347,AO$12,$AR$11,FRM&lt;&gt;"Calypso",CCY))</f>
        <v>0</v>
      </c>
      <c r="AP347" s="882">
        <f>IF($X347=0,0,      _xll.qDateNext($X347,AP$12,$AR$11,FRM&lt;&gt;"Calypso",CCY))</f>
        <v>0</v>
      </c>
      <c r="AQ347" s="882">
        <f>IF($X347=0,0,      _xll.qDateNext($X347,AQ$12,$AR$11,FRM&lt;&gt;"Calypso",CCY))</f>
        <v>0</v>
      </c>
      <c r="AR347" s="882">
        <f>IF($X347=0,0,      _xll.qDateNext($X347,AR$12,$AR$11,FRM&lt;&gt;"Calypso",CCY))</f>
        <v>0</v>
      </c>
      <c r="AS347" s="901">
        <f ca="1"/>
        <v>0</v>
      </c>
      <c r="AT347" s="901">
        <f ca="1"/>
        <v>0</v>
      </c>
      <c r="AU347" s="901">
        <f t="shared" si="96"/>
        <v>0</v>
      </c>
      <c r="AV347" s="901">
        <f ca="1"/>
        <v>0</v>
      </c>
      <c r="AW347" s="901">
        <f t="shared" si="97"/>
        <v>0</v>
      </c>
      <c r="AX347" s="901">
        <f t="shared" si="98"/>
        <v>0</v>
      </c>
      <c r="AY347" s="901">
        <f ca="1"/>
        <v>0</v>
      </c>
      <c r="AZ347" s="901">
        <f ca="1"/>
        <v>0</v>
      </c>
      <c r="BA347" s="905">
        <f t="shared" si="87"/>
        <v>0</v>
      </c>
      <c r="BB347" s="905">
        <f t="shared" si="88"/>
        <v>0</v>
      </c>
      <c r="BC347" s="905">
        <f t="shared" si="89"/>
        <v>0</v>
      </c>
      <c r="BD347" s="905">
        <f t="shared" si="90"/>
        <v>0</v>
      </c>
      <c r="BE347" s="905">
        <f t="shared" si="91"/>
        <v>0</v>
      </c>
      <c r="BF347" s="905">
        <f t="shared" si="92"/>
        <v>0</v>
      </c>
      <c r="BG347" s="905">
        <f t="shared" si="93"/>
        <v>0</v>
      </c>
      <c r="BH347" s="905">
        <f t="shared" si="94"/>
        <v>0</v>
      </c>
      <c r="BI347" s="713">
        <v>0</v>
      </c>
      <c r="BJ347" s="695"/>
      <c r="BK347" s="752">
        <f>IF(X348=0,0,           IF(ISNUMBER(BJ347),BJ347,               IF(ISTEXT(BJ347),INDEX(BA347:BH347,MATCH(BJ347,$BA$12:$BH$12,0)),             IF(BI347="INT",_xll.qInterp(X348,AK347:AR347,BA347:BH347),            INDEX(BA347:BH347,MATCH(BI347,$BA$12:$BH$12,0))))))</f>
        <v>0</v>
      </c>
      <c r="BL347" s="389">
        <f t="shared" si="99"/>
        <v>0</v>
      </c>
      <c r="BM347" s="394">
        <f t="shared" si="100"/>
        <v>0</v>
      </c>
      <c r="BN347" s="389">
        <f t="shared" si="101"/>
        <v>0</v>
      </c>
    </row>
    <row r="348" spans="16:66">
      <c r="P348" s="716">
        <v>0</v>
      </c>
      <c r="Q348" s="715">
        <f t="shared" si="85"/>
        <v>0</v>
      </c>
      <c r="R348" s="712">
        <f>IF(P349,_xll.qDateYears(P348,P349,DCCfixed),0)</f>
        <v>0</v>
      </c>
      <c r="S348" s="519">
        <f ca="1"/>
        <v>0</v>
      </c>
      <c r="T348" s="720"/>
      <c r="U348" s="390">
        <f t="shared" si="95"/>
        <v>0</v>
      </c>
      <c r="X348" s="345">
        <v>0</v>
      </c>
      <c r="Y348" s="711">
        <f t="shared" si="86"/>
        <v>0</v>
      </c>
      <c r="Z348" s="712">
        <f>IF(X349,_xll.qDateYears(X348,X349,DCCfloat),0)</f>
        <v>0</v>
      </c>
      <c r="AA348" s="519">
        <f ca="1"/>
        <v>0</v>
      </c>
      <c r="AB348" s="890">
        <f>IF(X348=0,0,         IF(OR(CCY="AUD",CCY="NZD",CCY="GBP"),X348,   _xll.qDateNext(X348,"-2b",,,IF(CCY="EUR","TGT","LON"))))</f>
        <v>0</v>
      </c>
      <c r="AC348" s="879" t="str">
        <v/>
      </c>
      <c r="AD348" s="879" t="str">
        <v/>
      </c>
      <c r="AE348" s="879" t="str">
        <v/>
      </c>
      <c r="AF348" s="879" t="str">
        <v/>
      </c>
      <c r="AG348" s="879" t="str">
        <v/>
      </c>
      <c r="AH348" s="879" t="str">
        <v/>
      </c>
      <c r="AI348" s="879" t="str">
        <v/>
      </c>
      <c r="AJ348" s="879" t="str">
        <v/>
      </c>
      <c r="AK348" s="882">
        <f>IF($X348=0,0,      _xll.qDateNext($X348,AK$12,$AR$11,FRM&lt;&gt;"Calypso",CCY))</f>
        <v>0</v>
      </c>
      <c r="AL348" s="882">
        <f>IF($X348=0,0,      _xll.qDateNext($X348,AL$12,$AR$11,FRM&lt;&gt;"Calypso",CCY))</f>
        <v>0</v>
      </c>
      <c r="AM348" s="882">
        <f>IF($X348=0,0,      _xll.qDateNext($X348,AM$12,$AR$11,FRM&lt;&gt;"Calypso",CCY))</f>
        <v>0</v>
      </c>
      <c r="AN348" s="882">
        <f>IF($X348=0,0,      _xll.qDateNext($X348,AN$12,$AR$11,FRM&lt;&gt;"Calypso",CCY))</f>
        <v>0</v>
      </c>
      <c r="AO348" s="882">
        <f>IF($X348=0,0,      _xll.qDateNext($X348,AO$12,$AR$11,FRM&lt;&gt;"Calypso",CCY))</f>
        <v>0</v>
      </c>
      <c r="AP348" s="882">
        <f>IF($X348=0,0,      _xll.qDateNext($X348,AP$12,$AR$11,FRM&lt;&gt;"Calypso",CCY))</f>
        <v>0</v>
      </c>
      <c r="AQ348" s="882">
        <f>IF($X348=0,0,      _xll.qDateNext($X348,AQ$12,$AR$11,FRM&lt;&gt;"Calypso",CCY))</f>
        <v>0</v>
      </c>
      <c r="AR348" s="882">
        <f>IF($X348=0,0,      _xll.qDateNext($X348,AR$12,$AR$11,FRM&lt;&gt;"Calypso",CCY))</f>
        <v>0</v>
      </c>
      <c r="AS348" s="901">
        <f ca="1"/>
        <v>0</v>
      </c>
      <c r="AT348" s="901">
        <f ca="1"/>
        <v>0</v>
      </c>
      <c r="AU348" s="901">
        <f t="shared" si="96"/>
        <v>0</v>
      </c>
      <c r="AV348" s="901">
        <f ca="1"/>
        <v>0</v>
      </c>
      <c r="AW348" s="901">
        <f t="shared" si="97"/>
        <v>0</v>
      </c>
      <c r="AX348" s="901">
        <f t="shared" si="98"/>
        <v>0</v>
      </c>
      <c r="AY348" s="901">
        <f ca="1"/>
        <v>0</v>
      </c>
      <c r="AZ348" s="901">
        <f ca="1"/>
        <v>0</v>
      </c>
      <c r="BA348" s="905">
        <f t="shared" si="87"/>
        <v>0</v>
      </c>
      <c r="BB348" s="905">
        <f t="shared" si="88"/>
        <v>0</v>
      </c>
      <c r="BC348" s="905">
        <f t="shared" si="89"/>
        <v>0</v>
      </c>
      <c r="BD348" s="905">
        <f t="shared" si="90"/>
        <v>0</v>
      </c>
      <c r="BE348" s="905">
        <f t="shared" si="91"/>
        <v>0</v>
      </c>
      <c r="BF348" s="905">
        <f t="shared" si="92"/>
        <v>0</v>
      </c>
      <c r="BG348" s="905">
        <f t="shared" si="93"/>
        <v>0</v>
      </c>
      <c r="BH348" s="905">
        <f t="shared" si="94"/>
        <v>0</v>
      </c>
      <c r="BI348" s="713">
        <v>0</v>
      </c>
      <c r="BJ348" s="695"/>
      <c r="BK348" s="752">
        <f>IF(X349=0,0,           IF(ISNUMBER(BJ348),BJ348,               IF(ISTEXT(BJ348),INDEX(BA348:BH348,MATCH(BJ348,$BA$12:$BH$12,0)),             IF(BI348="INT",_xll.qInterp(X349,AK348:AR348,BA348:BH348),            INDEX(BA348:BH348,MATCH(BI348,$BA$12:$BH$12,0))))))</f>
        <v>0</v>
      </c>
      <c r="BL348" s="389">
        <f t="shared" si="99"/>
        <v>0</v>
      </c>
      <c r="BM348" s="394">
        <f t="shared" si="100"/>
        <v>0</v>
      </c>
      <c r="BN348" s="389">
        <f t="shared" si="101"/>
        <v>0</v>
      </c>
    </row>
    <row r="349" spans="16:66">
      <c r="P349" s="716">
        <v>0</v>
      </c>
      <c r="Q349" s="715">
        <f t="shared" si="85"/>
        <v>0</v>
      </c>
      <c r="R349" s="712">
        <f>IF(P350,_xll.qDateYears(P349,P350,DCCfixed),0)</f>
        <v>0</v>
      </c>
      <c r="S349" s="519">
        <f ca="1"/>
        <v>0</v>
      </c>
      <c r="T349" s="720"/>
      <c r="U349" s="390">
        <f t="shared" si="95"/>
        <v>0</v>
      </c>
      <c r="X349" s="345">
        <v>0</v>
      </c>
      <c r="Y349" s="711">
        <f t="shared" si="86"/>
        <v>0</v>
      </c>
      <c r="Z349" s="712">
        <f>IF(X350,_xll.qDateYears(X349,X350,DCCfloat),0)</f>
        <v>0</v>
      </c>
      <c r="AA349" s="519">
        <f ca="1"/>
        <v>0</v>
      </c>
      <c r="AB349" s="890">
        <f>IF(X349=0,0,         IF(OR(CCY="AUD",CCY="NZD",CCY="GBP"),X349,   _xll.qDateNext(X349,"-2b",,,IF(CCY="EUR","TGT","LON"))))</f>
        <v>0</v>
      </c>
      <c r="AC349" s="879" t="str">
        <v/>
      </c>
      <c r="AD349" s="879" t="str">
        <v/>
      </c>
      <c r="AE349" s="879" t="str">
        <v/>
      </c>
      <c r="AF349" s="879" t="str">
        <v/>
      </c>
      <c r="AG349" s="879" t="str">
        <v/>
      </c>
      <c r="AH349" s="879" t="str">
        <v/>
      </c>
      <c r="AI349" s="879" t="str">
        <v/>
      </c>
      <c r="AJ349" s="879" t="str">
        <v/>
      </c>
      <c r="AK349" s="882">
        <f>IF($X349=0,0,      _xll.qDateNext($X349,AK$12,$AR$11,FRM&lt;&gt;"Calypso",CCY))</f>
        <v>0</v>
      </c>
      <c r="AL349" s="882">
        <f>IF($X349=0,0,      _xll.qDateNext($X349,AL$12,$AR$11,FRM&lt;&gt;"Calypso",CCY))</f>
        <v>0</v>
      </c>
      <c r="AM349" s="882">
        <f>IF($X349=0,0,      _xll.qDateNext($X349,AM$12,$AR$11,FRM&lt;&gt;"Calypso",CCY))</f>
        <v>0</v>
      </c>
      <c r="AN349" s="882">
        <f>IF($X349=0,0,      _xll.qDateNext($X349,AN$12,$AR$11,FRM&lt;&gt;"Calypso",CCY))</f>
        <v>0</v>
      </c>
      <c r="AO349" s="882">
        <f>IF($X349=0,0,      _xll.qDateNext($X349,AO$12,$AR$11,FRM&lt;&gt;"Calypso",CCY))</f>
        <v>0</v>
      </c>
      <c r="AP349" s="882">
        <f>IF($X349=0,0,      _xll.qDateNext($X349,AP$12,$AR$11,FRM&lt;&gt;"Calypso",CCY))</f>
        <v>0</v>
      </c>
      <c r="AQ349" s="882">
        <f>IF($X349=0,0,      _xll.qDateNext($X349,AQ$12,$AR$11,FRM&lt;&gt;"Calypso",CCY))</f>
        <v>0</v>
      </c>
      <c r="AR349" s="882">
        <f>IF($X349=0,0,      _xll.qDateNext($X349,AR$12,$AR$11,FRM&lt;&gt;"Calypso",CCY))</f>
        <v>0</v>
      </c>
      <c r="AS349" s="901">
        <f ca="1"/>
        <v>0</v>
      </c>
      <c r="AT349" s="901">
        <f ca="1"/>
        <v>0</v>
      </c>
      <c r="AU349" s="901">
        <f t="shared" si="96"/>
        <v>0</v>
      </c>
      <c r="AV349" s="901">
        <f ca="1"/>
        <v>0</v>
      </c>
      <c r="AW349" s="901">
        <f t="shared" si="97"/>
        <v>0</v>
      </c>
      <c r="AX349" s="901">
        <f t="shared" si="98"/>
        <v>0</v>
      </c>
      <c r="AY349" s="901">
        <f ca="1"/>
        <v>0</v>
      </c>
      <c r="AZ349" s="901">
        <f ca="1"/>
        <v>0</v>
      </c>
      <c r="BA349" s="905">
        <f t="shared" si="87"/>
        <v>0</v>
      </c>
      <c r="BB349" s="905">
        <f t="shared" si="88"/>
        <v>0</v>
      </c>
      <c r="BC349" s="905">
        <f t="shared" si="89"/>
        <v>0</v>
      </c>
      <c r="BD349" s="905">
        <f t="shared" si="90"/>
        <v>0</v>
      </c>
      <c r="BE349" s="905">
        <f t="shared" si="91"/>
        <v>0</v>
      </c>
      <c r="BF349" s="905">
        <f t="shared" si="92"/>
        <v>0</v>
      </c>
      <c r="BG349" s="905">
        <f t="shared" si="93"/>
        <v>0</v>
      </c>
      <c r="BH349" s="905">
        <f t="shared" si="94"/>
        <v>0</v>
      </c>
      <c r="BI349" s="713">
        <v>0</v>
      </c>
      <c r="BJ349" s="695"/>
      <c r="BK349" s="752">
        <f>IF(X350=0,0,           IF(ISNUMBER(BJ349),BJ349,               IF(ISTEXT(BJ349),INDEX(BA349:BH349,MATCH(BJ349,$BA$12:$BH$12,0)),             IF(BI349="INT",_xll.qInterp(X350,AK349:AR349,BA349:BH349),            INDEX(BA349:BH349,MATCH(BI349,$BA$12:$BH$12,0))))))</f>
        <v>0</v>
      </c>
      <c r="BL349" s="389">
        <f t="shared" si="99"/>
        <v>0</v>
      </c>
      <c r="BM349" s="394">
        <f t="shared" si="100"/>
        <v>0</v>
      </c>
      <c r="BN349" s="389">
        <f t="shared" si="101"/>
        <v>0</v>
      </c>
    </row>
    <row r="350" spans="16:66">
      <c r="P350" s="716">
        <v>0</v>
      </c>
      <c r="Q350" s="715">
        <f t="shared" si="85"/>
        <v>0</v>
      </c>
      <c r="R350" s="712">
        <f>IF(P351,_xll.qDateYears(P350,P351,DCCfixed),0)</f>
        <v>0</v>
      </c>
      <c r="S350" s="519">
        <f ca="1"/>
        <v>0</v>
      </c>
      <c r="T350" s="720"/>
      <c r="U350" s="390">
        <f t="shared" si="95"/>
        <v>0</v>
      </c>
      <c r="X350" s="345">
        <v>0</v>
      </c>
      <c r="Y350" s="711">
        <f t="shared" si="86"/>
        <v>0</v>
      </c>
      <c r="Z350" s="712">
        <f>IF(X351,_xll.qDateYears(X350,X351,DCCfloat),0)</f>
        <v>0</v>
      </c>
      <c r="AA350" s="519">
        <f ca="1"/>
        <v>0</v>
      </c>
      <c r="AB350" s="890">
        <f>IF(X350=0,0,         IF(OR(CCY="AUD",CCY="NZD",CCY="GBP"),X350,   _xll.qDateNext(X350,"-2b",,,IF(CCY="EUR","TGT","LON"))))</f>
        <v>0</v>
      </c>
      <c r="AC350" s="879" t="str">
        <v/>
      </c>
      <c r="AD350" s="879" t="str">
        <v/>
      </c>
      <c r="AE350" s="879" t="str">
        <v/>
      </c>
      <c r="AF350" s="879" t="str">
        <v/>
      </c>
      <c r="AG350" s="879" t="str">
        <v/>
      </c>
      <c r="AH350" s="879" t="str">
        <v/>
      </c>
      <c r="AI350" s="879" t="str">
        <v/>
      </c>
      <c r="AJ350" s="879" t="str">
        <v/>
      </c>
      <c r="AK350" s="882">
        <f>IF($X350=0,0,      _xll.qDateNext($X350,AK$12,$AR$11,FRM&lt;&gt;"Calypso",CCY))</f>
        <v>0</v>
      </c>
      <c r="AL350" s="882">
        <f>IF($X350=0,0,      _xll.qDateNext($X350,AL$12,$AR$11,FRM&lt;&gt;"Calypso",CCY))</f>
        <v>0</v>
      </c>
      <c r="AM350" s="882">
        <f>IF($X350=0,0,      _xll.qDateNext($X350,AM$12,$AR$11,FRM&lt;&gt;"Calypso",CCY))</f>
        <v>0</v>
      </c>
      <c r="AN350" s="882">
        <f>IF($X350=0,0,      _xll.qDateNext($X350,AN$12,$AR$11,FRM&lt;&gt;"Calypso",CCY))</f>
        <v>0</v>
      </c>
      <c r="AO350" s="882">
        <f>IF($X350=0,0,      _xll.qDateNext($X350,AO$12,$AR$11,FRM&lt;&gt;"Calypso",CCY))</f>
        <v>0</v>
      </c>
      <c r="AP350" s="882">
        <f>IF($X350=0,0,      _xll.qDateNext($X350,AP$12,$AR$11,FRM&lt;&gt;"Calypso",CCY))</f>
        <v>0</v>
      </c>
      <c r="AQ350" s="882">
        <f>IF($X350=0,0,      _xll.qDateNext($X350,AQ$12,$AR$11,FRM&lt;&gt;"Calypso",CCY))</f>
        <v>0</v>
      </c>
      <c r="AR350" s="882">
        <f>IF($X350=0,0,      _xll.qDateNext($X350,AR$12,$AR$11,FRM&lt;&gt;"Calypso",CCY))</f>
        <v>0</v>
      </c>
      <c r="AS350" s="901">
        <f ca="1"/>
        <v>0</v>
      </c>
      <c r="AT350" s="901">
        <f ca="1"/>
        <v>0</v>
      </c>
      <c r="AU350" s="901">
        <f t="shared" si="96"/>
        <v>0</v>
      </c>
      <c r="AV350" s="901">
        <f ca="1"/>
        <v>0</v>
      </c>
      <c r="AW350" s="901">
        <f t="shared" si="97"/>
        <v>0</v>
      </c>
      <c r="AX350" s="901">
        <f t="shared" si="98"/>
        <v>0</v>
      </c>
      <c r="AY350" s="901">
        <f ca="1"/>
        <v>0</v>
      </c>
      <c r="AZ350" s="901">
        <f ca="1"/>
        <v>0</v>
      </c>
      <c r="BA350" s="905">
        <f t="shared" si="87"/>
        <v>0</v>
      </c>
      <c r="BB350" s="905">
        <f t="shared" si="88"/>
        <v>0</v>
      </c>
      <c r="BC350" s="905">
        <f t="shared" si="89"/>
        <v>0</v>
      </c>
      <c r="BD350" s="905">
        <f t="shared" si="90"/>
        <v>0</v>
      </c>
      <c r="BE350" s="905">
        <f t="shared" si="91"/>
        <v>0</v>
      </c>
      <c r="BF350" s="905">
        <f t="shared" si="92"/>
        <v>0</v>
      </c>
      <c r="BG350" s="905">
        <f t="shared" si="93"/>
        <v>0</v>
      </c>
      <c r="BH350" s="905">
        <f t="shared" si="94"/>
        <v>0</v>
      </c>
      <c r="BI350" s="713">
        <v>0</v>
      </c>
      <c r="BJ350" s="695"/>
      <c r="BK350" s="752">
        <f>IF(X351=0,0,           IF(ISNUMBER(BJ350),BJ350,               IF(ISTEXT(BJ350),INDEX(BA350:BH350,MATCH(BJ350,$BA$12:$BH$12,0)),             IF(BI350="INT",_xll.qInterp(X351,AK350:AR350,BA350:BH350),            INDEX(BA350:BH350,MATCH(BI350,$BA$12:$BH$12,0))))))</f>
        <v>0</v>
      </c>
      <c r="BL350" s="389">
        <f t="shared" si="99"/>
        <v>0</v>
      </c>
      <c r="BM350" s="394">
        <f t="shared" si="100"/>
        <v>0</v>
      </c>
      <c r="BN350" s="389">
        <f t="shared" si="101"/>
        <v>0</v>
      </c>
    </row>
    <row r="351" spans="16:66">
      <c r="P351" s="716">
        <v>0</v>
      </c>
      <c r="Q351" s="715">
        <f t="shared" si="85"/>
        <v>0</v>
      </c>
      <c r="R351" s="712">
        <f>IF(P352,_xll.qDateYears(P351,P352,DCCfixed),0)</f>
        <v>0</v>
      </c>
      <c r="S351" s="519">
        <f ca="1"/>
        <v>0</v>
      </c>
      <c r="T351" s="720"/>
      <c r="U351" s="390">
        <f t="shared" si="95"/>
        <v>0</v>
      </c>
      <c r="X351" s="345">
        <v>0</v>
      </c>
      <c r="Y351" s="711">
        <f t="shared" si="86"/>
        <v>0</v>
      </c>
      <c r="Z351" s="712">
        <f>IF(X352,_xll.qDateYears(X351,X352,DCCfloat),0)</f>
        <v>0</v>
      </c>
      <c r="AA351" s="519">
        <f ca="1"/>
        <v>0</v>
      </c>
      <c r="AB351" s="890">
        <f>IF(X351=0,0,         IF(OR(CCY="AUD",CCY="NZD",CCY="GBP"),X351,   _xll.qDateNext(X351,"-2b",,,IF(CCY="EUR","TGT","LON"))))</f>
        <v>0</v>
      </c>
      <c r="AC351" s="879" t="str">
        <v/>
      </c>
      <c r="AD351" s="879" t="str">
        <v/>
      </c>
      <c r="AE351" s="879" t="str">
        <v/>
      </c>
      <c r="AF351" s="879" t="str">
        <v/>
      </c>
      <c r="AG351" s="879" t="str">
        <v/>
      </c>
      <c r="AH351" s="879" t="str">
        <v/>
      </c>
      <c r="AI351" s="879" t="str">
        <v/>
      </c>
      <c r="AJ351" s="879" t="str">
        <v/>
      </c>
      <c r="AK351" s="882">
        <f>IF($X351=0,0,      _xll.qDateNext($X351,AK$12,$AR$11,FRM&lt;&gt;"Calypso",CCY))</f>
        <v>0</v>
      </c>
      <c r="AL351" s="882">
        <f>IF($X351=0,0,      _xll.qDateNext($X351,AL$12,$AR$11,FRM&lt;&gt;"Calypso",CCY))</f>
        <v>0</v>
      </c>
      <c r="AM351" s="882">
        <f>IF($X351=0,0,      _xll.qDateNext($X351,AM$12,$AR$11,FRM&lt;&gt;"Calypso",CCY))</f>
        <v>0</v>
      </c>
      <c r="AN351" s="882">
        <f>IF($X351=0,0,      _xll.qDateNext($X351,AN$12,$AR$11,FRM&lt;&gt;"Calypso",CCY))</f>
        <v>0</v>
      </c>
      <c r="AO351" s="882">
        <f>IF($X351=0,0,      _xll.qDateNext($X351,AO$12,$AR$11,FRM&lt;&gt;"Calypso",CCY))</f>
        <v>0</v>
      </c>
      <c r="AP351" s="882">
        <f>IF($X351=0,0,      _xll.qDateNext($X351,AP$12,$AR$11,FRM&lt;&gt;"Calypso",CCY))</f>
        <v>0</v>
      </c>
      <c r="AQ351" s="882">
        <f>IF($X351=0,0,      _xll.qDateNext($X351,AQ$12,$AR$11,FRM&lt;&gt;"Calypso",CCY))</f>
        <v>0</v>
      </c>
      <c r="AR351" s="882">
        <f>IF($X351=0,0,      _xll.qDateNext($X351,AR$12,$AR$11,FRM&lt;&gt;"Calypso",CCY))</f>
        <v>0</v>
      </c>
      <c r="AS351" s="901">
        <f ca="1"/>
        <v>0</v>
      </c>
      <c r="AT351" s="901">
        <f ca="1"/>
        <v>0</v>
      </c>
      <c r="AU351" s="901">
        <f t="shared" si="96"/>
        <v>0</v>
      </c>
      <c r="AV351" s="901">
        <f ca="1"/>
        <v>0</v>
      </c>
      <c r="AW351" s="901">
        <f t="shared" si="97"/>
        <v>0</v>
      </c>
      <c r="AX351" s="901">
        <f t="shared" si="98"/>
        <v>0</v>
      </c>
      <c r="AY351" s="901">
        <f ca="1"/>
        <v>0</v>
      </c>
      <c r="AZ351" s="901">
        <f ca="1"/>
        <v>0</v>
      </c>
      <c r="BA351" s="905">
        <f t="shared" si="87"/>
        <v>0</v>
      </c>
      <c r="BB351" s="905">
        <f t="shared" si="88"/>
        <v>0</v>
      </c>
      <c r="BC351" s="905">
        <f t="shared" si="89"/>
        <v>0</v>
      </c>
      <c r="BD351" s="905">
        <f t="shared" si="90"/>
        <v>0</v>
      </c>
      <c r="BE351" s="905">
        <f t="shared" si="91"/>
        <v>0</v>
      </c>
      <c r="BF351" s="905">
        <f t="shared" si="92"/>
        <v>0</v>
      </c>
      <c r="BG351" s="905">
        <f t="shared" si="93"/>
        <v>0</v>
      </c>
      <c r="BH351" s="905">
        <f t="shared" si="94"/>
        <v>0</v>
      </c>
      <c r="BI351" s="713">
        <v>0</v>
      </c>
      <c r="BJ351" s="695"/>
      <c r="BK351" s="752">
        <f>IF(X352=0,0,           IF(ISNUMBER(BJ351),BJ351,               IF(ISTEXT(BJ351),INDEX(BA351:BH351,MATCH(BJ351,$BA$12:$BH$12,0)),             IF(BI351="INT",_xll.qInterp(X352,AK351:AR351,BA351:BH351),            INDEX(BA351:BH351,MATCH(BI351,$BA$12:$BH$12,0))))))</f>
        <v>0</v>
      </c>
      <c r="BL351" s="389">
        <f t="shared" si="99"/>
        <v>0</v>
      </c>
      <c r="BM351" s="394">
        <f t="shared" si="100"/>
        <v>0</v>
      </c>
      <c r="BN351" s="389">
        <f t="shared" si="101"/>
        <v>0</v>
      </c>
    </row>
    <row r="352" spans="16:66">
      <c r="P352" s="716">
        <v>0</v>
      </c>
      <c r="Q352" s="715">
        <f t="shared" si="85"/>
        <v>0</v>
      </c>
      <c r="R352" s="712">
        <f>IF(P353,_xll.qDateYears(P352,P353,DCCfixed),0)</f>
        <v>0</v>
      </c>
      <c r="S352" s="519">
        <f ca="1"/>
        <v>0</v>
      </c>
      <c r="T352" s="720"/>
      <c r="U352" s="390">
        <f t="shared" si="95"/>
        <v>0</v>
      </c>
      <c r="X352" s="345">
        <v>0</v>
      </c>
      <c r="Y352" s="711">
        <f t="shared" si="86"/>
        <v>0</v>
      </c>
      <c r="Z352" s="712">
        <f>IF(X353,_xll.qDateYears(X352,X353,DCCfloat),0)</f>
        <v>0</v>
      </c>
      <c r="AA352" s="519">
        <f ca="1"/>
        <v>0</v>
      </c>
      <c r="AB352" s="890">
        <f>IF(X352=0,0,         IF(OR(CCY="AUD",CCY="NZD",CCY="GBP"),X352,   _xll.qDateNext(X352,"-2b",,,IF(CCY="EUR","TGT","LON"))))</f>
        <v>0</v>
      </c>
      <c r="AC352" s="879" t="str">
        <v/>
      </c>
      <c r="AD352" s="879" t="str">
        <v/>
      </c>
      <c r="AE352" s="879" t="str">
        <v/>
      </c>
      <c r="AF352" s="879" t="str">
        <v/>
      </c>
      <c r="AG352" s="879" t="str">
        <v/>
      </c>
      <c r="AH352" s="879" t="str">
        <v/>
      </c>
      <c r="AI352" s="879" t="str">
        <v/>
      </c>
      <c r="AJ352" s="879" t="str">
        <v/>
      </c>
      <c r="AK352" s="882">
        <f>IF($X352=0,0,      _xll.qDateNext($X352,AK$12,$AR$11,FRM&lt;&gt;"Calypso",CCY))</f>
        <v>0</v>
      </c>
      <c r="AL352" s="882">
        <f>IF($X352=0,0,      _xll.qDateNext($X352,AL$12,$AR$11,FRM&lt;&gt;"Calypso",CCY))</f>
        <v>0</v>
      </c>
      <c r="AM352" s="882">
        <f>IF($X352=0,0,      _xll.qDateNext($X352,AM$12,$AR$11,FRM&lt;&gt;"Calypso",CCY))</f>
        <v>0</v>
      </c>
      <c r="AN352" s="882">
        <f>IF($X352=0,0,      _xll.qDateNext($X352,AN$12,$AR$11,FRM&lt;&gt;"Calypso",CCY))</f>
        <v>0</v>
      </c>
      <c r="AO352" s="882">
        <f>IF($X352=0,0,      _xll.qDateNext($X352,AO$12,$AR$11,FRM&lt;&gt;"Calypso",CCY))</f>
        <v>0</v>
      </c>
      <c r="AP352" s="882">
        <f>IF($X352=0,0,      _xll.qDateNext($X352,AP$12,$AR$11,FRM&lt;&gt;"Calypso",CCY))</f>
        <v>0</v>
      </c>
      <c r="AQ352" s="882">
        <f>IF($X352=0,0,      _xll.qDateNext($X352,AQ$12,$AR$11,FRM&lt;&gt;"Calypso",CCY))</f>
        <v>0</v>
      </c>
      <c r="AR352" s="882">
        <f>IF($X352=0,0,      _xll.qDateNext($X352,AR$12,$AR$11,FRM&lt;&gt;"Calypso",CCY))</f>
        <v>0</v>
      </c>
      <c r="AS352" s="901">
        <f ca="1"/>
        <v>0</v>
      </c>
      <c r="AT352" s="901">
        <f ca="1"/>
        <v>0</v>
      </c>
      <c r="AU352" s="901">
        <f t="shared" si="96"/>
        <v>0</v>
      </c>
      <c r="AV352" s="901">
        <f ca="1"/>
        <v>0</v>
      </c>
      <c r="AW352" s="901">
        <f t="shared" si="97"/>
        <v>0</v>
      </c>
      <c r="AX352" s="901">
        <f t="shared" si="98"/>
        <v>0</v>
      </c>
      <c r="AY352" s="901">
        <f ca="1"/>
        <v>0</v>
      </c>
      <c r="AZ352" s="901">
        <f ca="1"/>
        <v>0</v>
      </c>
      <c r="BA352" s="905">
        <f t="shared" si="87"/>
        <v>0</v>
      </c>
      <c r="BB352" s="905">
        <f t="shared" si="88"/>
        <v>0</v>
      </c>
      <c r="BC352" s="905">
        <f t="shared" si="89"/>
        <v>0</v>
      </c>
      <c r="BD352" s="905">
        <f t="shared" si="90"/>
        <v>0</v>
      </c>
      <c r="BE352" s="905">
        <f t="shared" si="91"/>
        <v>0</v>
      </c>
      <c r="BF352" s="905">
        <f t="shared" si="92"/>
        <v>0</v>
      </c>
      <c r="BG352" s="905">
        <f t="shared" si="93"/>
        <v>0</v>
      </c>
      <c r="BH352" s="905">
        <f t="shared" si="94"/>
        <v>0</v>
      </c>
      <c r="BI352" s="713">
        <v>0</v>
      </c>
      <c r="BJ352" s="695"/>
      <c r="BK352" s="752">
        <f>IF(X353=0,0,           IF(ISNUMBER(BJ352),BJ352,               IF(ISTEXT(BJ352),INDEX(BA352:BH352,MATCH(BJ352,$BA$12:$BH$12,0)),             IF(BI352="INT",_xll.qInterp(X353,AK352:AR352,BA352:BH352),            INDEX(BA352:BH352,MATCH(BI352,$BA$12:$BH$12,0))))))</f>
        <v>0</v>
      </c>
      <c r="BL352" s="389">
        <f t="shared" si="99"/>
        <v>0</v>
      </c>
      <c r="BM352" s="394">
        <f t="shared" si="100"/>
        <v>0</v>
      </c>
      <c r="BN352" s="389">
        <f t="shared" si="101"/>
        <v>0</v>
      </c>
    </row>
    <row r="353" spans="16:66">
      <c r="P353" s="716">
        <v>0</v>
      </c>
      <c r="Q353" s="715">
        <f t="shared" si="85"/>
        <v>0</v>
      </c>
      <c r="R353" s="712">
        <f>IF(P354,_xll.qDateYears(P353,P354,DCCfixed),0)</f>
        <v>0</v>
      </c>
      <c r="S353" s="519">
        <f ca="1"/>
        <v>0</v>
      </c>
      <c r="T353" s="720"/>
      <c r="U353" s="390">
        <f t="shared" si="95"/>
        <v>0</v>
      </c>
      <c r="X353" s="345">
        <v>0</v>
      </c>
      <c r="Y353" s="711">
        <f t="shared" si="86"/>
        <v>0</v>
      </c>
      <c r="Z353" s="712">
        <f>IF(X354,_xll.qDateYears(X353,X354,DCCfloat),0)</f>
        <v>0</v>
      </c>
      <c r="AA353" s="519">
        <f ca="1"/>
        <v>0</v>
      </c>
      <c r="AB353" s="890">
        <f>IF(X353=0,0,         IF(OR(CCY="AUD",CCY="NZD",CCY="GBP"),X353,   _xll.qDateNext(X353,"-2b",,,IF(CCY="EUR","TGT","LON"))))</f>
        <v>0</v>
      </c>
      <c r="AC353" s="879" t="str">
        <v/>
      </c>
      <c r="AD353" s="879" t="str">
        <v/>
      </c>
      <c r="AE353" s="879" t="str">
        <v/>
      </c>
      <c r="AF353" s="879" t="str">
        <v/>
      </c>
      <c r="AG353" s="879" t="str">
        <v/>
      </c>
      <c r="AH353" s="879" t="str">
        <v/>
      </c>
      <c r="AI353" s="879" t="str">
        <v/>
      </c>
      <c r="AJ353" s="879" t="str">
        <v/>
      </c>
      <c r="AK353" s="882">
        <f>IF($X353=0,0,      _xll.qDateNext($X353,AK$12,$AR$11,FRM&lt;&gt;"Calypso",CCY))</f>
        <v>0</v>
      </c>
      <c r="AL353" s="882">
        <f>IF($X353=0,0,      _xll.qDateNext($X353,AL$12,$AR$11,FRM&lt;&gt;"Calypso",CCY))</f>
        <v>0</v>
      </c>
      <c r="AM353" s="882">
        <f>IF($X353=0,0,      _xll.qDateNext($X353,AM$12,$AR$11,FRM&lt;&gt;"Calypso",CCY))</f>
        <v>0</v>
      </c>
      <c r="AN353" s="882">
        <f>IF($X353=0,0,      _xll.qDateNext($X353,AN$12,$AR$11,FRM&lt;&gt;"Calypso",CCY))</f>
        <v>0</v>
      </c>
      <c r="AO353" s="882">
        <f>IF($X353=0,0,      _xll.qDateNext($X353,AO$12,$AR$11,FRM&lt;&gt;"Calypso",CCY))</f>
        <v>0</v>
      </c>
      <c r="AP353" s="882">
        <f>IF($X353=0,0,      _xll.qDateNext($X353,AP$12,$AR$11,FRM&lt;&gt;"Calypso",CCY))</f>
        <v>0</v>
      </c>
      <c r="AQ353" s="882">
        <f>IF($X353=0,0,      _xll.qDateNext($X353,AQ$12,$AR$11,FRM&lt;&gt;"Calypso",CCY))</f>
        <v>0</v>
      </c>
      <c r="AR353" s="882">
        <f>IF($X353=0,0,      _xll.qDateNext($X353,AR$12,$AR$11,FRM&lt;&gt;"Calypso",CCY))</f>
        <v>0</v>
      </c>
      <c r="AS353" s="901">
        <f ca="1"/>
        <v>0</v>
      </c>
      <c r="AT353" s="901">
        <f ca="1"/>
        <v>0</v>
      </c>
      <c r="AU353" s="901">
        <f t="shared" si="96"/>
        <v>0</v>
      </c>
      <c r="AV353" s="901">
        <f ca="1"/>
        <v>0</v>
      </c>
      <c r="AW353" s="901">
        <f t="shared" si="97"/>
        <v>0</v>
      </c>
      <c r="AX353" s="901">
        <f t="shared" si="98"/>
        <v>0</v>
      </c>
      <c r="AY353" s="901">
        <f ca="1"/>
        <v>0</v>
      </c>
      <c r="AZ353" s="901">
        <f ca="1"/>
        <v>0</v>
      </c>
      <c r="BA353" s="905">
        <f t="shared" si="87"/>
        <v>0</v>
      </c>
      <c r="BB353" s="905">
        <f t="shared" si="88"/>
        <v>0</v>
      </c>
      <c r="BC353" s="905">
        <f t="shared" si="89"/>
        <v>0</v>
      </c>
      <c r="BD353" s="905">
        <f t="shared" si="90"/>
        <v>0</v>
      </c>
      <c r="BE353" s="905">
        <f t="shared" si="91"/>
        <v>0</v>
      </c>
      <c r="BF353" s="905">
        <f t="shared" si="92"/>
        <v>0</v>
      </c>
      <c r="BG353" s="905">
        <f t="shared" si="93"/>
        <v>0</v>
      </c>
      <c r="BH353" s="905">
        <f t="shared" si="94"/>
        <v>0</v>
      </c>
      <c r="BI353" s="713">
        <v>0</v>
      </c>
      <c r="BJ353" s="695"/>
      <c r="BK353" s="752">
        <f>IF(X354=0,0,           IF(ISNUMBER(BJ353),BJ353,               IF(ISTEXT(BJ353),INDEX(BA353:BH353,MATCH(BJ353,$BA$12:$BH$12,0)),             IF(BI353="INT",_xll.qInterp(X354,AK353:AR353,BA353:BH353),            INDEX(BA353:BH353,MATCH(BI353,$BA$12:$BH$12,0))))))</f>
        <v>0</v>
      </c>
      <c r="BL353" s="389">
        <f t="shared" si="99"/>
        <v>0</v>
      </c>
      <c r="BM353" s="394">
        <f t="shared" si="100"/>
        <v>0</v>
      </c>
      <c r="BN353" s="389">
        <f t="shared" si="101"/>
        <v>0</v>
      </c>
    </row>
    <row r="354" spans="16:66">
      <c r="P354" s="716">
        <v>0</v>
      </c>
      <c r="Q354" s="715">
        <f t="shared" si="85"/>
        <v>0</v>
      </c>
      <c r="R354" s="712">
        <f>IF(P355,_xll.qDateYears(P354,P355,DCCfixed),0)</f>
        <v>0</v>
      </c>
      <c r="S354" s="519">
        <f ca="1"/>
        <v>0</v>
      </c>
      <c r="T354" s="720"/>
      <c r="U354" s="390">
        <f t="shared" si="95"/>
        <v>0</v>
      </c>
      <c r="X354" s="345">
        <v>0</v>
      </c>
      <c r="Y354" s="711">
        <f t="shared" si="86"/>
        <v>0</v>
      </c>
      <c r="Z354" s="712">
        <f>IF(X355,_xll.qDateYears(X354,X355,DCCfloat),0)</f>
        <v>0</v>
      </c>
      <c r="AA354" s="519">
        <f ca="1"/>
        <v>0</v>
      </c>
      <c r="AB354" s="890">
        <f>IF(X354=0,0,         IF(OR(CCY="AUD",CCY="NZD",CCY="GBP"),X354,   _xll.qDateNext(X354,"-2b",,,IF(CCY="EUR","TGT","LON"))))</f>
        <v>0</v>
      </c>
      <c r="AC354" s="879" t="str">
        <v/>
      </c>
      <c r="AD354" s="879" t="str">
        <v/>
      </c>
      <c r="AE354" s="879" t="str">
        <v/>
      </c>
      <c r="AF354" s="879" t="str">
        <v/>
      </c>
      <c r="AG354" s="879" t="str">
        <v/>
      </c>
      <c r="AH354" s="879" t="str">
        <v/>
      </c>
      <c r="AI354" s="879" t="str">
        <v/>
      </c>
      <c r="AJ354" s="879" t="str">
        <v/>
      </c>
      <c r="AK354" s="882">
        <f>IF($X354=0,0,      _xll.qDateNext($X354,AK$12,$AR$11,FRM&lt;&gt;"Calypso",CCY))</f>
        <v>0</v>
      </c>
      <c r="AL354" s="882">
        <f>IF($X354=0,0,      _xll.qDateNext($X354,AL$12,$AR$11,FRM&lt;&gt;"Calypso",CCY))</f>
        <v>0</v>
      </c>
      <c r="AM354" s="882">
        <f>IF($X354=0,0,      _xll.qDateNext($X354,AM$12,$AR$11,FRM&lt;&gt;"Calypso",CCY))</f>
        <v>0</v>
      </c>
      <c r="AN354" s="882">
        <f>IF($X354=0,0,      _xll.qDateNext($X354,AN$12,$AR$11,FRM&lt;&gt;"Calypso",CCY))</f>
        <v>0</v>
      </c>
      <c r="AO354" s="882">
        <f>IF($X354=0,0,      _xll.qDateNext($X354,AO$12,$AR$11,FRM&lt;&gt;"Calypso",CCY))</f>
        <v>0</v>
      </c>
      <c r="AP354" s="882">
        <f>IF($X354=0,0,      _xll.qDateNext($X354,AP$12,$AR$11,FRM&lt;&gt;"Calypso",CCY))</f>
        <v>0</v>
      </c>
      <c r="AQ354" s="882">
        <f>IF($X354=0,0,      _xll.qDateNext($X354,AQ$12,$AR$11,FRM&lt;&gt;"Calypso",CCY))</f>
        <v>0</v>
      </c>
      <c r="AR354" s="882">
        <f>IF($X354=0,0,      _xll.qDateNext($X354,AR$12,$AR$11,FRM&lt;&gt;"Calypso",CCY))</f>
        <v>0</v>
      </c>
      <c r="AS354" s="901">
        <f ca="1"/>
        <v>0</v>
      </c>
      <c r="AT354" s="901">
        <f ca="1"/>
        <v>0</v>
      </c>
      <c r="AU354" s="901">
        <f t="shared" si="96"/>
        <v>0</v>
      </c>
      <c r="AV354" s="901">
        <f ca="1"/>
        <v>0</v>
      </c>
      <c r="AW354" s="901">
        <f t="shared" si="97"/>
        <v>0</v>
      </c>
      <c r="AX354" s="901">
        <f t="shared" si="98"/>
        <v>0</v>
      </c>
      <c r="AY354" s="901">
        <f ca="1"/>
        <v>0</v>
      </c>
      <c r="AZ354" s="901">
        <f ca="1"/>
        <v>0</v>
      </c>
      <c r="BA354" s="905">
        <f t="shared" si="87"/>
        <v>0</v>
      </c>
      <c r="BB354" s="905">
        <f t="shared" si="88"/>
        <v>0</v>
      </c>
      <c r="BC354" s="905">
        <f t="shared" si="89"/>
        <v>0</v>
      </c>
      <c r="BD354" s="905">
        <f t="shared" si="90"/>
        <v>0</v>
      </c>
      <c r="BE354" s="905">
        <f t="shared" si="91"/>
        <v>0</v>
      </c>
      <c r="BF354" s="905">
        <f t="shared" si="92"/>
        <v>0</v>
      </c>
      <c r="BG354" s="905">
        <f t="shared" si="93"/>
        <v>0</v>
      </c>
      <c r="BH354" s="905">
        <f t="shared" si="94"/>
        <v>0</v>
      </c>
      <c r="BI354" s="713">
        <v>0</v>
      </c>
      <c r="BJ354" s="695"/>
      <c r="BK354" s="752">
        <f>IF(X355=0,0,           IF(ISNUMBER(BJ354),BJ354,               IF(ISTEXT(BJ354),INDEX(BA354:BH354,MATCH(BJ354,$BA$12:$BH$12,0)),             IF(BI354="INT",_xll.qInterp(X355,AK354:AR354,BA354:BH354),            INDEX(BA354:BH354,MATCH(BI354,$BA$12:$BH$12,0))))))</f>
        <v>0</v>
      </c>
      <c r="BL354" s="389">
        <f t="shared" si="99"/>
        <v>0</v>
      </c>
      <c r="BM354" s="394">
        <f t="shared" si="100"/>
        <v>0</v>
      </c>
      <c r="BN354" s="389">
        <f t="shared" si="101"/>
        <v>0</v>
      </c>
    </row>
    <row r="355" spans="16:66">
      <c r="P355" s="716">
        <v>0</v>
      </c>
      <c r="Q355" s="715">
        <f t="shared" si="85"/>
        <v>0</v>
      </c>
      <c r="R355" s="712">
        <f>IF(P356,_xll.qDateYears(P355,P356,DCCfixed),0)</f>
        <v>0</v>
      </c>
      <c r="S355" s="519">
        <f ca="1"/>
        <v>0</v>
      </c>
      <c r="T355" s="720"/>
      <c r="U355" s="390">
        <f t="shared" si="95"/>
        <v>0</v>
      </c>
      <c r="X355" s="345">
        <v>0</v>
      </c>
      <c r="Y355" s="711">
        <f t="shared" si="86"/>
        <v>0</v>
      </c>
      <c r="Z355" s="712">
        <f>IF(X356,_xll.qDateYears(X355,X356,DCCfloat),0)</f>
        <v>0</v>
      </c>
      <c r="AA355" s="519">
        <f ca="1"/>
        <v>0</v>
      </c>
      <c r="AB355" s="890">
        <f>IF(X355=0,0,         IF(OR(CCY="AUD",CCY="NZD",CCY="GBP"),X355,   _xll.qDateNext(X355,"-2b",,,IF(CCY="EUR","TGT","LON"))))</f>
        <v>0</v>
      </c>
      <c r="AC355" s="879" t="str">
        <v/>
      </c>
      <c r="AD355" s="879" t="str">
        <v/>
      </c>
      <c r="AE355" s="879" t="str">
        <v/>
      </c>
      <c r="AF355" s="879" t="str">
        <v/>
      </c>
      <c r="AG355" s="879" t="str">
        <v/>
      </c>
      <c r="AH355" s="879" t="str">
        <v/>
      </c>
      <c r="AI355" s="879" t="str">
        <v/>
      </c>
      <c r="AJ355" s="879" t="str">
        <v/>
      </c>
      <c r="AK355" s="882">
        <f>IF($X355=0,0,      _xll.qDateNext($X355,AK$12,$AR$11,FRM&lt;&gt;"Calypso",CCY))</f>
        <v>0</v>
      </c>
      <c r="AL355" s="882">
        <f>IF($X355=0,0,      _xll.qDateNext($X355,AL$12,$AR$11,FRM&lt;&gt;"Calypso",CCY))</f>
        <v>0</v>
      </c>
      <c r="AM355" s="882">
        <f>IF($X355=0,0,      _xll.qDateNext($X355,AM$12,$AR$11,FRM&lt;&gt;"Calypso",CCY))</f>
        <v>0</v>
      </c>
      <c r="AN355" s="882">
        <f>IF($X355=0,0,      _xll.qDateNext($X355,AN$12,$AR$11,FRM&lt;&gt;"Calypso",CCY))</f>
        <v>0</v>
      </c>
      <c r="AO355" s="882">
        <f>IF($X355=0,0,      _xll.qDateNext($X355,AO$12,$AR$11,FRM&lt;&gt;"Calypso",CCY))</f>
        <v>0</v>
      </c>
      <c r="AP355" s="882">
        <f>IF($X355=0,0,      _xll.qDateNext($X355,AP$12,$AR$11,FRM&lt;&gt;"Calypso",CCY))</f>
        <v>0</v>
      </c>
      <c r="AQ355" s="882">
        <f>IF($X355=0,0,      _xll.qDateNext($X355,AQ$12,$AR$11,FRM&lt;&gt;"Calypso",CCY))</f>
        <v>0</v>
      </c>
      <c r="AR355" s="882">
        <f>IF($X355=0,0,      _xll.qDateNext($X355,AR$12,$AR$11,FRM&lt;&gt;"Calypso",CCY))</f>
        <v>0</v>
      </c>
      <c r="AS355" s="901">
        <f ca="1"/>
        <v>0</v>
      </c>
      <c r="AT355" s="901">
        <f ca="1"/>
        <v>0</v>
      </c>
      <c r="AU355" s="901">
        <f t="shared" si="96"/>
        <v>0</v>
      </c>
      <c r="AV355" s="901">
        <f ca="1"/>
        <v>0</v>
      </c>
      <c r="AW355" s="901">
        <f t="shared" si="97"/>
        <v>0</v>
      </c>
      <c r="AX355" s="901">
        <f t="shared" si="98"/>
        <v>0</v>
      </c>
      <c r="AY355" s="901">
        <f ca="1"/>
        <v>0</v>
      </c>
      <c r="AZ355" s="901">
        <f ca="1"/>
        <v>0</v>
      </c>
      <c r="BA355" s="905">
        <f t="shared" si="87"/>
        <v>0</v>
      </c>
      <c r="BB355" s="905">
        <f t="shared" si="88"/>
        <v>0</v>
      </c>
      <c r="BC355" s="905">
        <f t="shared" si="89"/>
        <v>0</v>
      </c>
      <c r="BD355" s="905">
        <f t="shared" si="90"/>
        <v>0</v>
      </c>
      <c r="BE355" s="905">
        <f t="shared" si="91"/>
        <v>0</v>
      </c>
      <c r="BF355" s="905">
        <f t="shared" si="92"/>
        <v>0</v>
      </c>
      <c r="BG355" s="905">
        <f t="shared" si="93"/>
        <v>0</v>
      </c>
      <c r="BH355" s="905">
        <f t="shared" si="94"/>
        <v>0</v>
      </c>
      <c r="BI355" s="713">
        <v>0</v>
      </c>
      <c r="BJ355" s="695"/>
      <c r="BK355" s="752">
        <f>IF(X356=0,0,           IF(ISNUMBER(BJ355),BJ355,               IF(ISTEXT(BJ355),INDEX(BA355:BH355,MATCH(BJ355,$BA$12:$BH$12,0)),             IF(BI355="INT",_xll.qInterp(X356,AK355:AR355,BA355:BH355),            INDEX(BA355:BH355,MATCH(BI355,$BA$12:$BH$12,0))))))</f>
        <v>0</v>
      </c>
      <c r="BL355" s="389">
        <f t="shared" si="99"/>
        <v>0</v>
      </c>
      <c r="BM355" s="394">
        <f t="shared" si="100"/>
        <v>0</v>
      </c>
      <c r="BN355" s="389">
        <f t="shared" si="101"/>
        <v>0</v>
      </c>
    </row>
    <row r="356" spans="16:66">
      <c r="P356" s="716">
        <v>0</v>
      </c>
      <c r="Q356" s="715">
        <f t="shared" si="85"/>
        <v>0</v>
      </c>
      <c r="R356" s="712">
        <f>IF(P357,_xll.qDateYears(P356,P357,DCCfixed),0)</f>
        <v>0</v>
      </c>
      <c r="S356" s="519">
        <f ca="1"/>
        <v>0</v>
      </c>
      <c r="T356" s="720"/>
      <c r="U356" s="390">
        <f t="shared" si="95"/>
        <v>0</v>
      </c>
      <c r="X356" s="345">
        <v>0</v>
      </c>
      <c r="Y356" s="711">
        <f t="shared" si="86"/>
        <v>0</v>
      </c>
      <c r="Z356" s="712">
        <f>IF(X357,_xll.qDateYears(X356,X357,DCCfloat),0)</f>
        <v>0</v>
      </c>
      <c r="AA356" s="519">
        <f ca="1"/>
        <v>0</v>
      </c>
      <c r="AB356" s="890">
        <f>IF(X356=0,0,         IF(OR(CCY="AUD",CCY="NZD",CCY="GBP"),X356,   _xll.qDateNext(X356,"-2b",,,IF(CCY="EUR","TGT","LON"))))</f>
        <v>0</v>
      </c>
      <c r="AC356" s="879" t="str">
        <v/>
      </c>
      <c r="AD356" s="879" t="str">
        <v/>
      </c>
      <c r="AE356" s="879" t="str">
        <v/>
      </c>
      <c r="AF356" s="879" t="str">
        <v/>
      </c>
      <c r="AG356" s="879" t="str">
        <v/>
      </c>
      <c r="AH356" s="879" t="str">
        <v/>
      </c>
      <c r="AI356" s="879" t="str">
        <v/>
      </c>
      <c r="AJ356" s="879" t="str">
        <v/>
      </c>
      <c r="AK356" s="882">
        <f>IF($X356=0,0,      _xll.qDateNext($X356,AK$12,$AR$11,FRM&lt;&gt;"Calypso",CCY))</f>
        <v>0</v>
      </c>
      <c r="AL356" s="882">
        <f>IF($X356=0,0,      _xll.qDateNext($X356,AL$12,$AR$11,FRM&lt;&gt;"Calypso",CCY))</f>
        <v>0</v>
      </c>
      <c r="AM356" s="882">
        <f>IF($X356=0,0,      _xll.qDateNext($X356,AM$12,$AR$11,FRM&lt;&gt;"Calypso",CCY))</f>
        <v>0</v>
      </c>
      <c r="AN356" s="882">
        <f>IF($X356=0,0,      _xll.qDateNext($X356,AN$12,$AR$11,FRM&lt;&gt;"Calypso",CCY))</f>
        <v>0</v>
      </c>
      <c r="AO356" s="882">
        <f>IF($X356=0,0,      _xll.qDateNext($X356,AO$12,$AR$11,FRM&lt;&gt;"Calypso",CCY))</f>
        <v>0</v>
      </c>
      <c r="AP356" s="882">
        <f>IF($X356=0,0,      _xll.qDateNext($X356,AP$12,$AR$11,FRM&lt;&gt;"Calypso",CCY))</f>
        <v>0</v>
      </c>
      <c r="AQ356" s="882">
        <f>IF($X356=0,0,      _xll.qDateNext($X356,AQ$12,$AR$11,FRM&lt;&gt;"Calypso",CCY))</f>
        <v>0</v>
      </c>
      <c r="AR356" s="882">
        <f>IF($X356=0,0,      _xll.qDateNext($X356,AR$12,$AR$11,FRM&lt;&gt;"Calypso",CCY))</f>
        <v>0</v>
      </c>
      <c r="AS356" s="901">
        <f ca="1"/>
        <v>0</v>
      </c>
      <c r="AT356" s="901">
        <f ca="1"/>
        <v>0</v>
      </c>
      <c r="AU356" s="901">
        <f t="shared" si="96"/>
        <v>0</v>
      </c>
      <c r="AV356" s="901">
        <f ca="1"/>
        <v>0</v>
      </c>
      <c r="AW356" s="901">
        <f t="shared" si="97"/>
        <v>0</v>
      </c>
      <c r="AX356" s="901">
        <f t="shared" si="98"/>
        <v>0</v>
      </c>
      <c r="AY356" s="901">
        <f ca="1"/>
        <v>0</v>
      </c>
      <c r="AZ356" s="901">
        <f ca="1"/>
        <v>0</v>
      </c>
      <c r="BA356" s="905">
        <f t="shared" si="87"/>
        <v>0</v>
      </c>
      <c r="BB356" s="905">
        <f t="shared" si="88"/>
        <v>0</v>
      </c>
      <c r="BC356" s="905">
        <f t="shared" si="89"/>
        <v>0</v>
      </c>
      <c r="BD356" s="905">
        <f t="shared" si="90"/>
        <v>0</v>
      </c>
      <c r="BE356" s="905">
        <f t="shared" si="91"/>
        <v>0</v>
      </c>
      <c r="BF356" s="905">
        <f t="shared" si="92"/>
        <v>0</v>
      </c>
      <c r="BG356" s="905">
        <f t="shared" si="93"/>
        <v>0</v>
      </c>
      <c r="BH356" s="905">
        <f t="shared" si="94"/>
        <v>0</v>
      </c>
      <c r="BI356" s="713">
        <v>0</v>
      </c>
      <c r="BJ356" s="695"/>
      <c r="BK356" s="752">
        <f>IF(X357=0,0,           IF(ISNUMBER(BJ356),BJ356,               IF(ISTEXT(BJ356),INDEX(BA356:BH356,MATCH(BJ356,$BA$12:$BH$12,0)),             IF(BI356="INT",_xll.qInterp(X357,AK356:AR356,BA356:BH356),            INDEX(BA356:BH356,MATCH(BI356,$BA$12:$BH$12,0))))))</f>
        <v>0</v>
      </c>
      <c r="BL356" s="389">
        <f t="shared" si="99"/>
        <v>0</v>
      </c>
      <c r="BM356" s="394">
        <f t="shared" si="100"/>
        <v>0</v>
      </c>
      <c r="BN356" s="389">
        <f t="shared" si="101"/>
        <v>0</v>
      </c>
    </row>
    <row r="357" spans="16:66">
      <c r="P357" s="716">
        <v>0</v>
      </c>
      <c r="Q357" s="715">
        <f t="shared" si="85"/>
        <v>0</v>
      </c>
      <c r="R357" s="712">
        <f>IF(P358,_xll.qDateYears(P357,P358,DCCfixed),0)</f>
        <v>0</v>
      </c>
      <c r="S357" s="519">
        <f ca="1"/>
        <v>0</v>
      </c>
      <c r="T357" s="720"/>
      <c r="U357" s="390">
        <f t="shared" si="95"/>
        <v>0</v>
      </c>
      <c r="X357" s="345">
        <v>0</v>
      </c>
      <c r="Y357" s="711">
        <f t="shared" si="86"/>
        <v>0</v>
      </c>
      <c r="Z357" s="712">
        <f>IF(X358,_xll.qDateYears(X357,X358,DCCfloat),0)</f>
        <v>0</v>
      </c>
      <c r="AA357" s="519">
        <f ca="1"/>
        <v>0</v>
      </c>
      <c r="AB357" s="890">
        <f>IF(X357=0,0,         IF(OR(CCY="AUD",CCY="NZD",CCY="GBP"),X357,   _xll.qDateNext(X357,"-2b",,,IF(CCY="EUR","TGT","LON"))))</f>
        <v>0</v>
      </c>
      <c r="AC357" s="879" t="str">
        <v/>
      </c>
      <c r="AD357" s="879" t="str">
        <v/>
      </c>
      <c r="AE357" s="879" t="str">
        <v/>
      </c>
      <c r="AF357" s="879" t="str">
        <v/>
      </c>
      <c r="AG357" s="879" t="str">
        <v/>
      </c>
      <c r="AH357" s="879" t="str">
        <v/>
      </c>
      <c r="AI357" s="879" t="str">
        <v/>
      </c>
      <c r="AJ357" s="879" t="str">
        <v/>
      </c>
      <c r="AK357" s="882">
        <f>IF($X357=0,0,      _xll.qDateNext($X357,AK$12,$AR$11,FRM&lt;&gt;"Calypso",CCY))</f>
        <v>0</v>
      </c>
      <c r="AL357" s="882">
        <f>IF($X357=0,0,      _xll.qDateNext($X357,AL$12,$AR$11,FRM&lt;&gt;"Calypso",CCY))</f>
        <v>0</v>
      </c>
      <c r="AM357" s="882">
        <f>IF($X357=0,0,      _xll.qDateNext($X357,AM$12,$AR$11,FRM&lt;&gt;"Calypso",CCY))</f>
        <v>0</v>
      </c>
      <c r="AN357" s="882">
        <f>IF($X357=0,0,      _xll.qDateNext($X357,AN$12,$AR$11,FRM&lt;&gt;"Calypso",CCY))</f>
        <v>0</v>
      </c>
      <c r="AO357" s="882">
        <f>IF($X357=0,0,      _xll.qDateNext($X357,AO$12,$AR$11,FRM&lt;&gt;"Calypso",CCY))</f>
        <v>0</v>
      </c>
      <c r="AP357" s="882">
        <f>IF($X357=0,0,      _xll.qDateNext($X357,AP$12,$AR$11,FRM&lt;&gt;"Calypso",CCY))</f>
        <v>0</v>
      </c>
      <c r="AQ357" s="882">
        <f>IF($X357=0,0,      _xll.qDateNext($X357,AQ$12,$AR$11,FRM&lt;&gt;"Calypso",CCY))</f>
        <v>0</v>
      </c>
      <c r="AR357" s="882">
        <f>IF($X357=0,0,      _xll.qDateNext($X357,AR$12,$AR$11,FRM&lt;&gt;"Calypso",CCY))</f>
        <v>0</v>
      </c>
      <c r="AS357" s="901">
        <f ca="1"/>
        <v>0</v>
      </c>
      <c r="AT357" s="901">
        <f ca="1"/>
        <v>0</v>
      </c>
      <c r="AU357" s="901">
        <f t="shared" si="96"/>
        <v>0</v>
      </c>
      <c r="AV357" s="901">
        <f ca="1"/>
        <v>0</v>
      </c>
      <c r="AW357" s="901">
        <f t="shared" si="97"/>
        <v>0</v>
      </c>
      <c r="AX357" s="901">
        <f t="shared" si="98"/>
        <v>0</v>
      </c>
      <c r="AY357" s="901">
        <f ca="1"/>
        <v>0</v>
      </c>
      <c r="AZ357" s="901">
        <f ca="1"/>
        <v>0</v>
      </c>
      <c r="BA357" s="905">
        <f t="shared" si="87"/>
        <v>0</v>
      </c>
      <c r="BB357" s="905">
        <f t="shared" si="88"/>
        <v>0</v>
      </c>
      <c r="BC357" s="905">
        <f t="shared" si="89"/>
        <v>0</v>
      </c>
      <c r="BD357" s="905">
        <f t="shared" si="90"/>
        <v>0</v>
      </c>
      <c r="BE357" s="905">
        <f t="shared" si="91"/>
        <v>0</v>
      </c>
      <c r="BF357" s="905">
        <f t="shared" si="92"/>
        <v>0</v>
      </c>
      <c r="BG357" s="905">
        <f t="shared" si="93"/>
        <v>0</v>
      </c>
      <c r="BH357" s="905">
        <f t="shared" si="94"/>
        <v>0</v>
      </c>
      <c r="BI357" s="713">
        <v>0</v>
      </c>
      <c r="BJ357" s="695"/>
      <c r="BK357" s="752">
        <f>IF(X358=0,0,           IF(ISNUMBER(BJ357),BJ357,               IF(ISTEXT(BJ357),INDEX(BA357:BH357,MATCH(BJ357,$BA$12:$BH$12,0)),             IF(BI357="INT",_xll.qInterp(X358,AK357:AR357,BA357:BH357),            INDEX(BA357:BH357,MATCH(BI357,$BA$12:$BH$12,0))))))</f>
        <v>0</v>
      </c>
      <c r="BL357" s="389">
        <f t="shared" si="99"/>
        <v>0</v>
      </c>
      <c r="BM357" s="394">
        <f t="shared" si="100"/>
        <v>0</v>
      </c>
      <c r="BN357" s="389">
        <f t="shared" si="101"/>
        <v>0</v>
      </c>
    </row>
    <row r="358" spans="16:66">
      <c r="P358" s="716">
        <v>0</v>
      </c>
      <c r="Q358" s="715">
        <f t="shared" si="85"/>
        <v>0</v>
      </c>
      <c r="R358" s="712">
        <f>IF(P359,_xll.qDateYears(P358,P359,DCCfixed),0)</f>
        <v>0</v>
      </c>
      <c r="S358" s="519">
        <f ca="1"/>
        <v>0</v>
      </c>
      <c r="T358" s="720"/>
      <c r="U358" s="390">
        <f t="shared" si="95"/>
        <v>0</v>
      </c>
      <c r="X358" s="345">
        <v>0</v>
      </c>
      <c r="Y358" s="711">
        <f t="shared" si="86"/>
        <v>0</v>
      </c>
      <c r="Z358" s="712">
        <f>IF(X359,_xll.qDateYears(X358,X359,DCCfloat),0)</f>
        <v>0</v>
      </c>
      <c r="AA358" s="519">
        <f ca="1"/>
        <v>0</v>
      </c>
      <c r="AB358" s="890">
        <f>IF(X358=0,0,         IF(OR(CCY="AUD",CCY="NZD",CCY="GBP"),X358,   _xll.qDateNext(X358,"-2b",,,IF(CCY="EUR","TGT","LON"))))</f>
        <v>0</v>
      </c>
      <c r="AC358" s="879" t="str">
        <v/>
      </c>
      <c r="AD358" s="879" t="str">
        <v/>
      </c>
      <c r="AE358" s="879" t="str">
        <v/>
      </c>
      <c r="AF358" s="879" t="str">
        <v/>
      </c>
      <c r="AG358" s="879" t="str">
        <v/>
      </c>
      <c r="AH358" s="879" t="str">
        <v/>
      </c>
      <c r="AI358" s="879" t="str">
        <v/>
      </c>
      <c r="AJ358" s="879" t="str">
        <v/>
      </c>
      <c r="AK358" s="882">
        <f>IF($X358=0,0,      _xll.qDateNext($X358,AK$12,$AR$11,FRM&lt;&gt;"Calypso",CCY))</f>
        <v>0</v>
      </c>
      <c r="AL358" s="882">
        <f>IF($X358=0,0,      _xll.qDateNext($X358,AL$12,$AR$11,FRM&lt;&gt;"Calypso",CCY))</f>
        <v>0</v>
      </c>
      <c r="AM358" s="882">
        <f>IF($X358=0,0,      _xll.qDateNext($X358,AM$12,$AR$11,FRM&lt;&gt;"Calypso",CCY))</f>
        <v>0</v>
      </c>
      <c r="AN358" s="882">
        <f>IF($X358=0,0,      _xll.qDateNext($X358,AN$12,$AR$11,FRM&lt;&gt;"Calypso",CCY))</f>
        <v>0</v>
      </c>
      <c r="AO358" s="882">
        <f>IF($X358=0,0,      _xll.qDateNext($X358,AO$12,$AR$11,FRM&lt;&gt;"Calypso",CCY))</f>
        <v>0</v>
      </c>
      <c r="AP358" s="882">
        <f>IF($X358=0,0,      _xll.qDateNext($X358,AP$12,$AR$11,FRM&lt;&gt;"Calypso",CCY))</f>
        <v>0</v>
      </c>
      <c r="AQ358" s="882">
        <f>IF($X358=0,0,      _xll.qDateNext($X358,AQ$12,$AR$11,FRM&lt;&gt;"Calypso",CCY))</f>
        <v>0</v>
      </c>
      <c r="AR358" s="882">
        <f>IF($X358=0,0,      _xll.qDateNext($X358,AR$12,$AR$11,FRM&lt;&gt;"Calypso",CCY))</f>
        <v>0</v>
      </c>
      <c r="AS358" s="901">
        <f ca="1"/>
        <v>0</v>
      </c>
      <c r="AT358" s="901">
        <f ca="1"/>
        <v>0</v>
      </c>
      <c r="AU358" s="901">
        <f t="shared" si="96"/>
        <v>0</v>
      </c>
      <c r="AV358" s="901">
        <f ca="1"/>
        <v>0</v>
      </c>
      <c r="AW358" s="901">
        <f t="shared" si="97"/>
        <v>0</v>
      </c>
      <c r="AX358" s="901">
        <f t="shared" si="98"/>
        <v>0</v>
      </c>
      <c r="AY358" s="901">
        <f ca="1"/>
        <v>0</v>
      </c>
      <c r="AZ358" s="901">
        <f ca="1"/>
        <v>0</v>
      </c>
      <c r="BA358" s="905">
        <f t="shared" si="87"/>
        <v>0</v>
      </c>
      <c r="BB358" s="905">
        <f t="shared" si="88"/>
        <v>0</v>
      </c>
      <c r="BC358" s="905">
        <f t="shared" si="89"/>
        <v>0</v>
      </c>
      <c r="BD358" s="905">
        <f t="shared" si="90"/>
        <v>0</v>
      </c>
      <c r="BE358" s="905">
        <f t="shared" si="91"/>
        <v>0</v>
      </c>
      <c r="BF358" s="905">
        <f t="shared" si="92"/>
        <v>0</v>
      </c>
      <c r="BG358" s="905">
        <f t="shared" si="93"/>
        <v>0</v>
      </c>
      <c r="BH358" s="905">
        <f t="shared" si="94"/>
        <v>0</v>
      </c>
      <c r="BI358" s="713">
        <v>0</v>
      </c>
      <c r="BJ358" s="695"/>
      <c r="BK358" s="752">
        <f>IF(X359=0,0,           IF(ISNUMBER(BJ358),BJ358,               IF(ISTEXT(BJ358),INDEX(BA358:BH358,MATCH(BJ358,$BA$12:$BH$12,0)),             IF(BI358="INT",_xll.qInterp(X359,AK358:AR358,BA358:BH358),            INDEX(BA358:BH358,MATCH(BI358,$BA$12:$BH$12,0))))))</f>
        <v>0</v>
      </c>
      <c r="BL358" s="389">
        <f t="shared" si="99"/>
        <v>0</v>
      </c>
      <c r="BM358" s="394">
        <f t="shared" si="100"/>
        <v>0</v>
      </c>
      <c r="BN358" s="389">
        <f t="shared" si="101"/>
        <v>0</v>
      </c>
    </row>
    <row r="359" spans="16:66">
      <c r="P359" s="716">
        <v>0</v>
      </c>
      <c r="Q359" s="715">
        <f t="shared" si="85"/>
        <v>0</v>
      </c>
      <c r="R359" s="712">
        <f>IF(P360,_xll.qDateYears(P359,P360,DCCfixed),0)</f>
        <v>0</v>
      </c>
      <c r="S359" s="519">
        <f ca="1"/>
        <v>0</v>
      </c>
      <c r="T359" s="720"/>
      <c r="U359" s="390">
        <f t="shared" si="95"/>
        <v>0</v>
      </c>
      <c r="X359" s="345">
        <v>0</v>
      </c>
      <c r="Y359" s="711">
        <f t="shared" si="86"/>
        <v>0</v>
      </c>
      <c r="Z359" s="712">
        <f>IF(X360,_xll.qDateYears(X359,X360,DCCfloat),0)</f>
        <v>0</v>
      </c>
      <c r="AA359" s="519">
        <f ca="1"/>
        <v>0</v>
      </c>
      <c r="AB359" s="890">
        <f>IF(X359=0,0,         IF(OR(CCY="AUD",CCY="NZD",CCY="GBP"),X359,   _xll.qDateNext(X359,"-2b",,,IF(CCY="EUR","TGT","LON"))))</f>
        <v>0</v>
      </c>
      <c r="AC359" s="879" t="str">
        <v/>
      </c>
      <c r="AD359" s="879" t="str">
        <v/>
      </c>
      <c r="AE359" s="879" t="str">
        <v/>
      </c>
      <c r="AF359" s="879" t="str">
        <v/>
      </c>
      <c r="AG359" s="879" t="str">
        <v/>
      </c>
      <c r="AH359" s="879" t="str">
        <v/>
      </c>
      <c r="AI359" s="879" t="str">
        <v/>
      </c>
      <c r="AJ359" s="879" t="str">
        <v/>
      </c>
      <c r="AK359" s="882">
        <f>IF($X359=0,0,      _xll.qDateNext($X359,AK$12,$AR$11,FRM&lt;&gt;"Calypso",CCY))</f>
        <v>0</v>
      </c>
      <c r="AL359" s="882">
        <f>IF($X359=0,0,      _xll.qDateNext($X359,AL$12,$AR$11,FRM&lt;&gt;"Calypso",CCY))</f>
        <v>0</v>
      </c>
      <c r="AM359" s="882">
        <f>IF($X359=0,0,      _xll.qDateNext($X359,AM$12,$AR$11,FRM&lt;&gt;"Calypso",CCY))</f>
        <v>0</v>
      </c>
      <c r="AN359" s="882">
        <f>IF($X359=0,0,      _xll.qDateNext($X359,AN$12,$AR$11,FRM&lt;&gt;"Calypso",CCY))</f>
        <v>0</v>
      </c>
      <c r="AO359" s="882">
        <f>IF($X359=0,0,      _xll.qDateNext($X359,AO$12,$AR$11,FRM&lt;&gt;"Calypso",CCY))</f>
        <v>0</v>
      </c>
      <c r="AP359" s="882">
        <f>IF($X359=0,0,      _xll.qDateNext($X359,AP$12,$AR$11,FRM&lt;&gt;"Calypso",CCY))</f>
        <v>0</v>
      </c>
      <c r="AQ359" s="882">
        <f>IF($X359=0,0,      _xll.qDateNext($X359,AQ$12,$AR$11,FRM&lt;&gt;"Calypso",CCY))</f>
        <v>0</v>
      </c>
      <c r="AR359" s="882">
        <f>IF($X359=0,0,      _xll.qDateNext($X359,AR$12,$AR$11,FRM&lt;&gt;"Calypso",CCY))</f>
        <v>0</v>
      </c>
      <c r="AS359" s="901">
        <f ca="1"/>
        <v>0</v>
      </c>
      <c r="AT359" s="901">
        <f ca="1"/>
        <v>0</v>
      </c>
      <c r="AU359" s="901">
        <f t="shared" si="96"/>
        <v>0</v>
      </c>
      <c r="AV359" s="901">
        <f ca="1"/>
        <v>0</v>
      </c>
      <c r="AW359" s="901">
        <f t="shared" si="97"/>
        <v>0</v>
      </c>
      <c r="AX359" s="901">
        <f t="shared" si="98"/>
        <v>0</v>
      </c>
      <c r="AY359" s="901">
        <f ca="1"/>
        <v>0</v>
      </c>
      <c r="AZ359" s="901">
        <f ca="1"/>
        <v>0</v>
      </c>
      <c r="BA359" s="905">
        <f t="shared" si="87"/>
        <v>0</v>
      </c>
      <c r="BB359" s="905">
        <f t="shared" si="88"/>
        <v>0</v>
      </c>
      <c r="BC359" s="905">
        <f t="shared" si="89"/>
        <v>0</v>
      </c>
      <c r="BD359" s="905">
        <f t="shared" si="90"/>
        <v>0</v>
      </c>
      <c r="BE359" s="905">
        <f t="shared" si="91"/>
        <v>0</v>
      </c>
      <c r="BF359" s="905">
        <f t="shared" si="92"/>
        <v>0</v>
      </c>
      <c r="BG359" s="905">
        <f t="shared" si="93"/>
        <v>0</v>
      </c>
      <c r="BH359" s="905">
        <f t="shared" si="94"/>
        <v>0</v>
      </c>
      <c r="BI359" s="713">
        <v>0</v>
      </c>
      <c r="BJ359" s="695"/>
      <c r="BK359" s="752">
        <f>IF(X360=0,0,           IF(ISNUMBER(BJ359),BJ359,               IF(ISTEXT(BJ359),INDEX(BA359:BH359,MATCH(BJ359,$BA$12:$BH$12,0)),             IF(BI359="INT",_xll.qInterp(X360,AK359:AR359,BA359:BH359),            INDEX(BA359:BH359,MATCH(BI359,$BA$12:$BH$12,0))))))</f>
        <v>0</v>
      </c>
      <c r="BL359" s="389">
        <f t="shared" si="99"/>
        <v>0</v>
      </c>
      <c r="BM359" s="394">
        <f t="shared" si="100"/>
        <v>0</v>
      </c>
      <c r="BN359" s="389">
        <f t="shared" si="101"/>
        <v>0</v>
      </c>
    </row>
    <row r="360" spans="16:66">
      <c r="P360" s="716">
        <v>0</v>
      </c>
      <c r="Q360" s="715">
        <f t="shared" si="85"/>
        <v>0</v>
      </c>
      <c r="R360" s="712">
        <f>IF(P361,_xll.qDateYears(P360,P361,DCCfixed),0)</f>
        <v>0</v>
      </c>
      <c r="S360" s="519">
        <f ca="1"/>
        <v>0</v>
      </c>
      <c r="T360" s="720"/>
      <c r="U360" s="390">
        <f t="shared" si="95"/>
        <v>0</v>
      </c>
      <c r="X360" s="345">
        <v>0</v>
      </c>
      <c r="Y360" s="711">
        <f t="shared" si="86"/>
        <v>0</v>
      </c>
      <c r="Z360" s="712">
        <f>IF(X361,_xll.qDateYears(X360,X361,DCCfloat),0)</f>
        <v>0</v>
      </c>
      <c r="AA360" s="519">
        <f ca="1"/>
        <v>0</v>
      </c>
      <c r="AB360" s="890">
        <f>IF(X360=0,0,         IF(OR(CCY="AUD",CCY="NZD",CCY="GBP"),X360,   _xll.qDateNext(X360,"-2b",,,IF(CCY="EUR","TGT","LON"))))</f>
        <v>0</v>
      </c>
      <c r="AC360" s="879" t="str">
        <v/>
      </c>
      <c r="AD360" s="879" t="str">
        <v/>
      </c>
      <c r="AE360" s="879" t="str">
        <v/>
      </c>
      <c r="AF360" s="879" t="str">
        <v/>
      </c>
      <c r="AG360" s="879" t="str">
        <v/>
      </c>
      <c r="AH360" s="879" t="str">
        <v/>
      </c>
      <c r="AI360" s="879" t="str">
        <v/>
      </c>
      <c r="AJ360" s="879" t="str">
        <v/>
      </c>
      <c r="AK360" s="882">
        <f>IF($X360=0,0,      _xll.qDateNext($X360,AK$12,$AR$11,FRM&lt;&gt;"Calypso",CCY))</f>
        <v>0</v>
      </c>
      <c r="AL360" s="882">
        <f>IF($X360=0,0,      _xll.qDateNext($X360,AL$12,$AR$11,FRM&lt;&gt;"Calypso",CCY))</f>
        <v>0</v>
      </c>
      <c r="AM360" s="882">
        <f>IF($X360=0,0,      _xll.qDateNext($X360,AM$12,$AR$11,FRM&lt;&gt;"Calypso",CCY))</f>
        <v>0</v>
      </c>
      <c r="AN360" s="882">
        <f>IF($X360=0,0,      _xll.qDateNext($X360,AN$12,$AR$11,FRM&lt;&gt;"Calypso",CCY))</f>
        <v>0</v>
      </c>
      <c r="AO360" s="882">
        <f>IF($X360=0,0,      _xll.qDateNext($X360,AO$12,$AR$11,FRM&lt;&gt;"Calypso",CCY))</f>
        <v>0</v>
      </c>
      <c r="AP360" s="882">
        <f>IF($X360=0,0,      _xll.qDateNext($X360,AP$12,$AR$11,FRM&lt;&gt;"Calypso",CCY))</f>
        <v>0</v>
      </c>
      <c r="AQ360" s="882">
        <f>IF($X360=0,0,      _xll.qDateNext($X360,AQ$12,$AR$11,FRM&lt;&gt;"Calypso",CCY))</f>
        <v>0</v>
      </c>
      <c r="AR360" s="882">
        <f>IF($X360=0,0,      _xll.qDateNext($X360,AR$12,$AR$11,FRM&lt;&gt;"Calypso",CCY))</f>
        <v>0</v>
      </c>
      <c r="AS360" s="901">
        <f ca="1"/>
        <v>0</v>
      </c>
      <c r="AT360" s="901">
        <f ca="1"/>
        <v>0</v>
      </c>
      <c r="AU360" s="901">
        <f t="shared" si="96"/>
        <v>0</v>
      </c>
      <c r="AV360" s="901">
        <f ca="1"/>
        <v>0</v>
      </c>
      <c r="AW360" s="901">
        <f t="shared" si="97"/>
        <v>0</v>
      </c>
      <c r="AX360" s="901">
        <f t="shared" si="98"/>
        <v>0</v>
      </c>
      <c r="AY360" s="901">
        <f ca="1"/>
        <v>0</v>
      </c>
      <c r="AZ360" s="901">
        <f ca="1"/>
        <v>0</v>
      </c>
      <c r="BA360" s="905">
        <f t="shared" si="87"/>
        <v>0</v>
      </c>
      <c r="BB360" s="905">
        <f t="shared" si="88"/>
        <v>0</v>
      </c>
      <c r="BC360" s="905">
        <f t="shared" si="89"/>
        <v>0</v>
      </c>
      <c r="BD360" s="905">
        <f t="shared" si="90"/>
        <v>0</v>
      </c>
      <c r="BE360" s="905">
        <f t="shared" si="91"/>
        <v>0</v>
      </c>
      <c r="BF360" s="905">
        <f t="shared" si="92"/>
        <v>0</v>
      </c>
      <c r="BG360" s="905">
        <f t="shared" si="93"/>
        <v>0</v>
      </c>
      <c r="BH360" s="905">
        <f t="shared" si="94"/>
        <v>0</v>
      </c>
      <c r="BI360" s="713">
        <v>0</v>
      </c>
      <c r="BJ360" s="695"/>
      <c r="BK360" s="752">
        <f>IF(X361=0,0,           IF(ISNUMBER(BJ360),BJ360,               IF(ISTEXT(BJ360),INDEX(BA360:BH360,MATCH(BJ360,$BA$12:$BH$12,0)),             IF(BI360="INT",_xll.qInterp(X361,AK360:AR360,BA360:BH360),            INDEX(BA360:BH360,MATCH(BI360,$BA$12:$BH$12,0))))))</f>
        <v>0</v>
      </c>
      <c r="BL360" s="389">
        <f t="shared" si="99"/>
        <v>0</v>
      </c>
      <c r="BM360" s="394">
        <f t="shared" si="100"/>
        <v>0</v>
      </c>
      <c r="BN360" s="389">
        <f t="shared" si="101"/>
        <v>0</v>
      </c>
    </row>
    <row r="361" spans="16:66">
      <c r="P361" s="716">
        <v>0</v>
      </c>
      <c r="Q361" s="715">
        <f t="shared" si="85"/>
        <v>0</v>
      </c>
      <c r="R361" s="712">
        <f>IF(P362,_xll.qDateYears(P361,P362,DCCfixed),0)</f>
        <v>0</v>
      </c>
      <c r="S361" s="519">
        <f ca="1"/>
        <v>0</v>
      </c>
      <c r="T361" s="720"/>
      <c r="U361" s="390">
        <f t="shared" si="95"/>
        <v>0</v>
      </c>
      <c r="X361" s="345">
        <v>0</v>
      </c>
      <c r="Y361" s="711">
        <f t="shared" si="86"/>
        <v>0</v>
      </c>
      <c r="Z361" s="712">
        <f>IF(X362,_xll.qDateYears(X361,X362,DCCfloat),0)</f>
        <v>0</v>
      </c>
      <c r="AA361" s="519">
        <f ca="1"/>
        <v>0</v>
      </c>
      <c r="AB361" s="890">
        <f>IF(X361=0,0,         IF(OR(CCY="AUD",CCY="NZD",CCY="GBP"),X361,   _xll.qDateNext(X361,"-2b",,,IF(CCY="EUR","TGT","LON"))))</f>
        <v>0</v>
      </c>
      <c r="AC361" s="879" t="str">
        <v/>
      </c>
      <c r="AD361" s="879" t="str">
        <v/>
      </c>
      <c r="AE361" s="879" t="str">
        <v/>
      </c>
      <c r="AF361" s="879" t="str">
        <v/>
      </c>
      <c r="AG361" s="879" t="str">
        <v/>
      </c>
      <c r="AH361" s="879" t="str">
        <v/>
      </c>
      <c r="AI361" s="879" t="str">
        <v/>
      </c>
      <c r="AJ361" s="879" t="str">
        <v/>
      </c>
      <c r="AK361" s="882">
        <f>IF($X361=0,0,      _xll.qDateNext($X361,AK$12,$AR$11,FRM&lt;&gt;"Calypso",CCY))</f>
        <v>0</v>
      </c>
      <c r="AL361" s="882">
        <f>IF($X361=0,0,      _xll.qDateNext($X361,AL$12,$AR$11,FRM&lt;&gt;"Calypso",CCY))</f>
        <v>0</v>
      </c>
      <c r="AM361" s="882">
        <f>IF($X361=0,0,      _xll.qDateNext($X361,AM$12,$AR$11,FRM&lt;&gt;"Calypso",CCY))</f>
        <v>0</v>
      </c>
      <c r="AN361" s="882">
        <f>IF($X361=0,0,      _xll.qDateNext($X361,AN$12,$AR$11,FRM&lt;&gt;"Calypso",CCY))</f>
        <v>0</v>
      </c>
      <c r="AO361" s="882">
        <f>IF($X361=0,0,      _xll.qDateNext($X361,AO$12,$AR$11,FRM&lt;&gt;"Calypso",CCY))</f>
        <v>0</v>
      </c>
      <c r="AP361" s="882">
        <f>IF($X361=0,0,      _xll.qDateNext($X361,AP$12,$AR$11,FRM&lt;&gt;"Calypso",CCY))</f>
        <v>0</v>
      </c>
      <c r="AQ361" s="882">
        <f>IF($X361=0,0,      _xll.qDateNext($X361,AQ$12,$AR$11,FRM&lt;&gt;"Calypso",CCY))</f>
        <v>0</v>
      </c>
      <c r="AR361" s="882">
        <f>IF($X361=0,0,      _xll.qDateNext($X361,AR$12,$AR$11,FRM&lt;&gt;"Calypso",CCY))</f>
        <v>0</v>
      </c>
      <c r="AS361" s="901">
        <f ca="1"/>
        <v>0</v>
      </c>
      <c r="AT361" s="901">
        <f ca="1"/>
        <v>0</v>
      </c>
      <c r="AU361" s="901">
        <f t="shared" si="96"/>
        <v>0</v>
      </c>
      <c r="AV361" s="901">
        <f ca="1"/>
        <v>0</v>
      </c>
      <c r="AW361" s="901">
        <f t="shared" si="97"/>
        <v>0</v>
      </c>
      <c r="AX361" s="901">
        <f t="shared" si="98"/>
        <v>0</v>
      </c>
      <c r="AY361" s="901">
        <f ca="1"/>
        <v>0</v>
      </c>
      <c r="AZ361" s="901">
        <f ca="1"/>
        <v>0</v>
      </c>
      <c r="BA361" s="905">
        <f t="shared" si="87"/>
        <v>0</v>
      </c>
      <c r="BB361" s="905">
        <f t="shared" si="88"/>
        <v>0</v>
      </c>
      <c r="BC361" s="905">
        <f t="shared" si="89"/>
        <v>0</v>
      </c>
      <c r="BD361" s="905">
        <f t="shared" si="90"/>
        <v>0</v>
      </c>
      <c r="BE361" s="905">
        <f t="shared" si="91"/>
        <v>0</v>
      </c>
      <c r="BF361" s="905">
        <f t="shared" si="92"/>
        <v>0</v>
      </c>
      <c r="BG361" s="905">
        <f t="shared" si="93"/>
        <v>0</v>
      </c>
      <c r="BH361" s="905">
        <f t="shared" si="94"/>
        <v>0</v>
      </c>
      <c r="BI361" s="713">
        <v>0</v>
      </c>
      <c r="BJ361" s="695"/>
      <c r="BK361" s="752">
        <f>IF(X362=0,0,           IF(ISNUMBER(BJ361),BJ361,               IF(ISTEXT(BJ361),INDEX(BA361:BH361,MATCH(BJ361,$BA$12:$BH$12,0)),             IF(BI361="INT",_xll.qInterp(X362,AK361:AR361,BA361:BH361),            INDEX(BA361:BH361,MATCH(BI361,$BA$12:$BH$12,0))))))</f>
        <v>0</v>
      </c>
      <c r="BL361" s="389">
        <f t="shared" si="99"/>
        <v>0</v>
      </c>
      <c r="BM361" s="394">
        <f t="shared" si="100"/>
        <v>0</v>
      </c>
      <c r="BN361" s="389">
        <f t="shared" si="101"/>
        <v>0</v>
      </c>
    </row>
    <row r="362" spans="16:66">
      <c r="P362" s="716">
        <v>0</v>
      </c>
      <c r="Q362" s="715">
        <f t="shared" si="85"/>
        <v>0</v>
      </c>
      <c r="R362" s="712">
        <f>IF(P363,_xll.qDateYears(P362,P363,DCCfixed),0)</f>
        <v>0</v>
      </c>
      <c r="S362" s="519">
        <f ca="1"/>
        <v>0</v>
      </c>
      <c r="T362" s="720"/>
      <c r="U362" s="390">
        <f t="shared" si="95"/>
        <v>0</v>
      </c>
      <c r="X362" s="345">
        <v>0</v>
      </c>
      <c r="Y362" s="711">
        <f t="shared" si="86"/>
        <v>0</v>
      </c>
      <c r="Z362" s="712">
        <f>IF(X363,_xll.qDateYears(X362,X363,DCCfloat),0)</f>
        <v>0</v>
      </c>
      <c r="AA362" s="519">
        <f ca="1"/>
        <v>0</v>
      </c>
      <c r="AB362" s="890">
        <f>IF(X362=0,0,         IF(OR(CCY="AUD",CCY="NZD",CCY="GBP"),X362,   _xll.qDateNext(X362,"-2b",,,IF(CCY="EUR","TGT","LON"))))</f>
        <v>0</v>
      </c>
      <c r="AC362" s="879" t="str">
        <v/>
      </c>
      <c r="AD362" s="879" t="str">
        <v/>
      </c>
      <c r="AE362" s="879" t="str">
        <v/>
      </c>
      <c r="AF362" s="879" t="str">
        <v/>
      </c>
      <c r="AG362" s="879" t="str">
        <v/>
      </c>
      <c r="AH362" s="879" t="str">
        <v/>
      </c>
      <c r="AI362" s="879" t="str">
        <v/>
      </c>
      <c r="AJ362" s="879" t="str">
        <v/>
      </c>
      <c r="AK362" s="882">
        <f>IF($X362=0,0,      _xll.qDateNext($X362,AK$12,$AR$11,FRM&lt;&gt;"Calypso",CCY))</f>
        <v>0</v>
      </c>
      <c r="AL362" s="882">
        <f>IF($X362=0,0,      _xll.qDateNext($X362,AL$12,$AR$11,FRM&lt;&gt;"Calypso",CCY))</f>
        <v>0</v>
      </c>
      <c r="AM362" s="882">
        <f>IF($X362=0,0,      _xll.qDateNext($X362,AM$12,$AR$11,FRM&lt;&gt;"Calypso",CCY))</f>
        <v>0</v>
      </c>
      <c r="AN362" s="882">
        <f>IF($X362=0,0,      _xll.qDateNext($X362,AN$12,$AR$11,FRM&lt;&gt;"Calypso",CCY))</f>
        <v>0</v>
      </c>
      <c r="AO362" s="882">
        <f>IF($X362=0,0,      _xll.qDateNext($X362,AO$12,$AR$11,FRM&lt;&gt;"Calypso",CCY))</f>
        <v>0</v>
      </c>
      <c r="AP362" s="882">
        <f>IF($X362=0,0,      _xll.qDateNext($X362,AP$12,$AR$11,FRM&lt;&gt;"Calypso",CCY))</f>
        <v>0</v>
      </c>
      <c r="AQ362" s="882">
        <f>IF($X362=0,0,      _xll.qDateNext($X362,AQ$12,$AR$11,FRM&lt;&gt;"Calypso",CCY))</f>
        <v>0</v>
      </c>
      <c r="AR362" s="882">
        <f>IF($X362=0,0,      _xll.qDateNext($X362,AR$12,$AR$11,FRM&lt;&gt;"Calypso",CCY))</f>
        <v>0</v>
      </c>
      <c r="AS362" s="901">
        <f ca="1"/>
        <v>0</v>
      </c>
      <c r="AT362" s="901">
        <f ca="1"/>
        <v>0</v>
      </c>
      <c r="AU362" s="901">
        <f t="shared" si="96"/>
        <v>0</v>
      </c>
      <c r="AV362" s="901">
        <f ca="1"/>
        <v>0</v>
      </c>
      <c r="AW362" s="901">
        <f t="shared" si="97"/>
        <v>0</v>
      </c>
      <c r="AX362" s="901">
        <f t="shared" si="98"/>
        <v>0</v>
      </c>
      <c r="AY362" s="901">
        <f ca="1"/>
        <v>0</v>
      </c>
      <c r="AZ362" s="901">
        <f ca="1"/>
        <v>0</v>
      </c>
      <c r="BA362" s="905">
        <f t="shared" si="87"/>
        <v>0</v>
      </c>
      <c r="BB362" s="905">
        <f t="shared" si="88"/>
        <v>0</v>
      </c>
      <c r="BC362" s="905">
        <f t="shared" si="89"/>
        <v>0</v>
      </c>
      <c r="BD362" s="905">
        <f t="shared" si="90"/>
        <v>0</v>
      </c>
      <c r="BE362" s="905">
        <f t="shared" si="91"/>
        <v>0</v>
      </c>
      <c r="BF362" s="905">
        <f t="shared" si="92"/>
        <v>0</v>
      </c>
      <c r="BG362" s="905">
        <f t="shared" si="93"/>
        <v>0</v>
      </c>
      <c r="BH362" s="905">
        <f t="shared" si="94"/>
        <v>0</v>
      </c>
      <c r="BI362" s="713">
        <v>0</v>
      </c>
      <c r="BJ362" s="695"/>
      <c r="BK362" s="752">
        <f>IF(X363=0,0,           IF(ISNUMBER(BJ362),BJ362,               IF(ISTEXT(BJ362),INDEX(BA362:BH362,MATCH(BJ362,$BA$12:$BH$12,0)),             IF(BI362="INT",_xll.qInterp(X363,AK362:AR362,BA362:BH362),            INDEX(BA362:BH362,MATCH(BI362,$BA$12:$BH$12,0))))))</f>
        <v>0</v>
      </c>
      <c r="BL362" s="389">
        <f t="shared" si="99"/>
        <v>0</v>
      </c>
      <c r="BM362" s="394">
        <f t="shared" si="100"/>
        <v>0</v>
      </c>
      <c r="BN362" s="389">
        <f t="shared" si="101"/>
        <v>0</v>
      </c>
    </row>
    <row r="363" spans="16:66">
      <c r="P363" s="716">
        <v>0</v>
      </c>
      <c r="Q363" s="715">
        <f t="shared" si="85"/>
        <v>0</v>
      </c>
      <c r="R363" s="712">
        <f>IF(P364,_xll.qDateYears(P363,P364,DCCfixed),0)</f>
        <v>0</v>
      </c>
      <c r="S363" s="519">
        <f ca="1"/>
        <v>0</v>
      </c>
      <c r="T363" s="720"/>
      <c r="U363" s="390">
        <f t="shared" si="95"/>
        <v>0</v>
      </c>
      <c r="X363" s="345">
        <v>0</v>
      </c>
      <c r="Y363" s="711">
        <f t="shared" si="86"/>
        <v>0</v>
      </c>
      <c r="Z363" s="712">
        <f>IF(X364,_xll.qDateYears(X363,X364,DCCfloat),0)</f>
        <v>0</v>
      </c>
      <c r="AA363" s="519">
        <f ca="1"/>
        <v>0</v>
      </c>
      <c r="AB363" s="890">
        <f>IF(X363=0,0,         IF(OR(CCY="AUD",CCY="NZD",CCY="GBP"),X363,   _xll.qDateNext(X363,"-2b",,,IF(CCY="EUR","TGT","LON"))))</f>
        <v>0</v>
      </c>
      <c r="AC363" s="879" t="str">
        <v/>
      </c>
      <c r="AD363" s="879" t="str">
        <v/>
      </c>
      <c r="AE363" s="879" t="str">
        <v/>
      </c>
      <c r="AF363" s="879" t="str">
        <v/>
      </c>
      <c r="AG363" s="879" t="str">
        <v/>
      </c>
      <c r="AH363" s="879" t="str">
        <v/>
      </c>
      <c r="AI363" s="879" t="str">
        <v/>
      </c>
      <c r="AJ363" s="879" t="str">
        <v/>
      </c>
      <c r="AK363" s="882">
        <f>IF($X363=0,0,      _xll.qDateNext($X363,AK$12,$AR$11,FRM&lt;&gt;"Calypso",CCY))</f>
        <v>0</v>
      </c>
      <c r="AL363" s="882">
        <f>IF($X363=0,0,      _xll.qDateNext($X363,AL$12,$AR$11,FRM&lt;&gt;"Calypso",CCY))</f>
        <v>0</v>
      </c>
      <c r="AM363" s="882">
        <f>IF($X363=0,0,      _xll.qDateNext($X363,AM$12,$AR$11,FRM&lt;&gt;"Calypso",CCY))</f>
        <v>0</v>
      </c>
      <c r="AN363" s="882">
        <f>IF($X363=0,0,      _xll.qDateNext($X363,AN$12,$AR$11,FRM&lt;&gt;"Calypso",CCY))</f>
        <v>0</v>
      </c>
      <c r="AO363" s="882">
        <f>IF($X363=0,0,      _xll.qDateNext($X363,AO$12,$AR$11,FRM&lt;&gt;"Calypso",CCY))</f>
        <v>0</v>
      </c>
      <c r="AP363" s="882">
        <f>IF($X363=0,0,      _xll.qDateNext($X363,AP$12,$AR$11,FRM&lt;&gt;"Calypso",CCY))</f>
        <v>0</v>
      </c>
      <c r="AQ363" s="882">
        <f>IF($X363=0,0,      _xll.qDateNext($X363,AQ$12,$AR$11,FRM&lt;&gt;"Calypso",CCY))</f>
        <v>0</v>
      </c>
      <c r="AR363" s="882">
        <f>IF($X363=0,0,      _xll.qDateNext($X363,AR$12,$AR$11,FRM&lt;&gt;"Calypso",CCY))</f>
        <v>0</v>
      </c>
      <c r="AS363" s="901">
        <f ca="1"/>
        <v>0</v>
      </c>
      <c r="AT363" s="901">
        <f ca="1"/>
        <v>0</v>
      </c>
      <c r="AU363" s="901">
        <f t="shared" si="96"/>
        <v>0</v>
      </c>
      <c r="AV363" s="901">
        <f ca="1"/>
        <v>0</v>
      </c>
      <c r="AW363" s="901">
        <f t="shared" si="97"/>
        <v>0</v>
      </c>
      <c r="AX363" s="901">
        <f t="shared" si="98"/>
        <v>0</v>
      </c>
      <c r="AY363" s="901">
        <f ca="1"/>
        <v>0</v>
      </c>
      <c r="AZ363" s="901">
        <f ca="1"/>
        <v>0</v>
      </c>
      <c r="BA363" s="905">
        <f t="shared" si="87"/>
        <v>0</v>
      </c>
      <c r="BB363" s="905">
        <f t="shared" si="88"/>
        <v>0</v>
      </c>
      <c r="BC363" s="905">
        <f t="shared" si="89"/>
        <v>0</v>
      </c>
      <c r="BD363" s="905">
        <f t="shared" si="90"/>
        <v>0</v>
      </c>
      <c r="BE363" s="905">
        <f t="shared" si="91"/>
        <v>0</v>
      </c>
      <c r="BF363" s="905">
        <f t="shared" si="92"/>
        <v>0</v>
      </c>
      <c r="BG363" s="905">
        <f t="shared" si="93"/>
        <v>0</v>
      </c>
      <c r="BH363" s="905">
        <f t="shared" si="94"/>
        <v>0</v>
      </c>
      <c r="BI363" s="713">
        <v>0</v>
      </c>
      <c r="BJ363" s="695"/>
      <c r="BK363" s="752">
        <f>IF(X364=0,0,           IF(ISNUMBER(BJ363),BJ363,               IF(ISTEXT(BJ363),INDEX(BA363:BH363,MATCH(BJ363,$BA$12:$BH$12,0)),             IF(BI363="INT",_xll.qInterp(X364,AK363:AR363,BA363:BH363),            INDEX(BA363:BH363,MATCH(BI363,$BA$12:$BH$12,0))))))</f>
        <v>0</v>
      </c>
      <c r="BL363" s="389">
        <f t="shared" si="99"/>
        <v>0</v>
      </c>
      <c r="BM363" s="394">
        <f t="shared" si="100"/>
        <v>0</v>
      </c>
      <c r="BN363" s="389">
        <f t="shared" si="101"/>
        <v>0</v>
      </c>
    </row>
    <row r="364" spans="16:66">
      <c r="P364" s="716">
        <v>0</v>
      </c>
      <c r="Q364" s="715">
        <f t="shared" si="85"/>
        <v>0</v>
      </c>
      <c r="R364" s="712">
        <f>IF(P365,_xll.qDateYears(P364,P365,DCCfixed),0)</f>
        <v>0</v>
      </c>
      <c r="S364" s="519">
        <f ca="1"/>
        <v>0</v>
      </c>
      <c r="T364" s="720"/>
      <c r="U364" s="390">
        <f t="shared" si="95"/>
        <v>0</v>
      </c>
      <c r="X364" s="345">
        <v>0</v>
      </c>
      <c r="Y364" s="711">
        <f t="shared" si="86"/>
        <v>0</v>
      </c>
      <c r="Z364" s="712">
        <f>IF(X365,_xll.qDateYears(X364,X365,DCCfloat),0)</f>
        <v>0</v>
      </c>
      <c r="AA364" s="519">
        <f ca="1"/>
        <v>0</v>
      </c>
      <c r="AB364" s="890">
        <f>IF(X364=0,0,         IF(OR(CCY="AUD",CCY="NZD",CCY="GBP"),X364,   _xll.qDateNext(X364,"-2b",,,IF(CCY="EUR","TGT","LON"))))</f>
        <v>0</v>
      </c>
      <c r="AC364" s="879" t="str">
        <v/>
      </c>
      <c r="AD364" s="879" t="str">
        <v/>
      </c>
      <c r="AE364" s="879" t="str">
        <v/>
      </c>
      <c r="AF364" s="879" t="str">
        <v/>
      </c>
      <c r="AG364" s="879" t="str">
        <v/>
      </c>
      <c r="AH364" s="879" t="str">
        <v/>
      </c>
      <c r="AI364" s="879" t="str">
        <v/>
      </c>
      <c r="AJ364" s="879" t="str">
        <v/>
      </c>
      <c r="AK364" s="882">
        <f>IF($X364=0,0,      _xll.qDateNext($X364,AK$12,$AR$11,FRM&lt;&gt;"Calypso",CCY))</f>
        <v>0</v>
      </c>
      <c r="AL364" s="882">
        <f>IF($X364=0,0,      _xll.qDateNext($X364,AL$12,$AR$11,FRM&lt;&gt;"Calypso",CCY))</f>
        <v>0</v>
      </c>
      <c r="AM364" s="882">
        <f>IF($X364=0,0,      _xll.qDateNext($X364,AM$12,$AR$11,FRM&lt;&gt;"Calypso",CCY))</f>
        <v>0</v>
      </c>
      <c r="AN364" s="882">
        <f>IF($X364=0,0,      _xll.qDateNext($X364,AN$12,$AR$11,FRM&lt;&gt;"Calypso",CCY))</f>
        <v>0</v>
      </c>
      <c r="AO364" s="882">
        <f>IF($X364=0,0,      _xll.qDateNext($X364,AO$12,$AR$11,FRM&lt;&gt;"Calypso",CCY))</f>
        <v>0</v>
      </c>
      <c r="AP364" s="882">
        <f>IF($X364=0,0,      _xll.qDateNext($X364,AP$12,$AR$11,FRM&lt;&gt;"Calypso",CCY))</f>
        <v>0</v>
      </c>
      <c r="AQ364" s="882">
        <f>IF($X364=0,0,      _xll.qDateNext($X364,AQ$12,$AR$11,FRM&lt;&gt;"Calypso",CCY))</f>
        <v>0</v>
      </c>
      <c r="AR364" s="882">
        <f>IF($X364=0,0,      _xll.qDateNext($X364,AR$12,$AR$11,FRM&lt;&gt;"Calypso",CCY))</f>
        <v>0</v>
      </c>
      <c r="AS364" s="901">
        <f ca="1"/>
        <v>0</v>
      </c>
      <c r="AT364" s="901">
        <f ca="1"/>
        <v>0</v>
      </c>
      <c r="AU364" s="901">
        <f t="shared" si="96"/>
        <v>0</v>
      </c>
      <c r="AV364" s="901">
        <f ca="1"/>
        <v>0</v>
      </c>
      <c r="AW364" s="901">
        <f t="shared" si="97"/>
        <v>0</v>
      </c>
      <c r="AX364" s="901">
        <f t="shared" si="98"/>
        <v>0</v>
      </c>
      <c r="AY364" s="901">
        <f ca="1"/>
        <v>0</v>
      </c>
      <c r="AZ364" s="901">
        <f ca="1"/>
        <v>0</v>
      </c>
      <c r="BA364" s="905">
        <f t="shared" si="87"/>
        <v>0</v>
      </c>
      <c r="BB364" s="905">
        <f t="shared" si="88"/>
        <v>0</v>
      </c>
      <c r="BC364" s="905">
        <f t="shared" si="89"/>
        <v>0</v>
      </c>
      <c r="BD364" s="905">
        <f t="shared" si="90"/>
        <v>0</v>
      </c>
      <c r="BE364" s="905">
        <f t="shared" si="91"/>
        <v>0</v>
      </c>
      <c r="BF364" s="905">
        <f t="shared" si="92"/>
        <v>0</v>
      </c>
      <c r="BG364" s="905">
        <f t="shared" si="93"/>
        <v>0</v>
      </c>
      <c r="BH364" s="905">
        <f t="shared" si="94"/>
        <v>0</v>
      </c>
      <c r="BI364" s="713">
        <v>0</v>
      </c>
      <c r="BJ364" s="695"/>
      <c r="BK364" s="752">
        <f>IF(X365=0,0,           IF(ISNUMBER(BJ364),BJ364,               IF(ISTEXT(BJ364),INDEX(BA364:BH364,MATCH(BJ364,$BA$12:$BH$12,0)),             IF(BI364="INT",_xll.qInterp(X365,AK364:AR364,BA364:BH364),            INDEX(BA364:BH364,MATCH(BI364,$BA$12:$BH$12,0))))))</f>
        <v>0</v>
      </c>
      <c r="BL364" s="389">
        <f t="shared" si="99"/>
        <v>0</v>
      </c>
      <c r="BM364" s="394">
        <f t="shared" si="100"/>
        <v>0</v>
      </c>
      <c r="BN364" s="389">
        <f t="shared" si="101"/>
        <v>0</v>
      </c>
    </row>
    <row r="365" spans="16:66">
      <c r="P365" s="716">
        <v>0</v>
      </c>
      <c r="Q365" s="715">
        <f t="shared" si="85"/>
        <v>0</v>
      </c>
      <c r="R365" s="712">
        <f>IF(P366,_xll.qDateYears(P365,P366,DCCfixed),0)</f>
        <v>0</v>
      </c>
      <c r="S365" s="519">
        <f ca="1"/>
        <v>0</v>
      </c>
      <c r="T365" s="720"/>
      <c r="U365" s="390">
        <f t="shared" si="95"/>
        <v>0</v>
      </c>
      <c r="X365" s="345">
        <v>0</v>
      </c>
      <c r="Y365" s="711">
        <f t="shared" si="86"/>
        <v>0</v>
      </c>
      <c r="Z365" s="712">
        <f>IF(X366,_xll.qDateYears(X365,X366,DCCfloat),0)</f>
        <v>0</v>
      </c>
      <c r="AA365" s="519">
        <f ca="1"/>
        <v>0</v>
      </c>
      <c r="AB365" s="890">
        <f>IF(X365=0,0,         IF(OR(CCY="AUD",CCY="NZD",CCY="GBP"),X365,   _xll.qDateNext(X365,"-2b",,,IF(CCY="EUR","TGT","LON"))))</f>
        <v>0</v>
      </c>
      <c r="AC365" s="879" t="str">
        <v/>
      </c>
      <c r="AD365" s="879" t="str">
        <v/>
      </c>
      <c r="AE365" s="879" t="str">
        <v/>
      </c>
      <c r="AF365" s="879" t="str">
        <v/>
      </c>
      <c r="AG365" s="879" t="str">
        <v/>
      </c>
      <c r="AH365" s="879" t="str">
        <v/>
      </c>
      <c r="AI365" s="879" t="str">
        <v/>
      </c>
      <c r="AJ365" s="879" t="str">
        <v/>
      </c>
      <c r="AK365" s="882">
        <f>IF($X365=0,0,      _xll.qDateNext($X365,AK$12,$AR$11,FRM&lt;&gt;"Calypso",CCY))</f>
        <v>0</v>
      </c>
      <c r="AL365" s="882">
        <f>IF($X365=0,0,      _xll.qDateNext($X365,AL$12,$AR$11,FRM&lt;&gt;"Calypso",CCY))</f>
        <v>0</v>
      </c>
      <c r="AM365" s="882">
        <f>IF($X365=0,0,      _xll.qDateNext($X365,AM$12,$AR$11,FRM&lt;&gt;"Calypso",CCY))</f>
        <v>0</v>
      </c>
      <c r="AN365" s="882">
        <f>IF($X365=0,0,      _xll.qDateNext($X365,AN$12,$AR$11,FRM&lt;&gt;"Calypso",CCY))</f>
        <v>0</v>
      </c>
      <c r="AO365" s="882">
        <f>IF($X365=0,0,      _xll.qDateNext($X365,AO$12,$AR$11,FRM&lt;&gt;"Calypso",CCY))</f>
        <v>0</v>
      </c>
      <c r="AP365" s="882">
        <f>IF($X365=0,0,      _xll.qDateNext($X365,AP$12,$AR$11,FRM&lt;&gt;"Calypso",CCY))</f>
        <v>0</v>
      </c>
      <c r="AQ365" s="882">
        <f>IF($X365=0,0,      _xll.qDateNext($X365,AQ$12,$AR$11,FRM&lt;&gt;"Calypso",CCY))</f>
        <v>0</v>
      </c>
      <c r="AR365" s="882">
        <f>IF($X365=0,0,      _xll.qDateNext($X365,AR$12,$AR$11,FRM&lt;&gt;"Calypso",CCY))</f>
        <v>0</v>
      </c>
      <c r="AS365" s="901">
        <f ca="1"/>
        <v>0</v>
      </c>
      <c r="AT365" s="901">
        <f ca="1"/>
        <v>0</v>
      </c>
      <c r="AU365" s="901">
        <f t="shared" si="96"/>
        <v>0</v>
      </c>
      <c r="AV365" s="901">
        <f ca="1"/>
        <v>0</v>
      </c>
      <c r="AW365" s="901">
        <f t="shared" si="97"/>
        <v>0</v>
      </c>
      <c r="AX365" s="901">
        <f t="shared" si="98"/>
        <v>0</v>
      </c>
      <c r="AY365" s="901">
        <f ca="1"/>
        <v>0</v>
      </c>
      <c r="AZ365" s="901">
        <f ca="1"/>
        <v>0</v>
      </c>
      <c r="BA365" s="905">
        <f t="shared" si="87"/>
        <v>0</v>
      </c>
      <c r="BB365" s="905">
        <f t="shared" si="88"/>
        <v>0</v>
      </c>
      <c r="BC365" s="905">
        <f t="shared" si="89"/>
        <v>0</v>
      </c>
      <c r="BD365" s="905">
        <f t="shared" si="90"/>
        <v>0</v>
      </c>
      <c r="BE365" s="905">
        <f t="shared" si="91"/>
        <v>0</v>
      </c>
      <c r="BF365" s="905">
        <f t="shared" si="92"/>
        <v>0</v>
      </c>
      <c r="BG365" s="905">
        <f t="shared" si="93"/>
        <v>0</v>
      </c>
      <c r="BH365" s="905">
        <f t="shared" si="94"/>
        <v>0</v>
      </c>
      <c r="BI365" s="713">
        <v>0</v>
      </c>
      <c r="BJ365" s="695"/>
      <c r="BK365" s="752">
        <f>IF(X366=0,0,           IF(ISNUMBER(BJ365),BJ365,               IF(ISTEXT(BJ365),INDEX(BA365:BH365,MATCH(BJ365,$BA$12:$BH$12,0)),             IF(BI365="INT",_xll.qInterp(X366,AK365:AR365,BA365:BH365),            INDEX(BA365:BH365,MATCH(BI365,$BA$12:$BH$12,0))))))</f>
        <v>0</v>
      </c>
      <c r="BL365" s="389">
        <f t="shared" si="99"/>
        <v>0</v>
      </c>
      <c r="BM365" s="394">
        <f t="shared" si="100"/>
        <v>0</v>
      </c>
      <c r="BN365" s="389">
        <f t="shared" si="101"/>
        <v>0</v>
      </c>
    </row>
    <row r="366" spans="16:66">
      <c r="P366" s="716">
        <v>0</v>
      </c>
      <c r="Q366" s="715">
        <f t="shared" si="85"/>
        <v>0</v>
      </c>
      <c r="R366" s="712">
        <f>IF(P367,_xll.qDateYears(P366,P367,DCCfixed),0)</f>
        <v>0</v>
      </c>
      <c r="S366" s="519">
        <f ca="1"/>
        <v>0</v>
      </c>
      <c r="T366" s="720"/>
      <c r="U366" s="390">
        <f t="shared" si="95"/>
        <v>0</v>
      </c>
      <c r="X366" s="345">
        <v>0</v>
      </c>
      <c r="Y366" s="711">
        <f t="shared" si="86"/>
        <v>0</v>
      </c>
      <c r="Z366" s="712">
        <f>IF(X367,_xll.qDateYears(X366,X367,DCCfloat),0)</f>
        <v>0</v>
      </c>
      <c r="AA366" s="519">
        <f ca="1"/>
        <v>0</v>
      </c>
      <c r="AB366" s="890">
        <f>IF(X366=0,0,         IF(OR(CCY="AUD",CCY="NZD",CCY="GBP"),X366,   _xll.qDateNext(X366,"-2b",,,IF(CCY="EUR","TGT","LON"))))</f>
        <v>0</v>
      </c>
      <c r="AC366" s="879" t="str">
        <v/>
      </c>
      <c r="AD366" s="879" t="str">
        <v/>
      </c>
      <c r="AE366" s="879" t="str">
        <v/>
      </c>
      <c r="AF366" s="879" t="str">
        <v/>
      </c>
      <c r="AG366" s="879" t="str">
        <v/>
      </c>
      <c r="AH366" s="879" t="str">
        <v/>
      </c>
      <c r="AI366" s="879" t="str">
        <v/>
      </c>
      <c r="AJ366" s="879" t="str">
        <v/>
      </c>
      <c r="AK366" s="882">
        <f>IF($X366=0,0,      _xll.qDateNext($X366,AK$12,$AR$11,FRM&lt;&gt;"Calypso",CCY))</f>
        <v>0</v>
      </c>
      <c r="AL366" s="882">
        <f>IF($X366=0,0,      _xll.qDateNext($X366,AL$12,$AR$11,FRM&lt;&gt;"Calypso",CCY))</f>
        <v>0</v>
      </c>
      <c r="AM366" s="882">
        <f>IF($X366=0,0,      _xll.qDateNext($X366,AM$12,$AR$11,FRM&lt;&gt;"Calypso",CCY))</f>
        <v>0</v>
      </c>
      <c r="AN366" s="882">
        <f>IF($X366=0,0,      _xll.qDateNext($X366,AN$12,$AR$11,FRM&lt;&gt;"Calypso",CCY))</f>
        <v>0</v>
      </c>
      <c r="AO366" s="882">
        <f>IF($X366=0,0,      _xll.qDateNext($X366,AO$12,$AR$11,FRM&lt;&gt;"Calypso",CCY))</f>
        <v>0</v>
      </c>
      <c r="AP366" s="882">
        <f>IF($X366=0,0,      _xll.qDateNext($X366,AP$12,$AR$11,FRM&lt;&gt;"Calypso",CCY))</f>
        <v>0</v>
      </c>
      <c r="AQ366" s="882">
        <f>IF($X366=0,0,      _xll.qDateNext($X366,AQ$12,$AR$11,FRM&lt;&gt;"Calypso",CCY))</f>
        <v>0</v>
      </c>
      <c r="AR366" s="882">
        <f>IF($X366=0,0,      _xll.qDateNext($X366,AR$12,$AR$11,FRM&lt;&gt;"Calypso",CCY))</f>
        <v>0</v>
      </c>
      <c r="AS366" s="901">
        <f ca="1"/>
        <v>0</v>
      </c>
      <c r="AT366" s="901">
        <f ca="1"/>
        <v>0</v>
      </c>
      <c r="AU366" s="901">
        <f t="shared" si="96"/>
        <v>0</v>
      </c>
      <c r="AV366" s="901">
        <f ca="1"/>
        <v>0</v>
      </c>
      <c r="AW366" s="901">
        <f t="shared" si="97"/>
        <v>0</v>
      </c>
      <c r="AX366" s="901">
        <f t="shared" si="98"/>
        <v>0</v>
      </c>
      <c r="AY366" s="901">
        <f ca="1"/>
        <v>0</v>
      </c>
      <c r="AZ366" s="901">
        <f ca="1"/>
        <v>0</v>
      </c>
      <c r="BA366" s="905">
        <f t="shared" si="87"/>
        <v>0</v>
      </c>
      <c r="BB366" s="905">
        <f t="shared" si="88"/>
        <v>0</v>
      </c>
      <c r="BC366" s="905">
        <f t="shared" si="89"/>
        <v>0</v>
      </c>
      <c r="BD366" s="905">
        <f t="shared" si="90"/>
        <v>0</v>
      </c>
      <c r="BE366" s="905">
        <f t="shared" si="91"/>
        <v>0</v>
      </c>
      <c r="BF366" s="905">
        <f t="shared" si="92"/>
        <v>0</v>
      </c>
      <c r="BG366" s="905">
        <f t="shared" si="93"/>
        <v>0</v>
      </c>
      <c r="BH366" s="905">
        <f t="shared" si="94"/>
        <v>0</v>
      </c>
      <c r="BI366" s="713">
        <v>0</v>
      </c>
      <c r="BJ366" s="695"/>
      <c r="BK366" s="752">
        <f>IF(X367=0,0,           IF(ISNUMBER(BJ366),BJ366,               IF(ISTEXT(BJ366),INDEX(BA366:BH366,MATCH(BJ366,$BA$12:$BH$12,0)),             IF(BI366="INT",_xll.qInterp(X367,AK366:AR366,BA366:BH366),            INDEX(BA366:BH366,MATCH(BI366,$BA$12:$BH$12,0))))))</f>
        <v>0</v>
      </c>
      <c r="BL366" s="389">
        <f t="shared" si="99"/>
        <v>0</v>
      </c>
      <c r="BM366" s="394">
        <f t="shared" si="100"/>
        <v>0</v>
      </c>
      <c r="BN366" s="389">
        <f t="shared" si="101"/>
        <v>0</v>
      </c>
    </row>
    <row r="367" spans="16:66">
      <c r="P367" s="716">
        <v>0</v>
      </c>
      <c r="Q367" s="715">
        <f t="shared" si="85"/>
        <v>0</v>
      </c>
      <c r="R367" s="712">
        <f>IF(P368,_xll.qDateYears(P367,P368,DCCfixed),0)</f>
        <v>0</v>
      </c>
      <c r="S367" s="519">
        <f ca="1"/>
        <v>0</v>
      </c>
      <c r="T367" s="720"/>
      <c r="U367" s="390">
        <f t="shared" si="95"/>
        <v>0</v>
      </c>
      <c r="X367" s="345">
        <v>0</v>
      </c>
      <c r="Y367" s="711">
        <f t="shared" si="86"/>
        <v>0</v>
      </c>
      <c r="Z367" s="712">
        <f>IF(X368,_xll.qDateYears(X367,X368,DCCfloat),0)</f>
        <v>0</v>
      </c>
      <c r="AA367" s="519">
        <f ca="1"/>
        <v>0</v>
      </c>
      <c r="AB367" s="890">
        <f>IF(X367=0,0,         IF(OR(CCY="AUD",CCY="NZD",CCY="GBP"),X367,   _xll.qDateNext(X367,"-2b",,,IF(CCY="EUR","TGT","LON"))))</f>
        <v>0</v>
      </c>
      <c r="AC367" s="879" t="str">
        <v/>
      </c>
      <c r="AD367" s="879" t="str">
        <v/>
      </c>
      <c r="AE367" s="879" t="str">
        <v/>
      </c>
      <c r="AF367" s="879" t="str">
        <v/>
      </c>
      <c r="AG367" s="879" t="str">
        <v/>
      </c>
      <c r="AH367" s="879" t="str">
        <v/>
      </c>
      <c r="AI367" s="879" t="str">
        <v/>
      </c>
      <c r="AJ367" s="879" t="str">
        <v/>
      </c>
      <c r="AK367" s="882">
        <f>IF($X367=0,0,      _xll.qDateNext($X367,AK$12,$AR$11,FRM&lt;&gt;"Calypso",CCY))</f>
        <v>0</v>
      </c>
      <c r="AL367" s="882">
        <f>IF($X367=0,0,      _xll.qDateNext($X367,AL$12,$AR$11,FRM&lt;&gt;"Calypso",CCY))</f>
        <v>0</v>
      </c>
      <c r="AM367" s="882">
        <f>IF($X367=0,0,      _xll.qDateNext($X367,AM$12,$AR$11,FRM&lt;&gt;"Calypso",CCY))</f>
        <v>0</v>
      </c>
      <c r="AN367" s="882">
        <f>IF($X367=0,0,      _xll.qDateNext($X367,AN$12,$AR$11,FRM&lt;&gt;"Calypso",CCY))</f>
        <v>0</v>
      </c>
      <c r="AO367" s="882">
        <f>IF($X367=0,0,      _xll.qDateNext($X367,AO$12,$AR$11,FRM&lt;&gt;"Calypso",CCY))</f>
        <v>0</v>
      </c>
      <c r="AP367" s="882">
        <f>IF($X367=0,0,      _xll.qDateNext($X367,AP$12,$AR$11,FRM&lt;&gt;"Calypso",CCY))</f>
        <v>0</v>
      </c>
      <c r="AQ367" s="882">
        <f>IF($X367=0,0,      _xll.qDateNext($X367,AQ$12,$AR$11,FRM&lt;&gt;"Calypso",CCY))</f>
        <v>0</v>
      </c>
      <c r="AR367" s="882">
        <f>IF($X367=0,0,      _xll.qDateNext($X367,AR$12,$AR$11,FRM&lt;&gt;"Calypso",CCY))</f>
        <v>0</v>
      </c>
      <c r="AS367" s="901">
        <f ca="1"/>
        <v>0</v>
      </c>
      <c r="AT367" s="901">
        <f ca="1"/>
        <v>0</v>
      </c>
      <c r="AU367" s="901">
        <f t="shared" si="96"/>
        <v>0</v>
      </c>
      <c r="AV367" s="901">
        <f ca="1"/>
        <v>0</v>
      </c>
      <c r="AW367" s="901">
        <f t="shared" si="97"/>
        <v>0</v>
      </c>
      <c r="AX367" s="901">
        <f t="shared" si="98"/>
        <v>0</v>
      </c>
      <c r="AY367" s="901">
        <f ca="1"/>
        <v>0</v>
      </c>
      <c r="AZ367" s="901">
        <f ca="1"/>
        <v>0</v>
      </c>
      <c r="BA367" s="905">
        <f t="shared" si="87"/>
        <v>0</v>
      </c>
      <c r="BB367" s="905">
        <f t="shared" si="88"/>
        <v>0</v>
      </c>
      <c r="BC367" s="905">
        <f t="shared" si="89"/>
        <v>0</v>
      </c>
      <c r="BD367" s="905">
        <f t="shared" si="90"/>
        <v>0</v>
      </c>
      <c r="BE367" s="905">
        <f t="shared" si="91"/>
        <v>0</v>
      </c>
      <c r="BF367" s="905">
        <f t="shared" si="92"/>
        <v>0</v>
      </c>
      <c r="BG367" s="905">
        <f t="shared" si="93"/>
        <v>0</v>
      </c>
      <c r="BH367" s="905">
        <f t="shared" si="94"/>
        <v>0</v>
      </c>
      <c r="BI367" s="713">
        <v>0</v>
      </c>
      <c r="BJ367" s="695"/>
      <c r="BK367" s="752">
        <f>IF(X368=0,0,           IF(ISNUMBER(BJ367),BJ367,               IF(ISTEXT(BJ367),INDEX(BA367:BH367,MATCH(BJ367,$BA$12:$BH$12,0)),             IF(BI367="INT",_xll.qInterp(X368,AK367:AR367,BA367:BH367),            INDEX(BA367:BH367,MATCH(BI367,$BA$12:$BH$12,0))))))</f>
        <v>0</v>
      </c>
      <c r="BL367" s="389">
        <f t="shared" si="99"/>
        <v>0</v>
      </c>
      <c r="BM367" s="394">
        <f t="shared" si="100"/>
        <v>0</v>
      </c>
      <c r="BN367" s="389">
        <f t="shared" si="101"/>
        <v>0</v>
      </c>
    </row>
    <row r="368" spans="16:66">
      <c r="P368" s="716">
        <v>0</v>
      </c>
      <c r="Q368" s="715">
        <f t="shared" si="85"/>
        <v>0</v>
      </c>
      <c r="R368" s="712">
        <f>IF(P369,_xll.qDateYears(P368,P369,DCCfixed),0)</f>
        <v>0</v>
      </c>
      <c r="S368" s="519">
        <f ca="1"/>
        <v>0</v>
      </c>
      <c r="T368" s="720"/>
      <c r="U368" s="390">
        <f t="shared" si="95"/>
        <v>0</v>
      </c>
      <c r="X368" s="345">
        <v>0</v>
      </c>
      <c r="Y368" s="711">
        <f t="shared" si="86"/>
        <v>0</v>
      </c>
      <c r="Z368" s="712">
        <f>IF(X369,_xll.qDateYears(X368,X369,DCCfloat),0)</f>
        <v>0</v>
      </c>
      <c r="AA368" s="519">
        <f ca="1"/>
        <v>0</v>
      </c>
      <c r="AB368" s="890">
        <f>IF(X368=0,0,         IF(OR(CCY="AUD",CCY="NZD",CCY="GBP"),X368,   _xll.qDateNext(X368,"-2b",,,IF(CCY="EUR","TGT","LON"))))</f>
        <v>0</v>
      </c>
      <c r="AC368" s="879" t="str">
        <v/>
      </c>
      <c r="AD368" s="879" t="str">
        <v/>
      </c>
      <c r="AE368" s="879" t="str">
        <v/>
      </c>
      <c r="AF368" s="879" t="str">
        <v/>
      </c>
      <c r="AG368" s="879" t="str">
        <v/>
      </c>
      <c r="AH368" s="879" t="str">
        <v/>
      </c>
      <c r="AI368" s="879" t="str">
        <v/>
      </c>
      <c r="AJ368" s="879" t="str">
        <v/>
      </c>
      <c r="AK368" s="882">
        <f>IF($X368=0,0,      _xll.qDateNext($X368,AK$12,$AR$11,FRM&lt;&gt;"Calypso",CCY))</f>
        <v>0</v>
      </c>
      <c r="AL368" s="882">
        <f>IF($X368=0,0,      _xll.qDateNext($X368,AL$12,$AR$11,FRM&lt;&gt;"Calypso",CCY))</f>
        <v>0</v>
      </c>
      <c r="AM368" s="882">
        <f>IF($X368=0,0,      _xll.qDateNext($X368,AM$12,$AR$11,FRM&lt;&gt;"Calypso",CCY))</f>
        <v>0</v>
      </c>
      <c r="AN368" s="882">
        <f>IF($X368=0,0,      _xll.qDateNext($X368,AN$12,$AR$11,FRM&lt;&gt;"Calypso",CCY))</f>
        <v>0</v>
      </c>
      <c r="AO368" s="882">
        <f>IF($X368=0,0,      _xll.qDateNext($X368,AO$12,$AR$11,FRM&lt;&gt;"Calypso",CCY))</f>
        <v>0</v>
      </c>
      <c r="AP368" s="882">
        <f>IF($X368=0,0,      _xll.qDateNext($X368,AP$12,$AR$11,FRM&lt;&gt;"Calypso",CCY))</f>
        <v>0</v>
      </c>
      <c r="AQ368" s="882">
        <f>IF($X368=0,0,      _xll.qDateNext($X368,AQ$12,$AR$11,FRM&lt;&gt;"Calypso",CCY))</f>
        <v>0</v>
      </c>
      <c r="AR368" s="882">
        <f>IF($X368=0,0,      _xll.qDateNext($X368,AR$12,$AR$11,FRM&lt;&gt;"Calypso",CCY))</f>
        <v>0</v>
      </c>
      <c r="AS368" s="901">
        <f ca="1"/>
        <v>0</v>
      </c>
      <c r="AT368" s="901">
        <f ca="1"/>
        <v>0</v>
      </c>
      <c r="AU368" s="901">
        <f t="shared" si="96"/>
        <v>0</v>
      </c>
      <c r="AV368" s="901">
        <f ca="1"/>
        <v>0</v>
      </c>
      <c r="AW368" s="901">
        <f t="shared" si="97"/>
        <v>0</v>
      </c>
      <c r="AX368" s="901">
        <f t="shared" si="98"/>
        <v>0</v>
      </c>
      <c r="AY368" s="901">
        <f ca="1"/>
        <v>0</v>
      </c>
      <c r="AZ368" s="901">
        <f ca="1"/>
        <v>0</v>
      </c>
      <c r="BA368" s="905">
        <f t="shared" si="87"/>
        <v>0</v>
      </c>
      <c r="BB368" s="905">
        <f t="shared" si="88"/>
        <v>0</v>
      </c>
      <c r="BC368" s="905">
        <f t="shared" si="89"/>
        <v>0</v>
      </c>
      <c r="BD368" s="905">
        <f t="shared" si="90"/>
        <v>0</v>
      </c>
      <c r="BE368" s="905">
        <f t="shared" si="91"/>
        <v>0</v>
      </c>
      <c r="BF368" s="905">
        <f t="shared" si="92"/>
        <v>0</v>
      </c>
      <c r="BG368" s="905">
        <f t="shared" si="93"/>
        <v>0</v>
      </c>
      <c r="BH368" s="905">
        <f t="shared" si="94"/>
        <v>0</v>
      </c>
      <c r="BI368" s="713">
        <v>0</v>
      </c>
      <c r="BJ368" s="695"/>
      <c r="BK368" s="752">
        <f>IF(X369=0,0,           IF(ISNUMBER(BJ368),BJ368,               IF(ISTEXT(BJ368),INDEX(BA368:BH368,MATCH(BJ368,$BA$12:$BH$12,0)),             IF(BI368="INT",_xll.qInterp(X369,AK368:AR368,BA368:BH368),            INDEX(BA368:BH368,MATCH(BI368,$BA$12:$BH$12,0))))))</f>
        <v>0</v>
      </c>
      <c r="BL368" s="389">
        <f t="shared" si="99"/>
        <v>0</v>
      </c>
      <c r="BM368" s="394">
        <f t="shared" si="100"/>
        <v>0</v>
      </c>
      <c r="BN368" s="389">
        <f t="shared" si="101"/>
        <v>0</v>
      </c>
    </row>
    <row r="369" spans="16:66">
      <c r="P369" s="716">
        <v>0</v>
      </c>
      <c r="Q369" s="715">
        <f t="shared" si="85"/>
        <v>0</v>
      </c>
      <c r="R369" s="712">
        <f>IF(P370,_xll.qDateYears(P369,P370,DCCfixed),0)</f>
        <v>0</v>
      </c>
      <c r="S369" s="519">
        <f ca="1"/>
        <v>0</v>
      </c>
      <c r="T369" s="720"/>
      <c r="U369" s="390">
        <f t="shared" si="95"/>
        <v>0</v>
      </c>
      <c r="X369" s="345">
        <v>0</v>
      </c>
      <c r="Y369" s="711">
        <f t="shared" si="86"/>
        <v>0</v>
      </c>
      <c r="Z369" s="712">
        <f>IF(X370,_xll.qDateYears(X369,X370,DCCfloat),0)</f>
        <v>0</v>
      </c>
      <c r="AA369" s="519">
        <f ca="1"/>
        <v>0</v>
      </c>
      <c r="AB369" s="890">
        <f>IF(X369=0,0,         IF(OR(CCY="AUD",CCY="NZD",CCY="GBP"),X369,   _xll.qDateNext(X369,"-2b",,,IF(CCY="EUR","TGT","LON"))))</f>
        <v>0</v>
      </c>
      <c r="AC369" s="879" t="str">
        <v/>
      </c>
      <c r="AD369" s="879" t="str">
        <v/>
      </c>
      <c r="AE369" s="879" t="str">
        <v/>
      </c>
      <c r="AF369" s="879" t="str">
        <v/>
      </c>
      <c r="AG369" s="879" t="str">
        <v/>
      </c>
      <c r="AH369" s="879" t="str">
        <v/>
      </c>
      <c r="AI369" s="879" t="str">
        <v/>
      </c>
      <c r="AJ369" s="879" t="str">
        <v/>
      </c>
      <c r="AK369" s="882">
        <f>IF($X369=0,0,      _xll.qDateNext($X369,AK$12,$AR$11,FRM&lt;&gt;"Calypso",CCY))</f>
        <v>0</v>
      </c>
      <c r="AL369" s="882">
        <f>IF($X369=0,0,      _xll.qDateNext($X369,AL$12,$AR$11,FRM&lt;&gt;"Calypso",CCY))</f>
        <v>0</v>
      </c>
      <c r="AM369" s="882">
        <f>IF($X369=0,0,      _xll.qDateNext($X369,AM$12,$AR$11,FRM&lt;&gt;"Calypso",CCY))</f>
        <v>0</v>
      </c>
      <c r="AN369" s="882">
        <f>IF($X369=0,0,      _xll.qDateNext($X369,AN$12,$AR$11,FRM&lt;&gt;"Calypso",CCY))</f>
        <v>0</v>
      </c>
      <c r="AO369" s="882">
        <f>IF($X369=0,0,      _xll.qDateNext($X369,AO$12,$AR$11,FRM&lt;&gt;"Calypso",CCY))</f>
        <v>0</v>
      </c>
      <c r="AP369" s="882">
        <f>IF($X369=0,0,      _xll.qDateNext($X369,AP$12,$AR$11,FRM&lt;&gt;"Calypso",CCY))</f>
        <v>0</v>
      </c>
      <c r="AQ369" s="882">
        <f>IF($X369=0,0,      _xll.qDateNext($X369,AQ$12,$AR$11,FRM&lt;&gt;"Calypso",CCY))</f>
        <v>0</v>
      </c>
      <c r="AR369" s="882">
        <f>IF($X369=0,0,      _xll.qDateNext($X369,AR$12,$AR$11,FRM&lt;&gt;"Calypso",CCY))</f>
        <v>0</v>
      </c>
      <c r="AS369" s="901">
        <f ca="1"/>
        <v>0</v>
      </c>
      <c r="AT369" s="901">
        <f ca="1"/>
        <v>0</v>
      </c>
      <c r="AU369" s="901">
        <f t="shared" si="96"/>
        <v>0</v>
      </c>
      <c r="AV369" s="901">
        <f ca="1"/>
        <v>0</v>
      </c>
      <c r="AW369" s="901">
        <f t="shared" si="97"/>
        <v>0</v>
      </c>
      <c r="AX369" s="901">
        <f t="shared" si="98"/>
        <v>0</v>
      </c>
      <c r="AY369" s="901">
        <f ca="1"/>
        <v>0</v>
      </c>
      <c r="AZ369" s="901">
        <f ca="1"/>
        <v>0</v>
      </c>
      <c r="BA369" s="905">
        <f t="shared" si="87"/>
        <v>0</v>
      </c>
      <c r="BB369" s="905">
        <f t="shared" si="88"/>
        <v>0</v>
      </c>
      <c r="BC369" s="905">
        <f t="shared" si="89"/>
        <v>0</v>
      </c>
      <c r="BD369" s="905">
        <f t="shared" si="90"/>
        <v>0</v>
      </c>
      <c r="BE369" s="905">
        <f t="shared" si="91"/>
        <v>0</v>
      </c>
      <c r="BF369" s="905">
        <f t="shared" si="92"/>
        <v>0</v>
      </c>
      <c r="BG369" s="905">
        <f t="shared" si="93"/>
        <v>0</v>
      </c>
      <c r="BH369" s="905">
        <f t="shared" si="94"/>
        <v>0</v>
      </c>
      <c r="BI369" s="713">
        <v>0</v>
      </c>
      <c r="BJ369" s="695"/>
      <c r="BK369" s="752">
        <f>IF(X370=0,0,           IF(ISNUMBER(BJ369),BJ369,               IF(ISTEXT(BJ369),INDEX(BA369:BH369,MATCH(BJ369,$BA$12:$BH$12,0)),             IF(BI369="INT",_xll.qInterp(X370,AK369:AR369,BA369:BH369),            INDEX(BA369:BH369,MATCH(BI369,$BA$12:$BH$12,0))))))</f>
        <v>0</v>
      </c>
      <c r="BL369" s="389">
        <f t="shared" si="99"/>
        <v>0</v>
      </c>
      <c r="BM369" s="394">
        <f t="shared" si="100"/>
        <v>0</v>
      </c>
      <c r="BN369" s="389">
        <f t="shared" si="101"/>
        <v>0</v>
      </c>
    </row>
    <row r="370" spans="16:66">
      <c r="P370" s="716">
        <v>0</v>
      </c>
      <c r="Q370" s="715">
        <f t="shared" si="85"/>
        <v>0</v>
      </c>
      <c r="R370" s="712">
        <f>IF(P371,_xll.qDateYears(P370,P371,DCCfixed),0)</f>
        <v>0</v>
      </c>
      <c r="S370" s="519">
        <f ca="1"/>
        <v>0</v>
      </c>
      <c r="T370" s="720"/>
      <c r="U370" s="390">
        <f t="shared" si="95"/>
        <v>0</v>
      </c>
      <c r="X370" s="345">
        <v>0</v>
      </c>
      <c r="Y370" s="711">
        <f t="shared" si="86"/>
        <v>0</v>
      </c>
      <c r="Z370" s="712">
        <f>IF(X371,_xll.qDateYears(X370,X371,DCCfloat),0)</f>
        <v>0</v>
      </c>
      <c r="AA370" s="519">
        <f ca="1"/>
        <v>0</v>
      </c>
      <c r="AB370" s="890">
        <f>IF(X370=0,0,         IF(OR(CCY="AUD",CCY="NZD",CCY="GBP"),X370,   _xll.qDateNext(X370,"-2b",,,IF(CCY="EUR","TGT","LON"))))</f>
        <v>0</v>
      </c>
      <c r="AC370" s="879" t="str">
        <v/>
      </c>
      <c r="AD370" s="879" t="str">
        <v/>
      </c>
      <c r="AE370" s="879" t="str">
        <v/>
      </c>
      <c r="AF370" s="879" t="str">
        <v/>
      </c>
      <c r="AG370" s="879" t="str">
        <v/>
      </c>
      <c r="AH370" s="879" t="str">
        <v/>
      </c>
      <c r="AI370" s="879" t="str">
        <v/>
      </c>
      <c r="AJ370" s="879" t="str">
        <v/>
      </c>
      <c r="AK370" s="882">
        <f>IF($X370=0,0,      _xll.qDateNext($X370,AK$12,$AR$11,FRM&lt;&gt;"Calypso",CCY))</f>
        <v>0</v>
      </c>
      <c r="AL370" s="882">
        <f>IF($X370=0,0,      _xll.qDateNext($X370,AL$12,$AR$11,FRM&lt;&gt;"Calypso",CCY))</f>
        <v>0</v>
      </c>
      <c r="AM370" s="882">
        <f>IF($X370=0,0,      _xll.qDateNext($X370,AM$12,$AR$11,FRM&lt;&gt;"Calypso",CCY))</f>
        <v>0</v>
      </c>
      <c r="AN370" s="882">
        <f>IF($X370=0,0,      _xll.qDateNext($X370,AN$12,$AR$11,FRM&lt;&gt;"Calypso",CCY))</f>
        <v>0</v>
      </c>
      <c r="AO370" s="882">
        <f>IF($X370=0,0,      _xll.qDateNext($X370,AO$12,$AR$11,FRM&lt;&gt;"Calypso",CCY))</f>
        <v>0</v>
      </c>
      <c r="AP370" s="882">
        <f>IF($X370=0,0,      _xll.qDateNext($X370,AP$12,$AR$11,FRM&lt;&gt;"Calypso",CCY))</f>
        <v>0</v>
      </c>
      <c r="AQ370" s="882">
        <f>IF($X370=0,0,      _xll.qDateNext($X370,AQ$12,$AR$11,FRM&lt;&gt;"Calypso",CCY))</f>
        <v>0</v>
      </c>
      <c r="AR370" s="882">
        <f>IF($X370=0,0,      _xll.qDateNext($X370,AR$12,$AR$11,FRM&lt;&gt;"Calypso",CCY))</f>
        <v>0</v>
      </c>
      <c r="AS370" s="901">
        <f ca="1"/>
        <v>0</v>
      </c>
      <c r="AT370" s="901">
        <f ca="1"/>
        <v>0</v>
      </c>
      <c r="AU370" s="901">
        <f t="shared" si="96"/>
        <v>0</v>
      </c>
      <c r="AV370" s="901">
        <f ca="1"/>
        <v>0</v>
      </c>
      <c r="AW370" s="901">
        <f t="shared" si="97"/>
        <v>0</v>
      </c>
      <c r="AX370" s="901">
        <f t="shared" si="98"/>
        <v>0</v>
      </c>
      <c r="AY370" s="901">
        <f ca="1"/>
        <v>0</v>
      </c>
      <c r="AZ370" s="901">
        <f ca="1"/>
        <v>0</v>
      </c>
      <c r="BA370" s="905">
        <f t="shared" si="87"/>
        <v>0</v>
      </c>
      <c r="BB370" s="905">
        <f t="shared" si="88"/>
        <v>0</v>
      </c>
      <c r="BC370" s="905">
        <f t="shared" si="89"/>
        <v>0</v>
      </c>
      <c r="BD370" s="905">
        <f t="shared" si="90"/>
        <v>0</v>
      </c>
      <c r="BE370" s="905">
        <f t="shared" si="91"/>
        <v>0</v>
      </c>
      <c r="BF370" s="905">
        <f t="shared" si="92"/>
        <v>0</v>
      </c>
      <c r="BG370" s="905">
        <f t="shared" si="93"/>
        <v>0</v>
      </c>
      <c r="BH370" s="905">
        <f t="shared" si="94"/>
        <v>0</v>
      </c>
      <c r="BI370" s="713">
        <v>0</v>
      </c>
      <c r="BJ370" s="695"/>
      <c r="BK370" s="752">
        <f>IF(X371=0,0,           IF(ISNUMBER(BJ370),BJ370,               IF(ISTEXT(BJ370),INDEX(BA370:BH370,MATCH(BJ370,$BA$12:$BH$12,0)),             IF(BI370="INT",_xll.qInterp(X371,AK370:AR370,BA370:BH370),            INDEX(BA370:BH370,MATCH(BI370,$BA$12:$BH$12,0))))))</f>
        <v>0</v>
      </c>
      <c r="BL370" s="389">
        <f t="shared" si="99"/>
        <v>0</v>
      </c>
      <c r="BM370" s="394">
        <f t="shared" si="100"/>
        <v>0</v>
      </c>
      <c r="BN370" s="389">
        <f t="shared" si="101"/>
        <v>0</v>
      </c>
    </row>
    <row r="371" spans="16:66">
      <c r="P371" s="716">
        <v>0</v>
      </c>
      <c r="Q371" s="715">
        <f t="shared" si="85"/>
        <v>0</v>
      </c>
      <c r="R371" s="712">
        <f>IF(P372,_xll.qDateYears(P371,P372,DCCfixed),0)</f>
        <v>0</v>
      </c>
      <c r="S371" s="519">
        <f ca="1"/>
        <v>0</v>
      </c>
      <c r="T371" s="720"/>
      <c r="U371" s="390">
        <f t="shared" si="95"/>
        <v>0</v>
      </c>
      <c r="X371" s="345">
        <v>0</v>
      </c>
      <c r="Y371" s="711">
        <f t="shared" si="86"/>
        <v>0</v>
      </c>
      <c r="Z371" s="712">
        <f>IF(X372,_xll.qDateYears(X371,X372,DCCfloat),0)</f>
        <v>0</v>
      </c>
      <c r="AA371" s="519">
        <f ca="1"/>
        <v>0</v>
      </c>
      <c r="AB371" s="890">
        <f>IF(X371=0,0,         IF(OR(CCY="AUD",CCY="NZD",CCY="GBP"),X371,   _xll.qDateNext(X371,"-2b",,,IF(CCY="EUR","TGT","LON"))))</f>
        <v>0</v>
      </c>
      <c r="AC371" s="879" t="str">
        <v/>
      </c>
      <c r="AD371" s="879" t="str">
        <v/>
      </c>
      <c r="AE371" s="879" t="str">
        <v/>
      </c>
      <c r="AF371" s="879" t="str">
        <v/>
      </c>
      <c r="AG371" s="879" t="str">
        <v/>
      </c>
      <c r="AH371" s="879" t="str">
        <v/>
      </c>
      <c r="AI371" s="879" t="str">
        <v/>
      </c>
      <c r="AJ371" s="879" t="str">
        <v/>
      </c>
      <c r="AK371" s="882">
        <f>IF($X371=0,0,      _xll.qDateNext($X371,AK$12,$AR$11,FRM&lt;&gt;"Calypso",CCY))</f>
        <v>0</v>
      </c>
      <c r="AL371" s="882">
        <f>IF($X371=0,0,      _xll.qDateNext($X371,AL$12,$AR$11,FRM&lt;&gt;"Calypso",CCY))</f>
        <v>0</v>
      </c>
      <c r="AM371" s="882">
        <f>IF($X371=0,0,      _xll.qDateNext($X371,AM$12,$AR$11,FRM&lt;&gt;"Calypso",CCY))</f>
        <v>0</v>
      </c>
      <c r="AN371" s="882">
        <f>IF($X371=0,0,      _xll.qDateNext($X371,AN$12,$AR$11,FRM&lt;&gt;"Calypso",CCY))</f>
        <v>0</v>
      </c>
      <c r="AO371" s="882">
        <f>IF($X371=0,0,      _xll.qDateNext($X371,AO$12,$AR$11,FRM&lt;&gt;"Calypso",CCY))</f>
        <v>0</v>
      </c>
      <c r="AP371" s="882">
        <f>IF($X371=0,0,      _xll.qDateNext($X371,AP$12,$AR$11,FRM&lt;&gt;"Calypso",CCY))</f>
        <v>0</v>
      </c>
      <c r="AQ371" s="882">
        <f>IF($X371=0,0,      _xll.qDateNext($X371,AQ$12,$AR$11,FRM&lt;&gt;"Calypso",CCY))</f>
        <v>0</v>
      </c>
      <c r="AR371" s="882">
        <f>IF($X371=0,0,      _xll.qDateNext($X371,AR$12,$AR$11,FRM&lt;&gt;"Calypso",CCY))</f>
        <v>0</v>
      </c>
      <c r="AS371" s="901">
        <f ca="1"/>
        <v>0</v>
      </c>
      <c r="AT371" s="901">
        <f ca="1"/>
        <v>0</v>
      </c>
      <c r="AU371" s="901">
        <f t="shared" si="96"/>
        <v>0</v>
      </c>
      <c r="AV371" s="901">
        <f ca="1"/>
        <v>0</v>
      </c>
      <c r="AW371" s="901">
        <f t="shared" si="97"/>
        <v>0</v>
      </c>
      <c r="AX371" s="901">
        <f t="shared" si="98"/>
        <v>0</v>
      </c>
      <c r="AY371" s="901">
        <f ca="1"/>
        <v>0</v>
      </c>
      <c r="AZ371" s="901">
        <f ca="1"/>
        <v>0</v>
      </c>
      <c r="BA371" s="905">
        <f t="shared" si="87"/>
        <v>0</v>
      </c>
      <c r="BB371" s="905">
        <f t="shared" si="88"/>
        <v>0</v>
      </c>
      <c r="BC371" s="905">
        <f t="shared" si="89"/>
        <v>0</v>
      </c>
      <c r="BD371" s="905">
        <f t="shared" si="90"/>
        <v>0</v>
      </c>
      <c r="BE371" s="905">
        <f t="shared" si="91"/>
        <v>0</v>
      </c>
      <c r="BF371" s="905">
        <f t="shared" si="92"/>
        <v>0</v>
      </c>
      <c r="BG371" s="905">
        <f t="shared" si="93"/>
        <v>0</v>
      </c>
      <c r="BH371" s="905">
        <f t="shared" si="94"/>
        <v>0</v>
      </c>
      <c r="BI371" s="713">
        <v>0</v>
      </c>
      <c r="BJ371" s="695"/>
      <c r="BK371" s="752">
        <f>IF(X372=0,0,           IF(ISNUMBER(BJ371),BJ371,               IF(ISTEXT(BJ371),INDEX(BA371:BH371,MATCH(BJ371,$BA$12:$BH$12,0)),             IF(BI371="INT",_xll.qInterp(X372,AK371:AR371,BA371:BH371),            INDEX(BA371:BH371,MATCH(BI371,$BA$12:$BH$12,0))))))</f>
        <v>0</v>
      </c>
      <c r="BL371" s="389">
        <f t="shared" si="99"/>
        <v>0</v>
      </c>
      <c r="BM371" s="394">
        <f t="shared" si="100"/>
        <v>0</v>
      </c>
      <c r="BN371" s="389">
        <f t="shared" si="101"/>
        <v>0</v>
      </c>
    </row>
    <row r="372" spans="16:66">
      <c r="P372" s="716">
        <v>0</v>
      </c>
      <c r="Q372" s="715">
        <f t="shared" si="85"/>
        <v>0</v>
      </c>
      <c r="R372" s="712">
        <f>IF(P373,_xll.qDateYears(P372,P373,DCCfixed),0)</f>
        <v>0</v>
      </c>
      <c r="S372" s="519">
        <f ca="1"/>
        <v>0</v>
      </c>
      <c r="T372" s="720"/>
      <c r="U372" s="390">
        <f t="shared" si="95"/>
        <v>0</v>
      </c>
      <c r="X372" s="345">
        <v>0</v>
      </c>
      <c r="Y372" s="711">
        <f t="shared" si="86"/>
        <v>0</v>
      </c>
      <c r="Z372" s="712">
        <f>IF(X373,_xll.qDateYears(X372,X373,DCCfloat),0)</f>
        <v>0</v>
      </c>
      <c r="AA372" s="519">
        <f ca="1"/>
        <v>0</v>
      </c>
      <c r="AB372" s="890">
        <f>IF(X372=0,0,         IF(OR(CCY="AUD",CCY="NZD",CCY="GBP"),X372,   _xll.qDateNext(X372,"-2b",,,IF(CCY="EUR","TGT","LON"))))</f>
        <v>0</v>
      </c>
      <c r="AC372" s="879" t="str">
        <v/>
      </c>
      <c r="AD372" s="879" t="str">
        <v/>
      </c>
      <c r="AE372" s="879" t="str">
        <v/>
      </c>
      <c r="AF372" s="879" t="str">
        <v/>
      </c>
      <c r="AG372" s="879" t="str">
        <v/>
      </c>
      <c r="AH372" s="879" t="str">
        <v/>
      </c>
      <c r="AI372" s="879" t="str">
        <v/>
      </c>
      <c r="AJ372" s="879" t="str">
        <v/>
      </c>
      <c r="AK372" s="882">
        <f>IF($X372=0,0,      _xll.qDateNext($X372,AK$12,$AR$11,FRM&lt;&gt;"Calypso",CCY))</f>
        <v>0</v>
      </c>
      <c r="AL372" s="882">
        <f>IF($X372=0,0,      _xll.qDateNext($X372,AL$12,$AR$11,FRM&lt;&gt;"Calypso",CCY))</f>
        <v>0</v>
      </c>
      <c r="AM372" s="882">
        <f>IF($X372=0,0,      _xll.qDateNext($X372,AM$12,$AR$11,FRM&lt;&gt;"Calypso",CCY))</f>
        <v>0</v>
      </c>
      <c r="AN372" s="882">
        <f>IF($X372=0,0,      _xll.qDateNext($X372,AN$12,$AR$11,FRM&lt;&gt;"Calypso",CCY))</f>
        <v>0</v>
      </c>
      <c r="AO372" s="882">
        <f>IF($X372=0,0,      _xll.qDateNext($X372,AO$12,$AR$11,FRM&lt;&gt;"Calypso",CCY))</f>
        <v>0</v>
      </c>
      <c r="AP372" s="882">
        <f>IF($X372=0,0,      _xll.qDateNext($X372,AP$12,$AR$11,FRM&lt;&gt;"Calypso",CCY))</f>
        <v>0</v>
      </c>
      <c r="AQ372" s="882">
        <f>IF($X372=0,0,      _xll.qDateNext($X372,AQ$12,$AR$11,FRM&lt;&gt;"Calypso",CCY))</f>
        <v>0</v>
      </c>
      <c r="AR372" s="882">
        <f>IF($X372=0,0,      _xll.qDateNext($X372,AR$12,$AR$11,FRM&lt;&gt;"Calypso",CCY))</f>
        <v>0</v>
      </c>
      <c r="AS372" s="901">
        <f ca="1"/>
        <v>0</v>
      </c>
      <c r="AT372" s="901">
        <f ca="1"/>
        <v>0</v>
      </c>
      <c r="AU372" s="901">
        <f t="shared" si="96"/>
        <v>0</v>
      </c>
      <c r="AV372" s="901">
        <f ca="1"/>
        <v>0</v>
      </c>
      <c r="AW372" s="901">
        <f t="shared" si="97"/>
        <v>0</v>
      </c>
      <c r="AX372" s="901">
        <f t="shared" si="98"/>
        <v>0</v>
      </c>
      <c r="AY372" s="901">
        <f ca="1"/>
        <v>0</v>
      </c>
      <c r="AZ372" s="901">
        <f ca="1"/>
        <v>0</v>
      </c>
      <c r="BA372" s="905">
        <f t="shared" si="87"/>
        <v>0</v>
      </c>
      <c r="BB372" s="905">
        <f t="shared" si="88"/>
        <v>0</v>
      </c>
      <c r="BC372" s="905">
        <f t="shared" si="89"/>
        <v>0</v>
      </c>
      <c r="BD372" s="905">
        <f t="shared" si="90"/>
        <v>0</v>
      </c>
      <c r="BE372" s="905">
        <f t="shared" si="91"/>
        <v>0</v>
      </c>
      <c r="BF372" s="905">
        <f t="shared" si="92"/>
        <v>0</v>
      </c>
      <c r="BG372" s="905">
        <f t="shared" si="93"/>
        <v>0</v>
      </c>
      <c r="BH372" s="905">
        <f t="shared" si="94"/>
        <v>0</v>
      </c>
      <c r="BI372" s="713">
        <v>0</v>
      </c>
      <c r="BJ372" s="695"/>
      <c r="BK372" s="752">
        <f>IF(X373=0,0,           IF(ISNUMBER(BJ372),BJ372,               IF(ISTEXT(BJ372),INDEX(BA372:BH372,MATCH(BJ372,$BA$12:$BH$12,0)),             IF(BI372="INT",_xll.qInterp(X373,AK372:AR372,BA372:BH372),            INDEX(BA372:BH372,MATCH(BI372,$BA$12:$BH$12,0))))))</f>
        <v>0</v>
      </c>
      <c r="BL372" s="389">
        <f t="shared" si="99"/>
        <v>0</v>
      </c>
      <c r="BM372" s="394">
        <f t="shared" si="100"/>
        <v>0</v>
      </c>
      <c r="BN372" s="389">
        <f t="shared" si="101"/>
        <v>0</v>
      </c>
    </row>
    <row r="373" spans="16:66">
      <c r="P373" s="716">
        <v>0</v>
      </c>
      <c r="Q373" s="715">
        <f t="shared" si="85"/>
        <v>0</v>
      </c>
      <c r="R373" s="712">
        <f>IF(P374,_xll.qDateYears(P373,P374,DCCfixed),0)</f>
        <v>0</v>
      </c>
      <c r="S373" s="519">
        <f ca="1"/>
        <v>0</v>
      </c>
      <c r="T373" s="720"/>
      <c r="U373" s="390">
        <f t="shared" si="95"/>
        <v>0</v>
      </c>
      <c r="X373" s="345">
        <v>0</v>
      </c>
      <c r="Y373" s="711">
        <f t="shared" si="86"/>
        <v>0</v>
      </c>
      <c r="Z373" s="712">
        <f>IF(X374,_xll.qDateYears(X373,X374,DCCfloat),0)</f>
        <v>0</v>
      </c>
      <c r="AA373" s="519">
        <f ca="1"/>
        <v>0</v>
      </c>
      <c r="AB373" s="890">
        <f>IF(X373=0,0,         IF(OR(CCY="AUD",CCY="NZD",CCY="GBP"),X373,   _xll.qDateNext(X373,"-2b",,,IF(CCY="EUR","TGT","LON"))))</f>
        <v>0</v>
      </c>
      <c r="AC373" s="879" t="str">
        <v/>
      </c>
      <c r="AD373" s="879" t="str">
        <v/>
      </c>
      <c r="AE373" s="879" t="str">
        <v/>
      </c>
      <c r="AF373" s="879" t="str">
        <v/>
      </c>
      <c r="AG373" s="879" t="str">
        <v/>
      </c>
      <c r="AH373" s="879" t="str">
        <v/>
      </c>
      <c r="AI373" s="879" t="str">
        <v/>
      </c>
      <c r="AJ373" s="879" t="str">
        <v/>
      </c>
      <c r="AK373" s="882">
        <f>IF($X373=0,0,      _xll.qDateNext($X373,AK$12,$AR$11,FRM&lt;&gt;"Calypso",CCY))</f>
        <v>0</v>
      </c>
      <c r="AL373" s="882">
        <f>IF($X373=0,0,      _xll.qDateNext($X373,AL$12,$AR$11,FRM&lt;&gt;"Calypso",CCY))</f>
        <v>0</v>
      </c>
      <c r="AM373" s="882">
        <f>IF($X373=0,0,      _xll.qDateNext($X373,AM$12,$AR$11,FRM&lt;&gt;"Calypso",CCY))</f>
        <v>0</v>
      </c>
      <c r="AN373" s="882">
        <f>IF($X373=0,0,      _xll.qDateNext($X373,AN$12,$AR$11,FRM&lt;&gt;"Calypso",CCY))</f>
        <v>0</v>
      </c>
      <c r="AO373" s="882">
        <f>IF($X373=0,0,      _xll.qDateNext($X373,AO$12,$AR$11,FRM&lt;&gt;"Calypso",CCY))</f>
        <v>0</v>
      </c>
      <c r="AP373" s="882">
        <f>IF($X373=0,0,      _xll.qDateNext($X373,AP$12,$AR$11,FRM&lt;&gt;"Calypso",CCY))</f>
        <v>0</v>
      </c>
      <c r="AQ373" s="882">
        <f>IF($X373=0,0,      _xll.qDateNext($X373,AQ$12,$AR$11,FRM&lt;&gt;"Calypso",CCY))</f>
        <v>0</v>
      </c>
      <c r="AR373" s="882">
        <f>IF($X373=0,0,      _xll.qDateNext($X373,AR$12,$AR$11,FRM&lt;&gt;"Calypso",CCY))</f>
        <v>0</v>
      </c>
      <c r="AS373" s="901">
        <f ca="1"/>
        <v>0</v>
      </c>
      <c r="AT373" s="901">
        <f ca="1"/>
        <v>0</v>
      </c>
      <c r="AU373" s="901">
        <f t="shared" si="96"/>
        <v>0</v>
      </c>
      <c r="AV373" s="901">
        <f ca="1"/>
        <v>0</v>
      </c>
      <c r="AW373" s="901">
        <f t="shared" si="97"/>
        <v>0</v>
      </c>
      <c r="AX373" s="901">
        <f t="shared" si="98"/>
        <v>0</v>
      </c>
      <c r="AY373" s="901">
        <f ca="1"/>
        <v>0</v>
      </c>
      <c r="AZ373" s="901">
        <f ca="1"/>
        <v>0</v>
      </c>
      <c r="BA373" s="905">
        <f t="shared" si="87"/>
        <v>0</v>
      </c>
      <c r="BB373" s="905">
        <f t="shared" si="88"/>
        <v>0</v>
      </c>
      <c r="BC373" s="905">
        <f t="shared" si="89"/>
        <v>0</v>
      </c>
      <c r="BD373" s="905">
        <f t="shared" si="90"/>
        <v>0</v>
      </c>
      <c r="BE373" s="905">
        <f t="shared" si="91"/>
        <v>0</v>
      </c>
      <c r="BF373" s="905">
        <f t="shared" si="92"/>
        <v>0</v>
      </c>
      <c r="BG373" s="905">
        <f t="shared" si="93"/>
        <v>0</v>
      </c>
      <c r="BH373" s="905">
        <f t="shared" si="94"/>
        <v>0</v>
      </c>
      <c r="BI373" s="713">
        <v>0</v>
      </c>
      <c r="BJ373" s="695"/>
      <c r="BK373" s="752">
        <f>IF(X374=0,0,           IF(ISNUMBER(BJ373),BJ373,               IF(ISTEXT(BJ373),INDEX(BA373:BH373,MATCH(BJ373,$BA$12:$BH$12,0)),             IF(BI373="INT",_xll.qInterp(X374,AK373:AR373,BA373:BH373),            INDEX(BA373:BH373,MATCH(BI373,$BA$12:$BH$12,0))))))</f>
        <v>0</v>
      </c>
      <c r="BL373" s="389">
        <f t="shared" si="99"/>
        <v>0</v>
      </c>
      <c r="BM373" s="394">
        <f t="shared" si="100"/>
        <v>0</v>
      </c>
      <c r="BN373" s="389">
        <f t="shared" si="101"/>
        <v>0</v>
      </c>
    </row>
    <row r="374" spans="16:66">
      <c r="P374" s="716">
        <v>0</v>
      </c>
      <c r="Q374" s="715">
        <f t="shared" si="85"/>
        <v>0</v>
      </c>
      <c r="R374" s="712">
        <f>IF(P375,_xll.qDateYears(P374,P375,DCCfixed),0)</f>
        <v>0</v>
      </c>
      <c r="S374" s="519">
        <f ca="1"/>
        <v>0</v>
      </c>
      <c r="T374" s="720"/>
      <c r="U374" s="390">
        <f t="shared" si="95"/>
        <v>0</v>
      </c>
      <c r="X374" s="345">
        <v>0</v>
      </c>
      <c r="Y374" s="711">
        <f t="shared" si="86"/>
        <v>0</v>
      </c>
      <c r="Z374" s="712">
        <f>IF(X375,_xll.qDateYears(X374,X375,DCCfloat),0)</f>
        <v>0</v>
      </c>
      <c r="AA374" s="519">
        <f ca="1"/>
        <v>0</v>
      </c>
      <c r="AB374" s="890">
        <f>IF(X374=0,0,         IF(OR(CCY="AUD",CCY="NZD",CCY="GBP"),X374,   _xll.qDateNext(X374,"-2b",,,IF(CCY="EUR","TGT","LON"))))</f>
        <v>0</v>
      </c>
      <c r="AC374" s="879" t="str">
        <v/>
      </c>
      <c r="AD374" s="879" t="str">
        <v/>
      </c>
      <c r="AE374" s="879" t="str">
        <v/>
      </c>
      <c r="AF374" s="879" t="str">
        <v/>
      </c>
      <c r="AG374" s="879" t="str">
        <v/>
      </c>
      <c r="AH374" s="879" t="str">
        <v/>
      </c>
      <c r="AI374" s="879" t="str">
        <v/>
      </c>
      <c r="AJ374" s="879" t="str">
        <v/>
      </c>
      <c r="AK374" s="882">
        <f>IF($X374=0,0,      _xll.qDateNext($X374,AK$12,$AR$11,FRM&lt;&gt;"Calypso",CCY))</f>
        <v>0</v>
      </c>
      <c r="AL374" s="882">
        <f>IF($X374=0,0,      _xll.qDateNext($X374,AL$12,$AR$11,FRM&lt;&gt;"Calypso",CCY))</f>
        <v>0</v>
      </c>
      <c r="AM374" s="882">
        <f>IF($X374=0,0,      _xll.qDateNext($X374,AM$12,$AR$11,FRM&lt;&gt;"Calypso",CCY))</f>
        <v>0</v>
      </c>
      <c r="AN374" s="882">
        <f>IF($X374=0,0,      _xll.qDateNext($X374,AN$12,$AR$11,FRM&lt;&gt;"Calypso",CCY))</f>
        <v>0</v>
      </c>
      <c r="AO374" s="882">
        <f>IF($X374=0,0,      _xll.qDateNext($X374,AO$12,$AR$11,FRM&lt;&gt;"Calypso",CCY))</f>
        <v>0</v>
      </c>
      <c r="AP374" s="882">
        <f>IF($X374=0,0,      _xll.qDateNext($X374,AP$12,$AR$11,FRM&lt;&gt;"Calypso",CCY))</f>
        <v>0</v>
      </c>
      <c r="AQ374" s="882">
        <f>IF($X374=0,0,      _xll.qDateNext($X374,AQ$12,$AR$11,FRM&lt;&gt;"Calypso",CCY))</f>
        <v>0</v>
      </c>
      <c r="AR374" s="882">
        <f>IF($X374=0,0,      _xll.qDateNext($X374,AR$12,$AR$11,FRM&lt;&gt;"Calypso",CCY))</f>
        <v>0</v>
      </c>
      <c r="AS374" s="901">
        <f ca="1"/>
        <v>0</v>
      </c>
      <c r="AT374" s="901">
        <f ca="1"/>
        <v>0</v>
      </c>
      <c r="AU374" s="901">
        <f t="shared" si="96"/>
        <v>0</v>
      </c>
      <c r="AV374" s="901">
        <f ca="1"/>
        <v>0</v>
      </c>
      <c r="AW374" s="901">
        <f t="shared" si="97"/>
        <v>0</v>
      </c>
      <c r="AX374" s="901">
        <f t="shared" si="98"/>
        <v>0</v>
      </c>
      <c r="AY374" s="901">
        <f ca="1"/>
        <v>0</v>
      </c>
      <c r="AZ374" s="901">
        <f ca="1"/>
        <v>0</v>
      </c>
      <c r="BA374" s="905">
        <f t="shared" si="87"/>
        <v>0</v>
      </c>
      <c r="BB374" s="905">
        <f t="shared" si="88"/>
        <v>0</v>
      </c>
      <c r="BC374" s="905">
        <f t="shared" si="89"/>
        <v>0</v>
      </c>
      <c r="BD374" s="905">
        <f t="shared" si="90"/>
        <v>0</v>
      </c>
      <c r="BE374" s="905">
        <f t="shared" si="91"/>
        <v>0</v>
      </c>
      <c r="BF374" s="905">
        <f t="shared" si="92"/>
        <v>0</v>
      </c>
      <c r="BG374" s="905">
        <f t="shared" si="93"/>
        <v>0</v>
      </c>
      <c r="BH374" s="905">
        <f t="shared" si="94"/>
        <v>0</v>
      </c>
      <c r="BI374" s="713">
        <v>0</v>
      </c>
      <c r="BJ374" s="695"/>
      <c r="BK374" s="752">
        <f>IF(X375=0,0,           IF(ISNUMBER(BJ374),BJ374,               IF(ISTEXT(BJ374),INDEX(BA374:BH374,MATCH(BJ374,$BA$12:$BH$12,0)),             IF(BI374="INT",_xll.qInterp(X375,AK374:AR374,BA374:BH374),            INDEX(BA374:BH374,MATCH(BI374,$BA$12:$BH$12,0))))))</f>
        <v>0</v>
      </c>
      <c r="BL374" s="389">
        <f t="shared" si="99"/>
        <v>0</v>
      </c>
      <c r="BM374" s="394">
        <f t="shared" si="100"/>
        <v>0</v>
      </c>
      <c r="BN374" s="389">
        <f t="shared" si="101"/>
        <v>0</v>
      </c>
    </row>
    <row r="375" spans="16:66">
      <c r="P375" s="716">
        <v>0</v>
      </c>
      <c r="Q375" s="715">
        <f t="shared" si="85"/>
        <v>0</v>
      </c>
      <c r="R375" s="712">
        <f>IF(P376,_xll.qDateYears(P375,P376,DCCfixed),0)</f>
        <v>0</v>
      </c>
      <c r="S375" s="519">
        <f ca="1"/>
        <v>0</v>
      </c>
      <c r="T375" s="720"/>
      <c r="U375" s="390">
        <f t="shared" si="95"/>
        <v>0</v>
      </c>
      <c r="X375" s="345">
        <v>0</v>
      </c>
      <c r="Y375" s="711">
        <f t="shared" si="86"/>
        <v>0</v>
      </c>
      <c r="Z375" s="712">
        <f>IF(X376,_xll.qDateYears(X375,X376,DCCfloat),0)</f>
        <v>0</v>
      </c>
      <c r="AA375" s="519">
        <f ca="1"/>
        <v>0</v>
      </c>
      <c r="AB375" s="890">
        <f>IF(X375=0,0,         IF(OR(CCY="AUD",CCY="NZD",CCY="GBP"),X375,   _xll.qDateNext(X375,"-2b",,,IF(CCY="EUR","TGT","LON"))))</f>
        <v>0</v>
      </c>
      <c r="AC375" s="879" t="str">
        <v/>
      </c>
      <c r="AD375" s="879" t="str">
        <v/>
      </c>
      <c r="AE375" s="879" t="str">
        <v/>
      </c>
      <c r="AF375" s="879" t="str">
        <v/>
      </c>
      <c r="AG375" s="879" t="str">
        <v/>
      </c>
      <c r="AH375" s="879" t="str">
        <v/>
      </c>
      <c r="AI375" s="879" t="str">
        <v/>
      </c>
      <c r="AJ375" s="879" t="str">
        <v/>
      </c>
      <c r="AK375" s="882">
        <f>IF($X375=0,0,      _xll.qDateNext($X375,AK$12,$AR$11,FRM&lt;&gt;"Calypso",CCY))</f>
        <v>0</v>
      </c>
      <c r="AL375" s="882">
        <f>IF($X375=0,0,      _xll.qDateNext($X375,AL$12,$AR$11,FRM&lt;&gt;"Calypso",CCY))</f>
        <v>0</v>
      </c>
      <c r="AM375" s="882">
        <f>IF($X375=0,0,      _xll.qDateNext($X375,AM$12,$AR$11,FRM&lt;&gt;"Calypso",CCY))</f>
        <v>0</v>
      </c>
      <c r="AN375" s="882">
        <f>IF($X375=0,0,      _xll.qDateNext($X375,AN$12,$AR$11,FRM&lt;&gt;"Calypso",CCY))</f>
        <v>0</v>
      </c>
      <c r="AO375" s="882">
        <f>IF($X375=0,0,      _xll.qDateNext($X375,AO$12,$AR$11,FRM&lt;&gt;"Calypso",CCY))</f>
        <v>0</v>
      </c>
      <c r="AP375" s="882">
        <f>IF($X375=0,0,      _xll.qDateNext($X375,AP$12,$AR$11,FRM&lt;&gt;"Calypso",CCY))</f>
        <v>0</v>
      </c>
      <c r="AQ375" s="882">
        <f>IF($X375=0,0,      _xll.qDateNext($X375,AQ$12,$AR$11,FRM&lt;&gt;"Calypso",CCY))</f>
        <v>0</v>
      </c>
      <c r="AR375" s="882">
        <f>IF($X375=0,0,      _xll.qDateNext($X375,AR$12,$AR$11,FRM&lt;&gt;"Calypso",CCY))</f>
        <v>0</v>
      </c>
      <c r="AS375" s="901">
        <f ca="1"/>
        <v>0</v>
      </c>
      <c r="AT375" s="901">
        <f ca="1"/>
        <v>0</v>
      </c>
      <c r="AU375" s="901">
        <f t="shared" si="96"/>
        <v>0</v>
      </c>
      <c r="AV375" s="901">
        <f ca="1"/>
        <v>0</v>
      </c>
      <c r="AW375" s="901">
        <f t="shared" si="97"/>
        <v>0</v>
      </c>
      <c r="AX375" s="901">
        <f t="shared" si="98"/>
        <v>0</v>
      </c>
      <c r="AY375" s="901">
        <f ca="1"/>
        <v>0</v>
      </c>
      <c r="AZ375" s="901">
        <f ca="1"/>
        <v>0</v>
      </c>
      <c r="BA375" s="905">
        <f t="shared" si="87"/>
        <v>0</v>
      </c>
      <c r="BB375" s="905">
        <f t="shared" si="88"/>
        <v>0</v>
      </c>
      <c r="BC375" s="905">
        <f t="shared" si="89"/>
        <v>0</v>
      </c>
      <c r="BD375" s="905">
        <f t="shared" si="90"/>
        <v>0</v>
      </c>
      <c r="BE375" s="905">
        <f t="shared" si="91"/>
        <v>0</v>
      </c>
      <c r="BF375" s="905">
        <f t="shared" si="92"/>
        <v>0</v>
      </c>
      <c r="BG375" s="905">
        <f t="shared" si="93"/>
        <v>0</v>
      </c>
      <c r="BH375" s="905">
        <f t="shared" si="94"/>
        <v>0</v>
      </c>
      <c r="BI375" s="713">
        <v>0</v>
      </c>
      <c r="BJ375" s="695"/>
      <c r="BK375" s="752">
        <f>IF(X376=0,0,           IF(ISNUMBER(BJ375),BJ375,               IF(ISTEXT(BJ375),INDEX(BA375:BH375,MATCH(BJ375,$BA$12:$BH$12,0)),             IF(BI375="INT",_xll.qInterp(X376,AK375:AR375,BA375:BH375),            INDEX(BA375:BH375,MATCH(BI375,$BA$12:$BH$12,0))))))</f>
        <v>0</v>
      </c>
      <c r="BL375" s="389">
        <f t="shared" si="99"/>
        <v>0</v>
      </c>
      <c r="BM375" s="394">
        <f t="shared" si="100"/>
        <v>0</v>
      </c>
      <c r="BN375" s="389">
        <f t="shared" si="101"/>
        <v>0</v>
      </c>
    </row>
    <row r="376" spans="16:66">
      <c r="P376" s="716">
        <v>0</v>
      </c>
      <c r="Q376" s="715">
        <f t="shared" si="85"/>
        <v>0</v>
      </c>
      <c r="R376" s="712">
        <f>IF(P377,_xll.qDateYears(P376,P377,DCCfixed),0)</f>
        <v>0</v>
      </c>
      <c r="S376" s="519">
        <f ca="1"/>
        <v>0</v>
      </c>
      <c r="T376" s="720"/>
      <c r="U376" s="390">
        <f t="shared" si="95"/>
        <v>0</v>
      </c>
      <c r="X376" s="345">
        <v>0</v>
      </c>
      <c r="Y376" s="711">
        <f t="shared" si="86"/>
        <v>0</v>
      </c>
      <c r="Z376" s="712">
        <f>IF(X377,_xll.qDateYears(X376,X377,DCCfloat),0)</f>
        <v>0</v>
      </c>
      <c r="AA376" s="519">
        <f ca="1"/>
        <v>0</v>
      </c>
      <c r="AB376" s="890">
        <f>IF(X376=0,0,         IF(OR(CCY="AUD",CCY="NZD",CCY="GBP"),X376,   _xll.qDateNext(X376,"-2b",,,IF(CCY="EUR","TGT","LON"))))</f>
        <v>0</v>
      </c>
      <c r="AC376" s="879" t="str">
        <v/>
      </c>
      <c r="AD376" s="879" t="str">
        <v/>
      </c>
      <c r="AE376" s="879" t="str">
        <v/>
      </c>
      <c r="AF376" s="879" t="str">
        <v/>
      </c>
      <c r="AG376" s="879" t="str">
        <v/>
      </c>
      <c r="AH376" s="879" t="str">
        <v/>
      </c>
      <c r="AI376" s="879" t="str">
        <v/>
      </c>
      <c r="AJ376" s="879" t="str">
        <v/>
      </c>
      <c r="AK376" s="882">
        <f>IF($X376=0,0,      _xll.qDateNext($X376,AK$12,$AR$11,FRM&lt;&gt;"Calypso",CCY))</f>
        <v>0</v>
      </c>
      <c r="AL376" s="882">
        <f>IF($X376=0,0,      _xll.qDateNext($X376,AL$12,$AR$11,FRM&lt;&gt;"Calypso",CCY))</f>
        <v>0</v>
      </c>
      <c r="AM376" s="882">
        <f>IF($X376=0,0,      _xll.qDateNext($X376,AM$12,$AR$11,FRM&lt;&gt;"Calypso",CCY))</f>
        <v>0</v>
      </c>
      <c r="AN376" s="882">
        <f>IF($X376=0,0,      _xll.qDateNext($X376,AN$12,$AR$11,FRM&lt;&gt;"Calypso",CCY))</f>
        <v>0</v>
      </c>
      <c r="AO376" s="882">
        <f>IF($X376=0,0,      _xll.qDateNext($X376,AO$12,$AR$11,FRM&lt;&gt;"Calypso",CCY))</f>
        <v>0</v>
      </c>
      <c r="AP376" s="882">
        <f>IF($X376=0,0,      _xll.qDateNext($X376,AP$12,$AR$11,FRM&lt;&gt;"Calypso",CCY))</f>
        <v>0</v>
      </c>
      <c r="AQ376" s="882">
        <f>IF($X376=0,0,      _xll.qDateNext($X376,AQ$12,$AR$11,FRM&lt;&gt;"Calypso",CCY))</f>
        <v>0</v>
      </c>
      <c r="AR376" s="882">
        <f>IF($X376=0,0,      _xll.qDateNext($X376,AR$12,$AR$11,FRM&lt;&gt;"Calypso",CCY))</f>
        <v>0</v>
      </c>
      <c r="AS376" s="901">
        <f ca="1"/>
        <v>0</v>
      </c>
      <c r="AT376" s="901">
        <f ca="1"/>
        <v>0</v>
      </c>
      <c r="AU376" s="901">
        <f t="shared" si="96"/>
        <v>0</v>
      </c>
      <c r="AV376" s="901">
        <f ca="1"/>
        <v>0</v>
      </c>
      <c r="AW376" s="901">
        <f t="shared" si="97"/>
        <v>0</v>
      </c>
      <c r="AX376" s="901">
        <f t="shared" si="98"/>
        <v>0</v>
      </c>
      <c r="AY376" s="901">
        <f ca="1"/>
        <v>0</v>
      </c>
      <c r="AZ376" s="901">
        <f ca="1"/>
        <v>0</v>
      </c>
      <c r="BA376" s="905">
        <f t="shared" si="87"/>
        <v>0</v>
      </c>
      <c r="BB376" s="905">
        <f t="shared" si="88"/>
        <v>0</v>
      </c>
      <c r="BC376" s="905">
        <f t="shared" si="89"/>
        <v>0</v>
      </c>
      <c r="BD376" s="905">
        <f t="shared" si="90"/>
        <v>0</v>
      </c>
      <c r="BE376" s="905">
        <f t="shared" si="91"/>
        <v>0</v>
      </c>
      <c r="BF376" s="905">
        <f t="shared" si="92"/>
        <v>0</v>
      </c>
      <c r="BG376" s="905">
        <f t="shared" si="93"/>
        <v>0</v>
      </c>
      <c r="BH376" s="905">
        <f t="shared" si="94"/>
        <v>0</v>
      </c>
      <c r="BI376" s="713">
        <v>0</v>
      </c>
      <c r="BJ376" s="695"/>
      <c r="BK376" s="752">
        <f>IF(X377=0,0,           IF(ISNUMBER(BJ376),BJ376,               IF(ISTEXT(BJ376),INDEX(BA376:BH376,MATCH(BJ376,$BA$12:$BH$12,0)),             IF(BI376="INT",_xll.qInterp(X377,AK376:AR376,BA376:BH376),            INDEX(BA376:BH376,MATCH(BI376,$BA$12:$BH$12,0))))))</f>
        <v>0</v>
      </c>
      <c r="BL376" s="389">
        <f t="shared" si="99"/>
        <v>0</v>
      </c>
      <c r="BM376" s="394">
        <f t="shared" si="100"/>
        <v>0</v>
      </c>
      <c r="BN376" s="389">
        <f t="shared" si="101"/>
        <v>0</v>
      </c>
    </row>
    <row r="377" spans="16:66">
      <c r="P377" s="716">
        <v>0</v>
      </c>
      <c r="Q377" s="715">
        <f t="shared" si="85"/>
        <v>0</v>
      </c>
      <c r="R377" s="712">
        <f>IF(P378,_xll.qDateYears(P377,P378,DCCfixed),0)</f>
        <v>0</v>
      </c>
      <c r="S377" s="519">
        <f ca="1"/>
        <v>0</v>
      </c>
      <c r="T377" s="720"/>
      <c r="U377" s="390">
        <f t="shared" si="95"/>
        <v>0</v>
      </c>
      <c r="X377" s="345">
        <v>0</v>
      </c>
      <c r="Y377" s="711">
        <f t="shared" si="86"/>
        <v>0</v>
      </c>
      <c r="Z377" s="712">
        <f>IF(X378,_xll.qDateYears(X377,X378,DCCfloat),0)</f>
        <v>0</v>
      </c>
      <c r="AA377" s="519">
        <f ca="1"/>
        <v>0</v>
      </c>
      <c r="AB377" s="890">
        <f>IF(X377=0,0,         IF(OR(CCY="AUD",CCY="NZD",CCY="GBP"),X377,   _xll.qDateNext(X377,"-2b",,,IF(CCY="EUR","TGT","LON"))))</f>
        <v>0</v>
      </c>
      <c r="AC377" s="879" t="str">
        <v/>
      </c>
      <c r="AD377" s="879" t="str">
        <v/>
      </c>
      <c r="AE377" s="879" t="str">
        <v/>
      </c>
      <c r="AF377" s="879" t="str">
        <v/>
      </c>
      <c r="AG377" s="879" t="str">
        <v/>
      </c>
      <c r="AH377" s="879" t="str">
        <v/>
      </c>
      <c r="AI377" s="879" t="str">
        <v/>
      </c>
      <c r="AJ377" s="879" t="str">
        <v/>
      </c>
      <c r="AK377" s="882">
        <f>IF($X377=0,0,      _xll.qDateNext($X377,AK$12,$AR$11,FRM&lt;&gt;"Calypso",CCY))</f>
        <v>0</v>
      </c>
      <c r="AL377" s="882">
        <f>IF($X377=0,0,      _xll.qDateNext($X377,AL$12,$AR$11,FRM&lt;&gt;"Calypso",CCY))</f>
        <v>0</v>
      </c>
      <c r="AM377" s="882">
        <f>IF($X377=0,0,      _xll.qDateNext($X377,AM$12,$AR$11,FRM&lt;&gt;"Calypso",CCY))</f>
        <v>0</v>
      </c>
      <c r="AN377" s="882">
        <f>IF($X377=0,0,      _xll.qDateNext($X377,AN$12,$AR$11,FRM&lt;&gt;"Calypso",CCY))</f>
        <v>0</v>
      </c>
      <c r="AO377" s="882">
        <f>IF($X377=0,0,      _xll.qDateNext($X377,AO$12,$AR$11,FRM&lt;&gt;"Calypso",CCY))</f>
        <v>0</v>
      </c>
      <c r="AP377" s="882">
        <f>IF($X377=0,0,      _xll.qDateNext($X377,AP$12,$AR$11,FRM&lt;&gt;"Calypso",CCY))</f>
        <v>0</v>
      </c>
      <c r="AQ377" s="882">
        <f>IF($X377=0,0,      _xll.qDateNext($X377,AQ$12,$AR$11,FRM&lt;&gt;"Calypso",CCY))</f>
        <v>0</v>
      </c>
      <c r="AR377" s="882">
        <f>IF($X377=0,0,      _xll.qDateNext($X377,AR$12,$AR$11,FRM&lt;&gt;"Calypso",CCY))</f>
        <v>0</v>
      </c>
      <c r="AS377" s="901">
        <f ca="1"/>
        <v>0</v>
      </c>
      <c r="AT377" s="901">
        <f ca="1"/>
        <v>0</v>
      </c>
      <c r="AU377" s="901">
        <f t="shared" si="96"/>
        <v>0</v>
      </c>
      <c r="AV377" s="901">
        <f ca="1"/>
        <v>0</v>
      </c>
      <c r="AW377" s="901">
        <f t="shared" si="97"/>
        <v>0</v>
      </c>
      <c r="AX377" s="901">
        <f t="shared" si="98"/>
        <v>0</v>
      </c>
      <c r="AY377" s="901">
        <f ca="1"/>
        <v>0</v>
      </c>
      <c r="AZ377" s="901">
        <f ca="1"/>
        <v>0</v>
      </c>
      <c r="BA377" s="905">
        <f t="shared" si="87"/>
        <v>0</v>
      </c>
      <c r="BB377" s="905">
        <f t="shared" si="88"/>
        <v>0</v>
      </c>
      <c r="BC377" s="905">
        <f t="shared" si="89"/>
        <v>0</v>
      </c>
      <c r="BD377" s="905">
        <f t="shared" si="90"/>
        <v>0</v>
      </c>
      <c r="BE377" s="905">
        <f t="shared" si="91"/>
        <v>0</v>
      </c>
      <c r="BF377" s="905">
        <f t="shared" si="92"/>
        <v>0</v>
      </c>
      <c r="BG377" s="905">
        <f t="shared" si="93"/>
        <v>0</v>
      </c>
      <c r="BH377" s="905">
        <f t="shared" si="94"/>
        <v>0</v>
      </c>
      <c r="BI377" s="713">
        <v>0</v>
      </c>
      <c r="BJ377" s="695"/>
      <c r="BK377" s="752">
        <f>IF(X378=0,0,           IF(ISNUMBER(BJ377),BJ377,               IF(ISTEXT(BJ377),INDEX(BA377:BH377,MATCH(BJ377,$BA$12:$BH$12,0)),             IF(BI377="INT",_xll.qInterp(X378,AK377:AR377,BA377:BH377),            INDEX(BA377:BH377,MATCH(BI377,$BA$12:$BH$12,0))))))</f>
        <v>0</v>
      </c>
      <c r="BL377" s="389">
        <f t="shared" si="99"/>
        <v>0</v>
      </c>
      <c r="BM377" s="394">
        <f t="shared" si="100"/>
        <v>0</v>
      </c>
      <c r="BN377" s="389">
        <f t="shared" si="101"/>
        <v>0</v>
      </c>
    </row>
    <row r="378" spans="16:66">
      <c r="P378" s="716">
        <v>0</v>
      </c>
      <c r="Q378" s="715">
        <f t="shared" si="85"/>
        <v>0</v>
      </c>
      <c r="R378" s="712">
        <f>IF(P379,_xll.qDateYears(P378,P379,DCCfixed),0)</f>
        <v>0</v>
      </c>
      <c r="S378" s="519">
        <f ca="1"/>
        <v>0</v>
      </c>
      <c r="T378" s="720"/>
      <c r="U378" s="390">
        <f t="shared" si="95"/>
        <v>0</v>
      </c>
      <c r="X378" s="345">
        <v>0</v>
      </c>
      <c r="Y378" s="711">
        <f t="shared" si="86"/>
        <v>0</v>
      </c>
      <c r="Z378" s="712">
        <f>IF(X379,_xll.qDateYears(X378,X379,DCCfloat),0)</f>
        <v>0</v>
      </c>
      <c r="AA378" s="519">
        <f ca="1"/>
        <v>0</v>
      </c>
      <c r="AB378" s="890">
        <f>IF(X378=0,0,         IF(OR(CCY="AUD",CCY="NZD",CCY="GBP"),X378,   _xll.qDateNext(X378,"-2b",,,IF(CCY="EUR","TGT","LON"))))</f>
        <v>0</v>
      </c>
      <c r="AC378" s="879" t="str">
        <v/>
      </c>
      <c r="AD378" s="879" t="str">
        <v/>
      </c>
      <c r="AE378" s="879" t="str">
        <v/>
      </c>
      <c r="AF378" s="879" t="str">
        <v/>
      </c>
      <c r="AG378" s="879" t="str">
        <v/>
      </c>
      <c r="AH378" s="879" t="str">
        <v/>
      </c>
      <c r="AI378" s="879" t="str">
        <v/>
      </c>
      <c r="AJ378" s="879" t="str">
        <v/>
      </c>
      <c r="AK378" s="882">
        <f>IF($X378=0,0,      _xll.qDateNext($X378,AK$12,$AR$11,FRM&lt;&gt;"Calypso",CCY))</f>
        <v>0</v>
      </c>
      <c r="AL378" s="882">
        <f>IF($X378=0,0,      _xll.qDateNext($X378,AL$12,$AR$11,FRM&lt;&gt;"Calypso",CCY))</f>
        <v>0</v>
      </c>
      <c r="AM378" s="882">
        <f>IF($X378=0,0,      _xll.qDateNext($X378,AM$12,$AR$11,FRM&lt;&gt;"Calypso",CCY))</f>
        <v>0</v>
      </c>
      <c r="AN378" s="882">
        <f>IF($X378=0,0,      _xll.qDateNext($X378,AN$12,$AR$11,FRM&lt;&gt;"Calypso",CCY))</f>
        <v>0</v>
      </c>
      <c r="AO378" s="882">
        <f>IF($X378=0,0,      _xll.qDateNext($X378,AO$12,$AR$11,FRM&lt;&gt;"Calypso",CCY))</f>
        <v>0</v>
      </c>
      <c r="AP378" s="882">
        <f>IF($X378=0,0,      _xll.qDateNext($X378,AP$12,$AR$11,FRM&lt;&gt;"Calypso",CCY))</f>
        <v>0</v>
      </c>
      <c r="AQ378" s="882">
        <f>IF($X378=0,0,      _xll.qDateNext($X378,AQ$12,$AR$11,FRM&lt;&gt;"Calypso",CCY))</f>
        <v>0</v>
      </c>
      <c r="AR378" s="882">
        <f>IF($X378=0,0,      _xll.qDateNext($X378,AR$12,$AR$11,FRM&lt;&gt;"Calypso",CCY))</f>
        <v>0</v>
      </c>
      <c r="AS378" s="901">
        <f ca="1"/>
        <v>0</v>
      </c>
      <c r="AT378" s="901">
        <f ca="1"/>
        <v>0</v>
      </c>
      <c r="AU378" s="901">
        <f t="shared" si="96"/>
        <v>0</v>
      </c>
      <c r="AV378" s="901">
        <f ca="1"/>
        <v>0</v>
      </c>
      <c r="AW378" s="901">
        <f t="shared" si="97"/>
        <v>0</v>
      </c>
      <c r="AX378" s="901">
        <f t="shared" si="98"/>
        <v>0</v>
      </c>
      <c r="AY378" s="901">
        <f ca="1"/>
        <v>0</v>
      </c>
      <c r="AZ378" s="901">
        <f ca="1"/>
        <v>0</v>
      </c>
      <c r="BA378" s="905">
        <f t="shared" si="87"/>
        <v>0</v>
      </c>
      <c r="BB378" s="905">
        <f t="shared" si="88"/>
        <v>0</v>
      </c>
      <c r="BC378" s="905">
        <f t="shared" si="89"/>
        <v>0</v>
      </c>
      <c r="BD378" s="905">
        <f t="shared" si="90"/>
        <v>0</v>
      </c>
      <c r="BE378" s="905">
        <f t="shared" si="91"/>
        <v>0</v>
      </c>
      <c r="BF378" s="905">
        <f t="shared" si="92"/>
        <v>0</v>
      </c>
      <c r="BG378" s="905">
        <f t="shared" si="93"/>
        <v>0</v>
      </c>
      <c r="BH378" s="905">
        <f t="shared" si="94"/>
        <v>0</v>
      </c>
      <c r="BI378" s="713">
        <v>0</v>
      </c>
      <c r="BJ378" s="695"/>
      <c r="BK378" s="752">
        <f>IF(X379=0,0,           IF(ISNUMBER(BJ378),BJ378,               IF(ISTEXT(BJ378),INDEX(BA378:BH378,MATCH(BJ378,$BA$12:$BH$12,0)),             IF(BI378="INT",_xll.qInterp(X379,AK378:AR378,BA378:BH378),            INDEX(BA378:BH378,MATCH(BI378,$BA$12:$BH$12,0))))))</f>
        <v>0</v>
      </c>
      <c r="BL378" s="389">
        <f t="shared" si="99"/>
        <v>0</v>
      </c>
      <c r="BM378" s="394">
        <f t="shared" si="100"/>
        <v>0</v>
      </c>
      <c r="BN378" s="389">
        <f t="shared" si="101"/>
        <v>0</v>
      </c>
    </row>
    <row r="379" spans="16:66">
      <c r="P379" s="716">
        <v>0</v>
      </c>
      <c r="Q379" s="715">
        <f t="shared" si="85"/>
        <v>0</v>
      </c>
      <c r="R379" s="712">
        <f>IF(P380,_xll.qDateYears(P379,P380,DCCfixed),0)</f>
        <v>0</v>
      </c>
      <c r="S379" s="519">
        <f ca="1"/>
        <v>0</v>
      </c>
      <c r="T379" s="720"/>
      <c r="U379" s="390">
        <f t="shared" si="95"/>
        <v>0</v>
      </c>
      <c r="X379" s="345">
        <v>0</v>
      </c>
      <c r="Y379" s="711">
        <f t="shared" si="86"/>
        <v>0</v>
      </c>
      <c r="Z379" s="712">
        <f>IF(X380,_xll.qDateYears(X379,X380,DCCfloat),0)</f>
        <v>0</v>
      </c>
      <c r="AA379" s="519">
        <f ca="1"/>
        <v>0</v>
      </c>
      <c r="AB379" s="890">
        <f>IF(X379=0,0,         IF(OR(CCY="AUD",CCY="NZD",CCY="GBP"),X379,   _xll.qDateNext(X379,"-2b",,,IF(CCY="EUR","TGT","LON"))))</f>
        <v>0</v>
      </c>
      <c r="AC379" s="879" t="str">
        <v/>
      </c>
      <c r="AD379" s="879" t="str">
        <v/>
      </c>
      <c r="AE379" s="879" t="str">
        <v/>
      </c>
      <c r="AF379" s="879" t="str">
        <v/>
      </c>
      <c r="AG379" s="879" t="str">
        <v/>
      </c>
      <c r="AH379" s="879" t="str">
        <v/>
      </c>
      <c r="AI379" s="879" t="str">
        <v/>
      </c>
      <c r="AJ379" s="879" t="str">
        <v/>
      </c>
      <c r="AK379" s="882">
        <f>IF($X379=0,0,      _xll.qDateNext($X379,AK$12,$AR$11,FRM&lt;&gt;"Calypso",CCY))</f>
        <v>0</v>
      </c>
      <c r="AL379" s="882">
        <f>IF($X379=0,0,      _xll.qDateNext($X379,AL$12,$AR$11,FRM&lt;&gt;"Calypso",CCY))</f>
        <v>0</v>
      </c>
      <c r="AM379" s="882">
        <f>IF($X379=0,0,      _xll.qDateNext($X379,AM$12,$AR$11,FRM&lt;&gt;"Calypso",CCY))</f>
        <v>0</v>
      </c>
      <c r="AN379" s="882">
        <f>IF($X379=0,0,      _xll.qDateNext($X379,AN$12,$AR$11,FRM&lt;&gt;"Calypso",CCY))</f>
        <v>0</v>
      </c>
      <c r="AO379" s="882">
        <f>IF($X379=0,0,      _xll.qDateNext($X379,AO$12,$AR$11,FRM&lt;&gt;"Calypso",CCY))</f>
        <v>0</v>
      </c>
      <c r="AP379" s="882">
        <f>IF($X379=0,0,      _xll.qDateNext($X379,AP$12,$AR$11,FRM&lt;&gt;"Calypso",CCY))</f>
        <v>0</v>
      </c>
      <c r="AQ379" s="882">
        <f>IF($X379=0,0,      _xll.qDateNext($X379,AQ$12,$AR$11,FRM&lt;&gt;"Calypso",CCY))</f>
        <v>0</v>
      </c>
      <c r="AR379" s="882">
        <f>IF($X379=0,0,      _xll.qDateNext($X379,AR$12,$AR$11,FRM&lt;&gt;"Calypso",CCY))</f>
        <v>0</v>
      </c>
      <c r="AS379" s="901">
        <f ca="1"/>
        <v>0</v>
      </c>
      <c r="AT379" s="901">
        <f ca="1"/>
        <v>0</v>
      </c>
      <c r="AU379" s="901">
        <f t="shared" si="96"/>
        <v>0</v>
      </c>
      <c r="AV379" s="901">
        <f ca="1"/>
        <v>0</v>
      </c>
      <c r="AW379" s="901">
        <f t="shared" si="97"/>
        <v>0</v>
      </c>
      <c r="AX379" s="901">
        <f t="shared" si="98"/>
        <v>0</v>
      </c>
      <c r="AY379" s="901">
        <f ca="1"/>
        <v>0</v>
      </c>
      <c r="AZ379" s="901">
        <f ca="1"/>
        <v>0</v>
      </c>
      <c r="BA379" s="905">
        <f t="shared" si="87"/>
        <v>0</v>
      </c>
      <c r="BB379" s="905">
        <f t="shared" si="88"/>
        <v>0</v>
      </c>
      <c r="BC379" s="905">
        <f t="shared" si="89"/>
        <v>0</v>
      </c>
      <c r="BD379" s="905">
        <f t="shared" si="90"/>
        <v>0</v>
      </c>
      <c r="BE379" s="905">
        <f t="shared" si="91"/>
        <v>0</v>
      </c>
      <c r="BF379" s="905">
        <f t="shared" si="92"/>
        <v>0</v>
      </c>
      <c r="BG379" s="905">
        <f t="shared" si="93"/>
        <v>0</v>
      </c>
      <c r="BH379" s="905">
        <f t="shared" si="94"/>
        <v>0</v>
      </c>
      <c r="BI379" s="713">
        <v>0</v>
      </c>
      <c r="BJ379" s="695"/>
      <c r="BK379" s="752">
        <f>IF(X380=0,0,           IF(ISNUMBER(BJ379),BJ379,               IF(ISTEXT(BJ379),INDEX(BA379:BH379,MATCH(BJ379,$BA$12:$BH$12,0)),             IF(BI379="INT",_xll.qInterp(X380,AK379:AR379,BA379:BH379),            INDEX(BA379:BH379,MATCH(BI379,$BA$12:$BH$12,0))))))</f>
        <v>0</v>
      </c>
      <c r="BL379" s="389">
        <f t="shared" si="99"/>
        <v>0</v>
      </c>
      <c r="BM379" s="394">
        <f t="shared" si="100"/>
        <v>0</v>
      </c>
      <c r="BN379" s="389">
        <f t="shared" si="101"/>
        <v>0</v>
      </c>
    </row>
    <row r="380" spans="16:66">
      <c r="P380" s="716">
        <v>0</v>
      </c>
      <c r="Q380" s="715">
        <f t="shared" si="85"/>
        <v>0</v>
      </c>
      <c r="R380" s="712">
        <f>IF(P381,_xll.qDateYears(P380,P381,DCCfixed),0)</f>
        <v>0</v>
      </c>
      <c r="S380" s="519">
        <f ca="1"/>
        <v>0</v>
      </c>
      <c r="T380" s="720"/>
      <c r="U380" s="390">
        <f t="shared" si="95"/>
        <v>0</v>
      </c>
      <c r="X380" s="345">
        <v>0</v>
      </c>
      <c r="Y380" s="711">
        <f t="shared" si="86"/>
        <v>0</v>
      </c>
      <c r="Z380" s="712">
        <f>IF(X381,_xll.qDateYears(X380,X381,DCCfloat),0)</f>
        <v>0</v>
      </c>
      <c r="AA380" s="519">
        <f ca="1"/>
        <v>0</v>
      </c>
      <c r="AB380" s="890">
        <f>IF(X380=0,0,         IF(OR(CCY="AUD",CCY="NZD",CCY="GBP"),X380,   _xll.qDateNext(X380,"-2b",,,IF(CCY="EUR","TGT","LON"))))</f>
        <v>0</v>
      </c>
      <c r="AC380" s="879" t="str">
        <v/>
      </c>
      <c r="AD380" s="879" t="str">
        <v/>
      </c>
      <c r="AE380" s="879" t="str">
        <v/>
      </c>
      <c r="AF380" s="879" t="str">
        <v/>
      </c>
      <c r="AG380" s="879" t="str">
        <v/>
      </c>
      <c r="AH380" s="879" t="str">
        <v/>
      </c>
      <c r="AI380" s="879" t="str">
        <v/>
      </c>
      <c r="AJ380" s="879" t="str">
        <v/>
      </c>
      <c r="AK380" s="882">
        <f>IF($X380=0,0,      _xll.qDateNext($X380,AK$12,$AR$11,FRM&lt;&gt;"Calypso",CCY))</f>
        <v>0</v>
      </c>
      <c r="AL380" s="882">
        <f>IF($X380=0,0,      _xll.qDateNext($X380,AL$12,$AR$11,FRM&lt;&gt;"Calypso",CCY))</f>
        <v>0</v>
      </c>
      <c r="AM380" s="882">
        <f>IF($X380=0,0,      _xll.qDateNext($X380,AM$12,$AR$11,FRM&lt;&gt;"Calypso",CCY))</f>
        <v>0</v>
      </c>
      <c r="AN380" s="882">
        <f>IF($X380=0,0,      _xll.qDateNext($X380,AN$12,$AR$11,FRM&lt;&gt;"Calypso",CCY))</f>
        <v>0</v>
      </c>
      <c r="AO380" s="882">
        <f>IF($X380=0,0,      _xll.qDateNext($X380,AO$12,$AR$11,FRM&lt;&gt;"Calypso",CCY))</f>
        <v>0</v>
      </c>
      <c r="AP380" s="882">
        <f>IF($X380=0,0,      _xll.qDateNext($X380,AP$12,$AR$11,FRM&lt;&gt;"Calypso",CCY))</f>
        <v>0</v>
      </c>
      <c r="AQ380" s="882">
        <f>IF($X380=0,0,      _xll.qDateNext($X380,AQ$12,$AR$11,FRM&lt;&gt;"Calypso",CCY))</f>
        <v>0</v>
      </c>
      <c r="AR380" s="882">
        <f>IF($X380=0,0,      _xll.qDateNext($X380,AR$12,$AR$11,FRM&lt;&gt;"Calypso",CCY))</f>
        <v>0</v>
      </c>
      <c r="AS380" s="901">
        <f ca="1"/>
        <v>0</v>
      </c>
      <c r="AT380" s="901">
        <f ca="1"/>
        <v>0</v>
      </c>
      <c r="AU380" s="901">
        <f t="shared" si="96"/>
        <v>0</v>
      </c>
      <c r="AV380" s="901">
        <f ca="1"/>
        <v>0</v>
      </c>
      <c r="AW380" s="901">
        <f t="shared" si="97"/>
        <v>0</v>
      </c>
      <c r="AX380" s="901">
        <f t="shared" si="98"/>
        <v>0</v>
      </c>
      <c r="AY380" s="901">
        <f ca="1"/>
        <v>0</v>
      </c>
      <c r="AZ380" s="901">
        <f ca="1"/>
        <v>0</v>
      </c>
      <c r="BA380" s="905">
        <f t="shared" si="87"/>
        <v>0</v>
      </c>
      <c r="BB380" s="905">
        <f t="shared" si="88"/>
        <v>0</v>
      </c>
      <c r="BC380" s="905">
        <f t="shared" si="89"/>
        <v>0</v>
      </c>
      <c r="BD380" s="905">
        <f t="shared" si="90"/>
        <v>0</v>
      </c>
      <c r="BE380" s="905">
        <f t="shared" si="91"/>
        <v>0</v>
      </c>
      <c r="BF380" s="905">
        <f t="shared" si="92"/>
        <v>0</v>
      </c>
      <c r="BG380" s="905">
        <f t="shared" si="93"/>
        <v>0</v>
      </c>
      <c r="BH380" s="905">
        <f t="shared" si="94"/>
        <v>0</v>
      </c>
      <c r="BI380" s="713">
        <v>0</v>
      </c>
      <c r="BJ380" s="695"/>
      <c r="BK380" s="752">
        <f>IF(X381=0,0,           IF(ISNUMBER(BJ380),BJ380,               IF(ISTEXT(BJ380),INDEX(BA380:BH380,MATCH(BJ380,$BA$12:$BH$12,0)),             IF(BI380="INT",_xll.qInterp(X381,AK380:AR380,BA380:BH380),            INDEX(BA380:BH380,MATCH(BI380,$BA$12:$BH$12,0))))))</f>
        <v>0</v>
      </c>
      <c r="BL380" s="389">
        <f t="shared" si="99"/>
        <v>0</v>
      </c>
      <c r="BM380" s="394">
        <f t="shared" si="100"/>
        <v>0</v>
      </c>
      <c r="BN380" s="389">
        <f t="shared" si="101"/>
        <v>0</v>
      </c>
    </row>
    <row r="381" spans="16:66">
      <c r="P381" s="716">
        <v>0</v>
      </c>
      <c r="Q381" s="715">
        <f t="shared" si="85"/>
        <v>0</v>
      </c>
      <c r="R381" s="712">
        <f>IF(P382,_xll.qDateYears(P381,P382,DCCfixed),0)</f>
        <v>0</v>
      </c>
      <c r="S381" s="519">
        <f ca="1"/>
        <v>0</v>
      </c>
      <c r="T381" s="720"/>
      <c r="U381" s="390">
        <f t="shared" si="95"/>
        <v>0</v>
      </c>
      <c r="X381" s="345">
        <v>0</v>
      </c>
      <c r="Y381" s="711">
        <f t="shared" si="86"/>
        <v>0</v>
      </c>
      <c r="Z381" s="712">
        <f>IF(X382,_xll.qDateYears(X381,X382,DCCfloat),0)</f>
        <v>0</v>
      </c>
      <c r="AA381" s="519">
        <f ca="1"/>
        <v>0</v>
      </c>
      <c r="AB381" s="890">
        <f>IF(X381=0,0,         IF(OR(CCY="AUD",CCY="NZD",CCY="GBP"),X381,   _xll.qDateNext(X381,"-2b",,,IF(CCY="EUR","TGT","LON"))))</f>
        <v>0</v>
      </c>
      <c r="AC381" s="879" t="str">
        <v/>
      </c>
      <c r="AD381" s="879" t="str">
        <v/>
      </c>
      <c r="AE381" s="879" t="str">
        <v/>
      </c>
      <c r="AF381" s="879" t="str">
        <v/>
      </c>
      <c r="AG381" s="879" t="str">
        <v/>
      </c>
      <c r="AH381" s="879" t="str">
        <v/>
      </c>
      <c r="AI381" s="879" t="str">
        <v/>
      </c>
      <c r="AJ381" s="879" t="str">
        <v/>
      </c>
      <c r="AK381" s="882">
        <f>IF($X381=0,0,      _xll.qDateNext($X381,AK$12,$AR$11,FRM&lt;&gt;"Calypso",CCY))</f>
        <v>0</v>
      </c>
      <c r="AL381" s="882">
        <f>IF($X381=0,0,      _xll.qDateNext($X381,AL$12,$AR$11,FRM&lt;&gt;"Calypso",CCY))</f>
        <v>0</v>
      </c>
      <c r="AM381" s="882">
        <f>IF($X381=0,0,      _xll.qDateNext($X381,AM$12,$AR$11,FRM&lt;&gt;"Calypso",CCY))</f>
        <v>0</v>
      </c>
      <c r="AN381" s="882">
        <f>IF($X381=0,0,      _xll.qDateNext($X381,AN$12,$AR$11,FRM&lt;&gt;"Calypso",CCY))</f>
        <v>0</v>
      </c>
      <c r="AO381" s="882">
        <f>IF($X381=0,0,      _xll.qDateNext($X381,AO$12,$AR$11,FRM&lt;&gt;"Calypso",CCY))</f>
        <v>0</v>
      </c>
      <c r="AP381" s="882">
        <f>IF($X381=0,0,      _xll.qDateNext($X381,AP$12,$AR$11,FRM&lt;&gt;"Calypso",CCY))</f>
        <v>0</v>
      </c>
      <c r="AQ381" s="882">
        <f>IF($X381=0,0,      _xll.qDateNext($X381,AQ$12,$AR$11,FRM&lt;&gt;"Calypso",CCY))</f>
        <v>0</v>
      </c>
      <c r="AR381" s="882">
        <f>IF($X381=0,0,      _xll.qDateNext($X381,AR$12,$AR$11,FRM&lt;&gt;"Calypso",CCY))</f>
        <v>0</v>
      </c>
      <c r="AS381" s="901">
        <f ca="1"/>
        <v>0</v>
      </c>
      <c r="AT381" s="901">
        <f ca="1"/>
        <v>0</v>
      </c>
      <c r="AU381" s="901">
        <f t="shared" si="96"/>
        <v>0</v>
      </c>
      <c r="AV381" s="901">
        <f ca="1"/>
        <v>0</v>
      </c>
      <c r="AW381" s="901">
        <f t="shared" si="97"/>
        <v>0</v>
      </c>
      <c r="AX381" s="901">
        <f t="shared" si="98"/>
        <v>0</v>
      </c>
      <c r="AY381" s="901">
        <f ca="1"/>
        <v>0</v>
      </c>
      <c r="AZ381" s="901">
        <f ca="1"/>
        <v>0</v>
      </c>
      <c r="BA381" s="905">
        <f t="shared" si="87"/>
        <v>0</v>
      </c>
      <c r="BB381" s="905">
        <f t="shared" si="88"/>
        <v>0</v>
      </c>
      <c r="BC381" s="905">
        <f t="shared" si="89"/>
        <v>0</v>
      </c>
      <c r="BD381" s="905">
        <f t="shared" si="90"/>
        <v>0</v>
      </c>
      <c r="BE381" s="905">
        <f t="shared" si="91"/>
        <v>0</v>
      </c>
      <c r="BF381" s="905">
        <f t="shared" si="92"/>
        <v>0</v>
      </c>
      <c r="BG381" s="905">
        <f t="shared" si="93"/>
        <v>0</v>
      </c>
      <c r="BH381" s="905">
        <f t="shared" si="94"/>
        <v>0</v>
      </c>
      <c r="BI381" s="713">
        <v>0</v>
      </c>
      <c r="BJ381" s="695"/>
      <c r="BK381" s="752">
        <f>IF(X382=0,0,           IF(ISNUMBER(BJ381),BJ381,               IF(ISTEXT(BJ381),INDEX(BA381:BH381,MATCH(BJ381,$BA$12:$BH$12,0)),             IF(BI381="INT",_xll.qInterp(X382,AK381:AR381,BA381:BH381),            INDEX(BA381:BH381,MATCH(BI381,$BA$12:$BH$12,0))))))</f>
        <v>0</v>
      </c>
      <c r="BL381" s="389">
        <f t="shared" si="99"/>
        <v>0</v>
      </c>
      <c r="BM381" s="394">
        <f t="shared" si="100"/>
        <v>0</v>
      </c>
      <c r="BN381" s="389">
        <f t="shared" si="101"/>
        <v>0</v>
      </c>
    </row>
    <row r="382" spans="16:66">
      <c r="P382" s="716">
        <v>0</v>
      </c>
      <c r="Q382" s="715">
        <f t="shared" si="85"/>
        <v>0</v>
      </c>
      <c r="R382" s="712">
        <f>IF(P383,_xll.qDateYears(P382,P383,DCCfixed),0)</f>
        <v>0</v>
      </c>
      <c r="S382" s="519">
        <f ca="1"/>
        <v>0</v>
      </c>
      <c r="T382" s="720"/>
      <c r="U382" s="390">
        <f t="shared" si="95"/>
        <v>0</v>
      </c>
      <c r="X382" s="345">
        <v>0</v>
      </c>
      <c r="Y382" s="711">
        <f t="shared" si="86"/>
        <v>0</v>
      </c>
      <c r="Z382" s="712">
        <f>IF(X383,_xll.qDateYears(X382,X383,DCCfloat),0)</f>
        <v>0</v>
      </c>
      <c r="AA382" s="519">
        <f ca="1"/>
        <v>0</v>
      </c>
      <c r="AB382" s="890">
        <f>IF(X382=0,0,         IF(OR(CCY="AUD",CCY="NZD",CCY="GBP"),X382,   _xll.qDateNext(X382,"-2b",,,IF(CCY="EUR","TGT","LON"))))</f>
        <v>0</v>
      </c>
      <c r="AC382" s="879" t="str">
        <v/>
      </c>
      <c r="AD382" s="879" t="str">
        <v/>
      </c>
      <c r="AE382" s="879" t="str">
        <v/>
      </c>
      <c r="AF382" s="879" t="str">
        <v/>
      </c>
      <c r="AG382" s="879" t="str">
        <v/>
      </c>
      <c r="AH382" s="879" t="str">
        <v/>
      </c>
      <c r="AI382" s="879" t="str">
        <v/>
      </c>
      <c r="AJ382" s="879" t="str">
        <v/>
      </c>
      <c r="AK382" s="882">
        <f>IF($X382=0,0,      _xll.qDateNext($X382,AK$12,$AR$11,FRM&lt;&gt;"Calypso",CCY))</f>
        <v>0</v>
      </c>
      <c r="AL382" s="882">
        <f>IF($X382=0,0,      _xll.qDateNext($X382,AL$12,$AR$11,FRM&lt;&gt;"Calypso",CCY))</f>
        <v>0</v>
      </c>
      <c r="AM382" s="882">
        <f>IF($X382=0,0,      _xll.qDateNext($X382,AM$12,$AR$11,FRM&lt;&gt;"Calypso",CCY))</f>
        <v>0</v>
      </c>
      <c r="AN382" s="882">
        <f>IF($X382=0,0,      _xll.qDateNext($X382,AN$12,$AR$11,FRM&lt;&gt;"Calypso",CCY))</f>
        <v>0</v>
      </c>
      <c r="AO382" s="882">
        <f>IF($X382=0,0,      _xll.qDateNext($X382,AO$12,$AR$11,FRM&lt;&gt;"Calypso",CCY))</f>
        <v>0</v>
      </c>
      <c r="AP382" s="882">
        <f>IF($X382=0,0,      _xll.qDateNext($X382,AP$12,$AR$11,FRM&lt;&gt;"Calypso",CCY))</f>
        <v>0</v>
      </c>
      <c r="AQ382" s="882">
        <f>IF($X382=0,0,      _xll.qDateNext($X382,AQ$12,$AR$11,FRM&lt;&gt;"Calypso",CCY))</f>
        <v>0</v>
      </c>
      <c r="AR382" s="882">
        <f>IF($X382=0,0,      _xll.qDateNext($X382,AR$12,$AR$11,FRM&lt;&gt;"Calypso",CCY))</f>
        <v>0</v>
      </c>
      <c r="AS382" s="901">
        <f ca="1"/>
        <v>0</v>
      </c>
      <c r="AT382" s="901">
        <f ca="1"/>
        <v>0</v>
      </c>
      <c r="AU382" s="901">
        <f t="shared" si="96"/>
        <v>0</v>
      </c>
      <c r="AV382" s="901">
        <f ca="1"/>
        <v>0</v>
      </c>
      <c r="AW382" s="901">
        <f t="shared" si="97"/>
        <v>0</v>
      </c>
      <c r="AX382" s="901">
        <f t="shared" si="98"/>
        <v>0</v>
      </c>
      <c r="AY382" s="901">
        <f ca="1"/>
        <v>0</v>
      </c>
      <c r="AZ382" s="901">
        <f ca="1"/>
        <v>0</v>
      </c>
      <c r="BA382" s="905">
        <f t="shared" si="87"/>
        <v>0</v>
      </c>
      <c r="BB382" s="905">
        <f t="shared" si="88"/>
        <v>0</v>
      </c>
      <c r="BC382" s="905">
        <f t="shared" si="89"/>
        <v>0</v>
      </c>
      <c r="BD382" s="905">
        <f t="shared" si="90"/>
        <v>0</v>
      </c>
      <c r="BE382" s="905">
        <f t="shared" si="91"/>
        <v>0</v>
      </c>
      <c r="BF382" s="905">
        <f t="shared" si="92"/>
        <v>0</v>
      </c>
      <c r="BG382" s="905">
        <f t="shared" si="93"/>
        <v>0</v>
      </c>
      <c r="BH382" s="905">
        <f t="shared" si="94"/>
        <v>0</v>
      </c>
      <c r="BI382" s="713">
        <v>0</v>
      </c>
      <c r="BJ382" s="695"/>
      <c r="BK382" s="752">
        <f>IF(X383=0,0,           IF(ISNUMBER(BJ382),BJ382,               IF(ISTEXT(BJ382),INDEX(BA382:BH382,MATCH(BJ382,$BA$12:$BH$12,0)),             IF(BI382="INT",_xll.qInterp(X383,AK382:AR382,BA382:BH382),            INDEX(BA382:BH382,MATCH(BI382,$BA$12:$BH$12,0))))))</f>
        <v>0</v>
      </c>
      <c r="BL382" s="389">
        <f t="shared" si="99"/>
        <v>0</v>
      </c>
      <c r="BM382" s="394">
        <f t="shared" si="100"/>
        <v>0</v>
      </c>
      <c r="BN382" s="389">
        <f t="shared" si="101"/>
        <v>0</v>
      </c>
    </row>
    <row r="383" spans="16:66">
      <c r="P383" s="716">
        <v>0</v>
      </c>
      <c r="Q383" s="715">
        <f t="shared" si="85"/>
        <v>0</v>
      </c>
      <c r="R383" s="712">
        <f>IF(P384,_xll.qDateYears(P383,P384,DCCfixed),0)</f>
        <v>0</v>
      </c>
      <c r="S383" s="519">
        <f ca="1"/>
        <v>0</v>
      </c>
      <c r="T383" s="720"/>
      <c r="U383" s="390">
        <f t="shared" si="95"/>
        <v>0</v>
      </c>
      <c r="X383" s="345">
        <v>0</v>
      </c>
      <c r="Y383" s="711">
        <f t="shared" si="86"/>
        <v>0</v>
      </c>
      <c r="Z383" s="712">
        <f>IF(X384,_xll.qDateYears(X383,X384,DCCfloat),0)</f>
        <v>0</v>
      </c>
      <c r="AA383" s="519">
        <f ca="1"/>
        <v>0</v>
      </c>
      <c r="AB383" s="890">
        <f>IF(X383=0,0,         IF(OR(CCY="AUD",CCY="NZD",CCY="GBP"),X383,   _xll.qDateNext(X383,"-2b",,,IF(CCY="EUR","TGT","LON"))))</f>
        <v>0</v>
      </c>
      <c r="AC383" s="879" t="str">
        <v/>
      </c>
      <c r="AD383" s="879" t="str">
        <v/>
      </c>
      <c r="AE383" s="879" t="str">
        <v/>
      </c>
      <c r="AF383" s="879" t="str">
        <v/>
      </c>
      <c r="AG383" s="879" t="str">
        <v/>
      </c>
      <c r="AH383" s="879" t="str">
        <v/>
      </c>
      <c r="AI383" s="879" t="str">
        <v/>
      </c>
      <c r="AJ383" s="879" t="str">
        <v/>
      </c>
      <c r="AK383" s="882">
        <f>IF($X383=0,0,      _xll.qDateNext($X383,AK$12,$AR$11,FRM&lt;&gt;"Calypso",CCY))</f>
        <v>0</v>
      </c>
      <c r="AL383" s="882">
        <f>IF($X383=0,0,      _xll.qDateNext($X383,AL$12,$AR$11,FRM&lt;&gt;"Calypso",CCY))</f>
        <v>0</v>
      </c>
      <c r="AM383" s="882">
        <f>IF($X383=0,0,      _xll.qDateNext($X383,AM$12,$AR$11,FRM&lt;&gt;"Calypso",CCY))</f>
        <v>0</v>
      </c>
      <c r="AN383" s="882">
        <f>IF($X383=0,0,      _xll.qDateNext($X383,AN$12,$AR$11,FRM&lt;&gt;"Calypso",CCY))</f>
        <v>0</v>
      </c>
      <c r="AO383" s="882">
        <f>IF($X383=0,0,      _xll.qDateNext($X383,AO$12,$AR$11,FRM&lt;&gt;"Calypso",CCY))</f>
        <v>0</v>
      </c>
      <c r="AP383" s="882">
        <f>IF($X383=0,0,      _xll.qDateNext($X383,AP$12,$AR$11,FRM&lt;&gt;"Calypso",CCY))</f>
        <v>0</v>
      </c>
      <c r="AQ383" s="882">
        <f>IF($X383=0,0,      _xll.qDateNext($X383,AQ$12,$AR$11,FRM&lt;&gt;"Calypso",CCY))</f>
        <v>0</v>
      </c>
      <c r="AR383" s="882">
        <f>IF($X383=0,0,      _xll.qDateNext($X383,AR$12,$AR$11,FRM&lt;&gt;"Calypso",CCY))</f>
        <v>0</v>
      </c>
      <c r="AS383" s="901">
        <f ca="1"/>
        <v>0</v>
      </c>
      <c r="AT383" s="901">
        <f ca="1"/>
        <v>0</v>
      </c>
      <c r="AU383" s="901">
        <f t="shared" si="96"/>
        <v>0</v>
      </c>
      <c r="AV383" s="901">
        <f ca="1"/>
        <v>0</v>
      </c>
      <c r="AW383" s="901">
        <f t="shared" si="97"/>
        <v>0</v>
      </c>
      <c r="AX383" s="901">
        <f t="shared" si="98"/>
        <v>0</v>
      </c>
      <c r="AY383" s="901">
        <f ca="1"/>
        <v>0</v>
      </c>
      <c r="AZ383" s="901">
        <f ca="1"/>
        <v>0</v>
      </c>
      <c r="BA383" s="905">
        <f t="shared" si="87"/>
        <v>0</v>
      </c>
      <c r="BB383" s="905">
        <f t="shared" si="88"/>
        <v>0</v>
      </c>
      <c r="BC383" s="905">
        <f t="shared" si="89"/>
        <v>0</v>
      </c>
      <c r="BD383" s="905">
        <f t="shared" si="90"/>
        <v>0</v>
      </c>
      <c r="BE383" s="905">
        <f t="shared" si="91"/>
        <v>0</v>
      </c>
      <c r="BF383" s="905">
        <f t="shared" si="92"/>
        <v>0</v>
      </c>
      <c r="BG383" s="905">
        <f t="shared" si="93"/>
        <v>0</v>
      </c>
      <c r="BH383" s="905">
        <f t="shared" si="94"/>
        <v>0</v>
      </c>
      <c r="BI383" s="713">
        <v>0</v>
      </c>
      <c r="BJ383" s="695"/>
      <c r="BK383" s="752">
        <f>IF(X384=0,0,           IF(ISNUMBER(BJ383),BJ383,               IF(ISTEXT(BJ383),INDEX(BA383:BH383,MATCH(BJ383,$BA$12:$BH$12,0)),             IF(BI383="INT",_xll.qInterp(X384,AK383:AR383,BA383:BH383),            INDEX(BA383:BH383,MATCH(BI383,$BA$12:$BH$12,0))))))</f>
        <v>0</v>
      </c>
      <c r="BL383" s="389">
        <f t="shared" si="99"/>
        <v>0</v>
      </c>
      <c r="BM383" s="394">
        <f t="shared" si="100"/>
        <v>0</v>
      </c>
      <c r="BN383" s="389">
        <f t="shared" si="101"/>
        <v>0</v>
      </c>
    </row>
    <row r="384" spans="16:66">
      <c r="P384" s="716">
        <v>0</v>
      </c>
      <c r="Q384" s="715">
        <f t="shared" si="85"/>
        <v>0</v>
      </c>
      <c r="R384" s="712">
        <f>IF(P385,_xll.qDateYears(P384,P385,DCCfixed),0)</f>
        <v>0</v>
      </c>
      <c r="S384" s="519">
        <f ca="1"/>
        <v>0</v>
      </c>
      <c r="T384" s="720"/>
      <c r="U384" s="390">
        <f t="shared" si="95"/>
        <v>0</v>
      </c>
      <c r="X384" s="345">
        <v>0</v>
      </c>
      <c r="Y384" s="711">
        <f t="shared" si="86"/>
        <v>0</v>
      </c>
      <c r="Z384" s="712">
        <f>IF(X385,_xll.qDateYears(X384,X385,DCCfloat),0)</f>
        <v>0</v>
      </c>
      <c r="AA384" s="519">
        <f ca="1"/>
        <v>0</v>
      </c>
      <c r="AB384" s="890">
        <f>IF(X384=0,0,         IF(OR(CCY="AUD",CCY="NZD",CCY="GBP"),X384,   _xll.qDateNext(X384,"-2b",,,IF(CCY="EUR","TGT","LON"))))</f>
        <v>0</v>
      </c>
      <c r="AC384" s="879" t="str">
        <v/>
      </c>
      <c r="AD384" s="879" t="str">
        <v/>
      </c>
      <c r="AE384" s="879" t="str">
        <v/>
      </c>
      <c r="AF384" s="879" t="str">
        <v/>
      </c>
      <c r="AG384" s="879" t="str">
        <v/>
      </c>
      <c r="AH384" s="879" t="str">
        <v/>
      </c>
      <c r="AI384" s="879" t="str">
        <v/>
      </c>
      <c r="AJ384" s="879" t="str">
        <v/>
      </c>
      <c r="AK384" s="882">
        <f>IF($X384=0,0,      _xll.qDateNext($X384,AK$12,$AR$11,FRM&lt;&gt;"Calypso",CCY))</f>
        <v>0</v>
      </c>
      <c r="AL384" s="882">
        <f>IF($X384=0,0,      _xll.qDateNext($X384,AL$12,$AR$11,FRM&lt;&gt;"Calypso",CCY))</f>
        <v>0</v>
      </c>
      <c r="AM384" s="882">
        <f>IF($X384=0,0,      _xll.qDateNext($X384,AM$12,$AR$11,FRM&lt;&gt;"Calypso",CCY))</f>
        <v>0</v>
      </c>
      <c r="AN384" s="882">
        <f>IF($X384=0,0,      _xll.qDateNext($X384,AN$12,$AR$11,FRM&lt;&gt;"Calypso",CCY))</f>
        <v>0</v>
      </c>
      <c r="AO384" s="882">
        <f>IF($X384=0,0,      _xll.qDateNext($X384,AO$12,$AR$11,FRM&lt;&gt;"Calypso",CCY))</f>
        <v>0</v>
      </c>
      <c r="AP384" s="882">
        <f>IF($X384=0,0,      _xll.qDateNext($X384,AP$12,$AR$11,FRM&lt;&gt;"Calypso",CCY))</f>
        <v>0</v>
      </c>
      <c r="AQ384" s="882">
        <f>IF($X384=0,0,      _xll.qDateNext($X384,AQ$12,$AR$11,FRM&lt;&gt;"Calypso",CCY))</f>
        <v>0</v>
      </c>
      <c r="AR384" s="882">
        <f>IF($X384=0,0,      _xll.qDateNext($X384,AR$12,$AR$11,FRM&lt;&gt;"Calypso",CCY))</f>
        <v>0</v>
      </c>
      <c r="AS384" s="901">
        <f ca="1"/>
        <v>0</v>
      </c>
      <c r="AT384" s="901">
        <f ca="1"/>
        <v>0</v>
      </c>
      <c r="AU384" s="901">
        <f t="shared" si="96"/>
        <v>0</v>
      </c>
      <c r="AV384" s="901">
        <f ca="1"/>
        <v>0</v>
      </c>
      <c r="AW384" s="901">
        <f t="shared" si="97"/>
        <v>0</v>
      </c>
      <c r="AX384" s="901">
        <f t="shared" si="98"/>
        <v>0</v>
      </c>
      <c r="AY384" s="901">
        <f ca="1"/>
        <v>0</v>
      </c>
      <c r="AZ384" s="901">
        <f ca="1"/>
        <v>0</v>
      </c>
      <c r="BA384" s="905">
        <f t="shared" si="87"/>
        <v>0</v>
      </c>
      <c r="BB384" s="905">
        <f t="shared" si="88"/>
        <v>0</v>
      </c>
      <c r="BC384" s="905">
        <f t="shared" si="89"/>
        <v>0</v>
      </c>
      <c r="BD384" s="905">
        <f t="shared" si="90"/>
        <v>0</v>
      </c>
      <c r="BE384" s="905">
        <f t="shared" si="91"/>
        <v>0</v>
      </c>
      <c r="BF384" s="905">
        <f t="shared" si="92"/>
        <v>0</v>
      </c>
      <c r="BG384" s="905">
        <f t="shared" si="93"/>
        <v>0</v>
      </c>
      <c r="BH384" s="905">
        <f t="shared" si="94"/>
        <v>0</v>
      </c>
      <c r="BI384" s="713">
        <v>0</v>
      </c>
      <c r="BJ384" s="695"/>
      <c r="BK384" s="752">
        <f>IF(X385=0,0,           IF(ISNUMBER(BJ384),BJ384,               IF(ISTEXT(BJ384),INDEX(BA384:BH384,MATCH(BJ384,$BA$12:$BH$12,0)),             IF(BI384="INT",_xll.qInterp(X385,AK384:AR384,BA384:BH384),            INDEX(BA384:BH384,MATCH(BI384,$BA$12:$BH$12,0))))))</f>
        <v>0</v>
      </c>
      <c r="BL384" s="389">
        <f t="shared" si="99"/>
        <v>0</v>
      </c>
      <c r="BM384" s="394">
        <f t="shared" si="100"/>
        <v>0</v>
      </c>
      <c r="BN384" s="389">
        <f t="shared" si="101"/>
        <v>0</v>
      </c>
    </row>
    <row r="385" spans="16:66">
      <c r="P385" s="716">
        <v>0</v>
      </c>
      <c r="Q385" s="715">
        <f t="shared" si="85"/>
        <v>0</v>
      </c>
      <c r="R385" s="712">
        <f>IF(P386,_xll.qDateYears(P385,P386,DCCfixed),0)</f>
        <v>0</v>
      </c>
      <c r="S385" s="519">
        <f ca="1"/>
        <v>0</v>
      </c>
      <c r="T385" s="720"/>
      <c r="U385" s="390">
        <f t="shared" si="95"/>
        <v>0</v>
      </c>
      <c r="X385" s="345">
        <v>0</v>
      </c>
      <c r="Y385" s="711">
        <f t="shared" si="86"/>
        <v>0</v>
      </c>
      <c r="Z385" s="712">
        <f>IF(X386,_xll.qDateYears(X385,X386,DCCfloat),0)</f>
        <v>0</v>
      </c>
      <c r="AA385" s="519">
        <f ca="1"/>
        <v>0</v>
      </c>
      <c r="AB385" s="890">
        <f>IF(X385=0,0,         IF(OR(CCY="AUD",CCY="NZD",CCY="GBP"),X385,   _xll.qDateNext(X385,"-2b",,,IF(CCY="EUR","TGT","LON"))))</f>
        <v>0</v>
      </c>
      <c r="AC385" s="879" t="str">
        <v/>
      </c>
      <c r="AD385" s="879" t="str">
        <v/>
      </c>
      <c r="AE385" s="879" t="str">
        <v/>
      </c>
      <c r="AF385" s="879" t="str">
        <v/>
      </c>
      <c r="AG385" s="879" t="str">
        <v/>
      </c>
      <c r="AH385" s="879" t="str">
        <v/>
      </c>
      <c r="AI385" s="879" t="str">
        <v/>
      </c>
      <c r="AJ385" s="879" t="str">
        <v/>
      </c>
      <c r="AK385" s="882">
        <f>IF($X385=0,0,      _xll.qDateNext($X385,AK$12,$AR$11,FRM&lt;&gt;"Calypso",CCY))</f>
        <v>0</v>
      </c>
      <c r="AL385" s="882">
        <f>IF($X385=0,0,      _xll.qDateNext($X385,AL$12,$AR$11,FRM&lt;&gt;"Calypso",CCY))</f>
        <v>0</v>
      </c>
      <c r="AM385" s="882">
        <f>IF($X385=0,0,      _xll.qDateNext($X385,AM$12,$AR$11,FRM&lt;&gt;"Calypso",CCY))</f>
        <v>0</v>
      </c>
      <c r="AN385" s="882">
        <f>IF($X385=0,0,      _xll.qDateNext($X385,AN$12,$AR$11,FRM&lt;&gt;"Calypso",CCY))</f>
        <v>0</v>
      </c>
      <c r="AO385" s="882">
        <f>IF($X385=0,0,      _xll.qDateNext($X385,AO$12,$AR$11,FRM&lt;&gt;"Calypso",CCY))</f>
        <v>0</v>
      </c>
      <c r="AP385" s="882">
        <f>IF($X385=0,0,      _xll.qDateNext($X385,AP$12,$AR$11,FRM&lt;&gt;"Calypso",CCY))</f>
        <v>0</v>
      </c>
      <c r="AQ385" s="882">
        <f>IF($X385=0,0,      _xll.qDateNext($X385,AQ$12,$AR$11,FRM&lt;&gt;"Calypso",CCY))</f>
        <v>0</v>
      </c>
      <c r="AR385" s="882">
        <f>IF($X385=0,0,      _xll.qDateNext($X385,AR$12,$AR$11,FRM&lt;&gt;"Calypso",CCY))</f>
        <v>0</v>
      </c>
      <c r="AS385" s="901">
        <f ca="1"/>
        <v>0</v>
      </c>
      <c r="AT385" s="901">
        <f ca="1"/>
        <v>0</v>
      </c>
      <c r="AU385" s="901">
        <f t="shared" si="96"/>
        <v>0</v>
      </c>
      <c r="AV385" s="901">
        <f ca="1"/>
        <v>0</v>
      </c>
      <c r="AW385" s="901">
        <f t="shared" si="97"/>
        <v>0</v>
      </c>
      <c r="AX385" s="901">
        <f t="shared" si="98"/>
        <v>0</v>
      </c>
      <c r="AY385" s="901">
        <f ca="1"/>
        <v>0</v>
      </c>
      <c r="AZ385" s="901">
        <f ca="1"/>
        <v>0</v>
      </c>
      <c r="BA385" s="905">
        <f t="shared" si="87"/>
        <v>0</v>
      </c>
      <c r="BB385" s="905">
        <f t="shared" si="88"/>
        <v>0</v>
      </c>
      <c r="BC385" s="905">
        <f t="shared" si="89"/>
        <v>0</v>
      </c>
      <c r="BD385" s="905">
        <f t="shared" si="90"/>
        <v>0</v>
      </c>
      <c r="BE385" s="905">
        <f t="shared" si="91"/>
        <v>0</v>
      </c>
      <c r="BF385" s="905">
        <f t="shared" si="92"/>
        <v>0</v>
      </c>
      <c r="BG385" s="905">
        <f t="shared" si="93"/>
        <v>0</v>
      </c>
      <c r="BH385" s="905">
        <f t="shared" si="94"/>
        <v>0</v>
      </c>
      <c r="BI385" s="713">
        <v>0</v>
      </c>
      <c r="BJ385" s="695"/>
      <c r="BK385" s="752">
        <f>IF(X386=0,0,           IF(ISNUMBER(BJ385),BJ385,               IF(ISTEXT(BJ385),INDEX(BA385:BH385,MATCH(BJ385,$BA$12:$BH$12,0)),             IF(BI385="INT",_xll.qInterp(X386,AK385:AR385,BA385:BH385),            INDEX(BA385:BH385,MATCH(BI385,$BA$12:$BH$12,0))))))</f>
        <v>0</v>
      </c>
      <c r="BL385" s="389">
        <f t="shared" si="99"/>
        <v>0</v>
      </c>
      <c r="BM385" s="394">
        <f t="shared" si="100"/>
        <v>0</v>
      </c>
      <c r="BN385" s="389">
        <f t="shared" si="101"/>
        <v>0</v>
      </c>
    </row>
    <row r="386" spans="16:66">
      <c r="P386" s="716">
        <v>0</v>
      </c>
      <c r="Q386" s="715">
        <f t="shared" si="85"/>
        <v>0</v>
      </c>
      <c r="R386" s="712">
        <f>IF(P387,_xll.qDateYears(P386,P387,DCCfixed),0)</f>
        <v>0</v>
      </c>
      <c r="S386" s="519">
        <f ca="1"/>
        <v>0</v>
      </c>
      <c r="T386" s="720"/>
      <c r="U386" s="390">
        <f t="shared" si="95"/>
        <v>0</v>
      </c>
      <c r="X386" s="345">
        <v>0</v>
      </c>
      <c r="Y386" s="711">
        <f t="shared" si="86"/>
        <v>0</v>
      </c>
      <c r="Z386" s="712">
        <f>IF(X387,_xll.qDateYears(X386,X387,DCCfloat),0)</f>
        <v>0</v>
      </c>
      <c r="AA386" s="519">
        <f ca="1"/>
        <v>0</v>
      </c>
      <c r="AB386" s="890">
        <f>IF(X386=0,0,         IF(OR(CCY="AUD",CCY="NZD",CCY="GBP"),X386,   _xll.qDateNext(X386,"-2b",,,IF(CCY="EUR","TGT","LON"))))</f>
        <v>0</v>
      </c>
      <c r="AC386" s="879" t="str">
        <v/>
      </c>
      <c r="AD386" s="879" t="str">
        <v/>
      </c>
      <c r="AE386" s="879" t="str">
        <v/>
      </c>
      <c r="AF386" s="879" t="str">
        <v/>
      </c>
      <c r="AG386" s="879" t="str">
        <v/>
      </c>
      <c r="AH386" s="879" t="str">
        <v/>
      </c>
      <c r="AI386" s="879" t="str">
        <v/>
      </c>
      <c r="AJ386" s="879" t="str">
        <v/>
      </c>
      <c r="AK386" s="882">
        <f>IF($X386=0,0,      _xll.qDateNext($X386,AK$12,$AR$11,FRM&lt;&gt;"Calypso",CCY))</f>
        <v>0</v>
      </c>
      <c r="AL386" s="882">
        <f>IF($X386=0,0,      _xll.qDateNext($X386,AL$12,$AR$11,FRM&lt;&gt;"Calypso",CCY))</f>
        <v>0</v>
      </c>
      <c r="AM386" s="882">
        <f>IF($X386=0,0,      _xll.qDateNext($X386,AM$12,$AR$11,FRM&lt;&gt;"Calypso",CCY))</f>
        <v>0</v>
      </c>
      <c r="AN386" s="882">
        <f>IF($X386=0,0,      _xll.qDateNext($X386,AN$12,$AR$11,FRM&lt;&gt;"Calypso",CCY))</f>
        <v>0</v>
      </c>
      <c r="AO386" s="882">
        <f>IF($X386=0,0,      _xll.qDateNext($X386,AO$12,$AR$11,FRM&lt;&gt;"Calypso",CCY))</f>
        <v>0</v>
      </c>
      <c r="AP386" s="882">
        <f>IF($X386=0,0,      _xll.qDateNext($X386,AP$12,$AR$11,FRM&lt;&gt;"Calypso",CCY))</f>
        <v>0</v>
      </c>
      <c r="AQ386" s="882">
        <f>IF($X386=0,0,      _xll.qDateNext($X386,AQ$12,$AR$11,FRM&lt;&gt;"Calypso",CCY))</f>
        <v>0</v>
      </c>
      <c r="AR386" s="882">
        <f>IF($X386=0,0,      _xll.qDateNext($X386,AR$12,$AR$11,FRM&lt;&gt;"Calypso",CCY))</f>
        <v>0</v>
      </c>
      <c r="AS386" s="901">
        <f ca="1"/>
        <v>0</v>
      </c>
      <c r="AT386" s="901">
        <f ca="1"/>
        <v>0</v>
      </c>
      <c r="AU386" s="901">
        <f t="shared" si="96"/>
        <v>0</v>
      </c>
      <c r="AV386" s="901">
        <f ca="1"/>
        <v>0</v>
      </c>
      <c r="AW386" s="901">
        <f t="shared" si="97"/>
        <v>0</v>
      </c>
      <c r="AX386" s="901">
        <f t="shared" si="98"/>
        <v>0</v>
      </c>
      <c r="AY386" s="901">
        <f ca="1"/>
        <v>0</v>
      </c>
      <c r="AZ386" s="901">
        <f ca="1"/>
        <v>0</v>
      </c>
      <c r="BA386" s="905">
        <f t="shared" si="87"/>
        <v>0</v>
      </c>
      <c r="BB386" s="905">
        <f t="shared" si="88"/>
        <v>0</v>
      </c>
      <c r="BC386" s="905">
        <f t="shared" si="89"/>
        <v>0</v>
      </c>
      <c r="BD386" s="905">
        <f t="shared" si="90"/>
        <v>0</v>
      </c>
      <c r="BE386" s="905">
        <f t="shared" si="91"/>
        <v>0</v>
      </c>
      <c r="BF386" s="905">
        <f t="shared" si="92"/>
        <v>0</v>
      </c>
      <c r="BG386" s="905">
        <f t="shared" si="93"/>
        <v>0</v>
      </c>
      <c r="BH386" s="905">
        <f t="shared" si="94"/>
        <v>0</v>
      </c>
      <c r="BI386" s="713">
        <v>0</v>
      </c>
      <c r="BJ386" s="695"/>
      <c r="BK386" s="752">
        <f>IF(X387=0,0,           IF(ISNUMBER(BJ386),BJ386,               IF(ISTEXT(BJ386),INDEX(BA386:BH386,MATCH(BJ386,$BA$12:$BH$12,0)),             IF(BI386="INT",_xll.qInterp(X387,AK386:AR386,BA386:BH386),            INDEX(BA386:BH386,MATCH(BI386,$BA$12:$BH$12,0))))))</f>
        <v>0</v>
      </c>
      <c r="BL386" s="389">
        <f t="shared" si="99"/>
        <v>0</v>
      </c>
      <c r="BM386" s="394">
        <f t="shared" si="100"/>
        <v>0</v>
      </c>
      <c r="BN386" s="389">
        <f t="shared" si="101"/>
        <v>0</v>
      </c>
    </row>
    <row r="387" spans="16:66">
      <c r="P387" s="716">
        <v>0</v>
      </c>
      <c r="Q387" s="715">
        <f t="shared" si="85"/>
        <v>0</v>
      </c>
      <c r="R387" s="712">
        <f>IF(P388,_xll.qDateYears(P387,P388,DCCfixed),0)</f>
        <v>0</v>
      </c>
      <c r="S387" s="519">
        <f ca="1"/>
        <v>0</v>
      </c>
      <c r="T387" s="720"/>
      <c r="U387" s="390">
        <f t="shared" si="95"/>
        <v>0</v>
      </c>
      <c r="X387" s="345">
        <v>0</v>
      </c>
      <c r="Y387" s="711">
        <f t="shared" si="86"/>
        <v>0</v>
      </c>
      <c r="Z387" s="712">
        <f>IF(X388,_xll.qDateYears(X387,X388,DCCfloat),0)</f>
        <v>0</v>
      </c>
      <c r="AA387" s="519">
        <f ca="1"/>
        <v>0</v>
      </c>
      <c r="AB387" s="890">
        <f>IF(X387=0,0,         IF(OR(CCY="AUD",CCY="NZD",CCY="GBP"),X387,   _xll.qDateNext(X387,"-2b",,,IF(CCY="EUR","TGT","LON"))))</f>
        <v>0</v>
      </c>
      <c r="AC387" s="879" t="str">
        <v/>
      </c>
      <c r="AD387" s="879" t="str">
        <v/>
      </c>
      <c r="AE387" s="879" t="str">
        <v/>
      </c>
      <c r="AF387" s="879" t="str">
        <v/>
      </c>
      <c r="AG387" s="879" t="str">
        <v/>
      </c>
      <c r="AH387" s="879" t="str">
        <v/>
      </c>
      <c r="AI387" s="879" t="str">
        <v/>
      </c>
      <c r="AJ387" s="879" t="str">
        <v/>
      </c>
      <c r="AK387" s="882">
        <f>IF($X387=0,0,      _xll.qDateNext($X387,AK$12,$AR$11,FRM&lt;&gt;"Calypso",CCY))</f>
        <v>0</v>
      </c>
      <c r="AL387" s="882">
        <f>IF($X387=0,0,      _xll.qDateNext($X387,AL$12,$AR$11,FRM&lt;&gt;"Calypso",CCY))</f>
        <v>0</v>
      </c>
      <c r="AM387" s="882">
        <f>IF($X387=0,0,      _xll.qDateNext($X387,AM$12,$AR$11,FRM&lt;&gt;"Calypso",CCY))</f>
        <v>0</v>
      </c>
      <c r="AN387" s="882">
        <f>IF($X387=0,0,      _xll.qDateNext($X387,AN$12,$AR$11,FRM&lt;&gt;"Calypso",CCY))</f>
        <v>0</v>
      </c>
      <c r="AO387" s="882">
        <f>IF($X387=0,0,      _xll.qDateNext($X387,AO$12,$AR$11,FRM&lt;&gt;"Calypso",CCY))</f>
        <v>0</v>
      </c>
      <c r="AP387" s="882">
        <f>IF($X387=0,0,      _xll.qDateNext($X387,AP$12,$AR$11,FRM&lt;&gt;"Calypso",CCY))</f>
        <v>0</v>
      </c>
      <c r="AQ387" s="882">
        <f>IF($X387=0,0,      _xll.qDateNext($X387,AQ$12,$AR$11,FRM&lt;&gt;"Calypso",CCY))</f>
        <v>0</v>
      </c>
      <c r="AR387" s="882">
        <f>IF($X387=0,0,      _xll.qDateNext($X387,AR$12,$AR$11,FRM&lt;&gt;"Calypso",CCY))</f>
        <v>0</v>
      </c>
      <c r="AS387" s="901">
        <f ca="1"/>
        <v>0</v>
      </c>
      <c r="AT387" s="901">
        <f ca="1"/>
        <v>0</v>
      </c>
      <c r="AU387" s="901">
        <f t="shared" si="96"/>
        <v>0</v>
      </c>
      <c r="AV387" s="901">
        <f ca="1"/>
        <v>0</v>
      </c>
      <c r="AW387" s="901">
        <f t="shared" si="97"/>
        <v>0</v>
      </c>
      <c r="AX387" s="901">
        <f t="shared" si="98"/>
        <v>0</v>
      </c>
      <c r="AY387" s="901">
        <f ca="1"/>
        <v>0</v>
      </c>
      <c r="AZ387" s="901">
        <f ca="1"/>
        <v>0</v>
      </c>
      <c r="BA387" s="905">
        <f t="shared" si="87"/>
        <v>0</v>
      </c>
      <c r="BB387" s="905">
        <f t="shared" si="88"/>
        <v>0</v>
      </c>
      <c r="BC387" s="905">
        <f t="shared" si="89"/>
        <v>0</v>
      </c>
      <c r="BD387" s="905">
        <f t="shared" si="90"/>
        <v>0</v>
      </c>
      <c r="BE387" s="905">
        <f t="shared" si="91"/>
        <v>0</v>
      </c>
      <c r="BF387" s="905">
        <f t="shared" si="92"/>
        <v>0</v>
      </c>
      <c r="BG387" s="905">
        <f t="shared" si="93"/>
        <v>0</v>
      </c>
      <c r="BH387" s="905">
        <f t="shared" si="94"/>
        <v>0</v>
      </c>
      <c r="BI387" s="713">
        <v>0</v>
      </c>
      <c r="BJ387" s="695"/>
      <c r="BK387" s="752">
        <f>IF(X388=0,0,           IF(ISNUMBER(BJ387),BJ387,               IF(ISTEXT(BJ387),INDEX(BA387:BH387,MATCH(BJ387,$BA$12:$BH$12,0)),             IF(BI387="INT",_xll.qInterp(X388,AK387:AR387,BA387:BH387),            INDEX(BA387:BH387,MATCH(BI387,$BA$12:$BH$12,0))))))</f>
        <v>0</v>
      </c>
      <c r="BL387" s="389">
        <f t="shared" si="99"/>
        <v>0</v>
      </c>
      <c r="BM387" s="394">
        <f t="shared" si="100"/>
        <v>0</v>
      </c>
      <c r="BN387" s="389">
        <f t="shared" si="101"/>
        <v>0</v>
      </c>
    </row>
    <row r="388" spans="16:66">
      <c r="P388" s="716">
        <v>0</v>
      </c>
      <c r="Q388" s="715">
        <f t="shared" si="85"/>
        <v>0</v>
      </c>
      <c r="R388" s="712">
        <f>IF(P389,_xll.qDateYears(P388,P389,DCCfixed),0)</f>
        <v>0</v>
      </c>
      <c r="S388" s="519">
        <f ca="1"/>
        <v>0</v>
      </c>
      <c r="T388" s="720"/>
      <c r="U388" s="390">
        <f t="shared" si="95"/>
        <v>0</v>
      </c>
      <c r="X388" s="345">
        <v>0</v>
      </c>
      <c r="Y388" s="711">
        <f t="shared" si="86"/>
        <v>0</v>
      </c>
      <c r="Z388" s="712">
        <f>IF(X389,_xll.qDateYears(X388,X389,DCCfloat),0)</f>
        <v>0</v>
      </c>
      <c r="AA388" s="519">
        <f ca="1"/>
        <v>0</v>
      </c>
      <c r="AB388" s="890">
        <f>IF(X388=0,0,         IF(OR(CCY="AUD",CCY="NZD",CCY="GBP"),X388,   _xll.qDateNext(X388,"-2b",,,IF(CCY="EUR","TGT","LON"))))</f>
        <v>0</v>
      </c>
      <c r="AC388" s="879" t="str">
        <v/>
      </c>
      <c r="AD388" s="879" t="str">
        <v/>
      </c>
      <c r="AE388" s="879" t="str">
        <v/>
      </c>
      <c r="AF388" s="879" t="str">
        <v/>
      </c>
      <c r="AG388" s="879" t="str">
        <v/>
      </c>
      <c r="AH388" s="879" t="str">
        <v/>
      </c>
      <c r="AI388" s="879" t="str">
        <v/>
      </c>
      <c r="AJ388" s="879" t="str">
        <v/>
      </c>
      <c r="AK388" s="882">
        <f>IF($X388=0,0,      _xll.qDateNext($X388,AK$12,$AR$11,FRM&lt;&gt;"Calypso",CCY))</f>
        <v>0</v>
      </c>
      <c r="AL388" s="882">
        <f>IF($X388=0,0,      _xll.qDateNext($X388,AL$12,$AR$11,FRM&lt;&gt;"Calypso",CCY))</f>
        <v>0</v>
      </c>
      <c r="AM388" s="882">
        <f>IF($X388=0,0,      _xll.qDateNext($X388,AM$12,$AR$11,FRM&lt;&gt;"Calypso",CCY))</f>
        <v>0</v>
      </c>
      <c r="AN388" s="882">
        <f>IF($X388=0,0,      _xll.qDateNext($X388,AN$12,$AR$11,FRM&lt;&gt;"Calypso",CCY))</f>
        <v>0</v>
      </c>
      <c r="AO388" s="882">
        <f>IF($X388=0,0,      _xll.qDateNext($X388,AO$12,$AR$11,FRM&lt;&gt;"Calypso",CCY))</f>
        <v>0</v>
      </c>
      <c r="AP388" s="882">
        <f>IF($X388=0,0,      _xll.qDateNext($X388,AP$12,$AR$11,FRM&lt;&gt;"Calypso",CCY))</f>
        <v>0</v>
      </c>
      <c r="AQ388" s="882">
        <f>IF($X388=0,0,      _xll.qDateNext($X388,AQ$12,$AR$11,FRM&lt;&gt;"Calypso",CCY))</f>
        <v>0</v>
      </c>
      <c r="AR388" s="882">
        <f>IF($X388=0,0,      _xll.qDateNext($X388,AR$12,$AR$11,FRM&lt;&gt;"Calypso",CCY))</f>
        <v>0</v>
      </c>
      <c r="AS388" s="901">
        <f ca="1"/>
        <v>0</v>
      </c>
      <c r="AT388" s="901">
        <f ca="1"/>
        <v>0</v>
      </c>
      <c r="AU388" s="901">
        <f t="shared" si="96"/>
        <v>0</v>
      </c>
      <c r="AV388" s="901">
        <f ca="1"/>
        <v>0</v>
      </c>
      <c r="AW388" s="901">
        <f t="shared" si="97"/>
        <v>0</v>
      </c>
      <c r="AX388" s="901">
        <f t="shared" si="98"/>
        <v>0</v>
      </c>
      <c r="AY388" s="901">
        <f ca="1"/>
        <v>0</v>
      </c>
      <c r="AZ388" s="901">
        <f ca="1"/>
        <v>0</v>
      </c>
      <c r="BA388" s="905">
        <f t="shared" si="87"/>
        <v>0</v>
      </c>
      <c r="BB388" s="905">
        <f t="shared" si="88"/>
        <v>0</v>
      </c>
      <c r="BC388" s="905">
        <f t="shared" si="89"/>
        <v>0</v>
      </c>
      <c r="BD388" s="905">
        <f t="shared" si="90"/>
        <v>0</v>
      </c>
      <c r="BE388" s="905">
        <f t="shared" si="91"/>
        <v>0</v>
      </c>
      <c r="BF388" s="905">
        <f t="shared" si="92"/>
        <v>0</v>
      </c>
      <c r="BG388" s="905">
        <f t="shared" si="93"/>
        <v>0</v>
      </c>
      <c r="BH388" s="905">
        <f t="shared" si="94"/>
        <v>0</v>
      </c>
      <c r="BI388" s="713">
        <v>0</v>
      </c>
      <c r="BJ388" s="695"/>
      <c r="BK388" s="752">
        <f>IF(X389=0,0,           IF(ISNUMBER(BJ388),BJ388,               IF(ISTEXT(BJ388),INDEX(BA388:BH388,MATCH(BJ388,$BA$12:$BH$12,0)),             IF(BI388="INT",_xll.qInterp(X389,AK388:AR388,BA388:BH388),            INDEX(BA388:BH388,MATCH(BI388,$BA$12:$BH$12,0))))))</f>
        <v>0</v>
      </c>
      <c r="BL388" s="389">
        <f t="shared" si="99"/>
        <v>0</v>
      </c>
      <c r="BM388" s="394">
        <f t="shared" si="100"/>
        <v>0</v>
      </c>
      <c r="BN388" s="389">
        <f t="shared" si="101"/>
        <v>0</v>
      </c>
    </row>
    <row r="389" spans="16:66">
      <c r="P389" s="716">
        <v>0</v>
      </c>
      <c r="Q389" s="715">
        <f t="shared" si="85"/>
        <v>0</v>
      </c>
      <c r="R389" s="712">
        <f>IF(P390,_xll.qDateYears(P389,P390,DCCfixed),0)</f>
        <v>0</v>
      </c>
      <c r="S389" s="519">
        <f ca="1"/>
        <v>0</v>
      </c>
      <c r="T389" s="720"/>
      <c r="U389" s="390">
        <f t="shared" si="95"/>
        <v>0</v>
      </c>
      <c r="X389" s="345">
        <v>0</v>
      </c>
      <c r="Y389" s="711">
        <f t="shared" si="86"/>
        <v>0</v>
      </c>
      <c r="Z389" s="712">
        <f>IF(X390,_xll.qDateYears(X389,X390,DCCfloat),0)</f>
        <v>0</v>
      </c>
      <c r="AA389" s="519">
        <f ca="1"/>
        <v>0</v>
      </c>
      <c r="AB389" s="890">
        <f>IF(X389=0,0,         IF(OR(CCY="AUD",CCY="NZD",CCY="GBP"),X389,   _xll.qDateNext(X389,"-2b",,,IF(CCY="EUR","TGT","LON"))))</f>
        <v>0</v>
      </c>
      <c r="AC389" s="879" t="str">
        <v/>
      </c>
      <c r="AD389" s="879" t="str">
        <v/>
      </c>
      <c r="AE389" s="879" t="str">
        <v/>
      </c>
      <c r="AF389" s="879" t="str">
        <v/>
      </c>
      <c r="AG389" s="879" t="str">
        <v/>
      </c>
      <c r="AH389" s="879" t="str">
        <v/>
      </c>
      <c r="AI389" s="879" t="str">
        <v/>
      </c>
      <c r="AJ389" s="879" t="str">
        <v/>
      </c>
      <c r="AK389" s="882">
        <f>IF($X389=0,0,      _xll.qDateNext($X389,AK$12,$AR$11,FRM&lt;&gt;"Calypso",CCY))</f>
        <v>0</v>
      </c>
      <c r="AL389" s="882">
        <f>IF($X389=0,0,      _xll.qDateNext($X389,AL$12,$AR$11,FRM&lt;&gt;"Calypso",CCY))</f>
        <v>0</v>
      </c>
      <c r="AM389" s="882">
        <f>IF($X389=0,0,      _xll.qDateNext($X389,AM$12,$AR$11,FRM&lt;&gt;"Calypso",CCY))</f>
        <v>0</v>
      </c>
      <c r="AN389" s="882">
        <f>IF($X389=0,0,      _xll.qDateNext($X389,AN$12,$AR$11,FRM&lt;&gt;"Calypso",CCY))</f>
        <v>0</v>
      </c>
      <c r="AO389" s="882">
        <f>IF($X389=0,0,      _xll.qDateNext($X389,AO$12,$AR$11,FRM&lt;&gt;"Calypso",CCY))</f>
        <v>0</v>
      </c>
      <c r="AP389" s="882">
        <f>IF($X389=0,0,      _xll.qDateNext($X389,AP$12,$AR$11,FRM&lt;&gt;"Calypso",CCY))</f>
        <v>0</v>
      </c>
      <c r="AQ389" s="882">
        <f>IF($X389=0,0,      _xll.qDateNext($X389,AQ$12,$AR$11,FRM&lt;&gt;"Calypso",CCY))</f>
        <v>0</v>
      </c>
      <c r="AR389" s="882">
        <f>IF($X389=0,0,      _xll.qDateNext($X389,AR$12,$AR$11,FRM&lt;&gt;"Calypso",CCY))</f>
        <v>0</v>
      </c>
      <c r="AS389" s="901">
        <f ca="1"/>
        <v>0</v>
      </c>
      <c r="AT389" s="901">
        <f ca="1"/>
        <v>0</v>
      </c>
      <c r="AU389" s="901">
        <f t="shared" si="96"/>
        <v>0</v>
      </c>
      <c r="AV389" s="901">
        <f ca="1"/>
        <v>0</v>
      </c>
      <c r="AW389" s="901">
        <f t="shared" si="97"/>
        <v>0</v>
      </c>
      <c r="AX389" s="901">
        <f t="shared" si="98"/>
        <v>0</v>
      </c>
      <c r="AY389" s="901">
        <f ca="1"/>
        <v>0</v>
      </c>
      <c r="AZ389" s="901">
        <f ca="1"/>
        <v>0</v>
      </c>
      <c r="BA389" s="905">
        <f t="shared" si="87"/>
        <v>0</v>
      </c>
      <c r="BB389" s="905">
        <f t="shared" si="88"/>
        <v>0</v>
      </c>
      <c r="BC389" s="905">
        <f t="shared" si="89"/>
        <v>0</v>
      </c>
      <c r="BD389" s="905">
        <f t="shared" si="90"/>
        <v>0</v>
      </c>
      <c r="BE389" s="905">
        <f t="shared" si="91"/>
        <v>0</v>
      </c>
      <c r="BF389" s="905">
        <f t="shared" si="92"/>
        <v>0</v>
      </c>
      <c r="BG389" s="905">
        <f t="shared" si="93"/>
        <v>0</v>
      </c>
      <c r="BH389" s="905">
        <f t="shared" si="94"/>
        <v>0</v>
      </c>
      <c r="BI389" s="713">
        <v>0</v>
      </c>
      <c r="BJ389" s="695"/>
      <c r="BK389" s="752">
        <f>IF(X390=0,0,           IF(ISNUMBER(BJ389),BJ389,               IF(ISTEXT(BJ389),INDEX(BA389:BH389,MATCH(BJ389,$BA$12:$BH$12,0)),             IF(BI389="INT",_xll.qInterp(X390,AK389:AR389,BA389:BH389),            INDEX(BA389:BH389,MATCH(BI389,$BA$12:$BH$12,0))))))</f>
        <v>0</v>
      </c>
      <c r="BL389" s="389">
        <f t="shared" si="99"/>
        <v>0</v>
      </c>
      <c r="BM389" s="394">
        <f t="shared" si="100"/>
        <v>0</v>
      </c>
      <c r="BN389" s="389">
        <f t="shared" si="101"/>
        <v>0</v>
      </c>
    </row>
    <row r="390" spans="16:66">
      <c r="P390" s="716">
        <v>0</v>
      </c>
      <c r="Q390" s="715">
        <f t="shared" si="85"/>
        <v>0</v>
      </c>
      <c r="R390" s="712">
        <f>IF(P391,_xll.qDateYears(P390,P391,DCCfixed),0)</f>
        <v>0</v>
      </c>
      <c r="S390" s="519">
        <f ca="1"/>
        <v>0</v>
      </c>
      <c r="T390" s="720"/>
      <c r="U390" s="390">
        <f t="shared" si="95"/>
        <v>0</v>
      </c>
      <c r="X390" s="345">
        <v>0</v>
      </c>
      <c r="Y390" s="711">
        <f t="shared" si="86"/>
        <v>0</v>
      </c>
      <c r="Z390" s="712">
        <f>IF(X391,_xll.qDateYears(X390,X391,DCCfloat),0)</f>
        <v>0</v>
      </c>
      <c r="AA390" s="519">
        <f ca="1"/>
        <v>0</v>
      </c>
      <c r="AB390" s="890">
        <f>IF(X390=0,0,         IF(OR(CCY="AUD",CCY="NZD",CCY="GBP"),X390,   _xll.qDateNext(X390,"-2b",,,IF(CCY="EUR","TGT","LON"))))</f>
        <v>0</v>
      </c>
      <c r="AC390" s="879" t="str">
        <v/>
      </c>
      <c r="AD390" s="879" t="str">
        <v/>
      </c>
      <c r="AE390" s="879" t="str">
        <v/>
      </c>
      <c r="AF390" s="879" t="str">
        <v/>
      </c>
      <c r="AG390" s="879" t="str">
        <v/>
      </c>
      <c r="AH390" s="879" t="str">
        <v/>
      </c>
      <c r="AI390" s="879" t="str">
        <v/>
      </c>
      <c r="AJ390" s="879" t="str">
        <v/>
      </c>
      <c r="AK390" s="882">
        <f>IF($X390=0,0,      _xll.qDateNext($X390,AK$12,$AR$11,FRM&lt;&gt;"Calypso",CCY))</f>
        <v>0</v>
      </c>
      <c r="AL390" s="882">
        <f>IF($X390=0,0,      _xll.qDateNext($X390,AL$12,$AR$11,FRM&lt;&gt;"Calypso",CCY))</f>
        <v>0</v>
      </c>
      <c r="AM390" s="882">
        <f>IF($X390=0,0,      _xll.qDateNext($X390,AM$12,$AR$11,FRM&lt;&gt;"Calypso",CCY))</f>
        <v>0</v>
      </c>
      <c r="AN390" s="882">
        <f>IF($X390=0,0,      _xll.qDateNext($X390,AN$12,$AR$11,FRM&lt;&gt;"Calypso",CCY))</f>
        <v>0</v>
      </c>
      <c r="AO390" s="882">
        <f>IF($X390=0,0,      _xll.qDateNext($X390,AO$12,$AR$11,FRM&lt;&gt;"Calypso",CCY))</f>
        <v>0</v>
      </c>
      <c r="AP390" s="882">
        <f>IF($X390=0,0,      _xll.qDateNext($X390,AP$12,$AR$11,FRM&lt;&gt;"Calypso",CCY))</f>
        <v>0</v>
      </c>
      <c r="AQ390" s="882">
        <f>IF($X390=0,0,      _xll.qDateNext($X390,AQ$12,$AR$11,FRM&lt;&gt;"Calypso",CCY))</f>
        <v>0</v>
      </c>
      <c r="AR390" s="882">
        <f>IF($X390=0,0,      _xll.qDateNext($X390,AR$12,$AR$11,FRM&lt;&gt;"Calypso",CCY))</f>
        <v>0</v>
      </c>
      <c r="AS390" s="901">
        <f ca="1"/>
        <v>0</v>
      </c>
      <c r="AT390" s="901">
        <f ca="1"/>
        <v>0</v>
      </c>
      <c r="AU390" s="901">
        <f t="shared" si="96"/>
        <v>0</v>
      </c>
      <c r="AV390" s="901">
        <f ca="1"/>
        <v>0</v>
      </c>
      <c r="AW390" s="901">
        <f t="shared" si="97"/>
        <v>0</v>
      </c>
      <c r="AX390" s="901">
        <f t="shared" si="98"/>
        <v>0</v>
      </c>
      <c r="AY390" s="901">
        <f ca="1"/>
        <v>0</v>
      </c>
      <c r="AZ390" s="901">
        <f ca="1"/>
        <v>0</v>
      </c>
      <c r="BA390" s="905">
        <f t="shared" si="87"/>
        <v>0</v>
      </c>
      <c r="BB390" s="905">
        <f t="shared" si="88"/>
        <v>0</v>
      </c>
      <c r="BC390" s="905">
        <f t="shared" si="89"/>
        <v>0</v>
      </c>
      <c r="BD390" s="905">
        <f t="shared" si="90"/>
        <v>0</v>
      </c>
      <c r="BE390" s="905">
        <f t="shared" si="91"/>
        <v>0</v>
      </c>
      <c r="BF390" s="905">
        <f t="shared" si="92"/>
        <v>0</v>
      </c>
      <c r="BG390" s="905">
        <f t="shared" si="93"/>
        <v>0</v>
      </c>
      <c r="BH390" s="905">
        <f t="shared" si="94"/>
        <v>0</v>
      </c>
      <c r="BI390" s="713">
        <v>0</v>
      </c>
      <c r="BJ390" s="695"/>
      <c r="BK390" s="752">
        <f>IF(X391=0,0,           IF(ISNUMBER(BJ390),BJ390,               IF(ISTEXT(BJ390),INDEX(BA390:BH390,MATCH(BJ390,$BA$12:$BH$12,0)),             IF(BI390="INT",_xll.qInterp(X391,AK390:AR390,BA390:BH390),            INDEX(BA390:BH390,MATCH(BI390,$BA$12:$BH$12,0))))))</f>
        <v>0</v>
      </c>
      <c r="BL390" s="389">
        <f t="shared" si="99"/>
        <v>0</v>
      </c>
      <c r="BM390" s="394">
        <f t="shared" si="100"/>
        <v>0</v>
      </c>
      <c r="BN390" s="389">
        <f t="shared" si="101"/>
        <v>0</v>
      </c>
    </row>
    <row r="391" spans="16:66">
      <c r="P391" s="716">
        <v>0</v>
      </c>
      <c r="Q391" s="715">
        <f t="shared" si="85"/>
        <v>0</v>
      </c>
      <c r="R391" s="712">
        <f>IF(P392,_xll.qDateYears(P391,P392,DCCfixed),0)</f>
        <v>0</v>
      </c>
      <c r="S391" s="519">
        <f ca="1"/>
        <v>0</v>
      </c>
      <c r="T391" s="720"/>
      <c r="U391" s="390">
        <f t="shared" si="95"/>
        <v>0</v>
      </c>
      <c r="X391" s="345">
        <v>0</v>
      </c>
      <c r="Y391" s="711">
        <f t="shared" si="86"/>
        <v>0</v>
      </c>
      <c r="Z391" s="712">
        <f>IF(X392,_xll.qDateYears(X391,X392,DCCfloat),0)</f>
        <v>0</v>
      </c>
      <c r="AA391" s="519">
        <f ca="1"/>
        <v>0</v>
      </c>
      <c r="AB391" s="890">
        <f>IF(X391=0,0,         IF(OR(CCY="AUD",CCY="NZD",CCY="GBP"),X391,   _xll.qDateNext(X391,"-2b",,,IF(CCY="EUR","TGT","LON"))))</f>
        <v>0</v>
      </c>
      <c r="AC391" s="879" t="str">
        <v/>
      </c>
      <c r="AD391" s="879" t="str">
        <v/>
      </c>
      <c r="AE391" s="879" t="str">
        <v/>
      </c>
      <c r="AF391" s="879" t="str">
        <v/>
      </c>
      <c r="AG391" s="879" t="str">
        <v/>
      </c>
      <c r="AH391" s="879" t="str">
        <v/>
      </c>
      <c r="AI391" s="879" t="str">
        <v/>
      </c>
      <c r="AJ391" s="879" t="str">
        <v/>
      </c>
      <c r="AK391" s="882">
        <f>IF($X391=0,0,      _xll.qDateNext($X391,AK$12,$AR$11,FRM&lt;&gt;"Calypso",CCY))</f>
        <v>0</v>
      </c>
      <c r="AL391" s="882">
        <f>IF($X391=0,0,      _xll.qDateNext($X391,AL$12,$AR$11,FRM&lt;&gt;"Calypso",CCY))</f>
        <v>0</v>
      </c>
      <c r="AM391" s="882">
        <f>IF($X391=0,0,      _xll.qDateNext($X391,AM$12,$AR$11,FRM&lt;&gt;"Calypso",CCY))</f>
        <v>0</v>
      </c>
      <c r="AN391" s="882">
        <f>IF($X391=0,0,      _xll.qDateNext($X391,AN$12,$AR$11,FRM&lt;&gt;"Calypso",CCY))</f>
        <v>0</v>
      </c>
      <c r="AO391" s="882">
        <f>IF($X391=0,0,      _xll.qDateNext($X391,AO$12,$AR$11,FRM&lt;&gt;"Calypso",CCY))</f>
        <v>0</v>
      </c>
      <c r="AP391" s="882">
        <f>IF($X391=0,0,      _xll.qDateNext($X391,AP$12,$AR$11,FRM&lt;&gt;"Calypso",CCY))</f>
        <v>0</v>
      </c>
      <c r="AQ391" s="882">
        <f>IF($X391=0,0,      _xll.qDateNext($X391,AQ$12,$AR$11,FRM&lt;&gt;"Calypso",CCY))</f>
        <v>0</v>
      </c>
      <c r="AR391" s="882">
        <f>IF($X391=0,0,      _xll.qDateNext($X391,AR$12,$AR$11,FRM&lt;&gt;"Calypso",CCY))</f>
        <v>0</v>
      </c>
      <c r="AS391" s="901">
        <f ca="1"/>
        <v>0</v>
      </c>
      <c r="AT391" s="901">
        <f ca="1"/>
        <v>0</v>
      </c>
      <c r="AU391" s="901">
        <f t="shared" si="96"/>
        <v>0</v>
      </c>
      <c r="AV391" s="901">
        <f ca="1"/>
        <v>0</v>
      </c>
      <c r="AW391" s="901">
        <f t="shared" si="97"/>
        <v>0</v>
      </c>
      <c r="AX391" s="901">
        <f t="shared" si="98"/>
        <v>0</v>
      </c>
      <c r="AY391" s="901">
        <f ca="1"/>
        <v>0</v>
      </c>
      <c r="AZ391" s="901">
        <f ca="1"/>
        <v>0</v>
      </c>
      <c r="BA391" s="905">
        <f t="shared" si="87"/>
        <v>0</v>
      </c>
      <c r="BB391" s="905">
        <f t="shared" si="88"/>
        <v>0</v>
      </c>
      <c r="BC391" s="905">
        <f t="shared" si="89"/>
        <v>0</v>
      </c>
      <c r="BD391" s="905">
        <f t="shared" si="90"/>
        <v>0</v>
      </c>
      <c r="BE391" s="905">
        <f t="shared" si="91"/>
        <v>0</v>
      </c>
      <c r="BF391" s="905">
        <f t="shared" si="92"/>
        <v>0</v>
      </c>
      <c r="BG391" s="905">
        <f t="shared" si="93"/>
        <v>0</v>
      </c>
      <c r="BH391" s="905">
        <f t="shared" si="94"/>
        <v>0</v>
      </c>
      <c r="BI391" s="713">
        <v>0</v>
      </c>
      <c r="BJ391" s="695"/>
      <c r="BK391" s="752">
        <f>IF(X392=0,0,           IF(ISNUMBER(BJ391),BJ391,               IF(ISTEXT(BJ391),INDEX(BA391:BH391,MATCH(BJ391,$BA$12:$BH$12,0)),             IF(BI391="INT",_xll.qInterp(X392,AK391:AR391,BA391:BH391),            INDEX(BA391:BH391,MATCH(BI391,$BA$12:$BH$12,0))))))</f>
        <v>0</v>
      </c>
      <c r="BL391" s="389">
        <f t="shared" si="99"/>
        <v>0</v>
      </c>
      <c r="BM391" s="394">
        <f t="shared" si="100"/>
        <v>0</v>
      </c>
      <c r="BN391" s="389">
        <f t="shared" si="101"/>
        <v>0</v>
      </c>
    </row>
    <row r="392" spans="16:66">
      <c r="P392" s="716">
        <v>0</v>
      </c>
      <c r="Q392" s="715">
        <f t="shared" si="85"/>
        <v>0</v>
      </c>
      <c r="R392" s="712">
        <f>IF(P393,_xll.qDateYears(P392,P393,DCCfixed),0)</f>
        <v>0</v>
      </c>
      <c r="S392" s="519">
        <f ca="1"/>
        <v>0</v>
      </c>
      <c r="T392" s="720"/>
      <c r="U392" s="390">
        <f t="shared" si="95"/>
        <v>0</v>
      </c>
      <c r="X392" s="345">
        <v>0</v>
      </c>
      <c r="Y392" s="711">
        <f t="shared" si="86"/>
        <v>0</v>
      </c>
      <c r="Z392" s="712">
        <f>IF(X393,_xll.qDateYears(X392,X393,DCCfloat),0)</f>
        <v>0</v>
      </c>
      <c r="AA392" s="519">
        <f ca="1"/>
        <v>0</v>
      </c>
      <c r="AB392" s="890">
        <f>IF(X392=0,0,         IF(OR(CCY="AUD",CCY="NZD",CCY="GBP"),X392,   _xll.qDateNext(X392,"-2b",,,IF(CCY="EUR","TGT","LON"))))</f>
        <v>0</v>
      </c>
      <c r="AC392" s="879" t="str">
        <v/>
      </c>
      <c r="AD392" s="879" t="str">
        <v/>
      </c>
      <c r="AE392" s="879" t="str">
        <v/>
      </c>
      <c r="AF392" s="879" t="str">
        <v/>
      </c>
      <c r="AG392" s="879" t="str">
        <v/>
      </c>
      <c r="AH392" s="879" t="str">
        <v/>
      </c>
      <c r="AI392" s="879" t="str">
        <v/>
      </c>
      <c r="AJ392" s="879" t="str">
        <v/>
      </c>
      <c r="AK392" s="882">
        <f>IF($X392=0,0,      _xll.qDateNext($X392,AK$12,$AR$11,FRM&lt;&gt;"Calypso",CCY))</f>
        <v>0</v>
      </c>
      <c r="AL392" s="882">
        <f>IF($X392=0,0,      _xll.qDateNext($X392,AL$12,$AR$11,FRM&lt;&gt;"Calypso",CCY))</f>
        <v>0</v>
      </c>
      <c r="AM392" s="882">
        <f>IF($X392=0,0,      _xll.qDateNext($X392,AM$12,$AR$11,FRM&lt;&gt;"Calypso",CCY))</f>
        <v>0</v>
      </c>
      <c r="AN392" s="882">
        <f>IF($X392=0,0,      _xll.qDateNext($X392,AN$12,$AR$11,FRM&lt;&gt;"Calypso",CCY))</f>
        <v>0</v>
      </c>
      <c r="AO392" s="882">
        <f>IF($X392=0,0,      _xll.qDateNext($X392,AO$12,$AR$11,FRM&lt;&gt;"Calypso",CCY))</f>
        <v>0</v>
      </c>
      <c r="AP392" s="882">
        <f>IF($X392=0,0,      _xll.qDateNext($X392,AP$12,$AR$11,FRM&lt;&gt;"Calypso",CCY))</f>
        <v>0</v>
      </c>
      <c r="AQ392" s="882">
        <f>IF($X392=0,0,      _xll.qDateNext($X392,AQ$12,$AR$11,FRM&lt;&gt;"Calypso",CCY))</f>
        <v>0</v>
      </c>
      <c r="AR392" s="882">
        <f>IF($X392=0,0,      _xll.qDateNext($X392,AR$12,$AR$11,FRM&lt;&gt;"Calypso",CCY))</f>
        <v>0</v>
      </c>
      <c r="AS392" s="901">
        <f ca="1"/>
        <v>0</v>
      </c>
      <c r="AT392" s="901">
        <f ca="1"/>
        <v>0</v>
      </c>
      <c r="AU392" s="901">
        <f t="shared" si="96"/>
        <v>0</v>
      </c>
      <c r="AV392" s="901">
        <f ca="1"/>
        <v>0</v>
      </c>
      <c r="AW392" s="901">
        <f t="shared" si="97"/>
        <v>0</v>
      </c>
      <c r="AX392" s="901">
        <f t="shared" si="98"/>
        <v>0</v>
      </c>
      <c r="AY392" s="901">
        <f ca="1"/>
        <v>0</v>
      </c>
      <c r="AZ392" s="901">
        <f ca="1"/>
        <v>0</v>
      </c>
      <c r="BA392" s="905">
        <f t="shared" si="87"/>
        <v>0</v>
      </c>
      <c r="BB392" s="905">
        <f t="shared" si="88"/>
        <v>0</v>
      </c>
      <c r="BC392" s="905">
        <f t="shared" si="89"/>
        <v>0</v>
      </c>
      <c r="BD392" s="905">
        <f t="shared" si="90"/>
        <v>0</v>
      </c>
      <c r="BE392" s="905">
        <f t="shared" si="91"/>
        <v>0</v>
      </c>
      <c r="BF392" s="905">
        <f t="shared" si="92"/>
        <v>0</v>
      </c>
      <c r="BG392" s="905">
        <f t="shared" si="93"/>
        <v>0</v>
      </c>
      <c r="BH392" s="905">
        <f t="shared" si="94"/>
        <v>0</v>
      </c>
      <c r="BI392" s="713">
        <v>0</v>
      </c>
      <c r="BJ392" s="695"/>
      <c r="BK392" s="752">
        <f>IF(X393=0,0,           IF(ISNUMBER(BJ392),BJ392,               IF(ISTEXT(BJ392),INDEX(BA392:BH392,MATCH(BJ392,$BA$12:$BH$12,0)),             IF(BI392="INT",_xll.qInterp(X393,AK392:AR392,BA392:BH392),            INDEX(BA392:BH392,MATCH(BI392,$BA$12:$BH$12,0))))))</f>
        <v>0</v>
      </c>
      <c r="BL392" s="389">
        <f t="shared" si="99"/>
        <v>0</v>
      </c>
      <c r="BM392" s="394">
        <f t="shared" si="100"/>
        <v>0</v>
      </c>
      <c r="BN392" s="389">
        <f t="shared" si="101"/>
        <v>0</v>
      </c>
    </row>
    <row r="393" spans="16:66">
      <c r="P393" s="716">
        <v>0</v>
      </c>
      <c r="Q393" s="715">
        <f t="shared" si="85"/>
        <v>0</v>
      </c>
      <c r="R393" s="712">
        <f>IF(P394,_xll.qDateYears(P393,P394,DCCfixed),0)</f>
        <v>0</v>
      </c>
      <c r="S393" s="519">
        <f ca="1"/>
        <v>0</v>
      </c>
      <c r="T393" s="720"/>
      <c r="U393" s="390">
        <f t="shared" si="95"/>
        <v>0</v>
      </c>
      <c r="X393" s="345">
        <v>0</v>
      </c>
      <c r="Y393" s="711">
        <f t="shared" si="86"/>
        <v>0</v>
      </c>
      <c r="Z393" s="712">
        <f>IF(X394,_xll.qDateYears(X393,X394,DCCfloat),0)</f>
        <v>0</v>
      </c>
      <c r="AA393" s="519">
        <f ca="1"/>
        <v>0</v>
      </c>
      <c r="AB393" s="890">
        <f>IF(X393=0,0,         IF(OR(CCY="AUD",CCY="NZD",CCY="GBP"),X393,   _xll.qDateNext(X393,"-2b",,,IF(CCY="EUR","TGT","LON"))))</f>
        <v>0</v>
      </c>
      <c r="AC393" s="879" t="str">
        <v/>
      </c>
      <c r="AD393" s="879" t="str">
        <v/>
      </c>
      <c r="AE393" s="879" t="str">
        <v/>
      </c>
      <c r="AF393" s="879" t="str">
        <v/>
      </c>
      <c r="AG393" s="879" t="str">
        <v/>
      </c>
      <c r="AH393" s="879" t="str">
        <v/>
      </c>
      <c r="AI393" s="879" t="str">
        <v/>
      </c>
      <c r="AJ393" s="879" t="str">
        <v/>
      </c>
      <c r="AK393" s="882">
        <f>IF($X393=0,0,      _xll.qDateNext($X393,AK$12,$AR$11,FRM&lt;&gt;"Calypso",CCY))</f>
        <v>0</v>
      </c>
      <c r="AL393" s="882">
        <f>IF($X393=0,0,      _xll.qDateNext($X393,AL$12,$AR$11,FRM&lt;&gt;"Calypso",CCY))</f>
        <v>0</v>
      </c>
      <c r="AM393" s="882">
        <f>IF($X393=0,0,      _xll.qDateNext($X393,AM$12,$AR$11,FRM&lt;&gt;"Calypso",CCY))</f>
        <v>0</v>
      </c>
      <c r="AN393" s="882">
        <f>IF($X393=0,0,      _xll.qDateNext($X393,AN$12,$AR$11,FRM&lt;&gt;"Calypso",CCY))</f>
        <v>0</v>
      </c>
      <c r="AO393" s="882">
        <f>IF($X393=0,0,      _xll.qDateNext($X393,AO$12,$AR$11,FRM&lt;&gt;"Calypso",CCY))</f>
        <v>0</v>
      </c>
      <c r="AP393" s="882">
        <f>IF($X393=0,0,      _xll.qDateNext($X393,AP$12,$AR$11,FRM&lt;&gt;"Calypso",CCY))</f>
        <v>0</v>
      </c>
      <c r="AQ393" s="882">
        <f>IF($X393=0,0,      _xll.qDateNext($X393,AQ$12,$AR$11,FRM&lt;&gt;"Calypso",CCY))</f>
        <v>0</v>
      </c>
      <c r="AR393" s="882">
        <f>IF($X393=0,0,      _xll.qDateNext($X393,AR$12,$AR$11,FRM&lt;&gt;"Calypso",CCY))</f>
        <v>0</v>
      </c>
      <c r="AS393" s="901">
        <f ca="1"/>
        <v>0</v>
      </c>
      <c r="AT393" s="901">
        <f ca="1"/>
        <v>0</v>
      </c>
      <c r="AU393" s="901">
        <f t="shared" si="96"/>
        <v>0</v>
      </c>
      <c r="AV393" s="901">
        <f ca="1"/>
        <v>0</v>
      </c>
      <c r="AW393" s="901">
        <f t="shared" si="97"/>
        <v>0</v>
      </c>
      <c r="AX393" s="901">
        <f t="shared" si="98"/>
        <v>0</v>
      </c>
      <c r="AY393" s="901">
        <f ca="1"/>
        <v>0</v>
      </c>
      <c r="AZ393" s="901">
        <f ca="1"/>
        <v>0</v>
      </c>
      <c r="BA393" s="905">
        <f t="shared" si="87"/>
        <v>0</v>
      </c>
      <c r="BB393" s="905">
        <f t="shared" si="88"/>
        <v>0</v>
      </c>
      <c r="BC393" s="905">
        <f t="shared" si="89"/>
        <v>0</v>
      </c>
      <c r="BD393" s="905">
        <f t="shared" si="90"/>
        <v>0</v>
      </c>
      <c r="BE393" s="905">
        <f t="shared" si="91"/>
        <v>0</v>
      </c>
      <c r="BF393" s="905">
        <f t="shared" si="92"/>
        <v>0</v>
      </c>
      <c r="BG393" s="905">
        <f t="shared" si="93"/>
        <v>0</v>
      </c>
      <c r="BH393" s="905">
        <f t="shared" si="94"/>
        <v>0</v>
      </c>
      <c r="BI393" s="713">
        <v>0</v>
      </c>
      <c r="BJ393" s="695"/>
      <c r="BK393" s="752">
        <f>IF(X394=0,0,           IF(ISNUMBER(BJ393),BJ393,               IF(ISTEXT(BJ393),INDEX(BA393:BH393,MATCH(BJ393,$BA$12:$BH$12,0)),             IF(BI393="INT",_xll.qInterp(X394,AK393:AR393,BA393:BH393),            INDEX(BA393:BH393,MATCH(BI393,$BA$12:$BH$12,0))))))</f>
        <v>0</v>
      </c>
      <c r="BL393" s="389">
        <f t="shared" si="99"/>
        <v>0</v>
      </c>
      <c r="BM393" s="394">
        <f t="shared" si="100"/>
        <v>0</v>
      </c>
      <c r="BN393" s="389">
        <f t="shared" si="101"/>
        <v>0</v>
      </c>
    </row>
    <row r="394" spans="16:66">
      <c r="P394" s="716">
        <v>0</v>
      </c>
      <c r="Q394" s="715">
        <f t="shared" si="85"/>
        <v>0</v>
      </c>
      <c r="R394" s="712">
        <f>IF(P395,_xll.qDateYears(P394,P395,DCCfixed),0)</f>
        <v>0</v>
      </c>
      <c r="S394" s="519">
        <f ca="1"/>
        <v>0</v>
      </c>
      <c r="T394" s="720"/>
      <c r="U394" s="390">
        <f t="shared" si="95"/>
        <v>0</v>
      </c>
      <c r="X394" s="345">
        <v>0</v>
      </c>
      <c r="Y394" s="711">
        <f t="shared" si="86"/>
        <v>0</v>
      </c>
      <c r="Z394" s="712">
        <f>IF(X395,_xll.qDateYears(X394,X395,DCCfloat),0)</f>
        <v>0</v>
      </c>
      <c r="AA394" s="519">
        <f ca="1"/>
        <v>0</v>
      </c>
      <c r="AB394" s="890">
        <f>IF(X394=0,0,         IF(OR(CCY="AUD",CCY="NZD",CCY="GBP"),X394,   _xll.qDateNext(X394,"-2b",,,IF(CCY="EUR","TGT","LON"))))</f>
        <v>0</v>
      </c>
      <c r="AC394" s="879" t="str">
        <v/>
      </c>
      <c r="AD394" s="879" t="str">
        <v/>
      </c>
      <c r="AE394" s="879" t="str">
        <v/>
      </c>
      <c r="AF394" s="879" t="str">
        <v/>
      </c>
      <c r="AG394" s="879" t="str">
        <v/>
      </c>
      <c r="AH394" s="879" t="str">
        <v/>
      </c>
      <c r="AI394" s="879" t="str">
        <v/>
      </c>
      <c r="AJ394" s="879" t="str">
        <v/>
      </c>
      <c r="AK394" s="882">
        <f>IF($X394=0,0,      _xll.qDateNext($X394,AK$12,$AR$11,FRM&lt;&gt;"Calypso",CCY))</f>
        <v>0</v>
      </c>
      <c r="AL394" s="882">
        <f>IF($X394=0,0,      _xll.qDateNext($X394,AL$12,$AR$11,FRM&lt;&gt;"Calypso",CCY))</f>
        <v>0</v>
      </c>
      <c r="AM394" s="882">
        <f>IF($X394=0,0,      _xll.qDateNext($X394,AM$12,$AR$11,FRM&lt;&gt;"Calypso",CCY))</f>
        <v>0</v>
      </c>
      <c r="AN394" s="882">
        <f>IF($X394=0,0,      _xll.qDateNext($X394,AN$12,$AR$11,FRM&lt;&gt;"Calypso",CCY))</f>
        <v>0</v>
      </c>
      <c r="AO394" s="882">
        <f>IF($X394=0,0,      _xll.qDateNext($X394,AO$12,$AR$11,FRM&lt;&gt;"Calypso",CCY))</f>
        <v>0</v>
      </c>
      <c r="AP394" s="882">
        <f>IF($X394=0,0,      _xll.qDateNext($X394,AP$12,$AR$11,FRM&lt;&gt;"Calypso",CCY))</f>
        <v>0</v>
      </c>
      <c r="AQ394" s="882">
        <f>IF($X394=0,0,      _xll.qDateNext($X394,AQ$12,$AR$11,FRM&lt;&gt;"Calypso",CCY))</f>
        <v>0</v>
      </c>
      <c r="AR394" s="882">
        <f>IF($X394=0,0,      _xll.qDateNext($X394,AR$12,$AR$11,FRM&lt;&gt;"Calypso",CCY))</f>
        <v>0</v>
      </c>
      <c r="AS394" s="901">
        <f ca="1"/>
        <v>0</v>
      </c>
      <c r="AT394" s="901">
        <f ca="1"/>
        <v>0</v>
      </c>
      <c r="AU394" s="901">
        <f t="shared" si="96"/>
        <v>0</v>
      </c>
      <c r="AV394" s="901">
        <f ca="1"/>
        <v>0</v>
      </c>
      <c r="AW394" s="901">
        <f t="shared" si="97"/>
        <v>0</v>
      </c>
      <c r="AX394" s="901">
        <f t="shared" si="98"/>
        <v>0</v>
      </c>
      <c r="AY394" s="901">
        <f ca="1"/>
        <v>0</v>
      </c>
      <c r="AZ394" s="901">
        <f ca="1"/>
        <v>0</v>
      </c>
      <c r="BA394" s="905">
        <f t="shared" si="87"/>
        <v>0</v>
      </c>
      <c r="BB394" s="905">
        <f t="shared" si="88"/>
        <v>0</v>
      </c>
      <c r="BC394" s="905">
        <f t="shared" si="89"/>
        <v>0</v>
      </c>
      <c r="BD394" s="905">
        <f t="shared" si="90"/>
        <v>0</v>
      </c>
      <c r="BE394" s="905">
        <f t="shared" si="91"/>
        <v>0</v>
      </c>
      <c r="BF394" s="905">
        <f t="shared" si="92"/>
        <v>0</v>
      </c>
      <c r="BG394" s="905">
        <f t="shared" si="93"/>
        <v>0</v>
      </c>
      <c r="BH394" s="905">
        <f t="shared" si="94"/>
        <v>0</v>
      </c>
      <c r="BI394" s="713">
        <v>0</v>
      </c>
      <c r="BJ394" s="695"/>
      <c r="BK394" s="752">
        <f>IF(X395=0,0,           IF(ISNUMBER(BJ394),BJ394,               IF(ISTEXT(BJ394),INDEX(BA394:BH394,MATCH(BJ394,$BA$12:$BH$12,0)),             IF(BI394="INT",_xll.qInterp(X395,AK394:AR394,BA394:BH394),            INDEX(BA394:BH394,MATCH(BI394,$BA$12:$BH$12,0))))))</f>
        <v>0</v>
      </c>
      <c r="BL394" s="389">
        <f t="shared" si="99"/>
        <v>0</v>
      </c>
      <c r="BM394" s="394">
        <f t="shared" si="100"/>
        <v>0</v>
      </c>
      <c r="BN394" s="389">
        <f t="shared" si="101"/>
        <v>0</v>
      </c>
    </row>
    <row r="395" spans="16:66">
      <c r="P395" s="716">
        <v>0</v>
      </c>
      <c r="Q395" s="715">
        <f t="shared" si="85"/>
        <v>0</v>
      </c>
      <c r="R395" s="712">
        <f>IF(P396,_xll.qDateYears(P395,P396,DCCfixed),0)</f>
        <v>0</v>
      </c>
      <c r="S395" s="519">
        <f ca="1"/>
        <v>0</v>
      </c>
      <c r="T395" s="720"/>
      <c r="U395" s="390">
        <f t="shared" si="95"/>
        <v>0</v>
      </c>
      <c r="X395" s="345">
        <v>0</v>
      </c>
      <c r="Y395" s="711">
        <f t="shared" si="86"/>
        <v>0</v>
      </c>
      <c r="Z395" s="712">
        <f>IF(X396,_xll.qDateYears(X395,X396,DCCfloat),0)</f>
        <v>0</v>
      </c>
      <c r="AA395" s="519">
        <f ca="1"/>
        <v>0</v>
      </c>
      <c r="AB395" s="890">
        <f>IF(X395=0,0,         IF(OR(CCY="AUD",CCY="NZD",CCY="GBP"),X395,   _xll.qDateNext(X395,"-2b",,,IF(CCY="EUR","TGT","LON"))))</f>
        <v>0</v>
      </c>
      <c r="AC395" s="879" t="str">
        <v/>
      </c>
      <c r="AD395" s="879" t="str">
        <v/>
      </c>
      <c r="AE395" s="879" t="str">
        <v/>
      </c>
      <c r="AF395" s="879" t="str">
        <v/>
      </c>
      <c r="AG395" s="879" t="str">
        <v/>
      </c>
      <c r="AH395" s="879" t="str">
        <v/>
      </c>
      <c r="AI395" s="879" t="str">
        <v/>
      </c>
      <c r="AJ395" s="879" t="str">
        <v/>
      </c>
      <c r="AK395" s="882">
        <f>IF($X395=0,0,      _xll.qDateNext($X395,AK$12,$AR$11,FRM&lt;&gt;"Calypso",CCY))</f>
        <v>0</v>
      </c>
      <c r="AL395" s="882">
        <f>IF($X395=0,0,      _xll.qDateNext($X395,AL$12,$AR$11,FRM&lt;&gt;"Calypso",CCY))</f>
        <v>0</v>
      </c>
      <c r="AM395" s="882">
        <f>IF($X395=0,0,      _xll.qDateNext($X395,AM$12,$AR$11,FRM&lt;&gt;"Calypso",CCY))</f>
        <v>0</v>
      </c>
      <c r="AN395" s="882">
        <f>IF($X395=0,0,      _xll.qDateNext($X395,AN$12,$AR$11,FRM&lt;&gt;"Calypso",CCY))</f>
        <v>0</v>
      </c>
      <c r="AO395" s="882">
        <f>IF($X395=0,0,      _xll.qDateNext($X395,AO$12,$AR$11,FRM&lt;&gt;"Calypso",CCY))</f>
        <v>0</v>
      </c>
      <c r="AP395" s="882">
        <f>IF($X395=0,0,      _xll.qDateNext($X395,AP$12,$AR$11,FRM&lt;&gt;"Calypso",CCY))</f>
        <v>0</v>
      </c>
      <c r="AQ395" s="882">
        <f>IF($X395=0,0,      _xll.qDateNext($X395,AQ$12,$AR$11,FRM&lt;&gt;"Calypso",CCY))</f>
        <v>0</v>
      </c>
      <c r="AR395" s="882">
        <f>IF($X395=0,0,      _xll.qDateNext($X395,AR$12,$AR$11,FRM&lt;&gt;"Calypso",CCY))</f>
        <v>0</v>
      </c>
      <c r="AS395" s="901">
        <f ca="1"/>
        <v>0</v>
      </c>
      <c r="AT395" s="901">
        <f ca="1"/>
        <v>0</v>
      </c>
      <c r="AU395" s="901">
        <f t="shared" si="96"/>
        <v>0</v>
      </c>
      <c r="AV395" s="901">
        <f ca="1"/>
        <v>0</v>
      </c>
      <c r="AW395" s="901">
        <f t="shared" si="97"/>
        <v>0</v>
      </c>
      <c r="AX395" s="901">
        <f t="shared" si="98"/>
        <v>0</v>
      </c>
      <c r="AY395" s="901">
        <f ca="1"/>
        <v>0</v>
      </c>
      <c r="AZ395" s="901">
        <f ca="1"/>
        <v>0</v>
      </c>
      <c r="BA395" s="905">
        <f t="shared" si="87"/>
        <v>0</v>
      </c>
      <c r="BB395" s="905">
        <f t="shared" si="88"/>
        <v>0</v>
      </c>
      <c r="BC395" s="905">
        <f t="shared" si="89"/>
        <v>0</v>
      </c>
      <c r="BD395" s="905">
        <f t="shared" si="90"/>
        <v>0</v>
      </c>
      <c r="BE395" s="905">
        <f t="shared" si="91"/>
        <v>0</v>
      </c>
      <c r="BF395" s="905">
        <f t="shared" si="92"/>
        <v>0</v>
      </c>
      <c r="BG395" s="905">
        <f t="shared" si="93"/>
        <v>0</v>
      </c>
      <c r="BH395" s="905">
        <f t="shared" si="94"/>
        <v>0</v>
      </c>
      <c r="BI395" s="713">
        <v>0</v>
      </c>
      <c r="BJ395" s="695"/>
      <c r="BK395" s="752">
        <f>IF(X396=0,0,           IF(ISNUMBER(BJ395),BJ395,               IF(ISTEXT(BJ395),INDEX(BA395:BH395,MATCH(BJ395,$BA$12:$BH$12,0)),             IF(BI395="INT",_xll.qInterp(X396,AK395:AR395,BA395:BH395),            INDEX(BA395:BH395,MATCH(BI395,$BA$12:$BH$12,0))))))</f>
        <v>0</v>
      </c>
      <c r="BL395" s="389">
        <f t="shared" si="99"/>
        <v>0</v>
      </c>
      <c r="BM395" s="394">
        <f t="shared" si="100"/>
        <v>0</v>
      </c>
      <c r="BN395" s="389">
        <f t="shared" si="101"/>
        <v>0</v>
      </c>
    </row>
    <row r="396" spans="16:66">
      <c r="P396" s="716">
        <v>0</v>
      </c>
      <c r="Q396" s="715">
        <f t="shared" si="85"/>
        <v>0</v>
      </c>
      <c r="R396" s="712">
        <f>IF(P397,_xll.qDateYears(P396,P397,DCCfixed),0)</f>
        <v>0</v>
      </c>
      <c r="S396" s="519">
        <f ca="1"/>
        <v>0</v>
      </c>
      <c r="T396" s="720"/>
      <c r="U396" s="390">
        <f t="shared" si="95"/>
        <v>0</v>
      </c>
      <c r="X396" s="345">
        <v>0</v>
      </c>
      <c r="Y396" s="711">
        <f t="shared" si="86"/>
        <v>0</v>
      </c>
      <c r="Z396" s="712">
        <f>IF(X397,_xll.qDateYears(X396,X397,DCCfloat),0)</f>
        <v>0</v>
      </c>
      <c r="AA396" s="519">
        <f ca="1"/>
        <v>0</v>
      </c>
      <c r="AB396" s="890">
        <f>IF(X396=0,0,         IF(OR(CCY="AUD",CCY="NZD",CCY="GBP"),X396,   _xll.qDateNext(X396,"-2b",,,IF(CCY="EUR","TGT","LON"))))</f>
        <v>0</v>
      </c>
      <c r="AC396" s="879" t="str">
        <v/>
      </c>
      <c r="AD396" s="879" t="str">
        <v/>
      </c>
      <c r="AE396" s="879" t="str">
        <v/>
      </c>
      <c r="AF396" s="879" t="str">
        <v/>
      </c>
      <c r="AG396" s="879" t="str">
        <v/>
      </c>
      <c r="AH396" s="879" t="str">
        <v/>
      </c>
      <c r="AI396" s="879" t="str">
        <v/>
      </c>
      <c r="AJ396" s="879" t="str">
        <v/>
      </c>
      <c r="AK396" s="882">
        <f>IF($X396=0,0,      _xll.qDateNext($X396,AK$12,$AR$11,FRM&lt;&gt;"Calypso",CCY))</f>
        <v>0</v>
      </c>
      <c r="AL396" s="882">
        <f>IF($X396=0,0,      _xll.qDateNext($X396,AL$12,$AR$11,FRM&lt;&gt;"Calypso",CCY))</f>
        <v>0</v>
      </c>
      <c r="AM396" s="882">
        <f>IF($X396=0,0,      _xll.qDateNext($X396,AM$12,$AR$11,FRM&lt;&gt;"Calypso",CCY))</f>
        <v>0</v>
      </c>
      <c r="AN396" s="882">
        <f>IF($X396=0,0,      _xll.qDateNext($X396,AN$12,$AR$11,FRM&lt;&gt;"Calypso",CCY))</f>
        <v>0</v>
      </c>
      <c r="AO396" s="882">
        <f>IF($X396=0,0,      _xll.qDateNext($X396,AO$12,$AR$11,FRM&lt;&gt;"Calypso",CCY))</f>
        <v>0</v>
      </c>
      <c r="AP396" s="882">
        <f>IF($X396=0,0,      _xll.qDateNext($X396,AP$12,$AR$11,FRM&lt;&gt;"Calypso",CCY))</f>
        <v>0</v>
      </c>
      <c r="AQ396" s="882">
        <f>IF($X396=0,0,      _xll.qDateNext($X396,AQ$12,$AR$11,FRM&lt;&gt;"Calypso",CCY))</f>
        <v>0</v>
      </c>
      <c r="AR396" s="882">
        <f>IF($X396=0,0,      _xll.qDateNext($X396,AR$12,$AR$11,FRM&lt;&gt;"Calypso",CCY))</f>
        <v>0</v>
      </c>
      <c r="AS396" s="901">
        <f ca="1"/>
        <v>0</v>
      </c>
      <c r="AT396" s="901">
        <f ca="1"/>
        <v>0</v>
      </c>
      <c r="AU396" s="901">
        <f t="shared" si="96"/>
        <v>0</v>
      </c>
      <c r="AV396" s="901">
        <f ca="1"/>
        <v>0</v>
      </c>
      <c r="AW396" s="901">
        <f t="shared" si="97"/>
        <v>0</v>
      </c>
      <c r="AX396" s="901">
        <f t="shared" si="98"/>
        <v>0</v>
      </c>
      <c r="AY396" s="901">
        <f ca="1"/>
        <v>0</v>
      </c>
      <c r="AZ396" s="901">
        <f ca="1"/>
        <v>0</v>
      </c>
      <c r="BA396" s="905">
        <f t="shared" si="87"/>
        <v>0</v>
      </c>
      <c r="BB396" s="905">
        <f t="shared" si="88"/>
        <v>0</v>
      </c>
      <c r="BC396" s="905">
        <f t="shared" si="89"/>
        <v>0</v>
      </c>
      <c r="BD396" s="905">
        <f t="shared" si="90"/>
        <v>0</v>
      </c>
      <c r="BE396" s="905">
        <f t="shared" si="91"/>
        <v>0</v>
      </c>
      <c r="BF396" s="905">
        <f t="shared" si="92"/>
        <v>0</v>
      </c>
      <c r="BG396" s="905">
        <f t="shared" si="93"/>
        <v>0</v>
      </c>
      <c r="BH396" s="905">
        <f t="shared" si="94"/>
        <v>0</v>
      </c>
      <c r="BI396" s="713">
        <v>0</v>
      </c>
      <c r="BJ396" s="695"/>
      <c r="BK396" s="752">
        <f>IF(X397=0,0,           IF(ISNUMBER(BJ396),BJ396,               IF(ISTEXT(BJ396),INDEX(BA396:BH396,MATCH(BJ396,$BA$12:$BH$12,0)),             IF(BI396="INT",_xll.qInterp(X397,AK396:AR396,BA396:BH396),            INDEX(BA396:BH396,MATCH(BI396,$BA$12:$BH$12,0))))))</f>
        <v>0</v>
      </c>
      <c r="BL396" s="389">
        <f t="shared" si="99"/>
        <v>0</v>
      </c>
      <c r="BM396" s="394">
        <f t="shared" si="100"/>
        <v>0</v>
      </c>
      <c r="BN396" s="389">
        <f t="shared" si="101"/>
        <v>0</v>
      </c>
    </row>
    <row r="397" spans="16:66">
      <c r="P397" s="716">
        <v>0</v>
      </c>
      <c r="Q397" s="715">
        <f t="shared" ref="Q397:Q460" si="102">IF(P398,IF(LEFT(DCCfixed,3)="Act",P398-P397,DAYS360(P397,P398)),0)</f>
        <v>0</v>
      </c>
      <c r="R397" s="712">
        <f>IF(P398,_xll.qDateYears(P397,P398,DCCfixed),0)</f>
        <v>0</v>
      </c>
      <c r="S397" s="519">
        <f ca="1"/>
        <v>0</v>
      </c>
      <c r="T397" s="720"/>
      <c r="U397" s="390">
        <f t="shared" si="95"/>
        <v>0</v>
      </c>
      <c r="X397" s="345">
        <v>0</v>
      </c>
      <c r="Y397" s="711">
        <f t="shared" ref="Y397:Y460" si="103">IF(X398,IF(LEFT(DCCfloat,3)="Act",X398-X397,DAYS360(X397,X398)),0)</f>
        <v>0</v>
      </c>
      <c r="Z397" s="712">
        <f>IF(X398,_xll.qDateYears(X397,X398,DCCfloat),0)</f>
        <v>0</v>
      </c>
      <c r="AA397" s="519">
        <f ca="1"/>
        <v>0</v>
      </c>
      <c r="AB397" s="890">
        <f>IF(X397=0,0,         IF(OR(CCY="AUD",CCY="NZD",CCY="GBP"),X397,   _xll.qDateNext(X397,"-2b",,,IF(CCY="EUR","TGT","LON"))))</f>
        <v>0</v>
      </c>
      <c r="AC397" s="879" t="str">
        <v/>
      </c>
      <c r="AD397" s="879" t="str">
        <v/>
      </c>
      <c r="AE397" s="879" t="str">
        <v/>
      </c>
      <c r="AF397" s="879" t="str">
        <v/>
      </c>
      <c r="AG397" s="879" t="str">
        <v/>
      </c>
      <c r="AH397" s="879" t="str">
        <v/>
      </c>
      <c r="AI397" s="879" t="str">
        <v/>
      </c>
      <c r="AJ397" s="879" t="str">
        <v/>
      </c>
      <c r="AK397" s="882">
        <f>IF($X397=0,0,      _xll.qDateNext($X397,AK$12,$AR$11,FRM&lt;&gt;"Calypso",CCY))</f>
        <v>0</v>
      </c>
      <c r="AL397" s="882">
        <f>IF($X397=0,0,      _xll.qDateNext($X397,AL$12,$AR$11,FRM&lt;&gt;"Calypso",CCY))</f>
        <v>0</v>
      </c>
      <c r="AM397" s="882">
        <f>IF($X397=0,0,      _xll.qDateNext($X397,AM$12,$AR$11,FRM&lt;&gt;"Calypso",CCY))</f>
        <v>0</v>
      </c>
      <c r="AN397" s="882">
        <f>IF($X397=0,0,      _xll.qDateNext($X397,AN$12,$AR$11,FRM&lt;&gt;"Calypso",CCY))</f>
        <v>0</v>
      </c>
      <c r="AO397" s="882">
        <f>IF($X397=0,0,      _xll.qDateNext($X397,AO$12,$AR$11,FRM&lt;&gt;"Calypso",CCY))</f>
        <v>0</v>
      </c>
      <c r="AP397" s="882">
        <f>IF($X397=0,0,      _xll.qDateNext($X397,AP$12,$AR$11,FRM&lt;&gt;"Calypso",CCY))</f>
        <v>0</v>
      </c>
      <c r="AQ397" s="882">
        <f>IF($X397=0,0,      _xll.qDateNext($X397,AQ$12,$AR$11,FRM&lt;&gt;"Calypso",CCY))</f>
        <v>0</v>
      </c>
      <c r="AR397" s="882">
        <f>IF($X397=0,0,      _xll.qDateNext($X397,AR$12,$AR$11,FRM&lt;&gt;"Calypso",CCY))</f>
        <v>0</v>
      </c>
      <c r="AS397" s="901">
        <f ca="1"/>
        <v>0</v>
      </c>
      <c r="AT397" s="901">
        <f ca="1"/>
        <v>0</v>
      </c>
      <c r="AU397" s="901">
        <f t="shared" si="96"/>
        <v>0</v>
      </c>
      <c r="AV397" s="901">
        <f ca="1"/>
        <v>0</v>
      </c>
      <c r="AW397" s="901">
        <f t="shared" si="97"/>
        <v>0</v>
      </c>
      <c r="AX397" s="901">
        <f t="shared" si="98"/>
        <v>0</v>
      </c>
      <c r="AY397" s="901">
        <f ca="1"/>
        <v>0</v>
      </c>
      <c r="AZ397" s="901">
        <f ca="1"/>
        <v>0</v>
      </c>
      <c r="BA397" s="905">
        <f t="shared" ref="BA397:BA460" si="104">IF($X397=0,0,   IF(ISNUMBER(AC397),AC397,AS397))</f>
        <v>0</v>
      </c>
      <c r="BB397" s="905">
        <f t="shared" ref="BB397:BB460" si="105">IF($X397=0,0,   IF(ISNUMBER(AD397),AD397,AT397))</f>
        <v>0</v>
      </c>
      <c r="BC397" s="905">
        <f t="shared" ref="BC397:BC460" si="106">IF($X397=0,0,   IF(ISNUMBER(AE397),AE397,AU397))</f>
        <v>0</v>
      </c>
      <c r="BD397" s="905">
        <f t="shared" ref="BD397:BD460" si="107">IF($X397=0,0,   IF(ISNUMBER(AF397),AF397,AV397))</f>
        <v>0</v>
      </c>
      <c r="BE397" s="905">
        <f t="shared" ref="BE397:BE460" si="108">IF($X397=0,0,   IF(ISNUMBER(AG397),AG397,AW397))</f>
        <v>0</v>
      </c>
      <c r="BF397" s="905">
        <f t="shared" ref="BF397:BF460" si="109">IF($X397=0,0,   IF(ISNUMBER(AH397),AH397,AX397))</f>
        <v>0</v>
      </c>
      <c r="BG397" s="905">
        <f t="shared" ref="BG397:BG460" si="110">IF($X397=0,0,   IF(ISNUMBER(AI397),AI397,AY397))</f>
        <v>0</v>
      </c>
      <c r="BH397" s="905">
        <f t="shared" ref="BH397:BH460" si="111">IF($X397=0,0,   IF(ISNUMBER(AJ397),AJ397,AZ397))</f>
        <v>0</v>
      </c>
      <c r="BI397" s="713">
        <v>0</v>
      </c>
      <c r="BJ397" s="695"/>
      <c r="BK397" s="752">
        <f>IF(X398=0,0,           IF(ISNUMBER(BJ397),BJ397,               IF(ISTEXT(BJ397),INDEX(BA397:BH397,MATCH(BJ397,$BA$12:$BH$12,0)),             IF(BI397="INT",_xll.qInterp(X398,AK397:AR397,BA397:BH397),            INDEX(BA397:BH397,MATCH(BI397,$BA$12:$BH$12,0))))))</f>
        <v>0</v>
      </c>
      <c r="BL397" s="389">
        <f t="shared" si="99"/>
        <v>0</v>
      </c>
      <c r="BM397" s="394">
        <f t="shared" si="100"/>
        <v>0</v>
      </c>
      <c r="BN397" s="389">
        <f t="shared" si="101"/>
        <v>0</v>
      </c>
    </row>
    <row r="398" spans="16:66">
      <c r="P398" s="716">
        <v>0</v>
      </c>
      <c r="Q398" s="715">
        <f t="shared" si="102"/>
        <v>0</v>
      </c>
      <c r="R398" s="712">
        <f>IF(P399,_xll.qDateYears(P398,P399,DCCfixed),0)</f>
        <v>0</v>
      </c>
      <c r="S398" s="519">
        <f ca="1"/>
        <v>0</v>
      </c>
      <c r="T398" s="720"/>
      <c r="U398" s="390">
        <f t="shared" ref="U398:U461" si="112">IF(P398,$U$5%*R397*Face,0) + IF(AND(IncludePrincipals,P398&gt;0,P399=0),Face,0) + IF(P398,T398,0)</f>
        <v>0</v>
      </c>
      <c r="X398" s="345">
        <v>0</v>
      </c>
      <c r="Y398" s="711">
        <f t="shared" si="103"/>
        <v>0</v>
      </c>
      <c r="Z398" s="712">
        <f>IF(X399,_xll.qDateYears(X398,X399,DCCfloat),0)</f>
        <v>0</v>
      </c>
      <c r="AA398" s="519">
        <f ca="1"/>
        <v>0</v>
      </c>
      <c r="AB398" s="890">
        <f>IF(X398=0,0,         IF(OR(CCY="AUD",CCY="NZD",CCY="GBP"),X398,   _xll.qDateNext(X398,"-2b",,,IF(CCY="EUR","TGT","LON"))))</f>
        <v>0</v>
      </c>
      <c r="AC398" s="879" t="str">
        <v/>
      </c>
      <c r="AD398" s="879" t="str">
        <v/>
      </c>
      <c r="AE398" s="879" t="str">
        <v/>
      </c>
      <c r="AF398" s="879" t="str">
        <v/>
      </c>
      <c r="AG398" s="879" t="str">
        <v/>
      </c>
      <c r="AH398" s="879" t="str">
        <v/>
      </c>
      <c r="AI398" s="879" t="str">
        <v/>
      </c>
      <c r="AJ398" s="879" t="str">
        <v/>
      </c>
      <c r="AK398" s="882">
        <f>IF($X398=0,0,      _xll.qDateNext($X398,AK$12,$AR$11,FRM&lt;&gt;"Calypso",CCY))</f>
        <v>0</v>
      </c>
      <c r="AL398" s="882">
        <f>IF($X398=0,0,      _xll.qDateNext($X398,AL$12,$AR$11,FRM&lt;&gt;"Calypso",CCY))</f>
        <v>0</v>
      </c>
      <c r="AM398" s="882">
        <f>IF($X398=0,0,      _xll.qDateNext($X398,AM$12,$AR$11,FRM&lt;&gt;"Calypso",CCY))</f>
        <v>0</v>
      </c>
      <c r="AN398" s="882">
        <f>IF($X398=0,0,      _xll.qDateNext($X398,AN$12,$AR$11,FRM&lt;&gt;"Calypso",CCY))</f>
        <v>0</v>
      </c>
      <c r="AO398" s="882">
        <f>IF($X398=0,0,      _xll.qDateNext($X398,AO$12,$AR$11,FRM&lt;&gt;"Calypso",CCY))</f>
        <v>0</v>
      </c>
      <c r="AP398" s="882">
        <f>IF($X398=0,0,      _xll.qDateNext($X398,AP$12,$AR$11,FRM&lt;&gt;"Calypso",CCY))</f>
        <v>0</v>
      </c>
      <c r="AQ398" s="882">
        <f>IF($X398=0,0,      _xll.qDateNext($X398,AQ$12,$AR$11,FRM&lt;&gt;"Calypso",CCY))</f>
        <v>0</v>
      </c>
      <c r="AR398" s="882">
        <f>IF($X398=0,0,      _xll.qDateNext($X398,AR$12,$AR$11,FRM&lt;&gt;"Calypso",CCY))</f>
        <v>0</v>
      </c>
      <c r="AS398" s="901">
        <f ca="1"/>
        <v>0</v>
      </c>
      <c r="AT398" s="901">
        <f ca="1"/>
        <v>0</v>
      </c>
      <c r="AU398" s="901">
        <f t="shared" ref="AU398:AU461" si="113">IF($X398,AVERAGE(AT398,AV398),0)</f>
        <v>0</v>
      </c>
      <c r="AV398" s="901">
        <f ca="1"/>
        <v>0</v>
      </c>
      <c r="AW398" s="901">
        <f t="shared" ref="AW398:AW461" si="114">IF($X398,AV398+(AY398-AV398)/3,0)</f>
        <v>0</v>
      </c>
      <c r="AX398" s="901">
        <f t="shared" ref="AX398:AX461" si="115">IF($X398,AVERAGE(AW398,AY398),0)</f>
        <v>0</v>
      </c>
      <c r="AY398" s="901">
        <f ca="1"/>
        <v>0</v>
      </c>
      <c r="AZ398" s="901">
        <f ca="1"/>
        <v>0</v>
      </c>
      <c r="BA398" s="905">
        <f t="shared" si="104"/>
        <v>0</v>
      </c>
      <c r="BB398" s="905">
        <f t="shared" si="105"/>
        <v>0</v>
      </c>
      <c r="BC398" s="905">
        <f t="shared" si="106"/>
        <v>0</v>
      </c>
      <c r="BD398" s="905">
        <f t="shared" si="107"/>
        <v>0</v>
      </c>
      <c r="BE398" s="905">
        <f t="shared" si="108"/>
        <v>0</v>
      </c>
      <c r="BF398" s="905">
        <f t="shared" si="109"/>
        <v>0</v>
      </c>
      <c r="BG398" s="905">
        <f t="shared" si="110"/>
        <v>0</v>
      </c>
      <c r="BH398" s="905">
        <f t="shared" si="111"/>
        <v>0</v>
      </c>
      <c r="BI398" s="713">
        <v>0</v>
      </c>
      <c r="BJ398" s="695"/>
      <c r="BK398" s="752">
        <f>IF(X399=0,0,           IF(ISNUMBER(BJ398),BJ398,               IF(ISTEXT(BJ398),INDEX(BA398:BH398,MATCH(BJ398,$BA$12:$BH$12,0)),             IF(BI398="INT",_xll.qInterp(X399,AK398:AR398,BA398:BH398),            INDEX(BA398:BH398,MATCH(BI398,$BA$12:$BH$12,0))))))</f>
        <v>0</v>
      </c>
      <c r="BL398" s="389">
        <f t="shared" ref="BL398:BL461" si="116">IF(X398,-BK397%*Face*Z397,0)</f>
        <v>0</v>
      </c>
      <c r="BM398" s="394">
        <f t="shared" ref="BM398:BM461" si="117">IF(X398,-Margin%%*Z397*Face,0)</f>
        <v>0</v>
      </c>
      <c r="BN398" s="389">
        <f t="shared" ref="BN398:BN461" si="118">SUM(BL398:BM398)+IF(AND(IncludePrincipals,X398&lt;&gt;0,X399=0),-Face,0)</f>
        <v>0</v>
      </c>
    </row>
    <row r="399" spans="16:66">
      <c r="P399" s="716">
        <v>0</v>
      </c>
      <c r="Q399" s="715">
        <f t="shared" si="102"/>
        <v>0</v>
      </c>
      <c r="R399" s="712">
        <f>IF(P400,_xll.qDateYears(P399,P400,DCCfixed),0)</f>
        <v>0</v>
      </c>
      <c r="S399" s="519">
        <f ca="1"/>
        <v>0</v>
      </c>
      <c r="T399" s="720"/>
      <c r="U399" s="390">
        <f t="shared" si="112"/>
        <v>0</v>
      </c>
      <c r="X399" s="345">
        <v>0</v>
      </c>
      <c r="Y399" s="711">
        <f t="shared" si="103"/>
        <v>0</v>
      </c>
      <c r="Z399" s="712">
        <f>IF(X400,_xll.qDateYears(X399,X400,DCCfloat),0)</f>
        <v>0</v>
      </c>
      <c r="AA399" s="519">
        <f ca="1"/>
        <v>0</v>
      </c>
      <c r="AB399" s="890">
        <f>IF(X399=0,0,         IF(OR(CCY="AUD",CCY="NZD",CCY="GBP"),X399,   _xll.qDateNext(X399,"-2b",,,IF(CCY="EUR","TGT","LON"))))</f>
        <v>0</v>
      </c>
      <c r="AC399" s="879" t="str">
        <v/>
      </c>
      <c r="AD399" s="879" t="str">
        <v/>
      </c>
      <c r="AE399" s="879" t="str">
        <v/>
      </c>
      <c r="AF399" s="879" t="str">
        <v/>
      </c>
      <c r="AG399" s="879" t="str">
        <v/>
      </c>
      <c r="AH399" s="879" t="str">
        <v/>
      </c>
      <c r="AI399" s="879" t="str">
        <v/>
      </c>
      <c r="AJ399" s="879" t="str">
        <v/>
      </c>
      <c r="AK399" s="882">
        <f>IF($X399=0,0,      _xll.qDateNext($X399,AK$12,$AR$11,FRM&lt;&gt;"Calypso",CCY))</f>
        <v>0</v>
      </c>
      <c r="AL399" s="882">
        <f>IF($X399=0,0,      _xll.qDateNext($X399,AL$12,$AR$11,FRM&lt;&gt;"Calypso",CCY))</f>
        <v>0</v>
      </c>
      <c r="AM399" s="882">
        <f>IF($X399=0,0,      _xll.qDateNext($X399,AM$12,$AR$11,FRM&lt;&gt;"Calypso",CCY))</f>
        <v>0</v>
      </c>
      <c r="AN399" s="882">
        <f>IF($X399=0,0,      _xll.qDateNext($X399,AN$12,$AR$11,FRM&lt;&gt;"Calypso",CCY))</f>
        <v>0</v>
      </c>
      <c r="AO399" s="882">
        <f>IF($X399=0,0,      _xll.qDateNext($X399,AO$12,$AR$11,FRM&lt;&gt;"Calypso",CCY))</f>
        <v>0</v>
      </c>
      <c r="AP399" s="882">
        <f>IF($X399=0,0,      _xll.qDateNext($X399,AP$12,$AR$11,FRM&lt;&gt;"Calypso",CCY))</f>
        <v>0</v>
      </c>
      <c r="AQ399" s="882">
        <f>IF($X399=0,0,      _xll.qDateNext($X399,AQ$12,$AR$11,FRM&lt;&gt;"Calypso",CCY))</f>
        <v>0</v>
      </c>
      <c r="AR399" s="882">
        <f>IF($X399=0,0,      _xll.qDateNext($X399,AR$12,$AR$11,FRM&lt;&gt;"Calypso",CCY))</f>
        <v>0</v>
      </c>
      <c r="AS399" s="901">
        <f ca="1"/>
        <v>0</v>
      </c>
      <c r="AT399" s="901">
        <f ca="1"/>
        <v>0</v>
      </c>
      <c r="AU399" s="901">
        <f t="shared" si="113"/>
        <v>0</v>
      </c>
      <c r="AV399" s="901">
        <f ca="1"/>
        <v>0</v>
      </c>
      <c r="AW399" s="901">
        <f t="shared" si="114"/>
        <v>0</v>
      </c>
      <c r="AX399" s="901">
        <f t="shared" si="115"/>
        <v>0</v>
      </c>
      <c r="AY399" s="901">
        <f ca="1"/>
        <v>0</v>
      </c>
      <c r="AZ399" s="901">
        <f ca="1"/>
        <v>0</v>
      </c>
      <c r="BA399" s="905">
        <f t="shared" si="104"/>
        <v>0</v>
      </c>
      <c r="BB399" s="905">
        <f t="shared" si="105"/>
        <v>0</v>
      </c>
      <c r="BC399" s="905">
        <f t="shared" si="106"/>
        <v>0</v>
      </c>
      <c r="BD399" s="905">
        <f t="shared" si="107"/>
        <v>0</v>
      </c>
      <c r="BE399" s="905">
        <f t="shared" si="108"/>
        <v>0</v>
      </c>
      <c r="BF399" s="905">
        <f t="shared" si="109"/>
        <v>0</v>
      </c>
      <c r="BG399" s="905">
        <f t="shared" si="110"/>
        <v>0</v>
      </c>
      <c r="BH399" s="905">
        <f t="shared" si="111"/>
        <v>0</v>
      </c>
      <c r="BI399" s="713">
        <v>0</v>
      </c>
      <c r="BJ399" s="695"/>
      <c r="BK399" s="752">
        <f>IF(X400=0,0,           IF(ISNUMBER(BJ399),BJ399,               IF(ISTEXT(BJ399),INDEX(BA399:BH399,MATCH(BJ399,$BA$12:$BH$12,0)),             IF(BI399="INT",_xll.qInterp(X400,AK399:AR399,BA399:BH399),            INDEX(BA399:BH399,MATCH(BI399,$BA$12:$BH$12,0))))))</f>
        <v>0</v>
      </c>
      <c r="BL399" s="389">
        <f t="shared" si="116"/>
        <v>0</v>
      </c>
      <c r="BM399" s="394">
        <f t="shared" si="117"/>
        <v>0</v>
      </c>
      <c r="BN399" s="389">
        <f t="shared" si="118"/>
        <v>0</v>
      </c>
    </row>
    <row r="400" spans="16:66">
      <c r="P400" s="716">
        <v>0</v>
      </c>
      <c r="Q400" s="715">
        <f t="shared" si="102"/>
        <v>0</v>
      </c>
      <c r="R400" s="712">
        <f>IF(P401,_xll.qDateYears(P400,P401,DCCfixed),0)</f>
        <v>0</v>
      </c>
      <c r="S400" s="519">
        <f ca="1"/>
        <v>0</v>
      </c>
      <c r="T400" s="720"/>
      <c r="U400" s="390">
        <f t="shared" si="112"/>
        <v>0</v>
      </c>
      <c r="X400" s="345">
        <v>0</v>
      </c>
      <c r="Y400" s="711">
        <f t="shared" si="103"/>
        <v>0</v>
      </c>
      <c r="Z400" s="712">
        <f>IF(X401,_xll.qDateYears(X400,X401,DCCfloat),0)</f>
        <v>0</v>
      </c>
      <c r="AA400" s="519">
        <f ca="1"/>
        <v>0</v>
      </c>
      <c r="AB400" s="890">
        <f>IF(X400=0,0,         IF(OR(CCY="AUD",CCY="NZD",CCY="GBP"),X400,   _xll.qDateNext(X400,"-2b",,,IF(CCY="EUR","TGT","LON"))))</f>
        <v>0</v>
      </c>
      <c r="AC400" s="879" t="str">
        <v/>
      </c>
      <c r="AD400" s="879" t="str">
        <v/>
      </c>
      <c r="AE400" s="879" t="str">
        <v/>
      </c>
      <c r="AF400" s="879" t="str">
        <v/>
      </c>
      <c r="AG400" s="879" t="str">
        <v/>
      </c>
      <c r="AH400" s="879" t="str">
        <v/>
      </c>
      <c r="AI400" s="879" t="str">
        <v/>
      </c>
      <c r="AJ400" s="879" t="str">
        <v/>
      </c>
      <c r="AK400" s="882">
        <f>IF($X400=0,0,      _xll.qDateNext($X400,AK$12,$AR$11,FRM&lt;&gt;"Calypso",CCY))</f>
        <v>0</v>
      </c>
      <c r="AL400" s="882">
        <f>IF($X400=0,0,      _xll.qDateNext($X400,AL$12,$AR$11,FRM&lt;&gt;"Calypso",CCY))</f>
        <v>0</v>
      </c>
      <c r="AM400" s="882">
        <f>IF($X400=0,0,      _xll.qDateNext($X400,AM$12,$AR$11,FRM&lt;&gt;"Calypso",CCY))</f>
        <v>0</v>
      </c>
      <c r="AN400" s="882">
        <f>IF($X400=0,0,      _xll.qDateNext($X400,AN$12,$AR$11,FRM&lt;&gt;"Calypso",CCY))</f>
        <v>0</v>
      </c>
      <c r="AO400" s="882">
        <f>IF($X400=0,0,      _xll.qDateNext($X400,AO$12,$AR$11,FRM&lt;&gt;"Calypso",CCY))</f>
        <v>0</v>
      </c>
      <c r="AP400" s="882">
        <f>IF($X400=0,0,      _xll.qDateNext($X400,AP$12,$AR$11,FRM&lt;&gt;"Calypso",CCY))</f>
        <v>0</v>
      </c>
      <c r="AQ400" s="882">
        <f>IF($X400=0,0,      _xll.qDateNext($X400,AQ$12,$AR$11,FRM&lt;&gt;"Calypso",CCY))</f>
        <v>0</v>
      </c>
      <c r="AR400" s="882">
        <f>IF($X400=0,0,      _xll.qDateNext($X400,AR$12,$AR$11,FRM&lt;&gt;"Calypso",CCY))</f>
        <v>0</v>
      </c>
      <c r="AS400" s="901">
        <f ca="1"/>
        <v>0</v>
      </c>
      <c r="AT400" s="901">
        <f ca="1"/>
        <v>0</v>
      </c>
      <c r="AU400" s="901">
        <f t="shared" si="113"/>
        <v>0</v>
      </c>
      <c r="AV400" s="901">
        <f ca="1"/>
        <v>0</v>
      </c>
      <c r="AW400" s="901">
        <f t="shared" si="114"/>
        <v>0</v>
      </c>
      <c r="AX400" s="901">
        <f t="shared" si="115"/>
        <v>0</v>
      </c>
      <c r="AY400" s="901">
        <f ca="1"/>
        <v>0</v>
      </c>
      <c r="AZ400" s="901">
        <f ca="1"/>
        <v>0</v>
      </c>
      <c r="BA400" s="905">
        <f t="shared" si="104"/>
        <v>0</v>
      </c>
      <c r="BB400" s="905">
        <f t="shared" si="105"/>
        <v>0</v>
      </c>
      <c r="BC400" s="905">
        <f t="shared" si="106"/>
        <v>0</v>
      </c>
      <c r="BD400" s="905">
        <f t="shared" si="107"/>
        <v>0</v>
      </c>
      <c r="BE400" s="905">
        <f t="shared" si="108"/>
        <v>0</v>
      </c>
      <c r="BF400" s="905">
        <f t="shared" si="109"/>
        <v>0</v>
      </c>
      <c r="BG400" s="905">
        <f t="shared" si="110"/>
        <v>0</v>
      </c>
      <c r="BH400" s="905">
        <f t="shared" si="111"/>
        <v>0</v>
      </c>
      <c r="BI400" s="713">
        <v>0</v>
      </c>
      <c r="BJ400" s="695"/>
      <c r="BK400" s="752">
        <f>IF(X401=0,0,           IF(ISNUMBER(BJ400),BJ400,               IF(ISTEXT(BJ400),INDEX(BA400:BH400,MATCH(BJ400,$BA$12:$BH$12,0)),             IF(BI400="INT",_xll.qInterp(X401,AK400:AR400,BA400:BH400),            INDEX(BA400:BH400,MATCH(BI400,$BA$12:$BH$12,0))))))</f>
        <v>0</v>
      </c>
      <c r="BL400" s="389">
        <f t="shared" si="116"/>
        <v>0</v>
      </c>
      <c r="BM400" s="394">
        <f t="shared" si="117"/>
        <v>0</v>
      </c>
      <c r="BN400" s="389">
        <f t="shared" si="118"/>
        <v>0</v>
      </c>
    </row>
    <row r="401" spans="16:66">
      <c r="P401" s="716">
        <v>0</v>
      </c>
      <c r="Q401" s="715">
        <f t="shared" si="102"/>
        <v>0</v>
      </c>
      <c r="R401" s="712">
        <f>IF(P402,_xll.qDateYears(P401,P402,DCCfixed),0)</f>
        <v>0</v>
      </c>
      <c r="S401" s="519">
        <f ca="1"/>
        <v>0</v>
      </c>
      <c r="T401" s="720"/>
      <c r="U401" s="390">
        <f t="shared" si="112"/>
        <v>0</v>
      </c>
      <c r="X401" s="345">
        <v>0</v>
      </c>
      <c r="Y401" s="711">
        <f t="shared" si="103"/>
        <v>0</v>
      </c>
      <c r="Z401" s="712">
        <f>IF(X402,_xll.qDateYears(X401,X402,DCCfloat),0)</f>
        <v>0</v>
      </c>
      <c r="AA401" s="519">
        <f ca="1"/>
        <v>0</v>
      </c>
      <c r="AB401" s="890">
        <f>IF(X401=0,0,         IF(OR(CCY="AUD",CCY="NZD",CCY="GBP"),X401,   _xll.qDateNext(X401,"-2b",,,IF(CCY="EUR","TGT","LON"))))</f>
        <v>0</v>
      </c>
      <c r="AC401" s="879" t="str">
        <v/>
      </c>
      <c r="AD401" s="879" t="str">
        <v/>
      </c>
      <c r="AE401" s="879" t="str">
        <v/>
      </c>
      <c r="AF401" s="879" t="str">
        <v/>
      </c>
      <c r="AG401" s="879" t="str">
        <v/>
      </c>
      <c r="AH401" s="879" t="str">
        <v/>
      </c>
      <c r="AI401" s="879" t="str">
        <v/>
      </c>
      <c r="AJ401" s="879" t="str">
        <v/>
      </c>
      <c r="AK401" s="882">
        <f>IF($X401=0,0,      _xll.qDateNext($X401,AK$12,$AR$11,FRM&lt;&gt;"Calypso",CCY))</f>
        <v>0</v>
      </c>
      <c r="AL401" s="882">
        <f>IF($X401=0,0,      _xll.qDateNext($X401,AL$12,$AR$11,FRM&lt;&gt;"Calypso",CCY))</f>
        <v>0</v>
      </c>
      <c r="AM401" s="882">
        <f>IF($X401=0,0,      _xll.qDateNext($X401,AM$12,$AR$11,FRM&lt;&gt;"Calypso",CCY))</f>
        <v>0</v>
      </c>
      <c r="AN401" s="882">
        <f>IF($X401=0,0,      _xll.qDateNext($X401,AN$12,$AR$11,FRM&lt;&gt;"Calypso",CCY))</f>
        <v>0</v>
      </c>
      <c r="AO401" s="882">
        <f>IF($X401=0,0,      _xll.qDateNext($X401,AO$12,$AR$11,FRM&lt;&gt;"Calypso",CCY))</f>
        <v>0</v>
      </c>
      <c r="AP401" s="882">
        <f>IF($X401=0,0,      _xll.qDateNext($X401,AP$12,$AR$11,FRM&lt;&gt;"Calypso",CCY))</f>
        <v>0</v>
      </c>
      <c r="AQ401" s="882">
        <f>IF($X401=0,0,      _xll.qDateNext($X401,AQ$12,$AR$11,FRM&lt;&gt;"Calypso",CCY))</f>
        <v>0</v>
      </c>
      <c r="AR401" s="882">
        <f>IF($X401=0,0,      _xll.qDateNext($X401,AR$12,$AR$11,FRM&lt;&gt;"Calypso",CCY))</f>
        <v>0</v>
      </c>
      <c r="AS401" s="901">
        <f ca="1"/>
        <v>0</v>
      </c>
      <c r="AT401" s="901">
        <f ca="1"/>
        <v>0</v>
      </c>
      <c r="AU401" s="901">
        <f t="shared" si="113"/>
        <v>0</v>
      </c>
      <c r="AV401" s="901">
        <f ca="1"/>
        <v>0</v>
      </c>
      <c r="AW401" s="901">
        <f t="shared" si="114"/>
        <v>0</v>
      </c>
      <c r="AX401" s="901">
        <f t="shared" si="115"/>
        <v>0</v>
      </c>
      <c r="AY401" s="901">
        <f ca="1"/>
        <v>0</v>
      </c>
      <c r="AZ401" s="901">
        <f ca="1"/>
        <v>0</v>
      </c>
      <c r="BA401" s="905">
        <f t="shared" si="104"/>
        <v>0</v>
      </c>
      <c r="BB401" s="905">
        <f t="shared" si="105"/>
        <v>0</v>
      </c>
      <c r="BC401" s="905">
        <f t="shared" si="106"/>
        <v>0</v>
      </c>
      <c r="BD401" s="905">
        <f t="shared" si="107"/>
        <v>0</v>
      </c>
      <c r="BE401" s="905">
        <f t="shared" si="108"/>
        <v>0</v>
      </c>
      <c r="BF401" s="905">
        <f t="shared" si="109"/>
        <v>0</v>
      </c>
      <c r="BG401" s="905">
        <f t="shared" si="110"/>
        <v>0</v>
      </c>
      <c r="BH401" s="905">
        <f t="shared" si="111"/>
        <v>0</v>
      </c>
      <c r="BI401" s="713">
        <v>0</v>
      </c>
      <c r="BJ401" s="695"/>
      <c r="BK401" s="752">
        <f>IF(X402=0,0,           IF(ISNUMBER(BJ401),BJ401,               IF(ISTEXT(BJ401),INDEX(BA401:BH401,MATCH(BJ401,$BA$12:$BH$12,0)),             IF(BI401="INT",_xll.qInterp(X402,AK401:AR401,BA401:BH401),            INDEX(BA401:BH401,MATCH(BI401,$BA$12:$BH$12,0))))))</f>
        <v>0</v>
      </c>
      <c r="BL401" s="389">
        <f t="shared" si="116"/>
        <v>0</v>
      </c>
      <c r="BM401" s="394">
        <f t="shared" si="117"/>
        <v>0</v>
      </c>
      <c r="BN401" s="389">
        <f t="shared" si="118"/>
        <v>0</v>
      </c>
    </row>
    <row r="402" spans="16:66">
      <c r="P402" s="716">
        <v>0</v>
      </c>
      <c r="Q402" s="715">
        <f t="shared" si="102"/>
        <v>0</v>
      </c>
      <c r="R402" s="712">
        <f>IF(P403,_xll.qDateYears(P402,P403,DCCfixed),0)</f>
        <v>0</v>
      </c>
      <c r="S402" s="519">
        <f ca="1"/>
        <v>0</v>
      </c>
      <c r="T402" s="720"/>
      <c r="U402" s="390">
        <f t="shared" si="112"/>
        <v>0</v>
      </c>
      <c r="X402" s="345">
        <v>0</v>
      </c>
      <c r="Y402" s="711">
        <f t="shared" si="103"/>
        <v>0</v>
      </c>
      <c r="Z402" s="712">
        <f>IF(X403,_xll.qDateYears(X402,X403,DCCfloat),0)</f>
        <v>0</v>
      </c>
      <c r="AA402" s="519">
        <f ca="1"/>
        <v>0</v>
      </c>
      <c r="AB402" s="890">
        <f>IF(X402=0,0,         IF(OR(CCY="AUD",CCY="NZD",CCY="GBP"),X402,   _xll.qDateNext(X402,"-2b",,,IF(CCY="EUR","TGT","LON"))))</f>
        <v>0</v>
      </c>
      <c r="AC402" s="879" t="str">
        <v/>
      </c>
      <c r="AD402" s="879" t="str">
        <v/>
      </c>
      <c r="AE402" s="879" t="str">
        <v/>
      </c>
      <c r="AF402" s="879" t="str">
        <v/>
      </c>
      <c r="AG402" s="879" t="str">
        <v/>
      </c>
      <c r="AH402" s="879" t="str">
        <v/>
      </c>
      <c r="AI402" s="879" t="str">
        <v/>
      </c>
      <c r="AJ402" s="879" t="str">
        <v/>
      </c>
      <c r="AK402" s="882">
        <f>IF($X402=0,0,      _xll.qDateNext($X402,AK$12,$AR$11,FRM&lt;&gt;"Calypso",CCY))</f>
        <v>0</v>
      </c>
      <c r="AL402" s="882">
        <f>IF($X402=0,0,      _xll.qDateNext($X402,AL$12,$AR$11,FRM&lt;&gt;"Calypso",CCY))</f>
        <v>0</v>
      </c>
      <c r="AM402" s="882">
        <f>IF($X402=0,0,      _xll.qDateNext($X402,AM$12,$AR$11,FRM&lt;&gt;"Calypso",CCY))</f>
        <v>0</v>
      </c>
      <c r="AN402" s="882">
        <f>IF($X402=0,0,      _xll.qDateNext($X402,AN$12,$AR$11,FRM&lt;&gt;"Calypso",CCY))</f>
        <v>0</v>
      </c>
      <c r="AO402" s="882">
        <f>IF($X402=0,0,      _xll.qDateNext($X402,AO$12,$AR$11,FRM&lt;&gt;"Calypso",CCY))</f>
        <v>0</v>
      </c>
      <c r="AP402" s="882">
        <f>IF($X402=0,0,      _xll.qDateNext($X402,AP$12,$AR$11,FRM&lt;&gt;"Calypso",CCY))</f>
        <v>0</v>
      </c>
      <c r="AQ402" s="882">
        <f>IF($X402=0,0,      _xll.qDateNext($X402,AQ$12,$AR$11,FRM&lt;&gt;"Calypso",CCY))</f>
        <v>0</v>
      </c>
      <c r="AR402" s="882">
        <f>IF($X402=0,0,      _xll.qDateNext($X402,AR$12,$AR$11,FRM&lt;&gt;"Calypso",CCY))</f>
        <v>0</v>
      </c>
      <c r="AS402" s="901">
        <f ca="1"/>
        <v>0</v>
      </c>
      <c r="AT402" s="901">
        <f ca="1"/>
        <v>0</v>
      </c>
      <c r="AU402" s="901">
        <f t="shared" si="113"/>
        <v>0</v>
      </c>
      <c r="AV402" s="901">
        <f ca="1"/>
        <v>0</v>
      </c>
      <c r="AW402" s="901">
        <f t="shared" si="114"/>
        <v>0</v>
      </c>
      <c r="AX402" s="901">
        <f t="shared" si="115"/>
        <v>0</v>
      </c>
      <c r="AY402" s="901">
        <f ca="1"/>
        <v>0</v>
      </c>
      <c r="AZ402" s="901">
        <f ca="1"/>
        <v>0</v>
      </c>
      <c r="BA402" s="905">
        <f t="shared" si="104"/>
        <v>0</v>
      </c>
      <c r="BB402" s="905">
        <f t="shared" si="105"/>
        <v>0</v>
      </c>
      <c r="BC402" s="905">
        <f t="shared" si="106"/>
        <v>0</v>
      </c>
      <c r="BD402" s="905">
        <f t="shared" si="107"/>
        <v>0</v>
      </c>
      <c r="BE402" s="905">
        <f t="shared" si="108"/>
        <v>0</v>
      </c>
      <c r="BF402" s="905">
        <f t="shared" si="109"/>
        <v>0</v>
      </c>
      <c r="BG402" s="905">
        <f t="shared" si="110"/>
        <v>0</v>
      </c>
      <c r="BH402" s="905">
        <f t="shared" si="111"/>
        <v>0</v>
      </c>
      <c r="BI402" s="713">
        <v>0</v>
      </c>
      <c r="BJ402" s="695"/>
      <c r="BK402" s="752">
        <f>IF(X403=0,0,           IF(ISNUMBER(BJ402),BJ402,               IF(ISTEXT(BJ402),INDEX(BA402:BH402,MATCH(BJ402,$BA$12:$BH$12,0)),             IF(BI402="INT",_xll.qInterp(X403,AK402:AR402,BA402:BH402),            INDEX(BA402:BH402,MATCH(BI402,$BA$12:$BH$12,0))))))</f>
        <v>0</v>
      </c>
      <c r="BL402" s="389">
        <f t="shared" si="116"/>
        <v>0</v>
      </c>
      <c r="BM402" s="394">
        <f t="shared" si="117"/>
        <v>0</v>
      </c>
      <c r="BN402" s="389">
        <f t="shared" si="118"/>
        <v>0</v>
      </c>
    </row>
    <row r="403" spans="16:66">
      <c r="P403" s="716">
        <v>0</v>
      </c>
      <c r="Q403" s="715">
        <f t="shared" si="102"/>
        <v>0</v>
      </c>
      <c r="R403" s="712">
        <f>IF(P404,_xll.qDateYears(P403,P404,DCCfixed),0)</f>
        <v>0</v>
      </c>
      <c r="S403" s="519">
        <f ca="1"/>
        <v>0</v>
      </c>
      <c r="T403" s="720"/>
      <c r="U403" s="390">
        <f t="shared" si="112"/>
        <v>0</v>
      </c>
      <c r="X403" s="345">
        <v>0</v>
      </c>
      <c r="Y403" s="711">
        <f t="shared" si="103"/>
        <v>0</v>
      </c>
      <c r="Z403" s="712">
        <f>IF(X404,_xll.qDateYears(X403,X404,DCCfloat),0)</f>
        <v>0</v>
      </c>
      <c r="AA403" s="519">
        <f ca="1"/>
        <v>0</v>
      </c>
      <c r="AB403" s="890">
        <f>IF(X403=0,0,         IF(OR(CCY="AUD",CCY="NZD",CCY="GBP"),X403,   _xll.qDateNext(X403,"-2b",,,IF(CCY="EUR","TGT","LON"))))</f>
        <v>0</v>
      </c>
      <c r="AC403" s="879" t="str">
        <v/>
      </c>
      <c r="AD403" s="879" t="str">
        <v/>
      </c>
      <c r="AE403" s="879" t="str">
        <v/>
      </c>
      <c r="AF403" s="879" t="str">
        <v/>
      </c>
      <c r="AG403" s="879" t="str">
        <v/>
      </c>
      <c r="AH403" s="879" t="str">
        <v/>
      </c>
      <c r="AI403" s="879" t="str">
        <v/>
      </c>
      <c r="AJ403" s="879" t="str">
        <v/>
      </c>
      <c r="AK403" s="882">
        <f>IF($X403=0,0,      _xll.qDateNext($X403,AK$12,$AR$11,FRM&lt;&gt;"Calypso",CCY))</f>
        <v>0</v>
      </c>
      <c r="AL403" s="882">
        <f>IF($X403=0,0,      _xll.qDateNext($X403,AL$12,$AR$11,FRM&lt;&gt;"Calypso",CCY))</f>
        <v>0</v>
      </c>
      <c r="AM403" s="882">
        <f>IF($X403=0,0,      _xll.qDateNext($X403,AM$12,$AR$11,FRM&lt;&gt;"Calypso",CCY))</f>
        <v>0</v>
      </c>
      <c r="AN403" s="882">
        <f>IF($X403=0,0,      _xll.qDateNext($X403,AN$12,$AR$11,FRM&lt;&gt;"Calypso",CCY))</f>
        <v>0</v>
      </c>
      <c r="AO403" s="882">
        <f>IF($X403=0,0,      _xll.qDateNext($X403,AO$12,$AR$11,FRM&lt;&gt;"Calypso",CCY))</f>
        <v>0</v>
      </c>
      <c r="AP403" s="882">
        <f>IF($X403=0,0,      _xll.qDateNext($X403,AP$12,$AR$11,FRM&lt;&gt;"Calypso",CCY))</f>
        <v>0</v>
      </c>
      <c r="AQ403" s="882">
        <f>IF($X403=0,0,      _xll.qDateNext($X403,AQ$12,$AR$11,FRM&lt;&gt;"Calypso",CCY))</f>
        <v>0</v>
      </c>
      <c r="AR403" s="882">
        <f>IF($X403=0,0,      _xll.qDateNext($X403,AR$12,$AR$11,FRM&lt;&gt;"Calypso",CCY))</f>
        <v>0</v>
      </c>
      <c r="AS403" s="901">
        <f ca="1"/>
        <v>0</v>
      </c>
      <c r="AT403" s="901">
        <f ca="1"/>
        <v>0</v>
      </c>
      <c r="AU403" s="901">
        <f t="shared" si="113"/>
        <v>0</v>
      </c>
      <c r="AV403" s="901">
        <f ca="1"/>
        <v>0</v>
      </c>
      <c r="AW403" s="901">
        <f t="shared" si="114"/>
        <v>0</v>
      </c>
      <c r="AX403" s="901">
        <f t="shared" si="115"/>
        <v>0</v>
      </c>
      <c r="AY403" s="901">
        <f ca="1"/>
        <v>0</v>
      </c>
      <c r="AZ403" s="901">
        <f ca="1"/>
        <v>0</v>
      </c>
      <c r="BA403" s="905">
        <f t="shared" si="104"/>
        <v>0</v>
      </c>
      <c r="BB403" s="905">
        <f t="shared" si="105"/>
        <v>0</v>
      </c>
      <c r="BC403" s="905">
        <f t="shared" si="106"/>
        <v>0</v>
      </c>
      <c r="BD403" s="905">
        <f t="shared" si="107"/>
        <v>0</v>
      </c>
      <c r="BE403" s="905">
        <f t="shared" si="108"/>
        <v>0</v>
      </c>
      <c r="BF403" s="905">
        <f t="shared" si="109"/>
        <v>0</v>
      </c>
      <c r="BG403" s="905">
        <f t="shared" si="110"/>
        <v>0</v>
      </c>
      <c r="BH403" s="905">
        <f t="shared" si="111"/>
        <v>0</v>
      </c>
      <c r="BI403" s="713">
        <v>0</v>
      </c>
      <c r="BJ403" s="695"/>
      <c r="BK403" s="752">
        <f>IF(X404=0,0,           IF(ISNUMBER(BJ403),BJ403,               IF(ISTEXT(BJ403),INDEX(BA403:BH403,MATCH(BJ403,$BA$12:$BH$12,0)),             IF(BI403="INT",_xll.qInterp(X404,AK403:AR403,BA403:BH403),            INDEX(BA403:BH403,MATCH(BI403,$BA$12:$BH$12,0))))))</f>
        <v>0</v>
      </c>
      <c r="BL403" s="389">
        <f t="shared" si="116"/>
        <v>0</v>
      </c>
      <c r="BM403" s="394">
        <f t="shared" si="117"/>
        <v>0</v>
      </c>
      <c r="BN403" s="389">
        <f t="shared" si="118"/>
        <v>0</v>
      </c>
    </row>
    <row r="404" spans="16:66">
      <c r="P404" s="716">
        <v>0</v>
      </c>
      <c r="Q404" s="715">
        <f t="shared" si="102"/>
        <v>0</v>
      </c>
      <c r="R404" s="712">
        <f>IF(P405,_xll.qDateYears(P404,P405,DCCfixed),0)</f>
        <v>0</v>
      </c>
      <c r="S404" s="519">
        <f ca="1"/>
        <v>0</v>
      </c>
      <c r="T404" s="720"/>
      <c r="U404" s="390">
        <f t="shared" si="112"/>
        <v>0</v>
      </c>
      <c r="X404" s="345">
        <v>0</v>
      </c>
      <c r="Y404" s="711">
        <f t="shared" si="103"/>
        <v>0</v>
      </c>
      <c r="Z404" s="712">
        <f>IF(X405,_xll.qDateYears(X404,X405,DCCfloat),0)</f>
        <v>0</v>
      </c>
      <c r="AA404" s="519">
        <f ca="1"/>
        <v>0</v>
      </c>
      <c r="AB404" s="890">
        <f>IF(X404=0,0,         IF(OR(CCY="AUD",CCY="NZD",CCY="GBP"),X404,   _xll.qDateNext(X404,"-2b",,,IF(CCY="EUR","TGT","LON"))))</f>
        <v>0</v>
      </c>
      <c r="AC404" s="879" t="str">
        <v/>
      </c>
      <c r="AD404" s="879" t="str">
        <v/>
      </c>
      <c r="AE404" s="879" t="str">
        <v/>
      </c>
      <c r="AF404" s="879" t="str">
        <v/>
      </c>
      <c r="AG404" s="879" t="str">
        <v/>
      </c>
      <c r="AH404" s="879" t="str">
        <v/>
      </c>
      <c r="AI404" s="879" t="str">
        <v/>
      </c>
      <c r="AJ404" s="879" t="str">
        <v/>
      </c>
      <c r="AK404" s="882">
        <f>IF($X404=0,0,      _xll.qDateNext($X404,AK$12,$AR$11,FRM&lt;&gt;"Calypso",CCY))</f>
        <v>0</v>
      </c>
      <c r="AL404" s="882">
        <f>IF($X404=0,0,      _xll.qDateNext($X404,AL$12,$AR$11,FRM&lt;&gt;"Calypso",CCY))</f>
        <v>0</v>
      </c>
      <c r="AM404" s="882">
        <f>IF($X404=0,0,      _xll.qDateNext($X404,AM$12,$AR$11,FRM&lt;&gt;"Calypso",CCY))</f>
        <v>0</v>
      </c>
      <c r="AN404" s="882">
        <f>IF($X404=0,0,      _xll.qDateNext($X404,AN$12,$AR$11,FRM&lt;&gt;"Calypso",CCY))</f>
        <v>0</v>
      </c>
      <c r="AO404" s="882">
        <f>IF($X404=0,0,      _xll.qDateNext($X404,AO$12,$AR$11,FRM&lt;&gt;"Calypso",CCY))</f>
        <v>0</v>
      </c>
      <c r="AP404" s="882">
        <f>IF($X404=0,0,      _xll.qDateNext($X404,AP$12,$AR$11,FRM&lt;&gt;"Calypso",CCY))</f>
        <v>0</v>
      </c>
      <c r="AQ404" s="882">
        <f>IF($X404=0,0,      _xll.qDateNext($X404,AQ$12,$AR$11,FRM&lt;&gt;"Calypso",CCY))</f>
        <v>0</v>
      </c>
      <c r="AR404" s="882">
        <f>IF($X404=0,0,      _xll.qDateNext($X404,AR$12,$AR$11,FRM&lt;&gt;"Calypso",CCY))</f>
        <v>0</v>
      </c>
      <c r="AS404" s="901">
        <f ca="1"/>
        <v>0</v>
      </c>
      <c r="AT404" s="901">
        <f ca="1"/>
        <v>0</v>
      </c>
      <c r="AU404" s="901">
        <f t="shared" si="113"/>
        <v>0</v>
      </c>
      <c r="AV404" s="901">
        <f ca="1"/>
        <v>0</v>
      </c>
      <c r="AW404" s="901">
        <f t="shared" si="114"/>
        <v>0</v>
      </c>
      <c r="AX404" s="901">
        <f t="shared" si="115"/>
        <v>0</v>
      </c>
      <c r="AY404" s="901">
        <f ca="1"/>
        <v>0</v>
      </c>
      <c r="AZ404" s="901">
        <f ca="1"/>
        <v>0</v>
      </c>
      <c r="BA404" s="905">
        <f t="shared" si="104"/>
        <v>0</v>
      </c>
      <c r="BB404" s="905">
        <f t="shared" si="105"/>
        <v>0</v>
      </c>
      <c r="BC404" s="905">
        <f t="shared" si="106"/>
        <v>0</v>
      </c>
      <c r="BD404" s="905">
        <f t="shared" si="107"/>
        <v>0</v>
      </c>
      <c r="BE404" s="905">
        <f t="shared" si="108"/>
        <v>0</v>
      </c>
      <c r="BF404" s="905">
        <f t="shared" si="109"/>
        <v>0</v>
      </c>
      <c r="BG404" s="905">
        <f t="shared" si="110"/>
        <v>0</v>
      </c>
      <c r="BH404" s="905">
        <f t="shared" si="111"/>
        <v>0</v>
      </c>
      <c r="BI404" s="713">
        <v>0</v>
      </c>
      <c r="BJ404" s="695"/>
      <c r="BK404" s="752">
        <f>IF(X405=0,0,           IF(ISNUMBER(BJ404),BJ404,               IF(ISTEXT(BJ404),INDEX(BA404:BH404,MATCH(BJ404,$BA$12:$BH$12,0)),             IF(BI404="INT",_xll.qInterp(X405,AK404:AR404,BA404:BH404),            INDEX(BA404:BH404,MATCH(BI404,$BA$12:$BH$12,0))))))</f>
        <v>0</v>
      </c>
      <c r="BL404" s="389">
        <f t="shared" si="116"/>
        <v>0</v>
      </c>
      <c r="BM404" s="394">
        <f t="shared" si="117"/>
        <v>0</v>
      </c>
      <c r="BN404" s="389">
        <f t="shared" si="118"/>
        <v>0</v>
      </c>
    </row>
    <row r="405" spans="16:66">
      <c r="P405" s="716">
        <v>0</v>
      </c>
      <c r="Q405" s="715">
        <f t="shared" si="102"/>
        <v>0</v>
      </c>
      <c r="R405" s="712">
        <f>IF(P406,_xll.qDateYears(P405,P406,DCCfixed),0)</f>
        <v>0</v>
      </c>
      <c r="S405" s="519">
        <f ca="1"/>
        <v>0</v>
      </c>
      <c r="T405" s="720"/>
      <c r="U405" s="390">
        <f t="shared" si="112"/>
        <v>0</v>
      </c>
      <c r="X405" s="345">
        <v>0</v>
      </c>
      <c r="Y405" s="711">
        <f t="shared" si="103"/>
        <v>0</v>
      </c>
      <c r="Z405" s="712">
        <f>IF(X406,_xll.qDateYears(X405,X406,DCCfloat),0)</f>
        <v>0</v>
      </c>
      <c r="AA405" s="519">
        <f ca="1"/>
        <v>0</v>
      </c>
      <c r="AB405" s="890">
        <f>IF(X405=0,0,         IF(OR(CCY="AUD",CCY="NZD",CCY="GBP"),X405,   _xll.qDateNext(X405,"-2b",,,IF(CCY="EUR","TGT","LON"))))</f>
        <v>0</v>
      </c>
      <c r="AC405" s="879" t="str">
        <v/>
      </c>
      <c r="AD405" s="879" t="str">
        <v/>
      </c>
      <c r="AE405" s="879" t="str">
        <v/>
      </c>
      <c r="AF405" s="879" t="str">
        <v/>
      </c>
      <c r="AG405" s="879" t="str">
        <v/>
      </c>
      <c r="AH405" s="879" t="str">
        <v/>
      </c>
      <c r="AI405" s="879" t="str">
        <v/>
      </c>
      <c r="AJ405" s="879" t="str">
        <v/>
      </c>
      <c r="AK405" s="882">
        <f>IF($X405=0,0,      _xll.qDateNext($X405,AK$12,$AR$11,FRM&lt;&gt;"Calypso",CCY))</f>
        <v>0</v>
      </c>
      <c r="AL405" s="882">
        <f>IF($X405=0,0,      _xll.qDateNext($X405,AL$12,$AR$11,FRM&lt;&gt;"Calypso",CCY))</f>
        <v>0</v>
      </c>
      <c r="AM405" s="882">
        <f>IF($X405=0,0,      _xll.qDateNext($X405,AM$12,$AR$11,FRM&lt;&gt;"Calypso",CCY))</f>
        <v>0</v>
      </c>
      <c r="AN405" s="882">
        <f>IF($X405=0,0,      _xll.qDateNext($X405,AN$12,$AR$11,FRM&lt;&gt;"Calypso",CCY))</f>
        <v>0</v>
      </c>
      <c r="AO405" s="882">
        <f>IF($X405=0,0,      _xll.qDateNext($X405,AO$12,$AR$11,FRM&lt;&gt;"Calypso",CCY))</f>
        <v>0</v>
      </c>
      <c r="AP405" s="882">
        <f>IF($X405=0,0,      _xll.qDateNext($X405,AP$12,$AR$11,FRM&lt;&gt;"Calypso",CCY))</f>
        <v>0</v>
      </c>
      <c r="AQ405" s="882">
        <f>IF($X405=0,0,      _xll.qDateNext($X405,AQ$12,$AR$11,FRM&lt;&gt;"Calypso",CCY))</f>
        <v>0</v>
      </c>
      <c r="AR405" s="882">
        <f>IF($X405=0,0,      _xll.qDateNext($X405,AR$12,$AR$11,FRM&lt;&gt;"Calypso",CCY))</f>
        <v>0</v>
      </c>
      <c r="AS405" s="901">
        <f ca="1"/>
        <v>0</v>
      </c>
      <c r="AT405" s="901">
        <f ca="1"/>
        <v>0</v>
      </c>
      <c r="AU405" s="901">
        <f t="shared" si="113"/>
        <v>0</v>
      </c>
      <c r="AV405" s="901">
        <f ca="1"/>
        <v>0</v>
      </c>
      <c r="AW405" s="901">
        <f t="shared" si="114"/>
        <v>0</v>
      </c>
      <c r="AX405" s="901">
        <f t="shared" si="115"/>
        <v>0</v>
      </c>
      <c r="AY405" s="901">
        <f ca="1"/>
        <v>0</v>
      </c>
      <c r="AZ405" s="901">
        <f ca="1"/>
        <v>0</v>
      </c>
      <c r="BA405" s="905">
        <f t="shared" si="104"/>
        <v>0</v>
      </c>
      <c r="BB405" s="905">
        <f t="shared" si="105"/>
        <v>0</v>
      </c>
      <c r="BC405" s="905">
        <f t="shared" si="106"/>
        <v>0</v>
      </c>
      <c r="BD405" s="905">
        <f t="shared" si="107"/>
        <v>0</v>
      </c>
      <c r="BE405" s="905">
        <f t="shared" si="108"/>
        <v>0</v>
      </c>
      <c r="BF405" s="905">
        <f t="shared" si="109"/>
        <v>0</v>
      </c>
      <c r="BG405" s="905">
        <f t="shared" si="110"/>
        <v>0</v>
      </c>
      <c r="BH405" s="905">
        <f t="shared" si="111"/>
        <v>0</v>
      </c>
      <c r="BI405" s="713">
        <v>0</v>
      </c>
      <c r="BJ405" s="695"/>
      <c r="BK405" s="752">
        <f>IF(X406=0,0,           IF(ISNUMBER(BJ405),BJ405,               IF(ISTEXT(BJ405),INDEX(BA405:BH405,MATCH(BJ405,$BA$12:$BH$12,0)),             IF(BI405="INT",_xll.qInterp(X406,AK405:AR405,BA405:BH405),            INDEX(BA405:BH405,MATCH(BI405,$BA$12:$BH$12,0))))))</f>
        <v>0</v>
      </c>
      <c r="BL405" s="389">
        <f t="shared" si="116"/>
        <v>0</v>
      </c>
      <c r="BM405" s="394">
        <f t="shared" si="117"/>
        <v>0</v>
      </c>
      <c r="BN405" s="389">
        <f t="shared" si="118"/>
        <v>0</v>
      </c>
    </row>
    <row r="406" spans="16:66">
      <c r="P406" s="716">
        <v>0</v>
      </c>
      <c r="Q406" s="715">
        <f t="shared" si="102"/>
        <v>0</v>
      </c>
      <c r="R406" s="712">
        <f>IF(P407,_xll.qDateYears(P406,P407,DCCfixed),0)</f>
        <v>0</v>
      </c>
      <c r="S406" s="519">
        <f ca="1"/>
        <v>0</v>
      </c>
      <c r="T406" s="720"/>
      <c r="U406" s="390">
        <f t="shared" si="112"/>
        <v>0</v>
      </c>
      <c r="X406" s="345">
        <v>0</v>
      </c>
      <c r="Y406" s="711">
        <f t="shared" si="103"/>
        <v>0</v>
      </c>
      <c r="Z406" s="712">
        <f>IF(X407,_xll.qDateYears(X406,X407,DCCfloat),0)</f>
        <v>0</v>
      </c>
      <c r="AA406" s="519">
        <f ca="1"/>
        <v>0</v>
      </c>
      <c r="AB406" s="890">
        <f>IF(X406=0,0,         IF(OR(CCY="AUD",CCY="NZD",CCY="GBP"),X406,   _xll.qDateNext(X406,"-2b",,,IF(CCY="EUR","TGT","LON"))))</f>
        <v>0</v>
      </c>
      <c r="AC406" s="879" t="str">
        <v/>
      </c>
      <c r="AD406" s="879" t="str">
        <v/>
      </c>
      <c r="AE406" s="879" t="str">
        <v/>
      </c>
      <c r="AF406" s="879" t="str">
        <v/>
      </c>
      <c r="AG406" s="879" t="str">
        <v/>
      </c>
      <c r="AH406" s="879" t="str">
        <v/>
      </c>
      <c r="AI406" s="879" t="str">
        <v/>
      </c>
      <c r="AJ406" s="879" t="str">
        <v/>
      </c>
      <c r="AK406" s="882">
        <f>IF($X406=0,0,      _xll.qDateNext($X406,AK$12,$AR$11,FRM&lt;&gt;"Calypso",CCY))</f>
        <v>0</v>
      </c>
      <c r="AL406" s="882">
        <f>IF($X406=0,0,      _xll.qDateNext($X406,AL$12,$AR$11,FRM&lt;&gt;"Calypso",CCY))</f>
        <v>0</v>
      </c>
      <c r="AM406" s="882">
        <f>IF($X406=0,0,      _xll.qDateNext($X406,AM$12,$AR$11,FRM&lt;&gt;"Calypso",CCY))</f>
        <v>0</v>
      </c>
      <c r="AN406" s="882">
        <f>IF($X406=0,0,      _xll.qDateNext($X406,AN$12,$AR$11,FRM&lt;&gt;"Calypso",CCY))</f>
        <v>0</v>
      </c>
      <c r="AO406" s="882">
        <f>IF($X406=0,0,      _xll.qDateNext($X406,AO$12,$AR$11,FRM&lt;&gt;"Calypso",CCY))</f>
        <v>0</v>
      </c>
      <c r="AP406" s="882">
        <f>IF($X406=0,0,      _xll.qDateNext($X406,AP$12,$AR$11,FRM&lt;&gt;"Calypso",CCY))</f>
        <v>0</v>
      </c>
      <c r="AQ406" s="882">
        <f>IF($X406=0,0,      _xll.qDateNext($X406,AQ$12,$AR$11,FRM&lt;&gt;"Calypso",CCY))</f>
        <v>0</v>
      </c>
      <c r="AR406" s="882">
        <f>IF($X406=0,0,      _xll.qDateNext($X406,AR$12,$AR$11,FRM&lt;&gt;"Calypso",CCY))</f>
        <v>0</v>
      </c>
      <c r="AS406" s="901">
        <f ca="1"/>
        <v>0</v>
      </c>
      <c r="AT406" s="901">
        <f ca="1"/>
        <v>0</v>
      </c>
      <c r="AU406" s="901">
        <f t="shared" si="113"/>
        <v>0</v>
      </c>
      <c r="AV406" s="901">
        <f ca="1"/>
        <v>0</v>
      </c>
      <c r="AW406" s="901">
        <f t="shared" si="114"/>
        <v>0</v>
      </c>
      <c r="AX406" s="901">
        <f t="shared" si="115"/>
        <v>0</v>
      </c>
      <c r="AY406" s="901">
        <f ca="1"/>
        <v>0</v>
      </c>
      <c r="AZ406" s="901">
        <f ca="1"/>
        <v>0</v>
      </c>
      <c r="BA406" s="905">
        <f t="shared" si="104"/>
        <v>0</v>
      </c>
      <c r="BB406" s="905">
        <f t="shared" si="105"/>
        <v>0</v>
      </c>
      <c r="BC406" s="905">
        <f t="shared" si="106"/>
        <v>0</v>
      </c>
      <c r="BD406" s="905">
        <f t="shared" si="107"/>
        <v>0</v>
      </c>
      <c r="BE406" s="905">
        <f t="shared" si="108"/>
        <v>0</v>
      </c>
      <c r="BF406" s="905">
        <f t="shared" si="109"/>
        <v>0</v>
      </c>
      <c r="BG406" s="905">
        <f t="shared" si="110"/>
        <v>0</v>
      </c>
      <c r="BH406" s="905">
        <f t="shared" si="111"/>
        <v>0</v>
      </c>
      <c r="BI406" s="713">
        <v>0</v>
      </c>
      <c r="BJ406" s="695"/>
      <c r="BK406" s="752">
        <f>IF(X407=0,0,           IF(ISNUMBER(BJ406),BJ406,               IF(ISTEXT(BJ406),INDEX(BA406:BH406,MATCH(BJ406,$BA$12:$BH$12,0)),             IF(BI406="INT",_xll.qInterp(X407,AK406:AR406,BA406:BH406),            INDEX(BA406:BH406,MATCH(BI406,$BA$12:$BH$12,0))))))</f>
        <v>0</v>
      </c>
      <c r="BL406" s="389">
        <f t="shared" si="116"/>
        <v>0</v>
      </c>
      <c r="BM406" s="394">
        <f t="shared" si="117"/>
        <v>0</v>
      </c>
      <c r="BN406" s="389">
        <f t="shared" si="118"/>
        <v>0</v>
      </c>
    </row>
    <row r="407" spans="16:66">
      <c r="P407" s="716">
        <v>0</v>
      </c>
      <c r="Q407" s="715">
        <f t="shared" si="102"/>
        <v>0</v>
      </c>
      <c r="R407" s="712">
        <f>IF(P408,_xll.qDateYears(P407,P408,DCCfixed),0)</f>
        <v>0</v>
      </c>
      <c r="S407" s="519">
        <f ca="1"/>
        <v>0</v>
      </c>
      <c r="T407" s="720"/>
      <c r="U407" s="390">
        <f t="shared" si="112"/>
        <v>0</v>
      </c>
      <c r="X407" s="345">
        <v>0</v>
      </c>
      <c r="Y407" s="711">
        <f t="shared" si="103"/>
        <v>0</v>
      </c>
      <c r="Z407" s="712">
        <f>IF(X408,_xll.qDateYears(X407,X408,DCCfloat),0)</f>
        <v>0</v>
      </c>
      <c r="AA407" s="519">
        <f ca="1"/>
        <v>0</v>
      </c>
      <c r="AB407" s="890">
        <f>IF(X407=0,0,         IF(OR(CCY="AUD",CCY="NZD",CCY="GBP"),X407,   _xll.qDateNext(X407,"-2b",,,IF(CCY="EUR","TGT","LON"))))</f>
        <v>0</v>
      </c>
      <c r="AC407" s="879" t="str">
        <v/>
      </c>
      <c r="AD407" s="879" t="str">
        <v/>
      </c>
      <c r="AE407" s="879" t="str">
        <v/>
      </c>
      <c r="AF407" s="879" t="str">
        <v/>
      </c>
      <c r="AG407" s="879" t="str">
        <v/>
      </c>
      <c r="AH407" s="879" t="str">
        <v/>
      </c>
      <c r="AI407" s="879" t="str">
        <v/>
      </c>
      <c r="AJ407" s="879" t="str">
        <v/>
      </c>
      <c r="AK407" s="882">
        <f>IF($X407=0,0,      _xll.qDateNext($X407,AK$12,$AR$11,FRM&lt;&gt;"Calypso",CCY))</f>
        <v>0</v>
      </c>
      <c r="AL407" s="882">
        <f>IF($X407=0,0,      _xll.qDateNext($X407,AL$12,$AR$11,FRM&lt;&gt;"Calypso",CCY))</f>
        <v>0</v>
      </c>
      <c r="AM407" s="882">
        <f>IF($X407=0,0,      _xll.qDateNext($X407,AM$12,$AR$11,FRM&lt;&gt;"Calypso",CCY))</f>
        <v>0</v>
      </c>
      <c r="AN407" s="882">
        <f>IF($X407=0,0,      _xll.qDateNext($X407,AN$12,$AR$11,FRM&lt;&gt;"Calypso",CCY))</f>
        <v>0</v>
      </c>
      <c r="AO407" s="882">
        <f>IF($X407=0,0,      _xll.qDateNext($X407,AO$12,$AR$11,FRM&lt;&gt;"Calypso",CCY))</f>
        <v>0</v>
      </c>
      <c r="AP407" s="882">
        <f>IF($X407=0,0,      _xll.qDateNext($X407,AP$12,$AR$11,FRM&lt;&gt;"Calypso",CCY))</f>
        <v>0</v>
      </c>
      <c r="AQ407" s="882">
        <f>IF($X407=0,0,      _xll.qDateNext($X407,AQ$12,$AR$11,FRM&lt;&gt;"Calypso",CCY))</f>
        <v>0</v>
      </c>
      <c r="AR407" s="882">
        <f>IF($X407=0,0,      _xll.qDateNext($X407,AR$12,$AR$11,FRM&lt;&gt;"Calypso",CCY))</f>
        <v>0</v>
      </c>
      <c r="AS407" s="901">
        <f ca="1"/>
        <v>0</v>
      </c>
      <c r="AT407" s="901">
        <f ca="1"/>
        <v>0</v>
      </c>
      <c r="AU407" s="901">
        <f t="shared" si="113"/>
        <v>0</v>
      </c>
      <c r="AV407" s="901">
        <f ca="1"/>
        <v>0</v>
      </c>
      <c r="AW407" s="901">
        <f t="shared" si="114"/>
        <v>0</v>
      </c>
      <c r="AX407" s="901">
        <f t="shared" si="115"/>
        <v>0</v>
      </c>
      <c r="AY407" s="901">
        <f ca="1"/>
        <v>0</v>
      </c>
      <c r="AZ407" s="901">
        <f ca="1"/>
        <v>0</v>
      </c>
      <c r="BA407" s="905">
        <f t="shared" si="104"/>
        <v>0</v>
      </c>
      <c r="BB407" s="905">
        <f t="shared" si="105"/>
        <v>0</v>
      </c>
      <c r="BC407" s="905">
        <f t="shared" si="106"/>
        <v>0</v>
      </c>
      <c r="BD407" s="905">
        <f t="shared" si="107"/>
        <v>0</v>
      </c>
      <c r="BE407" s="905">
        <f t="shared" si="108"/>
        <v>0</v>
      </c>
      <c r="BF407" s="905">
        <f t="shared" si="109"/>
        <v>0</v>
      </c>
      <c r="BG407" s="905">
        <f t="shared" si="110"/>
        <v>0</v>
      </c>
      <c r="BH407" s="905">
        <f t="shared" si="111"/>
        <v>0</v>
      </c>
      <c r="BI407" s="713">
        <v>0</v>
      </c>
      <c r="BJ407" s="695"/>
      <c r="BK407" s="752">
        <f>IF(X408=0,0,           IF(ISNUMBER(BJ407),BJ407,               IF(ISTEXT(BJ407),INDEX(BA407:BH407,MATCH(BJ407,$BA$12:$BH$12,0)),             IF(BI407="INT",_xll.qInterp(X408,AK407:AR407,BA407:BH407),            INDEX(BA407:BH407,MATCH(BI407,$BA$12:$BH$12,0))))))</f>
        <v>0</v>
      </c>
      <c r="BL407" s="389">
        <f t="shared" si="116"/>
        <v>0</v>
      </c>
      <c r="BM407" s="394">
        <f t="shared" si="117"/>
        <v>0</v>
      </c>
      <c r="BN407" s="389">
        <f t="shared" si="118"/>
        <v>0</v>
      </c>
    </row>
    <row r="408" spans="16:66">
      <c r="P408" s="716">
        <v>0</v>
      </c>
      <c r="Q408" s="715">
        <f t="shared" si="102"/>
        <v>0</v>
      </c>
      <c r="R408" s="712">
        <f>IF(P409,_xll.qDateYears(P408,P409,DCCfixed),0)</f>
        <v>0</v>
      </c>
      <c r="S408" s="519">
        <f ca="1"/>
        <v>0</v>
      </c>
      <c r="T408" s="720"/>
      <c r="U408" s="390">
        <f t="shared" si="112"/>
        <v>0</v>
      </c>
      <c r="X408" s="345">
        <v>0</v>
      </c>
      <c r="Y408" s="711">
        <f t="shared" si="103"/>
        <v>0</v>
      </c>
      <c r="Z408" s="712">
        <f>IF(X409,_xll.qDateYears(X408,X409,DCCfloat),0)</f>
        <v>0</v>
      </c>
      <c r="AA408" s="519">
        <f ca="1"/>
        <v>0</v>
      </c>
      <c r="AB408" s="890">
        <f>IF(X408=0,0,         IF(OR(CCY="AUD",CCY="NZD",CCY="GBP"),X408,   _xll.qDateNext(X408,"-2b",,,IF(CCY="EUR","TGT","LON"))))</f>
        <v>0</v>
      </c>
      <c r="AC408" s="879" t="str">
        <v/>
      </c>
      <c r="AD408" s="879" t="str">
        <v/>
      </c>
      <c r="AE408" s="879" t="str">
        <v/>
      </c>
      <c r="AF408" s="879" t="str">
        <v/>
      </c>
      <c r="AG408" s="879" t="str">
        <v/>
      </c>
      <c r="AH408" s="879" t="str">
        <v/>
      </c>
      <c r="AI408" s="879" t="str">
        <v/>
      </c>
      <c r="AJ408" s="879" t="str">
        <v/>
      </c>
      <c r="AK408" s="882">
        <f>IF($X408=0,0,      _xll.qDateNext($X408,AK$12,$AR$11,FRM&lt;&gt;"Calypso",CCY))</f>
        <v>0</v>
      </c>
      <c r="AL408" s="882">
        <f>IF($X408=0,0,      _xll.qDateNext($X408,AL$12,$AR$11,FRM&lt;&gt;"Calypso",CCY))</f>
        <v>0</v>
      </c>
      <c r="AM408" s="882">
        <f>IF($X408=0,0,      _xll.qDateNext($X408,AM$12,$AR$11,FRM&lt;&gt;"Calypso",CCY))</f>
        <v>0</v>
      </c>
      <c r="AN408" s="882">
        <f>IF($X408=0,0,      _xll.qDateNext($X408,AN$12,$AR$11,FRM&lt;&gt;"Calypso",CCY))</f>
        <v>0</v>
      </c>
      <c r="AO408" s="882">
        <f>IF($X408=0,0,      _xll.qDateNext($X408,AO$12,$AR$11,FRM&lt;&gt;"Calypso",CCY))</f>
        <v>0</v>
      </c>
      <c r="AP408" s="882">
        <f>IF($X408=0,0,      _xll.qDateNext($X408,AP$12,$AR$11,FRM&lt;&gt;"Calypso",CCY))</f>
        <v>0</v>
      </c>
      <c r="AQ408" s="882">
        <f>IF($X408=0,0,      _xll.qDateNext($X408,AQ$12,$AR$11,FRM&lt;&gt;"Calypso",CCY))</f>
        <v>0</v>
      </c>
      <c r="AR408" s="882">
        <f>IF($X408=0,0,      _xll.qDateNext($X408,AR$12,$AR$11,FRM&lt;&gt;"Calypso",CCY))</f>
        <v>0</v>
      </c>
      <c r="AS408" s="901">
        <f ca="1"/>
        <v>0</v>
      </c>
      <c r="AT408" s="901">
        <f ca="1"/>
        <v>0</v>
      </c>
      <c r="AU408" s="901">
        <f t="shared" si="113"/>
        <v>0</v>
      </c>
      <c r="AV408" s="901">
        <f ca="1"/>
        <v>0</v>
      </c>
      <c r="AW408" s="901">
        <f t="shared" si="114"/>
        <v>0</v>
      </c>
      <c r="AX408" s="901">
        <f t="shared" si="115"/>
        <v>0</v>
      </c>
      <c r="AY408" s="901">
        <f ca="1"/>
        <v>0</v>
      </c>
      <c r="AZ408" s="901">
        <f ca="1"/>
        <v>0</v>
      </c>
      <c r="BA408" s="905">
        <f t="shared" si="104"/>
        <v>0</v>
      </c>
      <c r="BB408" s="905">
        <f t="shared" si="105"/>
        <v>0</v>
      </c>
      <c r="BC408" s="905">
        <f t="shared" si="106"/>
        <v>0</v>
      </c>
      <c r="BD408" s="905">
        <f t="shared" si="107"/>
        <v>0</v>
      </c>
      <c r="BE408" s="905">
        <f t="shared" si="108"/>
        <v>0</v>
      </c>
      <c r="BF408" s="905">
        <f t="shared" si="109"/>
        <v>0</v>
      </c>
      <c r="BG408" s="905">
        <f t="shared" si="110"/>
        <v>0</v>
      </c>
      <c r="BH408" s="905">
        <f t="shared" si="111"/>
        <v>0</v>
      </c>
      <c r="BI408" s="713">
        <v>0</v>
      </c>
      <c r="BJ408" s="695"/>
      <c r="BK408" s="752">
        <f>IF(X409=0,0,           IF(ISNUMBER(BJ408),BJ408,               IF(ISTEXT(BJ408),INDEX(BA408:BH408,MATCH(BJ408,$BA$12:$BH$12,0)),             IF(BI408="INT",_xll.qInterp(X409,AK408:AR408,BA408:BH408),            INDEX(BA408:BH408,MATCH(BI408,$BA$12:$BH$12,0))))))</f>
        <v>0</v>
      </c>
      <c r="BL408" s="389">
        <f t="shared" si="116"/>
        <v>0</v>
      </c>
      <c r="BM408" s="394">
        <f t="shared" si="117"/>
        <v>0</v>
      </c>
      <c r="BN408" s="389">
        <f t="shared" si="118"/>
        <v>0</v>
      </c>
    </row>
    <row r="409" spans="16:66">
      <c r="P409" s="716">
        <v>0</v>
      </c>
      <c r="Q409" s="715">
        <f t="shared" si="102"/>
        <v>0</v>
      </c>
      <c r="R409" s="712">
        <f>IF(P410,_xll.qDateYears(P409,P410,DCCfixed),0)</f>
        <v>0</v>
      </c>
      <c r="S409" s="519">
        <f ca="1"/>
        <v>0</v>
      </c>
      <c r="T409" s="720"/>
      <c r="U409" s="390">
        <f t="shared" si="112"/>
        <v>0</v>
      </c>
      <c r="X409" s="345">
        <v>0</v>
      </c>
      <c r="Y409" s="711">
        <f t="shared" si="103"/>
        <v>0</v>
      </c>
      <c r="Z409" s="712">
        <f>IF(X410,_xll.qDateYears(X409,X410,DCCfloat),0)</f>
        <v>0</v>
      </c>
      <c r="AA409" s="519">
        <f ca="1"/>
        <v>0</v>
      </c>
      <c r="AB409" s="890">
        <f>IF(X409=0,0,         IF(OR(CCY="AUD",CCY="NZD",CCY="GBP"),X409,   _xll.qDateNext(X409,"-2b",,,IF(CCY="EUR","TGT","LON"))))</f>
        <v>0</v>
      </c>
      <c r="AC409" s="879" t="str">
        <v/>
      </c>
      <c r="AD409" s="879" t="str">
        <v/>
      </c>
      <c r="AE409" s="879" t="str">
        <v/>
      </c>
      <c r="AF409" s="879" t="str">
        <v/>
      </c>
      <c r="AG409" s="879" t="str">
        <v/>
      </c>
      <c r="AH409" s="879" t="str">
        <v/>
      </c>
      <c r="AI409" s="879" t="str">
        <v/>
      </c>
      <c r="AJ409" s="879" t="str">
        <v/>
      </c>
      <c r="AK409" s="882">
        <f>IF($X409=0,0,      _xll.qDateNext($X409,AK$12,$AR$11,FRM&lt;&gt;"Calypso",CCY))</f>
        <v>0</v>
      </c>
      <c r="AL409" s="882">
        <f>IF($X409=0,0,      _xll.qDateNext($X409,AL$12,$AR$11,FRM&lt;&gt;"Calypso",CCY))</f>
        <v>0</v>
      </c>
      <c r="AM409" s="882">
        <f>IF($X409=0,0,      _xll.qDateNext($X409,AM$12,$AR$11,FRM&lt;&gt;"Calypso",CCY))</f>
        <v>0</v>
      </c>
      <c r="AN409" s="882">
        <f>IF($X409=0,0,      _xll.qDateNext($X409,AN$12,$AR$11,FRM&lt;&gt;"Calypso",CCY))</f>
        <v>0</v>
      </c>
      <c r="AO409" s="882">
        <f>IF($X409=0,0,      _xll.qDateNext($X409,AO$12,$AR$11,FRM&lt;&gt;"Calypso",CCY))</f>
        <v>0</v>
      </c>
      <c r="AP409" s="882">
        <f>IF($X409=0,0,      _xll.qDateNext($X409,AP$12,$AR$11,FRM&lt;&gt;"Calypso",CCY))</f>
        <v>0</v>
      </c>
      <c r="AQ409" s="882">
        <f>IF($X409=0,0,      _xll.qDateNext($X409,AQ$12,$AR$11,FRM&lt;&gt;"Calypso",CCY))</f>
        <v>0</v>
      </c>
      <c r="AR409" s="882">
        <f>IF($X409=0,0,      _xll.qDateNext($X409,AR$12,$AR$11,FRM&lt;&gt;"Calypso",CCY))</f>
        <v>0</v>
      </c>
      <c r="AS409" s="901">
        <f ca="1"/>
        <v>0</v>
      </c>
      <c r="AT409" s="901">
        <f ca="1"/>
        <v>0</v>
      </c>
      <c r="AU409" s="901">
        <f t="shared" si="113"/>
        <v>0</v>
      </c>
      <c r="AV409" s="901">
        <f ca="1"/>
        <v>0</v>
      </c>
      <c r="AW409" s="901">
        <f t="shared" si="114"/>
        <v>0</v>
      </c>
      <c r="AX409" s="901">
        <f t="shared" si="115"/>
        <v>0</v>
      </c>
      <c r="AY409" s="901">
        <f ca="1"/>
        <v>0</v>
      </c>
      <c r="AZ409" s="901">
        <f ca="1"/>
        <v>0</v>
      </c>
      <c r="BA409" s="905">
        <f t="shared" si="104"/>
        <v>0</v>
      </c>
      <c r="BB409" s="905">
        <f t="shared" si="105"/>
        <v>0</v>
      </c>
      <c r="BC409" s="905">
        <f t="shared" si="106"/>
        <v>0</v>
      </c>
      <c r="BD409" s="905">
        <f t="shared" si="107"/>
        <v>0</v>
      </c>
      <c r="BE409" s="905">
        <f t="shared" si="108"/>
        <v>0</v>
      </c>
      <c r="BF409" s="905">
        <f t="shared" si="109"/>
        <v>0</v>
      </c>
      <c r="BG409" s="905">
        <f t="shared" si="110"/>
        <v>0</v>
      </c>
      <c r="BH409" s="905">
        <f t="shared" si="111"/>
        <v>0</v>
      </c>
      <c r="BI409" s="713">
        <v>0</v>
      </c>
      <c r="BJ409" s="695"/>
      <c r="BK409" s="752">
        <f>IF(X410=0,0,           IF(ISNUMBER(BJ409),BJ409,               IF(ISTEXT(BJ409),INDEX(BA409:BH409,MATCH(BJ409,$BA$12:$BH$12,0)),             IF(BI409="INT",_xll.qInterp(X410,AK409:AR409,BA409:BH409),            INDEX(BA409:BH409,MATCH(BI409,$BA$12:$BH$12,0))))))</f>
        <v>0</v>
      </c>
      <c r="BL409" s="389">
        <f t="shared" si="116"/>
        <v>0</v>
      </c>
      <c r="BM409" s="394">
        <f t="shared" si="117"/>
        <v>0</v>
      </c>
      <c r="BN409" s="389">
        <f t="shared" si="118"/>
        <v>0</v>
      </c>
    </row>
    <row r="410" spans="16:66">
      <c r="P410" s="716">
        <v>0</v>
      </c>
      <c r="Q410" s="715">
        <f t="shared" si="102"/>
        <v>0</v>
      </c>
      <c r="R410" s="712">
        <f>IF(P411,_xll.qDateYears(P410,P411,DCCfixed),0)</f>
        <v>0</v>
      </c>
      <c r="S410" s="519">
        <f ca="1"/>
        <v>0</v>
      </c>
      <c r="T410" s="720"/>
      <c r="U410" s="390">
        <f t="shared" si="112"/>
        <v>0</v>
      </c>
      <c r="X410" s="345">
        <v>0</v>
      </c>
      <c r="Y410" s="711">
        <f t="shared" si="103"/>
        <v>0</v>
      </c>
      <c r="Z410" s="712">
        <f>IF(X411,_xll.qDateYears(X410,X411,DCCfloat),0)</f>
        <v>0</v>
      </c>
      <c r="AA410" s="519">
        <f ca="1"/>
        <v>0</v>
      </c>
      <c r="AB410" s="890">
        <f>IF(X410=0,0,         IF(OR(CCY="AUD",CCY="NZD",CCY="GBP"),X410,   _xll.qDateNext(X410,"-2b",,,IF(CCY="EUR","TGT","LON"))))</f>
        <v>0</v>
      </c>
      <c r="AC410" s="879" t="str">
        <v/>
      </c>
      <c r="AD410" s="879" t="str">
        <v/>
      </c>
      <c r="AE410" s="879" t="str">
        <v/>
      </c>
      <c r="AF410" s="879" t="str">
        <v/>
      </c>
      <c r="AG410" s="879" t="str">
        <v/>
      </c>
      <c r="AH410" s="879" t="str">
        <v/>
      </c>
      <c r="AI410" s="879" t="str">
        <v/>
      </c>
      <c r="AJ410" s="879" t="str">
        <v/>
      </c>
      <c r="AK410" s="882">
        <f>IF($X410=0,0,      _xll.qDateNext($X410,AK$12,$AR$11,FRM&lt;&gt;"Calypso",CCY))</f>
        <v>0</v>
      </c>
      <c r="AL410" s="882">
        <f>IF($X410=0,0,      _xll.qDateNext($X410,AL$12,$AR$11,FRM&lt;&gt;"Calypso",CCY))</f>
        <v>0</v>
      </c>
      <c r="AM410" s="882">
        <f>IF($X410=0,0,      _xll.qDateNext($X410,AM$12,$AR$11,FRM&lt;&gt;"Calypso",CCY))</f>
        <v>0</v>
      </c>
      <c r="AN410" s="882">
        <f>IF($X410=0,0,      _xll.qDateNext($X410,AN$12,$AR$11,FRM&lt;&gt;"Calypso",CCY))</f>
        <v>0</v>
      </c>
      <c r="AO410" s="882">
        <f>IF($X410=0,0,      _xll.qDateNext($X410,AO$12,$AR$11,FRM&lt;&gt;"Calypso",CCY))</f>
        <v>0</v>
      </c>
      <c r="AP410" s="882">
        <f>IF($X410=0,0,      _xll.qDateNext($X410,AP$12,$AR$11,FRM&lt;&gt;"Calypso",CCY))</f>
        <v>0</v>
      </c>
      <c r="AQ410" s="882">
        <f>IF($X410=0,0,      _xll.qDateNext($X410,AQ$12,$AR$11,FRM&lt;&gt;"Calypso",CCY))</f>
        <v>0</v>
      </c>
      <c r="AR410" s="882">
        <f>IF($X410=0,0,      _xll.qDateNext($X410,AR$12,$AR$11,FRM&lt;&gt;"Calypso",CCY))</f>
        <v>0</v>
      </c>
      <c r="AS410" s="901">
        <f ca="1"/>
        <v>0</v>
      </c>
      <c r="AT410" s="901">
        <f ca="1"/>
        <v>0</v>
      </c>
      <c r="AU410" s="901">
        <f t="shared" si="113"/>
        <v>0</v>
      </c>
      <c r="AV410" s="901">
        <f ca="1"/>
        <v>0</v>
      </c>
      <c r="AW410" s="901">
        <f t="shared" si="114"/>
        <v>0</v>
      </c>
      <c r="AX410" s="901">
        <f t="shared" si="115"/>
        <v>0</v>
      </c>
      <c r="AY410" s="901">
        <f ca="1"/>
        <v>0</v>
      </c>
      <c r="AZ410" s="901">
        <f ca="1"/>
        <v>0</v>
      </c>
      <c r="BA410" s="905">
        <f t="shared" si="104"/>
        <v>0</v>
      </c>
      <c r="BB410" s="905">
        <f t="shared" si="105"/>
        <v>0</v>
      </c>
      <c r="BC410" s="905">
        <f t="shared" si="106"/>
        <v>0</v>
      </c>
      <c r="BD410" s="905">
        <f t="shared" si="107"/>
        <v>0</v>
      </c>
      <c r="BE410" s="905">
        <f t="shared" si="108"/>
        <v>0</v>
      </c>
      <c r="BF410" s="905">
        <f t="shared" si="109"/>
        <v>0</v>
      </c>
      <c r="BG410" s="905">
        <f t="shared" si="110"/>
        <v>0</v>
      </c>
      <c r="BH410" s="905">
        <f t="shared" si="111"/>
        <v>0</v>
      </c>
      <c r="BI410" s="713">
        <v>0</v>
      </c>
      <c r="BJ410" s="695"/>
      <c r="BK410" s="752">
        <f>IF(X411=0,0,           IF(ISNUMBER(BJ410),BJ410,               IF(ISTEXT(BJ410),INDEX(BA410:BH410,MATCH(BJ410,$BA$12:$BH$12,0)),             IF(BI410="INT",_xll.qInterp(X411,AK410:AR410,BA410:BH410),            INDEX(BA410:BH410,MATCH(BI410,$BA$12:$BH$12,0))))))</f>
        <v>0</v>
      </c>
      <c r="BL410" s="389">
        <f t="shared" si="116"/>
        <v>0</v>
      </c>
      <c r="BM410" s="394">
        <f t="shared" si="117"/>
        <v>0</v>
      </c>
      <c r="BN410" s="389">
        <f t="shared" si="118"/>
        <v>0</v>
      </c>
    </row>
    <row r="411" spans="16:66">
      <c r="P411" s="716">
        <v>0</v>
      </c>
      <c r="Q411" s="715">
        <f t="shared" si="102"/>
        <v>0</v>
      </c>
      <c r="R411" s="712">
        <f>IF(P412,_xll.qDateYears(P411,P412,DCCfixed),0)</f>
        <v>0</v>
      </c>
      <c r="S411" s="519">
        <f ca="1"/>
        <v>0</v>
      </c>
      <c r="T411" s="720"/>
      <c r="U411" s="390">
        <f t="shared" si="112"/>
        <v>0</v>
      </c>
      <c r="X411" s="345">
        <v>0</v>
      </c>
      <c r="Y411" s="711">
        <f t="shared" si="103"/>
        <v>0</v>
      </c>
      <c r="Z411" s="712">
        <f>IF(X412,_xll.qDateYears(X411,X412,DCCfloat),0)</f>
        <v>0</v>
      </c>
      <c r="AA411" s="519">
        <f ca="1"/>
        <v>0</v>
      </c>
      <c r="AB411" s="890">
        <f>IF(X411=0,0,         IF(OR(CCY="AUD",CCY="NZD",CCY="GBP"),X411,   _xll.qDateNext(X411,"-2b",,,IF(CCY="EUR","TGT","LON"))))</f>
        <v>0</v>
      </c>
      <c r="AC411" s="879" t="str">
        <v/>
      </c>
      <c r="AD411" s="879" t="str">
        <v/>
      </c>
      <c r="AE411" s="879" t="str">
        <v/>
      </c>
      <c r="AF411" s="879" t="str">
        <v/>
      </c>
      <c r="AG411" s="879" t="str">
        <v/>
      </c>
      <c r="AH411" s="879" t="str">
        <v/>
      </c>
      <c r="AI411" s="879" t="str">
        <v/>
      </c>
      <c r="AJ411" s="879" t="str">
        <v/>
      </c>
      <c r="AK411" s="882">
        <f>IF($X411=0,0,      _xll.qDateNext($X411,AK$12,$AR$11,FRM&lt;&gt;"Calypso",CCY))</f>
        <v>0</v>
      </c>
      <c r="AL411" s="882">
        <f>IF($X411=0,0,      _xll.qDateNext($X411,AL$12,$AR$11,FRM&lt;&gt;"Calypso",CCY))</f>
        <v>0</v>
      </c>
      <c r="AM411" s="882">
        <f>IF($X411=0,0,      _xll.qDateNext($X411,AM$12,$AR$11,FRM&lt;&gt;"Calypso",CCY))</f>
        <v>0</v>
      </c>
      <c r="AN411" s="882">
        <f>IF($X411=0,0,      _xll.qDateNext($X411,AN$12,$AR$11,FRM&lt;&gt;"Calypso",CCY))</f>
        <v>0</v>
      </c>
      <c r="AO411" s="882">
        <f>IF($X411=0,0,      _xll.qDateNext($X411,AO$12,$AR$11,FRM&lt;&gt;"Calypso",CCY))</f>
        <v>0</v>
      </c>
      <c r="AP411" s="882">
        <f>IF($X411=0,0,      _xll.qDateNext($X411,AP$12,$AR$11,FRM&lt;&gt;"Calypso",CCY))</f>
        <v>0</v>
      </c>
      <c r="AQ411" s="882">
        <f>IF($X411=0,0,      _xll.qDateNext($X411,AQ$12,$AR$11,FRM&lt;&gt;"Calypso",CCY))</f>
        <v>0</v>
      </c>
      <c r="AR411" s="882">
        <f>IF($X411=0,0,      _xll.qDateNext($X411,AR$12,$AR$11,FRM&lt;&gt;"Calypso",CCY))</f>
        <v>0</v>
      </c>
      <c r="AS411" s="901">
        <f ca="1"/>
        <v>0</v>
      </c>
      <c r="AT411" s="901">
        <f ca="1"/>
        <v>0</v>
      </c>
      <c r="AU411" s="901">
        <f t="shared" si="113"/>
        <v>0</v>
      </c>
      <c r="AV411" s="901">
        <f ca="1"/>
        <v>0</v>
      </c>
      <c r="AW411" s="901">
        <f t="shared" si="114"/>
        <v>0</v>
      </c>
      <c r="AX411" s="901">
        <f t="shared" si="115"/>
        <v>0</v>
      </c>
      <c r="AY411" s="901">
        <f ca="1"/>
        <v>0</v>
      </c>
      <c r="AZ411" s="901">
        <f ca="1"/>
        <v>0</v>
      </c>
      <c r="BA411" s="905">
        <f t="shared" si="104"/>
        <v>0</v>
      </c>
      <c r="BB411" s="905">
        <f t="shared" si="105"/>
        <v>0</v>
      </c>
      <c r="BC411" s="905">
        <f t="shared" si="106"/>
        <v>0</v>
      </c>
      <c r="BD411" s="905">
        <f t="shared" si="107"/>
        <v>0</v>
      </c>
      <c r="BE411" s="905">
        <f t="shared" si="108"/>
        <v>0</v>
      </c>
      <c r="BF411" s="905">
        <f t="shared" si="109"/>
        <v>0</v>
      </c>
      <c r="BG411" s="905">
        <f t="shared" si="110"/>
        <v>0</v>
      </c>
      <c r="BH411" s="905">
        <f t="shared" si="111"/>
        <v>0</v>
      </c>
      <c r="BI411" s="713">
        <v>0</v>
      </c>
      <c r="BJ411" s="695"/>
      <c r="BK411" s="752">
        <f>IF(X412=0,0,           IF(ISNUMBER(BJ411),BJ411,               IF(ISTEXT(BJ411),INDEX(BA411:BH411,MATCH(BJ411,$BA$12:$BH$12,0)),             IF(BI411="INT",_xll.qInterp(X412,AK411:AR411,BA411:BH411),            INDEX(BA411:BH411,MATCH(BI411,$BA$12:$BH$12,0))))))</f>
        <v>0</v>
      </c>
      <c r="BL411" s="389">
        <f t="shared" si="116"/>
        <v>0</v>
      </c>
      <c r="BM411" s="394">
        <f t="shared" si="117"/>
        <v>0</v>
      </c>
      <c r="BN411" s="389">
        <f t="shared" si="118"/>
        <v>0</v>
      </c>
    </row>
    <row r="412" spans="16:66">
      <c r="P412" s="716">
        <v>0</v>
      </c>
      <c r="Q412" s="715">
        <f t="shared" si="102"/>
        <v>0</v>
      </c>
      <c r="R412" s="712">
        <f>IF(P413,_xll.qDateYears(P412,P413,DCCfixed),0)</f>
        <v>0</v>
      </c>
      <c r="S412" s="519">
        <f ca="1"/>
        <v>0</v>
      </c>
      <c r="T412" s="720"/>
      <c r="U412" s="390">
        <f t="shared" si="112"/>
        <v>0</v>
      </c>
      <c r="X412" s="345">
        <v>0</v>
      </c>
      <c r="Y412" s="711">
        <f t="shared" si="103"/>
        <v>0</v>
      </c>
      <c r="Z412" s="712">
        <f>IF(X413,_xll.qDateYears(X412,X413,DCCfloat),0)</f>
        <v>0</v>
      </c>
      <c r="AA412" s="519">
        <f ca="1"/>
        <v>0</v>
      </c>
      <c r="AB412" s="890">
        <f>IF(X412=0,0,         IF(OR(CCY="AUD",CCY="NZD",CCY="GBP"),X412,   _xll.qDateNext(X412,"-2b",,,IF(CCY="EUR","TGT","LON"))))</f>
        <v>0</v>
      </c>
      <c r="AC412" s="879" t="str">
        <v/>
      </c>
      <c r="AD412" s="879" t="str">
        <v/>
      </c>
      <c r="AE412" s="879" t="str">
        <v/>
      </c>
      <c r="AF412" s="879" t="str">
        <v/>
      </c>
      <c r="AG412" s="879" t="str">
        <v/>
      </c>
      <c r="AH412" s="879" t="str">
        <v/>
      </c>
      <c r="AI412" s="879" t="str">
        <v/>
      </c>
      <c r="AJ412" s="879" t="str">
        <v/>
      </c>
      <c r="AK412" s="882">
        <f>IF($X412=0,0,      _xll.qDateNext($X412,AK$12,$AR$11,FRM&lt;&gt;"Calypso",CCY))</f>
        <v>0</v>
      </c>
      <c r="AL412" s="882">
        <f>IF($X412=0,0,      _xll.qDateNext($X412,AL$12,$AR$11,FRM&lt;&gt;"Calypso",CCY))</f>
        <v>0</v>
      </c>
      <c r="AM412" s="882">
        <f>IF($X412=0,0,      _xll.qDateNext($X412,AM$12,$AR$11,FRM&lt;&gt;"Calypso",CCY))</f>
        <v>0</v>
      </c>
      <c r="AN412" s="882">
        <f>IF($X412=0,0,      _xll.qDateNext($X412,AN$12,$AR$11,FRM&lt;&gt;"Calypso",CCY))</f>
        <v>0</v>
      </c>
      <c r="AO412" s="882">
        <f>IF($X412=0,0,      _xll.qDateNext($X412,AO$12,$AR$11,FRM&lt;&gt;"Calypso",CCY))</f>
        <v>0</v>
      </c>
      <c r="AP412" s="882">
        <f>IF($X412=0,0,      _xll.qDateNext($X412,AP$12,$AR$11,FRM&lt;&gt;"Calypso",CCY))</f>
        <v>0</v>
      </c>
      <c r="AQ412" s="882">
        <f>IF($X412=0,0,      _xll.qDateNext($X412,AQ$12,$AR$11,FRM&lt;&gt;"Calypso",CCY))</f>
        <v>0</v>
      </c>
      <c r="AR412" s="882">
        <f>IF($X412=0,0,      _xll.qDateNext($X412,AR$12,$AR$11,FRM&lt;&gt;"Calypso",CCY))</f>
        <v>0</v>
      </c>
      <c r="AS412" s="901">
        <f ca="1"/>
        <v>0</v>
      </c>
      <c r="AT412" s="901">
        <f ca="1"/>
        <v>0</v>
      </c>
      <c r="AU412" s="901">
        <f t="shared" si="113"/>
        <v>0</v>
      </c>
      <c r="AV412" s="901">
        <f ca="1"/>
        <v>0</v>
      </c>
      <c r="AW412" s="901">
        <f t="shared" si="114"/>
        <v>0</v>
      </c>
      <c r="AX412" s="901">
        <f t="shared" si="115"/>
        <v>0</v>
      </c>
      <c r="AY412" s="901">
        <f ca="1"/>
        <v>0</v>
      </c>
      <c r="AZ412" s="901">
        <f ca="1"/>
        <v>0</v>
      </c>
      <c r="BA412" s="905">
        <f t="shared" si="104"/>
        <v>0</v>
      </c>
      <c r="BB412" s="905">
        <f t="shared" si="105"/>
        <v>0</v>
      </c>
      <c r="BC412" s="905">
        <f t="shared" si="106"/>
        <v>0</v>
      </c>
      <c r="BD412" s="905">
        <f t="shared" si="107"/>
        <v>0</v>
      </c>
      <c r="BE412" s="905">
        <f t="shared" si="108"/>
        <v>0</v>
      </c>
      <c r="BF412" s="905">
        <f t="shared" si="109"/>
        <v>0</v>
      </c>
      <c r="BG412" s="905">
        <f t="shared" si="110"/>
        <v>0</v>
      </c>
      <c r="BH412" s="905">
        <f t="shared" si="111"/>
        <v>0</v>
      </c>
      <c r="BI412" s="713">
        <v>0</v>
      </c>
      <c r="BJ412" s="695"/>
      <c r="BK412" s="752">
        <f>IF(X413=0,0,           IF(ISNUMBER(BJ412),BJ412,               IF(ISTEXT(BJ412),INDEX(BA412:BH412,MATCH(BJ412,$BA$12:$BH$12,0)),             IF(BI412="INT",_xll.qInterp(X413,AK412:AR412,BA412:BH412),            INDEX(BA412:BH412,MATCH(BI412,$BA$12:$BH$12,0))))))</f>
        <v>0</v>
      </c>
      <c r="BL412" s="389">
        <f t="shared" si="116"/>
        <v>0</v>
      </c>
      <c r="BM412" s="394">
        <f t="shared" si="117"/>
        <v>0</v>
      </c>
      <c r="BN412" s="389">
        <f t="shared" si="118"/>
        <v>0</v>
      </c>
    </row>
    <row r="413" spans="16:66">
      <c r="P413" s="716">
        <v>0</v>
      </c>
      <c r="Q413" s="715">
        <f t="shared" si="102"/>
        <v>0</v>
      </c>
      <c r="R413" s="712">
        <f>IF(P414,_xll.qDateYears(P413,P414,DCCfixed),0)</f>
        <v>0</v>
      </c>
      <c r="S413" s="519">
        <f ca="1"/>
        <v>0</v>
      </c>
      <c r="T413" s="720"/>
      <c r="U413" s="390">
        <f t="shared" si="112"/>
        <v>0</v>
      </c>
      <c r="X413" s="345">
        <v>0</v>
      </c>
      <c r="Y413" s="711">
        <f t="shared" si="103"/>
        <v>0</v>
      </c>
      <c r="Z413" s="712">
        <f>IF(X414,_xll.qDateYears(X413,X414,DCCfloat),0)</f>
        <v>0</v>
      </c>
      <c r="AA413" s="519">
        <f ca="1"/>
        <v>0</v>
      </c>
      <c r="AB413" s="890">
        <f>IF(X413=0,0,         IF(OR(CCY="AUD",CCY="NZD",CCY="GBP"),X413,   _xll.qDateNext(X413,"-2b",,,IF(CCY="EUR","TGT","LON"))))</f>
        <v>0</v>
      </c>
      <c r="AC413" s="879" t="str">
        <v/>
      </c>
      <c r="AD413" s="879" t="str">
        <v/>
      </c>
      <c r="AE413" s="879" t="str">
        <v/>
      </c>
      <c r="AF413" s="879" t="str">
        <v/>
      </c>
      <c r="AG413" s="879" t="str">
        <v/>
      </c>
      <c r="AH413" s="879" t="str">
        <v/>
      </c>
      <c r="AI413" s="879" t="str">
        <v/>
      </c>
      <c r="AJ413" s="879" t="str">
        <v/>
      </c>
      <c r="AK413" s="882">
        <f>IF($X413=0,0,      _xll.qDateNext($X413,AK$12,$AR$11,FRM&lt;&gt;"Calypso",CCY))</f>
        <v>0</v>
      </c>
      <c r="AL413" s="882">
        <f>IF($X413=0,0,      _xll.qDateNext($X413,AL$12,$AR$11,FRM&lt;&gt;"Calypso",CCY))</f>
        <v>0</v>
      </c>
      <c r="AM413" s="882">
        <f>IF($X413=0,0,      _xll.qDateNext($X413,AM$12,$AR$11,FRM&lt;&gt;"Calypso",CCY))</f>
        <v>0</v>
      </c>
      <c r="AN413" s="882">
        <f>IF($X413=0,0,      _xll.qDateNext($X413,AN$12,$AR$11,FRM&lt;&gt;"Calypso",CCY))</f>
        <v>0</v>
      </c>
      <c r="AO413" s="882">
        <f>IF($X413=0,0,      _xll.qDateNext($X413,AO$12,$AR$11,FRM&lt;&gt;"Calypso",CCY))</f>
        <v>0</v>
      </c>
      <c r="AP413" s="882">
        <f>IF($X413=0,0,      _xll.qDateNext($X413,AP$12,$AR$11,FRM&lt;&gt;"Calypso",CCY))</f>
        <v>0</v>
      </c>
      <c r="AQ413" s="882">
        <f>IF($X413=0,0,      _xll.qDateNext($X413,AQ$12,$AR$11,FRM&lt;&gt;"Calypso",CCY))</f>
        <v>0</v>
      </c>
      <c r="AR413" s="882">
        <f>IF($X413=0,0,      _xll.qDateNext($X413,AR$12,$AR$11,FRM&lt;&gt;"Calypso",CCY))</f>
        <v>0</v>
      </c>
      <c r="AS413" s="901">
        <f ca="1"/>
        <v>0</v>
      </c>
      <c r="AT413" s="901">
        <f ca="1"/>
        <v>0</v>
      </c>
      <c r="AU413" s="901">
        <f t="shared" si="113"/>
        <v>0</v>
      </c>
      <c r="AV413" s="901">
        <f ca="1"/>
        <v>0</v>
      </c>
      <c r="AW413" s="901">
        <f t="shared" si="114"/>
        <v>0</v>
      </c>
      <c r="AX413" s="901">
        <f t="shared" si="115"/>
        <v>0</v>
      </c>
      <c r="AY413" s="901">
        <f ca="1"/>
        <v>0</v>
      </c>
      <c r="AZ413" s="901">
        <f ca="1"/>
        <v>0</v>
      </c>
      <c r="BA413" s="905">
        <f t="shared" si="104"/>
        <v>0</v>
      </c>
      <c r="BB413" s="905">
        <f t="shared" si="105"/>
        <v>0</v>
      </c>
      <c r="BC413" s="905">
        <f t="shared" si="106"/>
        <v>0</v>
      </c>
      <c r="BD413" s="905">
        <f t="shared" si="107"/>
        <v>0</v>
      </c>
      <c r="BE413" s="905">
        <f t="shared" si="108"/>
        <v>0</v>
      </c>
      <c r="BF413" s="905">
        <f t="shared" si="109"/>
        <v>0</v>
      </c>
      <c r="BG413" s="905">
        <f t="shared" si="110"/>
        <v>0</v>
      </c>
      <c r="BH413" s="905">
        <f t="shared" si="111"/>
        <v>0</v>
      </c>
      <c r="BI413" s="713">
        <v>0</v>
      </c>
      <c r="BJ413" s="695"/>
      <c r="BK413" s="752">
        <f>IF(X414=0,0,           IF(ISNUMBER(BJ413),BJ413,               IF(ISTEXT(BJ413),INDEX(BA413:BH413,MATCH(BJ413,$BA$12:$BH$12,0)),             IF(BI413="INT",_xll.qInterp(X414,AK413:AR413,BA413:BH413),            INDEX(BA413:BH413,MATCH(BI413,$BA$12:$BH$12,0))))))</f>
        <v>0</v>
      </c>
      <c r="BL413" s="389">
        <f t="shared" si="116"/>
        <v>0</v>
      </c>
      <c r="BM413" s="394">
        <f t="shared" si="117"/>
        <v>0</v>
      </c>
      <c r="BN413" s="389">
        <f t="shared" si="118"/>
        <v>0</v>
      </c>
    </row>
    <row r="414" spans="16:66">
      <c r="P414" s="716">
        <v>0</v>
      </c>
      <c r="Q414" s="715">
        <f t="shared" si="102"/>
        <v>0</v>
      </c>
      <c r="R414" s="712">
        <f>IF(P415,_xll.qDateYears(P414,P415,DCCfixed),0)</f>
        <v>0</v>
      </c>
      <c r="S414" s="519">
        <f ca="1"/>
        <v>0</v>
      </c>
      <c r="T414" s="720"/>
      <c r="U414" s="390">
        <f t="shared" si="112"/>
        <v>0</v>
      </c>
      <c r="X414" s="345">
        <v>0</v>
      </c>
      <c r="Y414" s="711">
        <f t="shared" si="103"/>
        <v>0</v>
      </c>
      <c r="Z414" s="712">
        <f>IF(X415,_xll.qDateYears(X414,X415,DCCfloat),0)</f>
        <v>0</v>
      </c>
      <c r="AA414" s="519">
        <f ca="1"/>
        <v>0</v>
      </c>
      <c r="AB414" s="890">
        <f>IF(X414=0,0,         IF(OR(CCY="AUD",CCY="NZD",CCY="GBP"),X414,   _xll.qDateNext(X414,"-2b",,,IF(CCY="EUR","TGT","LON"))))</f>
        <v>0</v>
      </c>
      <c r="AC414" s="879" t="str">
        <v/>
      </c>
      <c r="AD414" s="879" t="str">
        <v/>
      </c>
      <c r="AE414" s="879" t="str">
        <v/>
      </c>
      <c r="AF414" s="879" t="str">
        <v/>
      </c>
      <c r="AG414" s="879" t="str">
        <v/>
      </c>
      <c r="AH414" s="879" t="str">
        <v/>
      </c>
      <c r="AI414" s="879" t="str">
        <v/>
      </c>
      <c r="AJ414" s="879" t="str">
        <v/>
      </c>
      <c r="AK414" s="882">
        <f>IF($X414=0,0,      _xll.qDateNext($X414,AK$12,$AR$11,FRM&lt;&gt;"Calypso",CCY))</f>
        <v>0</v>
      </c>
      <c r="AL414" s="882">
        <f>IF($X414=0,0,      _xll.qDateNext($X414,AL$12,$AR$11,FRM&lt;&gt;"Calypso",CCY))</f>
        <v>0</v>
      </c>
      <c r="AM414" s="882">
        <f>IF($X414=0,0,      _xll.qDateNext($X414,AM$12,$AR$11,FRM&lt;&gt;"Calypso",CCY))</f>
        <v>0</v>
      </c>
      <c r="AN414" s="882">
        <f>IF($X414=0,0,      _xll.qDateNext($X414,AN$12,$AR$11,FRM&lt;&gt;"Calypso",CCY))</f>
        <v>0</v>
      </c>
      <c r="AO414" s="882">
        <f>IF($X414=0,0,      _xll.qDateNext($X414,AO$12,$AR$11,FRM&lt;&gt;"Calypso",CCY))</f>
        <v>0</v>
      </c>
      <c r="AP414" s="882">
        <f>IF($X414=0,0,      _xll.qDateNext($X414,AP$12,$AR$11,FRM&lt;&gt;"Calypso",CCY))</f>
        <v>0</v>
      </c>
      <c r="AQ414" s="882">
        <f>IF($X414=0,0,      _xll.qDateNext($X414,AQ$12,$AR$11,FRM&lt;&gt;"Calypso",CCY))</f>
        <v>0</v>
      </c>
      <c r="AR414" s="882">
        <f>IF($X414=0,0,      _xll.qDateNext($X414,AR$12,$AR$11,FRM&lt;&gt;"Calypso",CCY))</f>
        <v>0</v>
      </c>
      <c r="AS414" s="901">
        <f ca="1"/>
        <v>0</v>
      </c>
      <c r="AT414" s="901">
        <f ca="1"/>
        <v>0</v>
      </c>
      <c r="AU414" s="901">
        <f t="shared" si="113"/>
        <v>0</v>
      </c>
      <c r="AV414" s="901">
        <f ca="1"/>
        <v>0</v>
      </c>
      <c r="AW414" s="901">
        <f t="shared" si="114"/>
        <v>0</v>
      </c>
      <c r="AX414" s="901">
        <f t="shared" si="115"/>
        <v>0</v>
      </c>
      <c r="AY414" s="901">
        <f ca="1"/>
        <v>0</v>
      </c>
      <c r="AZ414" s="901">
        <f ca="1"/>
        <v>0</v>
      </c>
      <c r="BA414" s="905">
        <f t="shared" si="104"/>
        <v>0</v>
      </c>
      <c r="BB414" s="905">
        <f t="shared" si="105"/>
        <v>0</v>
      </c>
      <c r="BC414" s="905">
        <f t="shared" si="106"/>
        <v>0</v>
      </c>
      <c r="BD414" s="905">
        <f t="shared" si="107"/>
        <v>0</v>
      </c>
      <c r="BE414" s="905">
        <f t="shared" si="108"/>
        <v>0</v>
      </c>
      <c r="BF414" s="905">
        <f t="shared" si="109"/>
        <v>0</v>
      </c>
      <c r="BG414" s="905">
        <f t="shared" si="110"/>
        <v>0</v>
      </c>
      <c r="BH414" s="905">
        <f t="shared" si="111"/>
        <v>0</v>
      </c>
      <c r="BI414" s="713">
        <v>0</v>
      </c>
      <c r="BJ414" s="695"/>
      <c r="BK414" s="752">
        <f>IF(X415=0,0,           IF(ISNUMBER(BJ414),BJ414,               IF(ISTEXT(BJ414),INDEX(BA414:BH414,MATCH(BJ414,$BA$12:$BH$12,0)),             IF(BI414="INT",_xll.qInterp(X415,AK414:AR414,BA414:BH414),            INDEX(BA414:BH414,MATCH(BI414,$BA$12:$BH$12,0))))))</f>
        <v>0</v>
      </c>
      <c r="BL414" s="389">
        <f t="shared" si="116"/>
        <v>0</v>
      </c>
      <c r="BM414" s="394">
        <f t="shared" si="117"/>
        <v>0</v>
      </c>
      <c r="BN414" s="389">
        <f t="shared" si="118"/>
        <v>0</v>
      </c>
    </row>
    <row r="415" spans="16:66">
      <c r="P415" s="716">
        <v>0</v>
      </c>
      <c r="Q415" s="715">
        <f t="shared" si="102"/>
        <v>0</v>
      </c>
      <c r="R415" s="712">
        <f>IF(P416,_xll.qDateYears(P415,P416,DCCfixed),0)</f>
        <v>0</v>
      </c>
      <c r="S415" s="519">
        <f ca="1"/>
        <v>0</v>
      </c>
      <c r="T415" s="720"/>
      <c r="U415" s="390">
        <f t="shared" si="112"/>
        <v>0</v>
      </c>
      <c r="X415" s="345">
        <v>0</v>
      </c>
      <c r="Y415" s="711">
        <f t="shared" si="103"/>
        <v>0</v>
      </c>
      <c r="Z415" s="712">
        <f>IF(X416,_xll.qDateYears(X415,X416,DCCfloat),0)</f>
        <v>0</v>
      </c>
      <c r="AA415" s="519">
        <f ca="1"/>
        <v>0</v>
      </c>
      <c r="AB415" s="890">
        <f>IF(X415=0,0,         IF(OR(CCY="AUD",CCY="NZD",CCY="GBP"),X415,   _xll.qDateNext(X415,"-2b",,,IF(CCY="EUR","TGT","LON"))))</f>
        <v>0</v>
      </c>
      <c r="AC415" s="879" t="str">
        <v/>
      </c>
      <c r="AD415" s="879" t="str">
        <v/>
      </c>
      <c r="AE415" s="879" t="str">
        <v/>
      </c>
      <c r="AF415" s="879" t="str">
        <v/>
      </c>
      <c r="AG415" s="879" t="str">
        <v/>
      </c>
      <c r="AH415" s="879" t="str">
        <v/>
      </c>
      <c r="AI415" s="879" t="str">
        <v/>
      </c>
      <c r="AJ415" s="879" t="str">
        <v/>
      </c>
      <c r="AK415" s="882">
        <f>IF($X415=0,0,      _xll.qDateNext($X415,AK$12,$AR$11,FRM&lt;&gt;"Calypso",CCY))</f>
        <v>0</v>
      </c>
      <c r="AL415" s="882">
        <f>IF($X415=0,0,      _xll.qDateNext($X415,AL$12,$AR$11,FRM&lt;&gt;"Calypso",CCY))</f>
        <v>0</v>
      </c>
      <c r="AM415" s="882">
        <f>IF($X415=0,0,      _xll.qDateNext($X415,AM$12,$AR$11,FRM&lt;&gt;"Calypso",CCY))</f>
        <v>0</v>
      </c>
      <c r="AN415" s="882">
        <f>IF($X415=0,0,      _xll.qDateNext($X415,AN$12,$AR$11,FRM&lt;&gt;"Calypso",CCY))</f>
        <v>0</v>
      </c>
      <c r="AO415" s="882">
        <f>IF($X415=0,0,      _xll.qDateNext($X415,AO$12,$AR$11,FRM&lt;&gt;"Calypso",CCY))</f>
        <v>0</v>
      </c>
      <c r="AP415" s="882">
        <f>IF($X415=0,0,      _xll.qDateNext($X415,AP$12,$AR$11,FRM&lt;&gt;"Calypso",CCY))</f>
        <v>0</v>
      </c>
      <c r="AQ415" s="882">
        <f>IF($X415=0,0,      _xll.qDateNext($X415,AQ$12,$AR$11,FRM&lt;&gt;"Calypso",CCY))</f>
        <v>0</v>
      </c>
      <c r="AR415" s="882">
        <f>IF($X415=0,0,      _xll.qDateNext($X415,AR$12,$AR$11,FRM&lt;&gt;"Calypso",CCY))</f>
        <v>0</v>
      </c>
      <c r="AS415" s="901">
        <f ca="1"/>
        <v>0</v>
      </c>
      <c r="AT415" s="901">
        <f ca="1"/>
        <v>0</v>
      </c>
      <c r="AU415" s="901">
        <f t="shared" si="113"/>
        <v>0</v>
      </c>
      <c r="AV415" s="901">
        <f ca="1"/>
        <v>0</v>
      </c>
      <c r="AW415" s="901">
        <f t="shared" si="114"/>
        <v>0</v>
      </c>
      <c r="AX415" s="901">
        <f t="shared" si="115"/>
        <v>0</v>
      </c>
      <c r="AY415" s="901">
        <f ca="1"/>
        <v>0</v>
      </c>
      <c r="AZ415" s="901">
        <f ca="1"/>
        <v>0</v>
      </c>
      <c r="BA415" s="905">
        <f t="shared" si="104"/>
        <v>0</v>
      </c>
      <c r="BB415" s="905">
        <f t="shared" si="105"/>
        <v>0</v>
      </c>
      <c r="BC415" s="905">
        <f t="shared" si="106"/>
        <v>0</v>
      </c>
      <c r="BD415" s="905">
        <f t="shared" si="107"/>
        <v>0</v>
      </c>
      <c r="BE415" s="905">
        <f t="shared" si="108"/>
        <v>0</v>
      </c>
      <c r="BF415" s="905">
        <f t="shared" si="109"/>
        <v>0</v>
      </c>
      <c r="BG415" s="905">
        <f t="shared" si="110"/>
        <v>0</v>
      </c>
      <c r="BH415" s="905">
        <f t="shared" si="111"/>
        <v>0</v>
      </c>
      <c r="BI415" s="713">
        <v>0</v>
      </c>
      <c r="BJ415" s="695"/>
      <c r="BK415" s="752">
        <f>IF(X416=0,0,           IF(ISNUMBER(BJ415),BJ415,               IF(ISTEXT(BJ415),INDEX(BA415:BH415,MATCH(BJ415,$BA$12:$BH$12,0)),             IF(BI415="INT",_xll.qInterp(X416,AK415:AR415,BA415:BH415),            INDEX(BA415:BH415,MATCH(BI415,$BA$12:$BH$12,0))))))</f>
        <v>0</v>
      </c>
      <c r="BL415" s="389">
        <f t="shared" si="116"/>
        <v>0</v>
      </c>
      <c r="BM415" s="394">
        <f t="shared" si="117"/>
        <v>0</v>
      </c>
      <c r="BN415" s="389">
        <f t="shared" si="118"/>
        <v>0</v>
      </c>
    </row>
    <row r="416" spans="16:66">
      <c r="P416" s="716">
        <v>0</v>
      </c>
      <c r="Q416" s="715">
        <f t="shared" si="102"/>
        <v>0</v>
      </c>
      <c r="R416" s="712">
        <f>IF(P417,_xll.qDateYears(P416,P417,DCCfixed),0)</f>
        <v>0</v>
      </c>
      <c r="S416" s="519">
        <f ca="1"/>
        <v>0</v>
      </c>
      <c r="T416" s="720"/>
      <c r="U416" s="390">
        <f t="shared" si="112"/>
        <v>0</v>
      </c>
      <c r="X416" s="345">
        <v>0</v>
      </c>
      <c r="Y416" s="711">
        <f t="shared" si="103"/>
        <v>0</v>
      </c>
      <c r="Z416" s="712">
        <f>IF(X417,_xll.qDateYears(X416,X417,DCCfloat),0)</f>
        <v>0</v>
      </c>
      <c r="AA416" s="519">
        <f ca="1"/>
        <v>0</v>
      </c>
      <c r="AB416" s="890">
        <f>IF(X416=0,0,         IF(OR(CCY="AUD",CCY="NZD",CCY="GBP"),X416,   _xll.qDateNext(X416,"-2b",,,IF(CCY="EUR","TGT","LON"))))</f>
        <v>0</v>
      </c>
      <c r="AC416" s="879" t="str">
        <v/>
      </c>
      <c r="AD416" s="879" t="str">
        <v/>
      </c>
      <c r="AE416" s="879" t="str">
        <v/>
      </c>
      <c r="AF416" s="879" t="str">
        <v/>
      </c>
      <c r="AG416" s="879" t="str">
        <v/>
      </c>
      <c r="AH416" s="879" t="str">
        <v/>
      </c>
      <c r="AI416" s="879" t="str">
        <v/>
      </c>
      <c r="AJ416" s="879" t="str">
        <v/>
      </c>
      <c r="AK416" s="882">
        <f>IF($X416=0,0,      _xll.qDateNext($X416,AK$12,$AR$11,FRM&lt;&gt;"Calypso",CCY))</f>
        <v>0</v>
      </c>
      <c r="AL416" s="882">
        <f>IF($X416=0,0,      _xll.qDateNext($X416,AL$12,$AR$11,FRM&lt;&gt;"Calypso",CCY))</f>
        <v>0</v>
      </c>
      <c r="AM416" s="882">
        <f>IF($X416=0,0,      _xll.qDateNext($X416,AM$12,$AR$11,FRM&lt;&gt;"Calypso",CCY))</f>
        <v>0</v>
      </c>
      <c r="AN416" s="882">
        <f>IF($X416=0,0,      _xll.qDateNext($X416,AN$12,$AR$11,FRM&lt;&gt;"Calypso",CCY))</f>
        <v>0</v>
      </c>
      <c r="AO416" s="882">
        <f>IF($X416=0,0,      _xll.qDateNext($X416,AO$12,$AR$11,FRM&lt;&gt;"Calypso",CCY))</f>
        <v>0</v>
      </c>
      <c r="AP416" s="882">
        <f>IF($X416=0,0,      _xll.qDateNext($X416,AP$12,$AR$11,FRM&lt;&gt;"Calypso",CCY))</f>
        <v>0</v>
      </c>
      <c r="AQ416" s="882">
        <f>IF($X416=0,0,      _xll.qDateNext($X416,AQ$12,$AR$11,FRM&lt;&gt;"Calypso",CCY))</f>
        <v>0</v>
      </c>
      <c r="AR416" s="882">
        <f>IF($X416=0,0,      _xll.qDateNext($X416,AR$12,$AR$11,FRM&lt;&gt;"Calypso",CCY))</f>
        <v>0</v>
      </c>
      <c r="AS416" s="901">
        <f ca="1"/>
        <v>0</v>
      </c>
      <c r="AT416" s="901">
        <f ca="1"/>
        <v>0</v>
      </c>
      <c r="AU416" s="901">
        <f t="shared" si="113"/>
        <v>0</v>
      </c>
      <c r="AV416" s="901">
        <f ca="1"/>
        <v>0</v>
      </c>
      <c r="AW416" s="901">
        <f t="shared" si="114"/>
        <v>0</v>
      </c>
      <c r="AX416" s="901">
        <f t="shared" si="115"/>
        <v>0</v>
      </c>
      <c r="AY416" s="901">
        <f ca="1"/>
        <v>0</v>
      </c>
      <c r="AZ416" s="901">
        <f ca="1"/>
        <v>0</v>
      </c>
      <c r="BA416" s="905">
        <f t="shared" si="104"/>
        <v>0</v>
      </c>
      <c r="BB416" s="905">
        <f t="shared" si="105"/>
        <v>0</v>
      </c>
      <c r="BC416" s="905">
        <f t="shared" si="106"/>
        <v>0</v>
      </c>
      <c r="BD416" s="905">
        <f t="shared" si="107"/>
        <v>0</v>
      </c>
      <c r="BE416" s="905">
        <f t="shared" si="108"/>
        <v>0</v>
      </c>
      <c r="BF416" s="905">
        <f t="shared" si="109"/>
        <v>0</v>
      </c>
      <c r="BG416" s="905">
        <f t="shared" si="110"/>
        <v>0</v>
      </c>
      <c r="BH416" s="905">
        <f t="shared" si="111"/>
        <v>0</v>
      </c>
      <c r="BI416" s="713">
        <v>0</v>
      </c>
      <c r="BJ416" s="695"/>
      <c r="BK416" s="752">
        <f>IF(X417=0,0,           IF(ISNUMBER(BJ416),BJ416,               IF(ISTEXT(BJ416),INDEX(BA416:BH416,MATCH(BJ416,$BA$12:$BH$12,0)),             IF(BI416="INT",_xll.qInterp(X417,AK416:AR416,BA416:BH416),            INDEX(BA416:BH416,MATCH(BI416,$BA$12:$BH$12,0))))))</f>
        <v>0</v>
      </c>
      <c r="BL416" s="389">
        <f t="shared" si="116"/>
        <v>0</v>
      </c>
      <c r="BM416" s="394">
        <f t="shared" si="117"/>
        <v>0</v>
      </c>
      <c r="BN416" s="389">
        <f t="shared" si="118"/>
        <v>0</v>
      </c>
    </row>
    <row r="417" spans="16:66">
      <c r="P417" s="716">
        <v>0</v>
      </c>
      <c r="Q417" s="715">
        <f t="shared" si="102"/>
        <v>0</v>
      </c>
      <c r="R417" s="712">
        <f>IF(P418,_xll.qDateYears(P417,P418,DCCfixed),0)</f>
        <v>0</v>
      </c>
      <c r="S417" s="519">
        <f ca="1"/>
        <v>0</v>
      </c>
      <c r="T417" s="720"/>
      <c r="U417" s="390">
        <f t="shared" si="112"/>
        <v>0</v>
      </c>
      <c r="X417" s="345">
        <v>0</v>
      </c>
      <c r="Y417" s="711">
        <f t="shared" si="103"/>
        <v>0</v>
      </c>
      <c r="Z417" s="712">
        <f>IF(X418,_xll.qDateYears(X417,X418,DCCfloat),0)</f>
        <v>0</v>
      </c>
      <c r="AA417" s="519">
        <f ca="1"/>
        <v>0</v>
      </c>
      <c r="AB417" s="890">
        <f>IF(X417=0,0,         IF(OR(CCY="AUD",CCY="NZD",CCY="GBP"),X417,   _xll.qDateNext(X417,"-2b",,,IF(CCY="EUR","TGT","LON"))))</f>
        <v>0</v>
      </c>
      <c r="AC417" s="879" t="str">
        <v/>
      </c>
      <c r="AD417" s="879" t="str">
        <v/>
      </c>
      <c r="AE417" s="879" t="str">
        <v/>
      </c>
      <c r="AF417" s="879" t="str">
        <v/>
      </c>
      <c r="AG417" s="879" t="str">
        <v/>
      </c>
      <c r="AH417" s="879" t="str">
        <v/>
      </c>
      <c r="AI417" s="879" t="str">
        <v/>
      </c>
      <c r="AJ417" s="879" t="str">
        <v/>
      </c>
      <c r="AK417" s="882">
        <f>IF($X417=0,0,      _xll.qDateNext($X417,AK$12,$AR$11,FRM&lt;&gt;"Calypso",CCY))</f>
        <v>0</v>
      </c>
      <c r="AL417" s="882">
        <f>IF($X417=0,0,      _xll.qDateNext($X417,AL$12,$AR$11,FRM&lt;&gt;"Calypso",CCY))</f>
        <v>0</v>
      </c>
      <c r="AM417" s="882">
        <f>IF($X417=0,0,      _xll.qDateNext($X417,AM$12,$AR$11,FRM&lt;&gt;"Calypso",CCY))</f>
        <v>0</v>
      </c>
      <c r="AN417" s="882">
        <f>IF($X417=0,0,      _xll.qDateNext($X417,AN$12,$AR$11,FRM&lt;&gt;"Calypso",CCY))</f>
        <v>0</v>
      </c>
      <c r="AO417" s="882">
        <f>IF($X417=0,0,      _xll.qDateNext($X417,AO$12,$AR$11,FRM&lt;&gt;"Calypso",CCY))</f>
        <v>0</v>
      </c>
      <c r="AP417" s="882">
        <f>IF($X417=0,0,      _xll.qDateNext($X417,AP$12,$AR$11,FRM&lt;&gt;"Calypso",CCY))</f>
        <v>0</v>
      </c>
      <c r="AQ417" s="882">
        <f>IF($X417=0,0,      _xll.qDateNext($X417,AQ$12,$AR$11,FRM&lt;&gt;"Calypso",CCY))</f>
        <v>0</v>
      </c>
      <c r="AR417" s="882">
        <f>IF($X417=0,0,      _xll.qDateNext($X417,AR$12,$AR$11,FRM&lt;&gt;"Calypso",CCY))</f>
        <v>0</v>
      </c>
      <c r="AS417" s="901">
        <f ca="1"/>
        <v>0</v>
      </c>
      <c r="AT417" s="901">
        <f ca="1"/>
        <v>0</v>
      </c>
      <c r="AU417" s="901">
        <f t="shared" si="113"/>
        <v>0</v>
      </c>
      <c r="AV417" s="901">
        <f ca="1"/>
        <v>0</v>
      </c>
      <c r="AW417" s="901">
        <f t="shared" si="114"/>
        <v>0</v>
      </c>
      <c r="AX417" s="901">
        <f t="shared" si="115"/>
        <v>0</v>
      </c>
      <c r="AY417" s="901">
        <f ca="1"/>
        <v>0</v>
      </c>
      <c r="AZ417" s="901">
        <f ca="1"/>
        <v>0</v>
      </c>
      <c r="BA417" s="905">
        <f t="shared" si="104"/>
        <v>0</v>
      </c>
      <c r="BB417" s="905">
        <f t="shared" si="105"/>
        <v>0</v>
      </c>
      <c r="BC417" s="905">
        <f t="shared" si="106"/>
        <v>0</v>
      </c>
      <c r="BD417" s="905">
        <f t="shared" si="107"/>
        <v>0</v>
      </c>
      <c r="BE417" s="905">
        <f t="shared" si="108"/>
        <v>0</v>
      </c>
      <c r="BF417" s="905">
        <f t="shared" si="109"/>
        <v>0</v>
      </c>
      <c r="BG417" s="905">
        <f t="shared" si="110"/>
        <v>0</v>
      </c>
      <c r="BH417" s="905">
        <f t="shared" si="111"/>
        <v>0</v>
      </c>
      <c r="BI417" s="713">
        <v>0</v>
      </c>
      <c r="BJ417" s="695"/>
      <c r="BK417" s="752">
        <f>IF(X418=0,0,           IF(ISNUMBER(BJ417),BJ417,               IF(ISTEXT(BJ417),INDEX(BA417:BH417,MATCH(BJ417,$BA$12:$BH$12,0)),             IF(BI417="INT",_xll.qInterp(X418,AK417:AR417,BA417:BH417),            INDEX(BA417:BH417,MATCH(BI417,$BA$12:$BH$12,0))))))</f>
        <v>0</v>
      </c>
      <c r="BL417" s="389">
        <f t="shared" si="116"/>
        <v>0</v>
      </c>
      <c r="BM417" s="394">
        <f t="shared" si="117"/>
        <v>0</v>
      </c>
      <c r="BN417" s="389">
        <f t="shared" si="118"/>
        <v>0</v>
      </c>
    </row>
    <row r="418" spans="16:66">
      <c r="P418" s="716">
        <v>0</v>
      </c>
      <c r="Q418" s="715">
        <f t="shared" si="102"/>
        <v>0</v>
      </c>
      <c r="R418" s="712">
        <f>IF(P419,_xll.qDateYears(P418,P419,DCCfixed),0)</f>
        <v>0</v>
      </c>
      <c r="S418" s="519">
        <f ca="1"/>
        <v>0</v>
      </c>
      <c r="T418" s="720"/>
      <c r="U418" s="390">
        <f t="shared" si="112"/>
        <v>0</v>
      </c>
      <c r="X418" s="345">
        <v>0</v>
      </c>
      <c r="Y418" s="711">
        <f t="shared" si="103"/>
        <v>0</v>
      </c>
      <c r="Z418" s="712">
        <f>IF(X419,_xll.qDateYears(X418,X419,DCCfloat),0)</f>
        <v>0</v>
      </c>
      <c r="AA418" s="519">
        <f ca="1"/>
        <v>0</v>
      </c>
      <c r="AB418" s="890">
        <f>IF(X418=0,0,         IF(OR(CCY="AUD",CCY="NZD",CCY="GBP"),X418,   _xll.qDateNext(X418,"-2b",,,IF(CCY="EUR","TGT","LON"))))</f>
        <v>0</v>
      </c>
      <c r="AC418" s="879" t="str">
        <v/>
      </c>
      <c r="AD418" s="879" t="str">
        <v/>
      </c>
      <c r="AE418" s="879" t="str">
        <v/>
      </c>
      <c r="AF418" s="879" t="str">
        <v/>
      </c>
      <c r="AG418" s="879" t="str">
        <v/>
      </c>
      <c r="AH418" s="879" t="str">
        <v/>
      </c>
      <c r="AI418" s="879" t="str">
        <v/>
      </c>
      <c r="AJ418" s="879" t="str">
        <v/>
      </c>
      <c r="AK418" s="882">
        <f>IF($X418=0,0,      _xll.qDateNext($X418,AK$12,$AR$11,FRM&lt;&gt;"Calypso",CCY))</f>
        <v>0</v>
      </c>
      <c r="AL418" s="882">
        <f>IF($X418=0,0,      _xll.qDateNext($X418,AL$12,$AR$11,FRM&lt;&gt;"Calypso",CCY))</f>
        <v>0</v>
      </c>
      <c r="AM418" s="882">
        <f>IF($X418=0,0,      _xll.qDateNext($X418,AM$12,$AR$11,FRM&lt;&gt;"Calypso",CCY))</f>
        <v>0</v>
      </c>
      <c r="AN418" s="882">
        <f>IF($X418=0,0,      _xll.qDateNext($X418,AN$12,$AR$11,FRM&lt;&gt;"Calypso",CCY))</f>
        <v>0</v>
      </c>
      <c r="AO418" s="882">
        <f>IF($X418=0,0,      _xll.qDateNext($X418,AO$12,$AR$11,FRM&lt;&gt;"Calypso",CCY))</f>
        <v>0</v>
      </c>
      <c r="AP418" s="882">
        <f>IF($X418=0,0,      _xll.qDateNext($X418,AP$12,$AR$11,FRM&lt;&gt;"Calypso",CCY))</f>
        <v>0</v>
      </c>
      <c r="AQ418" s="882">
        <f>IF($X418=0,0,      _xll.qDateNext($X418,AQ$12,$AR$11,FRM&lt;&gt;"Calypso",CCY))</f>
        <v>0</v>
      </c>
      <c r="AR418" s="882">
        <f>IF($X418=0,0,      _xll.qDateNext($X418,AR$12,$AR$11,FRM&lt;&gt;"Calypso",CCY))</f>
        <v>0</v>
      </c>
      <c r="AS418" s="901">
        <f ca="1"/>
        <v>0</v>
      </c>
      <c r="AT418" s="901">
        <f ca="1"/>
        <v>0</v>
      </c>
      <c r="AU418" s="901">
        <f t="shared" si="113"/>
        <v>0</v>
      </c>
      <c r="AV418" s="901">
        <f ca="1"/>
        <v>0</v>
      </c>
      <c r="AW418" s="901">
        <f t="shared" si="114"/>
        <v>0</v>
      </c>
      <c r="AX418" s="901">
        <f t="shared" si="115"/>
        <v>0</v>
      </c>
      <c r="AY418" s="901">
        <f ca="1"/>
        <v>0</v>
      </c>
      <c r="AZ418" s="901">
        <f ca="1"/>
        <v>0</v>
      </c>
      <c r="BA418" s="905">
        <f t="shared" si="104"/>
        <v>0</v>
      </c>
      <c r="BB418" s="905">
        <f t="shared" si="105"/>
        <v>0</v>
      </c>
      <c r="BC418" s="905">
        <f t="shared" si="106"/>
        <v>0</v>
      </c>
      <c r="BD418" s="905">
        <f t="shared" si="107"/>
        <v>0</v>
      </c>
      <c r="BE418" s="905">
        <f t="shared" si="108"/>
        <v>0</v>
      </c>
      <c r="BF418" s="905">
        <f t="shared" si="109"/>
        <v>0</v>
      </c>
      <c r="BG418" s="905">
        <f t="shared" si="110"/>
        <v>0</v>
      </c>
      <c r="BH418" s="905">
        <f t="shared" si="111"/>
        <v>0</v>
      </c>
      <c r="BI418" s="713">
        <v>0</v>
      </c>
      <c r="BJ418" s="695"/>
      <c r="BK418" s="752">
        <f>IF(X419=0,0,           IF(ISNUMBER(BJ418),BJ418,               IF(ISTEXT(BJ418),INDEX(BA418:BH418,MATCH(BJ418,$BA$12:$BH$12,0)),             IF(BI418="INT",_xll.qInterp(X419,AK418:AR418,BA418:BH418),            INDEX(BA418:BH418,MATCH(BI418,$BA$12:$BH$12,0))))))</f>
        <v>0</v>
      </c>
      <c r="BL418" s="389">
        <f t="shared" si="116"/>
        <v>0</v>
      </c>
      <c r="BM418" s="394">
        <f t="shared" si="117"/>
        <v>0</v>
      </c>
      <c r="BN418" s="389">
        <f t="shared" si="118"/>
        <v>0</v>
      </c>
    </row>
    <row r="419" spans="16:66">
      <c r="P419" s="716">
        <v>0</v>
      </c>
      <c r="Q419" s="715">
        <f t="shared" si="102"/>
        <v>0</v>
      </c>
      <c r="R419" s="712">
        <f>IF(P420,_xll.qDateYears(P419,P420,DCCfixed),0)</f>
        <v>0</v>
      </c>
      <c r="S419" s="519">
        <f ca="1"/>
        <v>0</v>
      </c>
      <c r="T419" s="720"/>
      <c r="U419" s="390">
        <f t="shared" si="112"/>
        <v>0</v>
      </c>
      <c r="X419" s="345">
        <v>0</v>
      </c>
      <c r="Y419" s="711">
        <f t="shared" si="103"/>
        <v>0</v>
      </c>
      <c r="Z419" s="712">
        <f>IF(X420,_xll.qDateYears(X419,X420,DCCfloat),0)</f>
        <v>0</v>
      </c>
      <c r="AA419" s="519">
        <f ca="1"/>
        <v>0</v>
      </c>
      <c r="AB419" s="890">
        <f>IF(X419=0,0,         IF(OR(CCY="AUD",CCY="NZD",CCY="GBP"),X419,   _xll.qDateNext(X419,"-2b",,,IF(CCY="EUR","TGT","LON"))))</f>
        <v>0</v>
      </c>
      <c r="AC419" s="879" t="str">
        <v/>
      </c>
      <c r="AD419" s="879" t="str">
        <v/>
      </c>
      <c r="AE419" s="879" t="str">
        <v/>
      </c>
      <c r="AF419" s="879" t="str">
        <v/>
      </c>
      <c r="AG419" s="879" t="str">
        <v/>
      </c>
      <c r="AH419" s="879" t="str">
        <v/>
      </c>
      <c r="AI419" s="879" t="str">
        <v/>
      </c>
      <c r="AJ419" s="879" t="str">
        <v/>
      </c>
      <c r="AK419" s="882">
        <f>IF($X419=0,0,      _xll.qDateNext($X419,AK$12,$AR$11,FRM&lt;&gt;"Calypso",CCY))</f>
        <v>0</v>
      </c>
      <c r="AL419" s="882">
        <f>IF($X419=0,0,      _xll.qDateNext($X419,AL$12,$AR$11,FRM&lt;&gt;"Calypso",CCY))</f>
        <v>0</v>
      </c>
      <c r="AM419" s="882">
        <f>IF($X419=0,0,      _xll.qDateNext($X419,AM$12,$AR$11,FRM&lt;&gt;"Calypso",CCY))</f>
        <v>0</v>
      </c>
      <c r="AN419" s="882">
        <f>IF($X419=0,0,      _xll.qDateNext($X419,AN$12,$AR$11,FRM&lt;&gt;"Calypso",CCY))</f>
        <v>0</v>
      </c>
      <c r="AO419" s="882">
        <f>IF($X419=0,0,      _xll.qDateNext($X419,AO$12,$AR$11,FRM&lt;&gt;"Calypso",CCY))</f>
        <v>0</v>
      </c>
      <c r="AP419" s="882">
        <f>IF($X419=0,0,      _xll.qDateNext($X419,AP$12,$AR$11,FRM&lt;&gt;"Calypso",CCY))</f>
        <v>0</v>
      </c>
      <c r="AQ419" s="882">
        <f>IF($X419=0,0,      _xll.qDateNext($X419,AQ$12,$AR$11,FRM&lt;&gt;"Calypso",CCY))</f>
        <v>0</v>
      </c>
      <c r="AR419" s="882">
        <f>IF($X419=0,0,      _xll.qDateNext($X419,AR$12,$AR$11,FRM&lt;&gt;"Calypso",CCY))</f>
        <v>0</v>
      </c>
      <c r="AS419" s="901">
        <f ca="1"/>
        <v>0</v>
      </c>
      <c r="AT419" s="901">
        <f ca="1"/>
        <v>0</v>
      </c>
      <c r="AU419" s="901">
        <f t="shared" si="113"/>
        <v>0</v>
      </c>
      <c r="AV419" s="901">
        <f ca="1"/>
        <v>0</v>
      </c>
      <c r="AW419" s="901">
        <f t="shared" si="114"/>
        <v>0</v>
      </c>
      <c r="AX419" s="901">
        <f t="shared" si="115"/>
        <v>0</v>
      </c>
      <c r="AY419" s="901">
        <f ca="1"/>
        <v>0</v>
      </c>
      <c r="AZ419" s="901">
        <f ca="1"/>
        <v>0</v>
      </c>
      <c r="BA419" s="905">
        <f t="shared" si="104"/>
        <v>0</v>
      </c>
      <c r="BB419" s="905">
        <f t="shared" si="105"/>
        <v>0</v>
      </c>
      <c r="BC419" s="905">
        <f t="shared" si="106"/>
        <v>0</v>
      </c>
      <c r="BD419" s="905">
        <f t="shared" si="107"/>
        <v>0</v>
      </c>
      <c r="BE419" s="905">
        <f t="shared" si="108"/>
        <v>0</v>
      </c>
      <c r="BF419" s="905">
        <f t="shared" si="109"/>
        <v>0</v>
      </c>
      <c r="BG419" s="905">
        <f t="shared" si="110"/>
        <v>0</v>
      </c>
      <c r="BH419" s="905">
        <f t="shared" si="111"/>
        <v>0</v>
      </c>
      <c r="BI419" s="713">
        <v>0</v>
      </c>
      <c r="BJ419" s="695"/>
      <c r="BK419" s="752">
        <f>IF(X420=0,0,           IF(ISNUMBER(BJ419),BJ419,               IF(ISTEXT(BJ419),INDEX(BA419:BH419,MATCH(BJ419,$BA$12:$BH$12,0)),             IF(BI419="INT",_xll.qInterp(X420,AK419:AR419,BA419:BH419),            INDEX(BA419:BH419,MATCH(BI419,$BA$12:$BH$12,0))))))</f>
        <v>0</v>
      </c>
      <c r="BL419" s="389">
        <f t="shared" si="116"/>
        <v>0</v>
      </c>
      <c r="BM419" s="394">
        <f t="shared" si="117"/>
        <v>0</v>
      </c>
      <c r="BN419" s="389">
        <f t="shared" si="118"/>
        <v>0</v>
      </c>
    </row>
    <row r="420" spans="16:66">
      <c r="P420" s="716">
        <v>0</v>
      </c>
      <c r="Q420" s="715">
        <f t="shared" si="102"/>
        <v>0</v>
      </c>
      <c r="R420" s="712">
        <f>IF(P421,_xll.qDateYears(P420,P421,DCCfixed),0)</f>
        <v>0</v>
      </c>
      <c r="S420" s="519">
        <f ca="1"/>
        <v>0</v>
      </c>
      <c r="T420" s="720"/>
      <c r="U420" s="390">
        <f t="shared" si="112"/>
        <v>0</v>
      </c>
      <c r="X420" s="345">
        <v>0</v>
      </c>
      <c r="Y420" s="711">
        <f t="shared" si="103"/>
        <v>0</v>
      </c>
      <c r="Z420" s="712">
        <f>IF(X421,_xll.qDateYears(X420,X421,DCCfloat),0)</f>
        <v>0</v>
      </c>
      <c r="AA420" s="519">
        <f ca="1"/>
        <v>0</v>
      </c>
      <c r="AB420" s="890">
        <f>IF(X420=0,0,         IF(OR(CCY="AUD",CCY="NZD",CCY="GBP"),X420,   _xll.qDateNext(X420,"-2b",,,IF(CCY="EUR","TGT","LON"))))</f>
        <v>0</v>
      </c>
      <c r="AC420" s="879" t="str">
        <v/>
      </c>
      <c r="AD420" s="879" t="str">
        <v/>
      </c>
      <c r="AE420" s="879" t="str">
        <v/>
      </c>
      <c r="AF420" s="879" t="str">
        <v/>
      </c>
      <c r="AG420" s="879" t="str">
        <v/>
      </c>
      <c r="AH420" s="879" t="str">
        <v/>
      </c>
      <c r="AI420" s="879" t="str">
        <v/>
      </c>
      <c r="AJ420" s="879" t="str">
        <v/>
      </c>
      <c r="AK420" s="882">
        <f>IF($X420=0,0,      _xll.qDateNext($X420,AK$12,$AR$11,FRM&lt;&gt;"Calypso",CCY))</f>
        <v>0</v>
      </c>
      <c r="AL420" s="882">
        <f>IF($X420=0,0,      _xll.qDateNext($X420,AL$12,$AR$11,FRM&lt;&gt;"Calypso",CCY))</f>
        <v>0</v>
      </c>
      <c r="AM420" s="882">
        <f>IF($X420=0,0,      _xll.qDateNext($X420,AM$12,$AR$11,FRM&lt;&gt;"Calypso",CCY))</f>
        <v>0</v>
      </c>
      <c r="AN420" s="882">
        <f>IF($X420=0,0,      _xll.qDateNext($X420,AN$12,$AR$11,FRM&lt;&gt;"Calypso",CCY))</f>
        <v>0</v>
      </c>
      <c r="AO420" s="882">
        <f>IF($X420=0,0,      _xll.qDateNext($X420,AO$12,$AR$11,FRM&lt;&gt;"Calypso",CCY))</f>
        <v>0</v>
      </c>
      <c r="AP420" s="882">
        <f>IF($X420=0,0,      _xll.qDateNext($X420,AP$12,$AR$11,FRM&lt;&gt;"Calypso",CCY))</f>
        <v>0</v>
      </c>
      <c r="AQ420" s="882">
        <f>IF($X420=0,0,      _xll.qDateNext($X420,AQ$12,$AR$11,FRM&lt;&gt;"Calypso",CCY))</f>
        <v>0</v>
      </c>
      <c r="AR420" s="882">
        <f>IF($X420=0,0,      _xll.qDateNext($X420,AR$12,$AR$11,FRM&lt;&gt;"Calypso",CCY))</f>
        <v>0</v>
      </c>
      <c r="AS420" s="901">
        <f ca="1"/>
        <v>0</v>
      </c>
      <c r="AT420" s="901">
        <f ca="1"/>
        <v>0</v>
      </c>
      <c r="AU420" s="901">
        <f t="shared" si="113"/>
        <v>0</v>
      </c>
      <c r="AV420" s="901">
        <f ca="1"/>
        <v>0</v>
      </c>
      <c r="AW420" s="901">
        <f t="shared" si="114"/>
        <v>0</v>
      </c>
      <c r="AX420" s="901">
        <f t="shared" si="115"/>
        <v>0</v>
      </c>
      <c r="AY420" s="901">
        <f ca="1"/>
        <v>0</v>
      </c>
      <c r="AZ420" s="901">
        <f ca="1"/>
        <v>0</v>
      </c>
      <c r="BA420" s="905">
        <f t="shared" si="104"/>
        <v>0</v>
      </c>
      <c r="BB420" s="905">
        <f t="shared" si="105"/>
        <v>0</v>
      </c>
      <c r="BC420" s="905">
        <f t="shared" si="106"/>
        <v>0</v>
      </c>
      <c r="BD420" s="905">
        <f t="shared" si="107"/>
        <v>0</v>
      </c>
      <c r="BE420" s="905">
        <f t="shared" si="108"/>
        <v>0</v>
      </c>
      <c r="BF420" s="905">
        <f t="shared" si="109"/>
        <v>0</v>
      </c>
      <c r="BG420" s="905">
        <f t="shared" si="110"/>
        <v>0</v>
      </c>
      <c r="BH420" s="905">
        <f t="shared" si="111"/>
        <v>0</v>
      </c>
      <c r="BI420" s="713">
        <v>0</v>
      </c>
      <c r="BJ420" s="695"/>
      <c r="BK420" s="752">
        <f>IF(X421=0,0,           IF(ISNUMBER(BJ420),BJ420,               IF(ISTEXT(BJ420),INDEX(BA420:BH420,MATCH(BJ420,$BA$12:$BH$12,0)),             IF(BI420="INT",_xll.qInterp(X421,AK420:AR420,BA420:BH420),            INDEX(BA420:BH420,MATCH(BI420,$BA$12:$BH$12,0))))))</f>
        <v>0</v>
      </c>
      <c r="BL420" s="389">
        <f t="shared" si="116"/>
        <v>0</v>
      </c>
      <c r="BM420" s="394">
        <f t="shared" si="117"/>
        <v>0</v>
      </c>
      <c r="BN420" s="389">
        <f t="shared" si="118"/>
        <v>0</v>
      </c>
    </row>
    <row r="421" spans="16:66">
      <c r="P421" s="716">
        <v>0</v>
      </c>
      <c r="Q421" s="715">
        <f t="shared" si="102"/>
        <v>0</v>
      </c>
      <c r="R421" s="712">
        <f>IF(P422,_xll.qDateYears(P421,P422,DCCfixed),0)</f>
        <v>0</v>
      </c>
      <c r="S421" s="519">
        <f ca="1"/>
        <v>0</v>
      </c>
      <c r="T421" s="720"/>
      <c r="U421" s="390">
        <f t="shared" si="112"/>
        <v>0</v>
      </c>
      <c r="X421" s="345">
        <v>0</v>
      </c>
      <c r="Y421" s="711">
        <f t="shared" si="103"/>
        <v>0</v>
      </c>
      <c r="Z421" s="712">
        <f>IF(X422,_xll.qDateYears(X421,X422,DCCfloat),0)</f>
        <v>0</v>
      </c>
      <c r="AA421" s="519">
        <f ca="1"/>
        <v>0</v>
      </c>
      <c r="AB421" s="890">
        <f>IF(X421=0,0,         IF(OR(CCY="AUD",CCY="NZD",CCY="GBP"),X421,   _xll.qDateNext(X421,"-2b",,,IF(CCY="EUR","TGT","LON"))))</f>
        <v>0</v>
      </c>
      <c r="AC421" s="879" t="str">
        <v/>
      </c>
      <c r="AD421" s="879" t="str">
        <v/>
      </c>
      <c r="AE421" s="879" t="str">
        <v/>
      </c>
      <c r="AF421" s="879" t="str">
        <v/>
      </c>
      <c r="AG421" s="879" t="str">
        <v/>
      </c>
      <c r="AH421" s="879" t="str">
        <v/>
      </c>
      <c r="AI421" s="879" t="str">
        <v/>
      </c>
      <c r="AJ421" s="879" t="str">
        <v/>
      </c>
      <c r="AK421" s="882">
        <f>IF($X421=0,0,      _xll.qDateNext($X421,AK$12,$AR$11,FRM&lt;&gt;"Calypso",CCY))</f>
        <v>0</v>
      </c>
      <c r="AL421" s="882">
        <f>IF($X421=0,0,      _xll.qDateNext($X421,AL$12,$AR$11,FRM&lt;&gt;"Calypso",CCY))</f>
        <v>0</v>
      </c>
      <c r="AM421" s="882">
        <f>IF($X421=0,0,      _xll.qDateNext($X421,AM$12,$AR$11,FRM&lt;&gt;"Calypso",CCY))</f>
        <v>0</v>
      </c>
      <c r="AN421" s="882">
        <f>IF($X421=0,0,      _xll.qDateNext($X421,AN$12,$AR$11,FRM&lt;&gt;"Calypso",CCY))</f>
        <v>0</v>
      </c>
      <c r="AO421" s="882">
        <f>IF($X421=0,0,      _xll.qDateNext($X421,AO$12,$AR$11,FRM&lt;&gt;"Calypso",CCY))</f>
        <v>0</v>
      </c>
      <c r="AP421" s="882">
        <f>IF($X421=0,0,      _xll.qDateNext($X421,AP$12,$AR$11,FRM&lt;&gt;"Calypso",CCY))</f>
        <v>0</v>
      </c>
      <c r="AQ421" s="882">
        <f>IF($X421=0,0,      _xll.qDateNext($X421,AQ$12,$AR$11,FRM&lt;&gt;"Calypso",CCY))</f>
        <v>0</v>
      </c>
      <c r="AR421" s="882">
        <f>IF($X421=0,0,      _xll.qDateNext($X421,AR$12,$AR$11,FRM&lt;&gt;"Calypso",CCY))</f>
        <v>0</v>
      </c>
      <c r="AS421" s="901">
        <f ca="1"/>
        <v>0</v>
      </c>
      <c r="AT421" s="901">
        <f ca="1"/>
        <v>0</v>
      </c>
      <c r="AU421" s="901">
        <f t="shared" si="113"/>
        <v>0</v>
      </c>
      <c r="AV421" s="901">
        <f ca="1"/>
        <v>0</v>
      </c>
      <c r="AW421" s="901">
        <f t="shared" si="114"/>
        <v>0</v>
      </c>
      <c r="AX421" s="901">
        <f t="shared" si="115"/>
        <v>0</v>
      </c>
      <c r="AY421" s="901">
        <f ca="1"/>
        <v>0</v>
      </c>
      <c r="AZ421" s="901">
        <f ca="1"/>
        <v>0</v>
      </c>
      <c r="BA421" s="905">
        <f t="shared" si="104"/>
        <v>0</v>
      </c>
      <c r="BB421" s="905">
        <f t="shared" si="105"/>
        <v>0</v>
      </c>
      <c r="BC421" s="905">
        <f t="shared" si="106"/>
        <v>0</v>
      </c>
      <c r="BD421" s="905">
        <f t="shared" si="107"/>
        <v>0</v>
      </c>
      <c r="BE421" s="905">
        <f t="shared" si="108"/>
        <v>0</v>
      </c>
      <c r="BF421" s="905">
        <f t="shared" si="109"/>
        <v>0</v>
      </c>
      <c r="BG421" s="905">
        <f t="shared" si="110"/>
        <v>0</v>
      </c>
      <c r="BH421" s="905">
        <f t="shared" si="111"/>
        <v>0</v>
      </c>
      <c r="BI421" s="713">
        <v>0</v>
      </c>
      <c r="BJ421" s="695"/>
      <c r="BK421" s="752">
        <f>IF(X422=0,0,           IF(ISNUMBER(BJ421),BJ421,               IF(ISTEXT(BJ421),INDEX(BA421:BH421,MATCH(BJ421,$BA$12:$BH$12,0)),             IF(BI421="INT",_xll.qInterp(X422,AK421:AR421,BA421:BH421),            INDEX(BA421:BH421,MATCH(BI421,$BA$12:$BH$12,0))))))</f>
        <v>0</v>
      </c>
      <c r="BL421" s="389">
        <f t="shared" si="116"/>
        <v>0</v>
      </c>
      <c r="BM421" s="394">
        <f t="shared" si="117"/>
        <v>0</v>
      </c>
      <c r="BN421" s="389">
        <f t="shared" si="118"/>
        <v>0</v>
      </c>
    </row>
    <row r="422" spans="16:66">
      <c r="P422" s="716">
        <v>0</v>
      </c>
      <c r="Q422" s="715">
        <f t="shared" si="102"/>
        <v>0</v>
      </c>
      <c r="R422" s="712">
        <f>IF(P423,_xll.qDateYears(P422,P423,DCCfixed),0)</f>
        <v>0</v>
      </c>
      <c r="S422" s="519">
        <f ca="1"/>
        <v>0</v>
      </c>
      <c r="T422" s="720"/>
      <c r="U422" s="390">
        <f t="shared" si="112"/>
        <v>0</v>
      </c>
      <c r="X422" s="345">
        <v>0</v>
      </c>
      <c r="Y422" s="711">
        <f t="shared" si="103"/>
        <v>0</v>
      </c>
      <c r="Z422" s="712">
        <f>IF(X423,_xll.qDateYears(X422,X423,DCCfloat),0)</f>
        <v>0</v>
      </c>
      <c r="AA422" s="519">
        <f ca="1"/>
        <v>0</v>
      </c>
      <c r="AB422" s="890">
        <f>IF(X422=0,0,         IF(OR(CCY="AUD",CCY="NZD",CCY="GBP"),X422,   _xll.qDateNext(X422,"-2b",,,IF(CCY="EUR","TGT","LON"))))</f>
        <v>0</v>
      </c>
      <c r="AC422" s="879" t="str">
        <v/>
      </c>
      <c r="AD422" s="879" t="str">
        <v/>
      </c>
      <c r="AE422" s="879" t="str">
        <v/>
      </c>
      <c r="AF422" s="879" t="str">
        <v/>
      </c>
      <c r="AG422" s="879" t="str">
        <v/>
      </c>
      <c r="AH422" s="879" t="str">
        <v/>
      </c>
      <c r="AI422" s="879" t="str">
        <v/>
      </c>
      <c r="AJ422" s="879" t="str">
        <v/>
      </c>
      <c r="AK422" s="882">
        <f>IF($X422=0,0,      _xll.qDateNext($X422,AK$12,$AR$11,FRM&lt;&gt;"Calypso",CCY))</f>
        <v>0</v>
      </c>
      <c r="AL422" s="882">
        <f>IF($X422=0,0,      _xll.qDateNext($X422,AL$12,$AR$11,FRM&lt;&gt;"Calypso",CCY))</f>
        <v>0</v>
      </c>
      <c r="AM422" s="882">
        <f>IF($X422=0,0,      _xll.qDateNext($X422,AM$12,$AR$11,FRM&lt;&gt;"Calypso",CCY))</f>
        <v>0</v>
      </c>
      <c r="AN422" s="882">
        <f>IF($X422=0,0,      _xll.qDateNext($X422,AN$12,$AR$11,FRM&lt;&gt;"Calypso",CCY))</f>
        <v>0</v>
      </c>
      <c r="AO422" s="882">
        <f>IF($X422=0,0,      _xll.qDateNext($X422,AO$12,$AR$11,FRM&lt;&gt;"Calypso",CCY))</f>
        <v>0</v>
      </c>
      <c r="AP422" s="882">
        <f>IF($X422=0,0,      _xll.qDateNext($X422,AP$12,$AR$11,FRM&lt;&gt;"Calypso",CCY))</f>
        <v>0</v>
      </c>
      <c r="AQ422" s="882">
        <f>IF($X422=0,0,      _xll.qDateNext($X422,AQ$12,$AR$11,FRM&lt;&gt;"Calypso",CCY))</f>
        <v>0</v>
      </c>
      <c r="AR422" s="882">
        <f>IF($X422=0,0,      _xll.qDateNext($X422,AR$12,$AR$11,FRM&lt;&gt;"Calypso",CCY))</f>
        <v>0</v>
      </c>
      <c r="AS422" s="901">
        <f ca="1"/>
        <v>0</v>
      </c>
      <c r="AT422" s="901">
        <f ca="1"/>
        <v>0</v>
      </c>
      <c r="AU422" s="901">
        <f t="shared" si="113"/>
        <v>0</v>
      </c>
      <c r="AV422" s="901">
        <f ca="1"/>
        <v>0</v>
      </c>
      <c r="AW422" s="901">
        <f t="shared" si="114"/>
        <v>0</v>
      </c>
      <c r="AX422" s="901">
        <f t="shared" si="115"/>
        <v>0</v>
      </c>
      <c r="AY422" s="901">
        <f ca="1"/>
        <v>0</v>
      </c>
      <c r="AZ422" s="901">
        <f ca="1"/>
        <v>0</v>
      </c>
      <c r="BA422" s="905">
        <f t="shared" si="104"/>
        <v>0</v>
      </c>
      <c r="BB422" s="905">
        <f t="shared" si="105"/>
        <v>0</v>
      </c>
      <c r="BC422" s="905">
        <f t="shared" si="106"/>
        <v>0</v>
      </c>
      <c r="BD422" s="905">
        <f t="shared" si="107"/>
        <v>0</v>
      </c>
      <c r="BE422" s="905">
        <f t="shared" si="108"/>
        <v>0</v>
      </c>
      <c r="BF422" s="905">
        <f t="shared" si="109"/>
        <v>0</v>
      </c>
      <c r="BG422" s="905">
        <f t="shared" si="110"/>
        <v>0</v>
      </c>
      <c r="BH422" s="905">
        <f t="shared" si="111"/>
        <v>0</v>
      </c>
      <c r="BI422" s="713">
        <v>0</v>
      </c>
      <c r="BJ422" s="695"/>
      <c r="BK422" s="752">
        <f>IF(X423=0,0,           IF(ISNUMBER(BJ422),BJ422,               IF(ISTEXT(BJ422),INDEX(BA422:BH422,MATCH(BJ422,$BA$12:$BH$12,0)),             IF(BI422="INT",_xll.qInterp(X423,AK422:AR422,BA422:BH422),            INDEX(BA422:BH422,MATCH(BI422,$BA$12:$BH$12,0))))))</f>
        <v>0</v>
      </c>
      <c r="BL422" s="389">
        <f t="shared" si="116"/>
        <v>0</v>
      </c>
      <c r="BM422" s="394">
        <f t="shared" si="117"/>
        <v>0</v>
      </c>
      <c r="BN422" s="389">
        <f t="shared" si="118"/>
        <v>0</v>
      </c>
    </row>
    <row r="423" spans="16:66">
      <c r="P423" s="716">
        <v>0</v>
      </c>
      <c r="Q423" s="715">
        <f t="shared" si="102"/>
        <v>0</v>
      </c>
      <c r="R423" s="712">
        <f>IF(P424,_xll.qDateYears(P423,P424,DCCfixed),0)</f>
        <v>0</v>
      </c>
      <c r="S423" s="519">
        <f ca="1"/>
        <v>0</v>
      </c>
      <c r="T423" s="720"/>
      <c r="U423" s="390">
        <f t="shared" si="112"/>
        <v>0</v>
      </c>
      <c r="X423" s="345">
        <v>0</v>
      </c>
      <c r="Y423" s="711">
        <f t="shared" si="103"/>
        <v>0</v>
      </c>
      <c r="Z423" s="712">
        <f>IF(X424,_xll.qDateYears(X423,X424,DCCfloat),0)</f>
        <v>0</v>
      </c>
      <c r="AA423" s="519">
        <f ca="1"/>
        <v>0</v>
      </c>
      <c r="AB423" s="890">
        <f>IF(X423=0,0,         IF(OR(CCY="AUD",CCY="NZD",CCY="GBP"),X423,   _xll.qDateNext(X423,"-2b",,,IF(CCY="EUR","TGT","LON"))))</f>
        <v>0</v>
      </c>
      <c r="AC423" s="879" t="str">
        <v/>
      </c>
      <c r="AD423" s="879" t="str">
        <v/>
      </c>
      <c r="AE423" s="879" t="str">
        <v/>
      </c>
      <c r="AF423" s="879" t="str">
        <v/>
      </c>
      <c r="AG423" s="879" t="str">
        <v/>
      </c>
      <c r="AH423" s="879" t="str">
        <v/>
      </c>
      <c r="AI423" s="879" t="str">
        <v/>
      </c>
      <c r="AJ423" s="879" t="str">
        <v/>
      </c>
      <c r="AK423" s="882">
        <f>IF($X423=0,0,      _xll.qDateNext($X423,AK$12,$AR$11,FRM&lt;&gt;"Calypso",CCY))</f>
        <v>0</v>
      </c>
      <c r="AL423" s="882">
        <f>IF($X423=0,0,      _xll.qDateNext($X423,AL$12,$AR$11,FRM&lt;&gt;"Calypso",CCY))</f>
        <v>0</v>
      </c>
      <c r="AM423" s="882">
        <f>IF($X423=0,0,      _xll.qDateNext($X423,AM$12,$AR$11,FRM&lt;&gt;"Calypso",CCY))</f>
        <v>0</v>
      </c>
      <c r="AN423" s="882">
        <f>IF($X423=0,0,      _xll.qDateNext($X423,AN$12,$AR$11,FRM&lt;&gt;"Calypso",CCY))</f>
        <v>0</v>
      </c>
      <c r="AO423" s="882">
        <f>IF($X423=0,0,      _xll.qDateNext($X423,AO$12,$AR$11,FRM&lt;&gt;"Calypso",CCY))</f>
        <v>0</v>
      </c>
      <c r="AP423" s="882">
        <f>IF($X423=0,0,      _xll.qDateNext($X423,AP$12,$AR$11,FRM&lt;&gt;"Calypso",CCY))</f>
        <v>0</v>
      </c>
      <c r="AQ423" s="882">
        <f>IF($X423=0,0,      _xll.qDateNext($X423,AQ$12,$AR$11,FRM&lt;&gt;"Calypso",CCY))</f>
        <v>0</v>
      </c>
      <c r="AR423" s="882">
        <f>IF($X423=0,0,      _xll.qDateNext($X423,AR$12,$AR$11,FRM&lt;&gt;"Calypso",CCY))</f>
        <v>0</v>
      </c>
      <c r="AS423" s="901">
        <f ca="1"/>
        <v>0</v>
      </c>
      <c r="AT423" s="901">
        <f ca="1"/>
        <v>0</v>
      </c>
      <c r="AU423" s="901">
        <f t="shared" si="113"/>
        <v>0</v>
      </c>
      <c r="AV423" s="901">
        <f ca="1"/>
        <v>0</v>
      </c>
      <c r="AW423" s="901">
        <f t="shared" si="114"/>
        <v>0</v>
      </c>
      <c r="AX423" s="901">
        <f t="shared" si="115"/>
        <v>0</v>
      </c>
      <c r="AY423" s="901">
        <f ca="1"/>
        <v>0</v>
      </c>
      <c r="AZ423" s="901">
        <f ca="1"/>
        <v>0</v>
      </c>
      <c r="BA423" s="905">
        <f t="shared" si="104"/>
        <v>0</v>
      </c>
      <c r="BB423" s="905">
        <f t="shared" si="105"/>
        <v>0</v>
      </c>
      <c r="BC423" s="905">
        <f t="shared" si="106"/>
        <v>0</v>
      </c>
      <c r="BD423" s="905">
        <f t="shared" si="107"/>
        <v>0</v>
      </c>
      <c r="BE423" s="905">
        <f t="shared" si="108"/>
        <v>0</v>
      </c>
      <c r="BF423" s="905">
        <f t="shared" si="109"/>
        <v>0</v>
      </c>
      <c r="BG423" s="905">
        <f t="shared" si="110"/>
        <v>0</v>
      </c>
      <c r="BH423" s="905">
        <f t="shared" si="111"/>
        <v>0</v>
      </c>
      <c r="BI423" s="713">
        <v>0</v>
      </c>
      <c r="BJ423" s="695"/>
      <c r="BK423" s="752">
        <f>IF(X424=0,0,           IF(ISNUMBER(BJ423),BJ423,               IF(ISTEXT(BJ423),INDEX(BA423:BH423,MATCH(BJ423,$BA$12:$BH$12,0)),             IF(BI423="INT",_xll.qInterp(X424,AK423:AR423,BA423:BH423),            INDEX(BA423:BH423,MATCH(BI423,$BA$12:$BH$12,0))))))</f>
        <v>0</v>
      </c>
      <c r="BL423" s="389">
        <f t="shared" si="116"/>
        <v>0</v>
      </c>
      <c r="BM423" s="394">
        <f t="shared" si="117"/>
        <v>0</v>
      </c>
      <c r="BN423" s="389">
        <f t="shared" si="118"/>
        <v>0</v>
      </c>
    </row>
    <row r="424" spans="16:66">
      <c r="P424" s="716">
        <v>0</v>
      </c>
      <c r="Q424" s="715">
        <f t="shared" si="102"/>
        <v>0</v>
      </c>
      <c r="R424" s="712">
        <f>IF(P425,_xll.qDateYears(P424,P425,DCCfixed),0)</f>
        <v>0</v>
      </c>
      <c r="S424" s="519">
        <f ca="1"/>
        <v>0</v>
      </c>
      <c r="T424" s="720"/>
      <c r="U424" s="390">
        <f t="shared" si="112"/>
        <v>0</v>
      </c>
      <c r="X424" s="345">
        <v>0</v>
      </c>
      <c r="Y424" s="711">
        <f t="shared" si="103"/>
        <v>0</v>
      </c>
      <c r="Z424" s="712">
        <f>IF(X425,_xll.qDateYears(X424,X425,DCCfloat),0)</f>
        <v>0</v>
      </c>
      <c r="AA424" s="519">
        <f ca="1"/>
        <v>0</v>
      </c>
      <c r="AB424" s="890">
        <f>IF(X424=0,0,         IF(OR(CCY="AUD",CCY="NZD",CCY="GBP"),X424,   _xll.qDateNext(X424,"-2b",,,IF(CCY="EUR","TGT","LON"))))</f>
        <v>0</v>
      </c>
      <c r="AC424" s="879" t="str">
        <v/>
      </c>
      <c r="AD424" s="879" t="str">
        <v/>
      </c>
      <c r="AE424" s="879" t="str">
        <v/>
      </c>
      <c r="AF424" s="879" t="str">
        <v/>
      </c>
      <c r="AG424" s="879" t="str">
        <v/>
      </c>
      <c r="AH424" s="879" t="str">
        <v/>
      </c>
      <c r="AI424" s="879" t="str">
        <v/>
      </c>
      <c r="AJ424" s="879" t="str">
        <v/>
      </c>
      <c r="AK424" s="882">
        <f>IF($X424=0,0,      _xll.qDateNext($X424,AK$12,$AR$11,FRM&lt;&gt;"Calypso",CCY))</f>
        <v>0</v>
      </c>
      <c r="AL424" s="882">
        <f>IF($X424=0,0,      _xll.qDateNext($X424,AL$12,$AR$11,FRM&lt;&gt;"Calypso",CCY))</f>
        <v>0</v>
      </c>
      <c r="AM424" s="882">
        <f>IF($X424=0,0,      _xll.qDateNext($X424,AM$12,$AR$11,FRM&lt;&gt;"Calypso",CCY))</f>
        <v>0</v>
      </c>
      <c r="AN424" s="882">
        <f>IF($X424=0,0,      _xll.qDateNext($X424,AN$12,$AR$11,FRM&lt;&gt;"Calypso",CCY))</f>
        <v>0</v>
      </c>
      <c r="AO424" s="882">
        <f>IF($X424=0,0,      _xll.qDateNext($X424,AO$12,$AR$11,FRM&lt;&gt;"Calypso",CCY))</f>
        <v>0</v>
      </c>
      <c r="AP424" s="882">
        <f>IF($X424=0,0,      _xll.qDateNext($X424,AP$12,$AR$11,FRM&lt;&gt;"Calypso",CCY))</f>
        <v>0</v>
      </c>
      <c r="AQ424" s="882">
        <f>IF($X424=0,0,      _xll.qDateNext($X424,AQ$12,$AR$11,FRM&lt;&gt;"Calypso",CCY))</f>
        <v>0</v>
      </c>
      <c r="AR424" s="882">
        <f>IF($X424=0,0,      _xll.qDateNext($X424,AR$12,$AR$11,FRM&lt;&gt;"Calypso",CCY))</f>
        <v>0</v>
      </c>
      <c r="AS424" s="901">
        <f ca="1"/>
        <v>0</v>
      </c>
      <c r="AT424" s="901">
        <f ca="1"/>
        <v>0</v>
      </c>
      <c r="AU424" s="901">
        <f t="shared" si="113"/>
        <v>0</v>
      </c>
      <c r="AV424" s="901">
        <f ca="1"/>
        <v>0</v>
      </c>
      <c r="AW424" s="901">
        <f t="shared" si="114"/>
        <v>0</v>
      </c>
      <c r="AX424" s="901">
        <f t="shared" si="115"/>
        <v>0</v>
      </c>
      <c r="AY424" s="901">
        <f ca="1"/>
        <v>0</v>
      </c>
      <c r="AZ424" s="901">
        <f ca="1"/>
        <v>0</v>
      </c>
      <c r="BA424" s="905">
        <f t="shared" si="104"/>
        <v>0</v>
      </c>
      <c r="BB424" s="905">
        <f t="shared" si="105"/>
        <v>0</v>
      </c>
      <c r="BC424" s="905">
        <f t="shared" si="106"/>
        <v>0</v>
      </c>
      <c r="BD424" s="905">
        <f t="shared" si="107"/>
        <v>0</v>
      </c>
      <c r="BE424" s="905">
        <f t="shared" si="108"/>
        <v>0</v>
      </c>
      <c r="BF424" s="905">
        <f t="shared" si="109"/>
        <v>0</v>
      </c>
      <c r="BG424" s="905">
        <f t="shared" si="110"/>
        <v>0</v>
      </c>
      <c r="BH424" s="905">
        <f t="shared" si="111"/>
        <v>0</v>
      </c>
      <c r="BI424" s="713">
        <v>0</v>
      </c>
      <c r="BJ424" s="695"/>
      <c r="BK424" s="752">
        <f>IF(X425=0,0,           IF(ISNUMBER(BJ424),BJ424,               IF(ISTEXT(BJ424),INDEX(BA424:BH424,MATCH(BJ424,$BA$12:$BH$12,0)),             IF(BI424="INT",_xll.qInterp(X425,AK424:AR424,BA424:BH424),            INDEX(BA424:BH424,MATCH(BI424,$BA$12:$BH$12,0))))))</f>
        <v>0</v>
      </c>
      <c r="BL424" s="389">
        <f t="shared" si="116"/>
        <v>0</v>
      </c>
      <c r="BM424" s="394">
        <f t="shared" si="117"/>
        <v>0</v>
      </c>
      <c r="BN424" s="389">
        <f t="shared" si="118"/>
        <v>0</v>
      </c>
    </row>
    <row r="425" spans="16:66">
      <c r="P425" s="716">
        <v>0</v>
      </c>
      <c r="Q425" s="715">
        <f t="shared" si="102"/>
        <v>0</v>
      </c>
      <c r="R425" s="712">
        <f>IF(P426,_xll.qDateYears(P425,P426,DCCfixed),0)</f>
        <v>0</v>
      </c>
      <c r="S425" s="519">
        <f ca="1"/>
        <v>0</v>
      </c>
      <c r="T425" s="720"/>
      <c r="U425" s="390">
        <f t="shared" si="112"/>
        <v>0</v>
      </c>
      <c r="X425" s="345">
        <v>0</v>
      </c>
      <c r="Y425" s="711">
        <f t="shared" si="103"/>
        <v>0</v>
      </c>
      <c r="Z425" s="712">
        <f>IF(X426,_xll.qDateYears(X425,X426,DCCfloat),0)</f>
        <v>0</v>
      </c>
      <c r="AA425" s="519">
        <f ca="1"/>
        <v>0</v>
      </c>
      <c r="AB425" s="890">
        <f>IF(X425=0,0,         IF(OR(CCY="AUD",CCY="NZD",CCY="GBP"),X425,   _xll.qDateNext(X425,"-2b",,,IF(CCY="EUR","TGT","LON"))))</f>
        <v>0</v>
      </c>
      <c r="AC425" s="879" t="str">
        <v/>
      </c>
      <c r="AD425" s="879" t="str">
        <v/>
      </c>
      <c r="AE425" s="879" t="str">
        <v/>
      </c>
      <c r="AF425" s="879" t="str">
        <v/>
      </c>
      <c r="AG425" s="879" t="str">
        <v/>
      </c>
      <c r="AH425" s="879" t="str">
        <v/>
      </c>
      <c r="AI425" s="879" t="str">
        <v/>
      </c>
      <c r="AJ425" s="879" t="str">
        <v/>
      </c>
      <c r="AK425" s="882">
        <f>IF($X425=0,0,      _xll.qDateNext($X425,AK$12,$AR$11,FRM&lt;&gt;"Calypso",CCY))</f>
        <v>0</v>
      </c>
      <c r="AL425" s="882">
        <f>IF($X425=0,0,      _xll.qDateNext($X425,AL$12,$AR$11,FRM&lt;&gt;"Calypso",CCY))</f>
        <v>0</v>
      </c>
      <c r="AM425" s="882">
        <f>IF($X425=0,0,      _xll.qDateNext($X425,AM$12,$AR$11,FRM&lt;&gt;"Calypso",CCY))</f>
        <v>0</v>
      </c>
      <c r="AN425" s="882">
        <f>IF($X425=0,0,      _xll.qDateNext($X425,AN$12,$AR$11,FRM&lt;&gt;"Calypso",CCY))</f>
        <v>0</v>
      </c>
      <c r="AO425" s="882">
        <f>IF($X425=0,0,      _xll.qDateNext($X425,AO$12,$AR$11,FRM&lt;&gt;"Calypso",CCY))</f>
        <v>0</v>
      </c>
      <c r="AP425" s="882">
        <f>IF($X425=0,0,      _xll.qDateNext($X425,AP$12,$AR$11,FRM&lt;&gt;"Calypso",CCY))</f>
        <v>0</v>
      </c>
      <c r="AQ425" s="882">
        <f>IF($X425=0,0,      _xll.qDateNext($X425,AQ$12,$AR$11,FRM&lt;&gt;"Calypso",CCY))</f>
        <v>0</v>
      </c>
      <c r="AR425" s="882">
        <f>IF($X425=0,0,      _xll.qDateNext($X425,AR$12,$AR$11,FRM&lt;&gt;"Calypso",CCY))</f>
        <v>0</v>
      </c>
      <c r="AS425" s="901">
        <f ca="1"/>
        <v>0</v>
      </c>
      <c r="AT425" s="901">
        <f ca="1"/>
        <v>0</v>
      </c>
      <c r="AU425" s="901">
        <f t="shared" si="113"/>
        <v>0</v>
      </c>
      <c r="AV425" s="901">
        <f ca="1"/>
        <v>0</v>
      </c>
      <c r="AW425" s="901">
        <f t="shared" si="114"/>
        <v>0</v>
      </c>
      <c r="AX425" s="901">
        <f t="shared" si="115"/>
        <v>0</v>
      </c>
      <c r="AY425" s="901">
        <f ca="1"/>
        <v>0</v>
      </c>
      <c r="AZ425" s="901">
        <f ca="1"/>
        <v>0</v>
      </c>
      <c r="BA425" s="905">
        <f t="shared" si="104"/>
        <v>0</v>
      </c>
      <c r="BB425" s="905">
        <f t="shared" si="105"/>
        <v>0</v>
      </c>
      <c r="BC425" s="905">
        <f t="shared" si="106"/>
        <v>0</v>
      </c>
      <c r="BD425" s="905">
        <f t="shared" si="107"/>
        <v>0</v>
      </c>
      <c r="BE425" s="905">
        <f t="shared" si="108"/>
        <v>0</v>
      </c>
      <c r="BF425" s="905">
        <f t="shared" si="109"/>
        <v>0</v>
      </c>
      <c r="BG425" s="905">
        <f t="shared" si="110"/>
        <v>0</v>
      </c>
      <c r="BH425" s="905">
        <f t="shared" si="111"/>
        <v>0</v>
      </c>
      <c r="BI425" s="713">
        <v>0</v>
      </c>
      <c r="BJ425" s="695"/>
      <c r="BK425" s="752">
        <f>IF(X426=0,0,           IF(ISNUMBER(BJ425),BJ425,               IF(ISTEXT(BJ425),INDEX(BA425:BH425,MATCH(BJ425,$BA$12:$BH$12,0)),             IF(BI425="INT",_xll.qInterp(X426,AK425:AR425,BA425:BH425),            INDEX(BA425:BH425,MATCH(BI425,$BA$12:$BH$12,0))))))</f>
        <v>0</v>
      </c>
      <c r="BL425" s="389">
        <f t="shared" si="116"/>
        <v>0</v>
      </c>
      <c r="BM425" s="394">
        <f t="shared" si="117"/>
        <v>0</v>
      </c>
      <c r="BN425" s="389">
        <f t="shared" si="118"/>
        <v>0</v>
      </c>
    </row>
    <row r="426" spans="16:66">
      <c r="P426" s="716">
        <v>0</v>
      </c>
      <c r="Q426" s="715">
        <f t="shared" si="102"/>
        <v>0</v>
      </c>
      <c r="R426" s="712">
        <f>IF(P427,_xll.qDateYears(P426,P427,DCCfixed),0)</f>
        <v>0</v>
      </c>
      <c r="S426" s="519">
        <f ca="1"/>
        <v>0</v>
      </c>
      <c r="T426" s="720"/>
      <c r="U426" s="390">
        <f t="shared" si="112"/>
        <v>0</v>
      </c>
      <c r="X426" s="345">
        <v>0</v>
      </c>
      <c r="Y426" s="711">
        <f t="shared" si="103"/>
        <v>0</v>
      </c>
      <c r="Z426" s="712">
        <f>IF(X427,_xll.qDateYears(X426,X427,DCCfloat),0)</f>
        <v>0</v>
      </c>
      <c r="AA426" s="519">
        <f ca="1"/>
        <v>0</v>
      </c>
      <c r="AB426" s="890">
        <f>IF(X426=0,0,         IF(OR(CCY="AUD",CCY="NZD",CCY="GBP"),X426,   _xll.qDateNext(X426,"-2b",,,IF(CCY="EUR","TGT","LON"))))</f>
        <v>0</v>
      </c>
      <c r="AC426" s="879" t="str">
        <v/>
      </c>
      <c r="AD426" s="879" t="str">
        <v/>
      </c>
      <c r="AE426" s="879" t="str">
        <v/>
      </c>
      <c r="AF426" s="879" t="str">
        <v/>
      </c>
      <c r="AG426" s="879" t="str">
        <v/>
      </c>
      <c r="AH426" s="879" t="str">
        <v/>
      </c>
      <c r="AI426" s="879" t="str">
        <v/>
      </c>
      <c r="AJ426" s="879" t="str">
        <v/>
      </c>
      <c r="AK426" s="882">
        <f>IF($X426=0,0,      _xll.qDateNext($X426,AK$12,$AR$11,FRM&lt;&gt;"Calypso",CCY))</f>
        <v>0</v>
      </c>
      <c r="AL426" s="882">
        <f>IF($X426=0,0,      _xll.qDateNext($X426,AL$12,$AR$11,FRM&lt;&gt;"Calypso",CCY))</f>
        <v>0</v>
      </c>
      <c r="AM426" s="882">
        <f>IF($X426=0,0,      _xll.qDateNext($X426,AM$12,$AR$11,FRM&lt;&gt;"Calypso",CCY))</f>
        <v>0</v>
      </c>
      <c r="AN426" s="882">
        <f>IF($X426=0,0,      _xll.qDateNext($X426,AN$12,$AR$11,FRM&lt;&gt;"Calypso",CCY))</f>
        <v>0</v>
      </c>
      <c r="AO426" s="882">
        <f>IF($X426=0,0,      _xll.qDateNext($X426,AO$12,$AR$11,FRM&lt;&gt;"Calypso",CCY))</f>
        <v>0</v>
      </c>
      <c r="AP426" s="882">
        <f>IF($X426=0,0,      _xll.qDateNext($X426,AP$12,$AR$11,FRM&lt;&gt;"Calypso",CCY))</f>
        <v>0</v>
      </c>
      <c r="AQ426" s="882">
        <f>IF($X426=0,0,      _xll.qDateNext($X426,AQ$12,$AR$11,FRM&lt;&gt;"Calypso",CCY))</f>
        <v>0</v>
      </c>
      <c r="AR426" s="882">
        <f>IF($X426=0,0,      _xll.qDateNext($X426,AR$12,$AR$11,FRM&lt;&gt;"Calypso",CCY))</f>
        <v>0</v>
      </c>
      <c r="AS426" s="901">
        <f ca="1"/>
        <v>0</v>
      </c>
      <c r="AT426" s="901">
        <f ca="1"/>
        <v>0</v>
      </c>
      <c r="AU426" s="901">
        <f t="shared" si="113"/>
        <v>0</v>
      </c>
      <c r="AV426" s="901">
        <f ca="1"/>
        <v>0</v>
      </c>
      <c r="AW426" s="901">
        <f t="shared" si="114"/>
        <v>0</v>
      </c>
      <c r="AX426" s="901">
        <f t="shared" si="115"/>
        <v>0</v>
      </c>
      <c r="AY426" s="901">
        <f ca="1"/>
        <v>0</v>
      </c>
      <c r="AZ426" s="901">
        <f ca="1"/>
        <v>0</v>
      </c>
      <c r="BA426" s="905">
        <f t="shared" si="104"/>
        <v>0</v>
      </c>
      <c r="BB426" s="905">
        <f t="shared" si="105"/>
        <v>0</v>
      </c>
      <c r="BC426" s="905">
        <f t="shared" si="106"/>
        <v>0</v>
      </c>
      <c r="BD426" s="905">
        <f t="shared" si="107"/>
        <v>0</v>
      </c>
      <c r="BE426" s="905">
        <f t="shared" si="108"/>
        <v>0</v>
      </c>
      <c r="BF426" s="905">
        <f t="shared" si="109"/>
        <v>0</v>
      </c>
      <c r="BG426" s="905">
        <f t="shared" si="110"/>
        <v>0</v>
      </c>
      <c r="BH426" s="905">
        <f t="shared" si="111"/>
        <v>0</v>
      </c>
      <c r="BI426" s="713">
        <v>0</v>
      </c>
      <c r="BJ426" s="695"/>
      <c r="BK426" s="752">
        <f>IF(X427=0,0,           IF(ISNUMBER(BJ426),BJ426,               IF(ISTEXT(BJ426),INDEX(BA426:BH426,MATCH(BJ426,$BA$12:$BH$12,0)),             IF(BI426="INT",_xll.qInterp(X427,AK426:AR426,BA426:BH426),            INDEX(BA426:BH426,MATCH(BI426,$BA$12:$BH$12,0))))))</f>
        <v>0</v>
      </c>
      <c r="BL426" s="389">
        <f t="shared" si="116"/>
        <v>0</v>
      </c>
      <c r="BM426" s="394">
        <f t="shared" si="117"/>
        <v>0</v>
      </c>
      <c r="BN426" s="389">
        <f t="shared" si="118"/>
        <v>0</v>
      </c>
    </row>
    <row r="427" spans="16:66">
      <c r="P427" s="716">
        <v>0</v>
      </c>
      <c r="Q427" s="715">
        <f t="shared" si="102"/>
        <v>0</v>
      </c>
      <c r="R427" s="712">
        <f>IF(P428,_xll.qDateYears(P427,P428,DCCfixed),0)</f>
        <v>0</v>
      </c>
      <c r="S427" s="519">
        <f ca="1"/>
        <v>0</v>
      </c>
      <c r="T427" s="720"/>
      <c r="U427" s="390">
        <f t="shared" si="112"/>
        <v>0</v>
      </c>
      <c r="X427" s="345">
        <v>0</v>
      </c>
      <c r="Y427" s="711">
        <f t="shared" si="103"/>
        <v>0</v>
      </c>
      <c r="Z427" s="712">
        <f>IF(X428,_xll.qDateYears(X427,X428,DCCfloat),0)</f>
        <v>0</v>
      </c>
      <c r="AA427" s="519">
        <f ca="1"/>
        <v>0</v>
      </c>
      <c r="AB427" s="890">
        <f>IF(X427=0,0,         IF(OR(CCY="AUD",CCY="NZD",CCY="GBP"),X427,   _xll.qDateNext(X427,"-2b",,,IF(CCY="EUR","TGT","LON"))))</f>
        <v>0</v>
      </c>
      <c r="AC427" s="879" t="str">
        <v/>
      </c>
      <c r="AD427" s="879" t="str">
        <v/>
      </c>
      <c r="AE427" s="879" t="str">
        <v/>
      </c>
      <c r="AF427" s="879" t="str">
        <v/>
      </c>
      <c r="AG427" s="879" t="str">
        <v/>
      </c>
      <c r="AH427" s="879" t="str">
        <v/>
      </c>
      <c r="AI427" s="879" t="str">
        <v/>
      </c>
      <c r="AJ427" s="879" t="str">
        <v/>
      </c>
      <c r="AK427" s="882">
        <f>IF($X427=0,0,      _xll.qDateNext($X427,AK$12,$AR$11,FRM&lt;&gt;"Calypso",CCY))</f>
        <v>0</v>
      </c>
      <c r="AL427" s="882">
        <f>IF($X427=0,0,      _xll.qDateNext($X427,AL$12,$AR$11,FRM&lt;&gt;"Calypso",CCY))</f>
        <v>0</v>
      </c>
      <c r="AM427" s="882">
        <f>IF($X427=0,0,      _xll.qDateNext($X427,AM$12,$AR$11,FRM&lt;&gt;"Calypso",CCY))</f>
        <v>0</v>
      </c>
      <c r="AN427" s="882">
        <f>IF($X427=0,0,      _xll.qDateNext($X427,AN$12,$AR$11,FRM&lt;&gt;"Calypso",CCY))</f>
        <v>0</v>
      </c>
      <c r="AO427" s="882">
        <f>IF($X427=0,0,      _xll.qDateNext($X427,AO$12,$AR$11,FRM&lt;&gt;"Calypso",CCY))</f>
        <v>0</v>
      </c>
      <c r="AP427" s="882">
        <f>IF($X427=0,0,      _xll.qDateNext($X427,AP$12,$AR$11,FRM&lt;&gt;"Calypso",CCY))</f>
        <v>0</v>
      </c>
      <c r="AQ427" s="882">
        <f>IF($X427=0,0,      _xll.qDateNext($X427,AQ$12,$AR$11,FRM&lt;&gt;"Calypso",CCY))</f>
        <v>0</v>
      </c>
      <c r="AR427" s="882">
        <f>IF($X427=0,0,      _xll.qDateNext($X427,AR$12,$AR$11,FRM&lt;&gt;"Calypso",CCY))</f>
        <v>0</v>
      </c>
      <c r="AS427" s="901">
        <f ca="1"/>
        <v>0</v>
      </c>
      <c r="AT427" s="901">
        <f ca="1"/>
        <v>0</v>
      </c>
      <c r="AU427" s="901">
        <f t="shared" si="113"/>
        <v>0</v>
      </c>
      <c r="AV427" s="901">
        <f ca="1"/>
        <v>0</v>
      </c>
      <c r="AW427" s="901">
        <f t="shared" si="114"/>
        <v>0</v>
      </c>
      <c r="AX427" s="901">
        <f t="shared" si="115"/>
        <v>0</v>
      </c>
      <c r="AY427" s="901">
        <f ca="1"/>
        <v>0</v>
      </c>
      <c r="AZ427" s="901">
        <f ca="1"/>
        <v>0</v>
      </c>
      <c r="BA427" s="905">
        <f t="shared" si="104"/>
        <v>0</v>
      </c>
      <c r="BB427" s="905">
        <f t="shared" si="105"/>
        <v>0</v>
      </c>
      <c r="BC427" s="905">
        <f t="shared" si="106"/>
        <v>0</v>
      </c>
      <c r="BD427" s="905">
        <f t="shared" si="107"/>
        <v>0</v>
      </c>
      <c r="BE427" s="905">
        <f t="shared" si="108"/>
        <v>0</v>
      </c>
      <c r="BF427" s="905">
        <f t="shared" si="109"/>
        <v>0</v>
      </c>
      <c r="BG427" s="905">
        <f t="shared" si="110"/>
        <v>0</v>
      </c>
      <c r="BH427" s="905">
        <f t="shared" si="111"/>
        <v>0</v>
      </c>
      <c r="BI427" s="713">
        <v>0</v>
      </c>
      <c r="BJ427" s="695"/>
      <c r="BK427" s="752">
        <f>IF(X428=0,0,           IF(ISNUMBER(BJ427),BJ427,               IF(ISTEXT(BJ427),INDEX(BA427:BH427,MATCH(BJ427,$BA$12:$BH$12,0)),             IF(BI427="INT",_xll.qInterp(X428,AK427:AR427,BA427:BH427),            INDEX(BA427:BH427,MATCH(BI427,$BA$12:$BH$12,0))))))</f>
        <v>0</v>
      </c>
      <c r="BL427" s="389">
        <f t="shared" si="116"/>
        <v>0</v>
      </c>
      <c r="BM427" s="394">
        <f t="shared" si="117"/>
        <v>0</v>
      </c>
      <c r="BN427" s="389">
        <f t="shared" si="118"/>
        <v>0</v>
      </c>
    </row>
    <row r="428" spans="16:66">
      <c r="P428" s="716">
        <v>0</v>
      </c>
      <c r="Q428" s="715">
        <f t="shared" si="102"/>
        <v>0</v>
      </c>
      <c r="R428" s="712">
        <f>IF(P429,_xll.qDateYears(P428,P429,DCCfixed),0)</f>
        <v>0</v>
      </c>
      <c r="S428" s="519">
        <f ca="1"/>
        <v>0</v>
      </c>
      <c r="T428" s="720"/>
      <c r="U428" s="390">
        <f t="shared" si="112"/>
        <v>0</v>
      </c>
      <c r="X428" s="345">
        <v>0</v>
      </c>
      <c r="Y428" s="711">
        <f t="shared" si="103"/>
        <v>0</v>
      </c>
      <c r="Z428" s="712">
        <f>IF(X429,_xll.qDateYears(X428,X429,DCCfloat),0)</f>
        <v>0</v>
      </c>
      <c r="AA428" s="519">
        <f ca="1"/>
        <v>0</v>
      </c>
      <c r="AB428" s="890">
        <f>IF(X428=0,0,         IF(OR(CCY="AUD",CCY="NZD",CCY="GBP"),X428,   _xll.qDateNext(X428,"-2b",,,IF(CCY="EUR","TGT","LON"))))</f>
        <v>0</v>
      </c>
      <c r="AC428" s="879" t="str">
        <v/>
      </c>
      <c r="AD428" s="879" t="str">
        <v/>
      </c>
      <c r="AE428" s="879" t="str">
        <v/>
      </c>
      <c r="AF428" s="879" t="str">
        <v/>
      </c>
      <c r="AG428" s="879" t="str">
        <v/>
      </c>
      <c r="AH428" s="879" t="str">
        <v/>
      </c>
      <c r="AI428" s="879" t="str">
        <v/>
      </c>
      <c r="AJ428" s="879" t="str">
        <v/>
      </c>
      <c r="AK428" s="882">
        <f>IF($X428=0,0,      _xll.qDateNext($X428,AK$12,$AR$11,FRM&lt;&gt;"Calypso",CCY))</f>
        <v>0</v>
      </c>
      <c r="AL428" s="882">
        <f>IF($X428=0,0,      _xll.qDateNext($X428,AL$12,$AR$11,FRM&lt;&gt;"Calypso",CCY))</f>
        <v>0</v>
      </c>
      <c r="AM428" s="882">
        <f>IF($X428=0,0,      _xll.qDateNext($X428,AM$12,$AR$11,FRM&lt;&gt;"Calypso",CCY))</f>
        <v>0</v>
      </c>
      <c r="AN428" s="882">
        <f>IF($X428=0,0,      _xll.qDateNext($X428,AN$12,$AR$11,FRM&lt;&gt;"Calypso",CCY))</f>
        <v>0</v>
      </c>
      <c r="AO428" s="882">
        <f>IF($X428=0,0,      _xll.qDateNext($X428,AO$12,$AR$11,FRM&lt;&gt;"Calypso",CCY))</f>
        <v>0</v>
      </c>
      <c r="AP428" s="882">
        <f>IF($X428=0,0,      _xll.qDateNext($X428,AP$12,$AR$11,FRM&lt;&gt;"Calypso",CCY))</f>
        <v>0</v>
      </c>
      <c r="AQ428" s="882">
        <f>IF($X428=0,0,      _xll.qDateNext($X428,AQ$12,$AR$11,FRM&lt;&gt;"Calypso",CCY))</f>
        <v>0</v>
      </c>
      <c r="AR428" s="882">
        <f>IF($X428=0,0,      _xll.qDateNext($X428,AR$12,$AR$11,FRM&lt;&gt;"Calypso",CCY))</f>
        <v>0</v>
      </c>
      <c r="AS428" s="901">
        <f ca="1"/>
        <v>0</v>
      </c>
      <c r="AT428" s="901">
        <f ca="1"/>
        <v>0</v>
      </c>
      <c r="AU428" s="901">
        <f t="shared" si="113"/>
        <v>0</v>
      </c>
      <c r="AV428" s="901">
        <f ca="1"/>
        <v>0</v>
      </c>
      <c r="AW428" s="901">
        <f t="shared" si="114"/>
        <v>0</v>
      </c>
      <c r="AX428" s="901">
        <f t="shared" si="115"/>
        <v>0</v>
      </c>
      <c r="AY428" s="901">
        <f ca="1"/>
        <v>0</v>
      </c>
      <c r="AZ428" s="901">
        <f ca="1"/>
        <v>0</v>
      </c>
      <c r="BA428" s="905">
        <f t="shared" si="104"/>
        <v>0</v>
      </c>
      <c r="BB428" s="905">
        <f t="shared" si="105"/>
        <v>0</v>
      </c>
      <c r="BC428" s="905">
        <f t="shared" si="106"/>
        <v>0</v>
      </c>
      <c r="BD428" s="905">
        <f t="shared" si="107"/>
        <v>0</v>
      </c>
      <c r="BE428" s="905">
        <f t="shared" si="108"/>
        <v>0</v>
      </c>
      <c r="BF428" s="905">
        <f t="shared" si="109"/>
        <v>0</v>
      </c>
      <c r="BG428" s="905">
        <f t="shared" si="110"/>
        <v>0</v>
      </c>
      <c r="BH428" s="905">
        <f t="shared" si="111"/>
        <v>0</v>
      </c>
      <c r="BI428" s="713">
        <v>0</v>
      </c>
      <c r="BJ428" s="695"/>
      <c r="BK428" s="752">
        <f>IF(X429=0,0,           IF(ISNUMBER(BJ428),BJ428,               IF(ISTEXT(BJ428),INDEX(BA428:BH428,MATCH(BJ428,$BA$12:$BH$12,0)),             IF(BI428="INT",_xll.qInterp(X429,AK428:AR428,BA428:BH428),            INDEX(BA428:BH428,MATCH(BI428,$BA$12:$BH$12,0))))))</f>
        <v>0</v>
      </c>
      <c r="BL428" s="389">
        <f t="shared" si="116"/>
        <v>0</v>
      </c>
      <c r="BM428" s="394">
        <f t="shared" si="117"/>
        <v>0</v>
      </c>
      <c r="BN428" s="389">
        <f t="shared" si="118"/>
        <v>0</v>
      </c>
    </row>
    <row r="429" spans="16:66">
      <c r="P429" s="716">
        <v>0</v>
      </c>
      <c r="Q429" s="715">
        <f t="shared" si="102"/>
        <v>0</v>
      </c>
      <c r="R429" s="712">
        <f>IF(P430,_xll.qDateYears(P429,P430,DCCfixed),0)</f>
        <v>0</v>
      </c>
      <c r="S429" s="519">
        <f ca="1"/>
        <v>0</v>
      </c>
      <c r="T429" s="720"/>
      <c r="U429" s="390">
        <f t="shared" si="112"/>
        <v>0</v>
      </c>
      <c r="X429" s="345">
        <v>0</v>
      </c>
      <c r="Y429" s="711">
        <f t="shared" si="103"/>
        <v>0</v>
      </c>
      <c r="Z429" s="712">
        <f>IF(X430,_xll.qDateYears(X429,X430,DCCfloat),0)</f>
        <v>0</v>
      </c>
      <c r="AA429" s="519">
        <f ca="1"/>
        <v>0</v>
      </c>
      <c r="AB429" s="890">
        <f>IF(X429=0,0,         IF(OR(CCY="AUD",CCY="NZD",CCY="GBP"),X429,   _xll.qDateNext(X429,"-2b",,,IF(CCY="EUR","TGT","LON"))))</f>
        <v>0</v>
      </c>
      <c r="AC429" s="879" t="str">
        <v/>
      </c>
      <c r="AD429" s="879" t="str">
        <v/>
      </c>
      <c r="AE429" s="879" t="str">
        <v/>
      </c>
      <c r="AF429" s="879" t="str">
        <v/>
      </c>
      <c r="AG429" s="879" t="str">
        <v/>
      </c>
      <c r="AH429" s="879" t="str">
        <v/>
      </c>
      <c r="AI429" s="879" t="str">
        <v/>
      </c>
      <c r="AJ429" s="879" t="str">
        <v/>
      </c>
      <c r="AK429" s="882">
        <f>IF($X429=0,0,      _xll.qDateNext($X429,AK$12,$AR$11,FRM&lt;&gt;"Calypso",CCY))</f>
        <v>0</v>
      </c>
      <c r="AL429" s="882">
        <f>IF($X429=0,0,      _xll.qDateNext($X429,AL$12,$AR$11,FRM&lt;&gt;"Calypso",CCY))</f>
        <v>0</v>
      </c>
      <c r="AM429" s="882">
        <f>IF($X429=0,0,      _xll.qDateNext($X429,AM$12,$AR$11,FRM&lt;&gt;"Calypso",CCY))</f>
        <v>0</v>
      </c>
      <c r="AN429" s="882">
        <f>IF($X429=0,0,      _xll.qDateNext($X429,AN$12,$AR$11,FRM&lt;&gt;"Calypso",CCY))</f>
        <v>0</v>
      </c>
      <c r="AO429" s="882">
        <f>IF($X429=0,0,      _xll.qDateNext($X429,AO$12,$AR$11,FRM&lt;&gt;"Calypso",CCY))</f>
        <v>0</v>
      </c>
      <c r="AP429" s="882">
        <f>IF($X429=0,0,      _xll.qDateNext($X429,AP$12,$AR$11,FRM&lt;&gt;"Calypso",CCY))</f>
        <v>0</v>
      </c>
      <c r="AQ429" s="882">
        <f>IF($X429=0,0,      _xll.qDateNext($X429,AQ$12,$AR$11,FRM&lt;&gt;"Calypso",CCY))</f>
        <v>0</v>
      </c>
      <c r="AR429" s="882">
        <f>IF($X429=0,0,      _xll.qDateNext($X429,AR$12,$AR$11,FRM&lt;&gt;"Calypso",CCY))</f>
        <v>0</v>
      </c>
      <c r="AS429" s="901">
        <f ca="1"/>
        <v>0</v>
      </c>
      <c r="AT429" s="901">
        <f ca="1"/>
        <v>0</v>
      </c>
      <c r="AU429" s="901">
        <f t="shared" si="113"/>
        <v>0</v>
      </c>
      <c r="AV429" s="901">
        <f ca="1"/>
        <v>0</v>
      </c>
      <c r="AW429" s="901">
        <f t="shared" si="114"/>
        <v>0</v>
      </c>
      <c r="AX429" s="901">
        <f t="shared" si="115"/>
        <v>0</v>
      </c>
      <c r="AY429" s="901">
        <f ca="1"/>
        <v>0</v>
      </c>
      <c r="AZ429" s="901">
        <f ca="1"/>
        <v>0</v>
      </c>
      <c r="BA429" s="905">
        <f t="shared" si="104"/>
        <v>0</v>
      </c>
      <c r="BB429" s="905">
        <f t="shared" si="105"/>
        <v>0</v>
      </c>
      <c r="BC429" s="905">
        <f t="shared" si="106"/>
        <v>0</v>
      </c>
      <c r="BD429" s="905">
        <f t="shared" si="107"/>
        <v>0</v>
      </c>
      <c r="BE429" s="905">
        <f t="shared" si="108"/>
        <v>0</v>
      </c>
      <c r="BF429" s="905">
        <f t="shared" si="109"/>
        <v>0</v>
      </c>
      <c r="BG429" s="905">
        <f t="shared" si="110"/>
        <v>0</v>
      </c>
      <c r="BH429" s="905">
        <f t="shared" si="111"/>
        <v>0</v>
      </c>
      <c r="BI429" s="713">
        <v>0</v>
      </c>
      <c r="BJ429" s="695"/>
      <c r="BK429" s="752">
        <f>IF(X430=0,0,           IF(ISNUMBER(BJ429),BJ429,               IF(ISTEXT(BJ429),INDEX(BA429:BH429,MATCH(BJ429,$BA$12:$BH$12,0)),             IF(BI429="INT",_xll.qInterp(X430,AK429:AR429,BA429:BH429),            INDEX(BA429:BH429,MATCH(BI429,$BA$12:$BH$12,0))))))</f>
        <v>0</v>
      </c>
      <c r="BL429" s="389">
        <f t="shared" si="116"/>
        <v>0</v>
      </c>
      <c r="BM429" s="394">
        <f t="shared" si="117"/>
        <v>0</v>
      </c>
      <c r="BN429" s="389">
        <f t="shared" si="118"/>
        <v>0</v>
      </c>
    </row>
    <row r="430" spans="16:66">
      <c r="P430" s="716">
        <v>0</v>
      </c>
      <c r="Q430" s="715">
        <f t="shared" si="102"/>
        <v>0</v>
      </c>
      <c r="R430" s="712">
        <f>IF(P431,_xll.qDateYears(P430,P431,DCCfixed),0)</f>
        <v>0</v>
      </c>
      <c r="S430" s="519">
        <f ca="1"/>
        <v>0</v>
      </c>
      <c r="T430" s="720"/>
      <c r="U430" s="390">
        <f t="shared" si="112"/>
        <v>0</v>
      </c>
      <c r="X430" s="345">
        <v>0</v>
      </c>
      <c r="Y430" s="711">
        <f t="shared" si="103"/>
        <v>0</v>
      </c>
      <c r="Z430" s="712">
        <f>IF(X431,_xll.qDateYears(X430,X431,DCCfloat),0)</f>
        <v>0</v>
      </c>
      <c r="AA430" s="519">
        <f ca="1"/>
        <v>0</v>
      </c>
      <c r="AB430" s="890">
        <f>IF(X430=0,0,         IF(OR(CCY="AUD",CCY="NZD",CCY="GBP"),X430,   _xll.qDateNext(X430,"-2b",,,IF(CCY="EUR","TGT","LON"))))</f>
        <v>0</v>
      </c>
      <c r="AC430" s="879" t="str">
        <v/>
      </c>
      <c r="AD430" s="879" t="str">
        <v/>
      </c>
      <c r="AE430" s="879" t="str">
        <v/>
      </c>
      <c r="AF430" s="879" t="str">
        <v/>
      </c>
      <c r="AG430" s="879" t="str">
        <v/>
      </c>
      <c r="AH430" s="879" t="str">
        <v/>
      </c>
      <c r="AI430" s="879" t="str">
        <v/>
      </c>
      <c r="AJ430" s="879" t="str">
        <v/>
      </c>
      <c r="AK430" s="882">
        <f>IF($X430=0,0,      _xll.qDateNext($X430,AK$12,$AR$11,FRM&lt;&gt;"Calypso",CCY))</f>
        <v>0</v>
      </c>
      <c r="AL430" s="882">
        <f>IF($X430=0,0,      _xll.qDateNext($X430,AL$12,$AR$11,FRM&lt;&gt;"Calypso",CCY))</f>
        <v>0</v>
      </c>
      <c r="AM430" s="882">
        <f>IF($X430=0,0,      _xll.qDateNext($X430,AM$12,$AR$11,FRM&lt;&gt;"Calypso",CCY))</f>
        <v>0</v>
      </c>
      <c r="AN430" s="882">
        <f>IF($X430=0,0,      _xll.qDateNext($X430,AN$12,$AR$11,FRM&lt;&gt;"Calypso",CCY))</f>
        <v>0</v>
      </c>
      <c r="AO430" s="882">
        <f>IF($X430=0,0,      _xll.qDateNext($X430,AO$12,$AR$11,FRM&lt;&gt;"Calypso",CCY))</f>
        <v>0</v>
      </c>
      <c r="AP430" s="882">
        <f>IF($X430=0,0,      _xll.qDateNext($X430,AP$12,$AR$11,FRM&lt;&gt;"Calypso",CCY))</f>
        <v>0</v>
      </c>
      <c r="AQ430" s="882">
        <f>IF($X430=0,0,      _xll.qDateNext($X430,AQ$12,$AR$11,FRM&lt;&gt;"Calypso",CCY))</f>
        <v>0</v>
      </c>
      <c r="AR430" s="882">
        <f>IF($X430=0,0,      _xll.qDateNext($X430,AR$12,$AR$11,FRM&lt;&gt;"Calypso",CCY))</f>
        <v>0</v>
      </c>
      <c r="AS430" s="901">
        <f ca="1"/>
        <v>0</v>
      </c>
      <c r="AT430" s="901">
        <f ca="1"/>
        <v>0</v>
      </c>
      <c r="AU430" s="901">
        <f t="shared" si="113"/>
        <v>0</v>
      </c>
      <c r="AV430" s="901">
        <f ca="1"/>
        <v>0</v>
      </c>
      <c r="AW430" s="901">
        <f t="shared" si="114"/>
        <v>0</v>
      </c>
      <c r="AX430" s="901">
        <f t="shared" si="115"/>
        <v>0</v>
      </c>
      <c r="AY430" s="901">
        <f ca="1"/>
        <v>0</v>
      </c>
      <c r="AZ430" s="901">
        <f ca="1"/>
        <v>0</v>
      </c>
      <c r="BA430" s="905">
        <f t="shared" si="104"/>
        <v>0</v>
      </c>
      <c r="BB430" s="905">
        <f t="shared" si="105"/>
        <v>0</v>
      </c>
      <c r="BC430" s="905">
        <f t="shared" si="106"/>
        <v>0</v>
      </c>
      <c r="BD430" s="905">
        <f t="shared" si="107"/>
        <v>0</v>
      </c>
      <c r="BE430" s="905">
        <f t="shared" si="108"/>
        <v>0</v>
      </c>
      <c r="BF430" s="905">
        <f t="shared" si="109"/>
        <v>0</v>
      </c>
      <c r="BG430" s="905">
        <f t="shared" si="110"/>
        <v>0</v>
      </c>
      <c r="BH430" s="905">
        <f t="shared" si="111"/>
        <v>0</v>
      </c>
      <c r="BI430" s="713">
        <v>0</v>
      </c>
      <c r="BJ430" s="695"/>
      <c r="BK430" s="752">
        <f>IF(X431=0,0,           IF(ISNUMBER(BJ430),BJ430,               IF(ISTEXT(BJ430),INDEX(BA430:BH430,MATCH(BJ430,$BA$12:$BH$12,0)),             IF(BI430="INT",_xll.qInterp(X431,AK430:AR430,BA430:BH430),            INDEX(BA430:BH430,MATCH(BI430,$BA$12:$BH$12,0))))))</f>
        <v>0</v>
      </c>
      <c r="BL430" s="389">
        <f t="shared" si="116"/>
        <v>0</v>
      </c>
      <c r="BM430" s="394">
        <f t="shared" si="117"/>
        <v>0</v>
      </c>
      <c r="BN430" s="389">
        <f t="shared" si="118"/>
        <v>0</v>
      </c>
    </row>
    <row r="431" spans="16:66">
      <c r="P431" s="716">
        <v>0</v>
      </c>
      <c r="Q431" s="715">
        <f t="shared" si="102"/>
        <v>0</v>
      </c>
      <c r="R431" s="712">
        <f>IF(P432,_xll.qDateYears(P431,P432,DCCfixed),0)</f>
        <v>0</v>
      </c>
      <c r="S431" s="519">
        <f ca="1"/>
        <v>0</v>
      </c>
      <c r="T431" s="720"/>
      <c r="U431" s="390">
        <f t="shared" si="112"/>
        <v>0</v>
      </c>
      <c r="X431" s="345">
        <v>0</v>
      </c>
      <c r="Y431" s="711">
        <f t="shared" si="103"/>
        <v>0</v>
      </c>
      <c r="Z431" s="712">
        <f>IF(X432,_xll.qDateYears(X431,X432,DCCfloat),0)</f>
        <v>0</v>
      </c>
      <c r="AA431" s="519">
        <f ca="1"/>
        <v>0</v>
      </c>
      <c r="AB431" s="890">
        <f>IF(X431=0,0,         IF(OR(CCY="AUD",CCY="NZD",CCY="GBP"),X431,   _xll.qDateNext(X431,"-2b",,,IF(CCY="EUR","TGT","LON"))))</f>
        <v>0</v>
      </c>
      <c r="AC431" s="879" t="str">
        <v/>
      </c>
      <c r="AD431" s="879" t="str">
        <v/>
      </c>
      <c r="AE431" s="879" t="str">
        <v/>
      </c>
      <c r="AF431" s="879" t="str">
        <v/>
      </c>
      <c r="AG431" s="879" t="str">
        <v/>
      </c>
      <c r="AH431" s="879" t="str">
        <v/>
      </c>
      <c r="AI431" s="879" t="str">
        <v/>
      </c>
      <c r="AJ431" s="879" t="str">
        <v/>
      </c>
      <c r="AK431" s="882">
        <f>IF($X431=0,0,      _xll.qDateNext($X431,AK$12,$AR$11,FRM&lt;&gt;"Calypso",CCY))</f>
        <v>0</v>
      </c>
      <c r="AL431" s="882">
        <f>IF($X431=0,0,      _xll.qDateNext($X431,AL$12,$AR$11,FRM&lt;&gt;"Calypso",CCY))</f>
        <v>0</v>
      </c>
      <c r="AM431" s="882">
        <f>IF($X431=0,0,      _xll.qDateNext($X431,AM$12,$AR$11,FRM&lt;&gt;"Calypso",CCY))</f>
        <v>0</v>
      </c>
      <c r="AN431" s="882">
        <f>IF($X431=0,0,      _xll.qDateNext($X431,AN$12,$AR$11,FRM&lt;&gt;"Calypso",CCY))</f>
        <v>0</v>
      </c>
      <c r="AO431" s="882">
        <f>IF($X431=0,0,      _xll.qDateNext($X431,AO$12,$AR$11,FRM&lt;&gt;"Calypso",CCY))</f>
        <v>0</v>
      </c>
      <c r="AP431" s="882">
        <f>IF($X431=0,0,      _xll.qDateNext($X431,AP$12,$AR$11,FRM&lt;&gt;"Calypso",CCY))</f>
        <v>0</v>
      </c>
      <c r="AQ431" s="882">
        <f>IF($X431=0,0,      _xll.qDateNext($X431,AQ$12,$AR$11,FRM&lt;&gt;"Calypso",CCY))</f>
        <v>0</v>
      </c>
      <c r="AR431" s="882">
        <f>IF($X431=0,0,      _xll.qDateNext($X431,AR$12,$AR$11,FRM&lt;&gt;"Calypso",CCY))</f>
        <v>0</v>
      </c>
      <c r="AS431" s="901">
        <f ca="1"/>
        <v>0</v>
      </c>
      <c r="AT431" s="901">
        <f ca="1"/>
        <v>0</v>
      </c>
      <c r="AU431" s="901">
        <f t="shared" si="113"/>
        <v>0</v>
      </c>
      <c r="AV431" s="901">
        <f ca="1"/>
        <v>0</v>
      </c>
      <c r="AW431" s="901">
        <f t="shared" si="114"/>
        <v>0</v>
      </c>
      <c r="AX431" s="901">
        <f t="shared" si="115"/>
        <v>0</v>
      </c>
      <c r="AY431" s="901">
        <f ca="1"/>
        <v>0</v>
      </c>
      <c r="AZ431" s="901">
        <f ca="1"/>
        <v>0</v>
      </c>
      <c r="BA431" s="905">
        <f t="shared" si="104"/>
        <v>0</v>
      </c>
      <c r="BB431" s="905">
        <f t="shared" si="105"/>
        <v>0</v>
      </c>
      <c r="BC431" s="905">
        <f t="shared" si="106"/>
        <v>0</v>
      </c>
      <c r="BD431" s="905">
        <f t="shared" si="107"/>
        <v>0</v>
      </c>
      <c r="BE431" s="905">
        <f t="shared" si="108"/>
        <v>0</v>
      </c>
      <c r="BF431" s="905">
        <f t="shared" si="109"/>
        <v>0</v>
      </c>
      <c r="BG431" s="905">
        <f t="shared" si="110"/>
        <v>0</v>
      </c>
      <c r="BH431" s="905">
        <f t="shared" si="111"/>
        <v>0</v>
      </c>
      <c r="BI431" s="713">
        <v>0</v>
      </c>
      <c r="BJ431" s="695"/>
      <c r="BK431" s="752">
        <f>IF(X432=0,0,           IF(ISNUMBER(BJ431),BJ431,               IF(ISTEXT(BJ431),INDEX(BA431:BH431,MATCH(BJ431,$BA$12:$BH$12,0)),             IF(BI431="INT",_xll.qInterp(X432,AK431:AR431,BA431:BH431),            INDEX(BA431:BH431,MATCH(BI431,$BA$12:$BH$12,0))))))</f>
        <v>0</v>
      </c>
      <c r="BL431" s="389">
        <f t="shared" si="116"/>
        <v>0</v>
      </c>
      <c r="BM431" s="394">
        <f t="shared" si="117"/>
        <v>0</v>
      </c>
      <c r="BN431" s="389">
        <f t="shared" si="118"/>
        <v>0</v>
      </c>
    </row>
    <row r="432" spans="16:66">
      <c r="P432" s="716">
        <v>0</v>
      </c>
      <c r="Q432" s="715">
        <f t="shared" si="102"/>
        <v>0</v>
      </c>
      <c r="R432" s="712">
        <f>IF(P433,_xll.qDateYears(P432,P433,DCCfixed),0)</f>
        <v>0</v>
      </c>
      <c r="S432" s="519">
        <f ca="1"/>
        <v>0</v>
      </c>
      <c r="T432" s="720"/>
      <c r="U432" s="390">
        <f t="shared" si="112"/>
        <v>0</v>
      </c>
      <c r="X432" s="345">
        <v>0</v>
      </c>
      <c r="Y432" s="711">
        <f t="shared" si="103"/>
        <v>0</v>
      </c>
      <c r="Z432" s="712">
        <f>IF(X433,_xll.qDateYears(X432,X433,DCCfloat),0)</f>
        <v>0</v>
      </c>
      <c r="AA432" s="519">
        <f ca="1"/>
        <v>0</v>
      </c>
      <c r="AB432" s="890">
        <f>IF(X432=0,0,         IF(OR(CCY="AUD",CCY="NZD",CCY="GBP"),X432,   _xll.qDateNext(X432,"-2b",,,IF(CCY="EUR","TGT","LON"))))</f>
        <v>0</v>
      </c>
      <c r="AC432" s="879" t="str">
        <v/>
      </c>
      <c r="AD432" s="879" t="str">
        <v/>
      </c>
      <c r="AE432" s="879" t="str">
        <v/>
      </c>
      <c r="AF432" s="879" t="str">
        <v/>
      </c>
      <c r="AG432" s="879" t="str">
        <v/>
      </c>
      <c r="AH432" s="879" t="str">
        <v/>
      </c>
      <c r="AI432" s="879" t="str">
        <v/>
      </c>
      <c r="AJ432" s="879" t="str">
        <v/>
      </c>
      <c r="AK432" s="882">
        <f>IF($X432=0,0,      _xll.qDateNext($X432,AK$12,$AR$11,FRM&lt;&gt;"Calypso",CCY))</f>
        <v>0</v>
      </c>
      <c r="AL432" s="882">
        <f>IF($X432=0,0,      _xll.qDateNext($X432,AL$12,$AR$11,FRM&lt;&gt;"Calypso",CCY))</f>
        <v>0</v>
      </c>
      <c r="AM432" s="882">
        <f>IF($X432=0,0,      _xll.qDateNext($X432,AM$12,$AR$11,FRM&lt;&gt;"Calypso",CCY))</f>
        <v>0</v>
      </c>
      <c r="AN432" s="882">
        <f>IF($X432=0,0,      _xll.qDateNext($X432,AN$12,$AR$11,FRM&lt;&gt;"Calypso",CCY))</f>
        <v>0</v>
      </c>
      <c r="AO432" s="882">
        <f>IF($X432=0,0,      _xll.qDateNext($X432,AO$12,$AR$11,FRM&lt;&gt;"Calypso",CCY))</f>
        <v>0</v>
      </c>
      <c r="AP432" s="882">
        <f>IF($X432=0,0,      _xll.qDateNext($X432,AP$12,$AR$11,FRM&lt;&gt;"Calypso",CCY))</f>
        <v>0</v>
      </c>
      <c r="AQ432" s="882">
        <f>IF($X432=0,0,      _xll.qDateNext($X432,AQ$12,$AR$11,FRM&lt;&gt;"Calypso",CCY))</f>
        <v>0</v>
      </c>
      <c r="AR432" s="882">
        <f>IF($X432=0,0,      _xll.qDateNext($X432,AR$12,$AR$11,FRM&lt;&gt;"Calypso",CCY))</f>
        <v>0</v>
      </c>
      <c r="AS432" s="901">
        <f ca="1"/>
        <v>0</v>
      </c>
      <c r="AT432" s="901">
        <f ca="1"/>
        <v>0</v>
      </c>
      <c r="AU432" s="901">
        <f t="shared" si="113"/>
        <v>0</v>
      </c>
      <c r="AV432" s="901">
        <f ca="1"/>
        <v>0</v>
      </c>
      <c r="AW432" s="901">
        <f t="shared" si="114"/>
        <v>0</v>
      </c>
      <c r="AX432" s="901">
        <f t="shared" si="115"/>
        <v>0</v>
      </c>
      <c r="AY432" s="901">
        <f ca="1"/>
        <v>0</v>
      </c>
      <c r="AZ432" s="901">
        <f ca="1"/>
        <v>0</v>
      </c>
      <c r="BA432" s="905">
        <f t="shared" si="104"/>
        <v>0</v>
      </c>
      <c r="BB432" s="905">
        <f t="shared" si="105"/>
        <v>0</v>
      </c>
      <c r="BC432" s="905">
        <f t="shared" si="106"/>
        <v>0</v>
      </c>
      <c r="BD432" s="905">
        <f t="shared" si="107"/>
        <v>0</v>
      </c>
      <c r="BE432" s="905">
        <f t="shared" si="108"/>
        <v>0</v>
      </c>
      <c r="BF432" s="905">
        <f t="shared" si="109"/>
        <v>0</v>
      </c>
      <c r="BG432" s="905">
        <f t="shared" si="110"/>
        <v>0</v>
      </c>
      <c r="BH432" s="905">
        <f t="shared" si="111"/>
        <v>0</v>
      </c>
      <c r="BI432" s="713">
        <v>0</v>
      </c>
      <c r="BJ432" s="695"/>
      <c r="BK432" s="752">
        <f>IF(X433=0,0,           IF(ISNUMBER(BJ432),BJ432,               IF(ISTEXT(BJ432),INDEX(BA432:BH432,MATCH(BJ432,$BA$12:$BH$12,0)),             IF(BI432="INT",_xll.qInterp(X433,AK432:AR432,BA432:BH432),            INDEX(BA432:BH432,MATCH(BI432,$BA$12:$BH$12,0))))))</f>
        <v>0</v>
      </c>
      <c r="BL432" s="389">
        <f t="shared" si="116"/>
        <v>0</v>
      </c>
      <c r="BM432" s="394">
        <f t="shared" si="117"/>
        <v>0</v>
      </c>
      <c r="BN432" s="389">
        <f t="shared" si="118"/>
        <v>0</v>
      </c>
    </row>
    <row r="433" spans="16:66">
      <c r="P433" s="716">
        <v>0</v>
      </c>
      <c r="Q433" s="715">
        <f t="shared" si="102"/>
        <v>0</v>
      </c>
      <c r="R433" s="712">
        <f>IF(P434,_xll.qDateYears(P433,P434,DCCfixed),0)</f>
        <v>0</v>
      </c>
      <c r="S433" s="519">
        <f ca="1"/>
        <v>0</v>
      </c>
      <c r="T433" s="720"/>
      <c r="U433" s="390">
        <f t="shared" si="112"/>
        <v>0</v>
      </c>
      <c r="X433" s="345">
        <v>0</v>
      </c>
      <c r="Y433" s="711">
        <f t="shared" si="103"/>
        <v>0</v>
      </c>
      <c r="Z433" s="712">
        <f>IF(X434,_xll.qDateYears(X433,X434,DCCfloat),0)</f>
        <v>0</v>
      </c>
      <c r="AA433" s="519">
        <f ca="1"/>
        <v>0</v>
      </c>
      <c r="AB433" s="890">
        <f>IF(X433=0,0,         IF(OR(CCY="AUD",CCY="NZD",CCY="GBP"),X433,   _xll.qDateNext(X433,"-2b",,,IF(CCY="EUR","TGT","LON"))))</f>
        <v>0</v>
      </c>
      <c r="AC433" s="879" t="str">
        <v/>
      </c>
      <c r="AD433" s="879" t="str">
        <v/>
      </c>
      <c r="AE433" s="879" t="str">
        <v/>
      </c>
      <c r="AF433" s="879" t="str">
        <v/>
      </c>
      <c r="AG433" s="879" t="str">
        <v/>
      </c>
      <c r="AH433" s="879" t="str">
        <v/>
      </c>
      <c r="AI433" s="879" t="str">
        <v/>
      </c>
      <c r="AJ433" s="879" t="str">
        <v/>
      </c>
      <c r="AK433" s="882">
        <f>IF($X433=0,0,      _xll.qDateNext($X433,AK$12,$AR$11,FRM&lt;&gt;"Calypso",CCY))</f>
        <v>0</v>
      </c>
      <c r="AL433" s="882">
        <f>IF($X433=0,0,      _xll.qDateNext($X433,AL$12,$AR$11,FRM&lt;&gt;"Calypso",CCY))</f>
        <v>0</v>
      </c>
      <c r="AM433" s="882">
        <f>IF($X433=0,0,      _xll.qDateNext($X433,AM$12,$AR$11,FRM&lt;&gt;"Calypso",CCY))</f>
        <v>0</v>
      </c>
      <c r="AN433" s="882">
        <f>IF($X433=0,0,      _xll.qDateNext($X433,AN$12,$AR$11,FRM&lt;&gt;"Calypso",CCY))</f>
        <v>0</v>
      </c>
      <c r="AO433" s="882">
        <f>IF($X433=0,0,      _xll.qDateNext($X433,AO$12,$AR$11,FRM&lt;&gt;"Calypso",CCY))</f>
        <v>0</v>
      </c>
      <c r="AP433" s="882">
        <f>IF($X433=0,0,      _xll.qDateNext($X433,AP$12,$AR$11,FRM&lt;&gt;"Calypso",CCY))</f>
        <v>0</v>
      </c>
      <c r="AQ433" s="882">
        <f>IF($X433=0,0,      _xll.qDateNext($X433,AQ$12,$AR$11,FRM&lt;&gt;"Calypso",CCY))</f>
        <v>0</v>
      </c>
      <c r="AR433" s="882">
        <f>IF($X433=0,0,      _xll.qDateNext($X433,AR$12,$AR$11,FRM&lt;&gt;"Calypso",CCY))</f>
        <v>0</v>
      </c>
      <c r="AS433" s="901">
        <f ca="1"/>
        <v>0</v>
      </c>
      <c r="AT433" s="901">
        <f ca="1"/>
        <v>0</v>
      </c>
      <c r="AU433" s="901">
        <f t="shared" si="113"/>
        <v>0</v>
      </c>
      <c r="AV433" s="901">
        <f ca="1"/>
        <v>0</v>
      </c>
      <c r="AW433" s="901">
        <f t="shared" si="114"/>
        <v>0</v>
      </c>
      <c r="AX433" s="901">
        <f t="shared" si="115"/>
        <v>0</v>
      </c>
      <c r="AY433" s="901">
        <f ca="1"/>
        <v>0</v>
      </c>
      <c r="AZ433" s="901">
        <f ca="1"/>
        <v>0</v>
      </c>
      <c r="BA433" s="905">
        <f t="shared" si="104"/>
        <v>0</v>
      </c>
      <c r="BB433" s="905">
        <f t="shared" si="105"/>
        <v>0</v>
      </c>
      <c r="BC433" s="905">
        <f t="shared" si="106"/>
        <v>0</v>
      </c>
      <c r="BD433" s="905">
        <f t="shared" si="107"/>
        <v>0</v>
      </c>
      <c r="BE433" s="905">
        <f t="shared" si="108"/>
        <v>0</v>
      </c>
      <c r="BF433" s="905">
        <f t="shared" si="109"/>
        <v>0</v>
      </c>
      <c r="BG433" s="905">
        <f t="shared" si="110"/>
        <v>0</v>
      </c>
      <c r="BH433" s="905">
        <f t="shared" si="111"/>
        <v>0</v>
      </c>
      <c r="BI433" s="713">
        <v>0</v>
      </c>
      <c r="BJ433" s="695"/>
      <c r="BK433" s="752">
        <f>IF(X434=0,0,           IF(ISNUMBER(BJ433),BJ433,               IF(ISTEXT(BJ433),INDEX(BA433:BH433,MATCH(BJ433,$BA$12:$BH$12,0)),             IF(BI433="INT",_xll.qInterp(X434,AK433:AR433,BA433:BH433),            INDEX(BA433:BH433,MATCH(BI433,$BA$12:$BH$12,0))))))</f>
        <v>0</v>
      </c>
      <c r="BL433" s="389">
        <f t="shared" si="116"/>
        <v>0</v>
      </c>
      <c r="BM433" s="394">
        <f t="shared" si="117"/>
        <v>0</v>
      </c>
      <c r="BN433" s="389">
        <f t="shared" si="118"/>
        <v>0</v>
      </c>
    </row>
    <row r="434" spans="16:66">
      <c r="P434" s="716">
        <v>0</v>
      </c>
      <c r="Q434" s="715">
        <f t="shared" si="102"/>
        <v>0</v>
      </c>
      <c r="R434" s="712">
        <f>IF(P435,_xll.qDateYears(P434,P435,DCCfixed),0)</f>
        <v>0</v>
      </c>
      <c r="S434" s="519">
        <f ca="1"/>
        <v>0</v>
      </c>
      <c r="T434" s="720"/>
      <c r="U434" s="390">
        <f t="shared" si="112"/>
        <v>0</v>
      </c>
      <c r="X434" s="345">
        <v>0</v>
      </c>
      <c r="Y434" s="711">
        <f t="shared" si="103"/>
        <v>0</v>
      </c>
      <c r="Z434" s="712">
        <f>IF(X435,_xll.qDateYears(X434,X435,DCCfloat),0)</f>
        <v>0</v>
      </c>
      <c r="AA434" s="519">
        <f ca="1"/>
        <v>0</v>
      </c>
      <c r="AB434" s="890">
        <f>IF(X434=0,0,         IF(OR(CCY="AUD",CCY="NZD",CCY="GBP"),X434,   _xll.qDateNext(X434,"-2b",,,IF(CCY="EUR","TGT","LON"))))</f>
        <v>0</v>
      </c>
      <c r="AC434" s="879" t="str">
        <v/>
      </c>
      <c r="AD434" s="879" t="str">
        <v/>
      </c>
      <c r="AE434" s="879" t="str">
        <v/>
      </c>
      <c r="AF434" s="879" t="str">
        <v/>
      </c>
      <c r="AG434" s="879" t="str">
        <v/>
      </c>
      <c r="AH434" s="879" t="str">
        <v/>
      </c>
      <c r="AI434" s="879" t="str">
        <v/>
      </c>
      <c r="AJ434" s="879" t="str">
        <v/>
      </c>
      <c r="AK434" s="882">
        <f>IF($X434=0,0,      _xll.qDateNext($X434,AK$12,$AR$11,FRM&lt;&gt;"Calypso",CCY))</f>
        <v>0</v>
      </c>
      <c r="AL434" s="882">
        <f>IF($X434=0,0,      _xll.qDateNext($X434,AL$12,$AR$11,FRM&lt;&gt;"Calypso",CCY))</f>
        <v>0</v>
      </c>
      <c r="AM434" s="882">
        <f>IF($X434=0,0,      _xll.qDateNext($X434,AM$12,$AR$11,FRM&lt;&gt;"Calypso",CCY))</f>
        <v>0</v>
      </c>
      <c r="AN434" s="882">
        <f>IF($X434=0,0,      _xll.qDateNext($X434,AN$12,$AR$11,FRM&lt;&gt;"Calypso",CCY))</f>
        <v>0</v>
      </c>
      <c r="AO434" s="882">
        <f>IF($X434=0,0,      _xll.qDateNext($X434,AO$12,$AR$11,FRM&lt;&gt;"Calypso",CCY))</f>
        <v>0</v>
      </c>
      <c r="AP434" s="882">
        <f>IF($X434=0,0,      _xll.qDateNext($X434,AP$12,$AR$11,FRM&lt;&gt;"Calypso",CCY))</f>
        <v>0</v>
      </c>
      <c r="AQ434" s="882">
        <f>IF($X434=0,0,      _xll.qDateNext($X434,AQ$12,$AR$11,FRM&lt;&gt;"Calypso",CCY))</f>
        <v>0</v>
      </c>
      <c r="AR434" s="882">
        <f>IF($X434=0,0,      _xll.qDateNext($X434,AR$12,$AR$11,FRM&lt;&gt;"Calypso",CCY))</f>
        <v>0</v>
      </c>
      <c r="AS434" s="901">
        <f ca="1"/>
        <v>0</v>
      </c>
      <c r="AT434" s="901">
        <f ca="1"/>
        <v>0</v>
      </c>
      <c r="AU434" s="901">
        <f t="shared" si="113"/>
        <v>0</v>
      </c>
      <c r="AV434" s="901">
        <f ca="1"/>
        <v>0</v>
      </c>
      <c r="AW434" s="901">
        <f t="shared" si="114"/>
        <v>0</v>
      </c>
      <c r="AX434" s="901">
        <f t="shared" si="115"/>
        <v>0</v>
      </c>
      <c r="AY434" s="901">
        <f ca="1"/>
        <v>0</v>
      </c>
      <c r="AZ434" s="901">
        <f ca="1"/>
        <v>0</v>
      </c>
      <c r="BA434" s="905">
        <f t="shared" si="104"/>
        <v>0</v>
      </c>
      <c r="BB434" s="905">
        <f t="shared" si="105"/>
        <v>0</v>
      </c>
      <c r="BC434" s="905">
        <f t="shared" si="106"/>
        <v>0</v>
      </c>
      <c r="BD434" s="905">
        <f t="shared" si="107"/>
        <v>0</v>
      </c>
      <c r="BE434" s="905">
        <f t="shared" si="108"/>
        <v>0</v>
      </c>
      <c r="BF434" s="905">
        <f t="shared" si="109"/>
        <v>0</v>
      </c>
      <c r="BG434" s="905">
        <f t="shared" si="110"/>
        <v>0</v>
      </c>
      <c r="BH434" s="905">
        <f t="shared" si="111"/>
        <v>0</v>
      </c>
      <c r="BI434" s="713">
        <v>0</v>
      </c>
      <c r="BJ434" s="695"/>
      <c r="BK434" s="752">
        <f>IF(X435=0,0,           IF(ISNUMBER(BJ434),BJ434,               IF(ISTEXT(BJ434),INDEX(BA434:BH434,MATCH(BJ434,$BA$12:$BH$12,0)),             IF(BI434="INT",_xll.qInterp(X435,AK434:AR434,BA434:BH434),            INDEX(BA434:BH434,MATCH(BI434,$BA$12:$BH$12,0))))))</f>
        <v>0</v>
      </c>
      <c r="BL434" s="389">
        <f t="shared" si="116"/>
        <v>0</v>
      </c>
      <c r="BM434" s="394">
        <f t="shared" si="117"/>
        <v>0</v>
      </c>
      <c r="BN434" s="389">
        <f t="shared" si="118"/>
        <v>0</v>
      </c>
    </row>
    <row r="435" spans="16:66">
      <c r="P435" s="716">
        <v>0</v>
      </c>
      <c r="Q435" s="715">
        <f t="shared" si="102"/>
        <v>0</v>
      </c>
      <c r="R435" s="712">
        <f>IF(P436,_xll.qDateYears(P435,P436,DCCfixed),0)</f>
        <v>0</v>
      </c>
      <c r="S435" s="519">
        <f ca="1"/>
        <v>0</v>
      </c>
      <c r="T435" s="720"/>
      <c r="U435" s="390">
        <f t="shared" si="112"/>
        <v>0</v>
      </c>
      <c r="X435" s="345">
        <v>0</v>
      </c>
      <c r="Y435" s="711">
        <f t="shared" si="103"/>
        <v>0</v>
      </c>
      <c r="Z435" s="712">
        <f>IF(X436,_xll.qDateYears(X435,X436,DCCfloat),0)</f>
        <v>0</v>
      </c>
      <c r="AA435" s="519">
        <f ca="1"/>
        <v>0</v>
      </c>
      <c r="AB435" s="890">
        <f>IF(X435=0,0,         IF(OR(CCY="AUD",CCY="NZD",CCY="GBP"),X435,   _xll.qDateNext(X435,"-2b",,,IF(CCY="EUR","TGT","LON"))))</f>
        <v>0</v>
      </c>
      <c r="AC435" s="879" t="str">
        <v/>
      </c>
      <c r="AD435" s="879" t="str">
        <v/>
      </c>
      <c r="AE435" s="879" t="str">
        <v/>
      </c>
      <c r="AF435" s="879" t="str">
        <v/>
      </c>
      <c r="AG435" s="879" t="str">
        <v/>
      </c>
      <c r="AH435" s="879" t="str">
        <v/>
      </c>
      <c r="AI435" s="879" t="str">
        <v/>
      </c>
      <c r="AJ435" s="879" t="str">
        <v/>
      </c>
      <c r="AK435" s="882">
        <f>IF($X435=0,0,      _xll.qDateNext($X435,AK$12,$AR$11,FRM&lt;&gt;"Calypso",CCY))</f>
        <v>0</v>
      </c>
      <c r="AL435" s="882">
        <f>IF($X435=0,0,      _xll.qDateNext($X435,AL$12,$AR$11,FRM&lt;&gt;"Calypso",CCY))</f>
        <v>0</v>
      </c>
      <c r="AM435" s="882">
        <f>IF($X435=0,0,      _xll.qDateNext($X435,AM$12,$AR$11,FRM&lt;&gt;"Calypso",CCY))</f>
        <v>0</v>
      </c>
      <c r="AN435" s="882">
        <f>IF($X435=0,0,      _xll.qDateNext($X435,AN$12,$AR$11,FRM&lt;&gt;"Calypso",CCY))</f>
        <v>0</v>
      </c>
      <c r="AO435" s="882">
        <f>IF($X435=0,0,      _xll.qDateNext($X435,AO$12,$AR$11,FRM&lt;&gt;"Calypso",CCY))</f>
        <v>0</v>
      </c>
      <c r="AP435" s="882">
        <f>IF($X435=0,0,      _xll.qDateNext($X435,AP$12,$AR$11,FRM&lt;&gt;"Calypso",CCY))</f>
        <v>0</v>
      </c>
      <c r="AQ435" s="882">
        <f>IF($X435=0,0,      _xll.qDateNext($X435,AQ$12,$AR$11,FRM&lt;&gt;"Calypso",CCY))</f>
        <v>0</v>
      </c>
      <c r="AR435" s="882">
        <f>IF($X435=0,0,      _xll.qDateNext($X435,AR$12,$AR$11,FRM&lt;&gt;"Calypso",CCY))</f>
        <v>0</v>
      </c>
      <c r="AS435" s="901">
        <f ca="1"/>
        <v>0</v>
      </c>
      <c r="AT435" s="901">
        <f ca="1"/>
        <v>0</v>
      </c>
      <c r="AU435" s="901">
        <f t="shared" si="113"/>
        <v>0</v>
      </c>
      <c r="AV435" s="901">
        <f ca="1"/>
        <v>0</v>
      </c>
      <c r="AW435" s="901">
        <f t="shared" si="114"/>
        <v>0</v>
      </c>
      <c r="AX435" s="901">
        <f t="shared" si="115"/>
        <v>0</v>
      </c>
      <c r="AY435" s="901">
        <f ca="1"/>
        <v>0</v>
      </c>
      <c r="AZ435" s="901">
        <f ca="1"/>
        <v>0</v>
      </c>
      <c r="BA435" s="905">
        <f t="shared" si="104"/>
        <v>0</v>
      </c>
      <c r="BB435" s="905">
        <f t="shared" si="105"/>
        <v>0</v>
      </c>
      <c r="BC435" s="905">
        <f t="shared" si="106"/>
        <v>0</v>
      </c>
      <c r="BD435" s="905">
        <f t="shared" si="107"/>
        <v>0</v>
      </c>
      <c r="BE435" s="905">
        <f t="shared" si="108"/>
        <v>0</v>
      </c>
      <c r="BF435" s="905">
        <f t="shared" si="109"/>
        <v>0</v>
      </c>
      <c r="BG435" s="905">
        <f t="shared" si="110"/>
        <v>0</v>
      </c>
      <c r="BH435" s="905">
        <f t="shared" si="111"/>
        <v>0</v>
      </c>
      <c r="BI435" s="713">
        <v>0</v>
      </c>
      <c r="BJ435" s="695"/>
      <c r="BK435" s="752">
        <f>IF(X436=0,0,           IF(ISNUMBER(BJ435),BJ435,               IF(ISTEXT(BJ435),INDEX(BA435:BH435,MATCH(BJ435,$BA$12:$BH$12,0)),             IF(BI435="INT",_xll.qInterp(X436,AK435:AR435,BA435:BH435),            INDEX(BA435:BH435,MATCH(BI435,$BA$12:$BH$12,0))))))</f>
        <v>0</v>
      </c>
      <c r="BL435" s="389">
        <f t="shared" si="116"/>
        <v>0</v>
      </c>
      <c r="BM435" s="394">
        <f t="shared" si="117"/>
        <v>0</v>
      </c>
      <c r="BN435" s="389">
        <f t="shared" si="118"/>
        <v>0</v>
      </c>
    </row>
    <row r="436" spans="16:66">
      <c r="P436" s="716">
        <v>0</v>
      </c>
      <c r="Q436" s="715">
        <f t="shared" si="102"/>
        <v>0</v>
      </c>
      <c r="R436" s="712">
        <f>IF(P437,_xll.qDateYears(P436,P437,DCCfixed),0)</f>
        <v>0</v>
      </c>
      <c r="S436" s="519">
        <f ca="1"/>
        <v>0</v>
      </c>
      <c r="T436" s="720"/>
      <c r="U436" s="390">
        <f t="shared" si="112"/>
        <v>0</v>
      </c>
      <c r="X436" s="345">
        <v>0</v>
      </c>
      <c r="Y436" s="711">
        <f t="shared" si="103"/>
        <v>0</v>
      </c>
      <c r="Z436" s="712">
        <f>IF(X437,_xll.qDateYears(X436,X437,DCCfloat),0)</f>
        <v>0</v>
      </c>
      <c r="AA436" s="519">
        <f ca="1"/>
        <v>0</v>
      </c>
      <c r="AB436" s="890">
        <f>IF(X436=0,0,         IF(OR(CCY="AUD",CCY="NZD",CCY="GBP"),X436,   _xll.qDateNext(X436,"-2b",,,IF(CCY="EUR","TGT","LON"))))</f>
        <v>0</v>
      </c>
      <c r="AC436" s="879" t="str">
        <v/>
      </c>
      <c r="AD436" s="879" t="str">
        <v/>
      </c>
      <c r="AE436" s="879" t="str">
        <v/>
      </c>
      <c r="AF436" s="879" t="str">
        <v/>
      </c>
      <c r="AG436" s="879" t="str">
        <v/>
      </c>
      <c r="AH436" s="879" t="str">
        <v/>
      </c>
      <c r="AI436" s="879" t="str">
        <v/>
      </c>
      <c r="AJ436" s="879" t="str">
        <v/>
      </c>
      <c r="AK436" s="882">
        <f>IF($X436=0,0,      _xll.qDateNext($X436,AK$12,$AR$11,FRM&lt;&gt;"Calypso",CCY))</f>
        <v>0</v>
      </c>
      <c r="AL436" s="882">
        <f>IF($X436=0,0,      _xll.qDateNext($X436,AL$12,$AR$11,FRM&lt;&gt;"Calypso",CCY))</f>
        <v>0</v>
      </c>
      <c r="AM436" s="882">
        <f>IF($X436=0,0,      _xll.qDateNext($X436,AM$12,$AR$11,FRM&lt;&gt;"Calypso",CCY))</f>
        <v>0</v>
      </c>
      <c r="AN436" s="882">
        <f>IF($X436=0,0,      _xll.qDateNext($X436,AN$12,$AR$11,FRM&lt;&gt;"Calypso",CCY))</f>
        <v>0</v>
      </c>
      <c r="AO436" s="882">
        <f>IF($X436=0,0,      _xll.qDateNext($X436,AO$12,$AR$11,FRM&lt;&gt;"Calypso",CCY))</f>
        <v>0</v>
      </c>
      <c r="AP436" s="882">
        <f>IF($X436=0,0,      _xll.qDateNext($X436,AP$12,$AR$11,FRM&lt;&gt;"Calypso",CCY))</f>
        <v>0</v>
      </c>
      <c r="AQ436" s="882">
        <f>IF($X436=0,0,      _xll.qDateNext($X436,AQ$12,$AR$11,FRM&lt;&gt;"Calypso",CCY))</f>
        <v>0</v>
      </c>
      <c r="AR436" s="882">
        <f>IF($X436=0,0,      _xll.qDateNext($X436,AR$12,$AR$11,FRM&lt;&gt;"Calypso",CCY))</f>
        <v>0</v>
      </c>
      <c r="AS436" s="901">
        <f ca="1"/>
        <v>0</v>
      </c>
      <c r="AT436" s="901">
        <f ca="1"/>
        <v>0</v>
      </c>
      <c r="AU436" s="901">
        <f t="shared" si="113"/>
        <v>0</v>
      </c>
      <c r="AV436" s="901">
        <f ca="1"/>
        <v>0</v>
      </c>
      <c r="AW436" s="901">
        <f t="shared" si="114"/>
        <v>0</v>
      </c>
      <c r="AX436" s="901">
        <f t="shared" si="115"/>
        <v>0</v>
      </c>
      <c r="AY436" s="901">
        <f ca="1"/>
        <v>0</v>
      </c>
      <c r="AZ436" s="901">
        <f ca="1"/>
        <v>0</v>
      </c>
      <c r="BA436" s="905">
        <f t="shared" si="104"/>
        <v>0</v>
      </c>
      <c r="BB436" s="905">
        <f t="shared" si="105"/>
        <v>0</v>
      </c>
      <c r="BC436" s="905">
        <f t="shared" si="106"/>
        <v>0</v>
      </c>
      <c r="BD436" s="905">
        <f t="shared" si="107"/>
        <v>0</v>
      </c>
      <c r="BE436" s="905">
        <f t="shared" si="108"/>
        <v>0</v>
      </c>
      <c r="BF436" s="905">
        <f t="shared" si="109"/>
        <v>0</v>
      </c>
      <c r="BG436" s="905">
        <f t="shared" si="110"/>
        <v>0</v>
      </c>
      <c r="BH436" s="905">
        <f t="shared" si="111"/>
        <v>0</v>
      </c>
      <c r="BI436" s="713">
        <v>0</v>
      </c>
      <c r="BJ436" s="695"/>
      <c r="BK436" s="752">
        <f>IF(X437=0,0,           IF(ISNUMBER(BJ436),BJ436,               IF(ISTEXT(BJ436),INDEX(BA436:BH436,MATCH(BJ436,$BA$12:$BH$12,0)),             IF(BI436="INT",_xll.qInterp(X437,AK436:AR436,BA436:BH436),            INDEX(BA436:BH436,MATCH(BI436,$BA$12:$BH$12,0))))))</f>
        <v>0</v>
      </c>
      <c r="BL436" s="389">
        <f t="shared" si="116"/>
        <v>0</v>
      </c>
      <c r="BM436" s="394">
        <f t="shared" si="117"/>
        <v>0</v>
      </c>
      <c r="BN436" s="389">
        <f t="shared" si="118"/>
        <v>0</v>
      </c>
    </row>
    <row r="437" spans="16:66">
      <c r="P437" s="716">
        <v>0</v>
      </c>
      <c r="Q437" s="715">
        <f t="shared" si="102"/>
        <v>0</v>
      </c>
      <c r="R437" s="712">
        <f>IF(P438,_xll.qDateYears(P437,P438,DCCfixed),0)</f>
        <v>0</v>
      </c>
      <c r="S437" s="519">
        <f ca="1"/>
        <v>0</v>
      </c>
      <c r="T437" s="720"/>
      <c r="U437" s="390">
        <f t="shared" si="112"/>
        <v>0</v>
      </c>
      <c r="X437" s="345">
        <v>0</v>
      </c>
      <c r="Y437" s="711">
        <f t="shared" si="103"/>
        <v>0</v>
      </c>
      <c r="Z437" s="712">
        <f>IF(X438,_xll.qDateYears(X437,X438,DCCfloat),0)</f>
        <v>0</v>
      </c>
      <c r="AA437" s="519">
        <f ca="1"/>
        <v>0</v>
      </c>
      <c r="AB437" s="890">
        <f>IF(X437=0,0,         IF(OR(CCY="AUD",CCY="NZD",CCY="GBP"),X437,   _xll.qDateNext(X437,"-2b",,,IF(CCY="EUR","TGT","LON"))))</f>
        <v>0</v>
      </c>
      <c r="AC437" s="879" t="str">
        <v/>
      </c>
      <c r="AD437" s="879" t="str">
        <v/>
      </c>
      <c r="AE437" s="879" t="str">
        <v/>
      </c>
      <c r="AF437" s="879" t="str">
        <v/>
      </c>
      <c r="AG437" s="879" t="str">
        <v/>
      </c>
      <c r="AH437" s="879" t="str">
        <v/>
      </c>
      <c r="AI437" s="879" t="str">
        <v/>
      </c>
      <c r="AJ437" s="879" t="str">
        <v/>
      </c>
      <c r="AK437" s="882">
        <f>IF($X437=0,0,      _xll.qDateNext($X437,AK$12,$AR$11,FRM&lt;&gt;"Calypso",CCY))</f>
        <v>0</v>
      </c>
      <c r="AL437" s="882">
        <f>IF($X437=0,0,      _xll.qDateNext($X437,AL$12,$AR$11,FRM&lt;&gt;"Calypso",CCY))</f>
        <v>0</v>
      </c>
      <c r="AM437" s="882">
        <f>IF($X437=0,0,      _xll.qDateNext($X437,AM$12,$AR$11,FRM&lt;&gt;"Calypso",CCY))</f>
        <v>0</v>
      </c>
      <c r="AN437" s="882">
        <f>IF($X437=0,0,      _xll.qDateNext($X437,AN$12,$AR$11,FRM&lt;&gt;"Calypso",CCY))</f>
        <v>0</v>
      </c>
      <c r="AO437" s="882">
        <f>IF($X437=0,0,      _xll.qDateNext($X437,AO$12,$AR$11,FRM&lt;&gt;"Calypso",CCY))</f>
        <v>0</v>
      </c>
      <c r="AP437" s="882">
        <f>IF($X437=0,0,      _xll.qDateNext($X437,AP$12,$AR$11,FRM&lt;&gt;"Calypso",CCY))</f>
        <v>0</v>
      </c>
      <c r="AQ437" s="882">
        <f>IF($X437=0,0,      _xll.qDateNext($X437,AQ$12,$AR$11,FRM&lt;&gt;"Calypso",CCY))</f>
        <v>0</v>
      </c>
      <c r="AR437" s="882">
        <f>IF($X437=0,0,      _xll.qDateNext($X437,AR$12,$AR$11,FRM&lt;&gt;"Calypso",CCY))</f>
        <v>0</v>
      </c>
      <c r="AS437" s="901">
        <f ca="1"/>
        <v>0</v>
      </c>
      <c r="AT437" s="901">
        <f ca="1"/>
        <v>0</v>
      </c>
      <c r="AU437" s="901">
        <f t="shared" si="113"/>
        <v>0</v>
      </c>
      <c r="AV437" s="901">
        <f ca="1"/>
        <v>0</v>
      </c>
      <c r="AW437" s="901">
        <f t="shared" si="114"/>
        <v>0</v>
      </c>
      <c r="AX437" s="901">
        <f t="shared" si="115"/>
        <v>0</v>
      </c>
      <c r="AY437" s="901">
        <f ca="1"/>
        <v>0</v>
      </c>
      <c r="AZ437" s="901">
        <f ca="1"/>
        <v>0</v>
      </c>
      <c r="BA437" s="905">
        <f t="shared" si="104"/>
        <v>0</v>
      </c>
      <c r="BB437" s="905">
        <f t="shared" si="105"/>
        <v>0</v>
      </c>
      <c r="BC437" s="905">
        <f t="shared" si="106"/>
        <v>0</v>
      </c>
      <c r="BD437" s="905">
        <f t="shared" si="107"/>
        <v>0</v>
      </c>
      <c r="BE437" s="905">
        <f t="shared" si="108"/>
        <v>0</v>
      </c>
      <c r="BF437" s="905">
        <f t="shared" si="109"/>
        <v>0</v>
      </c>
      <c r="BG437" s="905">
        <f t="shared" si="110"/>
        <v>0</v>
      </c>
      <c r="BH437" s="905">
        <f t="shared" si="111"/>
        <v>0</v>
      </c>
      <c r="BI437" s="713">
        <v>0</v>
      </c>
      <c r="BJ437" s="695"/>
      <c r="BK437" s="752">
        <f>IF(X438=0,0,           IF(ISNUMBER(BJ437),BJ437,               IF(ISTEXT(BJ437),INDEX(BA437:BH437,MATCH(BJ437,$BA$12:$BH$12,0)),             IF(BI437="INT",_xll.qInterp(X438,AK437:AR437,BA437:BH437),            INDEX(BA437:BH437,MATCH(BI437,$BA$12:$BH$12,0))))))</f>
        <v>0</v>
      </c>
      <c r="BL437" s="389">
        <f t="shared" si="116"/>
        <v>0</v>
      </c>
      <c r="BM437" s="394">
        <f t="shared" si="117"/>
        <v>0</v>
      </c>
      <c r="BN437" s="389">
        <f t="shared" si="118"/>
        <v>0</v>
      </c>
    </row>
    <row r="438" spans="16:66">
      <c r="P438" s="716">
        <v>0</v>
      </c>
      <c r="Q438" s="715">
        <f t="shared" si="102"/>
        <v>0</v>
      </c>
      <c r="R438" s="712">
        <f>IF(P439,_xll.qDateYears(P438,P439,DCCfixed),0)</f>
        <v>0</v>
      </c>
      <c r="S438" s="519">
        <f ca="1"/>
        <v>0</v>
      </c>
      <c r="T438" s="720"/>
      <c r="U438" s="390">
        <f t="shared" si="112"/>
        <v>0</v>
      </c>
      <c r="X438" s="345">
        <v>0</v>
      </c>
      <c r="Y438" s="711">
        <f t="shared" si="103"/>
        <v>0</v>
      </c>
      <c r="Z438" s="712">
        <f>IF(X439,_xll.qDateYears(X438,X439,DCCfloat),0)</f>
        <v>0</v>
      </c>
      <c r="AA438" s="519">
        <f ca="1"/>
        <v>0</v>
      </c>
      <c r="AB438" s="890">
        <f>IF(X438=0,0,         IF(OR(CCY="AUD",CCY="NZD",CCY="GBP"),X438,   _xll.qDateNext(X438,"-2b",,,IF(CCY="EUR","TGT","LON"))))</f>
        <v>0</v>
      </c>
      <c r="AC438" s="879" t="str">
        <v/>
      </c>
      <c r="AD438" s="879" t="str">
        <v/>
      </c>
      <c r="AE438" s="879" t="str">
        <v/>
      </c>
      <c r="AF438" s="879" t="str">
        <v/>
      </c>
      <c r="AG438" s="879" t="str">
        <v/>
      </c>
      <c r="AH438" s="879" t="str">
        <v/>
      </c>
      <c r="AI438" s="879" t="str">
        <v/>
      </c>
      <c r="AJ438" s="879" t="str">
        <v/>
      </c>
      <c r="AK438" s="882">
        <f>IF($X438=0,0,      _xll.qDateNext($X438,AK$12,$AR$11,FRM&lt;&gt;"Calypso",CCY))</f>
        <v>0</v>
      </c>
      <c r="AL438" s="882">
        <f>IF($X438=0,0,      _xll.qDateNext($X438,AL$12,$AR$11,FRM&lt;&gt;"Calypso",CCY))</f>
        <v>0</v>
      </c>
      <c r="AM438" s="882">
        <f>IF($X438=0,0,      _xll.qDateNext($X438,AM$12,$AR$11,FRM&lt;&gt;"Calypso",CCY))</f>
        <v>0</v>
      </c>
      <c r="AN438" s="882">
        <f>IF($X438=0,0,      _xll.qDateNext($X438,AN$12,$AR$11,FRM&lt;&gt;"Calypso",CCY))</f>
        <v>0</v>
      </c>
      <c r="AO438" s="882">
        <f>IF($X438=0,0,      _xll.qDateNext($X438,AO$12,$AR$11,FRM&lt;&gt;"Calypso",CCY))</f>
        <v>0</v>
      </c>
      <c r="AP438" s="882">
        <f>IF($X438=0,0,      _xll.qDateNext($X438,AP$12,$AR$11,FRM&lt;&gt;"Calypso",CCY))</f>
        <v>0</v>
      </c>
      <c r="AQ438" s="882">
        <f>IF($X438=0,0,      _xll.qDateNext($X438,AQ$12,$AR$11,FRM&lt;&gt;"Calypso",CCY))</f>
        <v>0</v>
      </c>
      <c r="AR438" s="882">
        <f>IF($X438=0,0,      _xll.qDateNext($X438,AR$12,$AR$11,FRM&lt;&gt;"Calypso",CCY))</f>
        <v>0</v>
      </c>
      <c r="AS438" s="901">
        <f ca="1"/>
        <v>0</v>
      </c>
      <c r="AT438" s="901">
        <f ca="1"/>
        <v>0</v>
      </c>
      <c r="AU438" s="901">
        <f t="shared" si="113"/>
        <v>0</v>
      </c>
      <c r="AV438" s="901">
        <f ca="1"/>
        <v>0</v>
      </c>
      <c r="AW438" s="901">
        <f t="shared" si="114"/>
        <v>0</v>
      </c>
      <c r="AX438" s="901">
        <f t="shared" si="115"/>
        <v>0</v>
      </c>
      <c r="AY438" s="901">
        <f ca="1"/>
        <v>0</v>
      </c>
      <c r="AZ438" s="901">
        <f ca="1"/>
        <v>0</v>
      </c>
      <c r="BA438" s="905">
        <f t="shared" si="104"/>
        <v>0</v>
      </c>
      <c r="BB438" s="905">
        <f t="shared" si="105"/>
        <v>0</v>
      </c>
      <c r="BC438" s="905">
        <f t="shared" si="106"/>
        <v>0</v>
      </c>
      <c r="BD438" s="905">
        <f t="shared" si="107"/>
        <v>0</v>
      </c>
      <c r="BE438" s="905">
        <f t="shared" si="108"/>
        <v>0</v>
      </c>
      <c r="BF438" s="905">
        <f t="shared" si="109"/>
        <v>0</v>
      </c>
      <c r="BG438" s="905">
        <f t="shared" si="110"/>
        <v>0</v>
      </c>
      <c r="BH438" s="905">
        <f t="shared" si="111"/>
        <v>0</v>
      </c>
      <c r="BI438" s="713">
        <v>0</v>
      </c>
      <c r="BJ438" s="695"/>
      <c r="BK438" s="752">
        <f>IF(X439=0,0,           IF(ISNUMBER(BJ438),BJ438,               IF(ISTEXT(BJ438),INDEX(BA438:BH438,MATCH(BJ438,$BA$12:$BH$12,0)),             IF(BI438="INT",_xll.qInterp(X439,AK438:AR438,BA438:BH438),            INDEX(BA438:BH438,MATCH(BI438,$BA$12:$BH$12,0))))))</f>
        <v>0</v>
      </c>
      <c r="BL438" s="389">
        <f t="shared" si="116"/>
        <v>0</v>
      </c>
      <c r="BM438" s="394">
        <f t="shared" si="117"/>
        <v>0</v>
      </c>
      <c r="BN438" s="389">
        <f t="shared" si="118"/>
        <v>0</v>
      </c>
    </row>
    <row r="439" spans="16:66">
      <c r="P439" s="716">
        <v>0</v>
      </c>
      <c r="Q439" s="715">
        <f t="shared" si="102"/>
        <v>0</v>
      </c>
      <c r="R439" s="712">
        <f>IF(P440,_xll.qDateYears(P439,P440,DCCfixed),0)</f>
        <v>0</v>
      </c>
      <c r="S439" s="519">
        <f ca="1"/>
        <v>0</v>
      </c>
      <c r="T439" s="720"/>
      <c r="U439" s="390">
        <f t="shared" si="112"/>
        <v>0</v>
      </c>
      <c r="X439" s="345">
        <v>0</v>
      </c>
      <c r="Y439" s="711">
        <f t="shared" si="103"/>
        <v>0</v>
      </c>
      <c r="Z439" s="712">
        <f>IF(X440,_xll.qDateYears(X439,X440,DCCfloat),0)</f>
        <v>0</v>
      </c>
      <c r="AA439" s="519">
        <f ca="1"/>
        <v>0</v>
      </c>
      <c r="AB439" s="890">
        <f>IF(X439=0,0,         IF(OR(CCY="AUD",CCY="NZD",CCY="GBP"),X439,   _xll.qDateNext(X439,"-2b",,,IF(CCY="EUR","TGT","LON"))))</f>
        <v>0</v>
      </c>
      <c r="AC439" s="879" t="str">
        <v/>
      </c>
      <c r="AD439" s="879" t="str">
        <v/>
      </c>
      <c r="AE439" s="879" t="str">
        <v/>
      </c>
      <c r="AF439" s="879" t="str">
        <v/>
      </c>
      <c r="AG439" s="879" t="str">
        <v/>
      </c>
      <c r="AH439" s="879" t="str">
        <v/>
      </c>
      <c r="AI439" s="879" t="str">
        <v/>
      </c>
      <c r="AJ439" s="879" t="str">
        <v/>
      </c>
      <c r="AK439" s="882">
        <f>IF($X439=0,0,      _xll.qDateNext($X439,AK$12,$AR$11,FRM&lt;&gt;"Calypso",CCY))</f>
        <v>0</v>
      </c>
      <c r="AL439" s="882">
        <f>IF($X439=0,0,      _xll.qDateNext($X439,AL$12,$AR$11,FRM&lt;&gt;"Calypso",CCY))</f>
        <v>0</v>
      </c>
      <c r="AM439" s="882">
        <f>IF($X439=0,0,      _xll.qDateNext($X439,AM$12,$AR$11,FRM&lt;&gt;"Calypso",CCY))</f>
        <v>0</v>
      </c>
      <c r="AN439" s="882">
        <f>IF($X439=0,0,      _xll.qDateNext($X439,AN$12,$AR$11,FRM&lt;&gt;"Calypso",CCY))</f>
        <v>0</v>
      </c>
      <c r="AO439" s="882">
        <f>IF($X439=0,0,      _xll.qDateNext($X439,AO$12,$AR$11,FRM&lt;&gt;"Calypso",CCY))</f>
        <v>0</v>
      </c>
      <c r="AP439" s="882">
        <f>IF($X439=0,0,      _xll.qDateNext($X439,AP$12,$AR$11,FRM&lt;&gt;"Calypso",CCY))</f>
        <v>0</v>
      </c>
      <c r="AQ439" s="882">
        <f>IF($X439=0,0,      _xll.qDateNext($X439,AQ$12,$AR$11,FRM&lt;&gt;"Calypso",CCY))</f>
        <v>0</v>
      </c>
      <c r="AR439" s="882">
        <f>IF($X439=0,0,      _xll.qDateNext($X439,AR$12,$AR$11,FRM&lt;&gt;"Calypso",CCY))</f>
        <v>0</v>
      </c>
      <c r="AS439" s="901">
        <f ca="1"/>
        <v>0</v>
      </c>
      <c r="AT439" s="901">
        <f ca="1"/>
        <v>0</v>
      </c>
      <c r="AU439" s="901">
        <f t="shared" si="113"/>
        <v>0</v>
      </c>
      <c r="AV439" s="901">
        <f ca="1"/>
        <v>0</v>
      </c>
      <c r="AW439" s="901">
        <f t="shared" si="114"/>
        <v>0</v>
      </c>
      <c r="AX439" s="901">
        <f t="shared" si="115"/>
        <v>0</v>
      </c>
      <c r="AY439" s="901">
        <f ca="1"/>
        <v>0</v>
      </c>
      <c r="AZ439" s="901">
        <f ca="1"/>
        <v>0</v>
      </c>
      <c r="BA439" s="905">
        <f t="shared" si="104"/>
        <v>0</v>
      </c>
      <c r="BB439" s="905">
        <f t="shared" si="105"/>
        <v>0</v>
      </c>
      <c r="BC439" s="905">
        <f t="shared" si="106"/>
        <v>0</v>
      </c>
      <c r="BD439" s="905">
        <f t="shared" si="107"/>
        <v>0</v>
      </c>
      <c r="BE439" s="905">
        <f t="shared" si="108"/>
        <v>0</v>
      </c>
      <c r="BF439" s="905">
        <f t="shared" si="109"/>
        <v>0</v>
      </c>
      <c r="BG439" s="905">
        <f t="shared" si="110"/>
        <v>0</v>
      </c>
      <c r="BH439" s="905">
        <f t="shared" si="111"/>
        <v>0</v>
      </c>
      <c r="BI439" s="713">
        <v>0</v>
      </c>
      <c r="BJ439" s="695"/>
      <c r="BK439" s="752">
        <f>IF(X440=0,0,           IF(ISNUMBER(BJ439),BJ439,               IF(ISTEXT(BJ439),INDEX(BA439:BH439,MATCH(BJ439,$BA$12:$BH$12,0)),             IF(BI439="INT",_xll.qInterp(X440,AK439:AR439,BA439:BH439),            INDEX(BA439:BH439,MATCH(BI439,$BA$12:$BH$12,0))))))</f>
        <v>0</v>
      </c>
      <c r="BL439" s="389">
        <f t="shared" si="116"/>
        <v>0</v>
      </c>
      <c r="BM439" s="394">
        <f t="shared" si="117"/>
        <v>0</v>
      </c>
      <c r="BN439" s="389">
        <f t="shared" si="118"/>
        <v>0</v>
      </c>
    </row>
    <row r="440" spans="16:66">
      <c r="P440" s="716">
        <v>0</v>
      </c>
      <c r="Q440" s="715">
        <f t="shared" si="102"/>
        <v>0</v>
      </c>
      <c r="R440" s="712">
        <f>IF(P441,_xll.qDateYears(P440,P441,DCCfixed),0)</f>
        <v>0</v>
      </c>
      <c r="S440" s="519">
        <f ca="1"/>
        <v>0</v>
      </c>
      <c r="T440" s="720"/>
      <c r="U440" s="390">
        <f t="shared" si="112"/>
        <v>0</v>
      </c>
      <c r="X440" s="345">
        <v>0</v>
      </c>
      <c r="Y440" s="711">
        <f t="shared" si="103"/>
        <v>0</v>
      </c>
      <c r="Z440" s="712">
        <f>IF(X441,_xll.qDateYears(X440,X441,DCCfloat),0)</f>
        <v>0</v>
      </c>
      <c r="AA440" s="519">
        <f ca="1"/>
        <v>0</v>
      </c>
      <c r="AB440" s="890">
        <f>IF(X440=0,0,         IF(OR(CCY="AUD",CCY="NZD",CCY="GBP"),X440,   _xll.qDateNext(X440,"-2b",,,IF(CCY="EUR","TGT","LON"))))</f>
        <v>0</v>
      </c>
      <c r="AC440" s="879" t="str">
        <v/>
      </c>
      <c r="AD440" s="879" t="str">
        <v/>
      </c>
      <c r="AE440" s="879" t="str">
        <v/>
      </c>
      <c r="AF440" s="879" t="str">
        <v/>
      </c>
      <c r="AG440" s="879" t="str">
        <v/>
      </c>
      <c r="AH440" s="879" t="str">
        <v/>
      </c>
      <c r="AI440" s="879" t="str">
        <v/>
      </c>
      <c r="AJ440" s="879" t="str">
        <v/>
      </c>
      <c r="AK440" s="882">
        <f>IF($X440=0,0,      _xll.qDateNext($X440,AK$12,$AR$11,FRM&lt;&gt;"Calypso",CCY))</f>
        <v>0</v>
      </c>
      <c r="AL440" s="882">
        <f>IF($X440=0,0,      _xll.qDateNext($X440,AL$12,$AR$11,FRM&lt;&gt;"Calypso",CCY))</f>
        <v>0</v>
      </c>
      <c r="AM440" s="882">
        <f>IF($X440=0,0,      _xll.qDateNext($X440,AM$12,$AR$11,FRM&lt;&gt;"Calypso",CCY))</f>
        <v>0</v>
      </c>
      <c r="AN440" s="882">
        <f>IF($X440=0,0,      _xll.qDateNext($X440,AN$12,$AR$11,FRM&lt;&gt;"Calypso",CCY))</f>
        <v>0</v>
      </c>
      <c r="AO440" s="882">
        <f>IF($X440=0,0,      _xll.qDateNext($X440,AO$12,$AR$11,FRM&lt;&gt;"Calypso",CCY))</f>
        <v>0</v>
      </c>
      <c r="AP440" s="882">
        <f>IF($X440=0,0,      _xll.qDateNext($X440,AP$12,$AR$11,FRM&lt;&gt;"Calypso",CCY))</f>
        <v>0</v>
      </c>
      <c r="AQ440" s="882">
        <f>IF($X440=0,0,      _xll.qDateNext($X440,AQ$12,$AR$11,FRM&lt;&gt;"Calypso",CCY))</f>
        <v>0</v>
      </c>
      <c r="AR440" s="882">
        <f>IF($X440=0,0,      _xll.qDateNext($X440,AR$12,$AR$11,FRM&lt;&gt;"Calypso",CCY))</f>
        <v>0</v>
      </c>
      <c r="AS440" s="901">
        <f ca="1"/>
        <v>0</v>
      </c>
      <c r="AT440" s="901">
        <f ca="1"/>
        <v>0</v>
      </c>
      <c r="AU440" s="901">
        <f t="shared" si="113"/>
        <v>0</v>
      </c>
      <c r="AV440" s="901">
        <f ca="1"/>
        <v>0</v>
      </c>
      <c r="AW440" s="901">
        <f t="shared" si="114"/>
        <v>0</v>
      </c>
      <c r="AX440" s="901">
        <f t="shared" si="115"/>
        <v>0</v>
      </c>
      <c r="AY440" s="901">
        <f ca="1"/>
        <v>0</v>
      </c>
      <c r="AZ440" s="901">
        <f ca="1"/>
        <v>0</v>
      </c>
      <c r="BA440" s="905">
        <f t="shared" si="104"/>
        <v>0</v>
      </c>
      <c r="BB440" s="905">
        <f t="shared" si="105"/>
        <v>0</v>
      </c>
      <c r="BC440" s="905">
        <f t="shared" si="106"/>
        <v>0</v>
      </c>
      <c r="BD440" s="905">
        <f t="shared" si="107"/>
        <v>0</v>
      </c>
      <c r="BE440" s="905">
        <f t="shared" si="108"/>
        <v>0</v>
      </c>
      <c r="BF440" s="905">
        <f t="shared" si="109"/>
        <v>0</v>
      </c>
      <c r="BG440" s="905">
        <f t="shared" si="110"/>
        <v>0</v>
      </c>
      <c r="BH440" s="905">
        <f t="shared" si="111"/>
        <v>0</v>
      </c>
      <c r="BI440" s="713">
        <v>0</v>
      </c>
      <c r="BJ440" s="695"/>
      <c r="BK440" s="752">
        <f>IF(X441=0,0,           IF(ISNUMBER(BJ440),BJ440,               IF(ISTEXT(BJ440),INDEX(BA440:BH440,MATCH(BJ440,$BA$12:$BH$12,0)),             IF(BI440="INT",_xll.qInterp(X441,AK440:AR440,BA440:BH440),            INDEX(BA440:BH440,MATCH(BI440,$BA$12:$BH$12,0))))))</f>
        <v>0</v>
      </c>
      <c r="BL440" s="389">
        <f t="shared" si="116"/>
        <v>0</v>
      </c>
      <c r="BM440" s="394">
        <f t="shared" si="117"/>
        <v>0</v>
      </c>
      <c r="BN440" s="389">
        <f t="shared" si="118"/>
        <v>0</v>
      </c>
    </row>
    <row r="441" spans="16:66">
      <c r="P441" s="716">
        <v>0</v>
      </c>
      <c r="Q441" s="715">
        <f t="shared" si="102"/>
        <v>0</v>
      </c>
      <c r="R441" s="712">
        <f>IF(P442,_xll.qDateYears(P441,P442,DCCfixed),0)</f>
        <v>0</v>
      </c>
      <c r="S441" s="519">
        <f ca="1"/>
        <v>0</v>
      </c>
      <c r="T441" s="720"/>
      <c r="U441" s="390">
        <f t="shared" si="112"/>
        <v>0</v>
      </c>
      <c r="X441" s="345">
        <v>0</v>
      </c>
      <c r="Y441" s="711">
        <f t="shared" si="103"/>
        <v>0</v>
      </c>
      <c r="Z441" s="712">
        <f>IF(X442,_xll.qDateYears(X441,X442,DCCfloat),0)</f>
        <v>0</v>
      </c>
      <c r="AA441" s="519">
        <f ca="1"/>
        <v>0</v>
      </c>
      <c r="AB441" s="890">
        <f>IF(X441=0,0,         IF(OR(CCY="AUD",CCY="NZD",CCY="GBP"),X441,   _xll.qDateNext(X441,"-2b",,,IF(CCY="EUR","TGT","LON"))))</f>
        <v>0</v>
      </c>
      <c r="AC441" s="879" t="str">
        <v/>
      </c>
      <c r="AD441" s="879" t="str">
        <v/>
      </c>
      <c r="AE441" s="879" t="str">
        <v/>
      </c>
      <c r="AF441" s="879" t="str">
        <v/>
      </c>
      <c r="AG441" s="879" t="str">
        <v/>
      </c>
      <c r="AH441" s="879" t="str">
        <v/>
      </c>
      <c r="AI441" s="879" t="str">
        <v/>
      </c>
      <c r="AJ441" s="879" t="str">
        <v/>
      </c>
      <c r="AK441" s="882">
        <f>IF($X441=0,0,      _xll.qDateNext($X441,AK$12,$AR$11,FRM&lt;&gt;"Calypso",CCY))</f>
        <v>0</v>
      </c>
      <c r="AL441" s="882">
        <f>IF($X441=0,0,      _xll.qDateNext($X441,AL$12,$AR$11,FRM&lt;&gt;"Calypso",CCY))</f>
        <v>0</v>
      </c>
      <c r="AM441" s="882">
        <f>IF($X441=0,0,      _xll.qDateNext($X441,AM$12,$AR$11,FRM&lt;&gt;"Calypso",CCY))</f>
        <v>0</v>
      </c>
      <c r="AN441" s="882">
        <f>IF($X441=0,0,      _xll.qDateNext($X441,AN$12,$AR$11,FRM&lt;&gt;"Calypso",CCY))</f>
        <v>0</v>
      </c>
      <c r="AO441" s="882">
        <f>IF($X441=0,0,      _xll.qDateNext($X441,AO$12,$AR$11,FRM&lt;&gt;"Calypso",CCY))</f>
        <v>0</v>
      </c>
      <c r="AP441" s="882">
        <f>IF($X441=0,0,      _xll.qDateNext($X441,AP$12,$AR$11,FRM&lt;&gt;"Calypso",CCY))</f>
        <v>0</v>
      </c>
      <c r="AQ441" s="882">
        <f>IF($X441=0,0,      _xll.qDateNext($X441,AQ$12,$AR$11,FRM&lt;&gt;"Calypso",CCY))</f>
        <v>0</v>
      </c>
      <c r="AR441" s="882">
        <f>IF($X441=0,0,      _xll.qDateNext($X441,AR$12,$AR$11,FRM&lt;&gt;"Calypso",CCY))</f>
        <v>0</v>
      </c>
      <c r="AS441" s="901">
        <f ca="1"/>
        <v>0</v>
      </c>
      <c r="AT441" s="901">
        <f ca="1"/>
        <v>0</v>
      </c>
      <c r="AU441" s="901">
        <f t="shared" si="113"/>
        <v>0</v>
      </c>
      <c r="AV441" s="901">
        <f ca="1"/>
        <v>0</v>
      </c>
      <c r="AW441" s="901">
        <f t="shared" si="114"/>
        <v>0</v>
      </c>
      <c r="AX441" s="901">
        <f t="shared" si="115"/>
        <v>0</v>
      </c>
      <c r="AY441" s="901">
        <f ca="1"/>
        <v>0</v>
      </c>
      <c r="AZ441" s="901">
        <f ca="1"/>
        <v>0</v>
      </c>
      <c r="BA441" s="905">
        <f t="shared" si="104"/>
        <v>0</v>
      </c>
      <c r="BB441" s="905">
        <f t="shared" si="105"/>
        <v>0</v>
      </c>
      <c r="BC441" s="905">
        <f t="shared" si="106"/>
        <v>0</v>
      </c>
      <c r="BD441" s="905">
        <f t="shared" si="107"/>
        <v>0</v>
      </c>
      <c r="BE441" s="905">
        <f t="shared" si="108"/>
        <v>0</v>
      </c>
      <c r="BF441" s="905">
        <f t="shared" si="109"/>
        <v>0</v>
      </c>
      <c r="BG441" s="905">
        <f t="shared" si="110"/>
        <v>0</v>
      </c>
      <c r="BH441" s="905">
        <f t="shared" si="111"/>
        <v>0</v>
      </c>
      <c r="BI441" s="713">
        <v>0</v>
      </c>
      <c r="BJ441" s="695"/>
      <c r="BK441" s="752">
        <f>IF(X442=0,0,           IF(ISNUMBER(BJ441),BJ441,               IF(ISTEXT(BJ441),INDEX(BA441:BH441,MATCH(BJ441,$BA$12:$BH$12,0)),             IF(BI441="INT",_xll.qInterp(X442,AK441:AR441,BA441:BH441),            INDEX(BA441:BH441,MATCH(BI441,$BA$12:$BH$12,0))))))</f>
        <v>0</v>
      </c>
      <c r="BL441" s="389">
        <f t="shared" si="116"/>
        <v>0</v>
      </c>
      <c r="BM441" s="394">
        <f t="shared" si="117"/>
        <v>0</v>
      </c>
      <c r="BN441" s="389">
        <f t="shared" si="118"/>
        <v>0</v>
      </c>
    </row>
    <row r="442" spans="16:66">
      <c r="P442" s="716">
        <v>0</v>
      </c>
      <c r="Q442" s="715">
        <f t="shared" si="102"/>
        <v>0</v>
      </c>
      <c r="R442" s="712">
        <f>IF(P443,_xll.qDateYears(P442,P443,DCCfixed),0)</f>
        <v>0</v>
      </c>
      <c r="S442" s="519">
        <f ca="1"/>
        <v>0</v>
      </c>
      <c r="T442" s="720"/>
      <c r="U442" s="390">
        <f t="shared" si="112"/>
        <v>0</v>
      </c>
      <c r="X442" s="345">
        <v>0</v>
      </c>
      <c r="Y442" s="711">
        <f t="shared" si="103"/>
        <v>0</v>
      </c>
      <c r="Z442" s="712">
        <f>IF(X443,_xll.qDateYears(X442,X443,DCCfloat),0)</f>
        <v>0</v>
      </c>
      <c r="AA442" s="519">
        <f ca="1"/>
        <v>0</v>
      </c>
      <c r="AB442" s="890">
        <f>IF(X442=0,0,         IF(OR(CCY="AUD",CCY="NZD",CCY="GBP"),X442,   _xll.qDateNext(X442,"-2b",,,IF(CCY="EUR","TGT","LON"))))</f>
        <v>0</v>
      </c>
      <c r="AC442" s="879" t="str">
        <v/>
      </c>
      <c r="AD442" s="879" t="str">
        <v/>
      </c>
      <c r="AE442" s="879" t="str">
        <v/>
      </c>
      <c r="AF442" s="879" t="str">
        <v/>
      </c>
      <c r="AG442" s="879" t="str">
        <v/>
      </c>
      <c r="AH442" s="879" t="str">
        <v/>
      </c>
      <c r="AI442" s="879" t="str">
        <v/>
      </c>
      <c r="AJ442" s="879" t="str">
        <v/>
      </c>
      <c r="AK442" s="882">
        <f>IF($X442=0,0,      _xll.qDateNext($X442,AK$12,$AR$11,FRM&lt;&gt;"Calypso",CCY))</f>
        <v>0</v>
      </c>
      <c r="AL442" s="882">
        <f>IF($X442=0,0,      _xll.qDateNext($X442,AL$12,$AR$11,FRM&lt;&gt;"Calypso",CCY))</f>
        <v>0</v>
      </c>
      <c r="AM442" s="882">
        <f>IF($X442=0,0,      _xll.qDateNext($X442,AM$12,$AR$11,FRM&lt;&gt;"Calypso",CCY))</f>
        <v>0</v>
      </c>
      <c r="AN442" s="882">
        <f>IF($X442=0,0,      _xll.qDateNext($X442,AN$12,$AR$11,FRM&lt;&gt;"Calypso",CCY))</f>
        <v>0</v>
      </c>
      <c r="AO442" s="882">
        <f>IF($X442=0,0,      _xll.qDateNext($X442,AO$12,$AR$11,FRM&lt;&gt;"Calypso",CCY))</f>
        <v>0</v>
      </c>
      <c r="AP442" s="882">
        <f>IF($X442=0,0,      _xll.qDateNext($X442,AP$12,$AR$11,FRM&lt;&gt;"Calypso",CCY))</f>
        <v>0</v>
      </c>
      <c r="AQ442" s="882">
        <f>IF($X442=0,0,      _xll.qDateNext($X442,AQ$12,$AR$11,FRM&lt;&gt;"Calypso",CCY))</f>
        <v>0</v>
      </c>
      <c r="AR442" s="882">
        <f>IF($X442=0,0,      _xll.qDateNext($X442,AR$12,$AR$11,FRM&lt;&gt;"Calypso",CCY))</f>
        <v>0</v>
      </c>
      <c r="AS442" s="901">
        <f ca="1"/>
        <v>0</v>
      </c>
      <c r="AT442" s="901">
        <f ca="1"/>
        <v>0</v>
      </c>
      <c r="AU442" s="901">
        <f t="shared" si="113"/>
        <v>0</v>
      </c>
      <c r="AV442" s="901">
        <f ca="1"/>
        <v>0</v>
      </c>
      <c r="AW442" s="901">
        <f t="shared" si="114"/>
        <v>0</v>
      </c>
      <c r="AX442" s="901">
        <f t="shared" si="115"/>
        <v>0</v>
      </c>
      <c r="AY442" s="901">
        <f ca="1"/>
        <v>0</v>
      </c>
      <c r="AZ442" s="901">
        <f ca="1"/>
        <v>0</v>
      </c>
      <c r="BA442" s="905">
        <f t="shared" si="104"/>
        <v>0</v>
      </c>
      <c r="BB442" s="905">
        <f t="shared" si="105"/>
        <v>0</v>
      </c>
      <c r="BC442" s="905">
        <f t="shared" si="106"/>
        <v>0</v>
      </c>
      <c r="BD442" s="905">
        <f t="shared" si="107"/>
        <v>0</v>
      </c>
      <c r="BE442" s="905">
        <f t="shared" si="108"/>
        <v>0</v>
      </c>
      <c r="BF442" s="905">
        <f t="shared" si="109"/>
        <v>0</v>
      </c>
      <c r="BG442" s="905">
        <f t="shared" si="110"/>
        <v>0</v>
      </c>
      <c r="BH442" s="905">
        <f t="shared" si="111"/>
        <v>0</v>
      </c>
      <c r="BI442" s="713">
        <v>0</v>
      </c>
      <c r="BJ442" s="695"/>
      <c r="BK442" s="752">
        <f>IF(X443=0,0,           IF(ISNUMBER(BJ442),BJ442,               IF(ISTEXT(BJ442),INDEX(BA442:BH442,MATCH(BJ442,$BA$12:$BH$12,0)),             IF(BI442="INT",_xll.qInterp(X443,AK442:AR442,BA442:BH442),            INDEX(BA442:BH442,MATCH(BI442,$BA$12:$BH$12,0))))))</f>
        <v>0</v>
      </c>
      <c r="BL442" s="389">
        <f t="shared" si="116"/>
        <v>0</v>
      </c>
      <c r="BM442" s="394">
        <f t="shared" si="117"/>
        <v>0</v>
      </c>
      <c r="BN442" s="389">
        <f t="shared" si="118"/>
        <v>0</v>
      </c>
    </row>
    <row r="443" spans="16:66">
      <c r="P443" s="716">
        <v>0</v>
      </c>
      <c r="Q443" s="715">
        <f t="shared" si="102"/>
        <v>0</v>
      </c>
      <c r="R443" s="712">
        <f>IF(P444,_xll.qDateYears(P443,P444,DCCfixed),0)</f>
        <v>0</v>
      </c>
      <c r="S443" s="519">
        <f ca="1"/>
        <v>0</v>
      </c>
      <c r="T443" s="720"/>
      <c r="U443" s="390">
        <f t="shared" si="112"/>
        <v>0</v>
      </c>
      <c r="X443" s="345">
        <v>0</v>
      </c>
      <c r="Y443" s="711">
        <f t="shared" si="103"/>
        <v>0</v>
      </c>
      <c r="Z443" s="712">
        <f>IF(X444,_xll.qDateYears(X443,X444,DCCfloat),0)</f>
        <v>0</v>
      </c>
      <c r="AA443" s="519">
        <f ca="1"/>
        <v>0</v>
      </c>
      <c r="AB443" s="890">
        <f>IF(X443=0,0,         IF(OR(CCY="AUD",CCY="NZD",CCY="GBP"),X443,   _xll.qDateNext(X443,"-2b",,,IF(CCY="EUR","TGT","LON"))))</f>
        <v>0</v>
      </c>
      <c r="AC443" s="879" t="str">
        <v/>
      </c>
      <c r="AD443" s="879" t="str">
        <v/>
      </c>
      <c r="AE443" s="879" t="str">
        <v/>
      </c>
      <c r="AF443" s="879" t="str">
        <v/>
      </c>
      <c r="AG443" s="879" t="str">
        <v/>
      </c>
      <c r="AH443" s="879" t="str">
        <v/>
      </c>
      <c r="AI443" s="879" t="str">
        <v/>
      </c>
      <c r="AJ443" s="879" t="str">
        <v/>
      </c>
      <c r="AK443" s="882">
        <f>IF($X443=0,0,      _xll.qDateNext($X443,AK$12,$AR$11,FRM&lt;&gt;"Calypso",CCY))</f>
        <v>0</v>
      </c>
      <c r="AL443" s="882">
        <f>IF($X443=0,0,      _xll.qDateNext($X443,AL$12,$AR$11,FRM&lt;&gt;"Calypso",CCY))</f>
        <v>0</v>
      </c>
      <c r="AM443" s="882">
        <f>IF($X443=0,0,      _xll.qDateNext($X443,AM$12,$AR$11,FRM&lt;&gt;"Calypso",CCY))</f>
        <v>0</v>
      </c>
      <c r="AN443" s="882">
        <f>IF($X443=0,0,      _xll.qDateNext($X443,AN$12,$AR$11,FRM&lt;&gt;"Calypso",CCY))</f>
        <v>0</v>
      </c>
      <c r="AO443" s="882">
        <f>IF($X443=0,0,      _xll.qDateNext($X443,AO$12,$AR$11,FRM&lt;&gt;"Calypso",CCY))</f>
        <v>0</v>
      </c>
      <c r="AP443" s="882">
        <f>IF($X443=0,0,      _xll.qDateNext($X443,AP$12,$AR$11,FRM&lt;&gt;"Calypso",CCY))</f>
        <v>0</v>
      </c>
      <c r="AQ443" s="882">
        <f>IF($X443=0,0,      _xll.qDateNext($X443,AQ$12,$AR$11,FRM&lt;&gt;"Calypso",CCY))</f>
        <v>0</v>
      </c>
      <c r="AR443" s="882">
        <f>IF($X443=0,0,      _xll.qDateNext($X443,AR$12,$AR$11,FRM&lt;&gt;"Calypso",CCY))</f>
        <v>0</v>
      </c>
      <c r="AS443" s="901">
        <f ca="1"/>
        <v>0</v>
      </c>
      <c r="AT443" s="901">
        <f ca="1"/>
        <v>0</v>
      </c>
      <c r="AU443" s="901">
        <f t="shared" si="113"/>
        <v>0</v>
      </c>
      <c r="AV443" s="901">
        <f ca="1"/>
        <v>0</v>
      </c>
      <c r="AW443" s="901">
        <f t="shared" si="114"/>
        <v>0</v>
      </c>
      <c r="AX443" s="901">
        <f t="shared" si="115"/>
        <v>0</v>
      </c>
      <c r="AY443" s="901">
        <f ca="1"/>
        <v>0</v>
      </c>
      <c r="AZ443" s="901">
        <f ca="1"/>
        <v>0</v>
      </c>
      <c r="BA443" s="905">
        <f t="shared" si="104"/>
        <v>0</v>
      </c>
      <c r="BB443" s="905">
        <f t="shared" si="105"/>
        <v>0</v>
      </c>
      <c r="BC443" s="905">
        <f t="shared" si="106"/>
        <v>0</v>
      </c>
      <c r="BD443" s="905">
        <f t="shared" si="107"/>
        <v>0</v>
      </c>
      <c r="BE443" s="905">
        <f t="shared" si="108"/>
        <v>0</v>
      </c>
      <c r="BF443" s="905">
        <f t="shared" si="109"/>
        <v>0</v>
      </c>
      <c r="BG443" s="905">
        <f t="shared" si="110"/>
        <v>0</v>
      </c>
      <c r="BH443" s="905">
        <f t="shared" si="111"/>
        <v>0</v>
      </c>
      <c r="BI443" s="713">
        <v>0</v>
      </c>
      <c r="BJ443" s="695"/>
      <c r="BK443" s="752">
        <f>IF(X444=0,0,           IF(ISNUMBER(BJ443),BJ443,               IF(ISTEXT(BJ443),INDEX(BA443:BH443,MATCH(BJ443,$BA$12:$BH$12,0)),             IF(BI443="INT",_xll.qInterp(X444,AK443:AR443,BA443:BH443),            INDEX(BA443:BH443,MATCH(BI443,$BA$12:$BH$12,0))))))</f>
        <v>0</v>
      </c>
      <c r="BL443" s="389">
        <f t="shared" si="116"/>
        <v>0</v>
      </c>
      <c r="BM443" s="394">
        <f t="shared" si="117"/>
        <v>0</v>
      </c>
      <c r="BN443" s="389">
        <f t="shared" si="118"/>
        <v>0</v>
      </c>
    </row>
    <row r="444" spans="16:66">
      <c r="P444" s="716">
        <v>0</v>
      </c>
      <c r="Q444" s="715">
        <f t="shared" si="102"/>
        <v>0</v>
      </c>
      <c r="R444" s="712">
        <f>IF(P445,_xll.qDateYears(P444,P445,DCCfixed),0)</f>
        <v>0</v>
      </c>
      <c r="S444" s="519">
        <f ca="1"/>
        <v>0</v>
      </c>
      <c r="T444" s="720"/>
      <c r="U444" s="390">
        <f t="shared" si="112"/>
        <v>0</v>
      </c>
      <c r="X444" s="345">
        <v>0</v>
      </c>
      <c r="Y444" s="711">
        <f t="shared" si="103"/>
        <v>0</v>
      </c>
      <c r="Z444" s="712">
        <f>IF(X445,_xll.qDateYears(X444,X445,DCCfloat),0)</f>
        <v>0</v>
      </c>
      <c r="AA444" s="519">
        <f ca="1"/>
        <v>0</v>
      </c>
      <c r="AB444" s="890">
        <f>IF(X444=0,0,         IF(OR(CCY="AUD",CCY="NZD",CCY="GBP"),X444,   _xll.qDateNext(X444,"-2b",,,IF(CCY="EUR","TGT","LON"))))</f>
        <v>0</v>
      </c>
      <c r="AC444" s="879" t="str">
        <v/>
      </c>
      <c r="AD444" s="879" t="str">
        <v/>
      </c>
      <c r="AE444" s="879" t="str">
        <v/>
      </c>
      <c r="AF444" s="879" t="str">
        <v/>
      </c>
      <c r="AG444" s="879" t="str">
        <v/>
      </c>
      <c r="AH444" s="879" t="str">
        <v/>
      </c>
      <c r="AI444" s="879" t="str">
        <v/>
      </c>
      <c r="AJ444" s="879" t="str">
        <v/>
      </c>
      <c r="AK444" s="882">
        <f>IF($X444=0,0,      _xll.qDateNext($X444,AK$12,$AR$11,FRM&lt;&gt;"Calypso",CCY))</f>
        <v>0</v>
      </c>
      <c r="AL444" s="882">
        <f>IF($X444=0,0,      _xll.qDateNext($X444,AL$12,$AR$11,FRM&lt;&gt;"Calypso",CCY))</f>
        <v>0</v>
      </c>
      <c r="AM444" s="882">
        <f>IF($X444=0,0,      _xll.qDateNext($X444,AM$12,$AR$11,FRM&lt;&gt;"Calypso",CCY))</f>
        <v>0</v>
      </c>
      <c r="AN444" s="882">
        <f>IF($X444=0,0,      _xll.qDateNext($X444,AN$12,$AR$11,FRM&lt;&gt;"Calypso",CCY))</f>
        <v>0</v>
      </c>
      <c r="AO444" s="882">
        <f>IF($X444=0,0,      _xll.qDateNext($X444,AO$12,$AR$11,FRM&lt;&gt;"Calypso",CCY))</f>
        <v>0</v>
      </c>
      <c r="AP444" s="882">
        <f>IF($X444=0,0,      _xll.qDateNext($X444,AP$12,$AR$11,FRM&lt;&gt;"Calypso",CCY))</f>
        <v>0</v>
      </c>
      <c r="AQ444" s="882">
        <f>IF($X444=0,0,      _xll.qDateNext($X444,AQ$12,$AR$11,FRM&lt;&gt;"Calypso",CCY))</f>
        <v>0</v>
      </c>
      <c r="AR444" s="882">
        <f>IF($X444=0,0,      _xll.qDateNext($X444,AR$12,$AR$11,FRM&lt;&gt;"Calypso",CCY))</f>
        <v>0</v>
      </c>
      <c r="AS444" s="901">
        <f ca="1"/>
        <v>0</v>
      </c>
      <c r="AT444" s="901">
        <f ca="1"/>
        <v>0</v>
      </c>
      <c r="AU444" s="901">
        <f t="shared" si="113"/>
        <v>0</v>
      </c>
      <c r="AV444" s="901">
        <f ca="1"/>
        <v>0</v>
      </c>
      <c r="AW444" s="901">
        <f t="shared" si="114"/>
        <v>0</v>
      </c>
      <c r="AX444" s="901">
        <f t="shared" si="115"/>
        <v>0</v>
      </c>
      <c r="AY444" s="901">
        <f ca="1"/>
        <v>0</v>
      </c>
      <c r="AZ444" s="901">
        <f ca="1"/>
        <v>0</v>
      </c>
      <c r="BA444" s="905">
        <f t="shared" si="104"/>
        <v>0</v>
      </c>
      <c r="BB444" s="905">
        <f t="shared" si="105"/>
        <v>0</v>
      </c>
      <c r="BC444" s="905">
        <f t="shared" si="106"/>
        <v>0</v>
      </c>
      <c r="BD444" s="905">
        <f t="shared" si="107"/>
        <v>0</v>
      </c>
      <c r="BE444" s="905">
        <f t="shared" si="108"/>
        <v>0</v>
      </c>
      <c r="BF444" s="905">
        <f t="shared" si="109"/>
        <v>0</v>
      </c>
      <c r="BG444" s="905">
        <f t="shared" si="110"/>
        <v>0</v>
      </c>
      <c r="BH444" s="905">
        <f t="shared" si="111"/>
        <v>0</v>
      </c>
      <c r="BI444" s="713">
        <v>0</v>
      </c>
      <c r="BJ444" s="695"/>
      <c r="BK444" s="752">
        <f>IF(X445=0,0,           IF(ISNUMBER(BJ444),BJ444,               IF(ISTEXT(BJ444),INDEX(BA444:BH444,MATCH(BJ444,$BA$12:$BH$12,0)),             IF(BI444="INT",_xll.qInterp(X445,AK444:AR444,BA444:BH444),            INDEX(BA444:BH444,MATCH(BI444,$BA$12:$BH$12,0))))))</f>
        <v>0</v>
      </c>
      <c r="BL444" s="389">
        <f t="shared" si="116"/>
        <v>0</v>
      </c>
      <c r="BM444" s="394">
        <f t="shared" si="117"/>
        <v>0</v>
      </c>
      <c r="BN444" s="389">
        <f t="shared" si="118"/>
        <v>0</v>
      </c>
    </row>
    <row r="445" spans="16:66">
      <c r="P445" s="716">
        <v>0</v>
      </c>
      <c r="Q445" s="715">
        <f t="shared" si="102"/>
        <v>0</v>
      </c>
      <c r="R445" s="712">
        <f>IF(P446,_xll.qDateYears(P445,P446,DCCfixed),0)</f>
        <v>0</v>
      </c>
      <c r="S445" s="519">
        <f ca="1"/>
        <v>0</v>
      </c>
      <c r="T445" s="720"/>
      <c r="U445" s="390">
        <f t="shared" si="112"/>
        <v>0</v>
      </c>
      <c r="X445" s="345">
        <v>0</v>
      </c>
      <c r="Y445" s="711">
        <f t="shared" si="103"/>
        <v>0</v>
      </c>
      <c r="Z445" s="712">
        <f>IF(X446,_xll.qDateYears(X445,X446,DCCfloat),0)</f>
        <v>0</v>
      </c>
      <c r="AA445" s="519">
        <f ca="1"/>
        <v>0</v>
      </c>
      <c r="AB445" s="890">
        <f>IF(X445=0,0,         IF(OR(CCY="AUD",CCY="NZD",CCY="GBP"),X445,   _xll.qDateNext(X445,"-2b",,,IF(CCY="EUR","TGT","LON"))))</f>
        <v>0</v>
      </c>
      <c r="AC445" s="879" t="str">
        <v/>
      </c>
      <c r="AD445" s="879" t="str">
        <v/>
      </c>
      <c r="AE445" s="879" t="str">
        <v/>
      </c>
      <c r="AF445" s="879" t="str">
        <v/>
      </c>
      <c r="AG445" s="879" t="str">
        <v/>
      </c>
      <c r="AH445" s="879" t="str">
        <v/>
      </c>
      <c r="AI445" s="879" t="str">
        <v/>
      </c>
      <c r="AJ445" s="879" t="str">
        <v/>
      </c>
      <c r="AK445" s="882">
        <f>IF($X445=0,0,      _xll.qDateNext($X445,AK$12,$AR$11,FRM&lt;&gt;"Calypso",CCY))</f>
        <v>0</v>
      </c>
      <c r="AL445" s="882">
        <f>IF($X445=0,0,      _xll.qDateNext($X445,AL$12,$AR$11,FRM&lt;&gt;"Calypso",CCY))</f>
        <v>0</v>
      </c>
      <c r="AM445" s="882">
        <f>IF($X445=0,0,      _xll.qDateNext($X445,AM$12,$AR$11,FRM&lt;&gt;"Calypso",CCY))</f>
        <v>0</v>
      </c>
      <c r="AN445" s="882">
        <f>IF($X445=0,0,      _xll.qDateNext($X445,AN$12,$AR$11,FRM&lt;&gt;"Calypso",CCY))</f>
        <v>0</v>
      </c>
      <c r="AO445" s="882">
        <f>IF($X445=0,0,      _xll.qDateNext($X445,AO$12,$AR$11,FRM&lt;&gt;"Calypso",CCY))</f>
        <v>0</v>
      </c>
      <c r="AP445" s="882">
        <f>IF($X445=0,0,      _xll.qDateNext($X445,AP$12,$AR$11,FRM&lt;&gt;"Calypso",CCY))</f>
        <v>0</v>
      </c>
      <c r="AQ445" s="882">
        <f>IF($X445=0,0,      _xll.qDateNext($X445,AQ$12,$AR$11,FRM&lt;&gt;"Calypso",CCY))</f>
        <v>0</v>
      </c>
      <c r="AR445" s="882">
        <f>IF($X445=0,0,      _xll.qDateNext($X445,AR$12,$AR$11,FRM&lt;&gt;"Calypso",CCY))</f>
        <v>0</v>
      </c>
      <c r="AS445" s="901">
        <f ca="1"/>
        <v>0</v>
      </c>
      <c r="AT445" s="901">
        <f ca="1"/>
        <v>0</v>
      </c>
      <c r="AU445" s="901">
        <f t="shared" si="113"/>
        <v>0</v>
      </c>
      <c r="AV445" s="901">
        <f ca="1"/>
        <v>0</v>
      </c>
      <c r="AW445" s="901">
        <f t="shared" si="114"/>
        <v>0</v>
      </c>
      <c r="AX445" s="901">
        <f t="shared" si="115"/>
        <v>0</v>
      </c>
      <c r="AY445" s="901">
        <f ca="1"/>
        <v>0</v>
      </c>
      <c r="AZ445" s="901">
        <f ca="1"/>
        <v>0</v>
      </c>
      <c r="BA445" s="905">
        <f t="shared" si="104"/>
        <v>0</v>
      </c>
      <c r="BB445" s="905">
        <f t="shared" si="105"/>
        <v>0</v>
      </c>
      <c r="BC445" s="905">
        <f t="shared" si="106"/>
        <v>0</v>
      </c>
      <c r="BD445" s="905">
        <f t="shared" si="107"/>
        <v>0</v>
      </c>
      <c r="BE445" s="905">
        <f t="shared" si="108"/>
        <v>0</v>
      </c>
      <c r="BF445" s="905">
        <f t="shared" si="109"/>
        <v>0</v>
      </c>
      <c r="BG445" s="905">
        <f t="shared" si="110"/>
        <v>0</v>
      </c>
      <c r="BH445" s="905">
        <f t="shared" si="111"/>
        <v>0</v>
      </c>
      <c r="BI445" s="713">
        <v>0</v>
      </c>
      <c r="BJ445" s="695"/>
      <c r="BK445" s="752">
        <f>IF(X446=0,0,           IF(ISNUMBER(BJ445),BJ445,               IF(ISTEXT(BJ445),INDEX(BA445:BH445,MATCH(BJ445,$BA$12:$BH$12,0)),             IF(BI445="INT",_xll.qInterp(X446,AK445:AR445,BA445:BH445),            INDEX(BA445:BH445,MATCH(BI445,$BA$12:$BH$12,0))))))</f>
        <v>0</v>
      </c>
      <c r="BL445" s="389">
        <f t="shared" si="116"/>
        <v>0</v>
      </c>
      <c r="BM445" s="394">
        <f t="shared" si="117"/>
        <v>0</v>
      </c>
      <c r="BN445" s="389">
        <f t="shared" si="118"/>
        <v>0</v>
      </c>
    </row>
    <row r="446" spans="16:66">
      <c r="P446" s="716">
        <v>0</v>
      </c>
      <c r="Q446" s="715">
        <f t="shared" si="102"/>
        <v>0</v>
      </c>
      <c r="R446" s="712">
        <f>IF(P447,_xll.qDateYears(P446,P447,DCCfixed),0)</f>
        <v>0</v>
      </c>
      <c r="S446" s="519">
        <f ca="1"/>
        <v>0</v>
      </c>
      <c r="T446" s="720"/>
      <c r="U446" s="390">
        <f t="shared" si="112"/>
        <v>0</v>
      </c>
      <c r="X446" s="345">
        <v>0</v>
      </c>
      <c r="Y446" s="711">
        <f t="shared" si="103"/>
        <v>0</v>
      </c>
      <c r="Z446" s="712">
        <f>IF(X447,_xll.qDateYears(X446,X447,DCCfloat),0)</f>
        <v>0</v>
      </c>
      <c r="AA446" s="519">
        <f ca="1"/>
        <v>0</v>
      </c>
      <c r="AB446" s="890">
        <f>IF(X446=0,0,         IF(OR(CCY="AUD",CCY="NZD",CCY="GBP"),X446,   _xll.qDateNext(X446,"-2b",,,IF(CCY="EUR","TGT","LON"))))</f>
        <v>0</v>
      </c>
      <c r="AC446" s="879" t="str">
        <v/>
      </c>
      <c r="AD446" s="879" t="str">
        <v/>
      </c>
      <c r="AE446" s="879" t="str">
        <v/>
      </c>
      <c r="AF446" s="879" t="str">
        <v/>
      </c>
      <c r="AG446" s="879" t="str">
        <v/>
      </c>
      <c r="AH446" s="879" t="str">
        <v/>
      </c>
      <c r="AI446" s="879" t="str">
        <v/>
      </c>
      <c r="AJ446" s="879" t="str">
        <v/>
      </c>
      <c r="AK446" s="882">
        <f>IF($X446=0,0,      _xll.qDateNext($X446,AK$12,$AR$11,FRM&lt;&gt;"Calypso",CCY))</f>
        <v>0</v>
      </c>
      <c r="AL446" s="882">
        <f>IF($X446=0,0,      _xll.qDateNext($X446,AL$12,$AR$11,FRM&lt;&gt;"Calypso",CCY))</f>
        <v>0</v>
      </c>
      <c r="AM446" s="882">
        <f>IF($X446=0,0,      _xll.qDateNext($X446,AM$12,$AR$11,FRM&lt;&gt;"Calypso",CCY))</f>
        <v>0</v>
      </c>
      <c r="AN446" s="882">
        <f>IF($X446=0,0,      _xll.qDateNext($X446,AN$12,$AR$11,FRM&lt;&gt;"Calypso",CCY))</f>
        <v>0</v>
      </c>
      <c r="AO446" s="882">
        <f>IF($X446=0,0,      _xll.qDateNext($X446,AO$12,$AR$11,FRM&lt;&gt;"Calypso",CCY))</f>
        <v>0</v>
      </c>
      <c r="AP446" s="882">
        <f>IF($X446=0,0,      _xll.qDateNext($X446,AP$12,$AR$11,FRM&lt;&gt;"Calypso",CCY))</f>
        <v>0</v>
      </c>
      <c r="AQ446" s="882">
        <f>IF($X446=0,0,      _xll.qDateNext($X446,AQ$12,$AR$11,FRM&lt;&gt;"Calypso",CCY))</f>
        <v>0</v>
      </c>
      <c r="AR446" s="882">
        <f>IF($X446=0,0,      _xll.qDateNext($X446,AR$12,$AR$11,FRM&lt;&gt;"Calypso",CCY))</f>
        <v>0</v>
      </c>
      <c r="AS446" s="901">
        <f ca="1"/>
        <v>0</v>
      </c>
      <c r="AT446" s="901">
        <f ca="1"/>
        <v>0</v>
      </c>
      <c r="AU446" s="901">
        <f t="shared" si="113"/>
        <v>0</v>
      </c>
      <c r="AV446" s="901">
        <f ca="1"/>
        <v>0</v>
      </c>
      <c r="AW446" s="901">
        <f t="shared" si="114"/>
        <v>0</v>
      </c>
      <c r="AX446" s="901">
        <f t="shared" si="115"/>
        <v>0</v>
      </c>
      <c r="AY446" s="901">
        <f ca="1"/>
        <v>0</v>
      </c>
      <c r="AZ446" s="901">
        <f ca="1"/>
        <v>0</v>
      </c>
      <c r="BA446" s="905">
        <f t="shared" si="104"/>
        <v>0</v>
      </c>
      <c r="BB446" s="905">
        <f t="shared" si="105"/>
        <v>0</v>
      </c>
      <c r="BC446" s="905">
        <f t="shared" si="106"/>
        <v>0</v>
      </c>
      <c r="BD446" s="905">
        <f t="shared" si="107"/>
        <v>0</v>
      </c>
      <c r="BE446" s="905">
        <f t="shared" si="108"/>
        <v>0</v>
      </c>
      <c r="BF446" s="905">
        <f t="shared" si="109"/>
        <v>0</v>
      </c>
      <c r="BG446" s="905">
        <f t="shared" si="110"/>
        <v>0</v>
      </c>
      <c r="BH446" s="905">
        <f t="shared" si="111"/>
        <v>0</v>
      </c>
      <c r="BI446" s="713">
        <v>0</v>
      </c>
      <c r="BJ446" s="695"/>
      <c r="BK446" s="752">
        <f>IF(X447=0,0,           IF(ISNUMBER(BJ446),BJ446,               IF(ISTEXT(BJ446),INDEX(BA446:BH446,MATCH(BJ446,$BA$12:$BH$12,0)),             IF(BI446="INT",_xll.qInterp(X447,AK446:AR446,BA446:BH446),            INDEX(BA446:BH446,MATCH(BI446,$BA$12:$BH$12,0))))))</f>
        <v>0</v>
      </c>
      <c r="BL446" s="389">
        <f t="shared" si="116"/>
        <v>0</v>
      </c>
      <c r="BM446" s="394">
        <f t="shared" si="117"/>
        <v>0</v>
      </c>
      <c r="BN446" s="389">
        <f t="shared" si="118"/>
        <v>0</v>
      </c>
    </row>
    <row r="447" spans="16:66">
      <c r="P447" s="716">
        <v>0</v>
      </c>
      <c r="Q447" s="715">
        <f t="shared" si="102"/>
        <v>0</v>
      </c>
      <c r="R447" s="712">
        <f>IF(P448,_xll.qDateYears(P447,P448,DCCfixed),0)</f>
        <v>0</v>
      </c>
      <c r="S447" s="519">
        <f ca="1"/>
        <v>0</v>
      </c>
      <c r="T447" s="720"/>
      <c r="U447" s="390">
        <f t="shared" si="112"/>
        <v>0</v>
      </c>
      <c r="X447" s="345">
        <v>0</v>
      </c>
      <c r="Y447" s="711">
        <f t="shared" si="103"/>
        <v>0</v>
      </c>
      <c r="Z447" s="712">
        <f>IF(X448,_xll.qDateYears(X447,X448,DCCfloat),0)</f>
        <v>0</v>
      </c>
      <c r="AA447" s="519">
        <f ca="1"/>
        <v>0</v>
      </c>
      <c r="AB447" s="890">
        <f>IF(X447=0,0,         IF(OR(CCY="AUD",CCY="NZD",CCY="GBP"),X447,   _xll.qDateNext(X447,"-2b",,,IF(CCY="EUR","TGT","LON"))))</f>
        <v>0</v>
      </c>
      <c r="AC447" s="879" t="str">
        <v/>
      </c>
      <c r="AD447" s="879" t="str">
        <v/>
      </c>
      <c r="AE447" s="879" t="str">
        <v/>
      </c>
      <c r="AF447" s="879" t="str">
        <v/>
      </c>
      <c r="AG447" s="879" t="str">
        <v/>
      </c>
      <c r="AH447" s="879" t="str">
        <v/>
      </c>
      <c r="AI447" s="879" t="str">
        <v/>
      </c>
      <c r="AJ447" s="879" t="str">
        <v/>
      </c>
      <c r="AK447" s="882">
        <f>IF($X447=0,0,      _xll.qDateNext($X447,AK$12,$AR$11,FRM&lt;&gt;"Calypso",CCY))</f>
        <v>0</v>
      </c>
      <c r="AL447" s="882">
        <f>IF($X447=0,0,      _xll.qDateNext($X447,AL$12,$AR$11,FRM&lt;&gt;"Calypso",CCY))</f>
        <v>0</v>
      </c>
      <c r="AM447" s="882">
        <f>IF($X447=0,0,      _xll.qDateNext($X447,AM$12,$AR$11,FRM&lt;&gt;"Calypso",CCY))</f>
        <v>0</v>
      </c>
      <c r="AN447" s="882">
        <f>IF($X447=0,0,      _xll.qDateNext($X447,AN$12,$AR$11,FRM&lt;&gt;"Calypso",CCY))</f>
        <v>0</v>
      </c>
      <c r="AO447" s="882">
        <f>IF($X447=0,0,      _xll.qDateNext($X447,AO$12,$AR$11,FRM&lt;&gt;"Calypso",CCY))</f>
        <v>0</v>
      </c>
      <c r="AP447" s="882">
        <f>IF($X447=0,0,      _xll.qDateNext($X447,AP$12,$AR$11,FRM&lt;&gt;"Calypso",CCY))</f>
        <v>0</v>
      </c>
      <c r="AQ447" s="882">
        <f>IF($X447=0,0,      _xll.qDateNext($X447,AQ$12,$AR$11,FRM&lt;&gt;"Calypso",CCY))</f>
        <v>0</v>
      </c>
      <c r="AR447" s="882">
        <f>IF($X447=0,0,      _xll.qDateNext($X447,AR$12,$AR$11,FRM&lt;&gt;"Calypso",CCY))</f>
        <v>0</v>
      </c>
      <c r="AS447" s="901">
        <f ca="1"/>
        <v>0</v>
      </c>
      <c r="AT447" s="901">
        <f ca="1"/>
        <v>0</v>
      </c>
      <c r="AU447" s="901">
        <f t="shared" si="113"/>
        <v>0</v>
      </c>
      <c r="AV447" s="901">
        <f ca="1"/>
        <v>0</v>
      </c>
      <c r="AW447" s="901">
        <f t="shared" si="114"/>
        <v>0</v>
      </c>
      <c r="AX447" s="901">
        <f t="shared" si="115"/>
        <v>0</v>
      </c>
      <c r="AY447" s="901">
        <f ca="1"/>
        <v>0</v>
      </c>
      <c r="AZ447" s="901">
        <f ca="1"/>
        <v>0</v>
      </c>
      <c r="BA447" s="905">
        <f t="shared" si="104"/>
        <v>0</v>
      </c>
      <c r="BB447" s="905">
        <f t="shared" si="105"/>
        <v>0</v>
      </c>
      <c r="BC447" s="905">
        <f t="shared" si="106"/>
        <v>0</v>
      </c>
      <c r="BD447" s="905">
        <f t="shared" si="107"/>
        <v>0</v>
      </c>
      <c r="BE447" s="905">
        <f t="shared" si="108"/>
        <v>0</v>
      </c>
      <c r="BF447" s="905">
        <f t="shared" si="109"/>
        <v>0</v>
      </c>
      <c r="BG447" s="905">
        <f t="shared" si="110"/>
        <v>0</v>
      </c>
      <c r="BH447" s="905">
        <f t="shared" si="111"/>
        <v>0</v>
      </c>
      <c r="BI447" s="713">
        <v>0</v>
      </c>
      <c r="BJ447" s="695"/>
      <c r="BK447" s="752">
        <f>IF(X448=0,0,           IF(ISNUMBER(BJ447),BJ447,               IF(ISTEXT(BJ447),INDEX(BA447:BH447,MATCH(BJ447,$BA$12:$BH$12,0)),             IF(BI447="INT",_xll.qInterp(X448,AK447:AR447,BA447:BH447),            INDEX(BA447:BH447,MATCH(BI447,$BA$12:$BH$12,0))))))</f>
        <v>0</v>
      </c>
      <c r="BL447" s="389">
        <f t="shared" si="116"/>
        <v>0</v>
      </c>
      <c r="BM447" s="394">
        <f t="shared" si="117"/>
        <v>0</v>
      </c>
      <c r="BN447" s="389">
        <f t="shared" si="118"/>
        <v>0</v>
      </c>
    </row>
    <row r="448" spans="16:66">
      <c r="P448" s="716">
        <v>0</v>
      </c>
      <c r="Q448" s="715">
        <f t="shared" si="102"/>
        <v>0</v>
      </c>
      <c r="R448" s="712">
        <f>IF(P449,_xll.qDateYears(P448,P449,DCCfixed),0)</f>
        <v>0</v>
      </c>
      <c r="S448" s="519">
        <f ca="1"/>
        <v>0</v>
      </c>
      <c r="T448" s="720"/>
      <c r="U448" s="390">
        <f t="shared" si="112"/>
        <v>0</v>
      </c>
      <c r="X448" s="345">
        <v>0</v>
      </c>
      <c r="Y448" s="711">
        <f t="shared" si="103"/>
        <v>0</v>
      </c>
      <c r="Z448" s="712">
        <f>IF(X449,_xll.qDateYears(X448,X449,DCCfloat),0)</f>
        <v>0</v>
      </c>
      <c r="AA448" s="519">
        <f ca="1"/>
        <v>0</v>
      </c>
      <c r="AB448" s="890">
        <f>IF(X448=0,0,         IF(OR(CCY="AUD",CCY="NZD",CCY="GBP"),X448,   _xll.qDateNext(X448,"-2b",,,IF(CCY="EUR","TGT","LON"))))</f>
        <v>0</v>
      </c>
      <c r="AC448" s="879" t="str">
        <v/>
      </c>
      <c r="AD448" s="879" t="str">
        <v/>
      </c>
      <c r="AE448" s="879" t="str">
        <v/>
      </c>
      <c r="AF448" s="879" t="str">
        <v/>
      </c>
      <c r="AG448" s="879" t="str">
        <v/>
      </c>
      <c r="AH448" s="879" t="str">
        <v/>
      </c>
      <c r="AI448" s="879" t="str">
        <v/>
      </c>
      <c r="AJ448" s="879" t="str">
        <v/>
      </c>
      <c r="AK448" s="882">
        <f>IF($X448=0,0,      _xll.qDateNext($X448,AK$12,$AR$11,FRM&lt;&gt;"Calypso",CCY))</f>
        <v>0</v>
      </c>
      <c r="AL448" s="882">
        <f>IF($X448=0,0,      _xll.qDateNext($X448,AL$12,$AR$11,FRM&lt;&gt;"Calypso",CCY))</f>
        <v>0</v>
      </c>
      <c r="AM448" s="882">
        <f>IF($X448=0,0,      _xll.qDateNext($X448,AM$12,$AR$11,FRM&lt;&gt;"Calypso",CCY))</f>
        <v>0</v>
      </c>
      <c r="AN448" s="882">
        <f>IF($X448=0,0,      _xll.qDateNext($X448,AN$12,$AR$11,FRM&lt;&gt;"Calypso",CCY))</f>
        <v>0</v>
      </c>
      <c r="AO448" s="882">
        <f>IF($X448=0,0,      _xll.qDateNext($X448,AO$12,$AR$11,FRM&lt;&gt;"Calypso",CCY))</f>
        <v>0</v>
      </c>
      <c r="AP448" s="882">
        <f>IF($X448=0,0,      _xll.qDateNext($X448,AP$12,$AR$11,FRM&lt;&gt;"Calypso",CCY))</f>
        <v>0</v>
      </c>
      <c r="AQ448" s="882">
        <f>IF($X448=0,0,      _xll.qDateNext($X448,AQ$12,$AR$11,FRM&lt;&gt;"Calypso",CCY))</f>
        <v>0</v>
      </c>
      <c r="AR448" s="882">
        <f>IF($X448=0,0,      _xll.qDateNext($X448,AR$12,$AR$11,FRM&lt;&gt;"Calypso",CCY))</f>
        <v>0</v>
      </c>
      <c r="AS448" s="901">
        <f ca="1"/>
        <v>0</v>
      </c>
      <c r="AT448" s="901">
        <f ca="1"/>
        <v>0</v>
      </c>
      <c r="AU448" s="901">
        <f t="shared" si="113"/>
        <v>0</v>
      </c>
      <c r="AV448" s="901">
        <f ca="1"/>
        <v>0</v>
      </c>
      <c r="AW448" s="901">
        <f t="shared" si="114"/>
        <v>0</v>
      </c>
      <c r="AX448" s="901">
        <f t="shared" si="115"/>
        <v>0</v>
      </c>
      <c r="AY448" s="901">
        <f ca="1"/>
        <v>0</v>
      </c>
      <c r="AZ448" s="901">
        <f ca="1"/>
        <v>0</v>
      </c>
      <c r="BA448" s="905">
        <f t="shared" si="104"/>
        <v>0</v>
      </c>
      <c r="BB448" s="905">
        <f t="shared" si="105"/>
        <v>0</v>
      </c>
      <c r="BC448" s="905">
        <f t="shared" si="106"/>
        <v>0</v>
      </c>
      <c r="BD448" s="905">
        <f t="shared" si="107"/>
        <v>0</v>
      </c>
      <c r="BE448" s="905">
        <f t="shared" si="108"/>
        <v>0</v>
      </c>
      <c r="BF448" s="905">
        <f t="shared" si="109"/>
        <v>0</v>
      </c>
      <c r="BG448" s="905">
        <f t="shared" si="110"/>
        <v>0</v>
      </c>
      <c r="BH448" s="905">
        <f t="shared" si="111"/>
        <v>0</v>
      </c>
      <c r="BI448" s="713">
        <v>0</v>
      </c>
      <c r="BJ448" s="695"/>
      <c r="BK448" s="752">
        <f>IF(X449=0,0,           IF(ISNUMBER(BJ448),BJ448,               IF(ISTEXT(BJ448),INDEX(BA448:BH448,MATCH(BJ448,$BA$12:$BH$12,0)),             IF(BI448="INT",_xll.qInterp(X449,AK448:AR448,BA448:BH448),            INDEX(BA448:BH448,MATCH(BI448,$BA$12:$BH$12,0))))))</f>
        <v>0</v>
      </c>
      <c r="BL448" s="389">
        <f t="shared" si="116"/>
        <v>0</v>
      </c>
      <c r="BM448" s="394">
        <f t="shared" si="117"/>
        <v>0</v>
      </c>
      <c r="BN448" s="389">
        <f t="shared" si="118"/>
        <v>0</v>
      </c>
    </row>
    <row r="449" spans="16:66">
      <c r="P449" s="716">
        <v>0</v>
      </c>
      <c r="Q449" s="715">
        <f t="shared" si="102"/>
        <v>0</v>
      </c>
      <c r="R449" s="712">
        <f>IF(P450,_xll.qDateYears(P449,P450,DCCfixed),0)</f>
        <v>0</v>
      </c>
      <c r="S449" s="519">
        <f ca="1"/>
        <v>0</v>
      </c>
      <c r="T449" s="720"/>
      <c r="U449" s="390">
        <f t="shared" si="112"/>
        <v>0</v>
      </c>
      <c r="X449" s="345">
        <v>0</v>
      </c>
      <c r="Y449" s="711">
        <f t="shared" si="103"/>
        <v>0</v>
      </c>
      <c r="Z449" s="712">
        <f>IF(X450,_xll.qDateYears(X449,X450,DCCfloat),0)</f>
        <v>0</v>
      </c>
      <c r="AA449" s="519">
        <f ca="1"/>
        <v>0</v>
      </c>
      <c r="AB449" s="890">
        <f>IF(X449=0,0,         IF(OR(CCY="AUD",CCY="NZD",CCY="GBP"),X449,   _xll.qDateNext(X449,"-2b",,,IF(CCY="EUR","TGT","LON"))))</f>
        <v>0</v>
      </c>
      <c r="AC449" s="879" t="str">
        <v/>
      </c>
      <c r="AD449" s="879" t="str">
        <v/>
      </c>
      <c r="AE449" s="879" t="str">
        <v/>
      </c>
      <c r="AF449" s="879" t="str">
        <v/>
      </c>
      <c r="AG449" s="879" t="str">
        <v/>
      </c>
      <c r="AH449" s="879" t="str">
        <v/>
      </c>
      <c r="AI449" s="879" t="str">
        <v/>
      </c>
      <c r="AJ449" s="879" t="str">
        <v/>
      </c>
      <c r="AK449" s="882">
        <f>IF($X449=0,0,      _xll.qDateNext($X449,AK$12,$AR$11,FRM&lt;&gt;"Calypso",CCY))</f>
        <v>0</v>
      </c>
      <c r="AL449" s="882">
        <f>IF($X449=0,0,      _xll.qDateNext($X449,AL$12,$AR$11,FRM&lt;&gt;"Calypso",CCY))</f>
        <v>0</v>
      </c>
      <c r="AM449" s="882">
        <f>IF($X449=0,0,      _xll.qDateNext($X449,AM$12,$AR$11,FRM&lt;&gt;"Calypso",CCY))</f>
        <v>0</v>
      </c>
      <c r="AN449" s="882">
        <f>IF($X449=0,0,      _xll.qDateNext($X449,AN$12,$AR$11,FRM&lt;&gt;"Calypso",CCY))</f>
        <v>0</v>
      </c>
      <c r="AO449" s="882">
        <f>IF($X449=0,0,      _xll.qDateNext($X449,AO$12,$AR$11,FRM&lt;&gt;"Calypso",CCY))</f>
        <v>0</v>
      </c>
      <c r="AP449" s="882">
        <f>IF($X449=0,0,      _xll.qDateNext($X449,AP$12,$AR$11,FRM&lt;&gt;"Calypso",CCY))</f>
        <v>0</v>
      </c>
      <c r="AQ449" s="882">
        <f>IF($X449=0,0,      _xll.qDateNext($X449,AQ$12,$AR$11,FRM&lt;&gt;"Calypso",CCY))</f>
        <v>0</v>
      </c>
      <c r="AR449" s="882">
        <f>IF($X449=0,0,      _xll.qDateNext($X449,AR$12,$AR$11,FRM&lt;&gt;"Calypso",CCY))</f>
        <v>0</v>
      </c>
      <c r="AS449" s="901">
        <f ca="1"/>
        <v>0</v>
      </c>
      <c r="AT449" s="901">
        <f ca="1"/>
        <v>0</v>
      </c>
      <c r="AU449" s="901">
        <f t="shared" si="113"/>
        <v>0</v>
      </c>
      <c r="AV449" s="901">
        <f ca="1"/>
        <v>0</v>
      </c>
      <c r="AW449" s="901">
        <f t="shared" si="114"/>
        <v>0</v>
      </c>
      <c r="AX449" s="901">
        <f t="shared" si="115"/>
        <v>0</v>
      </c>
      <c r="AY449" s="901">
        <f ca="1"/>
        <v>0</v>
      </c>
      <c r="AZ449" s="901">
        <f ca="1"/>
        <v>0</v>
      </c>
      <c r="BA449" s="905">
        <f t="shared" si="104"/>
        <v>0</v>
      </c>
      <c r="BB449" s="905">
        <f t="shared" si="105"/>
        <v>0</v>
      </c>
      <c r="BC449" s="905">
        <f t="shared" si="106"/>
        <v>0</v>
      </c>
      <c r="BD449" s="905">
        <f t="shared" si="107"/>
        <v>0</v>
      </c>
      <c r="BE449" s="905">
        <f t="shared" si="108"/>
        <v>0</v>
      </c>
      <c r="BF449" s="905">
        <f t="shared" si="109"/>
        <v>0</v>
      </c>
      <c r="BG449" s="905">
        <f t="shared" si="110"/>
        <v>0</v>
      </c>
      <c r="BH449" s="905">
        <f t="shared" si="111"/>
        <v>0</v>
      </c>
      <c r="BI449" s="713">
        <v>0</v>
      </c>
      <c r="BJ449" s="695"/>
      <c r="BK449" s="752">
        <f>IF(X450=0,0,           IF(ISNUMBER(BJ449),BJ449,               IF(ISTEXT(BJ449),INDEX(BA449:BH449,MATCH(BJ449,$BA$12:$BH$12,0)),             IF(BI449="INT",_xll.qInterp(X450,AK449:AR449,BA449:BH449),            INDEX(BA449:BH449,MATCH(BI449,$BA$12:$BH$12,0))))))</f>
        <v>0</v>
      </c>
      <c r="BL449" s="389">
        <f t="shared" si="116"/>
        <v>0</v>
      </c>
      <c r="BM449" s="394">
        <f t="shared" si="117"/>
        <v>0</v>
      </c>
      <c r="BN449" s="389">
        <f t="shared" si="118"/>
        <v>0</v>
      </c>
    </row>
    <row r="450" spans="16:66">
      <c r="P450" s="716">
        <v>0</v>
      </c>
      <c r="Q450" s="715">
        <f t="shared" si="102"/>
        <v>0</v>
      </c>
      <c r="R450" s="712">
        <f>IF(P451,_xll.qDateYears(P450,P451,DCCfixed),0)</f>
        <v>0</v>
      </c>
      <c r="S450" s="519">
        <f ca="1"/>
        <v>0</v>
      </c>
      <c r="T450" s="720"/>
      <c r="U450" s="390">
        <f t="shared" si="112"/>
        <v>0</v>
      </c>
      <c r="X450" s="345">
        <v>0</v>
      </c>
      <c r="Y450" s="711">
        <f t="shared" si="103"/>
        <v>0</v>
      </c>
      <c r="Z450" s="712">
        <f>IF(X451,_xll.qDateYears(X450,X451,DCCfloat),0)</f>
        <v>0</v>
      </c>
      <c r="AA450" s="519">
        <f ca="1"/>
        <v>0</v>
      </c>
      <c r="AB450" s="890">
        <f>IF(X450=0,0,         IF(OR(CCY="AUD",CCY="NZD",CCY="GBP"),X450,   _xll.qDateNext(X450,"-2b",,,IF(CCY="EUR","TGT","LON"))))</f>
        <v>0</v>
      </c>
      <c r="AC450" s="879" t="str">
        <v/>
      </c>
      <c r="AD450" s="879" t="str">
        <v/>
      </c>
      <c r="AE450" s="879" t="str">
        <v/>
      </c>
      <c r="AF450" s="879" t="str">
        <v/>
      </c>
      <c r="AG450" s="879" t="str">
        <v/>
      </c>
      <c r="AH450" s="879" t="str">
        <v/>
      </c>
      <c r="AI450" s="879" t="str">
        <v/>
      </c>
      <c r="AJ450" s="879" t="str">
        <v/>
      </c>
      <c r="AK450" s="882">
        <f>IF($X450=0,0,      _xll.qDateNext($X450,AK$12,$AR$11,FRM&lt;&gt;"Calypso",CCY))</f>
        <v>0</v>
      </c>
      <c r="AL450" s="882">
        <f>IF($X450=0,0,      _xll.qDateNext($X450,AL$12,$AR$11,FRM&lt;&gt;"Calypso",CCY))</f>
        <v>0</v>
      </c>
      <c r="AM450" s="882">
        <f>IF($X450=0,0,      _xll.qDateNext($X450,AM$12,$AR$11,FRM&lt;&gt;"Calypso",CCY))</f>
        <v>0</v>
      </c>
      <c r="AN450" s="882">
        <f>IF($X450=0,0,      _xll.qDateNext($X450,AN$12,$AR$11,FRM&lt;&gt;"Calypso",CCY))</f>
        <v>0</v>
      </c>
      <c r="AO450" s="882">
        <f>IF($X450=0,0,      _xll.qDateNext($X450,AO$12,$AR$11,FRM&lt;&gt;"Calypso",CCY))</f>
        <v>0</v>
      </c>
      <c r="AP450" s="882">
        <f>IF($X450=0,0,      _xll.qDateNext($X450,AP$12,$AR$11,FRM&lt;&gt;"Calypso",CCY))</f>
        <v>0</v>
      </c>
      <c r="AQ450" s="882">
        <f>IF($X450=0,0,      _xll.qDateNext($X450,AQ$12,$AR$11,FRM&lt;&gt;"Calypso",CCY))</f>
        <v>0</v>
      </c>
      <c r="AR450" s="882">
        <f>IF($X450=0,0,      _xll.qDateNext($X450,AR$12,$AR$11,FRM&lt;&gt;"Calypso",CCY))</f>
        <v>0</v>
      </c>
      <c r="AS450" s="901">
        <f ca="1"/>
        <v>0</v>
      </c>
      <c r="AT450" s="901">
        <f ca="1"/>
        <v>0</v>
      </c>
      <c r="AU450" s="901">
        <f t="shared" si="113"/>
        <v>0</v>
      </c>
      <c r="AV450" s="901">
        <f ca="1"/>
        <v>0</v>
      </c>
      <c r="AW450" s="901">
        <f t="shared" si="114"/>
        <v>0</v>
      </c>
      <c r="AX450" s="901">
        <f t="shared" si="115"/>
        <v>0</v>
      </c>
      <c r="AY450" s="901">
        <f ca="1"/>
        <v>0</v>
      </c>
      <c r="AZ450" s="901">
        <f ca="1"/>
        <v>0</v>
      </c>
      <c r="BA450" s="905">
        <f t="shared" si="104"/>
        <v>0</v>
      </c>
      <c r="BB450" s="905">
        <f t="shared" si="105"/>
        <v>0</v>
      </c>
      <c r="BC450" s="905">
        <f t="shared" si="106"/>
        <v>0</v>
      </c>
      <c r="BD450" s="905">
        <f t="shared" si="107"/>
        <v>0</v>
      </c>
      <c r="BE450" s="905">
        <f t="shared" si="108"/>
        <v>0</v>
      </c>
      <c r="BF450" s="905">
        <f t="shared" si="109"/>
        <v>0</v>
      </c>
      <c r="BG450" s="905">
        <f t="shared" si="110"/>
        <v>0</v>
      </c>
      <c r="BH450" s="905">
        <f t="shared" si="111"/>
        <v>0</v>
      </c>
      <c r="BI450" s="713">
        <v>0</v>
      </c>
      <c r="BJ450" s="695"/>
      <c r="BK450" s="752">
        <f>IF(X451=0,0,           IF(ISNUMBER(BJ450),BJ450,               IF(ISTEXT(BJ450),INDEX(BA450:BH450,MATCH(BJ450,$BA$12:$BH$12,0)),             IF(BI450="INT",_xll.qInterp(X451,AK450:AR450,BA450:BH450),            INDEX(BA450:BH450,MATCH(BI450,$BA$12:$BH$12,0))))))</f>
        <v>0</v>
      </c>
      <c r="BL450" s="389">
        <f t="shared" si="116"/>
        <v>0</v>
      </c>
      <c r="BM450" s="394">
        <f t="shared" si="117"/>
        <v>0</v>
      </c>
      <c r="BN450" s="389">
        <f t="shared" si="118"/>
        <v>0</v>
      </c>
    </row>
    <row r="451" spans="16:66">
      <c r="P451" s="716">
        <v>0</v>
      </c>
      <c r="Q451" s="715">
        <f t="shared" si="102"/>
        <v>0</v>
      </c>
      <c r="R451" s="712">
        <f>IF(P452,_xll.qDateYears(P451,P452,DCCfixed),0)</f>
        <v>0</v>
      </c>
      <c r="S451" s="519">
        <f ca="1"/>
        <v>0</v>
      </c>
      <c r="T451" s="720"/>
      <c r="U451" s="390">
        <f t="shared" si="112"/>
        <v>0</v>
      </c>
      <c r="X451" s="345">
        <v>0</v>
      </c>
      <c r="Y451" s="711">
        <f t="shared" si="103"/>
        <v>0</v>
      </c>
      <c r="Z451" s="712">
        <f>IF(X452,_xll.qDateYears(X451,X452,DCCfloat),0)</f>
        <v>0</v>
      </c>
      <c r="AA451" s="519">
        <f ca="1"/>
        <v>0</v>
      </c>
      <c r="AB451" s="890">
        <f>IF(X451=0,0,         IF(OR(CCY="AUD",CCY="NZD",CCY="GBP"),X451,   _xll.qDateNext(X451,"-2b",,,IF(CCY="EUR","TGT","LON"))))</f>
        <v>0</v>
      </c>
      <c r="AC451" s="879" t="str">
        <v/>
      </c>
      <c r="AD451" s="879" t="str">
        <v/>
      </c>
      <c r="AE451" s="879" t="str">
        <v/>
      </c>
      <c r="AF451" s="879" t="str">
        <v/>
      </c>
      <c r="AG451" s="879" t="str">
        <v/>
      </c>
      <c r="AH451" s="879" t="str">
        <v/>
      </c>
      <c r="AI451" s="879" t="str">
        <v/>
      </c>
      <c r="AJ451" s="879" t="str">
        <v/>
      </c>
      <c r="AK451" s="882">
        <f>IF($X451=0,0,      _xll.qDateNext($X451,AK$12,$AR$11,FRM&lt;&gt;"Calypso",CCY))</f>
        <v>0</v>
      </c>
      <c r="AL451" s="882">
        <f>IF($X451=0,0,      _xll.qDateNext($X451,AL$12,$AR$11,FRM&lt;&gt;"Calypso",CCY))</f>
        <v>0</v>
      </c>
      <c r="AM451" s="882">
        <f>IF($X451=0,0,      _xll.qDateNext($X451,AM$12,$AR$11,FRM&lt;&gt;"Calypso",CCY))</f>
        <v>0</v>
      </c>
      <c r="AN451" s="882">
        <f>IF($X451=0,0,      _xll.qDateNext($X451,AN$12,$AR$11,FRM&lt;&gt;"Calypso",CCY))</f>
        <v>0</v>
      </c>
      <c r="AO451" s="882">
        <f>IF($X451=0,0,      _xll.qDateNext($X451,AO$12,$AR$11,FRM&lt;&gt;"Calypso",CCY))</f>
        <v>0</v>
      </c>
      <c r="AP451" s="882">
        <f>IF($X451=0,0,      _xll.qDateNext($X451,AP$12,$AR$11,FRM&lt;&gt;"Calypso",CCY))</f>
        <v>0</v>
      </c>
      <c r="AQ451" s="882">
        <f>IF($X451=0,0,      _xll.qDateNext($X451,AQ$12,$AR$11,FRM&lt;&gt;"Calypso",CCY))</f>
        <v>0</v>
      </c>
      <c r="AR451" s="882">
        <f>IF($X451=0,0,      _xll.qDateNext($X451,AR$12,$AR$11,FRM&lt;&gt;"Calypso",CCY))</f>
        <v>0</v>
      </c>
      <c r="AS451" s="901">
        <f ca="1"/>
        <v>0</v>
      </c>
      <c r="AT451" s="901">
        <f ca="1"/>
        <v>0</v>
      </c>
      <c r="AU451" s="901">
        <f t="shared" si="113"/>
        <v>0</v>
      </c>
      <c r="AV451" s="901">
        <f ca="1"/>
        <v>0</v>
      </c>
      <c r="AW451" s="901">
        <f t="shared" si="114"/>
        <v>0</v>
      </c>
      <c r="AX451" s="901">
        <f t="shared" si="115"/>
        <v>0</v>
      </c>
      <c r="AY451" s="901">
        <f ca="1"/>
        <v>0</v>
      </c>
      <c r="AZ451" s="901">
        <f ca="1"/>
        <v>0</v>
      </c>
      <c r="BA451" s="905">
        <f t="shared" si="104"/>
        <v>0</v>
      </c>
      <c r="BB451" s="905">
        <f t="shared" si="105"/>
        <v>0</v>
      </c>
      <c r="BC451" s="905">
        <f t="shared" si="106"/>
        <v>0</v>
      </c>
      <c r="BD451" s="905">
        <f t="shared" si="107"/>
        <v>0</v>
      </c>
      <c r="BE451" s="905">
        <f t="shared" si="108"/>
        <v>0</v>
      </c>
      <c r="BF451" s="905">
        <f t="shared" si="109"/>
        <v>0</v>
      </c>
      <c r="BG451" s="905">
        <f t="shared" si="110"/>
        <v>0</v>
      </c>
      <c r="BH451" s="905">
        <f t="shared" si="111"/>
        <v>0</v>
      </c>
      <c r="BI451" s="713">
        <v>0</v>
      </c>
      <c r="BJ451" s="695"/>
      <c r="BK451" s="752">
        <f>IF(X452=0,0,           IF(ISNUMBER(BJ451),BJ451,               IF(ISTEXT(BJ451),INDEX(BA451:BH451,MATCH(BJ451,$BA$12:$BH$12,0)),             IF(BI451="INT",_xll.qInterp(X452,AK451:AR451,BA451:BH451),            INDEX(BA451:BH451,MATCH(BI451,$BA$12:$BH$12,0))))))</f>
        <v>0</v>
      </c>
      <c r="BL451" s="389">
        <f t="shared" si="116"/>
        <v>0</v>
      </c>
      <c r="BM451" s="394">
        <f t="shared" si="117"/>
        <v>0</v>
      </c>
      <c r="BN451" s="389">
        <f t="shared" si="118"/>
        <v>0</v>
      </c>
    </row>
    <row r="452" spans="16:66">
      <c r="P452" s="716">
        <v>0</v>
      </c>
      <c r="Q452" s="715">
        <f t="shared" si="102"/>
        <v>0</v>
      </c>
      <c r="R452" s="712">
        <f>IF(P453,_xll.qDateYears(P452,P453,DCCfixed),0)</f>
        <v>0</v>
      </c>
      <c r="S452" s="519">
        <f ca="1"/>
        <v>0</v>
      </c>
      <c r="T452" s="720"/>
      <c r="U452" s="390">
        <f t="shared" si="112"/>
        <v>0</v>
      </c>
      <c r="X452" s="345">
        <v>0</v>
      </c>
      <c r="Y452" s="711">
        <f t="shared" si="103"/>
        <v>0</v>
      </c>
      <c r="Z452" s="712">
        <f>IF(X453,_xll.qDateYears(X452,X453,DCCfloat),0)</f>
        <v>0</v>
      </c>
      <c r="AA452" s="519">
        <f ca="1"/>
        <v>0</v>
      </c>
      <c r="AB452" s="890">
        <f>IF(X452=0,0,         IF(OR(CCY="AUD",CCY="NZD",CCY="GBP"),X452,   _xll.qDateNext(X452,"-2b",,,IF(CCY="EUR","TGT","LON"))))</f>
        <v>0</v>
      </c>
      <c r="AC452" s="879" t="str">
        <v/>
      </c>
      <c r="AD452" s="879" t="str">
        <v/>
      </c>
      <c r="AE452" s="879" t="str">
        <v/>
      </c>
      <c r="AF452" s="879" t="str">
        <v/>
      </c>
      <c r="AG452" s="879" t="str">
        <v/>
      </c>
      <c r="AH452" s="879" t="str">
        <v/>
      </c>
      <c r="AI452" s="879" t="str">
        <v/>
      </c>
      <c r="AJ452" s="879" t="str">
        <v/>
      </c>
      <c r="AK452" s="882">
        <f>IF($X452=0,0,      _xll.qDateNext($X452,AK$12,$AR$11,FRM&lt;&gt;"Calypso",CCY))</f>
        <v>0</v>
      </c>
      <c r="AL452" s="882">
        <f>IF($X452=0,0,      _xll.qDateNext($X452,AL$12,$AR$11,FRM&lt;&gt;"Calypso",CCY))</f>
        <v>0</v>
      </c>
      <c r="AM452" s="882">
        <f>IF($X452=0,0,      _xll.qDateNext($X452,AM$12,$AR$11,FRM&lt;&gt;"Calypso",CCY))</f>
        <v>0</v>
      </c>
      <c r="AN452" s="882">
        <f>IF($X452=0,0,      _xll.qDateNext($X452,AN$12,$AR$11,FRM&lt;&gt;"Calypso",CCY))</f>
        <v>0</v>
      </c>
      <c r="AO452" s="882">
        <f>IF($X452=0,0,      _xll.qDateNext($X452,AO$12,$AR$11,FRM&lt;&gt;"Calypso",CCY))</f>
        <v>0</v>
      </c>
      <c r="AP452" s="882">
        <f>IF($X452=0,0,      _xll.qDateNext($X452,AP$12,$AR$11,FRM&lt;&gt;"Calypso",CCY))</f>
        <v>0</v>
      </c>
      <c r="AQ452" s="882">
        <f>IF($X452=0,0,      _xll.qDateNext($X452,AQ$12,$AR$11,FRM&lt;&gt;"Calypso",CCY))</f>
        <v>0</v>
      </c>
      <c r="AR452" s="882">
        <f>IF($X452=0,0,      _xll.qDateNext($X452,AR$12,$AR$11,FRM&lt;&gt;"Calypso",CCY))</f>
        <v>0</v>
      </c>
      <c r="AS452" s="901">
        <f ca="1"/>
        <v>0</v>
      </c>
      <c r="AT452" s="901">
        <f ca="1"/>
        <v>0</v>
      </c>
      <c r="AU452" s="901">
        <f t="shared" si="113"/>
        <v>0</v>
      </c>
      <c r="AV452" s="901">
        <f ca="1"/>
        <v>0</v>
      </c>
      <c r="AW452" s="901">
        <f t="shared" si="114"/>
        <v>0</v>
      </c>
      <c r="AX452" s="901">
        <f t="shared" si="115"/>
        <v>0</v>
      </c>
      <c r="AY452" s="901">
        <f ca="1"/>
        <v>0</v>
      </c>
      <c r="AZ452" s="901">
        <f ca="1"/>
        <v>0</v>
      </c>
      <c r="BA452" s="905">
        <f t="shared" si="104"/>
        <v>0</v>
      </c>
      <c r="BB452" s="905">
        <f t="shared" si="105"/>
        <v>0</v>
      </c>
      <c r="BC452" s="905">
        <f t="shared" si="106"/>
        <v>0</v>
      </c>
      <c r="BD452" s="905">
        <f t="shared" si="107"/>
        <v>0</v>
      </c>
      <c r="BE452" s="905">
        <f t="shared" si="108"/>
        <v>0</v>
      </c>
      <c r="BF452" s="905">
        <f t="shared" si="109"/>
        <v>0</v>
      </c>
      <c r="BG452" s="905">
        <f t="shared" si="110"/>
        <v>0</v>
      </c>
      <c r="BH452" s="905">
        <f t="shared" si="111"/>
        <v>0</v>
      </c>
      <c r="BI452" s="713">
        <v>0</v>
      </c>
      <c r="BJ452" s="695"/>
      <c r="BK452" s="752">
        <f>IF(X453=0,0,           IF(ISNUMBER(BJ452),BJ452,               IF(ISTEXT(BJ452),INDEX(BA452:BH452,MATCH(BJ452,$BA$12:$BH$12,0)),             IF(BI452="INT",_xll.qInterp(X453,AK452:AR452,BA452:BH452),            INDEX(BA452:BH452,MATCH(BI452,$BA$12:$BH$12,0))))))</f>
        <v>0</v>
      </c>
      <c r="BL452" s="389">
        <f t="shared" si="116"/>
        <v>0</v>
      </c>
      <c r="BM452" s="394">
        <f t="shared" si="117"/>
        <v>0</v>
      </c>
      <c r="BN452" s="389">
        <f t="shared" si="118"/>
        <v>0</v>
      </c>
    </row>
    <row r="453" spans="16:66">
      <c r="P453" s="716">
        <v>0</v>
      </c>
      <c r="Q453" s="715">
        <f t="shared" si="102"/>
        <v>0</v>
      </c>
      <c r="R453" s="712">
        <f>IF(P454,_xll.qDateYears(P453,P454,DCCfixed),0)</f>
        <v>0</v>
      </c>
      <c r="S453" s="519">
        <f ca="1"/>
        <v>0</v>
      </c>
      <c r="T453" s="720"/>
      <c r="U453" s="390">
        <f t="shared" si="112"/>
        <v>0</v>
      </c>
      <c r="X453" s="345">
        <v>0</v>
      </c>
      <c r="Y453" s="711">
        <f t="shared" si="103"/>
        <v>0</v>
      </c>
      <c r="Z453" s="712">
        <f>IF(X454,_xll.qDateYears(X453,X454,DCCfloat),0)</f>
        <v>0</v>
      </c>
      <c r="AA453" s="519">
        <f ca="1"/>
        <v>0</v>
      </c>
      <c r="AB453" s="890">
        <f>IF(X453=0,0,         IF(OR(CCY="AUD",CCY="NZD",CCY="GBP"),X453,   _xll.qDateNext(X453,"-2b",,,IF(CCY="EUR","TGT","LON"))))</f>
        <v>0</v>
      </c>
      <c r="AC453" s="879" t="str">
        <v/>
      </c>
      <c r="AD453" s="879" t="str">
        <v/>
      </c>
      <c r="AE453" s="879" t="str">
        <v/>
      </c>
      <c r="AF453" s="879" t="str">
        <v/>
      </c>
      <c r="AG453" s="879" t="str">
        <v/>
      </c>
      <c r="AH453" s="879" t="str">
        <v/>
      </c>
      <c r="AI453" s="879" t="str">
        <v/>
      </c>
      <c r="AJ453" s="879" t="str">
        <v/>
      </c>
      <c r="AK453" s="882">
        <f>IF($X453=0,0,      _xll.qDateNext($X453,AK$12,$AR$11,FRM&lt;&gt;"Calypso",CCY))</f>
        <v>0</v>
      </c>
      <c r="AL453" s="882">
        <f>IF($X453=0,0,      _xll.qDateNext($X453,AL$12,$AR$11,FRM&lt;&gt;"Calypso",CCY))</f>
        <v>0</v>
      </c>
      <c r="AM453" s="882">
        <f>IF($X453=0,0,      _xll.qDateNext($X453,AM$12,$AR$11,FRM&lt;&gt;"Calypso",CCY))</f>
        <v>0</v>
      </c>
      <c r="AN453" s="882">
        <f>IF($X453=0,0,      _xll.qDateNext($X453,AN$12,$AR$11,FRM&lt;&gt;"Calypso",CCY))</f>
        <v>0</v>
      </c>
      <c r="AO453" s="882">
        <f>IF($X453=0,0,      _xll.qDateNext($X453,AO$12,$AR$11,FRM&lt;&gt;"Calypso",CCY))</f>
        <v>0</v>
      </c>
      <c r="AP453" s="882">
        <f>IF($X453=0,0,      _xll.qDateNext($X453,AP$12,$AR$11,FRM&lt;&gt;"Calypso",CCY))</f>
        <v>0</v>
      </c>
      <c r="AQ453" s="882">
        <f>IF($X453=0,0,      _xll.qDateNext($X453,AQ$12,$AR$11,FRM&lt;&gt;"Calypso",CCY))</f>
        <v>0</v>
      </c>
      <c r="AR453" s="882">
        <f>IF($X453=0,0,      _xll.qDateNext($X453,AR$12,$AR$11,FRM&lt;&gt;"Calypso",CCY))</f>
        <v>0</v>
      </c>
      <c r="AS453" s="901">
        <f ca="1"/>
        <v>0</v>
      </c>
      <c r="AT453" s="901">
        <f ca="1"/>
        <v>0</v>
      </c>
      <c r="AU453" s="901">
        <f t="shared" si="113"/>
        <v>0</v>
      </c>
      <c r="AV453" s="901">
        <f ca="1"/>
        <v>0</v>
      </c>
      <c r="AW453" s="901">
        <f t="shared" si="114"/>
        <v>0</v>
      </c>
      <c r="AX453" s="901">
        <f t="shared" si="115"/>
        <v>0</v>
      </c>
      <c r="AY453" s="901">
        <f ca="1"/>
        <v>0</v>
      </c>
      <c r="AZ453" s="901">
        <f ca="1"/>
        <v>0</v>
      </c>
      <c r="BA453" s="905">
        <f t="shared" si="104"/>
        <v>0</v>
      </c>
      <c r="BB453" s="905">
        <f t="shared" si="105"/>
        <v>0</v>
      </c>
      <c r="BC453" s="905">
        <f t="shared" si="106"/>
        <v>0</v>
      </c>
      <c r="BD453" s="905">
        <f t="shared" si="107"/>
        <v>0</v>
      </c>
      <c r="BE453" s="905">
        <f t="shared" si="108"/>
        <v>0</v>
      </c>
      <c r="BF453" s="905">
        <f t="shared" si="109"/>
        <v>0</v>
      </c>
      <c r="BG453" s="905">
        <f t="shared" si="110"/>
        <v>0</v>
      </c>
      <c r="BH453" s="905">
        <f t="shared" si="111"/>
        <v>0</v>
      </c>
      <c r="BI453" s="713">
        <v>0</v>
      </c>
      <c r="BJ453" s="695"/>
      <c r="BK453" s="752">
        <f>IF(X454=0,0,           IF(ISNUMBER(BJ453),BJ453,               IF(ISTEXT(BJ453),INDEX(BA453:BH453,MATCH(BJ453,$BA$12:$BH$12,0)),             IF(BI453="INT",_xll.qInterp(X454,AK453:AR453,BA453:BH453),            INDEX(BA453:BH453,MATCH(BI453,$BA$12:$BH$12,0))))))</f>
        <v>0</v>
      </c>
      <c r="BL453" s="389">
        <f t="shared" si="116"/>
        <v>0</v>
      </c>
      <c r="BM453" s="394">
        <f t="shared" si="117"/>
        <v>0</v>
      </c>
      <c r="BN453" s="389">
        <f t="shared" si="118"/>
        <v>0</v>
      </c>
    </row>
    <row r="454" spans="16:66">
      <c r="P454" s="716">
        <v>0</v>
      </c>
      <c r="Q454" s="715">
        <f t="shared" si="102"/>
        <v>0</v>
      </c>
      <c r="R454" s="712">
        <f>IF(P455,_xll.qDateYears(P454,P455,DCCfixed),0)</f>
        <v>0</v>
      </c>
      <c r="S454" s="519">
        <f ca="1"/>
        <v>0</v>
      </c>
      <c r="T454" s="720"/>
      <c r="U454" s="390">
        <f t="shared" si="112"/>
        <v>0</v>
      </c>
      <c r="X454" s="345">
        <v>0</v>
      </c>
      <c r="Y454" s="711">
        <f t="shared" si="103"/>
        <v>0</v>
      </c>
      <c r="Z454" s="712">
        <f>IF(X455,_xll.qDateYears(X454,X455,DCCfloat),0)</f>
        <v>0</v>
      </c>
      <c r="AA454" s="519">
        <f ca="1"/>
        <v>0</v>
      </c>
      <c r="AB454" s="890">
        <f>IF(X454=0,0,         IF(OR(CCY="AUD",CCY="NZD",CCY="GBP"),X454,   _xll.qDateNext(X454,"-2b",,,IF(CCY="EUR","TGT","LON"))))</f>
        <v>0</v>
      </c>
      <c r="AC454" s="879" t="str">
        <v/>
      </c>
      <c r="AD454" s="879" t="str">
        <v/>
      </c>
      <c r="AE454" s="879" t="str">
        <v/>
      </c>
      <c r="AF454" s="879" t="str">
        <v/>
      </c>
      <c r="AG454" s="879" t="str">
        <v/>
      </c>
      <c r="AH454" s="879" t="str">
        <v/>
      </c>
      <c r="AI454" s="879" t="str">
        <v/>
      </c>
      <c r="AJ454" s="879" t="str">
        <v/>
      </c>
      <c r="AK454" s="882">
        <f>IF($X454=0,0,      _xll.qDateNext($X454,AK$12,$AR$11,FRM&lt;&gt;"Calypso",CCY))</f>
        <v>0</v>
      </c>
      <c r="AL454" s="882">
        <f>IF($X454=0,0,      _xll.qDateNext($X454,AL$12,$AR$11,FRM&lt;&gt;"Calypso",CCY))</f>
        <v>0</v>
      </c>
      <c r="AM454" s="882">
        <f>IF($X454=0,0,      _xll.qDateNext($X454,AM$12,$AR$11,FRM&lt;&gt;"Calypso",CCY))</f>
        <v>0</v>
      </c>
      <c r="AN454" s="882">
        <f>IF($X454=0,0,      _xll.qDateNext($X454,AN$12,$AR$11,FRM&lt;&gt;"Calypso",CCY))</f>
        <v>0</v>
      </c>
      <c r="AO454" s="882">
        <f>IF($X454=0,0,      _xll.qDateNext($X454,AO$12,$AR$11,FRM&lt;&gt;"Calypso",CCY))</f>
        <v>0</v>
      </c>
      <c r="AP454" s="882">
        <f>IF($X454=0,0,      _xll.qDateNext($X454,AP$12,$AR$11,FRM&lt;&gt;"Calypso",CCY))</f>
        <v>0</v>
      </c>
      <c r="AQ454" s="882">
        <f>IF($X454=0,0,      _xll.qDateNext($X454,AQ$12,$AR$11,FRM&lt;&gt;"Calypso",CCY))</f>
        <v>0</v>
      </c>
      <c r="AR454" s="882">
        <f>IF($X454=0,0,      _xll.qDateNext($X454,AR$12,$AR$11,FRM&lt;&gt;"Calypso",CCY))</f>
        <v>0</v>
      </c>
      <c r="AS454" s="901">
        <f ca="1"/>
        <v>0</v>
      </c>
      <c r="AT454" s="901">
        <f ca="1"/>
        <v>0</v>
      </c>
      <c r="AU454" s="901">
        <f t="shared" si="113"/>
        <v>0</v>
      </c>
      <c r="AV454" s="901">
        <f ca="1"/>
        <v>0</v>
      </c>
      <c r="AW454" s="901">
        <f t="shared" si="114"/>
        <v>0</v>
      </c>
      <c r="AX454" s="901">
        <f t="shared" si="115"/>
        <v>0</v>
      </c>
      <c r="AY454" s="901">
        <f ca="1"/>
        <v>0</v>
      </c>
      <c r="AZ454" s="901">
        <f ca="1"/>
        <v>0</v>
      </c>
      <c r="BA454" s="905">
        <f t="shared" si="104"/>
        <v>0</v>
      </c>
      <c r="BB454" s="905">
        <f t="shared" si="105"/>
        <v>0</v>
      </c>
      <c r="BC454" s="905">
        <f t="shared" si="106"/>
        <v>0</v>
      </c>
      <c r="BD454" s="905">
        <f t="shared" si="107"/>
        <v>0</v>
      </c>
      <c r="BE454" s="905">
        <f t="shared" si="108"/>
        <v>0</v>
      </c>
      <c r="BF454" s="905">
        <f t="shared" si="109"/>
        <v>0</v>
      </c>
      <c r="BG454" s="905">
        <f t="shared" si="110"/>
        <v>0</v>
      </c>
      <c r="BH454" s="905">
        <f t="shared" si="111"/>
        <v>0</v>
      </c>
      <c r="BI454" s="713">
        <v>0</v>
      </c>
      <c r="BJ454" s="695"/>
      <c r="BK454" s="752">
        <f>IF(X455=0,0,           IF(ISNUMBER(BJ454),BJ454,               IF(ISTEXT(BJ454),INDEX(BA454:BH454,MATCH(BJ454,$BA$12:$BH$12,0)),             IF(BI454="INT",_xll.qInterp(X455,AK454:AR454,BA454:BH454),            INDEX(BA454:BH454,MATCH(BI454,$BA$12:$BH$12,0))))))</f>
        <v>0</v>
      </c>
      <c r="BL454" s="389">
        <f t="shared" si="116"/>
        <v>0</v>
      </c>
      <c r="BM454" s="394">
        <f t="shared" si="117"/>
        <v>0</v>
      </c>
      <c r="BN454" s="389">
        <f t="shared" si="118"/>
        <v>0</v>
      </c>
    </row>
    <row r="455" spans="16:66">
      <c r="P455" s="716">
        <v>0</v>
      </c>
      <c r="Q455" s="715">
        <f t="shared" si="102"/>
        <v>0</v>
      </c>
      <c r="R455" s="712">
        <f>IF(P456,_xll.qDateYears(P455,P456,DCCfixed),0)</f>
        <v>0</v>
      </c>
      <c r="S455" s="519">
        <f ca="1"/>
        <v>0</v>
      </c>
      <c r="T455" s="720"/>
      <c r="U455" s="390">
        <f t="shared" si="112"/>
        <v>0</v>
      </c>
      <c r="X455" s="345">
        <v>0</v>
      </c>
      <c r="Y455" s="711">
        <f t="shared" si="103"/>
        <v>0</v>
      </c>
      <c r="Z455" s="712">
        <f>IF(X456,_xll.qDateYears(X455,X456,DCCfloat),0)</f>
        <v>0</v>
      </c>
      <c r="AA455" s="519">
        <f ca="1"/>
        <v>0</v>
      </c>
      <c r="AB455" s="890">
        <f>IF(X455=0,0,         IF(OR(CCY="AUD",CCY="NZD",CCY="GBP"),X455,   _xll.qDateNext(X455,"-2b",,,IF(CCY="EUR","TGT","LON"))))</f>
        <v>0</v>
      </c>
      <c r="AC455" s="879" t="str">
        <v/>
      </c>
      <c r="AD455" s="879" t="str">
        <v/>
      </c>
      <c r="AE455" s="879" t="str">
        <v/>
      </c>
      <c r="AF455" s="879" t="str">
        <v/>
      </c>
      <c r="AG455" s="879" t="str">
        <v/>
      </c>
      <c r="AH455" s="879" t="str">
        <v/>
      </c>
      <c r="AI455" s="879" t="str">
        <v/>
      </c>
      <c r="AJ455" s="879" t="str">
        <v/>
      </c>
      <c r="AK455" s="882">
        <f>IF($X455=0,0,      _xll.qDateNext($X455,AK$12,$AR$11,FRM&lt;&gt;"Calypso",CCY))</f>
        <v>0</v>
      </c>
      <c r="AL455" s="882">
        <f>IF($X455=0,0,      _xll.qDateNext($X455,AL$12,$AR$11,FRM&lt;&gt;"Calypso",CCY))</f>
        <v>0</v>
      </c>
      <c r="AM455" s="882">
        <f>IF($X455=0,0,      _xll.qDateNext($X455,AM$12,$AR$11,FRM&lt;&gt;"Calypso",CCY))</f>
        <v>0</v>
      </c>
      <c r="AN455" s="882">
        <f>IF($X455=0,0,      _xll.qDateNext($X455,AN$12,$AR$11,FRM&lt;&gt;"Calypso",CCY))</f>
        <v>0</v>
      </c>
      <c r="AO455" s="882">
        <f>IF($X455=0,0,      _xll.qDateNext($X455,AO$12,$AR$11,FRM&lt;&gt;"Calypso",CCY))</f>
        <v>0</v>
      </c>
      <c r="AP455" s="882">
        <f>IF($X455=0,0,      _xll.qDateNext($X455,AP$12,$AR$11,FRM&lt;&gt;"Calypso",CCY))</f>
        <v>0</v>
      </c>
      <c r="AQ455" s="882">
        <f>IF($X455=0,0,      _xll.qDateNext($X455,AQ$12,$AR$11,FRM&lt;&gt;"Calypso",CCY))</f>
        <v>0</v>
      </c>
      <c r="AR455" s="882">
        <f>IF($X455=0,0,      _xll.qDateNext($X455,AR$12,$AR$11,FRM&lt;&gt;"Calypso",CCY))</f>
        <v>0</v>
      </c>
      <c r="AS455" s="901">
        <f ca="1"/>
        <v>0</v>
      </c>
      <c r="AT455" s="901">
        <f ca="1"/>
        <v>0</v>
      </c>
      <c r="AU455" s="901">
        <f t="shared" si="113"/>
        <v>0</v>
      </c>
      <c r="AV455" s="901">
        <f ca="1"/>
        <v>0</v>
      </c>
      <c r="AW455" s="901">
        <f t="shared" si="114"/>
        <v>0</v>
      </c>
      <c r="AX455" s="901">
        <f t="shared" si="115"/>
        <v>0</v>
      </c>
      <c r="AY455" s="901">
        <f ca="1"/>
        <v>0</v>
      </c>
      <c r="AZ455" s="901">
        <f ca="1"/>
        <v>0</v>
      </c>
      <c r="BA455" s="905">
        <f t="shared" si="104"/>
        <v>0</v>
      </c>
      <c r="BB455" s="905">
        <f t="shared" si="105"/>
        <v>0</v>
      </c>
      <c r="BC455" s="905">
        <f t="shared" si="106"/>
        <v>0</v>
      </c>
      <c r="BD455" s="905">
        <f t="shared" si="107"/>
        <v>0</v>
      </c>
      <c r="BE455" s="905">
        <f t="shared" si="108"/>
        <v>0</v>
      </c>
      <c r="BF455" s="905">
        <f t="shared" si="109"/>
        <v>0</v>
      </c>
      <c r="BG455" s="905">
        <f t="shared" si="110"/>
        <v>0</v>
      </c>
      <c r="BH455" s="905">
        <f t="shared" si="111"/>
        <v>0</v>
      </c>
      <c r="BI455" s="713">
        <v>0</v>
      </c>
      <c r="BJ455" s="695"/>
      <c r="BK455" s="752">
        <f>IF(X456=0,0,           IF(ISNUMBER(BJ455),BJ455,               IF(ISTEXT(BJ455),INDEX(BA455:BH455,MATCH(BJ455,$BA$12:$BH$12,0)),             IF(BI455="INT",_xll.qInterp(X456,AK455:AR455,BA455:BH455),            INDEX(BA455:BH455,MATCH(BI455,$BA$12:$BH$12,0))))))</f>
        <v>0</v>
      </c>
      <c r="BL455" s="389">
        <f t="shared" si="116"/>
        <v>0</v>
      </c>
      <c r="BM455" s="394">
        <f t="shared" si="117"/>
        <v>0</v>
      </c>
      <c r="BN455" s="389">
        <f t="shared" si="118"/>
        <v>0</v>
      </c>
    </row>
    <row r="456" spans="16:66">
      <c r="P456" s="716">
        <v>0</v>
      </c>
      <c r="Q456" s="715">
        <f t="shared" si="102"/>
        <v>0</v>
      </c>
      <c r="R456" s="712">
        <f>IF(P457,_xll.qDateYears(P456,P457,DCCfixed),0)</f>
        <v>0</v>
      </c>
      <c r="S456" s="519">
        <f ca="1"/>
        <v>0</v>
      </c>
      <c r="T456" s="720"/>
      <c r="U456" s="390">
        <f t="shared" si="112"/>
        <v>0</v>
      </c>
      <c r="X456" s="345">
        <v>0</v>
      </c>
      <c r="Y456" s="711">
        <f t="shared" si="103"/>
        <v>0</v>
      </c>
      <c r="Z456" s="712">
        <f>IF(X457,_xll.qDateYears(X456,X457,DCCfloat),0)</f>
        <v>0</v>
      </c>
      <c r="AA456" s="519">
        <f ca="1"/>
        <v>0</v>
      </c>
      <c r="AB456" s="890">
        <f>IF(X456=0,0,         IF(OR(CCY="AUD",CCY="NZD",CCY="GBP"),X456,   _xll.qDateNext(X456,"-2b",,,IF(CCY="EUR","TGT","LON"))))</f>
        <v>0</v>
      </c>
      <c r="AC456" s="879" t="str">
        <v/>
      </c>
      <c r="AD456" s="879" t="str">
        <v/>
      </c>
      <c r="AE456" s="879" t="str">
        <v/>
      </c>
      <c r="AF456" s="879" t="str">
        <v/>
      </c>
      <c r="AG456" s="879" t="str">
        <v/>
      </c>
      <c r="AH456" s="879" t="str">
        <v/>
      </c>
      <c r="AI456" s="879" t="str">
        <v/>
      </c>
      <c r="AJ456" s="879" t="str">
        <v/>
      </c>
      <c r="AK456" s="882">
        <f>IF($X456=0,0,      _xll.qDateNext($X456,AK$12,$AR$11,FRM&lt;&gt;"Calypso",CCY))</f>
        <v>0</v>
      </c>
      <c r="AL456" s="882">
        <f>IF($X456=0,0,      _xll.qDateNext($X456,AL$12,$AR$11,FRM&lt;&gt;"Calypso",CCY))</f>
        <v>0</v>
      </c>
      <c r="AM456" s="882">
        <f>IF($X456=0,0,      _xll.qDateNext($X456,AM$12,$AR$11,FRM&lt;&gt;"Calypso",CCY))</f>
        <v>0</v>
      </c>
      <c r="AN456" s="882">
        <f>IF($X456=0,0,      _xll.qDateNext($X456,AN$12,$AR$11,FRM&lt;&gt;"Calypso",CCY))</f>
        <v>0</v>
      </c>
      <c r="AO456" s="882">
        <f>IF($X456=0,0,      _xll.qDateNext($X456,AO$12,$AR$11,FRM&lt;&gt;"Calypso",CCY))</f>
        <v>0</v>
      </c>
      <c r="AP456" s="882">
        <f>IF($X456=0,0,      _xll.qDateNext($X456,AP$12,$AR$11,FRM&lt;&gt;"Calypso",CCY))</f>
        <v>0</v>
      </c>
      <c r="AQ456" s="882">
        <f>IF($X456=0,0,      _xll.qDateNext($X456,AQ$12,$AR$11,FRM&lt;&gt;"Calypso",CCY))</f>
        <v>0</v>
      </c>
      <c r="AR456" s="882">
        <f>IF($X456=0,0,      _xll.qDateNext($X456,AR$12,$AR$11,FRM&lt;&gt;"Calypso",CCY))</f>
        <v>0</v>
      </c>
      <c r="AS456" s="901">
        <f ca="1"/>
        <v>0</v>
      </c>
      <c r="AT456" s="901">
        <f ca="1"/>
        <v>0</v>
      </c>
      <c r="AU456" s="901">
        <f t="shared" si="113"/>
        <v>0</v>
      </c>
      <c r="AV456" s="901">
        <f ca="1"/>
        <v>0</v>
      </c>
      <c r="AW456" s="901">
        <f t="shared" si="114"/>
        <v>0</v>
      </c>
      <c r="AX456" s="901">
        <f t="shared" si="115"/>
        <v>0</v>
      </c>
      <c r="AY456" s="901">
        <f ca="1"/>
        <v>0</v>
      </c>
      <c r="AZ456" s="901">
        <f ca="1"/>
        <v>0</v>
      </c>
      <c r="BA456" s="905">
        <f t="shared" si="104"/>
        <v>0</v>
      </c>
      <c r="BB456" s="905">
        <f t="shared" si="105"/>
        <v>0</v>
      </c>
      <c r="BC456" s="905">
        <f t="shared" si="106"/>
        <v>0</v>
      </c>
      <c r="BD456" s="905">
        <f t="shared" si="107"/>
        <v>0</v>
      </c>
      <c r="BE456" s="905">
        <f t="shared" si="108"/>
        <v>0</v>
      </c>
      <c r="BF456" s="905">
        <f t="shared" si="109"/>
        <v>0</v>
      </c>
      <c r="BG456" s="905">
        <f t="shared" si="110"/>
        <v>0</v>
      </c>
      <c r="BH456" s="905">
        <f t="shared" si="111"/>
        <v>0</v>
      </c>
      <c r="BI456" s="713">
        <v>0</v>
      </c>
      <c r="BJ456" s="695"/>
      <c r="BK456" s="752">
        <f>IF(X457=0,0,           IF(ISNUMBER(BJ456),BJ456,               IF(ISTEXT(BJ456),INDEX(BA456:BH456,MATCH(BJ456,$BA$12:$BH$12,0)),             IF(BI456="INT",_xll.qInterp(X457,AK456:AR456,BA456:BH456),            INDEX(BA456:BH456,MATCH(BI456,$BA$12:$BH$12,0))))))</f>
        <v>0</v>
      </c>
      <c r="BL456" s="389">
        <f t="shared" si="116"/>
        <v>0</v>
      </c>
      <c r="BM456" s="394">
        <f t="shared" si="117"/>
        <v>0</v>
      </c>
      <c r="BN456" s="389">
        <f t="shared" si="118"/>
        <v>0</v>
      </c>
    </row>
    <row r="457" spans="16:66">
      <c r="P457" s="716">
        <v>0</v>
      </c>
      <c r="Q457" s="715">
        <f t="shared" si="102"/>
        <v>0</v>
      </c>
      <c r="R457" s="712">
        <f>IF(P458,_xll.qDateYears(P457,P458,DCCfixed),0)</f>
        <v>0</v>
      </c>
      <c r="S457" s="519">
        <f ca="1"/>
        <v>0</v>
      </c>
      <c r="T457" s="720"/>
      <c r="U457" s="390">
        <f t="shared" si="112"/>
        <v>0</v>
      </c>
      <c r="X457" s="345">
        <v>0</v>
      </c>
      <c r="Y457" s="711">
        <f t="shared" si="103"/>
        <v>0</v>
      </c>
      <c r="Z457" s="712">
        <f>IF(X458,_xll.qDateYears(X457,X458,DCCfloat),0)</f>
        <v>0</v>
      </c>
      <c r="AA457" s="519">
        <f ca="1"/>
        <v>0</v>
      </c>
      <c r="AB457" s="890">
        <f>IF(X457=0,0,         IF(OR(CCY="AUD",CCY="NZD",CCY="GBP"),X457,   _xll.qDateNext(X457,"-2b",,,IF(CCY="EUR","TGT","LON"))))</f>
        <v>0</v>
      </c>
      <c r="AC457" s="879" t="str">
        <v/>
      </c>
      <c r="AD457" s="879" t="str">
        <v/>
      </c>
      <c r="AE457" s="879" t="str">
        <v/>
      </c>
      <c r="AF457" s="879" t="str">
        <v/>
      </c>
      <c r="AG457" s="879" t="str">
        <v/>
      </c>
      <c r="AH457" s="879" t="str">
        <v/>
      </c>
      <c r="AI457" s="879" t="str">
        <v/>
      </c>
      <c r="AJ457" s="879" t="str">
        <v/>
      </c>
      <c r="AK457" s="882">
        <f>IF($X457=0,0,      _xll.qDateNext($X457,AK$12,$AR$11,FRM&lt;&gt;"Calypso",CCY))</f>
        <v>0</v>
      </c>
      <c r="AL457" s="882">
        <f>IF($X457=0,0,      _xll.qDateNext($X457,AL$12,$AR$11,FRM&lt;&gt;"Calypso",CCY))</f>
        <v>0</v>
      </c>
      <c r="AM457" s="882">
        <f>IF($X457=0,0,      _xll.qDateNext($X457,AM$12,$AR$11,FRM&lt;&gt;"Calypso",CCY))</f>
        <v>0</v>
      </c>
      <c r="AN457" s="882">
        <f>IF($X457=0,0,      _xll.qDateNext($X457,AN$12,$AR$11,FRM&lt;&gt;"Calypso",CCY))</f>
        <v>0</v>
      </c>
      <c r="AO457" s="882">
        <f>IF($X457=0,0,      _xll.qDateNext($X457,AO$12,$AR$11,FRM&lt;&gt;"Calypso",CCY))</f>
        <v>0</v>
      </c>
      <c r="AP457" s="882">
        <f>IF($X457=0,0,      _xll.qDateNext($X457,AP$12,$AR$11,FRM&lt;&gt;"Calypso",CCY))</f>
        <v>0</v>
      </c>
      <c r="AQ457" s="882">
        <f>IF($X457=0,0,      _xll.qDateNext($X457,AQ$12,$AR$11,FRM&lt;&gt;"Calypso",CCY))</f>
        <v>0</v>
      </c>
      <c r="AR457" s="882">
        <f>IF($X457=0,0,      _xll.qDateNext($X457,AR$12,$AR$11,FRM&lt;&gt;"Calypso",CCY))</f>
        <v>0</v>
      </c>
      <c r="AS457" s="901">
        <f ca="1"/>
        <v>0</v>
      </c>
      <c r="AT457" s="901">
        <f ca="1"/>
        <v>0</v>
      </c>
      <c r="AU457" s="901">
        <f t="shared" si="113"/>
        <v>0</v>
      </c>
      <c r="AV457" s="901">
        <f ca="1"/>
        <v>0</v>
      </c>
      <c r="AW457" s="901">
        <f t="shared" si="114"/>
        <v>0</v>
      </c>
      <c r="AX457" s="901">
        <f t="shared" si="115"/>
        <v>0</v>
      </c>
      <c r="AY457" s="901">
        <f ca="1"/>
        <v>0</v>
      </c>
      <c r="AZ457" s="901">
        <f ca="1"/>
        <v>0</v>
      </c>
      <c r="BA457" s="905">
        <f t="shared" si="104"/>
        <v>0</v>
      </c>
      <c r="BB457" s="905">
        <f t="shared" si="105"/>
        <v>0</v>
      </c>
      <c r="BC457" s="905">
        <f t="shared" si="106"/>
        <v>0</v>
      </c>
      <c r="BD457" s="905">
        <f t="shared" si="107"/>
        <v>0</v>
      </c>
      <c r="BE457" s="905">
        <f t="shared" si="108"/>
        <v>0</v>
      </c>
      <c r="BF457" s="905">
        <f t="shared" si="109"/>
        <v>0</v>
      </c>
      <c r="BG457" s="905">
        <f t="shared" si="110"/>
        <v>0</v>
      </c>
      <c r="BH457" s="905">
        <f t="shared" si="111"/>
        <v>0</v>
      </c>
      <c r="BI457" s="713">
        <v>0</v>
      </c>
      <c r="BJ457" s="695"/>
      <c r="BK457" s="752">
        <f>IF(X458=0,0,           IF(ISNUMBER(BJ457),BJ457,               IF(ISTEXT(BJ457),INDEX(BA457:BH457,MATCH(BJ457,$BA$12:$BH$12,0)),             IF(BI457="INT",_xll.qInterp(X458,AK457:AR457,BA457:BH457),            INDEX(BA457:BH457,MATCH(BI457,$BA$12:$BH$12,0))))))</f>
        <v>0</v>
      </c>
      <c r="BL457" s="389">
        <f t="shared" si="116"/>
        <v>0</v>
      </c>
      <c r="BM457" s="394">
        <f t="shared" si="117"/>
        <v>0</v>
      </c>
      <c r="BN457" s="389">
        <f t="shared" si="118"/>
        <v>0</v>
      </c>
    </row>
    <row r="458" spans="16:66">
      <c r="P458" s="716">
        <v>0</v>
      </c>
      <c r="Q458" s="715">
        <f t="shared" si="102"/>
        <v>0</v>
      </c>
      <c r="R458" s="712">
        <f>IF(P459,_xll.qDateYears(P458,P459,DCCfixed),0)</f>
        <v>0</v>
      </c>
      <c r="S458" s="519">
        <f ca="1"/>
        <v>0</v>
      </c>
      <c r="T458" s="720"/>
      <c r="U458" s="390">
        <f t="shared" si="112"/>
        <v>0</v>
      </c>
      <c r="X458" s="345">
        <v>0</v>
      </c>
      <c r="Y458" s="711">
        <f t="shared" si="103"/>
        <v>0</v>
      </c>
      <c r="Z458" s="712">
        <f>IF(X459,_xll.qDateYears(X458,X459,DCCfloat),0)</f>
        <v>0</v>
      </c>
      <c r="AA458" s="519">
        <f ca="1"/>
        <v>0</v>
      </c>
      <c r="AB458" s="890">
        <f>IF(X458=0,0,         IF(OR(CCY="AUD",CCY="NZD",CCY="GBP"),X458,   _xll.qDateNext(X458,"-2b",,,IF(CCY="EUR","TGT","LON"))))</f>
        <v>0</v>
      </c>
      <c r="AC458" s="879" t="str">
        <v/>
      </c>
      <c r="AD458" s="879" t="str">
        <v/>
      </c>
      <c r="AE458" s="879" t="str">
        <v/>
      </c>
      <c r="AF458" s="879" t="str">
        <v/>
      </c>
      <c r="AG458" s="879" t="str">
        <v/>
      </c>
      <c r="AH458" s="879" t="str">
        <v/>
      </c>
      <c r="AI458" s="879" t="str">
        <v/>
      </c>
      <c r="AJ458" s="879" t="str">
        <v/>
      </c>
      <c r="AK458" s="882">
        <f>IF($X458=0,0,      _xll.qDateNext($X458,AK$12,$AR$11,FRM&lt;&gt;"Calypso",CCY))</f>
        <v>0</v>
      </c>
      <c r="AL458" s="882">
        <f>IF($X458=0,0,      _xll.qDateNext($X458,AL$12,$AR$11,FRM&lt;&gt;"Calypso",CCY))</f>
        <v>0</v>
      </c>
      <c r="AM458" s="882">
        <f>IF($X458=0,0,      _xll.qDateNext($X458,AM$12,$AR$11,FRM&lt;&gt;"Calypso",CCY))</f>
        <v>0</v>
      </c>
      <c r="AN458" s="882">
        <f>IF($X458=0,0,      _xll.qDateNext($X458,AN$12,$AR$11,FRM&lt;&gt;"Calypso",CCY))</f>
        <v>0</v>
      </c>
      <c r="AO458" s="882">
        <f>IF($X458=0,0,      _xll.qDateNext($X458,AO$12,$AR$11,FRM&lt;&gt;"Calypso",CCY))</f>
        <v>0</v>
      </c>
      <c r="AP458" s="882">
        <f>IF($X458=0,0,      _xll.qDateNext($X458,AP$12,$AR$11,FRM&lt;&gt;"Calypso",CCY))</f>
        <v>0</v>
      </c>
      <c r="AQ458" s="882">
        <f>IF($X458=0,0,      _xll.qDateNext($X458,AQ$12,$AR$11,FRM&lt;&gt;"Calypso",CCY))</f>
        <v>0</v>
      </c>
      <c r="AR458" s="882">
        <f>IF($X458=0,0,      _xll.qDateNext($X458,AR$12,$AR$11,FRM&lt;&gt;"Calypso",CCY))</f>
        <v>0</v>
      </c>
      <c r="AS458" s="901">
        <f ca="1"/>
        <v>0</v>
      </c>
      <c r="AT458" s="901">
        <f ca="1"/>
        <v>0</v>
      </c>
      <c r="AU458" s="901">
        <f t="shared" si="113"/>
        <v>0</v>
      </c>
      <c r="AV458" s="901">
        <f ca="1"/>
        <v>0</v>
      </c>
      <c r="AW458" s="901">
        <f t="shared" si="114"/>
        <v>0</v>
      </c>
      <c r="AX458" s="901">
        <f t="shared" si="115"/>
        <v>0</v>
      </c>
      <c r="AY458" s="901">
        <f ca="1"/>
        <v>0</v>
      </c>
      <c r="AZ458" s="901">
        <f ca="1"/>
        <v>0</v>
      </c>
      <c r="BA458" s="905">
        <f t="shared" si="104"/>
        <v>0</v>
      </c>
      <c r="BB458" s="905">
        <f t="shared" si="105"/>
        <v>0</v>
      </c>
      <c r="BC458" s="905">
        <f t="shared" si="106"/>
        <v>0</v>
      </c>
      <c r="BD458" s="905">
        <f t="shared" si="107"/>
        <v>0</v>
      </c>
      <c r="BE458" s="905">
        <f t="shared" si="108"/>
        <v>0</v>
      </c>
      <c r="BF458" s="905">
        <f t="shared" si="109"/>
        <v>0</v>
      </c>
      <c r="BG458" s="905">
        <f t="shared" si="110"/>
        <v>0</v>
      </c>
      <c r="BH458" s="905">
        <f t="shared" si="111"/>
        <v>0</v>
      </c>
      <c r="BI458" s="713">
        <v>0</v>
      </c>
      <c r="BJ458" s="695"/>
      <c r="BK458" s="752">
        <f>IF(X459=0,0,           IF(ISNUMBER(BJ458),BJ458,               IF(ISTEXT(BJ458),INDEX(BA458:BH458,MATCH(BJ458,$BA$12:$BH$12,0)),             IF(BI458="INT",_xll.qInterp(X459,AK458:AR458,BA458:BH458),            INDEX(BA458:BH458,MATCH(BI458,$BA$12:$BH$12,0))))))</f>
        <v>0</v>
      </c>
      <c r="BL458" s="389">
        <f t="shared" si="116"/>
        <v>0</v>
      </c>
      <c r="BM458" s="394">
        <f t="shared" si="117"/>
        <v>0</v>
      </c>
      <c r="BN458" s="389">
        <f t="shared" si="118"/>
        <v>0</v>
      </c>
    </row>
    <row r="459" spans="16:66">
      <c r="P459" s="716">
        <v>0</v>
      </c>
      <c r="Q459" s="715">
        <f t="shared" si="102"/>
        <v>0</v>
      </c>
      <c r="R459" s="712">
        <f>IF(P460,_xll.qDateYears(P459,P460,DCCfixed),0)</f>
        <v>0</v>
      </c>
      <c r="S459" s="519">
        <f ca="1"/>
        <v>0</v>
      </c>
      <c r="T459" s="720"/>
      <c r="U459" s="390">
        <f t="shared" si="112"/>
        <v>0</v>
      </c>
      <c r="X459" s="345">
        <v>0</v>
      </c>
      <c r="Y459" s="711">
        <f t="shared" si="103"/>
        <v>0</v>
      </c>
      <c r="Z459" s="712">
        <f>IF(X460,_xll.qDateYears(X459,X460,DCCfloat),0)</f>
        <v>0</v>
      </c>
      <c r="AA459" s="519">
        <f ca="1"/>
        <v>0</v>
      </c>
      <c r="AB459" s="890">
        <f>IF(X459=0,0,         IF(OR(CCY="AUD",CCY="NZD",CCY="GBP"),X459,   _xll.qDateNext(X459,"-2b",,,IF(CCY="EUR","TGT","LON"))))</f>
        <v>0</v>
      </c>
      <c r="AC459" s="879" t="str">
        <v/>
      </c>
      <c r="AD459" s="879" t="str">
        <v/>
      </c>
      <c r="AE459" s="879" t="str">
        <v/>
      </c>
      <c r="AF459" s="879" t="str">
        <v/>
      </c>
      <c r="AG459" s="879" t="str">
        <v/>
      </c>
      <c r="AH459" s="879" t="str">
        <v/>
      </c>
      <c r="AI459" s="879" t="str">
        <v/>
      </c>
      <c r="AJ459" s="879" t="str">
        <v/>
      </c>
      <c r="AK459" s="882">
        <f>IF($X459=0,0,      _xll.qDateNext($X459,AK$12,$AR$11,FRM&lt;&gt;"Calypso",CCY))</f>
        <v>0</v>
      </c>
      <c r="AL459" s="882">
        <f>IF($X459=0,0,      _xll.qDateNext($X459,AL$12,$AR$11,FRM&lt;&gt;"Calypso",CCY))</f>
        <v>0</v>
      </c>
      <c r="AM459" s="882">
        <f>IF($X459=0,0,      _xll.qDateNext($X459,AM$12,$AR$11,FRM&lt;&gt;"Calypso",CCY))</f>
        <v>0</v>
      </c>
      <c r="AN459" s="882">
        <f>IF($X459=0,0,      _xll.qDateNext($X459,AN$12,$AR$11,FRM&lt;&gt;"Calypso",CCY))</f>
        <v>0</v>
      </c>
      <c r="AO459" s="882">
        <f>IF($X459=0,0,      _xll.qDateNext($X459,AO$12,$AR$11,FRM&lt;&gt;"Calypso",CCY))</f>
        <v>0</v>
      </c>
      <c r="AP459" s="882">
        <f>IF($X459=0,0,      _xll.qDateNext($X459,AP$12,$AR$11,FRM&lt;&gt;"Calypso",CCY))</f>
        <v>0</v>
      </c>
      <c r="AQ459" s="882">
        <f>IF($X459=0,0,      _xll.qDateNext($X459,AQ$12,$AR$11,FRM&lt;&gt;"Calypso",CCY))</f>
        <v>0</v>
      </c>
      <c r="AR459" s="882">
        <f>IF($X459=0,0,      _xll.qDateNext($X459,AR$12,$AR$11,FRM&lt;&gt;"Calypso",CCY))</f>
        <v>0</v>
      </c>
      <c r="AS459" s="901">
        <f ca="1"/>
        <v>0</v>
      </c>
      <c r="AT459" s="901">
        <f ca="1"/>
        <v>0</v>
      </c>
      <c r="AU459" s="901">
        <f t="shared" si="113"/>
        <v>0</v>
      </c>
      <c r="AV459" s="901">
        <f ca="1"/>
        <v>0</v>
      </c>
      <c r="AW459" s="901">
        <f t="shared" si="114"/>
        <v>0</v>
      </c>
      <c r="AX459" s="901">
        <f t="shared" si="115"/>
        <v>0</v>
      </c>
      <c r="AY459" s="901">
        <f ca="1"/>
        <v>0</v>
      </c>
      <c r="AZ459" s="901">
        <f ca="1"/>
        <v>0</v>
      </c>
      <c r="BA459" s="905">
        <f t="shared" si="104"/>
        <v>0</v>
      </c>
      <c r="BB459" s="905">
        <f t="shared" si="105"/>
        <v>0</v>
      </c>
      <c r="BC459" s="905">
        <f t="shared" si="106"/>
        <v>0</v>
      </c>
      <c r="BD459" s="905">
        <f t="shared" si="107"/>
        <v>0</v>
      </c>
      <c r="BE459" s="905">
        <f t="shared" si="108"/>
        <v>0</v>
      </c>
      <c r="BF459" s="905">
        <f t="shared" si="109"/>
        <v>0</v>
      </c>
      <c r="BG459" s="905">
        <f t="shared" si="110"/>
        <v>0</v>
      </c>
      <c r="BH459" s="905">
        <f t="shared" si="111"/>
        <v>0</v>
      </c>
      <c r="BI459" s="713">
        <v>0</v>
      </c>
      <c r="BJ459" s="695"/>
      <c r="BK459" s="752">
        <f>IF(X460=0,0,           IF(ISNUMBER(BJ459),BJ459,               IF(ISTEXT(BJ459),INDEX(BA459:BH459,MATCH(BJ459,$BA$12:$BH$12,0)),             IF(BI459="INT",_xll.qInterp(X460,AK459:AR459,BA459:BH459),            INDEX(BA459:BH459,MATCH(BI459,$BA$12:$BH$12,0))))))</f>
        <v>0</v>
      </c>
      <c r="BL459" s="389">
        <f t="shared" si="116"/>
        <v>0</v>
      </c>
      <c r="BM459" s="394">
        <f t="shared" si="117"/>
        <v>0</v>
      </c>
      <c r="BN459" s="389">
        <f t="shared" si="118"/>
        <v>0</v>
      </c>
    </row>
    <row r="460" spans="16:66">
      <c r="P460" s="716">
        <v>0</v>
      </c>
      <c r="Q460" s="715">
        <f t="shared" si="102"/>
        <v>0</v>
      </c>
      <c r="R460" s="712">
        <f>IF(P461,_xll.qDateYears(P460,P461,DCCfixed),0)</f>
        <v>0</v>
      </c>
      <c r="S460" s="519">
        <f ca="1"/>
        <v>0</v>
      </c>
      <c r="T460" s="720"/>
      <c r="U460" s="390">
        <f t="shared" si="112"/>
        <v>0</v>
      </c>
      <c r="X460" s="345">
        <v>0</v>
      </c>
      <c r="Y460" s="711">
        <f t="shared" si="103"/>
        <v>0</v>
      </c>
      <c r="Z460" s="712">
        <f>IF(X461,_xll.qDateYears(X460,X461,DCCfloat),0)</f>
        <v>0</v>
      </c>
      <c r="AA460" s="519">
        <f ca="1"/>
        <v>0</v>
      </c>
      <c r="AB460" s="890">
        <f>IF(X460=0,0,         IF(OR(CCY="AUD",CCY="NZD",CCY="GBP"),X460,   _xll.qDateNext(X460,"-2b",,,IF(CCY="EUR","TGT","LON"))))</f>
        <v>0</v>
      </c>
      <c r="AC460" s="879" t="str">
        <v/>
      </c>
      <c r="AD460" s="879" t="str">
        <v/>
      </c>
      <c r="AE460" s="879" t="str">
        <v/>
      </c>
      <c r="AF460" s="879" t="str">
        <v/>
      </c>
      <c r="AG460" s="879" t="str">
        <v/>
      </c>
      <c r="AH460" s="879" t="str">
        <v/>
      </c>
      <c r="AI460" s="879" t="str">
        <v/>
      </c>
      <c r="AJ460" s="879" t="str">
        <v/>
      </c>
      <c r="AK460" s="882">
        <f>IF($X460=0,0,      _xll.qDateNext($X460,AK$12,$AR$11,FRM&lt;&gt;"Calypso",CCY))</f>
        <v>0</v>
      </c>
      <c r="AL460" s="882">
        <f>IF($X460=0,0,      _xll.qDateNext($X460,AL$12,$AR$11,FRM&lt;&gt;"Calypso",CCY))</f>
        <v>0</v>
      </c>
      <c r="AM460" s="882">
        <f>IF($X460=0,0,      _xll.qDateNext($X460,AM$12,$AR$11,FRM&lt;&gt;"Calypso",CCY))</f>
        <v>0</v>
      </c>
      <c r="AN460" s="882">
        <f>IF($X460=0,0,      _xll.qDateNext($X460,AN$12,$AR$11,FRM&lt;&gt;"Calypso",CCY))</f>
        <v>0</v>
      </c>
      <c r="AO460" s="882">
        <f>IF($X460=0,0,      _xll.qDateNext($X460,AO$12,$AR$11,FRM&lt;&gt;"Calypso",CCY))</f>
        <v>0</v>
      </c>
      <c r="AP460" s="882">
        <f>IF($X460=0,0,      _xll.qDateNext($X460,AP$12,$AR$11,FRM&lt;&gt;"Calypso",CCY))</f>
        <v>0</v>
      </c>
      <c r="AQ460" s="882">
        <f>IF($X460=0,0,      _xll.qDateNext($X460,AQ$12,$AR$11,FRM&lt;&gt;"Calypso",CCY))</f>
        <v>0</v>
      </c>
      <c r="AR460" s="882">
        <f>IF($X460=0,0,      _xll.qDateNext($X460,AR$12,$AR$11,FRM&lt;&gt;"Calypso",CCY))</f>
        <v>0</v>
      </c>
      <c r="AS460" s="901">
        <f ca="1"/>
        <v>0</v>
      </c>
      <c r="AT460" s="901">
        <f ca="1"/>
        <v>0</v>
      </c>
      <c r="AU460" s="901">
        <f t="shared" si="113"/>
        <v>0</v>
      </c>
      <c r="AV460" s="901">
        <f ca="1"/>
        <v>0</v>
      </c>
      <c r="AW460" s="901">
        <f t="shared" si="114"/>
        <v>0</v>
      </c>
      <c r="AX460" s="901">
        <f t="shared" si="115"/>
        <v>0</v>
      </c>
      <c r="AY460" s="901">
        <f ca="1"/>
        <v>0</v>
      </c>
      <c r="AZ460" s="901">
        <f ca="1"/>
        <v>0</v>
      </c>
      <c r="BA460" s="905">
        <f t="shared" si="104"/>
        <v>0</v>
      </c>
      <c r="BB460" s="905">
        <f t="shared" si="105"/>
        <v>0</v>
      </c>
      <c r="BC460" s="905">
        <f t="shared" si="106"/>
        <v>0</v>
      </c>
      <c r="BD460" s="905">
        <f t="shared" si="107"/>
        <v>0</v>
      </c>
      <c r="BE460" s="905">
        <f t="shared" si="108"/>
        <v>0</v>
      </c>
      <c r="BF460" s="905">
        <f t="shared" si="109"/>
        <v>0</v>
      </c>
      <c r="BG460" s="905">
        <f t="shared" si="110"/>
        <v>0</v>
      </c>
      <c r="BH460" s="905">
        <f t="shared" si="111"/>
        <v>0</v>
      </c>
      <c r="BI460" s="713">
        <v>0</v>
      </c>
      <c r="BJ460" s="695"/>
      <c r="BK460" s="752">
        <f>IF(X461=0,0,           IF(ISNUMBER(BJ460),BJ460,               IF(ISTEXT(BJ460),INDEX(BA460:BH460,MATCH(BJ460,$BA$12:$BH$12,0)),             IF(BI460="INT",_xll.qInterp(X461,AK460:AR460,BA460:BH460),            INDEX(BA460:BH460,MATCH(BI460,$BA$12:$BH$12,0))))))</f>
        <v>0</v>
      </c>
      <c r="BL460" s="389">
        <f t="shared" si="116"/>
        <v>0</v>
      </c>
      <c r="BM460" s="394">
        <f t="shared" si="117"/>
        <v>0</v>
      </c>
      <c r="BN460" s="389">
        <f t="shared" si="118"/>
        <v>0</v>
      </c>
    </row>
    <row r="461" spans="16:66">
      <c r="P461" s="716">
        <v>0</v>
      </c>
      <c r="Q461" s="715">
        <f t="shared" ref="Q461:Q511" si="119">IF(P462,IF(LEFT(DCCfixed,3)="Act",P462-P461,DAYS360(P461,P462)),0)</f>
        <v>0</v>
      </c>
      <c r="R461" s="712">
        <f>IF(P462,_xll.qDateYears(P461,P462,DCCfixed),0)</f>
        <v>0</v>
      </c>
      <c r="S461" s="519">
        <f ca="1"/>
        <v>0</v>
      </c>
      <c r="T461" s="720"/>
      <c r="U461" s="390">
        <f t="shared" si="112"/>
        <v>0</v>
      </c>
      <c r="X461" s="345">
        <v>0</v>
      </c>
      <c r="Y461" s="711">
        <f t="shared" ref="Y461:Y510" si="120">IF(X462,IF(LEFT(DCCfloat,3)="Act",X462-X461,DAYS360(X461,X462)),0)</f>
        <v>0</v>
      </c>
      <c r="Z461" s="712">
        <f>IF(X462,_xll.qDateYears(X461,X462,DCCfloat),0)</f>
        <v>0</v>
      </c>
      <c r="AA461" s="519">
        <f ca="1"/>
        <v>0</v>
      </c>
      <c r="AB461" s="890">
        <f>IF(X461=0,0,         IF(OR(CCY="AUD",CCY="NZD",CCY="GBP"),X461,   _xll.qDateNext(X461,"-2b",,,IF(CCY="EUR","TGT","LON"))))</f>
        <v>0</v>
      </c>
      <c r="AC461" s="879" t="str">
        <v/>
      </c>
      <c r="AD461" s="879" t="str">
        <v/>
      </c>
      <c r="AE461" s="879" t="str">
        <v/>
      </c>
      <c r="AF461" s="879" t="str">
        <v/>
      </c>
      <c r="AG461" s="879" t="str">
        <v/>
      </c>
      <c r="AH461" s="879" t="str">
        <v/>
      </c>
      <c r="AI461" s="879" t="str">
        <v/>
      </c>
      <c r="AJ461" s="879" t="str">
        <v/>
      </c>
      <c r="AK461" s="882">
        <f>IF($X461=0,0,      _xll.qDateNext($X461,AK$12,$AR$11,FRM&lt;&gt;"Calypso",CCY))</f>
        <v>0</v>
      </c>
      <c r="AL461" s="882">
        <f>IF($X461=0,0,      _xll.qDateNext($X461,AL$12,$AR$11,FRM&lt;&gt;"Calypso",CCY))</f>
        <v>0</v>
      </c>
      <c r="AM461" s="882">
        <f>IF($X461=0,0,      _xll.qDateNext($X461,AM$12,$AR$11,FRM&lt;&gt;"Calypso",CCY))</f>
        <v>0</v>
      </c>
      <c r="AN461" s="882">
        <f>IF($X461=0,0,      _xll.qDateNext($X461,AN$12,$AR$11,FRM&lt;&gt;"Calypso",CCY))</f>
        <v>0</v>
      </c>
      <c r="AO461" s="882">
        <f>IF($X461=0,0,      _xll.qDateNext($X461,AO$12,$AR$11,FRM&lt;&gt;"Calypso",CCY))</f>
        <v>0</v>
      </c>
      <c r="AP461" s="882">
        <f>IF($X461=0,0,      _xll.qDateNext($X461,AP$12,$AR$11,FRM&lt;&gt;"Calypso",CCY))</f>
        <v>0</v>
      </c>
      <c r="AQ461" s="882">
        <f>IF($X461=0,0,      _xll.qDateNext($X461,AQ$12,$AR$11,FRM&lt;&gt;"Calypso",CCY))</f>
        <v>0</v>
      </c>
      <c r="AR461" s="882">
        <f>IF($X461=0,0,      _xll.qDateNext($X461,AR$12,$AR$11,FRM&lt;&gt;"Calypso",CCY))</f>
        <v>0</v>
      </c>
      <c r="AS461" s="901">
        <f ca="1"/>
        <v>0</v>
      </c>
      <c r="AT461" s="901">
        <f ca="1"/>
        <v>0</v>
      </c>
      <c r="AU461" s="901">
        <f t="shared" si="113"/>
        <v>0</v>
      </c>
      <c r="AV461" s="901">
        <f ca="1"/>
        <v>0</v>
      </c>
      <c r="AW461" s="901">
        <f t="shared" si="114"/>
        <v>0</v>
      </c>
      <c r="AX461" s="901">
        <f t="shared" si="115"/>
        <v>0</v>
      </c>
      <c r="AY461" s="901">
        <f ca="1"/>
        <v>0</v>
      </c>
      <c r="AZ461" s="901">
        <f ca="1"/>
        <v>0</v>
      </c>
      <c r="BA461" s="905">
        <f t="shared" ref="BA461:BA512" si="121">IF($X461=0,0,   IF(ISNUMBER(AC461),AC461,AS461))</f>
        <v>0</v>
      </c>
      <c r="BB461" s="905">
        <f t="shared" ref="BB461:BB512" si="122">IF($X461=0,0,   IF(ISNUMBER(AD461),AD461,AT461))</f>
        <v>0</v>
      </c>
      <c r="BC461" s="905">
        <f t="shared" ref="BC461:BC512" si="123">IF($X461=0,0,   IF(ISNUMBER(AE461),AE461,AU461))</f>
        <v>0</v>
      </c>
      <c r="BD461" s="905">
        <f t="shared" ref="BD461:BD512" si="124">IF($X461=0,0,   IF(ISNUMBER(AF461),AF461,AV461))</f>
        <v>0</v>
      </c>
      <c r="BE461" s="905">
        <f t="shared" ref="BE461:BE512" si="125">IF($X461=0,0,   IF(ISNUMBER(AG461),AG461,AW461))</f>
        <v>0</v>
      </c>
      <c r="BF461" s="905">
        <f t="shared" ref="BF461:BF512" si="126">IF($X461=0,0,   IF(ISNUMBER(AH461),AH461,AX461))</f>
        <v>0</v>
      </c>
      <c r="BG461" s="905">
        <f t="shared" ref="BG461:BG512" si="127">IF($X461=0,0,   IF(ISNUMBER(AI461),AI461,AY461))</f>
        <v>0</v>
      </c>
      <c r="BH461" s="905">
        <f t="shared" ref="BH461:BH512" si="128">IF($X461=0,0,   IF(ISNUMBER(AJ461),AJ461,AZ461))</f>
        <v>0</v>
      </c>
      <c r="BI461" s="713">
        <v>0</v>
      </c>
      <c r="BJ461" s="695"/>
      <c r="BK461" s="752">
        <f>IF(X462=0,0,           IF(ISNUMBER(BJ461),BJ461,               IF(ISTEXT(BJ461),INDEX(BA461:BH461,MATCH(BJ461,$BA$12:$BH$12,0)),             IF(BI461="INT",_xll.qInterp(X462,AK461:AR461,BA461:BH461),            INDEX(BA461:BH461,MATCH(BI461,$BA$12:$BH$12,0))))))</f>
        <v>0</v>
      </c>
      <c r="BL461" s="389">
        <f t="shared" si="116"/>
        <v>0</v>
      </c>
      <c r="BM461" s="394">
        <f t="shared" si="117"/>
        <v>0</v>
      </c>
      <c r="BN461" s="389">
        <f t="shared" si="118"/>
        <v>0</v>
      </c>
    </row>
    <row r="462" spans="16:66">
      <c r="P462" s="716">
        <v>0</v>
      </c>
      <c r="Q462" s="715">
        <f t="shared" si="119"/>
        <v>0</v>
      </c>
      <c r="R462" s="712">
        <f>IF(P463,_xll.qDateYears(P462,P463,DCCfixed),0)</f>
        <v>0</v>
      </c>
      <c r="S462" s="519">
        <f ca="1"/>
        <v>0</v>
      </c>
      <c r="T462" s="720"/>
      <c r="U462" s="390">
        <f t="shared" ref="U462:U512" si="129">IF(P462,$U$5%*R461*Face,0) + IF(AND(IncludePrincipals,P462&gt;0,P463=0),Face,0) + IF(P462,T462,0)</f>
        <v>0</v>
      </c>
      <c r="X462" s="345">
        <v>0</v>
      </c>
      <c r="Y462" s="711">
        <f t="shared" si="120"/>
        <v>0</v>
      </c>
      <c r="Z462" s="712">
        <f>IF(X463,_xll.qDateYears(X462,X463,DCCfloat),0)</f>
        <v>0</v>
      </c>
      <c r="AA462" s="519">
        <f ca="1"/>
        <v>0</v>
      </c>
      <c r="AB462" s="890">
        <f>IF(X462=0,0,         IF(OR(CCY="AUD",CCY="NZD",CCY="GBP"),X462,   _xll.qDateNext(X462,"-2b",,,IF(CCY="EUR","TGT","LON"))))</f>
        <v>0</v>
      </c>
      <c r="AC462" s="879" t="str">
        <v/>
      </c>
      <c r="AD462" s="879" t="str">
        <v/>
      </c>
      <c r="AE462" s="879" t="str">
        <v/>
      </c>
      <c r="AF462" s="879" t="str">
        <v/>
      </c>
      <c r="AG462" s="879" t="str">
        <v/>
      </c>
      <c r="AH462" s="879" t="str">
        <v/>
      </c>
      <c r="AI462" s="879" t="str">
        <v/>
      </c>
      <c r="AJ462" s="879" t="str">
        <v/>
      </c>
      <c r="AK462" s="882">
        <f>IF($X462=0,0,      _xll.qDateNext($X462,AK$12,$AR$11,FRM&lt;&gt;"Calypso",CCY))</f>
        <v>0</v>
      </c>
      <c r="AL462" s="882">
        <f>IF($X462=0,0,      _xll.qDateNext($X462,AL$12,$AR$11,FRM&lt;&gt;"Calypso",CCY))</f>
        <v>0</v>
      </c>
      <c r="AM462" s="882">
        <f>IF($X462=0,0,      _xll.qDateNext($X462,AM$12,$AR$11,FRM&lt;&gt;"Calypso",CCY))</f>
        <v>0</v>
      </c>
      <c r="AN462" s="882">
        <f>IF($X462=0,0,      _xll.qDateNext($X462,AN$12,$AR$11,FRM&lt;&gt;"Calypso",CCY))</f>
        <v>0</v>
      </c>
      <c r="AO462" s="882">
        <f>IF($X462=0,0,      _xll.qDateNext($X462,AO$12,$AR$11,FRM&lt;&gt;"Calypso",CCY))</f>
        <v>0</v>
      </c>
      <c r="AP462" s="882">
        <f>IF($X462=0,0,      _xll.qDateNext($X462,AP$12,$AR$11,FRM&lt;&gt;"Calypso",CCY))</f>
        <v>0</v>
      </c>
      <c r="AQ462" s="882">
        <f>IF($X462=0,0,      _xll.qDateNext($X462,AQ$12,$AR$11,FRM&lt;&gt;"Calypso",CCY))</f>
        <v>0</v>
      </c>
      <c r="AR462" s="882">
        <f>IF($X462=0,0,      _xll.qDateNext($X462,AR$12,$AR$11,FRM&lt;&gt;"Calypso",CCY))</f>
        <v>0</v>
      </c>
      <c r="AS462" s="901">
        <f ca="1"/>
        <v>0</v>
      </c>
      <c r="AT462" s="901">
        <f ca="1"/>
        <v>0</v>
      </c>
      <c r="AU462" s="901">
        <f t="shared" ref="AU462:AU512" si="130">IF($X462,AVERAGE(AT462,AV462),0)</f>
        <v>0</v>
      </c>
      <c r="AV462" s="901">
        <f ca="1"/>
        <v>0</v>
      </c>
      <c r="AW462" s="901">
        <f t="shared" ref="AW462:AW511" si="131">IF($X462,AV462+(AY462-AV462)/3,0)</f>
        <v>0</v>
      </c>
      <c r="AX462" s="901">
        <f t="shared" ref="AX462:AX512" si="132">IF($X462,AVERAGE(AW462,AY462),0)</f>
        <v>0</v>
      </c>
      <c r="AY462" s="901">
        <f ca="1"/>
        <v>0</v>
      </c>
      <c r="AZ462" s="901">
        <f ca="1"/>
        <v>0</v>
      </c>
      <c r="BA462" s="905">
        <f t="shared" si="121"/>
        <v>0</v>
      </c>
      <c r="BB462" s="905">
        <f t="shared" si="122"/>
        <v>0</v>
      </c>
      <c r="BC462" s="905">
        <f t="shared" si="123"/>
        <v>0</v>
      </c>
      <c r="BD462" s="905">
        <f t="shared" si="124"/>
        <v>0</v>
      </c>
      <c r="BE462" s="905">
        <f t="shared" si="125"/>
        <v>0</v>
      </c>
      <c r="BF462" s="905">
        <f t="shared" si="126"/>
        <v>0</v>
      </c>
      <c r="BG462" s="905">
        <f t="shared" si="127"/>
        <v>0</v>
      </c>
      <c r="BH462" s="905">
        <f t="shared" si="128"/>
        <v>0</v>
      </c>
      <c r="BI462" s="713">
        <v>0</v>
      </c>
      <c r="BJ462" s="695"/>
      <c r="BK462" s="752">
        <f>IF(X463=0,0,           IF(ISNUMBER(BJ462),BJ462,               IF(ISTEXT(BJ462),INDEX(BA462:BH462,MATCH(BJ462,$BA$12:$BH$12,0)),             IF(BI462="INT",_xll.qInterp(X463,AK462:AR462,BA462:BH462),            INDEX(BA462:BH462,MATCH(BI462,$BA$12:$BH$12,0))))))</f>
        <v>0</v>
      </c>
      <c r="BL462" s="389">
        <f t="shared" ref="BL462:BL512" si="133">IF(X462,-BK461%*Face*Z461,0)</f>
        <v>0</v>
      </c>
      <c r="BM462" s="394">
        <f t="shared" ref="BM462:BM512" si="134">IF(X462,-Margin%%*Z461*Face,0)</f>
        <v>0</v>
      </c>
      <c r="BN462" s="389">
        <f t="shared" ref="BN462:BN512" si="135">SUM(BL462:BM462)+IF(AND(IncludePrincipals,X462&lt;&gt;0,X463=0),-Face,0)</f>
        <v>0</v>
      </c>
    </row>
    <row r="463" spans="16:66">
      <c r="P463" s="716">
        <v>0</v>
      </c>
      <c r="Q463" s="715">
        <f t="shared" si="119"/>
        <v>0</v>
      </c>
      <c r="R463" s="712">
        <f>IF(P464,_xll.qDateYears(P463,P464,DCCfixed),0)</f>
        <v>0</v>
      </c>
      <c r="S463" s="519">
        <f ca="1"/>
        <v>0</v>
      </c>
      <c r="T463" s="720"/>
      <c r="U463" s="390">
        <f t="shared" si="129"/>
        <v>0</v>
      </c>
      <c r="X463" s="345">
        <v>0</v>
      </c>
      <c r="Y463" s="711">
        <f t="shared" si="120"/>
        <v>0</v>
      </c>
      <c r="Z463" s="712">
        <f>IF(X464,_xll.qDateYears(X463,X464,DCCfloat),0)</f>
        <v>0</v>
      </c>
      <c r="AA463" s="519">
        <f ca="1"/>
        <v>0</v>
      </c>
      <c r="AB463" s="890">
        <f>IF(X463=0,0,         IF(OR(CCY="AUD",CCY="NZD",CCY="GBP"),X463,   _xll.qDateNext(X463,"-2b",,,IF(CCY="EUR","TGT","LON"))))</f>
        <v>0</v>
      </c>
      <c r="AC463" s="879" t="str">
        <v/>
      </c>
      <c r="AD463" s="879" t="str">
        <v/>
      </c>
      <c r="AE463" s="879" t="str">
        <v/>
      </c>
      <c r="AF463" s="879" t="str">
        <v/>
      </c>
      <c r="AG463" s="879" t="str">
        <v/>
      </c>
      <c r="AH463" s="879" t="str">
        <v/>
      </c>
      <c r="AI463" s="879" t="str">
        <v/>
      </c>
      <c r="AJ463" s="879" t="str">
        <v/>
      </c>
      <c r="AK463" s="882">
        <f>IF($X463=0,0,      _xll.qDateNext($X463,AK$12,$AR$11,FRM&lt;&gt;"Calypso",CCY))</f>
        <v>0</v>
      </c>
      <c r="AL463" s="882">
        <f>IF($X463=0,0,      _xll.qDateNext($X463,AL$12,$AR$11,FRM&lt;&gt;"Calypso",CCY))</f>
        <v>0</v>
      </c>
      <c r="AM463" s="882">
        <f>IF($X463=0,0,      _xll.qDateNext($X463,AM$12,$AR$11,FRM&lt;&gt;"Calypso",CCY))</f>
        <v>0</v>
      </c>
      <c r="AN463" s="882">
        <f>IF($X463=0,0,      _xll.qDateNext($X463,AN$12,$AR$11,FRM&lt;&gt;"Calypso",CCY))</f>
        <v>0</v>
      </c>
      <c r="AO463" s="882">
        <f>IF($X463=0,0,      _xll.qDateNext($X463,AO$12,$AR$11,FRM&lt;&gt;"Calypso",CCY))</f>
        <v>0</v>
      </c>
      <c r="AP463" s="882">
        <f>IF($X463=0,0,      _xll.qDateNext($X463,AP$12,$AR$11,FRM&lt;&gt;"Calypso",CCY))</f>
        <v>0</v>
      </c>
      <c r="AQ463" s="882">
        <f>IF($X463=0,0,      _xll.qDateNext($X463,AQ$12,$AR$11,FRM&lt;&gt;"Calypso",CCY))</f>
        <v>0</v>
      </c>
      <c r="AR463" s="882">
        <f>IF($X463=0,0,      _xll.qDateNext($X463,AR$12,$AR$11,FRM&lt;&gt;"Calypso",CCY))</f>
        <v>0</v>
      </c>
      <c r="AS463" s="901">
        <f ca="1"/>
        <v>0</v>
      </c>
      <c r="AT463" s="901">
        <f ca="1"/>
        <v>0</v>
      </c>
      <c r="AU463" s="901">
        <f t="shared" si="130"/>
        <v>0</v>
      </c>
      <c r="AV463" s="901">
        <f ca="1"/>
        <v>0</v>
      </c>
      <c r="AW463" s="901">
        <f t="shared" si="131"/>
        <v>0</v>
      </c>
      <c r="AX463" s="901">
        <f t="shared" si="132"/>
        <v>0</v>
      </c>
      <c r="AY463" s="901">
        <f ca="1"/>
        <v>0</v>
      </c>
      <c r="AZ463" s="901">
        <f ca="1"/>
        <v>0</v>
      </c>
      <c r="BA463" s="905">
        <f t="shared" si="121"/>
        <v>0</v>
      </c>
      <c r="BB463" s="905">
        <f t="shared" si="122"/>
        <v>0</v>
      </c>
      <c r="BC463" s="905">
        <f t="shared" si="123"/>
        <v>0</v>
      </c>
      <c r="BD463" s="905">
        <f t="shared" si="124"/>
        <v>0</v>
      </c>
      <c r="BE463" s="905">
        <f t="shared" si="125"/>
        <v>0</v>
      </c>
      <c r="BF463" s="905">
        <f t="shared" si="126"/>
        <v>0</v>
      </c>
      <c r="BG463" s="905">
        <f t="shared" si="127"/>
        <v>0</v>
      </c>
      <c r="BH463" s="905">
        <f t="shared" si="128"/>
        <v>0</v>
      </c>
      <c r="BI463" s="713">
        <v>0</v>
      </c>
      <c r="BJ463" s="695"/>
      <c r="BK463" s="752">
        <f>IF(X464=0,0,           IF(ISNUMBER(BJ463),BJ463,               IF(ISTEXT(BJ463),INDEX(BA463:BH463,MATCH(BJ463,$BA$12:$BH$12,0)),             IF(BI463="INT",_xll.qInterp(X464,AK463:AR463,BA463:BH463),            INDEX(BA463:BH463,MATCH(BI463,$BA$12:$BH$12,0))))))</f>
        <v>0</v>
      </c>
      <c r="BL463" s="389">
        <f t="shared" si="133"/>
        <v>0</v>
      </c>
      <c r="BM463" s="394">
        <f t="shared" si="134"/>
        <v>0</v>
      </c>
      <c r="BN463" s="389">
        <f t="shared" si="135"/>
        <v>0</v>
      </c>
    </row>
    <row r="464" spans="16:66">
      <c r="P464" s="716">
        <v>0</v>
      </c>
      <c r="Q464" s="715">
        <f t="shared" si="119"/>
        <v>0</v>
      </c>
      <c r="R464" s="712">
        <f>IF(P465,_xll.qDateYears(P464,P465,DCCfixed),0)</f>
        <v>0</v>
      </c>
      <c r="S464" s="519">
        <f ca="1"/>
        <v>0</v>
      </c>
      <c r="T464" s="720"/>
      <c r="U464" s="390">
        <f t="shared" si="129"/>
        <v>0</v>
      </c>
      <c r="X464" s="345">
        <v>0</v>
      </c>
      <c r="Y464" s="711">
        <f t="shared" si="120"/>
        <v>0</v>
      </c>
      <c r="Z464" s="712">
        <f>IF(X465,_xll.qDateYears(X464,X465,DCCfloat),0)</f>
        <v>0</v>
      </c>
      <c r="AA464" s="519">
        <f ca="1"/>
        <v>0</v>
      </c>
      <c r="AB464" s="890">
        <f>IF(X464=0,0,         IF(OR(CCY="AUD",CCY="NZD",CCY="GBP"),X464,   _xll.qDateNext(X464,"-2b",,,IF(CCY="EUR","TGT","LON"))))</f>
        <v>0</v>
      </c>
      <c r="AC464" s="879" t="str">
        <v/>
      </c>
      <c r="AD464" s="879" t="str">
        <v/>
      </c>
      <c r="AE464" s="879" t="str">
        <v/>
      </c>
      <c r="AF464" s="879" t="str">
        <v/>
      </c>
      <c r="AG464" s="879" t="str">
        <v/>
      </c>
      <c r="AH464" s="879" t="str">
        <v/>
      </c>
      <c r="AI464" s="879" t="str">
        <v/>
      </c>
      <c r="AJ464" s="879" t="str">
        <v/>
      </c>
      <c r="AK464" s="882">
        <f>IF($X464=0,0,      _xll.qDateNext($X464,AK$12,$AR$11,FRM&lt;&gt;"Calypso",CCY))</f>
        <v>0</v>
      </c>
      <c r="AL464" s="882">
        <f>IF($X464=0,0,      _xll.qDateNext($X464,AL$12,$AR$11,FRM&lt;&gt;"Calypso",CCY))</f>
        <v>0</v>
      </c>
      <c r="AM464" s="882">
        <f>IF($X464=0,0,      _xll.qDateNext($X464,AM$12,$AR$11,FRM&lt;&gt;"Calypso",CCY))</f>
        <v>0</v>
      </c>
      <c r="AN464" s="882">
        <f>IF($X464=0,0,      _xll.qDateNext($X464,AN$12,$AR$11,FRM&lt;&gt;"Calypso",CCY))</f>
        <v>0</v>
      </c>
      <c r="AO464" s="882">
        <f>IF($X464=0,0,      _xll.qDateNext($X464,AO$12,$AR$11,FRM&lt;&gt;"Calypso",CCY))</f>
        <v>0</v>
      </c>
      <c r="AP464" s="882">
        <f>IF($X464=0,0,      _xll.qDateNext($X464,AP$12,$AR$11,FRM&lt;&gt;"Calypso",CCY))</f>
        <v>0</v>
      </c>
      <c r="AQ464" s="882">
        <f>IF($X464=0,0,      _xll.qDateNext($X464,AQ$12,$AR$11,FRM&lt;&gt;"Calypso",CCY))</f>
        <v>0</v>
      </c>
      <c r="AR464" s="882">
        <f>IF($X464=0,0,      _xll.qDateNext($X464,AR$12,$AR$11,FRM&lt;&gt;"Calypso",CCY))</f>
        <v>0</v>
      </c>
      <c r="AS464" s="901">
        <f ca="1"/>
        <v>0</v>
      </c>
      <c r="AT464" s="901">
        <f ca="1"/>
        <v>0</v>
      </c>
      <c r="AU464" s="901">
        <f t="shared" si="130"/>
        <v>0</v>
      </c>
      <c r="AV464" s="901">
        <f ca="1"/>
        <v>0</v>
      </c>
      <c r="AW464" s="901">
        <f t="shared" si="131"/>
        <v>0</v>
      </c>
      <c r="AX464" s="901">
        <f t="shared" si="132"/>
        <v>0</v>
      </c>
      <c r="AY464" s="901">
        <f ca="1"/>
        <v>0</v>
      </c>
      <c r="AZ464" s="901">
        <f ca="1"/>
        <v>0</v>
      </c>
      <c r="BA464" s="905">
        <f t="shared" si="121"/>
        <v>0</v>
      </c>
      <c r="BB464" s="905">
        <f t="shared" si="122"/>
        <v>0</v>
      </c>
      <c r="BC464" s="905">
        <f t="shared" si="123"/>
        <v>0</v>
      </c>
      <c r="BD464" s="905">
        <f t="shared" si="124"/>
        <v>0</v>
      </c>
      <c r="BE464" s="905">
        <f t="shared" si="125"/>
        <v>0</v>
      </c>
      <c r="BF464" s="905">
        <f t="shared" si="126"/>
        <v>0</v>
      </c>
      <c r="BG464" s="905">
        <f t="shared" si="127"/>
        <v>0</v>
      </c>
      <c r="BH464" s="905">
        <f t="shared" si="128"/>
        <v>0</v>
      </c>
      <c r="BI464" s="713">
        <v>0</v>
      </c>
      <c r="BJ464" s="695"/>
      <c r="BK464" s="752">
        <f>IF(X465=0,0,           IF(ISNUMBER(BJ464),BJ464,               IF(ISTEXT(BJ464),INDEX(BA464:BH464,MATCH(BJ464,$BA$12:$BH$12,0)),             IF(BI464="INT",_xll.qInterp(X465,AK464:AR464,BA464:BH464),            INDEX(BA464:BH464,MATCH(BI464,$BA$12:$BH$12,0))))))</f>
        <v>0</v>
      </c>
      <c r="BL464" s="389">
        <f t="shared" si="133"/>
        <v>0</v>
      </c>
      <c r="BM464" s="394">
        <f t="shared" si="134"/>
        <v>0</v>
      </c>
      <c r="BN464" s="389">
        <f t="shared" si="135"/>
        <v>0</v>
      </c>
    </row>
    <row r="465" spans="16:66">
      <c r="P465" s="716">
        <v>0</v>
      </c>
      <c r="Q465" s="715">
        <f t="shared" si="119"/>
        <v>0</v>
      </c>
      <c r="R465" s="712">
        <f>IF(P466,_xll.qDateYears(P465,P466,DCCfixed),0)</f>
        <v>0</v>
      </c>
      <c r="S465" s="519">
        <f ca="1"/>
        <v>0</v>
      </c>
      <c r="T465" s="720"/>
      <c r="U465" s="390">
        <f t="shared" si="129"/>
        <v>0</v>
      </c>
      <c r="X465" s="345">
        <v>0</v>
      </c>
      <c r="Y465" s="711">
        <f t="shared" si="120"/>
        <v>0</v>
      </c>
      <c r="Z465" s="712">
        <f>IF(X466,_xll.qDateYears(X465,X466,DCCfloat),0)</f>
        <v>0</v>
      </c>
      <c r="AA465" s="519">
        <f ca="1"/>
        <v>0</v>
      </c>
      <c r="AB465" s="890">
        <f>IF(X465=0,0,         IF(OR(CCY="AUD",CCY="NZD",CCY="GBP"),X465,   _xll.qDateNext(X465,"-2b",,,IF(CCY="EUR","TGT","LON"))))</f>
        <v>0</v>
      </c>
      <c r="AC465" s="879" t="str">
        <v/>
      </c>
      <c r="AD465" s="879" t="str">
        <v/>
      </c>
      <c r="AE465" s="879" t="str">
        <v/>
      </c>
      <c r="AF465" s="879" t="str">
        <v/>
      </c>
      <c r="AG465" s="879" t="str">
        <v/>
      </c>
      <c r="AH465" s="879" t="str">
        <v/>
      </c>
      <c r="AI465" s="879" t="str">
        <v/>
      </c>
      <c r="AJ465" s="879" t="str">
        <v/>
      </c>
      <c r="AK465" s="882">
        <f>IF($X465=0,0,      _xll.qDateNext($X465,AK$12,$AR$11,FRM&lt;&gt;"Calypso",CCY))</f>
        <v>0</v>
      </c>
      <c r="AL465" s="882">
        <f>IF($X465=0,0,      _xll.qDateNext($X465,AL$12,$AR$11,FRM&lt;&gt;"Calypso",CCY))</f>
        <v>0</v>
      </c>
      <c r="AM465" s="882">
        <f>IF($X465=0,0,      _xll.qDateNext($X465,AM$12,$AR$11,FRM&lt;&gt;"Calypso",CCY))</f>
        <v>0</v>
      </c>
      <c r="AN465" s="882">
        <f>IF($X465=0,0,      _xll.qDateNext($X465,AN$12,$AR$11,FRM&lt;&gt;"Calypso",CCY))</f>
        <v>0</v>
      </c>
      <c r="AO465" s="882">
        <f>IF($X465=0,0,      _xll.qDateNext($X465,AO$12,$AR$11,FRM&lt;&gt;"Calypso",CCY))</f>
        <v>0</v>
      </c>
      <c r="AP465" s="882">
        <f>IF($X465=0,0,      _xll.qDateNext($X465,AP$12,$AR$11,FRM&lt;&gt;"Calypso",CCY))</f>
        <v>0</v>
      </c>
      <c r="AQ465" s="882">
        <f>IF($X465=0,0,      _xll.qDateNext($X465,AQ$12,$AR$11,FRM&lt;&gt;"Calypso",CCY))</f>
        <v>0</v>
      </c>
      <c r="AR465" s="882">
        <f>IF($X465=0,0,      _xll.qDateNext($X465,AR$12,$AR$11,FRM&lt;&gt;"Calypso",CCY))</f>
        <v>0</v>
      </c>
      <c r="AS465" s="901">
        <f ca="1"/>
        <v>0</v>
      </c>
      <c r="AT465" s="901">
        <f ca="1"/>
        <v>0</v>
      </c>
      <c r="AU465" s="901">
        <f t="shared" si="130"/>
        <v>0</v>
      </c>
      <c r="AV465" s="901">
        <f ca="1"/>
        <v>0</v>
      </c>
      <c r="AW465" s="901">
        <f t="shared" si="131"/>
        <v>0</v>
      </c>
      <c r="AX465" s="901">
        <f t="shared" si="132"/>
        <v>0</v>
      </c>
      <c r="AY465" s="901">
        <f ca="1"/>
        <v>0</v>
      </c>
      <c r="AZ465" s="901">
        <f ca="1"/>
        <v>0</v>
      </c>
      <c r="BA465" s="905">
        <f t="shared" si="121"/>
        <v>0</v>
      </c>
      <c r="BB465" s="905">
        <f t="shared" si="122"/>
        <v>0</v>
      </c>
      <c r="BC465" s="905">
        <f t="shared" si="123"/>
        <v>0</v>
      </c>
      <c r="BD465" s="905">
        <f t="shared" si="124"/>
        <v>0</v>
      </c>
      <c r="BE465" s="905">
        <f t="shared" si="125"/>
        <v>0</v>
      </c>
      <c r="BF465" s="905">
        <f t="shared" si="126"/>
        <v>0</v>
      </c>
      <c r="BG465" s="905">
        <f t="shared" si="127"/>
        <v>0</v>
      </c>
      <c r="BH465" s="905">
        <f t="shared" si="128"/>
        <v>0</v>
      </c>
      <c r="BI465" s="713">
        <v>0</v>
      </c>
      <c r="BJ465" s="695"/>
      <c r="BK465" s="752">
        <f>IF(X466=0,0,           IF(ISNUMBER(BJ465),BJ465,               IF(ISTEXT(BJ465),INDEX(BA465:BH465,MATCH(BJ465,$BA$12:$BH$12,0)),             IF(BI465="INT",_xll.qInterp(X466,AK465:AR465,BA465:BH465),            INDEX(BA465:BH465,MATCH(BI465,$BA$12:$BH$12,0))))))</f>
        <v>0</v>
      </c>
      <c r="BL465" s="389">
        <f t="shared" si="133"/>
        <v>0</v>
      </c>
      <c r="BM465" s="394">
        <f t="shared" si="134"/>
        <v>0</v>
      </c>
      <c r="BN465" s="389">
        <f t="shared" si="135"/>
        <v>0</v>
      </c>
    </row>
    <row r="466" spans="16:66">
      <c r="P466" s="716">
        <v>0</v>
      </c>
      <c r="Q466" s="715">
        <f t="shared" si="119"/>
        <v>0</v>
      </c>
      <c r="R466" s="712">
        <f>IF(P467,_xll.qDateYears(P466,P467,DCCfixed),0)</f>
        <v>0</v>
      </c>
      <c r="S466" s="519">
        <f ca="1"/>
        <v>0</v>
      </c>
      <c r="T466" s="720"/>
      <c r="U466" s="390">
        <f t="shared" si="129"/>
        <v>0</v>
      </c>
      <c r="X466" s="345">
        <v>0</v>
      </c>
      <c r="Y466" s="711">
        <f t="shared" si="120"/>
        <v>0</v>
      </c>
      <c r="Z466" s="712">
        <f>IF(X467,_xll.qDateYears(X466,X467,DCCfloat),0)</f>
        <v>0</v>
      </c>
      <c r="AA466" s="519">
        <f ca="1"/>
        <v>0</v>
      </c>
      <c r="AB466" s="890">
        <f>IF(X466=0,0,         IF(OR(CCY="AUD",CCY="NZD",CCY="GBP"),X466,   _xll.qDateNext(X466,"-2b",,,IF(CCY="EUR","TGT","LON"))))</f>
        <v>0</v>
      </c>
      <c r="AC466" s="879" t="str">
        <v/>
      </c>
      <c r="AD466" s="879" t="str">
        <v/>
      </c>
      <c r="AE466" s="879" t="str">
        <v/>
      </c>
      <c r="AF466" s="879" t="str">
        <v/>
      </c>
      <c r="AG466" s="879" t="str">
        <v/>
      </c>
      <c r="AH466" s="879" t="str">
        <v/>
      </c>
      <c r="AI466" s="879" t="str">
        <v/>
      </c>
      <c r="AJ466" s="879" t="str">
        <v/>
      </c>
      <c r="AK466" s="882">
        <f>IF($X466=0,0,      _xll.qDateNext($X466,AK$12,$AR$11,FRM&lt;&gt;"Calypso",CCY))</f>
        <v>0</v>
      </c>
      <c r="AL466" s="882">
        <f>IF($X466=0,0,      _xll.qDateNext($X466,AL$12,$AR$11,FRM&lt;&gt;"Calypso",CCY))</f>
        <v>0</v>
      </c>
      <c r="AM466" s="882">
        <f>IF($X466=0,0,      _xll.qDateNext($X466,AM$12,$AR$11,FRM&lt;&gt;"Calypso",CCY))</f>
        <v>0</v>
      </c>
      <c r="AN466" s="882">
        <f>IF($X466=0,0,      _xll.qDateNext($X466,AN$12,$AR$11,FRM&lt;&gt;"Calypso",CCY))</f>
        <v>0</v>
      </c>
      <c r="AO466" s="882">
        <f>IF($X466=0,0,      _xll.qDateNext($X466,AO$12,$AR$11,FRM&lt;&gt;"Calypso",CCY))</f>
        <v>0</v>
      </c>
      <c r="AP466" s="882">
        <f>IF($X466=0,0,      _xll.qDateNext($X466,AP$12,$AR$11,FRM&lt;&gt;"Calypso",CCY))</f>
        <v>0</v>
      </c>
      <c r="AQ466" s="882">
        <f>IF($X466=0,0,      _xll.qDateNext($X466,AQ$12,$AR$11,FRM&lt;&gt;"Calypso",CCY))</f>
        <v>0</v>
      </c>
      <c r="AR466" s="882">
        <f>IF($X466=0,0,      _xll.qDateNext($X466,AR$12,$AR$11,FRM&lt;&gt;"Calypso",CCY))</f>
        <v>0</v>
      </c>
      <c r="AS466" s="901">
        <f ca="1"/>
        <v>0</v>
      </c>
      <c r="AT466" s="901">
        <f ca="1"/>
        <v>0</v>
      </c>
      <c r="AU466" s="901">
        <f t="shared" si="130"/>
        <v>0</v>
      </c>
      <c r="AV466" s="901">
        <f ca="1"/>
        <v>0</v>
      </c>
      <c r="AW466" s="901">
        <f t="shared" si="131"/>
        <v>0</v>
      </c>
      <c r="AX466" s="901">
        <f t="shared" si="132"/>
        <v>0</v>
      </c>
      <c r="AY466" s="901">
        <f ca="1"/>
        <v>0</v>
      </c>
      <c r="AZ466" s="901">
        <f ca="1"/>
        <v>0</v>
      </c>
      <c r="BA466" s="905">
        <f t="shared" si="121"/>
        <v>0</v>
      </c>
      <c r="BB466" s="905">
        <f t="shared" si="122"/>
        <v>0</v>
      </c>
      <c r="BC466" s="905">
        <f t="shared" si="123"/>
        <v>0</v>
      </c>
      <c r="BD466" s="905">
        <f t="shared" si="124"/>
        <v>0</v>
      </c>
      <c r="BE466" s="905">
        <f t="shared" si="125"/>
        <v>0</v>
      </c>
      <c r="BF466" s="905">
        <f t="shared" si="126"/>
        <v>0</v>
      </c>
      <c r="BG466" s="905">
        <f t="shared" si="127"/>
        <v>0</v>
      </c>
      <c r="BH466" s="905">
        <f t="shared" si="128"/>
        <v>0</v>
      </c>
      <c r="BI466" s="713">
        <v>0</v>
      </c>
      <c r="BJ466" s="695"/>
      <c r="BK466" s="752">
        <f>IF(X467=0,0,           IF(ISNUMBER(BJ466),BJ466,               IF(ISTEXT(BJ466),INDEX(BA466:BH466,MATCH(BJ466,$BA$12:$BH$12,0)),             IF(BI466="INT",_xll.qInterp(X467,AK466:AR466,BA466:BH466),            INDEX(BA466:BH466,MATCH(BI466,$BA$12:$BH$12,0))))))</f>
        <v>0</v>
      </c>
      <c r="BL466" s="389">
        <f t="shared" si="133"/>
        <v>0</v>
      </c>
      <c r="BM466" s="394">
        <f t="shared" si="134"/>
        <v>0</v>
      </c>
      <c r="BN466" s="389">
        <f t="shared" si="135"/>
        <v>0</v>
      </c>
    </row>
    <row r="467" spans="16:66">
      <c r="P467" s="716">
        <v>0</v>
      </c>
      <c r="Q467" s="715">
        <f t="shared" si="119"/>
        <v>0</v>
      </c>
      <c r="R467" s="712">
        <f>IF(P468,_xll.qDateYears(P467,P468,DCCfixed),0)</f>
        <v>0</v>
      </c>
      <c r="S467" s="519">
        <f ca="1"/>
        <v>0</v>
      </c>
      <c r="T467" s="720"/>
      <c r="U467" s="390">
        <f t="shared" si="129"/>
        <v>0</v>
      </c>
      <c r="X467" s="345">
        <v>0</v>
      </c>
      <c r="Y467" s="711">
        <f t="shared" si="120"/>
        <v>0</v>
      </c>
      <c r="Z467" s="712">
        <f>IF(X468,_xll.qDateYears(X467,X468,DCCfloat),0)</f>
        <v>0</v>
      </c>
      <c r="AA467" s="519">
        <f ca="1"/>
        <v>0</v>
      </c>
      <c r="AB467" s="890">
        <f>IF(X467=0,0,         IF(OR(CCY="AUD",CCY="NZD",CCY="GBP"),X467,   _xll.qDateNext(X467,"-2b",,,IF(CCY="EUR","TGT","LON"))))</f>
        <v>0</v>
      </c>
      <c r="AC467" s="879" t="str">
        <v/>
      </c>
      <c r="AD467" s="879" t="str">
        <v/>
      </c>
      <c r="AE467" s="879" t="str">
        <v/>
      </c>
      <c r="AF467" s="879" t="str">
        <v/>
      </c>
      <c r="AG467" s="879" t="str">
        <v/>
      </c>
      <c r="AH467" s="879" t="str">
        <v/>
      </c>
      <c r="AI467" s="879" t="str">
        <v/>
      </c>
      <c r="AJ467" s="879" t="str">
        <v/>
      </c>
      <c r="AK467" s="882">
        <f>IF($X467=0,0,      _xll.qDateNext($X467,AK$12,$AR$11,FRM&lt;&gt;"Calypso",CCY))</f>
        <v>0</v>
      </c>
      <c r="AL467" s="882">
        <f>IF($X467=0,0,      _xll.qDateNext($X467,AL$12,$AR$11,FRM&lt;&gt;"Calypso",CCY))</f>
        <v>0</v>
      </c>
      <c r="AM467" s="882">
        <f>IF($X467=0,0,      _xll.qDateNext($X467,AM$12,$AR$11,FRM&lt;&gt;"Calypso",CCY))</f>
        <v>0</v>
      </c>
      <c r="AN467" s="882">
        <f>IF($X467=0,0,      _xll.qDateNext($X467,AN$12,$AR$11,FRM&lt;&gt;"Calypso",CCY))</f>
        <v>0</v>
      </c>
      <c r="AO467" s="882">
        <f>IF($X467=0,0,      _xll.qDateNext($X467,AO$12,$AR$11,FRM&lt;&gt;"Calypso",CCY))</f>
        <v>0</v>
      </c>
      <c r="AP467" s="882">
        <f>IF($X467=0,0,      _xll.qDateNext($X467,AP$12,$AR$11,FRM&lt;&gt;"Calypso",CCY))</f>
        <v>0</v>
      </c>
      <c r="AQ467" s="882">
        <f>IF($X467=0,0,      _xll.qDateNext($X467,AQ$12,$AR$11,FRM&lt;&gt;"Calypso",CCY))</f>
        <v>0</v>
      </c>
      <c r="AR467" s="882">
        <f>IF($X467=0,0,      _xll.qDateNext($X467,AR$12,$AR$11,FRM&lt;&gt;"Calypso",CCY))</f>
        <v>0</v>
      </c>
      <c r="AS467" s="901">
        <f ca="1"/>
        <v>0</v>
      </c>
      <c r="AT467" s="901">
        <f ca="1"/>
        <v>0</v>
      </c>
      <c r="AU467" s="901">
        <f t="shared" si="130"/>
        <v>0</v>
      </c>
      <c r="AV467" s="901">
        <f ca="1"/>
        <v>0</v>
      </c>
      <c r="AW467" s="901">
        <f t="shared" si="131"/>
        <v>0</v>
      </c>
      <c r="AX467" s="901">
        <f t="shared" si="132"/>
        <v>0</v>
      </c>
      <c r="AY467" s="901">
        <f ca="1"/>
        <v>0</v>
      </c>
      <c r="AZ467" s="901">
        <f ca="1"/>
        <v>0</v>
      </c>
      <c r="BA467" s="905">
        <f t="shared" si="121"/>
        <v>0</v>
      </c>
      <c r="BB467" s="905">
        <f t="shared" si="122"/>
        <v>0</v>
      </c>
      <c r="BC467" s="905">
        <f t="shared" si="123"/>
        <v>0</v>
      </c>
      <c r="BD467" s="905">
        <f t="shared" si="124"/>
        <v>0</v>
      </c>
      <c r="BE467" s="905">
        <f t="shared" si="125"/>
        <v>0</v>
      </c>
      <c r="BF467" s="905">
        <f t="shared" si="126"/>
        <v>0</v>
      </c>
      <c r="BG467" s="905">
        <f t="shared" si="127"/>
        <v>0</v>
      </c>
      <c r="BH467" s="905">
        <f t="shared" si="128"/>
        <v>0</v>
      </c>
      <c r="BI467" s="713">
        <v>0</v>
      </c>
      <c r="BJ467" s="695"/>
      <c r="BK467" s="752">
        <f>IF(X468=0,0,           IF(ISNUMBER(BJ467),BJ467,               IF(ISTEXT(BJ467),INDEX(BA467:BH467,MATCH(BJ467,$BA$12:$BH$12,0)),             IF(BI467="INT",_xll.qInterp(X468,AK467:AR467,BA467:BH467),            INDEX(BA467:BH467,MATCH(BI467,$BA$12:$BH$12,0))))))</f>
        <v>0</v>
      </c>
      <c r="BL467" s="389">
        <f t="shared" si="133"/>
        <v>0</v>
      </c>
      <c r="BM467" s="394">
        <f t="shared" si="134"/>
        <v>0</v>
      </c>
      <c r="BN467" s="389">
        <f t="shared" si="135"/>
        <v>0</v>
      </c>
    </row>
    <row r="468" spans="16:66">
      <c r="P468" s="716">
        <v>0</v>
      </c>
      <c r="Q468" s="715">
        <f t="shared" si="119"/>
        <v>0</v>
      </c>
      <c r="R468" s="712">
        <f>IF(P469,_xll.qDateYears(P468,P469,DCCfixed),0)</f>
        <v>0</v>
      </c>
      <c r="S468" s="519">
        <f ca="1"/>
        <v>0</v>
      </c>
      <c r="T468" s="720"/>
      <c r="U468" s="390">
        <f t="shared" si="129"/>
        <v>0</v>
      </c>
      <c r="X468" s="345">
        <v>0</v>
      </c>
      <c r="Y468" s="711">
        <f t="shared" si="120"/>
        <v>0</v>
      </c>
      <c r="Z468" s="712">
        <f>IF(X469,_xll.qDateYears(X468,X469,DCCfloat),0)</f>
        <v>0</v>
      </c>
      <c r="AA468" s="519">
        <f ca="1"/>
        <v>0</v>
      </c>
      <c r="AB468" s="890">
        <f>IF(X468=0,0,         IF(OR(CCY="AUD",CCY="NZD",CCY="GBP"),X468,   _xll.qDateNext(X468,"-2b",,,IF(CCY="EUR","TGT","LON"))))</f>
        <v>0</v>
      </c>
      <c r="AC468" s="879" t="str">
        <v/>
      </c>
      <c r="AD468" s="879" t="str">
        <v/>
      </c>
      <c r="AE468" s="879" t="str">
        <v/>
      </c>
      <c r="AF468" s="879" t="str">
        <v/>
      </c>
      <c r="AG468" s="879" t="str">
        <v/>
      </c>
      <c r="AH468" s="879" t="str">
        <v/>
      </c>
      <c r="AI468" s="879" t="str">
        <v/>
      </c>
      <c r="AJ468" s="879" t="str">
        <v/>
      </c>
      <c r="AK468" s="882">
        <f>IF($X468=0,0,      _xll.qDateNext($X468,AK$12,$AR$11,FRM&lt;&gt;"Calypso",CCY))</f>
        <v>0</v>
      </c>
      <c r="AL468" s="882">
        <f>IF($X468=0,0,      _xll.qDateNext($X468,AL$12,$AR$11,FRM&lt;&gt;"Calypso",CCY))</f>
        <v>0</v>
      </c>
      <c r="AM468" s="882">
        <f>IF($X468=0,0,      _xll.qDateNext($X468,AM$12,$AR$11,FRM&lt;&gt;"Calypso",CCY))</f>
        <v>0</v>
      </c>
      <c r="AN468" s="882">
        <f>IF($X468=0,0,      _xll.qDateNext($X468,AN$12,$AR$11,FRM&lt;&gt;"Calypso",CCY))</f>
        <v>0</v>
      </c>
      <c r="AO468" s="882">
        <f>IF($X468=0,0,      _xll.qDateNext($X468,AO$12,$AR$11,FRM&lt;&gt;"Calypso",CCY))</f>
        <v>0</v>
      </c>
      <c r="AP468" s="882">
        <f>IF($X468=0,0,      _xll.qDateNext($X468,AP$12,$AR$11,FRM&lt;&gt;"Calypso",CCY))</f>
        <v>0</v>
      </c>
      <c r="AQ468" s="882">
        <f>IF($X468=0,0,      _xll.qDateNext($X468,AQ$12,$AR$11,FRM&lt;&gt;"Calypso",CCY))</f>
        <v>0</v>
      </c>
      <c r="AR468" s="882">
        <f>IF($X468=0,0,      _xll.qDateNext($X468,AR$12,$AR$11,FRM&lt;&gt;"Calypso",CCY))</f>
        <v>0</v>
      </c>
      <c r="AS468" s="901">
        <f ca="1"/>
        <v>0</v>
      </c>
      <c r="AT468" s="901">
        <f ca="1"/>
        <v>0</v>
      </c>
      <c r="AU468" s="901">
        <f t="shared" si="130"/>
        <v>0</v>
      </c>
      <c r="AV468" s="901">
        <f ca="1"/>
        <v>0</v>
      </c>
      <c r="AW468" s="901">
        <f t="shared" si="131"/>
        <v>0</v>
      </c>
      <c r="AX468" s="901">
        <f t="shared" si="132"/>
        <v>0</v>
      </c>
      <c r="AY468" s="901">
        <f ca="1"/>
        <v>0</v>
      </c>
      <c r="AZ468" s="901">
        <f ca="1"/>
        <v>0</v>
      </c>
      <c r="BA468" s="905">
        <f t="shared" si="121"/>
        <v>0</v>
      </c>
      <c r="BB468" s="905">
        <f t="shared" si="122"/>
        <v>0</v>
      </c>
      <c r="BC468" s="905">
        <f t="shared" si="123"/>
        <v>0</v>
      </c>
      <c r="BD468" s="905">
        <f t="shared" si="124"/>
        <v>0</v>
      </c>
      <c r="BE468" s="905">
        <f t="shared" si="125"/>
        <v>0</v>
      </c>
      <c r="BF468" s="905">
        <f t="shared" si="126"/>
        <v>0</v>
      </c>
      <c r="BG468" s="905">
        <f t="shared" si="127"/>
        <v>0</v>
      </c>
      <c r="BH468" s="905">
        <f t="shared" si="128"/>
        <v>0</v>
      </c>
      <c r="BI468" s="713">
        <v>0</v>
      </c>
      <c r="BJ468" s="695"/>
      <c r="BK468" s="752">
        <f>IF(X469=0,0,           IF(ISNUMBER(BJ468),BJ468,               IF(ISTEXT(BJ468),INDEX(BA468:BH468,MATCH(BJ468,$BA$12:$BH$12,0)),             IF(BI468="INT",_xll.qInterp(X469,AK468:AR468,BA468:BH468),            INDEX(BA468:BH468,MATCH(BI468,$BA$12:$BH$12,0))))))</f>
        <v>0</v>
      </c>
      <c r="BL468" s="389">
        <f t="shared" si="133"/>
        <v>0</v>
      </c>
      <c r="BM468" s="394">
        <f t="shared" si="134"/>
        <v>0</v>
      </c>
      <c r="BN468" s="389">
        <f t="shared" si="135"/>
        <v>0</v>
      </c>
    </row>
    <row r="469" spans="16:66">
      <c r="P469" s="716">
        <v>0</v>
      </c>
      <c r="Q469" s="715">
        <f t="shared" si="119"/>
        <v>0</v>
      </c>
      <c r="R469" s="712">
        <f>IF(P470,_xll.qDateYears(P469,P470,DCCfixed),0)</f>
        <v>0</v>
      </c>
      <c r="S469" s="519">
        <f ca="1"/>
        <v>0</v>
      </c>
      <c r="T469" s="720"/>
      <c r="U469" s="390">
        <f t="shared" si="129"/>
        <v>0</v>
      </c>
      <c r="X469" s="345">
        <v>0</v>
      </c>
      <c r="Y469" s="711">
        <f t="shared" si="120"/>
        <v>0</v>
      </c>
      <c r="Z469" s="712">
        <f>IF(X470,_xll.qDateYears(X469,X470,DCCfloat),0)</f>
        <v>0</v>
      </c>
      <c r="AA469" s="519">
        <f ca="1"/>
        <v>0</v>
      </c>
      <c r="AB469" s="890">
        <f>IF(X469=0,0,         IF(OR(CCY="AUD",CCY="NZD",CCY="GBP"),X469,   _xll.qDateNext(X469,"-2b",,,IF(CCY="EUR","TGT","LON"))))</f>
        <v>0</v>
      </c>
      <c r="AC469" s="879" t="str">
        <v/>
      </c>
      <c r="AD469" s="879" t="str">
        <v/>
      </c>
      <c r="AE469" s="879" t="str">
        <v/>
      </c>
      <c r="AF469" s="879" t="str">
        <v/>
      </c>
      <c r="AG469" s="879" t="str">
        <v/>
      </c>
      <c r="AH469" s="879" t="str">
        <v/>
      </c>
      <c r="AI469" s="879" t="str">
        <v/>
      </c>
      <c r="AJ469" s="879" t="str">
        <v/>
      </c>
      <c r="AK469" s="882">
        <f>IF($X469=0,0,      _xll.qDateNext($X469,AK$12,$AR$11,FRM&lt;&gt;"Calypso",CCY))</f>
        <v>0</v>
      </c>
      <c r="AL469" s="882">
        <f>IF($X469=0,0,      _xll.qDateNext($X469,AL$12,$AR$11,FRM&lt;&gt;"Calypso",CCY))</f>
        <v>0</v>
      </c>
      <c r="AM469" s="882">
        <f>IF($X469=0,0,      _xll.qDateNext($X469,AM$12,$AR$11,FRM&lt;&gt;"Calypso",CCY))</f>
        <v>0</v>
      </c>
      <c r="AN469" s="882">
        <f>IF($X469=0,0,      _xll.qDateNext($X469,AN$12,$AR$11,FRM&lt;&gt;"Calypso",CCY))</f>
        <v>0</v>
      </c>
      <c r="AO469" s="882">
        <f>IF($X469=0,0,      _xll.qDateNext($X469,AO$12,$AR$11,FRM&lt;&gt;"Calypso",CCY))</f>
        <v>0</v>
      </c>
      <c r="AP469" s="882">
        <f>IF($X469=0,0,      _xll.qDateNext($X469,AP$12,$AR$11,FRM&lt;&gt;"Calypso",CCY))</f>
        <v>0</v>
      </c>
      <c r="AQ469" s="882">
        <f>IF($X469=0,0,      _xll.qDateNext($X469,AQ$12,$AR$11,FRM&lt;&gt;"Calypso",CCY))</f>
        <v>0</v>
      </c>
      <c r="AR469" s="882">
        <f>IF($X469=0,0,      _xll.qDateNext($X469,AR$12,$AR$11,FRM&lt;&gt;"Calypso",CCY))</f>
        <v>0</v>
      </c>
      <c r="AS469" s="901">
        <f ca="1"/>
        <v>0</v>
      </c>
      <c r="AT469" s="901">
        <f ca="1"/>
        <v>0</v>
      </c>
      <c r="AU469" s="901">
        <f t="shared" si="130"/>
        <v>0</v>
      </c>
      <c r="AV469" s="901">
        <f ca="1"/>
        <v>0</v>
      </c>
      <c r="AW469" s="901">
        <f t="shared" si="131"/>
        <v>0</v>
      </c>
      <c r="AX469" s="901">
        <f t="shared" si="132"/>
        <v>0</v>
      </c>
      <c r="AY469" s="901">
        <f ca="1"/>
        <v>0</v>
      </c>
      <c r="AZ469" s="901">
        <f ca="1"/>
        <v>0</v>
      </c>
      <c r="BA469" s="905">
        <f t="shared" si="121"/>
        <v>0</v>
      </c>
      <c r="BB469" s="905">
        <f t="shared" si="122"/>
        <v>0</v>
      </c>
      <c r="BC469" s="905">
        <f t="shared" si="123"/>
        <v>0</v>
      </c>
      <c r="BD469" s="905">
        <f t="shared" si="124"/>
        <v>0</v>
      </c>
      <c r="BE469" s="905">
        <f t="shared" si="125"/>
        <v>0</v>
      </c>
      <c r="BF469" s="905">
        <f t="shared" si="126"/>
        <v>0</v>
      </c>
      <c r="BG469" s="905">
        <f t="shared" si="127"/>
        <v>0</v>
      </c>
      <c r="BH469" s="905">
        <f t="shared" si="128"/>
        <v>0</v>
      </c>
      <c r="BI469" s="713">
        <v>0</v>
      </c>
      <c r="BJ469" s="695"/>
      <c r="BK469" s="752">
        <f>IF(X470=0,0,           IF(ISNUMBER(BJ469),BJ469,               IF(ISTEXT(BJ469),INDEX(BA469:BH469,MATCH(BJ469,$BA$12:$BH$12,0)),             IF(BI469="INT",_xll.qInterp(X470,AK469:AR469,BA469:BH469),            INDEX(BA469:BH469,MATCH(BI469,$BA$12:$BH$12,0))))))</f>
        <v>0</v>
      </c>
      <c r="BL469" s="389">
        <f t="shared" si="133"/>
        <v>0</v>
      </c>
      <c r="BM469" s="394">
        <f t="shared" si="134"/>
        <v>0</v>
      </c>
      <c r="BN469" s="389">
        <f t="shared" si="135"/>
        <v>0</v>
      </c>
    </row>
    <row r="470" spans="16:66">
      <c r="P470" s="716">
        <v>0</v>
      </c>
      <c r="Q470" s="715">
        <f t="shared" si="119"/>
        <v>0</v>
      </c>
      <c r="R470" s="712">
        <f>IF(P471,_xll.qDateYears(P470,P471,DCCfixed),0)</f>
        <v>0</v>
      </c>
      <c r="S470" s="519">
        <f ca="1"/>
        <v>0</v>
      </c>
      <c r="T470" s="720"/>
      <c r="U470" s="390">
        <f t="shared" si="129"/>
        <v>0</v>
      </c>
      <c r="X470" s="345">
        <v>0</v>
      </c>
      <c r="Y470" s="711">
        <f t="shared" si="120"/>
        <v>0</v>
      </c>
      <c r="Z470" s="712">
        <f>IF(X471,_xll.qDateYears(X470,X471,DCCfloat),0)</f>
        <v>0</v>
      </c>
      <c r="AA470" s="519">
        <f ca="1"/>
        <v>0</v>
      </c>
      <c r="AB470" s="890">
        <f>IF(X470=0,0,         IF(OR(CCY="AUD",CCY="NZD",CCY="GBP"),X470,   _xll.qDateNext(X470,"-2b",,,IF(CCY="EUR","TGT","LON"))))</f>
        <v>0</v>
      </c>
      <c r="AC470" s="879" t="str">
        <v/>
      </c>
      <c r="AD470" s="879" t="str">
        <v/>
      </c>
      <c r="AE470" s="879" t="str">
        <v/>
      </c>
      <c r="AF470" s="879" t="str">
        <v/>
      </c>
      <c r="AG470" s="879" t="str">
        <v/>
      </c>
      <c r="AH470" s="879" t="str">
        <v/>
      </c>
      <c r="AI470" s="879" t="str">
        <v/>
      </c>
      <c r="AJ470" s="879" t="str">
        <v/>
      </c>
      <c r="AK470" s="882">
        <f>IF($X470=0,0,      _xll.qDateNext($X470,AK$12,$AR$11,FRM&lt;&gt;"Calypso",CCY))</f>
        <v>0</v>
      </c>
      <c r="AL470" s="882">
        <f>IF($X470=0,0,      _xll.qDateNext($X470,AL$12,$AR$11,FRM&lt;&gt;"Calypso",CCY))</f>
        <v>0</v>
      </c>
      <c r="AM470" s="882">
        <f>IF($X470=0,0,      _xll.qDateNext($X470,AM$12,$AR$11,FRM&lt;&gt;"Calypso",CCY))</f>
        <v>0</v>
      </c>
      <c r="AN470" s="882">
        <f>IF($X470=0,0,      _xll.qDateNext($X470,AN$12,$AR$11,FRM&lt;&gt;"Calypso",CCY))</f>
        <v>0</v>
      </c>
      <c r="AO470" s="882">
        <f>IF($X470=0,0,      _xll.qDateNext($X470,AO$12,$AR$11,FRM&lt;&gt;"Calypso",CCY))</f>
        <v>0</v>
      </c>
      <c r="AP470" s="882">
        <f>IF($X470=0,0,      _xll.qDateNext($X470,AP$12,$AR$11,FRM&lt;&gt;"Calypso",CCY))</f>
        <v>0</v>
      </c>
      <c r="AQ470" s="882">
        <f>IF($X470=0,0,      _xll.qDateNext($X470,AQ$12,$AR$11,FRM&lt;&gt;"Calypso",CCY))</f>
        <v>0</v>
      </c>
      <c r="AR470" s="882">
        <f>IF($X470=0,0,      _xll.qDateNext($X470,AR$12,$AR$11,FRM&lt;&gt;"Calypso",CCY))</f>
        <v>0</v>
      </c>
      <c r="AS470" s="901">
        <f ca="1"/>
        <v>0</v>
      </c>
      <c r="AT470" s="901">
        <f ca="1"/>
        <v>0</v>
      </c>
      <c r="AU470" s="901">
        <f t="shared" si="130"/>
        <v>0</v>
      </c>
      <c r="AV470" s="901">
        <f ca="1"/>
        <v>0</v>
      </c>
      <c r="AW470" s="901">
        <f t="shared" si="131"/>
        <v>0</v>
      </c>
      <c r="AX470" s="901">
        <f t="shared" si="132"/>
        <v>0</v>
      </c>
      <c r="AY470" s="901">
        <f ca="1"/>
        <v>0</v>
      </c>
      <c r="AZ470" s="901">
        <f ca="1"/>
        <v>0</v>
      </c>
      <c r="BA470" s="905">
        <f t="shared" si="121"/>
        <v>0</v>
      </c>
      <c r="BB470" s="905">
        <f t="shared" si="122"/>
        <v>0</v>
      </c>
      <c r="BC470" s="905">
        <f t="shared" si="123"/>
        <v>0</v>
      </c>
      <c r="BD470" s="905">
        <f t="shared" si="124"/>
        <v>0</v>
      </c>
      <c r="BE470" s="905">
        <f t="shared" si="125"/>
        <v>0</v>
      </c>
      <c r="BF470" s="905">
        <f t="shared" si="126"/>
        <v>0</v>
      </c>
      <c r="BG470" s="905">
        <f t="shared" si="127"/>
        <v>0</v>
      </c>
      <c r="BH470" s="905">
        <f t="shared" si="128"/>
        <v>0</v>
      </c>
      <c r="BI470" s="713">
        <v>0</v>
      </c>
      <c r="BJ470" s="695"/>
      <c r="BK470" s="752">
        <f>IF(X471=0,0,           IF(ISNUMBER(BJ470),BJ470,               IF(ISTEXT(BJ470),INDEX(BA470:BH470,MATCH(BJ470,$BA$12:$BH$12,0)),             IF(BI470="INT",_xll.qInterp(X471,AK470:AR470,BA470:BH470),            INDEX(BA470:BH470,MATCH(BI470,$BA$12:$BH$12,0))))))</f>
        <v>0</v>
      </c>
      <c r="BL470" s="389">
        <f t="shared" si="133"/>
        <v>0</v>
      </c>
      <c r="BM470" s="394">
        <f t="shared" si="134"/>
        <v>0</v>
      </c>
      <c r="BN470" s="389">
        <f t="shared" si="135"/>
        <v>0</v>
      </c>
    </row>
    <row r="471" spans="16:66">
      <c r="P471" s="716">
        <v>0</v>
      </c>
      <c r="Q471" s="715">
        <f t="shared" si="119"/>
        <v>0</v>
      </c>
      <c r="R471" s="712">
        <f>IF(P472,_xll.qDateYears(P471,P472,DCCfixed),0)</f>
        <v>0</v>
      </c>
      <c r="S471" s="519">
        <f ca="1"/>
        <v>0</v>
      </c>
      <c r="T471" s="720"/>
      <c r="U471" s="390">
        <f t="shared" si="129"/>
        <v>0</v>
      </c>
      <c r="X471" s="345">
        <v>0</v>
      </c>
      <c r="Y471" s="711">
        <f t="shared" si="120"/>
        <v>0</v>
      </c>
      <c r="Z471" s="712">
        <f>IF(X472,_xll.qDateYears(X471,X472,DCCfloat),0)</f>
        <v>0</v>
      </c>
      <c r="AA471" s="519">
        <f ca="1"/>
        <v>0</v>
      </c>
      <c r="AB471" s="890">
        <f>IF(X471=0,0,         IF(OR(CCY="AUD",CCY="NZD",CCY="GBP"),X471,   _xll.qDateNext(X471,"-2b",,,IF(CCY="EUR","TGT","LON"))))</f>
        <v>0</v>
      </c>
      <c r="AC471" s="879" t="str">
        <v/>
      </c>
      <c r="AD471" s="879" t="str">
        <v/>
      </c>
      <c r="AE471" s="879" t="str">
        <v/>
      </c>
      <c r="AF471" s="879" t="str">
        <v/>
      </c>
      <c r="AG471" s="879" t="str">
        <v/>
      </c>
      <c r="AH471" s="879" t="str">
        <v/>
      </c>
      <c r="AI471" s="879" t="str">
        <v/>
      </c>
      <c r="AJ471" s="879" t="str">
        <v/>
      </c>
      <c r="AK471" s="882">
        <f>IF($X471=0,0,      _xll.qDateNext($X471,AK$12,$AR$11,FRM&lt;&gt;"Calypso",CCY))</f>
        <v>0</v>
      </c>
      <c r="AL471" s="882">
        <f>IF($X471=0,0,      _xll.qDateNext($X471,AL$12,$AR$11,FRM&lt;&gt;"Calypso",CCY))</f>
        <v>0</v>
      </c>
      <c r="AM471" s="882">
        <f>IF($X471=0,0,      _xll.qDateNext($X471,AM$12,$AR$11,FRM&lt;&gt;"Calypso",CCY))</f>
        <v>0</v>
      </c>
      <c r="AN471" s="882">
        <f>IF($X471=0,0,      _xll.qDateNext($X471,AN$12,$AR$11,FRM&lt;&gt;"Calypso",CCY))</f>
        <v>0</v>
      </c>
      <c r="AO471" s="882">
        <f>IF($X471=0,0,      _xll.qDateNext($X471,AO$12,$AR$11,FRM&lt;&gt;"Calypso",CCY))</f>
        <v>0</v>
      </c>
      <c r="AP471" s="882">
        <f>IF($X471=0,0,      _xll.qDateNext($X471,AP$12,$AR$11,FRM&lt;&gt;"Calypso",CCY))</f>
        <v>0</v>
      </c>
      <c r="AQ471" s="882">
        <f>IF($X471=0,0,      _xll.qDateNext($X471,AQ$12,$AR$11,FRM&lt;&gt;"Calypso",CCY))</f>
        <v>0</v>
      </c>
      <c r="AR471" s="882">
        <f>IF($X471=0,0,      _xll.qDateNext($X471,AR$12,$AR$11,FRM&lt;&gt;"Calypso",CCY))</f>
        <v>0</v>
      </c>
      <c r="AS471" s="901">
        <f ca="1"/>
        <v>0</v>
      </c>
      <c r="AT471" s="901">
        <f ca="1"/>
        <v>0</v>
      </c>
      <c r="AU471" s="901">
        <f t="shared" si="130"/>
        <v>0</v>
      </c>
      <c r="AV471" s="901">
        <f ca="1"/>
        <v>0</v>
      </c>
      <c r="AW471" s="901">
        <f t="shared" si="131"/>
        <v>0</v>
      </c>
      <c r="AX471" s="901">
        <f t="shared" si="132"/>
        <v>0</v>
      </c>
      <c r="AY471" s="901">
        <f ca="1"/>
        <v>0</v>
      </c>
      <c r="AZ471" s="901">
        <f ca="1"/>
        <v>0</v>
      </c>
      <c r="BA471" s="905">
        <f t="shared" si="121"/>
        <v>0</v>
      </c>
      <c r="BB471" s="905">
        <f t="shared" si="122"/>
        <v>0</v>
      </c>
      <c r="BC471" s="905">
        <f t="shared" si="123"/>
        <v>0</v>
      </c>
      <c r="BD471" s="905">
        <f t="shared" si="124"/>
        <v>0</v>
      </c>
      <c r="BE471" s="905">
        <f t="shared" si="125"/>
        <v>0</v>
      </c>
      <c r="BF471" s="905">
        <f t="shared" si="126"/>
        <v>0</v>
      </c>
      <c r="BG471" s="905">
        <f t="shared" si="127"/>
        <v>0</v>
      </c>
      <c r="BH471" s="905">
        <f t="shared" si="128"/>
        <v>0</v>
      </c>
      <c r="BI471" s="713">
        <v>0</v>
      </c>
      <c r="BJ471" s="695"/>
      <c r="BK471" s="752">
        <f>IF(X472=0,0,           IF(ISNUMBER(BJ471),BJ471,               IF(ISTEXT(BJ471),INDEX(BA471:BH471,MATCH(BJ471,$BA$12:$BH$12,0)),             IF(BI471="INT",_xll.qInterp(X472,AK471:AR471,BA471:BH471),            INDEX(BA471:BH471,MATCH(BI471,$BA$12:$BH$12,0))))))</f>
        <v>0</v>
      </c>
      <c r="BL471" s="389">
        <f t="shared" si="133"/>
        <v>0</v>
      </c>
      <c r="BM471" s="394">
        <f t="shared" si="134"/>
        <v>0</v>
      </c>
      <c r="BN471" s="389">
        <f t="shared" si="135"/>
        <v>0</v>
      </c>
    </row>
    <row r="472" spans="16:66">
      <c r="P472" s="716">
        <v>0</v>
      </c>
      <c r="Q472" s="715">
        <f t="shared" si="119"/>
        <v>0</v>
      </c>
      <c r="R472" s="712">
        <f>IF(P473,_xll.qDateYears(P472,P473,DCCfixed),0)</f>
        <v>0</v>
      </c>
      <c r="S472" s="519">
        <f ca="1"/>
        <v>0</v>
      </c>
      <c r="T472" s="720"/>
      <c r="U472" s="390">
        <f t="shared" si="129"/>
        <v>0</v>
      </c>
      <c r="X472" s="345">
        <v>0</v>
      </c>
      <c r="Y472" s="711">
        <f t="shared" si="120"/>
        <v>0</v>
      </c>
      <c r="Z472" s="712">
        <f>IF(X473,_xll.qDateYears(X472,X473,DCCfloat),0)</f>
        <v>0</v>
      </c>
      <c r="AA472" s="519">
        <f ca="1"/>
        <v>0</v>
      </c>
      <c r="AB472" s="890">
        <f>IF(X472=0,0,         IF(OR(CCY="AUD",CCY="NZD",CCY="GBP"),X472,   _xll.qDateNext(X472,"-2b",,,IF(CCY="EUR","TGT","LON"))))</f>
        <v>0</v>
      </c>
      <c r="AC472" s="879" t="str">
        <v/>
      </c>
      <c r="AD472" s="879" t="str">
        <v/>
      </c>
      <c r="AE472" s="879" t="str">
        <v/>
      </c>
      <c r="AF472" s="879" t="str">
        <v/>
      </c>
      <c r="AG472" s="879" t="str">
        <v/>
      </c>
      <c r="AH472" s="879" t="str">
        <v/>
      </c>
      <c r="AI472" s="879" t="str">
        <v/>
      </c>
      <c r="AJ472" s="879" t="str">
        <v/>
      </c>
      <c r="AK472" s="882">
        <f>IF($X472=0,0,      _xll.qDateNext($X472,AK$12,$AR$11,FRM&lt;&gt;"Calypso",CCY))</f>
        <v>0</v>
      </c>
      <c r="AL472" s="882">
        <f>IF($X472=0,0,      _xll.qDateNext($X472,AL$12,$AR$11,FRM&lt;&gt;"Calypso",CCY))</f>
        <v>0</v>
      </c>
      <c r="AM472" s="882">
        <f>IF($X472=0,0,      _xll.qDateNext($X472,AM$12,$AR$11,FRM&lt;&gt;"Calypso",CCY))</f>
        <v>0</v>
      </c>
      <c r="AN472" s="882">
        <f>IF($X472=0,0,      _xll.qDateNext($X472,AN$12,$AR$11,FRM&lt;&gt;"Calypso",CCY))</f>
        <v>0</v>
      </c>
      <c r="AO472" s="882">
        <f>IF($X472=0,0,      _xll.qDateNext($X472,AO$12,$AR$11,FRM&lt;&gt;"Calypso",CCY))</f>
        <v>0</v>
      </c>
      <c r="AP472" s="882">
        <f>IF($X472=0,0,      _xll.qDateNext($X472,AP$12,$AR$11,FRM&lt;&gt;"Calypso",CCY))</f>
        <v>0</v>
      </c>
      <c r="AQ472" s="882">
        <f>IF($X472=0,0,      _xll.qDateNext($X472,AQ$12,$AR$11,FRM&lt;&gt;"Calypso",CCY))</f>
        <v>0</v>
      </c>
      <c r="AR472" s="882">
        <f>IF($X472=0,0,      _xll.qDateNext($X472,AR$12,$AR$11,FRM&lt;&gt;"Calypso",CCY))</f>
        <v>0</v>
      </c>
      <c r="AS472" s="901">
        <f ca="1"/>
        <v>0</v>
      </c>
      <c r="AT472" s="901">
        <f ca="1"/>
        <v>0</v>
      </c>
      <c r="AU472" s="901">
        <f t="shared" si="130"/>
        <v>0</v>
      </c>
      <c r="AV472" s="901">
        <f ca="1"/>
        <v>0</v>
      </c>
      <c r="AW472" s="901">
        <f t="shared" si="131"/>
        <v>0</v>
      </c>
      <c r="AX472" s="901">
        <f t="shared" si="132"/>
        <v>0</v>
      </c>
      <c r="AY472" s="901">
        <f ca="1"/>
        <v>0</v>
      </c>
      <c r="AZ472" s="901">
        <f ca="1"/>
        <v>0</v>
      </c>
      <c r="BA472" s="905">
        <f t="shared" si="121"/>
        <v>0</v>
      </c>
      <c r="BB472" s="905">
        <f t="shared" si="122"/>
        <v>0</v>
      </c>
      <c r="BC472" s="905">
        <f t="shared" si="123"/>
        <v>0</v>
      </c>
      <c r="BD472" s="905">
        <f t="shared" si="124"/>
        <v>0</v>
      </c>
      <c r="BE472" s="905">
        <f t="shared" si="125"/>
        <v>0</v>
      </c>
      <c r="BF472" s="905">
        <f t="shared" si="126"/>
        <v>0</v>
      </c>
      <c r="BG472" s="905">
        <f t="shared" si="127"/>
        <v>0</v>
      </c>
      <c r="BH472" s="905">
        <f t="shared" si="128"/>
        <v>0</v>
      </c>
      <c r="BI472" s="713">
        <v>0</v>
      </c>
      <c r="BJ472" s="695"/>
      <c r="BK472" s="752">
        <f>IF(X473=0,0,           IF(ISNUMBER(BJ472),BJ472,               IF(ISTEXT(BJ472),INDEX(BA472:BH472,MATCH(BJ472,$BA$12:$BH$12,0)),             IF(BI472="INT",_xll.qInterp(X473,AK472:AR472,BA472:BH472),            INDEX(BA472:BH472,MATCH(BI472,$BA$12:$BH$12,0))))))</f>
        <v>0</v>
      </c>
      <c r="BL472" s="389">
        <f t="shared" si="133"/>
        <v>0</v>
      </c>
      <c r="BM472" s="394">
        <f t="shared" si="134"/>
        <v>0</v>
      </c>
      <c r="BN472" s="389">
        <f t="shared" si="135"/>
        <v>0</v>
      </c>
    </row>
    <row r="473" spans="16:66">
      <c r="P473" s="716">
        <v>0</v>
      </c>
      <c r="Q473" s="715">
        <f t="shared" si="119"/>
        <v>0</v>
      </c>
      <c r="R473" s="712">
        <f>IF(P474,_xll.qDateYears(P473,P474,DCCfixed),0)</f>
        <v>0</v>
      </c>
      <c r="S473" s="519">
        <f ca="1"/>
        <v>0</v>
      </c>
      <c r="T473" s="720"/>
      <c r="U473" s="390">
        <f t="shared" si="129"/>
        <v>0</v>
      </c>
      <c r="X473" s="345">
        <v>0</v>
      </c>
      <c r="Y473" s="711">
        <f t="shared" si="120"/>
        <v>0</v>
      </c>
      <c r="Z473" s="712">
        <f>IF(X474,_xll.qDateYears(X473,X474,DCCfloat),0)</f>
        <v>0</v>
      </c>
      <c r="AA473" s="519">
        <f ca="1"/>
        <v>0</v>
      </c>
      <c r="AB473" s="890">
        <f>IF(X473=0,0,         IF(OR(CCY="AUD",CCY="NZD",CCY="GBP"),X473,   _xll.qDateNext(X473,"-2b",,,IF(CCY="EUR","TGT","LON"))))</f>
        <v>0</v>
      </c>
      <c r="AC473" s="879" t="str">
        <v/>
      </c>
      <c r="AD473" s="879" t="str">
        <v/>
      </c>
      <c r="AE473" s="879" t="str">
        <v/>
      </c>
      <c r="AF473" s="879" t="str">
        <v/>
      </c>
      <c r="AG473" s="879" t="str">
        <v/>
      </c>
      <c r="AH473" s="879" t="str">
        <v/>
      </c>
      <c r="AI473" s="879" t="str">
        <v/>
      </c>
      <c r="AJ473" s="879" t="str">
        <v/>
      </c>
      <c r="AK473" s="882">
        <f>IF($X473=0,0,      _xll.qDateNext($X473,AK$12,$AR$11,FRM&lt;&gt;"Calypso",CCY))</f>
        <v>0</v>
      </c>
      <c r="AL473" s="882">
        <f>IF($X473=0,0,      _xll.qDateNext($X473,AL$12,$AR$11,FRM&lt;&gt;"Calypso",CCY))</f>
        <v>0</v>
      </c>
      <c r="AM473" s="882">
        <f>IF($X473=0,0,      _xll.qDateNext($X473,AM$12,$AR$11,FRM&lt;&gt;"Calypso",CCY))</f>
        <v>0</v>
      </c>
      <c r="AN473" s="882">
        <f>IF($X473=0,0,      _xll.qDateNext($X473,AN$12,$AR$11,FRM&lt;&gt;"Calypso",CCY))</f>
        <v>0</v>
      </c>
      <c r="AO473" s="882">
        <f>IF($X473=0,0,      _xll.qDateNext($X473,AO$12,$AR$11,FRM&lt;&gt;"Calypso",CCY))</f>
        <v>0</v>
      </c>
      <c r="AP473" s="882">
        <f>IF($X473=0,0,      _xll.qDateNext($X473,AP$12,$AR$11,FRM&lt;&gt;"Calypso",CCY))</f>
        <v>0</v>
      </c>
      <c r="AQ473" s="882">
        <f>IF($X473=0,0,      _xll.qDateNext($X473,AQ$12,$AR$11,FRM&lt;&gt;"Calypso",CCY))</f>
        <v>0</v>
      </c>
      <c r="AR473" s="882">
        <f>IF($X473=0,0,      _xll.qDateNext($X473,AR$12,$AR$11,FRM&lt;&gt;"Calypso",CCY))</f>
        <v>0</v>
      </c>
      <c r="AS473" s="901">
        <f ca="1"/>
        <v>0</v>
      </c>
      <c r="AT473" s="901">
        <f ca="1"/>
        <v>0</v>
      </c>
      <c r="AU473" s="901">
        <f t="shared" si="130"/>
        <v>0</v>
      </c>
      <c r="AV473" s="901">
        <f ca="1"/>
        <v>0</v>
      </c>
      <c r="AW473" s="901">
        <f t="shared" si="131"/>
        <v>0</v>
      </c>
      <c r="AX473" s="901">
        <f t="shared" si="132"/>
        <v>0</v>
      </c>
      <c r="AY473" s="901">
        <f ca="1"/>
        <v>0</v>
      </c>
      <c r="AZ473" s="901">
        <f ca="1"/>
        <v>0</v>
      </c>
      <c r="BA473" s="905">
        <f t="shared" si="121"/>
        <v>0</v>
      </c>
      <c r="BB473" s="905">
        <f t="shared" si="122"/>
        <v>0</v>
      </c>
      <c r="BC473" s="905">
        <f t="shared" si="123"/>
        <v>0</v>
      </c>
      <c r="BD473" s="905">
        <f t="shared" si="124"/>
        <v>0</v>
      </c>
      <c r="BE473" s="905">
        <f t="shared" si="125"/>
        <v>0</v>
      </c>
      <c r="BF473" s="905">
        <f t="shared" si="126"/>
        <v>0</v>
      </c>
      <c r="BG473" s="905">
        <f t="shared" si="127"/>
        <v>0</v>
      </c>
      <c r="BH473" s="905">
        <f t="shared" si="128"/>
        <v>0</v>
      </c>
      <c r="BI473" s="713">
        <v>0</v>
      </c>
      <c r="BJ473" s="695"/>
      <c r="BK473" s="752">
        <f>IF(X474=0,0,           IF(ISNUMBER(BJ473),BJ473,               IF(ISTEXT(BJ473),INDEX(BA473:BH473,MATCH(BJ473,$BA$12:$BH$12,0)),             IF(BI473="INT",_xll.qInterp(X474,AK473:AR473,BA473:BH473),            INDEX(BA473:BH473,MATCH(BI473,$BA$12:$BH$12,0))))))</f>
        <v>0</v>
      </c>
      <c r="BL473" s="389">
        <f t="shared" si="133"/>
        <v>0</v>
      </c>
      <c r="BM473" s="394">
        <f t="shared" si="134"/>
        <v>0</v>
      </c>
      <c r="BN473" s="389">
        <f t="shared" si="135"/>
        <v>0</v>
      </c>
    </row>
    <row r="474" spans="16:66">
      <c r="P474" s="716">
        <v>0</v>
      </c>
      <c r="Q474" s="715">
        <f t="shared" si="119"/>
        <v>0</v>
      </c>
      <c r="R474" s="712">
        <f>IF(P475,_xll.qDateYears(P474,P475,DCCfixed),0)</f>
        <v>0</v>
      </c>
      <c r="S474" s="519">
        <f ca="1"/>
        <v>0</v>
      </c>
      <c r="T474" s="720"/>
      <c r="U474" s="390">
        <f t="shared" si="129"/>
        <v>0</v>
      </c>
      <c r="X474" s="345">
        <v>0</v>
      </c>
      <c r="Y474" s="711">
        <f t="shared" si="120"/>
        <v>0</v>
      </c>
      <c r="Z474" s="712">
        <f>IF(X475,_xll.qDateYears(X474,X475,DCCfloat),0)</f>
        <v>0</v>
      </c>
      <c r="AA474" s="519">
        <f ca="1"/>
        <v>0</v>
      </c>
      <c r="AB474" s="890">
        <f>IF(X474=0,0,         IF(OR(CCY="AUD",CCY="NZD",CCY="GBP"),X474,   _xll.qDateNext(X474,"-2b",,,IF(CCY="EUR","TGT","LON"))))</f>
        <v>0</v>
      </c>
      <c r="AC474" s="879" t="str">
        <v/>
      </c>
      <c r="AD474" s="879" t="str">
        <v/>
      </c>
      <c r="AE474" s="879" t="str">
        <v/>
      </c>
      <c r="AF474" s="879" t="str">
        <v/>
      </c>
      <c r="AG474" s="879" t="str">
        <v/>
      </c>
      <c r="AH474" s="879" t="str">
        <v/>
      </c>
      <c r="AI474" s="879" t="str">
        <v/>
      </c>
      <c r="AJ474" s="879" t="str">
        <v/>
      </c>
      <c r="AK474" s="882">
        <f>IF($X474=0,0,      _xll.qDateNext($X474,AK$12,$AR$11,FRM&lt;&gt;"Calypso",CCY))</f>
        <v>0</v>
      </c>
      <c r="AL474" s="882">
        <f>IF($X474=0,0,      _xll.qDateNext($X474,AL$12,$AR$11,FRM&lt;&gt;"Calypso",CCY))</f>
        <v>0</v>
      </c>
      <c r="AM474" s="882">
        <f>IF($X474=0,0,      _xll.qDateNext($X474,AM$12,$AR$11,FRM&lt;&gt;"Calypso",CCY))</f>
        <v>0</v>
      </c>
      <c r="AN474" s="882">
        <f>IF($X474=0,0,      _xll.qDateNext($X474,AN$12,$AR$11,FRM&lt;&gt;"Calypso",CCY))</f>
        <v>0</v>
      </c>
      <c r="AO474" s="882">
        <f>IF($X474=0,0,      _xll.qDateNext($X474,AO$12,$AR$11,FRM&lt;&gt;"Calypso",CCY))</f>
        <v>0</v>
      </c>
      <c r="AP474" s="882">
        <f>IF($X474=0,0,      _xll.qDateNext($X474,AP$12,$AR$11,FRM&lt;&gt;"Calypso",CCY))</f>
        <v>0</v>
      </c>
      <c r="AQ474" s="882">
        <f>IF($X474=0,0,      _xll.qDateNext($X474,AQ$12,$AR$11,FRM&lt;&gt;"Calypso",CCY))</f>
        <v>0</v>
      </c>
      <c r="AR474" s="882">
        <f>IF($X474=0,0,      _xll.qDateNext($X474,AR$12,$AR$11,FRM&lt;&gt;"Calypso",CCY))</f>
        <v>0</v>
      </c>
      <c r="AS474" s="901">
        <f ca="1"/>
        <v>0</v>
      </c>
      <c r="AT474" s="901">
        <f ca="1"/>
        <v>0</v>
      </c>
      <c r="AU474" s="901">
        <f t="shared" si="130"/>
        <v>0</v>
      </c>
      <c r="AV474" s="901">
        <f ca="1"/>
        <v>0</v>
      </c>
      <c r="AW474" s="901">
        <f t="shared" si="131"/>
        <v>0</v>
      </c>
      <c r="AX474" s="901">
        <f t="shared" si="132"/>
        <v>0</v>
      </c>
      <c r="AY474" s="901">
        <f ca="1"/>
        <v>0</v>
      </c>
      <c r="AZ474" s="901">
        <f ca="1"/>
        <v>0</v>
      </c>
      <c r="BA474" s="905">
        <f t="shared" si="121"/>
        <v>0</v>
      </c>
      <c r="BB474" s="905">
        <f t="shared" si="122"/>
        <v>0</v>
      </c>
      <c r="BC474" s="905">
        <f t="shared" si="123"/>
        <v>0</v>
      </c>
      <c r="BD474" s="905">
        <f t="shared" si="124"/>
        <v>0</v>
      </c>
      <c r="BE474" s="905">
        <f t="shared" si="125"/>
        <v>0</v>
      </c>
      <c r="BF474" s="905">
        <f t="shared" si="126"/>
        <v>0</v>
      </c>
      <c r="BG474" s="905">
        <f t="shared" si="127"/>
        <v>0</v>
      </c>
      <c r="BH474" s="905">
        <f t="shared" si="128"/>
        <v>0</v>
      </c>
      <c r="BI474" s="713">
        <v>0</v>
      </c>
      <c r="BJ474" s="695"/>
      <c r="BK474" s="752">
        <f>IF(X475=0,0,           IF(ISNUMBER(BJ474),BJ474,               IF(ISTEXT(BJ474),INDEX(BA474:BH474,MATCH(BJ474,$BA$12:$BH$12,0)),             IF(BI474="INT",_xll.qInterp(X475,AK474:AR474,BA474:BH474),            INDEX(BA474:BH474,MATCH(BI474,$BA$12:$BH$12,0))))))</f>
        <v>0</v>
      </c>
      <c r="BL474" s="389">
        <f t="shared" si="133"/>
        <v>0</v>
      </c>
      <c r="BM474" s="394">
        <f t="shared" si="134"/>
        <v>0</v>
      </c>
      <c r="BN474" s="389">
        <f t="shared" si="135"/>
        <v>0</v>
      </c>
    </row>
    <row r="475" spans="16:66">
      <c r="P475" s="716">
        <v>0</v>
      </c>
      <c r="Q475" s="715">
        <f t="shared" si="119"/>
        <v>0</v>
      </c>
      <c r="R475" s="712">
        <f>IF(P476,_xll.qDateYears(P475,P476,DCCfixed),0)</f>
        <v>0</v>
      </c>
      <c r="S475" s="519">
        <f ca="1"/>
        <v>0</v>
      </c>
      <c r="T475" s="720"/>
      <c r="U475" s="390">
        <f t="shared" si="129"/>
        <v>0</v>
      </c>
      <c r="X475" s="345">
        <v>0</v>
      </c>
      <c r="Y475" s="711">
        <f t="shared" si="120"/>
        <v>0</v>
      </c>
      <c r="Z475" s="712">
        <f>IF(X476,_xll.qDateYears(X475,X476,DCCfloat),0)</f>
        <v>0</v>
      </c>
      <c r="AA475" s="519">
        <f ca="1"/>
        <v>0</v>
      </c>
      <c r="AB475" s="890">
        <f>IF(X475=0,0,         IF(OR(CCY="AUD",CCY="NZD",CCY="GBP"),X475,   _xll.qDateNext(X475,"-2b",,,IF(CCY="EUR","TGT","LON"))))</f>
        <v>0</v>
      </c>
      <c r="AC475" s="879" t="str">
        <v/>
      </c>
      <c r="AD475" s="879" t="str">
        <v/>
      </c>
      <c r="AE475" s="879" t="str">
        <v/>
      </c>
      <c r="AF475" s="879" t="str">
        <v/>
      </c>
      <c r="AG475" s="879" t="str">
        <v/>
      </c>
      <c r="AH475" s="879" t="str">
        <v/>
      </c>
      <c r="AI475" s="879" t="str">
        <v/>
      </c>
      <c r="AJ475" s="879" t="str">
        <v/>
      </c>
      <c r="AK475" s="882">
        <f>IF($X475=0,0,      _xll.qDateNext($X475,AK$12,$AR$11,FRM&lt;&gt;"Calypso",CCY))</f>
        <v>0</v>
      </c>
      <c r="AL475" s="882">
        <f>IF($X475=0,0,      _xll.qDateNext($X475,AL$12,$AR$11,FRM&lt;&gt;"Calypso",CCY))</f>
        <v>0</v>
      </c>
      <c r="AM475" s="882">
        <f>IF($X475=0,0,      _xll.qDateNext($X475,AM$12,$AR$11,FRM&lt;&gt;"Calypso",CCY))</f>
        <v>0</v>
      </c>
      <c r="AN475" s="882">
        <f>IF($X475=0,0,      _xll.qDateNext($X475,AN$12,$AR$11,FRM&lt;&gt;"Calypso",CCY))</f>
        <v>0</v>
      </c>
      <c r="AO475" s="882">
        <f>IF($X475=0,0,      _xll.qDateNext($X475,AO$12,$AR$11,FRM&lt;&gt;"Calypso",CCY))</f>
        <v>0</v>
      </c>
      <c r="AP475" s="882">
        <f>IF($X475=0,0,      _xll.qDateNext($X475,AP$12,$AR$11,FRM&lt;&gt;"Calypso",CCY))</f>
        <v>0</v>
      </c>
      <c r="AQ475" s="882">
        <f>IF($X475=0,0,      _xll.qDateNext($X475,AQ$12,$AR$11,FRM&lt;&gt;"Calypso",CCY))</f>
        <v>0</v>
      </c>
      <c r="AR475" s="882">
        <f>IF($X475=0,0,      _xll.qDateNext($X475,AR$12,$AR$11,FRM&lt;&gt;"Calypso",CCY))</f>
        <v>0</v>
      </c>
      <c r="AS475" s="901">
        <f ca="1"/>
        <v>0</v>
      </c>
      <c r="AT475" s="901">
        <f ca="1"/>
        <v>0</v>
      </c>
      <c r="AU475" s="901">
        <f t="shared" si="130"/>
        <v>0</v>
      </c>
      <c r="AV475" s="901">
        <f ca="1"/>
        <v>0</v>
      </c>
      <c r="AW475" s="901">
        <f t="shared" si="131"/>
        <v>0</v>
      </c>
      <c r="AX475" s="901">
        <f t="shared" si="132"/>
        <v>0</v>
      </c>
      <c r="AY475" s="901">
        <f ca="1"/>
        <v>0</v>
      </c>
      <c r="AZ475" s="901">
        <f ca="1"/>
        <v>0</v>
      </c>
      <c r="BA475" s="905">
        <f t="shared" si="121"/>
        <v>0</v>
      </c>
      <c r="BB475" s="905">
        <f t="shared" si="122"/>
        <v>0</v>
      </c>
      <c r="BC475" s="905">
        <f t="shared" si="123"/>
        <v>0</v>
      </c>
      <c r="BD475" s="905">
        <f t="shared" si="124"/>
        <v>0</v>
      </c>
      <c r="BE475" s="905">
        <f t="shared" si="125"/>
        <v>0</v>
      </c>
      <c r="BF475" s="905">
        <f t="shared" si="126"/>
        <v>0</v>
      </c>
      <c r="BG475" s="905">
        <f t="shared" si="127"/>
        <v>0</v>
      </c>
      <c r="BH475" s="905">
        <f t="shared" si="128"/>
        <v>0</v>
      </c>
      <c r="BI475" s="713">
        <v>0</v>
      </c>
      <c r="BJ475" s="695"/>
      <c r="BK475" s="752">
        <f>IF(X476=0,0,           IF(ISNUMBER(BJ475),BJ475,               IF(ISTEXT(BJ475),INDEX(BA475:BH475,MATCH(BJ475,$BA$12:$BH$12,0)),             IF(BI475="INT",_xll.qInterp(X476,AK475:AR475,BA475:BH475),            INDEX(BA475:BH475,MATCH(BI475,$BA$12:$BH$12,0))))))</f>
        <v>0</v>
      </c>
      <c r="BL475" s="389">
        <f t="shared" si="133"/>
        <v>0</v>
      </c>
      <c r="BM475" s="394">
        <f t="shared" si="134"/>
        <v>0</v>
      </c>
      <c r="BN475" s="389">
        <f t="shared" si="135"/>
        <v>0</v>
      </c>
    </row>
    <row r="476" spans="16:66">
      <c r="P476" s="716">
        <v>0</v>
      </c>
      <c r="Q476" s="715">
        <f t="shared" si="119"/>
        <v>0</v>
      </c>
      <c r="R476" s="712">
        <f>IF(P477,_xll.qDateYears(P476,P477,DCCfixed),0)</f>
        <v>0</v>
      </c>
      <c r="S476" s="519">
        <f ca="1"/>
        <v>0</v>
      </c>
      <c r="T476" s="720"/>
      <c r="U476" s="390">
        <f t="shared" si="129"/>
        <v>0</v>
      </c>
      <c r="X476" s="345">
        <v>0</v>
      </c>
      <c r="Y476" s="711">
        <f t="shared" si="120"/>
        <v>0</v>
      </c>
      <c r="Z476" s="712">
        <f>IF(X477,_xll.qDateYears(X476,X477,DCCfloat),0)</f>
        <v>0</v>
      </c>
      <c r="AA476" s="519">
        <f ca="1"/>
        <v>0</v>
      </c>
      <c r="AB476" s="890">
        <f>IF(X476=0,0,         IF(OR(CCY="AUD",CCY="NZD",CCY="GBP"),X476,   _xll.qDateNext(X476,"-2b",,,IF(CCY="EUR","TGT","LON"))))</f>
        <v>0</v>
      </c>
      <c r="AC476" s="879" t="str">
        <v/>
      </c>
      <c r="AD476" s="879" t="str">
        <v/>
      </c>
      <c r="AE476" s="879" t="str">
        <v/>
      </c>
      <c r="AF476" s="879" t="str">
        <v/>
      </c>
      <c r="AG476" s="879" t="str">
        <v/>
      </c>
      <c r="AH476" s="879" t="str">
        <v/>
      </c>
      <c r="AI476" s="879" t="str">
        <v/>
      </c>
      <c r="AJ476" s="879" t="str">
        <v/>
      </c>
      <c r="AK476" s="882">
        <f>IF($X476=0,0,      _xll.qDateNext($X476,AK$12,$AR$11,FRM&lt;&gt;"Calypso",CCY))</f>
        <v>0</v>
      </c>
      <c r="AL476" s="882">
        <f>IF($X476=0,0,      _xll.qDateNext($X476,AL$12,$AR$11,FRM&lt;&gt;"Calypso",CCY))</f>
        <v>0</v>
      </c>
      <c r="AM476" s="882">
        <f>IF($X476=0,0,      _xll.qDateNext($X476,AM$12,$AR$11,FRM&lt;&gt;"Calypso",CCY))</f>
        <v>0</v>
      </c>
      <c r="AN476" s="882">
        <f>IF($X476=0,0,      _xll.qDateNext($X476,AN$12,$AR$11,FRM&lt;&gt;"Calypso",CCY))</f>
        <v>0</v>
      </c>
      <c r="AO476" s="882">
        <f>IF($X476=0,0,      _xll.qDateNext($X476,AO$12,$AR$11,FRM&lt;&gt;"Calypso",CCY))</f>
        <v>0</v>
      </c>
      <c r="AP476" s="882">
        <f>IF($X476=0,0,      _xll.qDateNext($X476,AP$12,$AR$11,FRM&lt;&gt;"Calypso",CCY))</f>
        <v>0</v>
      </c>
      <c r="AQ476" s="882">
        <f>IF($X476=0,0,      _xll.qDateNext($X476,AQ$12,$AR$11,FRM&lt;&gt;"Calypso",CCY))</f>
        <v>0</v>
      </c>
      <c r="AR476" s="882">
        <f>IF($X476=0,0,      _xll.qDateNext($X476,AR$12,$AR$11,FRM&lt;&gt;"Calypso",CCY))</f>
        <v>0</v>
      </c>
      <c r="AS476" s="901">
        <f ca="1"/>
        <v>0</v>
      </c>
      <c r="AT476" s="901">
        <f ca="1"/>
        <v>0</v>
      </c>
      <c r="AU476" s="901">
        <f t="shared" si="130"/>
        <v>0</v>
      </c>
      <c r="AV476" s="901">
        <f ca="1"/>
        <v>0</v>
      </c>
      <c r="AW476" s="901">
        <f t="shared" si="131"/>
        <v>0</v>
      </c>
      <c r="AX476" s="901">
        <f t="shared" si="132"/>
        <v>0</v>
      </c>
      <c r="AY476" s="901">
        <f ca="1"/>
        <v>0</v>
      </c>
      <c r="AZ476" s="901">
        <f ca="1"/>
        <v>0</v>
      </c>
      <c r="BA476" s="905">
        <f t="shared" si="121"/>
        <v>0</v>
      </c>
      <c r="BB476" s="905">
        <f t="shared" si="122"/>
        <v>0</v>
      </c>
      <c r="BC476" s="905">
        <f t="shared" si="123"/>
        <v>0</v>
      </c>
      <c r="BD476" s="905">
        <f t="shared" si="124"/>
        <v>0</v>
      </c>
      <c r="BE476" s="905">
        <f t="shared" si="125"/>
        <v>0</v>
      </c>
      <c r="BF476" s="905">
        <f t="shared" si="126"/>
        <v>0</v>
      </c>
      <c r="BG476" s="905">
        <f t="shared" si="127"/>
        <v>0</v>
      </c>
      <c r="BH476" s="905">
        <f t="shared" si="128"/>
        <v>0</v>
      </c>
      <c r="BI476" s="713">
        <v>0</v>
      </c>
      <c r="BJ476" s="695"/>
      <c r="BK476" s="752">
        <f>IF(X477=0,0,           IF(ISNUMBER(BJ476),BJ476,               IF(ISTEXT(BJ476),INDEX(BA476:BH476,MATCH(BJ476,$BA$12:$BH$12,0)),             IF(BI476="INT",_xll.qInterp(X477,AK476:AR476,BA476:BH476),            INDEX(BA476:BH476,MATCH(BI476,$BA$12:$BH$12,0))))))</f>
        <v>0</v>
      </c>
      <c r="BL476" s="389">
        <f t="shared" si="133"/>
        <v>0</v>
      </c>
      <c r="BM476" s="394">
        <f t="shared" si="134"/>
        <v>0</v>
      </c>
      <c r="BN476" s="389">
        <f t="shared" si="135"/>
        <v>0</v>
      </c>
    </row>
    <row r="477" spans="16:66">
      <c r="P477" s="716">
        <v>0</v>
      </c>
      <c r="Q477" s="715">
        <f t="shared" si="119"/>
        <v>0</v>
      </c>
      <c r="R477" s="712">
        <f>IF(P478,_xll.qDateYears(P477,P478,DCCfixed),0)</f>
        <v>0</v>
      </c>
      <c r="S477" s="519">
        <f ca="1"/>
        <v>0</v>
      </c>
      <c r="T477" s="720"/>
      <c r="U477" s="390">
        <f t="shared" si="129"/>
        <v>0</v>
      </c>
      <c r="X477" s="345">
        <v>0</v>
      </c>
      <c r="Y477" s="711">
        <f t="shared" si="120"/>
        <v>0</v>
      </c>
      <c r="Z477" s="712">
        <f>IF(X478,_xll.qDateYears(X477,X478,DCCfloat),0)</f>
        <v>0</v>
      </c>
      <c r="AA477" s="519">
        <f ca="1"/>
        <v>0</v>
      </c>
      <c r="AB477" s="890">
        <f>IF(X477=0,0,         IF(OR(CCY="AUD",CCY="NZD",CCY="GBP"),X477,   _xll.qDateNext(X477,"-2b",,,IF(CCY="EUR","TGT","LON"))))</f>
        <v>0</v>
      </c>
      <c r="AC477" s="879" t="str">
        <v/>
      </c>
      <c r="AD477" s="879" t="str">
        <v/>
      </c>
      <c r="AE477" s="879" t="str">
        <v/>
      </c>
      <c r="AF477" s="879" t="str">
        <v/>
      </c>
      <c r="AG477" s="879" t="str">
        <v/>
      </c>
      <c r="AH477" s="879" t="str">
        <v/>
      </c>
      <c r="AI477" s="879" t="str">
        <v/>
      </c>
      <c r="AJ477" s="879" t="str">
        <v/>
      </c>
      <c r="AK477" s="882">
        <f>IF($X477=0,0,      _xll.qDateNext($X477,AK$12,$AR$11,FRM&lt;&gt;"Calypso",CCY))</f>
        <v>0</v>
      </c>
      <c r="AL477" s="882">
        <f>IF($X477=0,0,      _xll.qDateNext($X477,AL$12,$AR$11,FRM&lt;&gt;"Calypso",CCY))</f>
        <v>0</v>
      </c>
      <c r="AM477" s="882">
        <f>IF($X477=0,0,      _xll.qDateNext($X477,AM$12,$AR$11,FRM&lt;&gt;"Calypso",CCY))</f>
        <v>0</v>
      </c>
      <c r="AN477" s="882">
        <f>IF($X477=0,0,      _xll.qDateNext($X477,AN$12,$AR$11,FRM&lt;&gt;"Calypso",CCY))</f>
        <v>0</v>
      </c>
      <c r="AO477" s="882">
        <f>IF($X477=0,0,      _xll.qDateNext($X477,AO$12,$AR$11,FRM&lt;&gt;"Calypso",CCY))</f>
        <v>0</v>
      </c>
      <c r="AP477" s="882">
        <f>IF($X477=0,0,      _xll.qDateNext($X477,AP$12,$AR$11,FRM&lt;&gt;"Calypso",CCY))</f>
        <v>0</v>
      </c>
      <c r="AQ477" s="882">
        <f>IF($X477=0,0,      _xll.qDateNext($X477,AQ$12,$AR$11,FRM&lt;&gt;"Calypso",CCY))</f>
        <v>0</v>
      </c>
      <c r="AR477" s="882">
        <f>IF($X477=0,0,      _xll.qDateNext($X477,AR$12,$AR$11,FRM&lt;&gt;"Calypso",CCY))</f>
        <v>0</v>
      </c>
      <c r="AS477" s="901">
        <f ca="1"/>
        <v>0</v>
      </c>
      <c r="AT477" s="901">
        <f ca="1"/>
        <v>0</v>
      </c>
      <c r="AU477" s="901">
        <f t="shared" si="130"/>
        <v>0</v>
      </c>
      <c r="AV477" s="901">
        <f ca="1"/>
        <v>0</v>
      </c>
      <c r="AW477" s="901">
        <f t="shared" si="131"/>
        <v>0</v>
      </c>
      <c r="AX477" s="901">
        <f t="shared" si="132"/>
        <v>0</v>
      </c>
      <c r="AY477" s="901">
        <f ca="1"/>
        <v>0</v>
      </c>
      <c r="AZ477" s="901">
        <f ca="1"/>
        <v>0</v>
      </c>
      <c r="BA477" s="905">
        <f t="shared" si="121"/>
        <v>0</v>
      </c>
      <c r="BB477" s="905">
        <f t="shared" si="122"/>
        <v>0</v>
      </c>
      <c r="BC477" s="905">
        <f t="shared" si="123"/>
        <v>0</v>
      </c>
      <c r="BD477" s="905">
        <f t="shared" si="124"/>
        <v>0</v>
      </c>
      <c r="BE477" s="905">
        <f t="shared" si="125"/>
        <v>0</v>
      </c>
      <c r="BF477" s="905">
        <f t="shared" si="126"/>
        <v>0</v>
      </c>
      <c r="BG477" s="905">
        <f t="shared" si="127"/>
        <v>0</v>
      </c>
      <c r="BH477" s="905">
        <f t="shared" si="128"/>
        <v>0</v>
      </c>
      <c r="BI477" s="713">
        <v>0</v>
      </c>
      <c r="BJ477" s="695"/>
      <c r="BK477" s="752">
        <f>IF(X478=0,0,           IF(ISNUMBER(BJ477),BJ477,               IF(ISTEXT(BJ477),INDEX(BA477:BH477,MATCH(BJ477,$BA$12:$BH$12,0)),             IF(BI477="INT",_xll.qInterp(X478,AK477:AR477,BA477:BH477),            INDEX(BA477:BH477,MATCH(BI477,$BA$12:$BH$12,0))))))</f>
        <v>0</v>
      </c>
      <c r="BL477" s="389">
        <f t="shared" si="133"/>
        <v>0</v>
      </c>
      <c r="BM477" s="394">
        <f t="shared" si="134"/>
        <v>0</v>
      </c>
      <c r="BN477" s="389">
        <f t="shared" si="135"/>
        <v>0</v>
      </c>
    </row>
    <row r="478" spans="16:66">
      <c r="P478" s="716">
        <v>0</v>
      </c>
      <c r="Q478" s="715">
        <f t="shared" si="119"/>
        <v>0</v>
      </c>
      <c r="R478" s="712">
        <f>IF(P479,_xll.qDateYears(P478,P479,DCCfixed),0)</f>
        <v>0</v>
      </c>
      <c r="S478" s="519">
        <f ca="1"/>
        <v>0</v>
      </c>
      <c r="T478" s="720"/>
      <c r="U478" s="390">
        <f t="shared" si="129"/>
        <v>0</v>
      </c>
      <c r="X478" s="345">
        <v>0</v>
      </c>
      <c r="Y478" s="711">
        <f t="shared" si="120"/>
        <v>0</v>
      </c>
      <c r="Z478" s="712">
        <f>IF(X479,_xll.qDateYears(X478,X479,DCCfloat),0)</f>
        <v>0</v>
      </c>
      <c r="AA478" s="519">
        <f ca="1"/>
        <v>0</v>
      </c>
      <c r="AB478" s="890">
        <f>IF(X478=0,0,         IF(OR(CCY="AUD",CCY="NZD",CCY="GBP"),X478,   _xll.qDateNext(X478,"-2b",,,IF(CCY="EUR","TGT","LON"))))</f>
        <v>0</v>
      </c>
      <c r="AC478" s="879" t="str">
        <v/>
      </c>
      <c r="AD478" s="879" t="str">
        <v/>
      </c>
      <c r="AE478" s="879" t="str">
        <v/>
      </c>
      <c r="AF478" s="879" t="str">
        <v/>
      </c>
      <c r="AG478" s="879" t="str">
        <v/>
      </c>
      <c r="AH478" s="879" t="str">
        <v/>
      </c>
      <c r="AI478" s="879" t="str">
        <v/>
      </c>
      <c r="AJ478" s="879" t="str">
        <v/>
      </c>
      <c r="AK478" s="882">
        <f>IF($X478=0,0,      _xll.qDateNext($X478,AK$12,$AR$11,FRM&lt;&gt;"Calypso",CCY))</f>
        <v>0</v>
      </c>
      <c r="AL478" s="882">
        <f>IF($X478=0,0,      _xll.qDateNext($X478,AL$12,$AR$11,FRM&lt;&gt;"Calypso",CCY))</f>
        <v>0</v>
      </c>
      <c r="AM478" s="882">
        <f>IF($X478=0,0,      _xll.qDateNext($X478,AM$12,$AR$11,FRM&lt;&gt;"Calypso",CCY))</f>
        <v>0</v>
      </c>
      <c r="AN478" s="882">
        <f>IF($X478=0,0,      _xll.qDateNext($X478,AN$12,$AR$11,FRM&lt;&gt;"Calypso",CCY))</f>
        <v>0</v>
      </c>
      <c r="AO478" s="882">
        <f>IF($X478=0,0,      _xll.qDateNext($X478,AO$12,$AR$11,FRM&lt;&gt;"Calypso",CCY))</f>
        <v>0</v>
      </c>
      <c r="AP478" s="882">
        <f>IF($X478=0,0,      _xll.qDateNext($X478,AP$12,$AR$11,FRM&lt;&gt;"Calypso",CCY))</f>
        <v>0</v>
      </c>
      <c r="AQ478" s="882">
        <f>IF($X478=0,0,      _xll.qDateNext($X478,AQ$12,$AR$11,FRM&lt;&gt;"Calypso",CCY))</f>
        <v>0</v>
      </c>
      <c r="AR478" s="882">
        <f>IF($X478=0,0,      _xll.qDateNext($X478,AR$12,$AR$11,FRM&lt;&gt;"Calypso",CCY))</f>
        <v>0</v>
      </c>
      <c r="AS478" s="901">
        <f ca="1"/>
        <v>0</v>
      </c>
      <c r="AT478" s="901">
        <f ca="1"/>
        <v>0</v>
      </c>
      <c r="AU478" s="901">
        <f t="shared" si="130"/>
        <v>0</v>
      </c>
      <c r="AV478" s="901">
        <f ca="1"/>
        <v>0</v>
      </c>
      <c r="AW478" s="901">
        <f t="shared" si="131"/>
        <v>0</v>
      </c>
      <c r="AX478" s="901">
        <f t="shared" si="132"/>
        <v>0</v>
      </c>
      <c r="AY478" s="901">
        <f ca="1"/>
        <v>0</v>
      </c>
      <c r="AZ478" s="901">
        <f ca="1"/>
        <v>0</v>
      </c>
      <c r="BA478" s="905">
        <f t="shared" si="121"/>
        <v>0</v>
      </c>
      <c r="BB478" s="905">
        <f t="shared" si="122"/>
        <v>0</v>
      </c>
      <c r="BC478" s="905">
        <f t="shared" si="123"/>
        <v>0</v>
      </c>
      <c r="BD478" s="905">
        <f t="shared" si="124"/>
        <v>0</v>
      </c>
      <c r="BE478" s="905">
        <f t="shared" si="125"/>
        <v>0</v>
      </c>
      <c r="BF478" s="905">
        <f t="shared" si="126"/>
        <v>0</v>
      </c>
      <c r="BG478" s="905">
        <f t="shared" si="127"/>
        <v>0</v>
      </c>
      <c r="BH478" s="905">
        <f t="shared" si="128"/>
        <v>0</v>
      </c>
      <c r="BI478" s="713">
        <v>0</v>
      </c>
      <c r="BJ478" s="695"/>
      <c r="BK478" s="752">
        <f>IF(X479=0,0,           IF(ISNUMBER(BJ478),BJ478,               IF(ISTEXT(BJ478),INDEX(BA478:BH478,MATCH(BJ478,$BA$12:$BH$12,0)),             IF(BI478="INT",_xll.qInterp(X479,AK478:AR478,BA478:BH478),            INDEX(BA478:BH478,MATCH(BI478,$BA$12:$BH$12,0))))))</f>
        <v>0</v>
      </c>
      <c r="BL478" s="389">
        <f t="shared" si="133"/>
        <v>0</v>
      </c>
      <c r="BM478" s="394">
        <f t="shared" si="134"/>
        <v>0</v>
      </c>
      <c r="BN478" s="389">
        <f t="shared" si="135"/>
        <v>0</v>
      </c>
    </row>
    <row r="479" spans="16:66">
      <c r="P479" s="716">
        <v>0</v>
      </c>
      <c r="Q479" s="715">
        <f t="shared" si="119"/>
        <v>0</v>
      </c>
      <c r="R479" s="712">
        <f>IF(P480,_xll.qDateYears(P479,P480,DCCfixed),0)</f>
        <v>0</v>
      </c>
      <c r="S479" s="519">
        <f ca="1"/>
        <v>0</v>
      </c>
      <c r="T479" s="720"/>
      <c r="U479" s="390">
        <f t="shared" si="129"/>
        <v>0</v>
      </c>
      <c r="X479" s="345">
        <v>0</v>
      </c>
      <c r="Y479" s="711">
        <f t="shared" si="120"/>
        <v>0</v>
      </c>
      <c r="Z479" s="712">
        <f>IF(X480,_xll.qDateYears(X479,X480,DCCfloat),0)</f>
        <v>0</v>
      </c>
      <c r="AA479" s="519">
        <f ca="1"/>
        <v>0</v>
      </c>
      <c r="AB479" s="890">
        <f>IF(X479=0,0,         IF(OR(CCY="AUD",CCY="NZD",CCY="GBP"),X479,   _xll.qDateNext(X479,"-2b",,,IF(CCY="EUR","TGT","LON"))))</f>
        <v>0</v>
      </c>
      <c r="AC479" s="879" t="str">
        <v/>
      </c>
      <c r="AD479" s="879" t="str">
        <v/>
      </c>
      <c r="AE479" s="879" t="str">
        <v/>
      </c>
      <c r="AF479" s="879" t="str">
        <v/>
      </c>
      <c r="AG479" s="879" t="str">
        <v/>
      </c>
      <c r="AH479" s="879" t="str">
        <v/>
      </c>
      <c r="AI479" s="879" t="str">
        <v/>
      </c>
      <c r="AJ479" s="879" t="str">
        <v/>
      </c>
      <c r="AK479" s="882">
        <f>IF($X479=0,0,      _xll.qDateNext($X479,AK$12,$AR$11,FRM&lt;&gt;"Calypso",CCY))</f>
        <v>0</v>
      </c>
      <c r="AL479" s="882">
        <f>IF($X479=0,0,      _xll.qDateNext($X479,AL$12,$AR$11,FRM&lt;&gt;"Calypso",CCY))</f>
        <v>0</v>
      </c>
      <c r="AM479" s="882">
        <f>IF($X479=0,0,      _xll.qDateNext($X479,AM$12,$AR$11,FRM&lt;&gt;"Calypso",CCY))</f>
        <v>0</v>
      </c>
      <c r="AN479" s="882">
        <f>IF($X479=0,0,      _xll.qDateNext($X479,AN$12,$AR$11,FRM&lt;&gt;"Calypso",CCY))</f>
        <v>0</v>
      </c>
      <c r="AO479" s="882">
        <f>IF($X479=0,0,      _xll.qDateNext($X479,AO$12,$AR$11,FRM&lt;&gt;"Calypso",CCY))</f>
        <v>0</v>
      </c>
      <c r="AP479" s="882">
        <f>IF($X479=0,0,      _xll.qDateNext($X479,AP$12,$AR$11,FRM&lt;&gt;"Calypso",CCY))</f>
        <v>0</v>
      </c>
      <c r="AQ479" s="882">
        <f>IF($X479=0,0,      _xll.qDateNext($X479,AQ$12,$AR$11,FRM&lt;&gt;"Calypso",CCY))</f>
        <v>0</v>
      </c>
      <c r="AR479" s="882">
        <f>IF($X479=0,0,      _xll.qDateNext($X479,AR$12,$AR$11,FRM&lt;&gt;"Calypso",CCY))</f>
        <v>0</v>
      </c>
      <c r="AS479" s="901">
        <f ca="1"/>
        <v>0</v>
      </c>
      <c r="AT479" s="901">
        <f ca="1"/>
        <v>0</v>
      </c>
      <c r="AU479" s="901">
        <f t="shared" si="130"/>
        <v>0</v>
      </c>
      <c r="AV479" s="901">
        <f ca="1"/>
        <v>0</v>
      </c>
      <c r="AW479" s="901">
        <f t="shared" si="131"/>
        <v>0</v>
      </c>
      <c r="AX479" s="901">
        <f t="shared" si="132"/>
        <v>0</v>
      </c>
      <c r="AY479" s="901">
        <f ca="1"/>
        <v>0</v>
      </c>
      <c r="AZ479" s="901">
        <f ca="1"/>
        <v>0</v>
      </c>
      <c r="BA479" s="905">
        <f t="shared" si="121"/>
        <v>0</v>
      </c>
      <c r="BB479" s="905">
        <f t="shared" si="122"/>
        <v>0</v>
      </c>
      <c r="BC479" s="905">
        <f t="shared" si="123"/>
        <v>0</v>
      </c>
      <c r="BD479" s="905">
        <f t="shared" si="124"/>
        <v>0</v>
      </c>
      <c r="BE479" s="905">
        <f t="shared" si="125"/>
        <v>0</v>
      </c>
      <c r="BF479" s="905">
        <f t="shared" si="126"/>
        <v>0</v>
      </c>
      <c r="BG479" s="905">
        <f t="shared" si="127"/>
        <v>0</v>
      </c>
      <c r="BH479" s="905">
        <f t="shared" si="128"/>
        <v>0</v>
      </c>
      <c r="BI479" s="713">
        <v>0</v>
      </c>
      <c r="BJ479" s="695"/>
      <c r="BK479" s="752">
        <f>IF(X480=0,0,           IF(ISNUMBER(BJ479),BJ479,               IF(ISTEXT(BJ479),INDEX(BA479:BH479,MATCH(BJ479,$BA$12:$BH$12,0)),             IF(BI479="INT",_xll.qInterp(X480,AK479:AR479,BA479:BH479),            INDEX(BA479:BH479,MATCH(BI479,$BA$12:$BH$12,0))))))</f>
        <v>0</v>
      </c>
      <c r="BL479" s="389">
        <f t="shared" si="133"/>
        <v>0</v>
      </c>
      <c r="BM479" s="394">
        <f t="shared" si="134"/>
        <v>0</v>
      </c>
      <c r="BN479" s="389">
        <f t="shared" si="135"/>
        <v>0</v>
      </c>
    </row>
    <row r="480" spans="16:66">
      <c r="P480" s="716">
        <v>0</v>
      </c>
      <c r="Q480" s="715">
        <f t="shared" si="119"/>
        <v>0</v>
      </c>
      <c r="R480" s="712">
        <f>IF(P481,_xll.qDateYears(P480,P481,DCCfixed),0)</f>
        <v>0</v>
      </c>
      <c r="S480" s="519">
        <f ca="1"/>
        <v>0</v>
      </c>
      <c r="T480" s="720"/>
      <c r="U480" s="390">
        <f t="shared" si="129"/>
        <v>0</v>
      </c>
      <c r="X480" s="345">
        <v>0</v>
      </c>
      <c r="Y480" s="711">
        <f t="shared" si="120"/>
        <v>0</v>
      </c>
      <c r="Z480" s="712">
        <f>IF(X481,_xll.qDateYears(X480,X481,DCCfloat),0)</f>
        <v>0</v>
      </c>
      <c r="AA480" s="519">
        <f ca="1"/>
        <v>0</v>
      </c>
      <c r="AB480" s="890">
        <f>IF(X480=0,0,         IF(OR(CCY="AUD",CCY="NZD",CCY="GBP"),X480,   _xll.qDateNext(X480,"-2b",,,IF(CCY="EUR","TGT","LON"))))</f>
        <v>0</v>
      </c>
      <c r="AC480" s="879" t="str">
        <v/>
      </c>
      <c r="AD480" s="879" t="str">
        <v/>
      </c>
      <c r="AE480" s="879" t="str">
        <v/>
      </c>
      <c r="AF480" s="879" t="str">
        <v/>
      </c>
      <c r="AG480" s="879" t="str">
        <v/>
      </c>
      <c r="AH480" s="879" t="str">
        <v/>
      </c>
      <c r="AI480" s="879" t="str">
        <v/>
      </c>
      <c r="AJ480" s="879" t="str">
        <v/>
      </c>
      <c r="AK480" s="882">
        <f>IF($X480=0,0,      _xll.qDateNext($X480,AK$12,$AR$11,FRM&lt;&gt;"Calypso",CCY))</f>
        <v>0</v>
      </c>
      <c r="AL480" s="882">
        <f>IF($X480=0,0,      _xll.qDateNext($X480,AL$12,$AR$11,FRM&lt;&gt;"Calypso",CCY))</f>
        <v>0</v>
      </c>
      <c r="AM480" s="882">
        <f>IF($X480=0,0,      _xll.qDateNext($X480,AM$12,$AR$11,FRM&lt;&gt;"Calypso",CCY))</f>
        <v>0</v>
      </c>
      <c r="AN480" s="882">
        <f>IF($X480=0,0,      _xll.qDateNext($X480,AN$12,$AR$11,FRM&lt;&gt;"Calypso",CCY))</f>
        <v>0</v>
      </c>
      <c r="AO480" s="882">
        <f>IF($X480=0,0,      _xll.qDateNext($X480,AO$12,$AR$11,FRM&lt;&gt;"Calypso",CCY))</f>
        <v>0</v>
      </c>
      <c r="AP480" s="882">
        <f>IF($X480=0,0,      _xll.qDateNext($X480,AP$12,$AR$11,FRM&lt;&gt;"Calypso",CCY))</f>
        <v>0</v>
      </c>
      <c r="AQ480" s="882">
        <f>IF($X480=0,0,      _xll.qDateNext($X480,AQ$12,$AR$11,FRM&lt;&gt;"Calypso",CCY))</f>
        <v>0</v>
      </c>
      <c r="AR480" s="882">
        <f>IF($X480=0,0,      _xll.qDateNext($X480,AR$12,$AR$11,FRM&lt;&gt;"Calypso",CCY))</f>
        <v>0</v>
      </c>
      <c r="AS480" s="901">
        <f ca="1"/>
        <v>0</v>
      </c>
      <c r="AT480" s="901">
        <f ca="1"/>
        <v>0</v>
      </c>
      <c r="AU480" s="901">
        <f t="shared" si="130"/>
        <v>0</v>
      </c>
      <c r="AV480" s="901">
        <f ca="1"/>
        <v>0</v>
      </c>
      <c r="AW480" s="901">
        <f t="shared" si="131"/>
        <v>0</v>
      </c>
      <c r="AX480" s="901">
        <f t="shared" si="132"/>
        <v>0</v>
      </c>
      <c r="AY480" s="901">
        <f ca="1"/>
        <v>0</v>
      </c>
      <c r="AZ480" s="901">
        <f ca="1"/>
        <v>0</v>
      </c>
      <c r="BA480" s="905">
        <f t="shared" si="121"/>
        <v>0</v>
      </c>
      <c r="BB480" s="905">
        <f t="shared" si="122"/>
        <v>0</v>
      </c>
      <c r="BC480" s="905">
        <f t="shared" si="123"/>
        <v>0</v>
      </c>
      <c r="BD480" s="905">
        <f t="shared" si="124"/>
        <v>0</v>
      </c>
      <c r="BE480" s="905">
        <f t="shared" si="125"/>
        <v>0</v>
      </c>
      <c r="BF480" s="905">
        <f t="shared" si="126"/>
        <v>0</v>
      </c>
      <c r="BG480" s="905">
        <f t="shared" si="127"/>
        <v>0</v>
      </c>
      <c r="BH480" s="905">
        <f t="shared" si="128"/>
        <v>0</v>
      </c>
      <c r="BI480" s="713">
        <v>0</v>
      </c>
      <c r="BJ480" s="695"/>
      <c r="BK480" s="752">
        <f>IF(X481=0,0,           IF(ISNUMBER(BJ480),BJ480,               IF(ISTEXT(BJ480),INDEX(BA480:BH480,MATCH(BJ480,$BA$12:$BH$12,0)),             IF(BI480="INT",_xll.qInterp(X481,AK480:AR480,BA480:BH480),            INDEX(BA480:BH480,MATCH(BI480,$BA$12:$BH$12,0))))))</f>
        <v>0</v>
      </c>
      <c r="BL480" s="389">
        <f t="shared" si="133"/>
        <v>0</v>
      </c>
      <c r="BM480" s="394">
        <f t="shared" si="134"/>
        <v>0</v>
      </c>
      <c r="BN480" s="389">
        <f t="shared" si="135"/>
        <v>0</v>
      </c>
    </row>
    <row r="481" spans="16:66">
      <c r="P481" s="716">
        <v>0</v>
      </c>
      <c r="Q481" s="715">
        <f t="shared" si="119"/>
        <v>0</v>
      </c>
      <c r="R481" s="712">
        <f>IF(P482,_xll.qDateYears(P481,P482,DCCfixed),0)</f>
        <v>0</v>
      </c>
      <c r="S481" s="519">
        <f ca="1"/>
        <v>0</v>
      </c>
      <c r="T481" s="720"/>
      <c r="U481" s="390">
        <f t="shared" si="129"/>
        <v>0</v>
      </c>
      <c r="X481" s="345">
        <v>0</v>
      </c>
      <c r="Y481" s="711">
        <f t="shared" si="120"/>
        <v>0</v>
      </c>
      <c r="Z481" s="712">
        <f>IF(X482,_xll.qDateYears(X481,X482,DCCfloat),0)</f>
        <v>0</v>
      </c>
      <c r="AA481" s="519">
        <f ca="1"/>
        <v>0</v>
      </c>
      <c r="AB481" s="890">
        <f>IF(X481=0,0,         IF(OR(CCY="AUD",CCY="NZD",CCY="GBP"),X481,   _xll.qDateNext(X481,"-2b",,,IF(CCY="EUR","TGT","LON"))))</f>
        <v>0</v>
      </c>
      <c r="AC481" s="879" t="str">
        <v/>
      </c>
      <c r="AD481" s="879" t="str">
        <v/>
      </c>
      <c r="AE481" s="879" t="str">
        <v/>
      </c>
      <c r="AF481" s="879" t="str">
        <v/>
      </c>
      <c r="AG481" s="879" t="str">
        <v/>
      </c>
      <c r="AH481" s="879" t="str">
        <v/>
      </c>
      <c r="AI481" s="879" t="str">
        <v/>
      </c>
      <c r="AJ481" s="879" t="str">
        <v/>
      </c>
      <c r="AK481" s="882">
        <f>IF($X481=0,0,      _xll.qDateNext($X481,AK$12,$AR$11,FRM&lt;&gt;"Calypso",CCY))</f>
        <v>0</v>
      </c>
      <c r="AL481" s="882">
        <f>IF($X481=0,0,      _xll.qDateNext($X481,AL$12,$AR$11,FRM&lt;&gt;"Calypso",CCY))</f>
        <v>0</v>
      </c>
      <c r="AM481" s="882">
        <f>IF($X481=0,0,      _xll.qDateNext($X481,AM$12,$AR$11,FRM&lt;&gt;"Calypso",CCY))</f>
        <v>0</v>
      </c>
      <c r="AN481" s="882">
        <f>IF($X481=0,0,      _xll.qDateNext($X481,AN$12,$AR$11,FRM&lt;&gt;"Calypso",CCY))</f>
        <v>0</v>
      </c>
      <c r="AO481" s="882">
        <f>IF($X481=0,0,      _xll.qDateNext($X481,AO$12,$AR$11,FRM&lt;&gt;"Calypso",CCY))</f>
        <v>0</v>
      </c>
      <c r="AP481" s="882">
        <f>IF($X481=0,0,      _xll.qDateNext($X481,AP$12,$AR$11,FRM&lt;&gt;"Calypso",CCY))</f>
        <v>0</v>
      </c>
      <c r="AQ481" s="882">
        <f>IF($X481=0,0,      _xll.qDateNext($X481,AQ$12,$AR$11,FRM&lt;&gt;"Calypso",CCY))</f>
        <v>0</v>
      </c>
      <c r="AR481" s="882">
        <f>IF($X481=0,0,      _xll.qDateNext($X481,AR$12,$AR$11,FRM&lt;&gt;"Calypso",CCY))</f>
        <v>0</v>
      </c>
      <c r="AS481" s="901">
        <f ca="1"/>
        <v>0</v>
      </c>
      <c r="AT481" s="901">
        <f ca="1"/>
        <v>0</v>
      </c>
      <c r="AU481" s="901">
        <f t="shared" si="130"/>
        <v>0</v>
      </c>
      <c r="AV481" s="901">
        <f ca="1"/>
        <v>0</v>
      </c>
      <c r="AW481" s="901">
        <f t="shared" si="131"/>
        <v>0</v>
      </c>
      <c r="AX481" s="901">
        <f t="shared" si="132"/>
        <v>0</v>
      </c>
      <c r="AY481" s="901">
        <f ca="1"/>
        <v>0</v>
      </c>
      <c r="AZ481" s="901">
        <f ca="1"/>
        <v>0</v>
      </c>
      <c r="BA481" s="905">
        <f t="shared" si="121"/>
        <v>0</v>
      </c>
      <c r="BB481" s="905">
        <f t="shared" si="122"/>
        <v>0</v>
      </c>
      <c r="BC481" s="905">
        <f t="shared" si="123"/>
        <v>0</v>
      </c>
      <c r="BD481" s="905">
        <f t="shared" si="124"/>
        <v>0</v>
      </c>
      <c r="BE481" s="905">
        <f t="shared" si="125"/>
        <v>0</v>
      </c>
      <c r="BF481" s="905">
        <f t="shared" si="126"/>
        <v>0</v>
      </c>
      <c r="BG481" s="905">
        <f t="shared" si="127"/>
        <v>0</v>
      </c>
      <c r="BH481" s="905">
        <f t="shared" si="128"/>
        <v>0</v>
      </c>
      <c r="BI481" s="713">
        <v>0</v>
      </c>
      <c r="BJ481" s="695"/>
      <c r="BK481" s="752">
        <f>IF(X482=0,0,           IF(ISNUMBER(BJ481),BJ481,               IF(ISTEXT(BJ481),INDEX(BA481:BH481,MATCH(BJ481,$BA$12:$BH$12,0)),             IF(BI481="INT",_xll.qInterp(X482,AK481:AR481,BA481:BH481),            INDEX(BA481:BH481,MATCH(BI481,$BA$12:$BH$12,0))))))</f>
        <v>0</v>
      </c>
      <c r="BL481" s="389">
        <f t="shared" si="133"/>
        <v>0</v>
      </c>
      <c r="BM481" s="394">
        <f t="shared" si="134"/>
        <v>0</v>
      </c>
      <c r="BN481" s="389">
        <f t="shared" si="135"/>
        <v>0</v>
      </c>
    </row>
    <row r="482" spans="16:66">
      <c r="P482" s="716">
        <v>0</v>
      </c>
      <c r="Q482" s="715">
        <f t="shared" si="119"/>
        <v>0</v>
      </c>
      <c r="R482" s="712">
        <f>IF(P483,_xll.qDateYears(P482,P483,DCCfixed),0)</f>
        <v>0</v>
      </c>
      <c r="S482" s="519">
        <f ca="1"/>
        <v>0</v>
      </c>
      <c r="T482" s="720"/>
      <c r="U482" s="390">
        <f t="shared" si="129"/>
        <v>0</v>
      </c>
      <c r="X482" s="345">
        <v>0</v>
      </c>
      <c r="Y482" s="711">
        <f t="shared" si="120"/>
        <v>0</v>
      </c>
      <c r="Z482" s="712">
        <f>IF(X483,_xll.qDateYears(X482,X483,DCCfloat),0)</f>
        <v>0</v>
      </c>
      <c r="AA482" s="519">
        <f ca="1"/>
        <v>0</v>
      </c>
      <c r="AB482" s="890">
        <f>IF(X482=0,0,         IF(OR(CCY="AUD",CCY="NZD",CCY="GBP"),X482,   _xll.qDateNext(X482,"-2b",,,IF(CCY="EUR","TGT","LON"))))</f>
        <v>0</v>
      </c>
      <c r="AC482" s="879" t="str">
        <v/>
      </c>
      <c r="AD482" s="879" t="str">
        <v/>
      </c>
      <c r="AE482" s="879" t="str">
        <v/>
      </c>
      <c r="AF482" s="879" t="str">
        <v/>
      </c>
      <c r="AG482" s="879" t="str">
        <v/>
      </c>
      <c r="AH482" s="879" t="str">
        <v/>
      </c>
      <c r="AI482" s="879" t="str">
        <v/>
      </c>
      <c r="AJ482" s="879" t="str">
        <v/>
      </c>
      <c r="AK482" s="882">
        <f>IF($X482=0,0,      _xll.qDateNext($X482,AK$12,$AR$11,FRM&lt;&gt;"Calypso",CCY))</f>
        <v>0</v>
      </c>
      <c r="AL482" s="882">
        <f>IF($X482=0,0,      _xll.qDateNext($X482,AL$12,$AR$11,FRM&lt;&gt;"Calypso",CCY))</f>
        <v>0</v>
      </c>
      <c r="AM482" s="882">
        <f>IF($X482=0,0,      _xll.qDateNext($X482,AM$12,$AR$11,FRM&lt;&gt;"Calypso",CCY))</f>
        <v>0</v>
      </c>
      <c r="AN482" s="882">
        <f>IF($X482=0,0,      _xll.qDateNext($X482,AN$12,$AR$11,FRM&lt;&gt;"Calypso",CCY))</f>
        <v>0</v>
      </c>
      <c r="AO482" s="882">
        <f>IF($X482=0,0,      _xll.qDateNext($X482,AO$12,$AR$11,FRM&lt;&gt;"Calypso",CCY))</f>
        <v>0</v>
      </c>
      <c r="AP482" s="882">
        <f>IF($X482=0,0,      _xll.qDateNext($X482,AP$12,$AR$11,FRM&lt;&gt;"Calypso",CCY))</f>
        <v>0</v>
      </c>
      <c r="AQ482" s="882">
        <f>IF($X482=0,0,      _xll.qDateNext($X482,AQ$12,$AR$11,FRM&lt;&gt;"Calypso",CCY))</f>
        <v>0</v>
      </c>
      <c r="AR482" s="882">
        <f>IF($X482=0,0,      _xll.qDateNext($X482,AR$12,$AR$11,FRM&lt;&gt;"Calypso",CCY))</f>
        <v>0</v>
      </c>
      <c r="AS482" s="901">
        <f ca="1"/>
        <v>0</v>
      </c>
      <c r="AT482" s="901">
        <f ca="1"/>
        <v>0</v>
      </c>
      <c r="AU482" s="901">
        <f t="shared" si="130"/>
        <v>0</v>
      </c>
      <c r="AV482" s="901">
        <f ca="1"/>
        <v>0</v>
      </c>
      <c r="AW482" s="901">
        <f t="shared" si="131"/>
        <v>0</v>
      </c>
      <c r="AX482" s="901">
        <f t="shared" si="132"/>
        <v>0</v>
      </c>
      <c r="AY482" s="901">
        <f ca="1"/>
        <v>0</v>
      </c>
      <c r="AZ482" s="901">
        <f ca="1"/>
        <v>0</v>
      </c>
      <c r="BA482" s="905">
        <f t="shared" si="121"/>
        <v>0</v>
      </c>
      <c r="BB482" s="905">
        <f t="shared" si="122"/>
        <v>0</v>
      </c>
      <c r="BC482" s="905">
        <f t="shared" si="123"/>
        <v>0</v>
      </c>
      <c r="BD482" s="905">
        <f t="shared" si="124"/>
        <v>0</v>
      </c>
      <c r="BE482" s="905">
        <f t="shared" si="125"/>
        <v>0</v>
      </c>
      <c r="BF482" s="905">
        <f t="shared" si="126"/>
        <v>0</v>
      </c>
      <c r="BG482" s="905">
        <f t="shared" si="127"/>
        <v>0</v>
      </c>
      <c r="BH482" s="905">
        <f t="shared" si="128"/>
        <v>0</v>
      </c>
      <c r="BI482" s="713">
        <v>0</v>
      </c>
      <c r="BJ482" s="695"/>
      <c r="BK482" s="752">
        <f>IF(X483=0,0,           IF(ISNUMBER(BJ482),BJ482,               IF(ISTEXT(BJ482),INDEX(BA482:BH482,MATCH(BJ482,$BA$12:$BH$12,0)),             IF(BI482="INT",_xll.qInterp(X483,AK482:AR482,BA482:BH482),            INDEX(BA482:BH482,MATCH(BI482,$BA$12:$BH$12,0))))))</f>
        <v>0</v>
      </c>
      <c r="BL482" s="389">
        <f t="shared" si="133"/>
        <v>0</v>
      </c>
      <c r="BM482" s="394">
        <f t="shared" si="134"/>
        <v>0</v>
      </c>
      <c r="BN482" s="389">
        <f t="shared" si="135"/>
        <v>0</v>
      </c>
    </row>
    <row r="483" spans="16:66">
      <c r="P483" s="716">
        <v>0</v>
      </c>
      <c r="Q483" s="715">
        <f t="shared" si="119"/>
        <v>0</v>
      </c>
      <c r="R483" s="712">
        <f>IF(P484,_xll.qDateYears(P483,P484,DCCfixed),0)</f>
        <v>0</v>
      </c>
      <c r="S483" s="519">
        <f ca="1"/>
        <v>0</v>
      </c>
      <c r="T483" s="720"/>
      <c r="U483" s="390">
        <f t="shared" si="129"/>
        <v>0</v>
      </c>
      <c r="X483" s="345">
        <v>0</v>
      </c>
      <c r="Y483" s="711">
        <f t="shared" si="120"/>
        <v>0</v>
      </c>
      <c r="Z483" s="712">
        <f>IF(X484,_xll.qDateYears(X483,X484,DCCfloat),0)</f>
        <v>0</v>
      </c>
      <c r="AA483" s="519">
        <f ca="1"/>
        <v>0</v>
      </c>
      <c r="AB483" s="890">
        <f>IF(X483=0,0,         IF(OR(CCY="AUD",CCY="NZD",CCY="GBP"),X483,   _xll.qDateNext(X483,"-2b",,,IF(CCY="EUR","TGT","LON"))))</f>
        <v>0</v>
      </c>
      <c r="AC483" s="879" t="str">
        <v/>
      </c>
      <c r="AD483" s="879" t="str">
        <v/>
      </c>
      <c r="AE483" s="879" t="str">
        <v/>
      </c>
      <c r="AF483" s="879" t="str">
        <v/>
      </c>
      <c r="AG483" s="879" t="str">
        <v/>
      </c>
      <c r="AH483" s="879" t="str">
        <v/>
      </c>
      <c r="AI483" s="879" t="str">
        <v/>
      </c>
      <c r="AJ483" s="879" t="str">
        <v/>
      </c>
      <c r="AK483" s="882">
        <f>IF($X483=0,0,      _xll.qDateNext($X483,AK$12,$AR$11,FRM&lt;&gt;"Calypso",CCY))</f>
        <v>0</v>
      </c>
      <c r="AL483" s="882">
        <f>IF($X483=0,0,      _xll.qDateNext($X483,AL$12,$AR$11,FRM&lt;&gt;"Calypso",CCY))</f>
        <v>0</v>
      </c>
      <c r="AM483" s="882">
        <f>IF($X483=0,0,      _xll.qDateNext($X483,AM$12,$AR$11,FRM&lt;&gt;"Calypso",CCY))</f>
        <v>0</v>
      </c>
      <c r="AN483" s="882">
        <f>IF($X483=0,0,      _xll.qDateNext($X483,AN$12,$AR$11,FRM&lt;&gt;"Calypso",CCY))</f>
        <v>0</v>
      </c>
      <c r="AO483" s="882">
        <f>IF($X483=0,0,      _xll.qDateNext($X483,AO$12,$AR$11,FRM&lt;&gt;"Calypso",CCY))</f>
        <v>0</v>
      </c>
      <c r="AP483" s="882">
        <f>IF($X483=0,0,      _xll.qDateNext($X483,AP$12,$AR$11,FRM&lt;&gt;"Calypso",CCY))</f>
        <v>0</v>
      </c>
      <c r="AQ483" s="882">
        <f>IF($X483=0,0,      _xll.qDateNext($X483,AQ$12,$AR$11,FRM&lt;&gt;"Calypso",CCY))</f>
        <v>0</v>
      </c>
      <c r="AR483" s="882">
        <f>IF($X483=0,0,      _xll.qDateNext($X483,AR$12,$AR$11,FRM&lt;&gt;"Calypso",CCY))</f>
        <v>0</v>
      </c>
      <c r="AS483" s="901">
        <f ca="1"/>
        <v>0</v>
      </c>
      <c r="AT483" s="901">
        <f ca="1"/>
        <v>0</v>
      </c>
      <c r="AU483" s="901">
        <f t="shared" si="130"/>
        <v>0</v>
      </c>
      <c r="AV483" s="901">
        <f ca="1"/>
        <v>0</v>
      </c>
      <c r="AW483" s="901">
        <f t="shared" si="131"/>
        <v>0</v>
      </c>
      <c r="AX483" s="901">
        <f t="shared" si="132"/>
        <v>0</v>
      </c>
      <c r="AY483" s="901">
        <f ca="1"/>
        <v>0</v>
      </c>
      <c r="AZ483" s="901">
        <f ca="1"/>
        <v>0</v>
      </c>
      <c r="BA483" s="905">
        <f t="shared" si="121"/>
        <v>0</v>
      </c>
      <c r="BB483" s="905">
        <f t="shared" si="122"/>
        <v>0</v>
      </c>
      <c r="BC483" s="905">
        <f t="shared" si="123"/>
        <v>0</v>
      </c>
      <c r="BD483" s="905">
        <f t="shared" si="124"/>
        <v>0</v>
      </c>
      <c r="BE483" s="905">
        <f t="shared" si="125"/>
        <v>0</v>
      </c>
      <c r="BF483" s="905">
        <f t="shared" si="126"/>
        <v>0</v>
      </c>
      <c r="BG483" s="905">
        <f t="shared" si="127"/>
        <v>0</v>
      </c>
      <c r="BH483" s="905">
        <f t="shared" si="128"/>
        <v>0</v>
      </c>
      <c r="BI483" s="713">
        <v>0</v>
      </c>
      <c r="BJ483" s="695"/>
      <c r="BK483" s="752">
        <f>IF(X484=0,0,           IF(ISNUMBER(BJ483),BJ483,               IF(ISTEXT(BJ483),INDEX(BA483:BH483,MATCH(BJ483,$BA$12:$BH$12,0)),             IF(BI483="INT",_xll.qInterp(X484,AK483:AR483,BA483:BH483),            INDEX(BA483:BH483,MATCH(BI483,$BA$12:$BH$12,0))))))</f>
        <v>0</v>
      </c>
      <c r="BL483" s="389">
        <f t="shared" si="133"/>
        <v>0</v>
      </c>
      <c r="BM483" s="394">
        <f t="shared" si="134"/>
        <v>0</v>
      </c>
      <c r="BN483" s="389">
        <f t="shared" si="135"/>
        <v>0</v>
      </c>
    </row>
    <row r="484" spans="16:66">
      <c r="P484" s="716">
        <v>0</v>
      </c>
      <c r="Q484" s="715">
        <f t="shared" si="119"/>
        <v>0</v>
      </c>
      <c r="R484" s="712">
        <f>IF(P485,_xll.qDateYears(P484,P485,DCCfixed),0)</f>
        <v>0</v>
      </c>
      <c r="S484" s="519">
        <f ca="1"/>
        <v>0</v>
      </c>
      <c r="T484" s="720"/>
      <c r="U484" s="390">
        <f t="shared" si="129"/>
        <v>0</v>
      </c>
      <c r="X484" s="345">
        <v>0</v>
      </c>
      <c r="Y484" s="711">
        <f t="shared" si="120"/>
        <v>0</v>
      </c>
      <c r="Z484" s="712">
        <f>IF(X485,_xll.qDateYears(X484,X485,DCCfloat),0)</f>
        <v>0</v>
      </c>
      <c r="AA484" s="519">
        <f ca="1"/>
        <v>0</v>
      </c>
      <c r="AB484" s="890">
        <f>IF(X484=0,0,         IF(OR(CCY="AUD",CCY="NZD",CCY="GBP"),X484,   _xll.qDateNext(X484,"-2b",,,IF(CCY="EUR","TGT","LON"))))</f>
        <v>0</v>
      </c>
      <c r="AC484" s="879" t="str">
        <v/>
      </c>
      <c r="AD484" s="879" t="str">
        <v/>
      </c>
      <c r="AE484" s="879" t="str">
        <v/>
      </c>
      <c r="AF484" s="879" t="str">
        <v/>
      </c>
      <c r="AG484" s="879" t="str">
        <v/>
      </c>
      <c r="AH484" s="879" t="str">
        <v/>
      </c>
      <c r="AI484" s="879" t="str">
        <v/>
      </c>
      <c r="AJ484" s="879" t="str">
        <v/>
      </c>
      <c r="AK484" s="882">
        <f>IF($X484=0,0,      _xll.qDateNext($X484,AK$12,$AR$11,FRM&lt;&gt;"Calypso",CCY))</f>
        <v>0</v>
      </c>
      <c r="AL484" s="882">
        <f>IF($X484=0,0,      _xll.qDateNext($X484,AL$12,$AR$11,FRM&lt;&gt;"Calypso",CCY))</f>
        <v>0</v>
      </c>
      <c r="AM484" s="882">
        <f>IF($X484=0,0,      _xll.qDateNext($X484,AM$12,$AR$11,FRM&lt;&gt;"Calypso",CCY))</f>
        <v>0</v>
      </c>
      <c r="AN484" s="882">
        <f>IF($X484=0,0,      _xll.qDateNext($X484,AN$12,$AR$11,FRM&lt;&gt;"Calypso",CCY))</f>
        <v>0</v>
      </c>
      <c r="AO484" s="882">
        <f>IF($X484=0,0,      _xll.qDateNext($X484,AO$12,$AR$11,FRM&lt;&gt;"Calypso",CCY))</f>
        <v>0</v>
      </c>
      <c r="AP484" s="882">
        <f>IF($X484=0,0,      _xll.qDateNext($X484,AP$12,$AR$11,FRM&lt;&gt;"Calypso",CCY))</f>
        <v>0</v>
      </c>
      <c r="AQ484" s="882">
        <f>IF($X484=0,0,      _xll.qDateNext($X484,AQ$12,$AR$11,FRM&lt;&gt;"Calypso",CCY))</f>
        <v>0</v>
      </c>
      <c r="AR484" s="882">
        <f>IF($X484=0,0,      _xll.qDateNext($X484,AR$12,$AR$11,FRM&lt;&gt;"Calypso",CCY))</f>
        <v>0</v>
      </c>
      <c r="AS484" s="901">
        <f ca="1"/>
        <v>0</v>
      </c>
      <c r="AT484" s="901">
        <f ca="1"/>
        <v>0</v>
      </c>
      <c r="AU484" s="901">
        <f t="shared" si="130"/>
        <v>0</v>
      </c>
      <c r="AV484" s="901">
        <f ca="1"/>
        <v>0</v>
      </c>
      <c r="AW484" s="901">
        <f t="shared" si="131"/>
        <v>0</v>
      </c>
      <c r="AX484" s="901">
        <f t="shared" si="132"/>
        <v>0</v>
      </c>
      <c r="AY484" s="901">
        <f ca="1"/>
        <v>0</v>
      </c>
      <c r="AZ484" s="901">
        <f ca="1"/>
        <v>0</v>
      </c>
      <c r="BA484" s="905">
        <f t="shared" si="121"/>
        <v>0</v>
      </c>
      <c r="BB484" s="905">
        <f t="shared" si="122"/>
        <v>0</v>
      </c>
      <c r="BC484" s="905">
        <f t="shared" si="123"/>
        <v>0</v>
      </c>
      <c r="BD484" s="905">
        <f t="shared" si="124"/>
        <v>0</v>
      </c>
      <c r="BE484" s="905">
        <f t="shared" si="125"/>
        <v>0</v>
      </c>
      <c r="BF484" s="905">
        <f t="shared" si="126"/>
        <v>0</v>
      </c>
      <c r="BG484" s="905">
        <f t="shared" si="127"/>
        <v>0</v>
      </c>
      <c r="BH484" s="905">
        <f t="shared" si="128"/>
        <v>0</v>
      </c>
      <c r="BI484" s="713">
        <v>0</v>
      </c>
      <c r="BJ484" s="695"/>
      <c r="BK484" s="752">
        <f>IF(X485=0,0,           IF(ISNUMBER(BJ484),BJ484,               IF(ISTEXT(BJ484),INDEX(BA484:BH484,MATCH(BJ484,$BA$12:$BH$12,0)),             IF(BI484="INT",_xll.qInterp(X485,AK484:AR484,BA484:BH484),            INDEX(BA484:BH484,MATCH(BI484,$BA$12:$BH$12,0))))))</f>
        <v>0</v>
      </c>
      <c r="BL484" s="389">
        <f t="shared" si="133"/>
        <v>0</v>
      </c>
      <c r="BM484" s="394">
        <f t="shared" si="134"/>
        <v>0</v>
      </c>
      <c r="BN484" s="389">
        <f t="shared" si="135"/>
        <v>0</v>
      </c>
    </row>
    <row r="485" spans="16:66">
      <c r="P485" s="716">
        <v>0</v>
      </c>
      <c r="Q485" s="715">
        <f t="shared" si="119"/>
        <v>0</v>
      </c>
      <c r="R485" s="712">
        <f>IF(P486,_xll.qDateYears(P485,P486,DCCfixed),0)</f>
        <v>0</v>
      </c>
      <c r="S485" s="519">
        <f ca="1"/>
        <v>0</v>
      </c>
      <c r="T485" s="720"/>
      <c r="U485" s="390">
        <f t="shared" si="129"/>
        <v>0</v>
      </c>
      <c r="X485" s="345">
        <v>0</v>
      </c>
      <c r="Y485" s="711">
        <f t="shared" si="120"/>
        <v>0</v>
      </c>
      <c r="Z485" s="712">
        <f>IF(X486,_xll.qDateYears(X485,X486,DCCfloat),0)</f>
        <v>0</v>
      </c>
      <c r="AA485" s="519">
        <f ca="1"/>
        <v>0</v>
      </c>
      <c r="AB485" s="890">
        <f>IF(X485=0,0,         IF(OR(CCY="AUD",CCY="NZD",CCY="GBP"),X485,   _xll.qDateNext(X485,"-2b",,,IF(CCY="EUR","TGT","LON"))))</f>
        <v>0</v>
      </c>
      <c r="AC485" s="879" t="str">
        <v/>
      </c>
      <c r="AD485" s="879" t="str">
        <v/>
      </c>
      <c r="AE485" s="879" t="str">
        <v/>
      </c>
      <c r="AF485" s="879" t="str">
        <v/>
      </c>
      <c r="AG485" s="879" t="str">
        <v/>
      </c>
      <c r="AH485" s="879" t="str">
        <v/>
      </c>
      <c r="AI485" s="879" t="str">
        <v/>
      </c>
      <c r="AJ485" s="879" t="str">
        <v/>
      </c>
      <c r="AK485" s="882">
        <f>IF($X485=0,0,      _xll.qDateNext($X485,AK$12,$AR$11,FRM&lt;&gt;"Calypso",CCY))</f>
        <v>0</v>
      </c>
      <c r="AL485" s="882">
        <f>IF($X485=0,0,      _xll.qDateNext($X485,AL$12,$AR$11,FRM&lt;&gt;"Calypso",CCY))</f>
        <v>0</v>
      </c>
      <c r="AM485" s="882">
        <f>IF($X485=0,0,      _xll.qDateNext($X485,AM$12,$AR$11,FRM&lt;&gt;"Calypso",CCY))</f>
        <v>0</v>
      </c>
      <c r="AN485" s="882">
        <f>IF($X485=0,0,      _xll.qDateNext($X485,AN$12,$AR$11,FRM&lt;&gt;"Calypso",CCY))</f>
        <v>0</v>
      </c>
      <c r="AO485" s="882">
        <f>IF($X485=0,0,      _xll.qDateNext($X485,AO$12,$AR$11,FRM&lt;&gt;"Calypso",CCY))</f>
        <v>0</v>
      </c>
      <c r="AP485" s="882">
        <f>IF($X485=0,0,      _xll.qDateNext($X485,AP$12,$AR$11,FRM&lt;&gt;"Calypso",CCY))</f>
        <v>0</v>
      </c>
      <c r="AQ485" s="882">
        <f>IF($X485=0,0,      _xll.qDateNext($X485,AQ$12,$AR$11,FRM&lt;&gt;"Calypso",CCY))</f>
        <v>0</v>
      </c>
      <c r="AR485" s="882">
        <f>IF($X485=0,0,      _xll.qDateNext($X485,AR$12,$AR$11,FRM&lt;&gt;"Calypso",CCY))</f>
        <v>0</v>
      </c>
      <c r="AS485" s="901">
        <f ca="1"/>
        <v>0</v>
      </c>
      <c r="AT485" s="901">
        <f ca="1"/>
        <v>0</v>
      </c>
      <c r="AU485" s="901">
        <f t="shared" si="130"/>
        <v>0</v>
      </c>
      <c r="AV485" s="901">
        <f ca="1"/>
        <v>0</v>
      </c>
      <c r="AW485" s="901">
        <f t="shared" si="131"/>
        <v>0</v>
      </c>
      <c r="AX485" s="901">
        <f t="shared" si="132"/>
        <v>0</v>
      </c>
      <c r="AY485" s="901">
        <f ca="1"/>
        <v>0</v>
      </c>
      <c r="AZ485" s="901">
        <f ca="1"/>
        <v>0</v>
      </c>
      <c r="BA485" s="905">
        <f t="shared" si="121"/>
        <v>0</v>
      </c>
      <c r="BB485" s="905">
        <f t="shared" si="122"/>
        <v>0</v>
      </c>
      <c r="BC485" s="905">
        <f t="shared" si="123"/>
        <v>0</v>
      </c>
      <c r="BD485" s="905">
        <f t="shared" si="124"/>
        <v>0</v>
      </c>
      <c r="BE485" s="905">
        <f t="shared" si="125"/>
        <v>0</v>
      </c>
      <c r="BF485" s="905">
        <f t="shared" si="126"/>
        <v>0</v>
      </c>
      <c r="BG485" s="905">
        <f t="shared" si="127"/>
        <v>0</v>
      </c>
      <c r="BH485" s="905">
        <f t="shared" si="128"/>
        <v>0</v>
      </c>
      <c r="BI485" s="713">
        <v>0</v>
      </c>
      <c r="BJ485" s="695"/>
      <c r="BK485" s="752">
        <f>IF(X486=0,0,           IF(ISNUMBER(BJ485),BJ485,               IF(ISTEXT(BJ485),INDEX(BA485:BH485,MATCH(BJ485,$BA$12:$BH$12,0)),             IF(BI485="INT",_xll.qInterp(X486,AK485:AR485,BA485:BH485),            INDEX(BA485:BH485,MATCH(BI485,$BA$12:$BH$12,0))))))</f>
        <v>0</v>
      </c>
      <c r="BL485" s="389">
        <f t="shared" si="133"/>
        <v>0</v>
      </c>
      <c r="BM485" s="394">
        <f t="shared" si="134"/>
        <v>0</v>
      </c>
      <c r="BN485" s="389">
        <f t="shared" si="135"/>
        <v>0</v>
      </c>
    </row>
    <row r="486" spans="16:66">
      <c r="P486" s="716">
        <v>0</v>
      </c>
      <c r="Q486" s="715">
        <f t="shared" si="119"/>
        <v>0</v>
      </c>
      <c r="R486" s="712">
        <f>IF(P487,_xll.qDateYears(P486,P487,DCCfixed),0)</f>
        <v>0</v>
      </c>
      <c r="S486" s="519">
        <f ca="1"/>
        <v>0</v>
      </c>
      <c r="T486" s="720"/>
      <c r="U486" s="390">
        <f t="shared" si="129"/>
        <v>0</v>
      </c>
      <c r="X486" s="345">
        <v>0</v>
      </c>
      <c r="Y486" s="711">
        <f t="shared" si="120"/>
        <v>0</v>
      </c>
      <c r="Z486" s="712">
        <f>IF(X487,_xll.qDateYears(X486,X487,DCCfloat),0)</f>
        <v>0</v>
      </c>
      <c r="AA486" s="519">
        <f ca="1"/>
        <v>0</v>
      </c>
      <c r="AB486" s="890">
        <f>IF(X486=0,0,         IF(OR(CCY="AUD",CCY="NZD",CCY="GBP"),X486,   _xll.qDateNext(X486,"-2b",,,IF(CCY="EUR","TGT","LON"))))</f>
        <v>0</v>
      </c>
      <c r="AC486" s="879" t="str">
        <v/>
      </c>
      <c r="AD486" s="879" t="str">
        <v/>
      </c>
      <c r="AE486" s="879" t="str">
        <v/>
      </c>
      <c r="AF486" s="879" t="str">
        <v/>
      </c>
      <c r="AG486" s="879" t="str">
        <v/>
      </c>
      <c r="AH486" s="879" t="str">
        <v/>
      </c>
      <c r="AI486" s="879" t="str">
        <v/>
      </c>
      <c r="AJ486" s="879" t="str">
        <v/>
      </c>
      <c r="AK486" s="882">
        <f>IF($X486=0,0,      _xll.qDateNext($X486,AK$12,$AR$11,FRM&lt;&gt;"Calypso",CCY))</f>
        <v>0</v>
      </c>
      <c r="AL486" s="882">
        <f>IF($X486=0,0,      _xll.qDateNext($X486,AL$12,$AR$11,FRM&lt;&gt;"Calypso",CCY))</f>
        <v>0</v>
      </c>
      <c r="AM486" s="882">
        <f>IF($X486=0,0,      _xll.qDateNext($X486,AM$12,$AR$11,FRM&lt;&gt;"Calypso",CCY))</f>
        <v>0</v>
      </c>
      <c r="AN486" s="882">
        <f>IF($X486=0,0,      _xll.qDateNext($X486,AN$12,$AR$11,FRM&lt;&gt;"Calypso",CCY))</f>
        <v>0</v>
      </c>
      <c r="AO486" s="882">
        <f>IF($X486=0,0,      _xll.qDateNext($X486,AO$12,$AR$11,FRM&lt;&gt;"Calypso",CCY))</f>
        <v>0</v>
      </c>
      <c r="AP486" s="882">
        <f>IF($X486=0,0,      _xll.qDateNext($X486,AP$12,$AR$11,FRM&lt;&gt;"Calypso",CCY))</f>
        <v>0</v>
      </c>
      <c r="AQ486" s="882">
        <f>IF($X486=0,0,      _xll.qDateNext($X486,AQ$12,$AR$11,FRM&lt;&gt;"Calypso",CCY))</f>
        <v>0</v>
      </c>
      <c r="AR486" s="882">
        <f>IF($X486=0,0,      _xll.qDateNext($X486,AR$12,$AR$11,FRM&lt;&gt;"Calypso",CCY))</f>
        <v>0</v>
      </c>
      <c r="AS486" s="901">
        <f ca="1"/>
        <v>0</v>
      </c>
      <c r="AT486" s="901">
        <f ca="1"/>
        <v>0</v>
      </c>
      <c r="AU486" s="901">
        <f t="shared" si="130"/>
        <v>0</v>
      </c>
      <c r="AV486" s="901">
        <f ca="1"/>
        <v>0</v>
      </c>
      <c r="AW486" s="901">
        <f t="shared" si="131"/>
        <v>0</v>
      </c>
      <c r="AX486" s="901">
        <f t="shared" si="132"/>
        <v>0</v>
      </c>
      <c r="AY486" s="901">
        <f ca="1"/>
        <v>0</v>
      </c>
      <c r="AZ486" s="901">
        <f ca="1"/>
        <v>0</v>
      </c>
      <c r="BA486" s="905">
        <f t="shared" si="121"/>
        <v>0</v>
      </c>
      <c r="BB486" s="905">
        <f t="shared" si="122"/>
        <v>0</v>
      </c>
      <c r="BC486" s="905">
        <f t="shared" si="123"/>
        <v>0</v>
      </c>
      <c r="BD486" s="905">
        <f t="shared" si="124"/>
        <v>0</v>
      </c>
      <c r="BE486" s="905">
        <f t="shared" si="125"/>
        <v>0</v>
      </c>
      <c r="BF486" s="905">
        <f t="shared" si="126"/>
        <v>0</v>
      </c>
      <c r="BG486" s="905">
        <f t="shared" si="127"/>
        <v>0</v>
      </c>
      <c r="BH486" s="905">
        <f t="shared" si="128"/>
        <v>0</v>
      </c>
      <c r="BI486" s="713">
        <v>0</v>
      </c>
      <c r="BJ486" s="695"/>
      <c r="BK486" s="752">
        <f>IF(X487=0,0,           IF(ISNUMBER(BJ486),BJ486,               IF(ISTEXT(BJ486),INDEX(BA486:BH486,MATCH(BJ486,$BA$12:$BH$12,0)),             IF(BI486="INT",_xll.qInterp(X487,AK486:AR486,BA486:BH486),            INDEX(BA486:BH486,MATCH(BI486,$BA$12:$BH$12,0))))))</f>
        <v>0</v>
      </c>
      <c r="BL486" s="389">
        <f t="shared" si="133"/>
        <v>0</v>
      </c>
      <c r="BM486" s="394">
        <f t="shared" si="134"/>
        <v>0</v>
      </c>
      <c r="BN486" s="389">
        <f t="shared" si="135"/>
        <v>0</v>
      </c>
    </row>
    <row r="487" spans="16:66">
      <c r="P487" s="716">
        <v>0</v>
      </c>
      <c r="Q487" s="715">
        <f t="shared" si="119"/>
        <v>0</v>
      </c>
      <c r="R487" s="712">
        <f>IF(P488,_xll.qDateYears(P487,P488,DCCfixed),0)</f>
        <v>0</v>
      </c>
      <c r="S487" s="519">
        <f ca="1"/>
        <v>0</v>
      </c>
      <c r="T487" s="720"/>
      <c r="U487" s="390">
        <f t="shared" si="129"/>
        <v>0</v>
      </c>
      <c r="X487" s="345">
        <v>0</v>
      </c>
      <c r="Y487" s="711">
        <f t="shared" si="120"/>
        <v>0</v>
      </c>
      <c r="Z487" s="712">
        <f>IF(X488,_xll.qDateYears(X487,X488,DCCfloat),0)</f>
        <v>0</v>
      </c>
      <c r="AA487" s="519">
        <f ca="1"/>
        <v>0</v>
      </c>
      <c r="AB487" s="890">
        <f>IF(X487=0,0,         IF(OR(CCY="AUD",CCY="NZD",CCY="GBP"),X487,   _xll.qDateNext(X487,"-2b",,,IF(CCY="EUR","TGT","LON"))))</f>
        <v>0</v>
      </c>
      <c r="AC487" s="879" t="str">
        <v/>
      </c>
      <c r="AD487" s="879" t="str">
        <v/>
      </c>
      <c r="AE487" s="879" t="str">
        <v/>
      </c>
      <c r="AF487" s="879" t="str">
        <v/>
      </c>
      <c r="AG487" s="879" t="str">
        <v/>
      </c>
      <c r="AH487" s="879" t="str">
        <v/>
      </c>
      <c r="AI487" s="879" t="str">
        <v/>
      </c>
      <c r="AJ487" s="879" t="str">
        <v/>
      </c>
      <c r="AK487" s="882">
        <f>IF($X487=0,0,      _xll.qDateNext($X487,AK$12,$AR$11,FRM&lt;&gt;"Calypso",CCY))</f>
        <v>0</v>
      </c>
      <c r="AL487" s="882">
        <f>IF($X487=0,0,      _xll.qDateNext($X487,AL$12,$AR$11,FRM&lt;&gt;"Calypso",CCY))</f>
        <v>0</v>
      </c>
      <c r="AM487" s="882">
        <f>IF($X487=0,0,      _xll.qDateNext($X487,AM$12,$AR$11,FRM&lt;&gt;"Calypso",CCY))</f>
        <v>0</v>
      </c>
      <c r="AN487" s="882">
        <f>IF($X487=0,0,      _xll.qDateNext($X487,AN$12,$AR$11,FRM&lt;&gt;"Calypso",CCY))</f>
        <v>0</v>
      </c>
      <c r="AO487" s="882">
        <f>IF($X487=0,0,      _xll.qDateNext($X487,AO$12,$AR$11,FRM&lt;&gt;"Calypso",CCY))</f>
        <v>0</v>
      </c>
      <c r="AP487" s="882">
        <f>IF($X487=0,0,      _xll.qDateNext($X487,AP$12,$AR$11,FRM&lt;&gt;"Calypso",CCY))</f>
        <v>0</v>
      </c>
      <c r="AQ487" s="882">
        <f>IF($X487=0,0,      _xll.qDateNext($X487,AQ$12,$AR$11,FRM&lt;&gt;"Calypso",CCY))</f>
        <v>0</v>
      </c>
      <c r="AR487" s="882">
        <f>IF($X487=0,0,      _xll.qDateNext($X487,AR$12,$AR$11,FRM&lt;&gt;"Calypso",CCY))</f>
        <v>0</v>
      </c>
      <c r="AS487" s="901">
        <f ca="1"/>
        <v>0</v>
      </c>
      <c r="AT487" s="901">
        <f ca="1"/>
        <v>0</v>
      </c>
      <c r="AU487" s="901">
        <f t="shared" si="130"/>
        <v>0</v>
      </c>
      <c r="AV487" s="901">
        <f ca="1"/>
        <v>0</v>
      </c>
      <c r="AW487" s="901">
        <f t="shared" si="131"/>
        <v>0</v>
      </c>
      <c r="AX487" s="901">
        <f t="shared" si="132"/>
        <v>0</v>
      </c>
      <c r="AY487" s="901">
        <f ca="1"/>
        <v>0</v>
      </c>
      <c r="AZ487" s="901">
        <f ca="1"/>
        <v>0</v>
      </c>
      <c r="BA487" s="905">
        <f t="shared" si="121"/>
        <v>0</v>
      </c>
      <c r="BB487" s="905">
        <f t="shared" si="122"/>
        <v>0</v>
      </c>
      <c r="BC487" s="905">
        <f t="shared" si="123"/>
        <v>0</v>
      </c>
      <c r="BD487" s="905">
        <f t="shared" si="124"/>
        <v>0</v>
      </c>
      <c r="BE487" s="905">
        <f t="shared" si="125"/>
        <v>0</v>
      </c>
      <c r="BF487" s="905">
        <f t="shared" si="126"/>
        <v>0</v>
      </c>
      <c r="BG487" s="905">
        <f t="shared" si="127"/>
        <v>0</v>
      </c>
      <c r="BH487" s="905">
        <f t="shared" si="128"/>
        <v>0</v>
      </c>
      <c r="BI487" s="713">
        <v>0</v>
      </c>
      <c r="BJ487" s="695"/>
      <c r="BK487" s="752">
        <f>IF(X488=0,0,           IF(ISNUMBER(BJ487),BJ487,               IF(ISTEXT(BJ487),INDEX(BA487:BH487,MATCH(BJ487,$BA$12:$BH$12,0)),             IF(BI487="INT",_xll.qInterp(X488,AK487:AR487,BA487:BH487),            INDEX(BA487:BH487,MATCH(BI487,$BA$12:$BH$12,0))))))</f>
        <v>0</v>
      </c>
      <c r="BL487" s="389">
        <f t="shared" si="133"/>
        <v>0</v>
      </c>
      <c r="BM487" s="394">
        <f t="shared" si="134"/>
        <v>0</v>
      </c>
      <c r="BN487" s="389">
        <f t="shared" si="135"/>
        <v>0</v>
      </c>
    </row>
    <row r="488" spans="16:66">
      <c r="P488" s="716">
        <v>0</v>
      </c>
      <c r="Q488" s="715">
        <f t="shared" si="119"/>
        <v>0</v>
      </c>
      <c r="R488" s="712">
        <f>IF(P489,_xll.qDateYears(P488,P489,DCCfixed),0)</f>
        <v>0</v>
      </c>
      <c r="S488" s="519">
        <f ca="1"/>
        <v>0</v>
      </c>
      <c r="T488" s="720"/>
      <c r="U488" s="390">
        <f t="shared" si="129"/>
        <v>0</v>
      </c>
      <c r="X488" s="345">
        <v>0</v>
      </c>
      <c r="Y488" s="711">
        <f t="shared" si="120"/>
        <v>0</v>
      </c>
      <c r="Z488" s="712">
        <f>IF(X489,_xll.qDateYears(X488,X489,DCCfloat),0)</f>
        <v>0</v>
      </c>
      <c r="AA488" s="519">
        <f ca="1"/>
        <v>0</v>
      </c>
      <c r="AB488" s="890">
        <f>IF(X488=0,0,         IF(OR(CCY="AUD",CCY="NZD",CCY="GBP"),X488,   _xll.qDateNext(X488,"-2b",,,IF(CCY="EUR","TGT","LON"))))</f>
        <v>0</v>
      </c>
      <c r="AC488" s="879" t="str">
        <v/>
      </c>
      <c r="AD488" s="879" t="str">
        <v/>
      </c>
      <c r="AE488" s="879" t="str">
        <v/>
      </c>
      <c r="AF488" s="879" t="str">
        <v/>
      </c>
      <c r="AG488" s="879" t="str">
        <v/>
      </c>
      <c r="AH488" s="879" t="str">
        <v/>
      </c>
      <c r="AI488" s="879" t="str">
        <v/>
      </c>
      <c r="AJ488" s="879" t="str">
        <v/>
      </c>
      <c r="AK488" s="882">
        <f>IF($X488=0,0,      _xll.qDateNext($X488,AK$12,$AR$11,FRM&lt;&gt;"Calypso",CCY))</f>
        <v>0</v>
      </c>
      <c r="AL488" s="882">
        <f>IF($X488=0,0,      _xll.qDateNext($X488,AL$12,$AR$11,FRM&lt;&gt;"Calypso",CCY))</f>
        <v>0</v>
      </c>
      <c r="AM488" s="882">
        <f>IF($X488=0,0,      _xll.qDateNext($X488,AM$12,$AR$11,FRM&lt;&gt;"Calypso",CCY))</f>
        <v>0</v>
      </c>
      <c r="AN488" s="882">
        <f>IF($X488=0,0,      _xll.qDateNext($X488,AN$12,$AR$11,FRM&lt;&gt;"Calypso",CCY))</f>
        <v>0</v>
      </c>
      <c r="AO488" s="882">
        <f>IF($X488=0,0,      _xll.qDateNext($X488,AO$12,$AR$11,FRM&lt;&gt;"Calypso",CCY))</f>
        <v>0</v>
      </c>
      <c r="AP488" s="882">
        <f>IF($X488=0,0,      _xll.qDateNext($X488,AP$12,$AR$11,FRM&lt;&gt;"Calypso",CCY))</f>
        <v>0</v>
      </c>
      <c r="AQ488" s="882">
        <f>IF($X488=0,0,      _xll.qDateNext($X488,AQ$12,$AR$11,FRM&lt;&gt;"Calypso",CCY))</f>
        <v>0</v>
      </c>
      <c r="AR488" s="882">
        <f>IF($X488=0,0,      _xll.qDateNext($X488,AR$12,$AR$11,FRM&lt;&gt;"Calypso",CCY))</f>
        <v>0</v>
      </c>
      <c r="AS488" s="901">
        <f ca="1"/>
        <v>0</v>
      </c>
      <c r="AT488" s="901">
        <f ca="1"/>
        <v>0</v>
      </c>
      <c r="AU488" s="901">
        <f t="shared" si="130"/>
        <v>0</v>
      </c>
      <c r="AV488" s="901">
        <f ca="1"/>
        <v>0</v>
      </c>
      <c r="AW488" s="901">
        <f t="shared" si="131"/>
        <v>0</v>
      </c>
      <c r="AX488" s="901">
        <f t="shared" si="132"/>
        <v>0</v>
      </c>
      <c r="AY488" s="901">
        <f ca="1"/>
        <v>0</v>
      </c>
      <c r="AZ488" s="901">
        <f ca="1"/>
        <v>0</v>
      </c>
      <c r="BA488" s="905">
        <f t="shared" si="121"/>
        <v>0</v>
      </c>
      <c r="BB488" s="905">
        <f t="shared" si="122"/>
        <v>0</v>
      </c>
      <c r="BC488" s="905">
        <f t="shared" si="123"/>
        <v>0</v>
      </c>
      <c r="BD488" s="905">
        <f t="shared" si="124"/>
        <v>0</v>
      </c>
      <c r="BE488" s="905">
        <f t="shared" si="125"/>
        <v>0</v>
      </c>
      <c r="BF488" s="905">
        <f t="shared" si="126"/>
        <v>0</v>
      </c>
      <c r="BG488" s="905">
        <f t="shared" si="127"/>
        <v>0</v>
      </c>
      <c r="BH488" s="905">
        <f t="shared" si="128"/>
        <v>0</v>
      </c>
      <c r="BI488" s="713">
        <v>0</v>
      </c>
      <c r="BJ488" s="695"/>
      <c r="BK488" s="752">
        <f>IF(X489=0,0,           IF(ISNUMBER(BJ488),BJ488,               IF(ISTEXT(BJ488),INDEX(BA488:BH488,MATCH(BJ488,$BA$12:$BH$12,0)),             IF(BI488="INT",_xll.qInterp(X489,AK488:AR488,BA488:BH488),            INDEX(BA488:BH488,MATCH(BI488,$BA$12:$BH$12,0))))))</f>
        <v>0</v>
      </c>
      <c r="BL488" s="389">
        <f t="shared" si="133"/>
        <v>0</v>
      </c>
      <c r="BM488" s="394">
        <f t="shared" si="134"/>
        <v>0</v>
      </c>
      <c r="BN488" s="389">
        <f t="shared" si="135"/>
        <v>0</v>
      </c>
    </row>
    <row r="489" spans="16:66">
      <c r="P489" s="716">
        <v>0</v>
      </c>
      <c r="Q489" s="715">
        <f t="shared" si="119"/>
        <v>0</v>
      </c>
      <c r="R489" s="712">
        <f>IF(P490,_xll.qDateYears(P489,P490,DCCfixed),0)</f>
        <v>0</v>
      </c>
      <c r="S489" s="519">
        <f ca="1"/>
        <v>0</v>
      </c>
      <c r="T489" s="720"/>
      <c r="U489" s="390">
        <f t="shared" si="129"/>
        <v>0</v>
      </c>
      <c r="X489" s="345">
        <v>0</v>
      </c>
      <c r="Y489" s="711">
        <f t="shared" si="120"/>
        <v>0</v>
      </c>
      <c r="Z489" s="712">
        <f>IF(X490,_xll.qDateYears(X489,X490,DCCfloat),0)</f>
        <v>0</v>
      </c>
      <c r="AA489" s="519">
        <f ca="1"/>
        <v>0</v>
      </c>
      <c r="AB489" s="890">
        <f>IF(X489=0,0,         IF(OR(CCY="AUD",CCY="NZD",CCY="GBP"),X489,   _xll.qDateNext(X489,"-2b",,,IF(CCY="EUR","TGT","LON"))))</f>
        <v>0</v>
      </c>
      <c r="AC489" s="879" t="str">
        <v/>
      </c>
      <c r="AD489" s="879" t="str">
        <v/>
      </c>
      <c r="AE489" s="879" t="str">
        <v/>
      </c>
      <c r="AF489" s="879" t="str">
        <v/>
      </c>
      <c r="AG489" s="879" t="str">
        <v/>
      </c>
      <c r="AH489" s="879" t="str">
        <v/>
      </c>
      <c r="AI489" s="879" t="str">
        <v/>
      </c>
      <c r="AJ489" s="879" t="str">
        <v/>
      </c>
      <c r="AK489" s="882">
        <f>IF($X489=0,0,      _xll.qDateNext($X489,AK$12,$AR$11,FRM&lt;&gt;"Calypso",CCY))</f>
        <v>0</v>
      </c>
      <c r="AL489" s="882">
        <f>IF($X489=0,0,      _xll.qDateNext($X489,AL$12,$AR$11,FRM&lt;&gt;"Calypso",CCY))</f>
        <v>0</v>
      </c>
      <c r="AM489" s="882">
        <f>IF($X489=0,0,      _xll.qDateNext($X489,AM$12,$AR$11,FRM&lt;&gt;"Calypso",CCY))</f>
        <v>0</v>
      </c>
      <c r="AN489" s="882">
        <f>IF($X489=0,0,      _xll.qDateNext($X489,AN$12,$AR$11,FRM&lt;&gt;"Calypso",CCY))</f>
        <v>0</v>
      </c>
      <c r="AO489" s="882">
        <f>IF($X489=0,0,      _xll.qDateNext($X489,AO$12,$AR$11,FRM&lt;&gt;"Calypso",CCY))</f>
        <v>0</v>
      </c>
      <c r="AP489" s="882">
        <f>IF($X489=0,0,      _xll.qDateNext($X489,AP$12,$AR$11,FRM&lt;&gt;"Calypso",CCY))</f>
        <v>0</v>
      </c>
      <c r="AQ489" s="882">
        <f>IF($X489=0,0,      _xll.qDateNext($X489,AQ$12,$AR$11,FRM&lt;&gt;"Calypso",CCY))</f>
        <v>0</v>
      </c>
      <c r="AR489" s="882">
        <f>IF($X489=0,0,      _xll.qDateNext($X489,AR$12,$AR$11,FRM&lt;&gt;"Calypso",CCY))</f>
        <v>0</v>
      </c>
      <c r="AS489" s="901">
        <f ca="1"/>
        <v>0</v>
      </c>
      <c r="AT489" s="901">
        <f ca="1"/>
        <v>0</v>
      </c>
      <c r="AU489" s="901">
        <f t="shared" si="130"/>
        <v>0</v>
      </c>
      <c r="AV489" s="901">
        <f ca="1"/>
        <v>0</v>
      </c>
      <c r="AW489" s="901">
        <f t="shared" si="131"/>
        <v>0</v>
      </c>
      <c r="AX489" s="901">
        <f t="shared" si="132"/>
        <v>0</v>
      </c>
      <c r="AY489" s="901">
        <f ca="1"/>
        <v>0</v>
      </c>
      <c r="AZ489" s="901">
        <f ca="1"/>
        <v>0</v>
      </c>
      <c r="BA489" s="905">
        <f t="shared" si="121"/>
        <v>0</v>
      </c>
      <c r="BB489" s="905">
        <f t="shared" si="122"/>
        <v>0</v>
      </c>
      <c r="BC489" s="905">
        <f t="shared" si="123"/>
        <v>0</v>
      </c>
      <c r="BD489" s="905">
        <f t="shared" si="124"/>
        <v>0</v>
      </c>
      <c r="BE489" s="905">
        <f t="shared" si="125"/>
        <v>0</v>
      </c>
      <c r="BF489" s="905">
        <f t="shared" si="126"/>
        <v>0</v>
      </c>
      <c r="BG489" s="905">
        <f t="shared" si="127"/>
        <v>0</v>
      </c>
      <c r="BH489" s="905">
        <f t="shared" si="128"/>
        <v>0</v>
      </c>
      <c r="BI489" s="713">
        <v>0</v>
      </c>
      <c r="BJ489" s="695"/>
      <c r="BK489" s="752">
        <f>IF(X490=0,0,           IF(ISNUMBER(BJ489),BJ489,               IF(ISTEXT(BJ489),INDEX(BA489:BH489,MATCH(BJ489,$BA$12:$BH$12,0)),             IF(BI489="INT",_xll.qInterp(X490,AK489:AR489,BA489:BH489),            INDEX(BA489:BH489,MATCH(BI489,$BA$12:$BH$12,0))))))</f>
        <v>0</v>
      </c>
      <c r="BL489" s="389">
        <f t="shared" si="133"/>
        <v>0</v>
      </c>
      <c r="BM489" s="394">
        <f t="shared" si="134"/>
        <v>0</v>
      </c>
      <c r="BN489" s="389">
        <f t="shared" si="135"/>
        <v>0</v>
      </c>
    </row>
    <row r="490" spans="16:66">
      <c r="P490" s="716">
        <v>0</v>
      </c>
      <c r="Q490" s="715">
        <f t="shared" si="119"/>
        <v>0</v>
      </c>
      <c r="R490" s="712">
        <f>IF(P491,_xll.qDateYears(P490,P491,DCCfixed),0)</f>
        <v>0</v>
      </c>
      <c r="S490" s="519">
        <f ca="1"/>
        <v>0</v>
      </c>
      <c r="T490" s="720"/>
      <c r="U490" s="390">
        <f t="shared" si="129"/>
        <v>0</v>
      </c>
      <c r="X490" s="345">
        <v>0</v>
      </c>
      <c r="Y490" s="711">
        <f t="shared" si="120"/>
        <v>0</v>
      </c>
      <c r="Z490" s="712">
        <f>IF(X491,_xll.qDateYears(X490,X491,DCCfloat),0)</f>
        <v>0</v>
      </c>
      <c r="AA490" s="519">
        <f ca="1"/>
        <v>0</v>
      </c>
      <c r="AB490" s="890">
        <f>IF(X490=0,0,         IF(OR(CCY="AUD",CCY="NZD",CCY="GBP"),X490,   _xll.qDateNext(X490,"-2b",,,IF(CCY="EUR","TGT","LON"))))</f>
        <v>0</v>
      </c>
      <c r="AC490" s="879" t="str">
        <v/>
      </c>
      <c r="AD490" s="879" t="str">
        <v/>
      </c>
      <c r="AE490" s="879" t="str">
        <v/>
      </c>
      <c r="AF490" s="879" t="str">
        <v/>
      </c>
      <c r="AG490" s="879" t="str">
        <v/>
      </c>
      <c r="AH490" s="879" t="str">
        <v/>
      </c>
      <c r="AI490" s="879" t="str">
        <v/>
      </c>
      <c r="AJ490" s="879" t="str">
        <v/>
      </c>
      <c r="AK490" s="882">
        <f>IF($X490=0,0,      _xll.qDateNext($X490,AK$12,$AR$11,FRM&lt;&gt;"Calypso",CCY))</f>
        <v>0</v>
      </c>
      <c r="AL490" s="882">
        <f>IF($X490=0,0,      _xll.qDateNext($X490,AL$12,$AR$11,FRM&lt;&gt;"Calypso",CCY))</f>
        <v>0</v>
      </c>
      <c r="AM490" s="882">
        <f>IF($X490=0,0,      _xll.qDateNext($X490,AM$12,$AR$11,FRM&lt;&gt;"Calypso",CCY))</f>
        <v>0</v>
      </c>
      <c r="AN490" s="882">
        <f>IF($X490=0,0,      _xll.qDateNext($X490,AN$12,$AR$11,FRM&lt;&gt;"Calypso",CCY))</f>
        <v>0</v>
      </c>
      <c r="AO490" s="882">
        <f>IF($X490=0,0,      _xll.qDateNext($X490,AO$12,$AR$11,FRM&lt;&gt;"Calypso",CCY))</f>
        <v>0</v>
      </c>
      <c r="AP490" s="882">
        <f>IF($X490=0,0,      _xll.qDateNext($X490,AP$12,$AR$11,FRM&lt;&gt;"Calypso",CCY))</f>
        <v>0</v>
      </c>
      <c r="AQ490" s="882">
        <f>IF($X490=0,0,      _xll.qDateNext($X490,AQ$12,$AR$11,FRM&lt;&gt;"Calypso",CCY))</f>
        <v>0</v>
      </c>
      <c r="AR490" s="882">
        <f>IF($X490=0,0,      _xll.qDateNext($X490,AR$12,$AR$11,FRM&lt;&gt;"Calypso",CCY))</f>
        <v>0</v>
      </c>
      <c r="AS490" s="901">
        <f ca="1"/>
        <v>0</v>
      </c>
      <c r="AT490" s="901">
        <f ca="1"/>
        <v>0</v>
      </c>
      <c r="AU490" s="901">
        <f t="shared" si="130"/>
        <v>0</v>
      </c>
      <c r="AV490" s="901">
        <f ca="1"/>
        <v>0</v>
      </c>
      <c r="AW490" s="901">
        <f t="shared" si="131"/>
        <v>0</v>
      </c>
      <c r="AX490" s="901">
        <f t="shared" si="132"/>
        <v>0</v>
      </c>
      <c r="AY490" s="901">
        <f ca="1"/>
        <v>0</v>
      </c>
      <c r="AZ490" s="901">
        <f ca="1"/>
        <v>0</v>
      </c>
      <c r="BA490" s="905">
        <f t="shared" si="121"/>
        <v>0</v>
      </c>
      <c r="BB490" s="905">
        <f t="shared" si="122"/>
        <v>0</v>
      </c>
      <c r="BC490" s="905">
        <f t="shared" si="123"/>
        <v>0</v>
      </c>
      <c r="BD490" s="905">
        <f t="shared" si="124"/>
        <v>0</v>
      </c>
      <c r="BE490" s="905">
        <f t="shared" si="125"/>
        <v>0</v>
      </c>
      <c r="BF490" s="905">
        <f t="shared" si="126"/>
        <v>0</v>
      </c>
      <c r="BG490" s="905">
        <f t="shared" si="127"/>
        <v>0</v>
      </c>
      <c r="BH490" s="905">
        <f t="shared" si="128"/>
        <v>0</v>
      </c>
      <c r="BI490" s="713">
        <v>0</v>
      </c>
      <c r="BJ490" s="695"/>
      <c r="BK490" s="752">
        <f>IF(X491=0,0,           IF(ISNUMBER(BJ490),BJ490,               IF(ISTEXT(BJ490),INDEX(BA490:BH490,MATCH(BJ490,$BA$12:$BH$12,0)),             IF(BI490="INT",_xll.qInterp(X491,AK490:AR490,BA490:BH490),            INDEX(BA490:BH490,MATCH(BI490,$BA$12:$BH$12,0))))))</f>
        <v>0</v>
      </c>
      <c r="BL490" s="389">
        <f t="shared" si="133"/>
        <v>0</v>
      </c>
      <c r="BM490" s="394">
        <f t="shared" si="134"/>
        <v>0</v>
      </c>
      <c r="BN490" s="389">
        <f t="shared" si="135"/>
        <v>0</v>
      </c>
    </row>
    <row r="491" spans="16:66">
      <c r="P491" s="716">
        <v>0</v>
      </c>
      <c r="Q491" s="715">
        <f t="shared" si="119"/>
        <v>0</v>
      </c>
      <c r="R491" s="712">
        <f>IF(P492,_xll.qDateYears(P491,P492,DCCfixed),0)</f>
        <v>0</v>
      </c>
      <c r="S491" s="519">
        <f ca="1"/>
        <v>0</v>
      </c>
      <c r="T491" s="720"/>
      <c r="U491" s="390">
        <f t="shared" si="129"/>
        <v>0</v>
      </c>
      <c r="X491" s="345">
        <v>0</v>
      </c>
      <c r="Y491" s="711">
        <f t="shared" si="120"/>
        <v>0</v>
      </c>
      <c r="Z491" s="712">
        <f>IF(X492,_xll.qDateYears(X491,X492,DCCfloat),0)</f>
        <v>0</v>
      </c>
      <c r="AA491" s="519">
        <f ca="1"/>
        <v>0</v>
      </c>
      <c r="AB491" s="890">
        <f>IF(X491=0,0,         IF(OR(CCY="AUD",CCY="NZD",CCY="GBP"),X491,   _xll.qDateNext(X491,"-2b",,,IF(CCY="EUR","TGT","LON"))))</f>
        <v>0</v>
      </c>
      <c r="AC491" s="879" t="str">
        <v/>
      </c>
      <c r="AD491" s="879" t="str">
        <v/>
      </c>
      <c r="AE491" s="879" t="str">
        <v/>
      </c>
      <c r="AF491" s="879" t="str">
        <v/>
      </c>
      <c r="AG491" s="879" t="str">
        <v/>
      </c>
      <c r="AH491" s="879" t="str">
        <v/>
      </c>
      <c r="AI491" s="879" t="str">
        <v/>
      </c>
      <c r="AJ491" s="879" t="str">
        <v/>
      </c>
      <c r="AK491" s="882">
        <f>IF($X491=0,0,      _xll.qDateNext($X491,AK$12,$AR$11,FRM&lt;&gt;"Calypso",CCY))</f>
        <v>0</v>
      </c>
      <c r="AL491" s="882">
        <f>IF($X491=0,0,      _xll.qDateNext($X491,AL$12,$AR$11,FRM&lt;&gt;"Calypso",CCY))</f>
        <v>0</v>
      </c>
      <c r="AM491" s="882">
        <f>IF($X491=0,0,      _xll.qDateNext($X491,AM$12,$AR$11,FRM&lt;&gt;"Calypso",CCY))</f>
        <v>0</v>
      </c>
      <c r="AN491" s="882">
        <f>IF($X491=0,0,      _xll.qDateNext($X491,AN$12,$AR$11,FRM&lt;&gt;"Calypso",CCY))</f>
        <v>0</v>
      </c>
      <c r="AO491" s="882">
        <f>IF($X491=0,0,      _xll.qDateNext($X491,AO$12,$AR$11,FRM&lt;&gt;"Calypso",CCY))</f>
        <v>0</v>
      </c>
      <c r="AP491" s="882">
        <f>IF($X491=0,0,      _xll.qDateNext($X491,AP$12,$AR$11,FRM&lt;&gt;"Calypso",CCY))</f>
        <v>0</v>
      </c>
      <c r="AQ491" s="882">
        <f>IF($X491=0,0,      _xll.qDateNext($X491,AQ$12,$AR$11,FRM&lt;&gt;"Calypso",CCY))</f>
        <v>0</v>
      </c>
      <c r="AR491" s="882">
        <f>IF($X491=0,0,      _xll.qDateNext($X491,AR$12,$AR$11,FRM&lt;&gt;"Calypso",CCY))</f>
        <v>0</v>
      </c>
      <c r="AS491" s="901">
        <f ca="1"/>
        <v>0</v>
      </c>
      <c r="AT491" s="901">
        <f ca="1"/>
        <v>0</v>
      </c>
      <c r="AU491" s="901">
        <f t="shared" si="130"/>
        <v>0</v>
      </c>
      <c r="AV491" s="901">
        <f ca="1"/>
        <v>0</v>
      </c>
      <c r="AW491" s="901">
        <f t="shared" si="131"/>
        <v>0</v>
      </c>
      <c r="AX491" s="901">
        <f t="shared" si="132"/>
        <v>0</v>
      </c>
      <c r="AY491" s="901">
        <f ca="1"/>
        <v>0</v>
      </c>
      <c r="AZ491" s="901">
        <f ca="1"/>
        <v>0</v>
      </c>
      <c r="BA491" s="905">
        <f t="shared" si="121"/>
        <v>0</v>
      </c>
      <c r="BB491" s="905">
        <f t="shared" si="122"/>
        <v>0</v>
      </c>
      <c r="BC491" s="905">
        <f t="shared" si="123"/>
        <v>0</v>
      </c>
      <c r="BD491" s="905">
        <f t="shared" si="124"/>
        <v>0</v>
      </c>
      <c r="BE491" s="905">
        <f t="shared" si="125"/>
        <v>0</v>
      </c>
      <c r="BF491" s="905">
        <f t="shared" si="126"/>
        <v>0</v>
      </c>
      <c r="BG491" s="905">
        <f t="shared" si="127"/>
        <v>0</v>
      </c>
      <c r="BH491" s="905">
        <f t="shared" si="128"/>
        <v>0</v>
      </c>
      <c r="BI491" s="713">
        <v>0</v>
      </c>
      <c r="BJ491" s="695"/>
      <c r="BK491" s="752">
        <f>IF(X492=0,0,           IF(ISNUMBER(BJ491),BJ491,               IF(ISTEXT(BJ491),INDEX(BA491:BH491,MATCH(BJ491,$BA$12:$BH$12,0)),             IF(BI491="INT",_xll.qInterp(X492,AK491:AR491,BA491:BH491),            INDEX(BA491:BH491,MATCH(BI491,$BA$12:$BH$12,0))))))</f>
        <v>0</v>
      </c>
      <c r="BL491" s="389">
        <f t="shared" si="133"/>
        <v>0</v>
      </c>
      <c r="BM491" s="394">
        <f t="shared" si="134"/>
        <v>0</v>
      </c>
      <c r="BN491" s="389">
        <f t="shared" si="135"/>
        <v>0</v>
      </c>
    </row>
    <row r="492" spans="16:66">
      <c r="P492" s="716">
        <v>0</v>
      </c>
      <c r="Q492" s="715">
        <f t="shared" si="119"/>
        <v>0</v>
      </c>
      <c r="R492" s="712">
        <f>IF(P493,_xll.qDateYears(P492,P493,DCCfixed),0)</f>
        <v>0</v>
      </c>
      <c r="S492" s="519">
        <f ca="1"/>
        <v>0</v>
      </c>
      <c r="T492" s="720"/>
      <c r="U492" s="390">
        <f t="shared" si="129"/>
        <v>0</v>
      </c>
      <c r="X492" s="345">
        <v>0</v>
      </c>
      <c r="Y492" s="711">
        <f t="shared" si="120"/>
        <v>0</v>
      </c>
      <c r="Z492" s="712">
        <f>IF(X493,_xll.qDateYears(X492,X493,DCCfloat),0)</f>
        <v>0</v>
      </c>
      <c r="AA492" s="519">
        <f ca="1"/>
        <v>0</v>
      </c>
      <c r="AB492" s="890">
        <f>IF(X492=0,0,         IF(OR(CCY="AUD",CCY="NZD",CCY="GBP"),X492,   _xll.qDateNext(X492,"-2b",,,IF(CCY="EUR","TGT","LON"))))</f>
        <v>0</v>
      </c>
      <c r="AC492" s="879" t="str">
        <v/>
      </c>
      <c r="AD492" s="879" t="str">
        <v/>
      </c>
      <c r="AE492" s="879" t="str">
        <v/>
      </c>
      <c r="AF492" s="879" t="str">
        <v/>
      </c>
      <c r="AG492" s="879" t="str">
        <v/>
      </c>
      <c r="AH492" s="879" t="str">
        <v/>
      </c>
      <c r="AI492" s="879" t="str">
        <v/>
      </c>
      <c r="AJ492" s="879" t="str">
        <v/>
      </c>
      <c r="AK492" s="882">
        <f>IF($X492=0,0,      _xll.qDateNext($X492,AK$12,$AR$11,FRM&lt;&gt;"Calypso",CCY))</f>
        <v>0</v>
      </c>
      <c r="AL492" s="882">
        <f>IF($X492=0,0,      _xll.qDateNext($X492,AL$12,$AR$11,FRM&lt;&gt;"Calypso",CCY))</f>
        <v>0</v>
      </c>
      <c r="AM492" s="882">
        <f>IF($X492=0,0,      _xll.qDateNext($X492,AM$12,$AR$11,FRM&lt;&gt;"Calypso",CCY))</f>
        <v>0</v>
      </c>
      <c r="AN492" s="882">
        <f>IF($X492=0,0,      _xll.qDateNext($X492,AN$12,$AR$11,FRM&lt;&gt;"Calypso",CCY))</f>
        <v>0</v>
      </c>
      <c r="AO492" s="882">
        <f>IF($X492=0,0,      _xll.qDateNext($X492,AO$12,$AR$11,FRM&lt;&gt;"Calypso",CCY))</f>
        <v>0</v>
      </c>
      <c r="AP492" s="882">
        <f>IF($X492=0,0,      _xll.qDateNext($X492,AP$12,$AR$11,FRM&lt;&gt;"Calypso",CCY))</f>
        <v>0</v>
      </c>
      <c r="AQ492" s="882">
        <f>IF($X492=0,0,      _xll.qDateNext($X492,AQ$12,$AR$11,FRM&lt;&gt;"Calypso",CCY))</f>
        <v>0</v>
      </c>
      <c r="AR492" s="882">
        <f>IF($X492=0,0,      _xll.qDateNext($X492,AR$12,$AR$11,FRM&lt;&gt;"Calypso",CCY))</f>
        <v>0</v>
      </c>
      <c r="AS492" s="901">
        <f ca="1"/>
        <v>0</v>
      </c>
      <c r="AT492" s="901">
        <f ca="1"/>
        <v>0</v>
      </c>
      <c r="AU492" s="901">
        <f t="shared" si="130"/>
        <v>0</v>
      </c>
      <c r="AV492" s="901">
        <f ca="1"/>
        <v>0</v>
      </c>
      <c r="AW492" s="901">
        <f t="shared" si="131"/>
        <v>0</v>
      </c>
      <c r="AX492" s="901">
        <f t="shared" si="132"/>
        <v>0</v>
      </c>
      <c r="AY492" s="901">
        <f ca="1"/>
        <v>0</v>
      </c>
      <c r="AZ492" s="901">
        <f ca="1"/>
        <v>0</v>
      </c>
      <c r="BA492" s="905">
        <f t="shared" si="121"/>
        <v>0</v>
      </c>
      <c r="BB492" s="905">
        <f t="shared" si="122"/>
        <v>0</v>
      </c>
      <c r="BC492" s="905">
        <f t="shared" si="123"/>
        <v>0</v>
      </c>
      <c r="BD492" s="905">
        <f t="shared" si="124"/>
        <v>0</v>
      </c>
      <c r="BE492" s="905">
        <f t="shared" si="125"/>
        <v>0</v>
      </c>
      <c r="BF492" s="905">
        <f t="shared" si="126"/>
        <v>0</v>
      </c>
      <c r="BG492" s="905">
        <f t="shared" si="127"/>
        <v>0</v>
      </c>
      <c r="BH492" s="905">
        <f t="shared" si="128"/>
        <v>0</v>
      </c>
      <c r="BI492" s="713">
        <v>0</v>
      </c>
      <c r="BJ492" s="695"/>
      <c r="BK492" s="752">
        <f>IF(X493=0,0,           IF(ISNUMBER(BJ492),BJ492,               IF(ISTEXT(BJ492),INDEX(BA492:BH492,MATCH(BJ492,$BA$12:$BH$12,0)),             IF(BI492="INT",_xll.qInterp(X493,AK492:AR492,BA492:BH492),            INDEX(BA492:BH492,MATCH(BI492,$BA$12:$BH$12,0))))))</f>
        <v>0</v>
      </c>
      <c r="BL492" s="389">
        <f t="shared" si="133"/>
        <v>0</v>
      </c>
      <c r="BM492" s="394">
        <f t="shared" si="134"/>
        <v>0</v>
      </c>
      <c r="BN492" s="389">
        <f t="shared" si="135"/>
        <v>0</v>
      </c>
    </row>
    <row r="493" spans="16:66">
      <c r="P493" s="716">
        <v>0</v>
      </c>
      <c r="Q493" s="715">
        <f t="shared" si="119"/>
        <v>0</v>
      </c>
      <c r="R493" s="712">
        <f>IF(P494,_xll.qDateYears(P493,P494,DCCfixed),0)</f>
        <v>0</v>
      </c>
      <c r="S493" s="519">
        <f ca="1"/>
        <v>0</v>
      </c>
      <c r="T493" s="720"/>
      <c r="U493" s="390">
        <f t="shared" si="129"/>
        <v>0</v>
      </c>
      <c r="X493" s="345">
        <v>0</v>
      </c>
      <c r="Y493" s="711">
        <f t="shared" si="120"/>
        <v>0</v>
      </c>
      <c r="Z493" s="712">
        <f>IF(X494,_xll.qDateYears(X493,X494,DCCfloat),0)</f>
        <v>0</v>
      </c>
      <c r="AA493" s="519">
        <f ca="1"/>
        <v>0</v>
      </c>
      <c r="AB493" s="890">
        <f>IF(X493=0,0,         IF(OR(CCY="AUD",CCY="NZD",CCY="GBP"),X493,   _xll.qDateNext(X493,"-2b",,,IF(CCY="EUR","TGT","LON"))))</f>
        <v>0</v>
      </c>
      <c r="AC493" s="879" t="str">
        <v/>
      </c>
      <c r="AD493" s="879" t="str">
        <v/>
      </c>
      <c r="AE493" s="879" t="str">
        <v/>
      </c>
      <c r="AF493" s="879" t="str">
        <v/>
      </c>
      <c r="AG493" s="879" t="str">
        <v/>
      </c>
      <c r="AH493" s="879" t="str">
        <v/>
      </c>
      <c r="AI493" s="879" t="str">
        <v/>
      </c>
      <c r="AJ493" s="879" t="str">
        <v/>
      </c>
      <c r="AK493" s="882">
        <f>IF($X493=0,0,      _xll.qDateNext($X493,AK$12,$AR$11,FRM&lt;&gt;"Calypso",CCY))</f>
        <v>0</v>
      </c>
      <c r="AL493" s="882">
        <f>IF($X493=0,0,      _xll.qDateNext($X493,AL$12,$AR$11,FRM&lt;&gt;"Calypso",CCY))</f>
        <v>0</v>
      </c>
      <c r="AM493" s="882">
        <f>IF($X493=0,0,      _xll.qDateNext($X493,AM$12,$AR$11,FRM&lt;&gt;"Calypso",CCY))</f>
        <v>0</v>
      </c>
      <c r="AN493" s="882">
        <f>IF($X493=0,0,      _xll.qDateNext($X493,AN$12,$AR$11,FRM&lt;&gt;"Calypso",CCY))</f>
        <v>0</v>
      </c>
      <c r="AO493" s="882">
        <f>IF($X493=0,0,      _xll.qDateNext($X493,AO$12,$AR$11,FRM&lt;&gt;"Calypso",CCY))</f>
        <v>0</v>
      </c>
      <c r="AP493" s="882">
        <f>IF($X493=0,0,      _xll.qDateNext($X493,AP$12,$AR$11,FRM&lt;&gt;"Calypso",CCY))</f>
        <v>0</v>
      </c>
      <c r="AQ493" s="882">
        <f>IF($X493=0,0,      _xll.qDateNext($X493,AQ$12,$AR$11,FRM&lt;&gt;"Calypso",CCY))</f>
        <v>0</v>
      </c>
      <c r="AR493" s="882">
        <f>IF($X493=0,0,      _xll.qDateNext($X493,AR$12,$AR$11,FRM&lt;&gt;"Calypso",CCY))</f>
        <v>0</v>
      </c>
      <c r="AS493" s="901">
        <f ca="1"/>
        <v>0</v>
      </c>
      <c r="AT493" s="901">
        <f ca="1"/>
        <v>0</v>
      </c>
      <c r="AU493" s="901">
        <f t="shared" si="130"/>
        <v>0</v>
      </c>
      <c r="AV493" s="901">
        <f ca="1"/>
        <v>0</v>
      </c>
      <c r="AW493" s="901">
        <f t="shared" si="131"/>
        <v>0</v>
      </c>
      <c r="AX493" s="901">
        <f t="shared" si="132"/>
        <v>0</v>
      </c>
      <c r="AY493" s="901">
        <f ca="1"/>
        <v>0</v>
      </c>
      <c r="AZ493" s="901">
        <f ca="1"/>
        <v>0</v>
      </c>
      <c r="BA493" s="905">
        <f t="shared" si="121"/>
        <v>0</v>
      </c>
      <c r="BB493" s="905">
        <f t="shared" si="122"/>
        <v>0</v>
      </c>
      <c r="BC493" s="905">
        <f t="shared" si="123"/>
        <v>0</v>
      </c>
      <c r="BD493" s="905">
        <f t="shared" si="124"/>
        <v>0</v>
      </c>
      <c r="BE493" s="905">
        <f t="shared" si="125"/>
        <v>0</v>
      </c>
      <c r="BF493" s="905">
        <f t="shared" si="126"/>
        <v>0</v>
      </c>
      <c r="BG493" s="905">
        <f t="shared" si="127"/>
        <v>0</v>
      </c>
      <c r="BH493" s="905">
        <f t="shared" si="128"/>
        <v>0</v>
      </c>
      <c r="BI493" s="713">
        <v>0</v>
      </c>
      <c r="BJ493" s="695"/>
      <c r="BK493" s="752">
        <f>IF(X494=0,0,           IF(ISNUMBER(BJ493),BJ493,               IF(ISTEXT(BJ493),INDEX(BA493:BH493,MATCH(BJ493,$BA$12:$BH$12,0)),             IF(BI493="INT",_xll.qInterp(X494,AK493:AR493,BA493:BH493),            INDEX(BA493:BH493,MATCH(BI493,$BA$12:$BH$12,0))))))</f>
        <v>0</v>
      </c>
      <c r="BL493" s="389">
        <f t="shared" si="133"/>
        <v>0</v>
      </c>
      <c r="BM493" s="394">
        <f t="shared" si="134"/>
        <v>0</v>
      </c>
      <c r="BN493" s="389">
        <f t="shared" si="135"/>
        <v>0</v>
      </c>
    </row>
    <row r="494" spans="16:66">
      <c r="P494" s="716">
        <v>0</v>
      </c>
      <c r="Q494" s="715">
        <f t="shared" si="119"/>
        <v>0</v>
      </c>
      <c r="R494" s="712">
        <f>IF(P495,_xll.qDateYears(P494,P495,DCCfixed),0)</f>
        <v>0</v>
      </c>
      <c r="S494" s="519">
        <f ca="1"/>
        <v>0</v>
      </c>
      <c r="T494" s="720"/>
      <c r="U494" s="390">
        <f t="shared" si="129"/>
        <v>0</v>
      </c>
      <c r="X494" s="345">
        <v>0</v>
      </c>
      <c r="Y494" s="711">
        <f t="shared" si="120"/>
        <v>0</v>
      </c>
      <c r="Z494" s="712">
        <f>IF(X495,_xll.qDateYears(X494,X495,DCCfloat),0)</f>
        <v>0</v>
      </c>
      <c r="AA494" s="519">
        <f ca="1"/>
        <v>0</v>
      </c>
      <c r="AB494" s="890">
        <f>IF(X494=0,0,         IF(OR(CCY="AUD",CCY="NZD",CCY="GBP"),X494,   _xll.qDateNext(X494,"-2b",,,IF(CCY="EUR","TGT","LON"))))</f>
        <v>0</v>
      </c>
      <c r="AC494" s="879" t="str">
        <v/>
      </c>
      <c r="AD494" s="879" t="str">
        <v/>
      </c>
      <c r="AE494" s="879" t="str">
        <v/>
      </c>
      <c r="AF494" s="879" t="str">
        <v/>
      </c>
      <c r="AG494" s="879" t="str">
        <v/>
      </c>
      <c r="AH494" s="879" t="str">
        <v/>
      </c>
      <c r="AI494" s="879" t="str">
        <v/>
      </c>
      <c r="AJ494" s="879" t="str">
        <v/>
      </c>
      <c r="AK494" s="882">
        <f>IF($X494=0,0,      _xll.qDateNext($X494,AK$12,$AR$11,FRM&lt;&gt;"Calypso",CCY))</f>
        <v>0</v>
      </c>
      <c r="AL494" s="882">
        <f>IF($X494=0,0,      _xll.qDateNext($X494,AL$12,$AR$11,FRM&lt;&gt;"Calypso",CCY))</f>
        <v>0</v>
      </c>
      <c r="AM494" s="882">
        <f>IF($X494=0,0,      _xll.qDateNext($X494,AM$12,$AR$11,FRM&lt;&gt;"Calypso",CCY))</f>
        <v>0</v>
      </c>
      <c r="AN494" s="882">
        <f>IF($X494=0,0,      _xll.qDateNext($X494,AN$12,$AR$11,FRM&lt;&gt;"Calypso",CCY))</f>
        <v>0</v>
      </c>
      <c r="AO494" s="882">
        <f>IF($X494=0,0,      _xll.qDateNext($X494,AO$12,$AR$11,FRM&lt;&gt;"Calypso",CCY))</f>
        <v>0</v>
      </c>
      <c r="AP494" s="882">
        <f>IF($X494=0,0,      _xll.qDateNext($X494,AP$12,$AR$11,FRM&lt;&gt;"Calypso",CCY))</f>
        <v>0</v>
      </c>
      <c r="AQ494" s="882">
        <f>IF($X494=0,0,      _xll.qDateNext($X494,AQ$12,$AR$11,FRM&lt;&gt;"Calypso",CCY))</f>
        <v>0</v>
      </c>
      <c r="AR494" s="882">
        <f>IF($X494=0,0,      _xll.qDateNext($X494,AR$12,$AR$11,FRM&lt;&gt;"Calypso",CCY))</f>
        <v>0</v>
      </c>
      <c r="AS494" s="901">
        <f ca="1"/>
        <v>0</v>
      </c>
      <c r="AT494" s="901">
        <f ca="1"/>
        <v>0</v>
      </c>
      <c r="AU494" s="901">
        <f t="shared" si="130"/>
        <v>0</v>
      </c>
      <c r="AV494" s="901">
        <f ca="1"/>
        <v>0</v>
      </c>
      <c r="AW494" s="901">
        <f t="shared" si="131"/>
        <v>0</v>
      </c>
      <c r="AX494" s="901">
        <f t="shared" si="132"/>
        <v>0</v>
      </c>
      <c r="AY494" s="901">
        <f ca="1"/>
        <v>0</v>
      </c>
      <c r="AZ494" s="901">
        <f ca="1"/>
        <v>0</v>
      </c>
      <c r="BA494" s="905">
        <f t="shared" si="121"/>
        <v>0</v>
      </c>
      <c r="BB494" s="905">
        <f t="shared" si="122"/>
        <v>0</v>
      </c>
      <c r="BC494" s="905">
        <f t="shared" si="123"/>
        <v>0</v>
      </c>
      <c r="BD494" s="905">
        <f t="shared" si="124"/>
        <v>0</v>
      </c>
      <c r="BE494" s="905">
        <f t="shared" si="125"/>
        <v>0</v>
      </c>
      <c r="BF494" s="905">
        <f t="shared" si="126"/>
        <v>0</v>
      </c>
      <c r="BG494" s="905">
        <f t="shared" si="127"/>
        <v>0</v>
      </c>
      <c r="BH494" s="905">
        <f t="shared" si="128"/>
        <v>0</v>
      </c>
      <c r="BI494" s="713">
        <v>0</v>
      </c>
      <c r="BJ494" s="695"/>
      <c r="BK494" s="752">
        <f>IF(X495=0,0,           IF(ISNUMBER(BJ494),BJ494,               IF(ISTEXT(BJ494),INDEX(BA494:BH494,MATCH(BJ494,$BA$12:$BH$12,0)),             IF(BI494="INT",_xll.qInterp(X495,AK494:AR494,BA494:BH494),            INDEX(BA494:BH494,MATCH(BI494,$BA$12:$BH$12,0))))))</f>
        <v>0</v>
      </c>
      <c r="BL494" s="389">
        <f t="shared" si="133"/>
        <v>0</v>
      </c>
      <c r="BM494" s="394">
        <f t="shared" si="134"/>
        <v>0</v>
      </c>
      <c r="BN494" s="389">
        <f t="shared" si="135"/>
        <v>0</v>
      </c>
    </row>
    <row r="495" spans="16:66">
      <c r="P495" s="716">
        <v>0</v>
      </c>
      <c r="Q495" s="715">
        <f t="shared" si="119"/>
        <v>0</v>
      </c>
      <c r="R495" s="712">
        <f>IF(P496,_xll.qDateYears(P495,P496,DCCfixed),0)</f>
        <v>0</v>
      </c>
      <c r="S495" s="519">
        <f ca="1"/>
        <v>0</v>
      </c>
      <c r="T495" s="720"/>
      <c r="U495" s="390">
        <f t="shared" si="129"/>
        <v>0</v>
      </c>
      <c r="X495" s="345">
        <v>0</v>
      </c>
      <c r="Y495" s="711">
        <f t="shared" si="120"/>
        <v>0</v>
      </c>
      <c r="Z495" s="712">
        <f>IF(X496,_xll.qDateYears(X495,X496,DCCfloat),0)</f>
        <v>0</v>
      </c>
      <c r="AA495" s="519">
        <f ca="1"/>
        <v>0</v>
      </c>
      <c r="AB495" s="890">
        <f>IF(X495=0,0,         IF(OR(CCY="AUD",CCY="NZD",CCY="GBP"),X495,   _xll.qDateNext(X495,"-2b",,,IF(CCY="EUR","TGT","LON"))))</f>
        <v>0</v>
      </c>
      <c r="AC495" s="879" t="str">
        <v/>
      </c>
      <c r="AD495" s="879" t="str">
        <v/>
      </c>
      <c r="AE495" s="879" t="str">
        <v/>
      </c>
      <c r="AF495" s="879" t="str">
        <v/>
      </c>
      <c r="AG495" s="879" t="str">
        <v/>
      </c>
      <c r="AH495" s="879" t="str">
        <v/>
      </c>
      <c r="AI495" s="879" t="str">
        <v/>
      </c>
      <c r="AJ495" s="879" t="str">
        <v/>
      </c>
      <c r="AK495" s="882">
        <f>IF($X495=0,0,      _xll.qDateNext($X495,AK$12,$AR$11,FRM&lt;&gt;"Calypso",CCY))</f>
        <v>0</v>
      </c>
      <c r="AL495" s="882">
        <f>IF($X495=0,0,      _xll.qDateNext($X495,AL$12,$AR$11,FRM&lt;&gt;"Calypso",CCY))</f>
        <v>0</v>
      </c>
      <c r="AM495" s="882">
        <f>IF($X495=0,0,      _xll.qDateNext($X495,AM$12,$AR$11,FRM&lt;&gt;"Calypso",CCY))</f>
        <v>0</v>
      </c>
      <c r="AN495" s="882">
        <f>IF($X495=0,0,      _xll.qDateNext($X495,AN$12,$AR$11,FRM&lt;&gt;"Calypso",CCY))</f>
        <v>0</v>
      </c>
      <c r="AO495" s="882">
        <f>IF($X495=0,0,      _xll.qDateNext($X495,AO$12,$AR$11,FRM&lt;&gt;"Calypso",CCY))</f>
        <v>0</v>
      </c>
      <c r="AP495" s="882">
        <f>IF($X495=0,0,      _xll.qDateNext($X495,AP$12,$AR$11,FRM&lt;&gt;"Calypso",CCY))</f>
        <v>0</v>
      </c>
      <c r="AQ495" s="882">
        <f>IF($X495=0,0,      _xll.qDateNext($X495,AQ$12,$AR$11,FRM&lt;&gt;"Calypso",CCY))</f>
        <v>0</v>
      </c>
      <c r="AR495" s="882">
        <f>IF($X495=0,0,      _xll.qDateNext($X495,AR$12,$AR$11,FRM&lt;&gt;"Calypso",CCY))</f>
        <v>0</v>
      </c>
      <c r="AS495" s="901">
        <f ca="1"/>
        <v>0</v>
      </c>
      <c r="AT495" s="901">
        <f ca="1"/>
        <v>0</v>
      </c>
      <c r="AU495" s="901">
        <f t="shared" si="130"/>
        <v>0</v>
      </c>
      <c r="AV495" s="901">
        <f ca="1"/>
        <v>0</v>
      </c>
      <c r="AW495" s="901">
        <f t="shared" si="131"/>
        <v>0</v>
      </c>
      <c r="AX495" s="901">
        <f t="shared" si="132"/>
        <v>0</v>
      </c>
      <c r="AY495" s="901">
        <f ca="1"/>
        <v>0</v>
      </c>
      <c r="AZ495" s="901">
        <f ca="1"/>
        <v>0</v>
      </c>
      <c r="BA495" s="905">
        <f t="shared" si="121"/>
        <v>0</v>
      </c>
      <c r="BB495" s="905">
        <f t="shared" si="122"/>
        <v>0</v>
      </c>
      <c r="BC495" s="905">
        <f t="shared" si="123"/>
        <v>0</v>
      </c>
      <c r="BD495" s="905">
        <f t="shared" si="124"/>
        <v>0</v>
      </c>
      <c r="BE495" s="905">
        <f t="shared" si="125"/>
        <v>0</v>
      </c>
      <c r="BF495" s="905">
        <f t="shared" si="126"/>
        <v>0</v>
      </c>
      <c r="BG495" s="905">
        <f t="shared" si="127"/>
        <v>0</v>
      </c>
      <c r="BH495" s="905">
        <f t="shared" si="128"/>
        <v>0</v>
      </c>
      <c r="BI495" s="713">
        <v>0</v>
      </c>
      <c r="BJ495" s="695"/>
      <c r="BK495" s="752">
        <f>IF(X496=0,0,           IF(ISNUMBER(BJ495),BJ495,               IF(ISTEXT(BJ495),INDEX(BA495:BH495,MATCH(BJ495,$BA$12:$BH$12,0)),             IF(BI495="INT",_xll.qInterp(X496,AK495:AR495,BA495:BH495),            INDEX(BA495:BH495,MATCH(BI495,$BA$12:$BH$12,0))))))</f>
        <v>0</v>
      </c>
      <c r="BL495" s="389">
        <f t="shared" si="133"/>
        <v>0</v>
      </c>
      <c r="BM495" s="394">
        <f t="shared" si="134"/>
        <v>0</v>
      </c>
      <c r="BN495" s="389">
        <f t="shared" si="135"/>
        <v>0</v>
      </c>
    </row>
    <row r="496" spans="16:66">
      <c r="P496" s="716">
        <v>0</v>
      </c>
      <c r="Q496" s="715">
        <f t="shared" si="119"/>
        <v>0</v>
      </c>
      <c r="R496" s="712">
        <f>IF(P497,_xll.qDateYears(P496,P497,DCCfixed),0)</f>
        <v>0</v>
      </c>
      <c r="S496" s="519">
        <f ca="1"/>
        <v>0</v>
      </c>
      <c r="T496" s="720"/>
      <c r="U496" s="390">
        <f t="shared" si="129"/>
        <v>0</v>
      </c>
      <c r="X496" s="345">
        <v>0</v>
      </c>
      <c r="Y496" s="711">
        <f t="shared" si="120"/>
        <v>0</v>
      </c>
      <c r="Z496" s="712">
        <f>IF(X497,_xll.qDateYears(X496,X497,DCCfloat),0)</f>
        <v>0</v>
      </c>
      <c r="AA496" s="519">
        <f ca="1"/>
        <v>0</v>
      </c>
      <c r="AB496" s="890">
        <f>IF(X496=0,0,         IF(OR(CCY="AUD",CCY="NZD",CCY="GBP"),X496,   _xll.qDateNext(X496,"-2b",,,IF(CCY="EUR","TGT","LON"))))</f>
        <v>0</v>
      </c>
      <c r="AC496" s="879" t="str">
        <v/>
      </c>
      <c r="AD496" s="879" t="str">
        <v/>
      </c>
      <c r="AE496" s="879" t="str">
        <v/>
      </c>
      <c r="AF496" s="879" t="str">
        <v/>
      </c>
      <c r="AG496" s="879" t="str">
        <v/>
      </c>
      <c r="AH496" s="879" t="str">
        <v/>
      </c>
      <c r="AI496" s="879" t="str">
        <v/>
      </c>
      <c r="AJ496" s="879" t="str">
        <v/>
      </c>
      <c r="AK496" s="882">
        <f>IF($X496=0,0,      _xll.qDateNext($X496,AK$12,$AR$11,FRM&lt;&gt;"Calypso",CCY))</f>
        <v>0</v>
      </c>
      <c r="AL496" s="882">
        <f>IF($X496=0,0,      _xll.qDateNext($X496,AL$12,$AR$11,FRM&lt;&gt;"Calypso",CCY))</f>
        <v>0</v>
      </c>
      <c r="AM496" s="882">
        <f>IF($X496=0,0,      _xll.qDateNext($X496,AM$12,$AR$11,FRM&lt;&gt;"Calypso",CCY))</f>
        <v>0</v>
      </c>
      <c r="AN496" s="882">
        <f>IF($X496=0,0,      _xll.qDateNext($X496,AN$12,$AR$11,FRM&lt;&gt;"Calypso",CCY))</f>
        <v>0</v>
      </c>
      <c r="AO496" s="882">
        <f>IF($X496=0,0,      _xll.qDateNext($X496,AO$12,$AR$11,FRM&lt;&gt;"Calypso",CCY))</f>
        <v>0</v>
      </c>
      <c r="AP496" s="882">
        <f>IF($X496=0,0,      _xll.qDateNext($X496,AP$12,$AR$11,FRM&lt;&gt;"Calypso",CCY))</f>
        <v>0</v>
      </c>
      <c r="AQ496" s="882">
        <f>IF($X496=0,0,      _xll.qDateNext($X496,AQ$12,$AR$11,FRM&lt;&gt;"Calypso",CCY))</f>
        <v>0</v>
      </c>
      <c r="AR496" s="882">
        <f>IF($X496=0,0,      _xll.qDateNext($X496,AR$12,$AR$11,FRM&lt;&gt;"Calypso",CCY))</f>
        <v>0</v>
      </c>
      <c r="AS496" s="901">
        <f ca="1"/>
        <v>0</v>
      </c>
      <c r="AT496" s="901">
        <f ca="1"/>
        <v>0</v>
      </c>
      <c r="AU496" s="901">
        <f t="shared" si="130"/>
        <v>0</v>
      </c>
      <c r="AV496" s="901">
        <f ca="1"/>
        <v>0</v>
      </c>
      <c r="AW496" s="901">
        <f t="shared" si="131"/>
        <v>0</v>
      </c>
      <c r="AX496" s="901">
        <f t="shared" si="132"/>
        <v>0</v>
      </c>
      <c r="AY496" s="901">
        <f ca="1"/>
        <v>0</v>
      </c>
      <c r="AZ496" s="901">
        <f ca="1"/>
        <v>0</v>
      </c>
      <c r="BA496" s="905">
        <f t="shared" si="121"/>
        <v>0</v>
      </c>
      <c r="BB496" s="905">
        <f t="shared" si="122"/>
        <v>0</v>
      </c>
      <c r="BC496" s="905">
        <f t="shared" si="123"/>
        <v>0</v>
      </c>
      <c r="BD496" s="905">
        <f t="shared" si="124"/>
        <v>0</v>
      </c>
      <c r="BE496" s="905">
        <f t="shared" si="125"/>
        <v>0</v>
      </c>
      <c r="BF496" s="905">
        <f t="shared" si="126"/>
        <v>0</v>
      </c>
      <c r="BG496" s="905">
        <f t="shared" si="127"/>
        <v>0</v>
      </c>
      <c r="BH496" s="905">
        <f t="shared" si="128"/>
        <v>0</v>
      </c>
      <c r="BI496" s="713">
        <v>0</v>
      </c>
      <c r="BJ496" s="695"/>
      <c r="BK496" s="752">
        <f>IF(X497=0,0,           IF(ISNUMBER(BJ496),BJ496,               IF(ISTEXT(BJ496),INDEX(BA496:BH496,MATCH(BJ496,$BA$12:$BH$12,0)),             IF(BI496="INT",_xll.qInterp(X497,AK496:AR496,BA496:BH496),            INDEX(BA496:BH496,MATCH(BI496,$BA$12:$BH$12,0))))))</f>
        <v>0</v>
      </c>
      <c r="BL496" s="389">
        <f t="shared" si="133"/>
        <v>0</v>
      </c>
      <c r="BM496" s="394">
        <f t="shared" si="134"/>
        <v>0</v>
      </c>
      <c r="BN496" s="389">
        <f t="shared" si="135"/>
        <v>0</v>
      </c>
    </row>
    <row r="497" spans="16:66">
      <c r="P497" s="716">
        <v>0</v>
      </c>
      <c r="Q497" s="715">
        <f t="shared" si="119"/>
        <v>0</v>
      </c>
      <c r="R497" s="712">
        <f>IF(P498,_xll.qDateYears(P497,P498,DCCfixed),0)</f>
        <v>0</v>
      </c>
      <c r="S497" s="519">
        <f ca="1"/>
        <v>0</v>
      </c>
      <c r="T497" s="720"/>
      <c r="U497" s="390">
        <f t="shared" si="129"/>
        <v>0</v>
      </c>
      <c r="X497" s="345">
        <v>0</v>
      </c>
      <c r="Y497" s="711">
        <f t="shared" si="120"/>
        <v>0</v>
      </c>
      <c r="Z497" s="712">
        <f>IF(X498,_xll.qDateYears(X497,X498,DCCfloat),0)</f>
        <v>0</v>
      </c>
      <c r="AA497" s="519">
        <f ca="1"/>
        <v>0</v>
      </c>
      <c r="AB497" s="890">
        <f>IF(X497=0,0,         IF(OR(CCY="AUD",CCY="NZD",CCY="GBP"),X497,   _xll.qDateNext(X497,"-2b",,,IF(CCY="EUR","TGT","LON"))))</f>
        <v>0</v>
      </c>
      <c r="AC497" s="879" t="str">
        <v/>
      </c>
      <c r="AD497" s="879" t="str">
        <v/>
      </c>
      <c r="AE497" s="879" t="str">
        <v/>
      </c>
      <c r="AF497" s="879" t="str">
        <v/>
      </c>
      <c r="AG497" s="879" t="str">
        <v/>
      </c>
      <c r="AH497" s="879" t="str">
        <v/>
      </c>
      <c r="AI497" s="879" t="str">
        <v/>
      </c>
      <c r="AJ497" s="879" t="str">
        <v/>
      </c>
      <c r="AK497" s="882">
        <f>IF($X497=0,0,      _xll.qDateNext($X497,AK$12,$AR$11,FRM&lt;&gt;"Calypso",CCY))</f>
        <v>0</v>
      </c>
      <c r="AL497" s="882">
        <f>IF($X497=0,0,      _xll.qDateNext($X497,AL$12,$AR$11,FRM&lt;&gt;"Calypso",CCY))</f>
        <v>0</v>
      </c>
      <c r="AM497" s="882">
        <f>IF($X497=0,0,      _xll.qDateNext($X497,AM$12,$AR$11,FRM&lt;&gt;"Calypso",CCY))</f>
        <v>0</v>
      </c>
      <c r="AN497" s="882">
        <f>IF($X497=0,0,      _xll.qDateNext($X497,AN$12,$AR$11,FRM&lt;&gt;"Calypso",CCY))</f>
        <v>0</v>
      </c>
      <c r="AO497" s="882">
        <f>IF($X497=0,0,      _xll.qDateNext($X497,AO$12,$AR$11,FRM&lt;&gt;"Calypso",CCY))</f>
        <v>0</v>
      </c>
      <c r="AP497" s="882">
        <f>IF($X497=0,0,      _xll.qDateNext($X497,AP$12,$AR$11,FRM&lt;&gt;"Calypso",CCY))</f>
        <v>0</v>
      </c>
      <c r="AQ497" s="882">
        <f>IF($X497=0,0,      _xll.qDateNext($X497,AQ$12,$AR$11,FRM&lt;&gt;"Calypso",CCY))</f>
        <v>0</v>
      </c>
      <c r="AR497" s="882">
        <f>IF($X497=0,0,      _xll.qDateNext($X497,AR$12,$AR$11,FRM&lt;&gt;"Calypso",CCY))</f>
        <v>0</v>
      </c>
      <c r="AS497" s="901">
        <f ca="1"/>
        <v>0</v>
      </c>
      <c r="AT497" s="901">
        <f ca="1"/>
        <v>0</v>
      </c>
      <c r="AU497" s="901">
        <f t="shared" si="130"/>
        <v>0</v>
      </c>
      <c r="AV497" s="901">
        <f ca="1"/>
        <v>0</v>
      </c>
      <c r="AW497" s="901">
        <f t="shared" si="131"/>
        <v>0</v>
      </c>
      <c r="AX497" s="901">
        <f t="shared" si="132"/>
        <v>0</v>
      </c>
      <c r="AY497" s="901">
        <f ca="1"/>
        <v>0</v>
      </c>
      <c r="AZ497" s="901">
        <f ca="1"/>
        <v>0</v>
      </c>
      <c r="BA497" s="905">
        <f t="shared" si="121"/>
        <v>0</v>
      </c>
      <c r="BB497" s="905">
        <f t="shared" si="122"/>
        <v>0</v>
      </c>
      <c r="BC497" s="905">
        <f t="shared" si="123"/>
        <v>0</v>
      </c>
      <c r="BD497" s="905">
        <f t="shared" si="124"/>
        <v>0</v>
      </c>
      <c r="BE497" s="905">
        <f t="shared" si="125"/>
        <v>0</v>
      </c>
      <c r="BF497" s="905">
        <f t="shared" si="126"/>
        <v>0</v>
      </c>
      <c r="BG497" s="905">
        <f t="shared" si="127"/>
        <v>0</v>
      </c>
      <c r="BH497" s="905">
        <f t="shared" si="128"/>
        <v>0</v>
      </c>
      <c r="BI497" s="713">
        <v>0</v>
      </c>
      <c r="BJ497" s="695"/>
      <c r="BK497" s="752">
        <f>IF(X498=0,0,           IF(ISNUMBER(BJ497),BJ497,               IF(ISTEXT(BJ497),INDEX(BA497:BH497,MATCH(BJ497,$BA$12:$BH$12,0)),             IF(BI497="INT",_xll.qInterp(X498,AK497:AR497,BA497:BH497),            INDEX(BA497:BH497,MATCH(BI497,$BA$12:$BH$12,0))))))</f>
        <v>0</v>
      </c>
      <c r="BL497" s="389">
        <f t="shared" si="133"/>
        <v>0</v>
      </c>
      <c r="BM497" s="394">
        <f t="shared" si="134"/>
        <v>0</v>
      </c>
      <c r="BN497" s="389">
        <f t="shared" si="135"/>
        <v>0</v>
      </c>
    </row>
    <row r="498" spans="16:66">
      <c r="P498" s="716">
        <v>0</v>
      </c>
      <c r="Q498" s="715">
        <f t="shared" si="119"/>
        <v>0</v>
      </c>
      <c r="R498" s="712">
        <f>IF(P499,_xll.qDateYears(P498,P499,DCCfixed),0)</f>
        <v>0</v>
      </c>
      <c r="S498" s="519">
        <f ca="1"/>
        <v>0</v>
      </c>
      <c r="T498" s="720"/>
      <c r="U498" s="390">
        <f t="shared" si="129"/>
        <v>0</v>
      </c>
      <c r="X498" s="345">
        <v>0</v>
      </c>
      <c r="Y498" s="711">
        <f t="shared" si="120"/>
        <v>0</v>
      </c>
      <c r="Z498" s="712">
        <f>IF(X499,_xll.qDateYears(X498,X499,DCCfloat),0)</f>
        <v>0</v>
      </c>
      <c r="AA498" s="519">
        <f ca="1"/>
        <v>0</v>
      </c>
      <c r="AB498" s="890">
        <f>IF(X498=0,0,         IF(OR(CCY="AUD",CCY="NZD",CCY="GBP"),X498,   _xll.qDateNext(X498,"-2b",,,IF(CCY="EUR","TGT","LON"))))</f>
        <v>0</v>
      </c>
      <c r="AC498" s="879" t="str">
        <v/>
      </c>
      <c r="AD498" s="879" t="str">
        <v/>
      </c>
      <c r="AE498" s="879" t="str">
        <v/>
      </c>
      <c r="AF498" s="879" t="str">
        <v/>
      </c>
      <c r="AG498" s="879" t="str">
        <v/>
      </c>
      <c r="AH498" s="879" t="str">
        <v/>
      </c>
      <c r="AI498" s="879" t="str">
        <v/>
      </c>
      <c r="AJ498" s="879" t="str">
        <v/>
      </c>
      <c r="AK498" s="882">
        <f>IF($X498=0,0,      _xll.qDateNext($X498,AK$12,$AR$11,FRM&lt;&gt;"Calypso",CCY))</f>
        <v>0</v>
      </c>
      <c r="AL498" s="882">
        <f>IF($X498=0,0,      _xll.qDateNext($X498,AL$12,$AR$11,FRM&lt;&gt;"Calypso",CCY))</f>
        <v>0</v>
      </c>
      <c r="AM498" s="882">
        <f>IF($X498=0,0,      _xll.qDateNext($X498,AM$12,$AR$11,FRM&lt;&gt;"Calypso",CCY))</f>
        <v>0</v>
      </c>
      <c r="AN498" s="882">
        <f>IF($X498=0,0,      _xll.qDateNext($X498,AN$12,$AR$11,FRM&lt;&gt;"Calypso",CCY))</f>
        <v>0</v>
      </c>
      <c r="AO498" s="882">
        <f>IF($X498=0,0,      _xll.qDateNext($X498,AO$12,$AR$11,FRM&lt;&gt;"Calypso",CCY))</f>
        <v>0</v>
      </c>
      <c r="AP498" s="882">
        <f>IF($X498=0,0,      _xll.qDateNext($X498,AP$12,$AR$11,FRM&lt;&gt;"Calypso",CCY))</f>
        <v>0</v>
      </c>
      <c r="AQ498" s="882">
        <f>IF($X498=0,0,      _xll.qDateNext($X498,AQ$12,$AR$11,FRM&lt;&gt;"Calypso",CCY))</f>
        <v>0</v>
      </c>
      <c r="AR498" s="882">
        <f>IF($X498=0,0,      _xll.qDateNext($X498,AR$12,$AR$11,FRM&lt;&gt;"Calypso",CCY))</f>
        <v>0</v>
      </c>
      <c r="AS498" s="901">
        <f ca="1"/>
        <v>0</v>
      </c>
      <c r="AT498" s="901">
        <f ca="1"/>
        <v>0</v>
      </c>
      <c r="AU498" s="901">
        <f t="shared" si="130"/>
        <v>0</v>
      </c>
      <c r="AV498" s="901">
        <f ca="1"/>
        <v>0</v>
      </c>
      <c r="AW498" s="901">
        <f t="shared" si="131"/>
        <v>0</v>
      </c>
      <c r="AX498" s="901">
        <f t="shared" si="132"/>
        <v>0</v>
      </c>
      <c r="AY498" s="901">
        <f ca="1"/>
        <v>0</v>
      </c>
      <c r="AZ498" s="901">
        <f ca="1"/>
        <v>0</v>
      </c>
      <c r="BA498" s="905">
        <f t="shared" si="121"/>
        <v>0</v>
      </c>
      <c r="BB498" s="905">
        <f t="shared" si="122"/>
        <v>0</v>
      </c>
      <c r="BC498" s="905">
        <f t="shared" si="123"/>
        <v>0</v>
      </c>
      <c r="BD498" s="905">
        <f t="shared" si="124"/>
        <v>0</v>
      </c>
      <c r="BE498" s="905">
        <f t="shared" si="125"/>
        <v>0</v>
      </c>
      <c r="BF498" s="905">
        <f t="shared" si="126"/>
        <v>0</v>
      </c>
      <c r="BG498" s="905">
        <f t="shared" si="127"/>
        <v>0</v>
      </c>
      <c r="BH498" s="905">
        <f t="shared" si="128"/>
        <v>0</v>
      </c>
      <c r="BI498" s="713">
        <v>0</v>
      </c>
      <c r="BJ498" s="695"/>
      <c r="BK498" s="752">
        <f>IF(X499=0,0,           IF(ISNUMBER(BJ498),BJ498,               IF(ISTEXT(BJ498),INDEX(BA498:BH498,MATCH(BJ498,$BA$12:$BH$12,0)),             IF(BI498="INT",_xll.qInterp(X499,AK498:AR498,BA498:BH498),            INDEX(BA498:BH498,MATCH(BI498,$BA$12:$BH$12,0))))))</f>
        <v>0</v>
      </c>
      <c r="BL498" s="389">
        <f t="shared" si="133"/>
        <v>0</v>
      </c>
      <c r="BM498" s="394">
        <f t="shared" si="134"/>
        <v>0</v>
      </c>
      <c r="BN498" s="389">
        <f t="shared" si="135"/>
        <v>0</v>
      </c>
    </row>
    <row r="499" spans="16:66">
      <c r="P499" s="716">
        <v>0</v>
      </c>
      <c r="Q499" s="715">
        <f t="shared" si="119"/>
        <v>0</v>
      </c>
      <c r="R499" s="712">
        <f>IF(P500,_xll.qDateYears(P499,P500,DCCfixed),0)</f>
        <v>0</v>
      </c>
      <c r="S499" s="519">
        <f ca="1"/>
        <v>0</v>
      </c>
      <c r="T499" s="720"/>
      <c r="U499" s="390">
        <f t="shared" si="129"/>
        <v>0</v>
      </c>
      <c r="X499" s="345">
        <v>0</v>
      </c>
      <c r="Y499" s="711">
        <f t="shared" si="120"/>
        <v>0</v>
      </c>
      <c r="Z499" s="712">
        <f>IF(X500,_xll.qDateYears(X499,X500,DCCfloat),0)</f>
        <v>0</v>
      </c>
      <c r="AA499" s="519">
        <f ca="1"/>
        <v>0</v>
      </c>
      <c r="AB499" s="890">
        <f>IF(X499=0,0,         IF(OR(CCY="AUD",CCY="NZD",CCY="GBP"),X499,   _xll.qDateNext(X499,"-2b",,,IF(CCY="EUR","TGT","LON"))))</f>
        <v>0</v>
      </c>
      <c r="AC499" s="879" t="str">
        <v/>
      </c>
      <c r="AD499" s="879" t="str">
        <v/>
      </c>
      <c r="AE499" s="879" t="str">
        <v/>
      </c>
      <c r="AF499" s="879" t="str">
        <v/>
      </c>
      <c r="AG499" s="879" t="str">
        <v/>
      </c>
      <c r="AH499" s="879" t="str">
        <v/>
      </c>
      <c r="AI499" s="879" t="str">
        <v/>
      </c>
      <c r="AJ499" s="879" t="str">
        <v/>
      </c>
      <c r="AK499" s="882">
        <f>IF($X499=0,0,      _xll.qDateNext($X499,AK$12,$AR$11,FRM&lt;&gt;"Calypso",CCY))</f>
        <v>0</v>
      </c>
      <c r="AL499" s="882">
        <f>IF($X499=0,0,      _xll.qDateNext($X499,AL$12,$AR$11,FRM&lt;&gt;"Calypso",CCY))</f>
        <v>0</v>
      </c>
      <c r="AM499" s="882">
        <f>IF($X499=0,0,      _xll.qDateNext($X499,AM$12,$AR$11,FRM&lt;&gt;"Calypso",CCY))</f>
        <v>0</v>
      </c>
      <c r="AN499" s="882">
        <f>IF($X499=0,0,      _xll.qDateNext($X499,AN$12,$AR$11,FRM&lt;&gt;"Calypso",CCY))</f>
        <v>0</v>
      </c>
      <c r="AO499" s="882">
        <f>IF($X499=0,0,      _xll.qDateNext($X499,AO$12,$AR$11,FRM&lt;&gt;"Calypso",CCY))</f>
        <v>0</v>
      </c>
      <c r="AP499" s="882">
        <f>IF($X499=0,0,      _xll.qDateNext($X499,AP$12,$AR$11,FRM&lt;&gt;"Calypso",CCY))</f>
        <v>0</v>
      </c>
      <c r="AQ499" s="882">
        <f>IF($X499=0,0,      _xll.qDateNext($X499,AQ$12,$AR$11,FRM&lt;&gt;"Calypso",CCY))</f>
        <v>0</v>
      </c>
      <c r="AR499" s="882">
        <f>IF($X499=0,0,      _xll.qDateNext($X499,AR$12,$AR$11,FRM&lt;&gt;"Calypso",CCY))</f>
        <v>0</v>
      </c>
      <c r="AS499" s="901">
        <f ca="1"/>
        <v>0</v>
      </c>
      <c r="AT499" s="901">
        <f ca="1"/>
        <v>0</v>
      </c>
      <c r="AU499" s="901">
        <f t="shared" si="130"/>
        <v>0</v>
      </c>
      <c r="AV499" s="901">
        <f ca="1"/>
        <v>0</v>
      </c>
      <c r="AW499" s="901">
        <f t="shared" si="131"/>
        <v>0</v>
      </c>
      <c r="AX499" s="901">
        <f t="shared" si="132"/>
        <v>0</v>
      </c>
      <c r="AY499" s="901">
        <f ca="1"/>
        <v>0</v>
      </c>
      <c r="AZ499" s="901">
        <f ca="1"/>
        <v>0</v>
      </c>
      <c r="BA499" s="905">
        <f t="shared" si="121"/>
        <v>0</v>
      </c>
      <c r="BB499" s="905">
        <f t="shared" si="122"/>
        <v>0</v>
      </c>
      <c r="BC499" s="905">
        <f t="shared" si="123"/>
        <v>0</v>
      </c>
      <c r="BD499" s="905">
        <f t="shared" si="124"/>
        <v>0</v>
      </c>
      <c r="BE499" s="905">
        <f t="shared" si="125"/>
        <v>0</v>
      </c>
      <c r="BF499" s="905">
        <f t="shared" si="126"/>
        <v>0</v>
      </c>
      <c r="BG499" s="905">
        <f t="shared" si="127"/>
        <v>0</v>
      </c>
      <c r="BH499" s="905">
        <f t="shared" si="128"/>
        <v>0</v>
      </c>
      <c r="BI499" s="713">
        <v>0</v>
      </c>
      <c r="BJ499" s="695"/>
      <c r="BK499" s="752">
        <f>IF(X500=0,0,           IF(ISNUMBER(BJ499),BJ499,               IF(ISTEXT(BJ499),INDEX(BA499:BH499,MATCH(BJ499,$BA$12:$BH$12,0)),             IF(BI499="INT",_xll.qInterp(X500,AK499:AR499,BA499:BH499),            INDEX(BA499:BH499,MATCH(BI499,$BA$12:$BH$12,0))))))</f>
        <v>0</v>
      </c>
      <c r="BL499" s="389">
        <f t="shared" si="133"/>
        <v>0</v>
      </c>
      <c r="BM499" s="394">
        <f t="shared" si="134"/>
        <v>0</v>
      </c>
      <c r="BN499" s="389">
        <f t="shared" si="135"/>
        <v>0</v>
      </c>
    </row>
    <row r="500" spans="16:66">
      <c r="P500" s="716">
        <v>0</v>
      </c>
      <c r="Q500" s="715">
        <f t="shared" si="119"/>
        <v>0</v>
      </c>
      <c r="R500" s="712">
        <f>IF(P501,_xll.qDateYears(P500,P501,DCCfixed),0)</f>
        <v>0</v>
      </c>
      <c r="S500" s="519">
        <f ca="1"/>
        <v>0</v>
      </c>
      <c r="T500" s="720"/>
      <c r="U500" s="390">
        <f t="shared" si="129"/>
        <v>0</v>
      </c>
      <c r="X500" s="345">
        <v>0</v>
      </c>
      <c r="Y500" s="711">
        <f t="shared" si="120"/>
        <v>0</v>
      </c>
      <c r="Z500" s="712">
        <f>IF(X501,_xll.qDateYears(X500,X501,DCCfloat),0)</f>
        <v>0</v>
      </c>
      <c r="AA500" s="519">
        <f ca="1"/>
        <v>0</v>
      </c>
      <c r="AB500" s="890">
        <f>IF(X500=0,0,         IF(OR(CCY="AUD",CCY="NZD",CCY="GBP"),X500,   _xll.qDateNext(X500,"-2b",,,IF(CCY="EUR","TGT","LON"))))</f>
        <v>0</v>
      </c>
      <c r="AC500" s="879" t="str">
        <v/>
      </c>
      <c r="AD500" s="879" t="str">
        <v/>
      </c>
      <c r="AE500" s="879" t="str">
        <v/>
      </c>
      <c r="AF500" s="879" t="str">
        <v/>
      </c>
      <c r="AG500" s="879" t="str">
        <v/>
      </c>
      <c r="AH500" s="879" t="str">
        <v/>
      </c>
      <c r="AI500" s="879" t="str">
        <v/>
      </c>
      <c r="AJ500" s="879" t="str">
        <v/>
      </c>
      <c r="AK500" s="882">
        <f>IF($X500=0,0,      _xll.qDateNext($X500,AK$12,$AR$11,FRM&lt;&gt;"Calypso",CCY))</f>
        <v>0</v>
      </c>
      <c r="AL500" s="882">
        <f>IF($X500=0,0,      _xll.qDateNext($X500,AL$12,$AR$11,FRM&lt;&gt;"Calypso",CCY))</f>
        <v>0</v>
      </c>
      <c r="AM500" s="882">
        <f>IF($X500=0,0,      _xll.qDateNext($X500,AM$12,$AR$11,FRM&lt;&gt;"Calypso",CCY))</f>
        <v>0</v>
      </c>
      <c r="AN500" s="882">
        <f>IF($X500=0,0,      _xll.qDateNext($X500,AN$12,$AR$11,FRM&lt;&gt;"Calypso",CCY))</f>
        <v>0</v>
      </c>
      <c r="AO500" s="882">
        <f>IF($X500=0,0,      _xll.qDateNext($X500,AO$12,$AR$11,FRM&lt;&gt;"Calypso",CCY))</f>
        <v>0</v>
      </c>
      <c r="AP500" s="882">
        <f>IF($X500=0,0,      _xll.qDateNext($X500,AP$12,$AR$11,FRM&lt;&gt;"Calypso",CCY))</f>
        <v>0</v>
      </c>
      <c r="AQ500" s="882">
        <f>IF($X500=0,0,      _xll.qDateNext($X500,AQ$12,$AR$11,FRM&lt;&gt;"Calypso",CCY))</f>
        <v>0</v>
      </c>
      <c r="AR500" s="882">
        <f>IF($X500=0,0,      _xll.qDateNext($X500,AR$12,$AR$11,FRM&lt;&gt;"Calypso",CCY))</f>
        <v>0</v>
      </c>
      <c r="AS500" s="901">
        <f ca="1"/>
        <v>0</v>
      </c>
      <c r="AT500" s="901">
        <f ca="1"/>
        <v>0</v>
      </c>
      <c r="AU500" s="901">
        <f t="shared" si="130"/>
        <v>0</v>
      </c>
      <c r="AV500" s="901">
        <f ca="1"/>
        <v>0</v>
      </c>
      <c r="AW500" s="901">
        <f t="shared" si="131"/>
        <v>0</v>
      </c>
      <c r="AX500" s="901">
        <f t="shared" si="132"/>
        <v>0</v>
      </c>
      <c r="AY500" s="901">
        <f ca="1"/>
        <v>0</v>
      </c>
      <c r="AZ500" s="901">
        <f ca="1"/>
        <v>0</v>
      </c>
      <c r="BA500" s="905">
        <f t="shared" si="121"/>
        <v>0</v>
      </c>
      <c r="BB500" s="905">
        <f t="shared" si="122"/>
        <v>0</v>
      </c>
      <c r="BC500" s="905">
        <f t="shared" si="123"/>
        <v>0</v>
      </c>
      <c r="BD500" s="905">
        <f t="shared" si="124"/>
        <v>0</v>
      </c>
      <c r="BE500" s="905">
        <f t="shared" si="125"/>
        <v>0</v>
      </c>
      <c r="BF500" s="905">
        <f t="shared" si="126"/>
        <v>0</v>
      </c>
      <c r="BG500" s="905">
        <f t="shared" si="127"/>
        <v>0</v>
      </c>
      <c r="BH500" s="905">
        <f t="shared" si="128"/>
        <v>0</v>
      </c>
      <c r="BI500" s="713">
        <v>0</v>
      </c>
      <c r="BJ500" s="695"/>
      <c r="BK500" s="752">
        <f>IF(X501=0,0,           IF(ISNUMBER(BJ500),BJ500,               IF(ISTEXT(BJ500),INDEX(BA500:BH500,MATCH(BJ500,$BA$12:$BH$12,0)),             IF(BI500="INT",_xll.qInterp(X501,AK500:AR500,BA500:BH500),            INDEX(BA500:BH500,MATCH(BI500,$BA$12:$BH$12,0))))))</f>
        <v>0</v>
      </c>
      <c r="BL500" s="389">
        <f t="shared" si="133"/>
        <v>0</v>
      </c>
      <c r="BM500" s="394">
        <f t="shared" si="134"/>
        <v>0</v>
      </c>
      <c r="BN500" s="389">
        <f t="shared" si="135"/>
        <v>0</v>
      </c>
    </row>
    <row r="501" spans="16:66">
      <c r="P501" s="716">
        <v>0</v>
      </c>
      <c r="Q501" s="715">
        <f t="shared" si="119"/>
        <v>0</v>
      </c>
      <c r="R501" s="712">
        <f>IF(P502,_xll.qDateYears(P501,P502,DCCfixed),0)</f>
        <v>0</v>
      </c>
      <c r="S501" s="519">
        <f ca="1"/>
        <v>0</v>
      </c>
      <c r="T501" s="720"/>
      <c r="U501" s="390">
        <f t="shared" si="129"/>
        <v>0</v>
      </c>
      <c r="X501" s="345">
        <v>0</v>
      </c>
      <c r="Y501" s="711">
        <f t="shared" si="120"/>
        <v>0</v>
      </c>
      <c r="Z501" s="712">
        <f>IF(X502,_xll.qDateYears(X501,X502,DCCfloat),0)</f>
        <v>0</v>
      </c>
      <c r="AA501" s="519">
        <f ca="1"/>
        <v>0</v>
      </c>
      <c r="AB501" s="890">
        <f>IF(X501=0,0,         IF(OR(CCY="AUD",CCY="NZD",CCY="GBP"),X501,   _xll.qDateNext(X501,"-2b",,,IF(CCY="EUR","TGT","LON"))))</f>
        <v>0</v>
      </c>
      <c r="AC501" s="879" t="str">
        <v/>
      </c>
      <c r="AD501" s="879" t="str">
        <v/>
      </c>
      <c r="AE501" s="879" t="str">
        <v/>
      </c>
      <c r="AF501" s="879" t="str">
        <v/>
      </c>
      <c r="AG501" s="879" t="str">
        <v/>
      </c>
      <c r="AH501" s="879" t="str">
        <v/>
      </c>
      <c r="AI501" s="879" t="str">
        <v/>
      </c>
      <c r="AJ501" s="879" t="str">
        <v/>
      </c>
      <c r="AK501" s="882">
        <f>IF($X501=0,0,      _xll.qDateNext($X501,AK$12,$AR$11,FRM&lt;&gt;"Calypso",CCY))</f>
        <v>0</v>
      </c>
      <c r="AL501" s="882">
        <f>IF($X501=0,0,      _xll.qDateNext($X501,AL$12,$AR$11,FRM&lt;&gt;"Calypso",CCY))</f>
        <v>0</v>
      </c>
      <c r="AM501" s="882">
        <f>IF($X501=0,0,      _xll.qDateNext($X501,AM$12,$AR$11,FRM&lt;&gt;"Calypso",CCY))</f>
        <v>0</v>
      </c>
      <c r="AN501" s="882">
        <f>IF($X501=0,0,      _xll.qDateNext($X501,AN$12,$AR$11,FRM&lt;&gt;"Calypso",CCY))</f>
        <v>0</v>
      </c>
      <c r="AO501" s="882">
        <f>IF($X501=0,0,      _xll.qDateNext($X501,AO$12,$AR$11,FRM&lt;&gt;"Calypso",CCY))</f>
        <v>0</v>
      </c>
      <c r="AP501" s="882">
        <f>IF($X501=0,0,      _xll.qDateNext($X501,AP$12,$AR$11,FRM&lt;&gt;"Calypso",CCY))</f>
        <v>0</v>
      </c>
      <c r="AQ501" s="882">
        <f>IF($X501=0,0,      _xll.qDateNext($X501,AQ$12,$AR$11,FRM&lt;&gt;"Calypso",CCY))</f>
        <v>0</v>
      </c>
      <c r="AR501" s="882">
        <f>IF($X501=0,0,      _xll.qDateNext($X501,AR$12,$AR$11,FRM&lt;&gt;"Calypso",CCY))</f>
        <v>0</v>
      </c>
      <c r="AS501" s="901">
        <f ca="1"/>
        <v>0</v>
      </c>
      <c r="AT501" s="901">
        <f ca="1"/>
        <v>0</v>
      </c>
      <c r="AU501" s="901">
        <f t="shared" si="130"/>
        <v>0</v>
      </c>
      <c r="AV501" s="901">
        <f ca="1"/>
        <v>0</v>
      </c>
      <c r="AW501" s="901">
        <f t="shared" si="131"/>
        <v>0</v>
      </c>
      <c r="AX501" s="901">
        <f t="shared" si="132"/>
        <v>0</v>
      </c>
      <c r="AY501" s="901">
        <f ca="1"/>
        <v>0</v>
      </c>
      <c r="AZ501" s="901">
        <f ca="1"/>
        <v>0</v>
      </c>
      <c r="BA501" s="905">
        <f t="shared" si="121"/>
        <v>0</v>
      </c>
      <c r="BB501" s="905">
        <f t="shared" si="122"/>
        <v>0</v>
      </c>
      <c r="BC501" s="905">
        <f t="shared" si="123"/>
        <v>0</v>
      </c>
      <c r="BD501" s="905">
        <f t="shared" si="124"/>
        <v>0</v>
      </c>
      <c r="BE501" s="905">
        <f t="shared" si="125"/>
        <v>0</v>
      </c>
      <c r="BF501" s="905">
        <f t="shared" si="126"/>
        <v>0</v>
      </c>
      <c r="BG501" s="905">
        <f t="shared" si="127"/>
        <v>0</v>
      </c>
      <c r="BH501" s="905">
        <f t="shared" si="128"/>
        <v>0</v>
      </c>
      <c r="BI501" s="713">
        <v>0</v>
      </c>
      <c r="BJ501" s="695"/>
      <c r="BK501" s="752">
        <f>IF(X502=0,0,           IF(ISNUMBER(BJ501),BJ501,               IF(ISTEXT(BJ501),INDEX(BA501:BH501,MATCH(BJ501,$BA$12:$BH$12,0)),             IF(BI501="INT",_xll.qInterp(X502,AK501:AR501,BA501:BH501),            INDEX(BA501:BH501,MATCH(BI501,$BA$12:$BH$12,0))))))</f>
        <v>0</v>
      </c>
      <c r="BL501" s="389">
        <f t="shared" si="133"/>
        <v>0</v>
      </c>
      <c r="BM501" s="394">
        <f t="shared" si="134"/>
        <v>0</v>
      </c>
      <c r="BN501" s="389">
        <f t="shared" si="135"/>
        <v>0</v>
      </c>
    </row>
    <row r="502" spans="16:66">
      <c r="P502" s="716">
        <v>0</v>
      </c>
      <c r="Q502" s="715">
        <f t="shared" si="119"/>
        <v>0</v>
      </c>
      <c r="R502" s="712">
        <f>IF(P503,_xll.qDateYears(P502,P503,DCCfixed),0)</f>
        <v>0</v>
      </c>
      <c r="S502" s="519">
        <f ca="1"/>
        <v>0</v>
      </c>
      <c r="T502" s="720"/>
      <c r="U502" s="390">
        <f t="shared" si="129"/>
        <v>0</v>
      </c>
      <c r="X502" s="345">
        <v>0</v>
      </c>
      <c r="Y502" s="711">
        <f t="shared" si="120"/>
        <v>0</v>
      </c>
      <c r="Z502" s="712">
        <f>IF(X503,_xll.qDateYears(X502,X503,DCCfloat),0)</f>
        <v>0</v>
      </c>
      <c r="AA502" s="519">
        <f ca="1"/>
        <v>0</v>
      </c>
      <c r="AB502" s="890">
        <f>IF(X502=0,0,         IF(OR(CCY="AUD",CCY="NZD",CCY="GBP"),X502,   _xll.qDateNext(X502,"-2b",,,IF(CCY="EUR","TGT","LON"))))</f>
        <v>0</v>
      </c>
      <c r="AC502" s="879" t="str">
        <v/>
      </c>
      <c r="AD502" s="879" t="str">
        <v/>
      </c>
      <c r="AE502" s="879" t="str">
        <v/>
      </c>
      <c r="AF502" s="879" t="str">
        <v/>
      </c>
      <c r="AG502" s="879" t="str">
        <v/>
      </c>
      <c r="AH502" s="879" t="str">
        <v/>
      </c>
      <c r="AI502" s="879" t="str">
        <v/>
      </c>
      <c r="AJ502" s="879" t="str">
        <v/>
      </c>
      <c r="AK502" s="882">
        <f>IF($X502=0,0,      _xll.qDateNext($X502,AK$12,$AR$11,FRM&lt;&gt;"Calypso",CCY))</f>
        <v>0</v>
      </c>
      <c r="AL502" s="882">
        <f>IF($X502=0,0,      _xll.qDateNext($X502,AL$12,$AR$11,FRM&lt;&gt;"Calypso",CCY))</f>
        <v>0</v>
      </c>
      <c r="AM502" s="882">
        <f>IF($X502=0,0,      _xll.qDateNext($X502,AM$12,$AR$11,FRM&lt;&gt;"Calypso",CCY))</f>
        <v>0</v>
      </c>
      <c r="AN502" s="882">
        <f>IF($X502=0,0,      _xll.qDateNext($X502,AN$12,$AR$11,FRM&lt;&gt;"Calypso",CCY))</f>
        <v>0</v>
      </c>
      <c r="AO502" s="882">
        <f>IF($X502=0,0,      _xll.qDateNext($X502,AO$12,$AR$11,FRM&lt;&gt;"Calypso",CCY))</f>
        <v>0</v>
      </c>
      <c r="AP502" s="882">
        <f>IF($X502=0,0,      _xll.qDateNext($X502,AP$12,$AR$11,FRM&lt;&gt;"Calypso",CCY))</f>
        <v>0</v>
      </c>
      <c r="AQ502" s="882">
        <f>IF($X502=0,0,      _xll.qDateNext($X502,AQ$12,$AR$11,FRM&lt;&gt;"Calypso",CCY))</f>
        <v>0</v>
      </c>
      <c r="AR502" s="882">
        <f>IF($X502=0,0,      _xll.qDateNext($X502,AR$12,$AR$11,FRM&lt;&gt;"Calypso",CCY))</f>
        <v>0</v>
      </c>
      <c r="AS502" s="901">
        <f ca="1"/>
        <v>0</v>
      </c>
      <c r="AT502" s="901">
        <f ca="1"/>
        <v>0</v>
      </c>
      <c r="AU502" s="901">
        <f t="shared" si="130"/>
        <v>0</v>
      </c>
      <c r="AV502" s="901">
        <f ca="1"/>
        <v>0</v>
      </c>
      <c r="AW502" s="901">
        <f t="shared" si="131"/>
        <v>0</v>
      </c>
      <c r="AX502" s="901">
        <f t="shared" si="132"/>
        <v>0</v>
      </c>
      <c r="AY502" s="901">
        <f ca="1"/>
        <v>0</v>
      </c>
      <c r="AZ502" s="901">
        <f ca="1"/>
        <v>0</v>
      </c>
      <c r="BA502" s="905">
        <f t="shared" si="121"/>
        <v>0</v>
      </c>
      <c r="BB502" s="905">
        <f t="shared" si="122"/>
        <v>0</v>
      </c>
      <c r="BC502" s="905">
        <f t="shared" si="123"/>
        <v>0</v>
      </c>
      <c r="BD502" s="905">
        <f t="shared" si="124"/>
        <v>0</v>
      </c>
      <c r="BE502" s="905">
        <f t="shared" si="125"/>
        <v>0</v>
      </c>
      <c r="BF502" s="905">
        <f t="shared" si="126"/>
        <v>0</v>
      </c>
      <c r="BG502" s="905">
        <f t="shared" si="127"/>
        <v>0</v>
      </c>
      <c r="BH502" s="905">
        <f t="shared" si="128"/>
        <v>0</v>
      </c>
      <c r="BI502" s="713">
        <v>0</v>
      </c>
      <c r="BJ502" s="695"/>
      <c r="BK502" s="752">
        <f>IF(X503=0,0,           IF(ISNUMBER(BJ502),BJ502,               IF(ISTEXT(BJ502),INDEX(BA502:BH502,MATCH(BJ502,$BA$12:$BH$12,0)),             IF(BI502="INT",_xll.qInterp(X503,AK502:AR502,BA502:BH502),            INDEX(BA502:BH502,MATCH(BI502,$BA$12:$BH$12,0))))))</f>
        <v>0</v>
      </c>
      <c r="BL502" s="389">
        <f t="shared" si="133"/>
        <v>0</v>
      </c>
      <c r="BM502" s="394">
        <f t="shared" si="134"/>
        <v>0</v>
      </c>
      <c r="BN502" s="389">
        <f t="shared" si="135"/>
        <v>0</v>
      </c>
    </row>
    <row r="503" spans="16:66">
      <c r="P503" s="716">
        <v>0</v>
      </c>
      <c r="Q503" s="715">
        <f t="shared" si="119"/>
        <v>0</v>
      </c>
      <c r="R503" s="712">
        <f>IF(P504,_xll.qDateYears(P503,P504,DCCfixed),0)</f>
        <v>0</v>
      </c>
      <c r="S503" s="519">
        <f ca="1"/>
        <v>0</v>
      </c>
      <c r="T503" s="720"/>
      <c r="U503" s="390">
        <f t="shared" si="129"/>
        <v>0</v>
      </c>
      <c r="X503" s="345">
        <v>0</v>
      </c>
      <c r="Y503" s="711">
        <f t="shared" si="120"/>
        <v>0</v>
      </c>
      <c r="Z503" s="712">
        <f>IF(X504,_xll.qDateYears(X503,X504,DCCfloat),0)</f>
        <v>0</v>
      </c>
      <c r="AA503" s="519">
        <f ca="1"/>
        <v>0</v>
      </c>
      <c r="AB503" s="890">
        <f>IF(X503=0,0,         IF(OR(CCY="AUD",CCY="NZD",CCY="GBP"),X503,   _xll.qDateNext(X503,"-2b",,,IF(CCY="EUR","TGT","LON"))))</f>
        <v>0</v>
      </c>
      <c r="AC503" s="879" t="str">
        <v/>
      </c>
      <c r="AD503" s="879" t="str">
        <v/>
      </c>
      <c r="AE503" s="879" t="str">
        <v/>
      </c>
      <c r="AF503" s="879" t="str">
        <v/>
      </c>
      <c r="AG503" s="879" t="str">
        <v/>
      </c>
      <c r="AH503" s="879" t="str">
        <v/>
      </c>
      <c r="AI503" s="879" t="str">
        <v/>
      </c>
      <c r="AJ503" s="879" t="str">
        <v/>
      </c>
      <c r="AK503" s="882">
        <f>IF($X503=0,0,      _xll.qDateNext($X503,AK$12,$AR$11,FRM&lt;&gt;"Calypso",CCY))</f>
        <v>0</v>
      </c>
      <c r="AL503" s="882">
        <f>IF($X503=0,0,      _xll.qDateNext($X503,AL$12,$AR$11,FRM&lt;&gt;"Calypso",CCY))</f>
        <v>0</v>
      </c>
      <c r="AM503" s="882">
        <f>IF($X503=0,0,      _xll.qDateNext($X503,AM$12,$AR$11,FRM&lt;&gt;"Calypso",CCY))</f>
        <v>0</v>
      </c>
      <c r="AN503" s="882">
        <f>IF($X503=0,0,      _xll.qDateNext($X503,AN$12,$AR$11,FRM&lt;&gt;"Calypso",CCY))</f>
        <v>0</v>
      </c>
      <c r="AO503" s="882">
        <f>IF($X503=0,0,      _xll.qDateNext($X503,AO$12,$AR$11,FRM&lt;&gt;"Calypso",CCY))</f>
        <v>0</v>
      </c>
      <c r="AP503" s="882">
        <f>IF($X503=0,0,      _xll.qDateNext($X503,AP$12,$AR$11,FRM&lt;&gt;"Calypso",CCY))</f>
        <v>0</v>
      </c>
      <c r="AQ503" s="882">
        <f>IF($X503=0,0,      _xll.qDateNext($X503,AQ$12,$AR$11,FRM&lt;&gt;"Calypso",CCY))</f>
        <v>0</v>
      </c>
      <c r="AR503" s="882">
        <f>IF($X503=0,0,      _xll.qDateNext($X503,AR$12,$AR$11,FRM&lt;&gt;"Calypso",CCY))</f>
        <v>0</v>
      </c>
      <c r="AS503" s="901">
        <f ca="1"/>
        <v>0</v>
      </c>
      <c r="AT503" s="901">
        <f ca="1"/>
        <v>0</v>
      </c>
      <c r="AU503" s="901">
        <f t="shared" si="130"/>
        <v>0</v>
      </c>
      <c r="AV503" s="901">
        <f ca="1"/>
        <v>0</v>
      </c>
      <c r="AW503" s="901">
        <f t="shared" si="131"/>
        <v>0</v>
      </c>
      <c r="AX503" s="901">
        <f t="shared" si="132"/>
        <v>0</v>
      </c>
      <c r="AY503" s="901">
        <f ca="1"/>
        <v>0</v>
      </c>
      <c r="AZ503" s="901">
        <f ca="1"/>
        <v>0</v>
      </c>
      <c r="BA503" s="905">
        <f t="shared" si="121"/>
        <v>0</v>
      </c>
      <c r="BB503" s="905">
        <f t="shared" si="122"/>
        <v>0</v>
      </c>
      <c r="BC503" s="905">
        <f t="shared" si="123"/>
        <v>0</v>
      </c>
      <c r="BD503" s="905">
        <f t="shared" si="124"/>
        <v>0</v>
      </c>
      <c r="BE503" s="905">
        <f t="shared" si="125"/>
        <v>0</v>
      </c>
      <c r="BF503" s="905">
        <f t="shared" si="126"/>
        <v>0</v>
      </c>
      <c r="BG503" s="905">
        <f t="shared" si="127"/>
        <v>0</v>
      </c>
      <c r="BH503" s="905">
        <f t="shared" si="128"/>
        <v>0</v>
      </c>
      <c r="BI503" s="713">
        <v>0</v>
      </c>
      <c r="BJ503" s="695"/>
      <c r="BK503" s="752">
        <f>IF(X504=0,0,           IF(ISNUMBER(BJ503),BJ503,               IF(ISTEXT(BJ503),INDEX(BA503:BH503,MATCH(BJ503,$BA$12:$BH$12,0)),             IF(BI503="INT",_xll.qInterp(X504,AK503:AR503,BA503:BH503),            INDEX(BA503:BH503,MATCH(BI503,$BA$12:$BH$12,0))))))</f>
        <v>0</v>
      </c>
      <c r="BL503" s="389">
        <f t="shared" si="133"/>
        <v>0</v>
      </c>
      <c r="BM503" s="394">
        <f t="shared" si="134"/>
        <v>0</v>
      </c>
      <c r="BN503" s="389">
        <f t="shared" si="135"/>
        <v>0</v>
      </c>
    </row>
    <row r="504" spans="16:66">
      <c r="P504" s="716">
        <v>0</v>
      </c>
      <c r="Q504" s="715">
        <f t="shared" si="119"/>
        <v>0</v>
      </c>
      <c r="R504" s="712">
        <f>IF(P505,_xll.qDateYears(P504,P505,DCCfixed),0)</f>
        <v>0</v>
      </c>
      <c r="S504" s="519">
        <f ca="1"/>
        <v>0</v>
      </c>
      <c r="T504" s="720"/>
      <c r="U504" s="390">
        <f t="shared" si="129"/>
        <v>0</v>
      </c>
      <c r="X504" s="345">
        <v>0</v>
      </c>
      <c r="Y504" s="711">
        <f t="shared" si="120"/>
        <v>0</v>
      </c>
      <c r="Z504" s="712">
        <f>IF(X505,_xll.qDateYears(X504,X505,DCCfloat),0)</f>
        <v>0</v>
      </c>
      <c r="AA504" s="519">
        <f ca="1"/>
        <v>0</v>
      </c>
      <c r="AB504" s="890">
        <f>IF(X504=0,0,         IF(OR(CCY="AUD",CCY="NZD",CCY="GBP"),X504,   _xll.qDateNext(X504,"-2b",,,IF(CCY="EUR","TGT","LON"))))</f>
        <v>0</v>
      </c>
      <c r="AC504" s="879" t="str">
        <v/>
      </c>
      <c r="AD504" s="879" t="str">
        <v/>
      </c>
      <c r="AE504" s="879" t="str">
        <v/>
      </c>
      <c r="AF504" s="879" t="str">
        <v/>
      </c>
      <c r="AG504" s="879" t="str">
        <v/>
      </c>
      <c r="AH504" s="879" t="str">
        <v/>
      </c>
      <c r="AI504" s="879" t="str">
        <v/>
      </c>
      <c r="AJ504" s="879" t="str">
        <v/>
      </c>
      <c r="AK504" s="882">
        <f>IF($X504=0,0,      _xll.qDateNext($X504,AK$12,$AR$11,FRM&lt;&gt;"Calypso",CCY))</f>
        <v>0</v>
      </c>
      <c r="AL504" s="882">
        <f>IF($X504=0,0,      _xll.qDateNext($X504,AL$12,$AR$11,FRM&lt;&gt;"Calypso",CCY))</f>
        <v>0</v>
      </c>
      <c r="AM504" s="882">
        <f>IF($X504=0,0,      _xll.qDateNext($X504,AM$12,$AR$11,FRM&lt;&gt;"Calypso",CCY))</f>
        <v>0</v>
      </c>
      <c r="AN504" s="882">
        <f>IF($X504=0,0,      _xll.qDateNext($X504,AN$12,$AR$11,FRM&lt;&gt;"Calypso",CCY))</f>
        <v>0</v>
      </c>
      <c r="AO504" s="882">
        <f>IF($X504=0,0,      _xll.qDateNext($X504,AO$12,$AR$11,FRM&lt;&gt;"Calypso",CCY))</f>
        <v>0</v>
      </c>
      <c r="AP504" s="882">
        <f>IF($X504=0,0,      _xll.qDateNext($X504,AP$12,$AR$11,FRM&lt;&gt;"Calypso",CCY))</f>
        <v>0</v>
      </c>
      <c r="AQ504" s="882">
        <f>IF($X504=0,0,      _xll.qDateNext($X504,AQ$12,$AR$11,FRM&lt;&gt;"Calypso",CCY))</f>
        <v>0</v>
      </c>
      <c r="AR504" s="882">
        <f>IF($X504=0,0,      _xll.qDateNext($X504,AR$12,$AR$11,FRM&lt;&gt;"Calypso",CCY))</f>
        <v>0</v>
      </c>
      <c r="AS504" s="901">
        <f ca="1"/>
        <v>0</v>
      </c>
      <c r="AT504" s="901">
        <f ca="1"/>
        <v>0</v>
      </c>
      <c r="AU504" s="901">
        <f t="shared" si="130"/>
        <v>0</v>
      </c>
      <c r="AV504" s="901">
        <f ca="1"/>
        <v>0</v>
      </c>
      <c r="AW504" s="901">
        <f t="shared" si="131"/>
        <v>0</v>
      </c>
      <c r="AX504" s="901">
        <f t="shared" si="132"/>
        <v>0</v>
      </c>
      <c r="AY504" s="901">
        <f ca="1"/>
        <v>0</v>
      </c>
      <c r="AZ504" s="901">
        <f ca="1"/>
        <v>0</v>
      </c>
      <c r="BA504" s="905">
        <f t="shared" si="121"/>
        <v>0</v>
      </c>
      <c r="BB504" s="905">
        <f t="shared" si="122"/>
        <v>0</v>
      </c>
      <c r="BC504" s="905">
        <f t="shared" si="123"/>
        <v>0</v>
      </c>
      <c r="BD504" s="905">
        <f t="shared" si="124"/>
        <v>0</v>
      </c>
      <c r="BE504" s="905">
        <f t="shared" si="125"/>
        <v>0</v>
      </c>
      <c r="BF504" s="905">
        <f t="shared" si="126"/>
        <v>0</v>
      </c>
      <c r="BG504" s="905">
        <f t="shared" si="127"/>
        <v>0</v>
      </c>
      <c r="BH504" s="905">
        <f t="shared" si="128"/>
        <v>0</v>
      </c>
      <c r="BI504" s="713">
        <v>0</v>
      </c>
      <c r="BJ504" s="695"/>
      <c r="BK504" s="752">
        <f>IF(X505=0,0,           IF(ISNUMBER(BJ504),BJ504,               IF(ISTEXT(BJ504),INDEX(BA504:BH504,MATCH(BJ504,$BA$12:$BH$12,0)),             IF(BI504="INT",_xll.qInterp(X505,AK504:AR504,BA504:BH504),            INDEX(BA504:BH504,MATCH(BI504,$BA$12:$BH$12,0))))))</f>
        <v>0</v>
      </c>
      <c r="BL504" s="389">
        <f t="shared" si="133"/>
        <v>0</v>
      </c>
      <c r="BM504" s="394">
        <f t="shared" si="134"/>
        <v>0</v>
      </c>
      <c r="BN504" s="389">
        <f t="shared" si="135"/>
        <v>0</v>
      </c>
    </row>
    <row r="505" spans="16:66">
      <c r="P505" s="716">
        <v>0</v>
      </c>
      <c r="Q505" s="715">
        <f t="shared" si="119"/>
        <v>0</v>
      </c>
      <c r="R505" s="712">
        <f>IF(P506,_xll.qDateYears(P505,P506,DCCfixed),0)</f>
        <v>0</v>
      </c>
      <c r="S505" s="519">
        <f ca="1"/>
        <v>0</v>
      </c>
      <c r="T505" s="720"/>
      <c r="U505" s="390">
        <f t="shared" si="129"/>
        <v>0</v>
      </c>
      <c r="X505" s="345">
        <v>0</v>
      </c>
      <c r="Y505" s="711">
        <f t="shared" si="120"/>
        <v>0</v>
      </c>
      <c r="Z505" s="712">
        <f>IF(X506,_xll.qDateYears(X505,X506,DCCfloat),0)</f>
        <v>0</v>
      </c>
      <c r="AA505" s="519">
        <f ca="1"/>
        <v>0</v>
      </c>
      <c r="AB505" s="890">
        <f>IF(X505=0,0,         IF(OR(CCY="AUD",CCY="NZD",CCY="GBP"),X505,   _xll.qDateNext(X505,"-2b",,,IF(CCY="EUR","TGT","LON"))))</f>
        <v>0</v>
      </c>
      <c r="AC505" s="879" t="str">
        <v/>
      </c>
      <c r="AD505" s="879" t="str">
        <v/>
      </c>
      <c r="AE505" s="879" t="str">
        <v/>
      </c>
      <c r="AF505" s="879" t="str">
        <v/>
      </c>
      <c r="AG505" s="879" t="str">
        <v/>
      </c>
      <c r="AH505" s="879" t="str">
        <v/>
      </c>
      <c r="AI505" s="879" t="str">
        <v/>
      </c>
      <c r="AJ505" s="879" t="str">
        <v/>
      </c>
      <c r="AK505" s="882">
        <f>IF($X505=0,0,      _xll.qDateNext($X505,AK$12,$AR$11,FRM&lt;&gt;"Calypso",CCY))</f>
        <v>0</v>
      </c>
      <c r="AL505" s="882">
        <f>IF($X505=0,0,      _xll.qDateNext($X505,AL$12,$AR$11,FRM&lt;&gt;"Calypso",CCY))</f>
        <v>0</v>
      </c>
      <c r="AM505" s="882">
        <f>IF($X505=0,0,      _xll.qDateNext($X505,AM$12,$AR$11,FRM&lt;&gt;"Calypso",CCY))</f>
        <v>0</v>
      </c>
      <c r="AN505" s="882">
        <f>IF($X505=0,0,      _xll.qDateNext($X505,AN$12,$AR$11,FRM&lt;&gt;"Calypso",CCY))</f>
        <v>0</v>
      </c>
      <c r="AO505" s="882">
        <f>IF($X505=0,0,      _xll.qDateNext($X505,AO$12,$AR$11,FRM&lt;&gt;"Calypso",CCY))</f>
        <v>0</v>
      </c>
      <c r="AP505" s="882">
        <f>IF($X505=0,0,      _xll.qDateNext($X505,AP$12,$AR$11,FRM&lt;&gt;"Calypso",CCY))</f>
        <v>0</v>
      </c>
      <c r="AQ505" s="882">
        <f>IF($X505=0,0,      _xll.qDateNext($X505,AQ$12,$AR$11,FRM&lt;&gt;"Calypso",CCY))</f>
        <v>0</v>
      </c>
      <c r="AR505" s="882">
        <f>IF($X505=0,0,      _xll.qDateNext($X505,AR$12,$AR$11,FRM&lt;&gt;"Calypso",CCY))</f>
        <v>0</v>
      </c>
      <c r="AS505" s="901">
        <f ca="1"/>
        <v>0</v>
      </c>
      <c r="AT505" s="901">
        <f ca="1"/>
        <v>0</v>
      </c>
      <c r="AU505" s="901">
        <f t="shared" si="130"/>
        <v>0</v>
      </c>
      <c r="AV505" s="901">
        <f ca="1"/>
        <v>0</v>
      </c>
      <c r="AW505" s="901">
        <f t="shared" si="131"/>
        <v>0</v>
      </c>
      <c r="AX505" s="901">
        <f t="shared" si="132"/>
        <v>0</v>
      </c>
      <c r="AY505" s="901">
        <f ca="1"/>
        <v>0</v>
      </c>
      <c r="AZ505" s="901">
        <f ca="1"/>
        <v>0</v>
      </c>
      <c r="BA505" s="905">
        <f t="shared" si="121"/>
        <v>0</v>
      </c>
      <c r="BB505" s="905">
        <f t="shared" si="122"/>
        <v>0</v>
      </c>
      <c r="BC505" s="905">
        <f t="shared" si="123"/>
        <v>0</v>
      </c>
      <c r="BD505" s="905">
        <f t="shared" si="124"/>
        <v>0</v>
      </c>
      <c r="BE505" s="905">
        <f t="shared" si="125"/>
        <v>0</v>
      </c>
      <c r="BF505" s="905">
        <f t="shared" si="126"/>
        <v>0</v>
      </c>
      <c r="BG505" s="905">
        <f t="shared" si="127"/>
        <v>0</v>
      </c>
      <c r="BH505" s="905">
        <f t="shared" si="128"/>
        <v>0</v>
      </c>
      <c r="BI505" s="713">
        <v>0</v>
      </c>
      <c r="BJ505" s="695"/>
      <c r="BK505" s="752">
        <f>IF(X506=0,0,           IF(ISNUMBER(BJ505),BJ505,               IF(ISTEXT(BJ505),INDEX(BA505:BH505,MATCH(BJ505,$BA$12:$BH$12,0)),             IF(BI505="INT",_xll.qInterp(X506,AK505:AR505,BA505:BH505),            INDEX(BA505:BH505,MATCH(BI505,$BA$12:$BH$12,0))))))</f>
        <v>0</v>
      </c>
      <c r="BL505" s="389">
        <f t="shared" si="133"/>
        <v>0</v>
      </c>
      <c r="BM505" s="394">
        <f t="shared" si="134"/>
        <v>0</v>
      </c>
      <c r="BN505" s="389">
        <f t="shared" si="135"/>
        <v>0</v>
      </c>
    </row>
    <row r="506" spans="16:66">
      <c r="P506" s="716">
        <v>0</v>
      </c>
      <c r="Q506" s="715">
        <f t="shared" si="119"/>
        <v>0</v>
      </c>
      <c r="R506" s="712">
        <f>IF(P507,_xll.qDateYears(P506,P507,DCCfixed),0)</f>
        <v>0</v>
      </c>
      <c r="S506" s="519">
        <f ca="1"/>
        <v>0</v>
      </c>
      <c r="T506" s="720"/>
      <c r="U506" s="390">
        <f t="shared" si="129"/>
        <v>0</v>
      </c>
      <c r="X506" s="345">
        <v>0</v>
      </c>
      <c r="Y506" s="711">
        <f t="shared" si="120"/>
        <v>0</v>
      </c>
      <c r="Z506" s="712">
        <f>IF(X507,_xll.qDateYears(X506,X507,DCCfloat),0)</f>
        <v>0</v>
      </c>
      <c r="AA506" s="519">
        <f ca="1"/>
        <v>0</v>
      </c>
      <c r="AB506" s="890">
        <f>IF(X506=0,0,         IF(OR(CCY="AUD",CCY="NZD",CCY="GBP"),X506,   _xll.qDateNext(X506,"-2b",,,IF(CCY="EUR","TGT","LON"))))</f>
        <v>0</v>
      </c>
      <c r="AC506" s="879" t="str">
        <v/>
      </c>
      <c r="AD506" s="879" t="str">
        <v/>
      </c>
      <c r="AE506" s="879" t="str">
        <v/>
      </c>
      <c r="AF506" s="879" t="str">
        <v/>
      </c>
      <c r="AG506" s="879" t="str">
        <v/>
      </c>
      <c r="AH506" s="879" t="str">
        <v/>
      </c>
      <c r="AI506" s="879" t="str">
        <v/>
      </c>
      <c r="AJ506" s="879" t="str">
        <v/>
      </c>
      <c r="AK506" s="882">
        <f>IF($X506=0,0,      _xll.qDateNext($X506,AK$12,$AR$11,FRM&lt;&gt;"Calypso",CCY))</f>
        <v>0</v>
      </c>
      <c r="AL506" s="882">
        <f>IF($X506=0,0,      _xll.qDateNext($X506,AL$12,$AR$11,FRM&lt;&gt;"Calypso",CCY))</f>
        <v>0</v>
      </c>
      <c r="AM506" s="882">
        <f>IF($X506=0,0,      _xll.qDateNext($X506,AM$12,$AR$11,FRM&lt;&gt;"Calypso",CCY))</f>
        <v>0</v>
      </c>
      <c r="AN506" s="882">
        <f>IF($X506=0,0,      _xll.qDateNext($X506,AN$12,$AR$11,FRM&lt;&gt;"Calypso",CCY))</f>
        <v>0</v>
      </c>
      <c r="AO506" s="882">
        <f>IF($X506=0,0,      _xll.qDateNext($X506,AO$12,$AR$11,FRM&lt;&gt;"Calypso",CCY))</f>
        <v>0</v>
      </c>
      <c r="AP506" s="882">
        <f>IF($X506=0,0,      _xll.qDateNext($X506,AP$12,$AR$11,FRM&lt;&gt;"Calypso",CCY))</f>
        <v>0</v>
      </c>
      <c r="AQ506" s="882">
        <f>IF($X506=0,0,      _xll.qDateNext($X506,AQ$12,$AR$11,FRM&lt;&gt;"Calypso",CCY))</f>
        <v>0</v>
      </c>
      <c r="AR506" s="882">
        <f>IF($X506=0,0,      _xll.qDateNext($X506,AR$12,$AR$11,FRM&lt;&gt;"Calypso",CCY))</f>
        <v>0</v>
      </c>
      <c r="AS506" s="901">
        <f ca="1"/>
        <v>0</v>
      </c>
      <c r="AT506" s="901">
        <f ca="1"/>
        <v>0</v>
      </c>
      <c r="AU506" s="901">
        <f t="shared" si="130"/>
        <v>0</v>
      </c>
      <c r="AV506" s="901">
        <f ca="1"/>
        <v>0</v>
      </c>
      <c r="AW506" s="901">
        <f t="shared" si="131"/>
        <v>0</v>
      </c>
      <c r="AX506" s="901">
        <f t="shared" si="132"/>
        <v>0</v>
      </c>
      <c r="AY506" s="901">
        <f ca="1"/>
        <v>0</v>
      </c>
      <c r="AZ506" s="901">
        <f ca="1"/>
        <v>0</v>
      </c>
      <c r="BA506" s="905">
        <f t="shared" si="121"/>
        <v>0</v>
      </c>
      <c r="BB506" s="905">
        <f t="shared" si="122"/>
        <v>0</v>
      </c>
      <c r="BC506" s="905">
        <f t="shared" si="123"/>
        <v>0</v>
      </c>
      <c r="BD506" s="905">
        <f t="shared" si="124"/>
        <v>0</v>
      </c>
      <c r="BE506" s="905">
        <f t="shared" si="125"/>
        <v>0</v>
      </c>
      <c r="BF506" s="905">
        <f t="shared" si="126"/>
        <v>0</v>
      </c>
      <c r="BG506" s="905">
        <f t="shared" si="127"/>
        <v>0</v>
      </c>
      <c r="BH506" s="905">
        <f t="shared" si="128"/>
        <v>0</v>
      </c>
      <c r="BI506" s="713">
        <v>0</v>
      </c>
      <c r="BJ506" s="695"/>
      <c r="BK506" s="752">
        <f>IF(X507=0,0,           IF(ISNUMBER(BJ506),BJ506,               IF(ISTEXT(BJ506),INDEX(BA506:BH506,MATCH(BJ506,$BA$12:$BH$12,0)),             IF(BI506="INT",_xll.qInterp(X507,AK506:AR506,BA506:BH506),            INDEX(BA506:BH506,MATCH(BI506,$BA$12:$BH$12,0))))))</f>
        <v>0</v>
      </c>
      <c r="BL506" s="389">
        <f t="shared" si="133"/>
        <v>0</v>
      </c>
      <c r="BM506" s="394">
        <f t="shared" si="134"/>
        <v>0</v>
      </c>
      <c r="BN506" s="389">
        <f t="shared" si="135"/>
        <v>0</v>
      </c>
    </row>
    <row r="507" spans="16:66">
      <c r="P507" s="716">
        <v>0</v>
      </c>
      <c r="Q507" s="715">
        <f t="shared" si="119"/>
        <v>0</v>
      </c>
      <c r="R507" s="712">
        <f>IF(P508,_xll.qDateYears(P507,P508,DCCfixed),0)</f>
        <v>0</v>
      </c>
      <c r="S507" s="519">
        <f ca="1"/>
        <v>0</v>
      </c>
      <c r="T507" s="720"/>
      <c r="U507" s="390">
        <f t="shared" si="129"/>
        <v>0</v>
      </c>
      <c r="X507" s="345">
        <v>0</v>
      </c>
      <c r="Y507" s="711">
        <f t="shared" si="120"/>
        <v>0</v>
      </c>
      <c r="Z507" s="712">
        <f>IF(X508,_xll.qDateYears(X507,X508,DCCfloat),0)</f>
        <v>0</v>
      </c>
      <c r="AA507" s="519">
        <f ca="1"/>
        <v>0</v>
      </c>
      <c r="AB507" s="890">
        <f>IF(X507=0,0,         IF(OR(CCY="AUD",CCY="NZD",CCY="GBP"),X507,   _xll.qDateNext(X507,"-2b",,,IF(CCY="EUR","TGT","LON"))))</f>
        <v>0</v>
      </c>
      <c r="AC507" s="879" t="str">
        <v/>
      </c>
      <c r="AD507" s="879" t="str">
        <v/>
      </c>
      <c r="AE507" s="879" t="str">
        <v/>
      </c>
      <c r="AF507" s="879" t="str">
        <v/>
      </c>
      <c r="AG507" s="879" t="str">
        <v/>
      </c>
      <c r="AH507" s="879" t="str">
        <v/>
      </c>
      <c r="AI507" s="879" t="str">
        <v/>
      </c>
      <c r="AJ507" s="879" t="str">
        <v/>
      </c>
      <c r="AK507" s="882">
        <f>IF($X507=0,0,      _xll.qDateNext($X507,AK$12,$AR$11,FRM&lt;&gt;"Calypso",CCY))</f>
        <v>0</v>
      </c>
      <c r="AL507" s="882">
        <f>IF($X507=0,0,      _xll.qDateNext($X507,AL$12,$AR$11,FRM&lt;&gt;"Calypso",CCY))</f>
        <v>0</v>
      </c>
      <c r="AM507" s="882">
        <f>IF($X507=0,0,      _xll.qDateNext($X507,AM$12,$AR$11,FRM&lt;&gt;"Calypso",CCY))</f>
        <v>0</v>
      </c>
      <c r="AN507" s="882">
        <f>IF($X507=0,0,      _xll.qDateNext($X507,AN$12,$AR$11,FRM&lt;&gt;"Calypso",CCY))</f>
        <v>0</v>
      </c>
      <c r="AO507" s="882">
        <f>IF($X507=0,0,      _xll.qDateNext($X507,AO$12,$AR$11,FRM&lt;&gt;"Calypso",CCY))</f>
        <v>0</v>
      </c>
      <c r="AP507" s="882">
        <f>IF($X507=0,0,      _xll.qDateNext($X507,AP$12,$AR$11,FRM&lt;&gt;"Calypso",CCY))</f>
        <v>0</v>
      </c>
      <c r="AQ507" s="882">
        <f>IF($X507=0,0,      _xll.qDateNext($X507,AQ$12,$AR$11,FRM&lt;&gt;"Calypso",CCY))</f>
        <v>0</v>
      </c>
      <c r="AR507" s="882">
        <f>IF($X507=0,0,      _xll.qDateNext($X507,AR$12,$AR$11,FRM&lt;&gt;"Calypso",CCY))</f>
        <v>0</v>
      </c>
      <c r="AS507" s="901">
        <f ca="1"/>
        <v>0</v>
      </c>
      <c r="AT507" s="901">
        <f ca="1"/>
        <v>0</v>
      </c>
      <c r="AU507" s="901">
        <f t="shared" si="130"/>
        <v>0</v>
      </c>
      <c r="AV507" s="901">
        <f ca="1"/>
        <v>0</v>
      </c>
      <c r="AW507" s="901">
        <f t="shared" si="131"/>
        <v>0</v>
      </c>
      <c r="AX507" s="901">
        <f t="shared" si="132"/>
        <v>0</v>
      </c>
      <c r="AY507" s="901">
        <f ca="1"/>
        <v>0</v>
      </c>
      <c r="AZ507" s="901">
        <f ca="1"/>
        <v>0</v>
      </c>
      <c r="BA507" s="905">
        <f t="shared" si="121"/>
        <v>0</v>
      </c>
      <c r="BB507" s="905">
        <f t="shared" si="122"/>
        <v>0</v>
      </c>
      <c r="BC507" s="905">
        <f t="shared" si="123"/>
        <v>0</v>
      </c>
      <c r="BD507" s="905">
        <f t="shared" si="124"/>
        <v>0</v>
      </c>
      <c r="BE507" s="905">
        <f t="shared" si="125"/>
        <v>0</v>
      </c>
      <c r="BF507" s="905">
        <f t="shared" si="126"/>
        <v>0</v>
      </c>
      <c r="BG507" s="905">
        <f t="shared" si="127"/>
        <v>0</v>
      </c>
      <c r="BH507" s="905">
        <f t="shared" si="128"/>
        <v>0</v>
      </c>
      <c r="BI507" s="713">
        <v>0</v>
      </c>
      <c r="BJ507" s="695"/>
      <c r="BK507" s="752">
        <f>IF(X508=0,0,           IF(ISNUMBER(BJ507),BJ507,               IF(ISTEXT(BJ507),INDEX(BA507:BH507,MATCH(BJ507,$BA$12:$BH$12,0)),             IF(BI507="INT",_xll.qInterp(X508,AK507:AR507,BA507:BH507),            INDEX(BA507:BH507,MATCH(BI507,$BA$12:$BH$12,0))))))</f>
        <v>0</v>
      </c>
      <c r="BL507" s="389">
        <f t="shared" si="133"/>
        <v>0</v>
      </c>
      <c r="BM507" s="394">
        <f t="shared" si="134"/>
        <v>0</v>
      </c>
      <c r="BN507" s="389">
        <f t="shared" si="135"/>
        <v>0</v>
      </c>
    </row>
    <row r="508" spans="16:66">
      <c r="P508" s="716">
        <v>0</v>
      </c>
      <c r="Q508" s="715">
        <f t="shared" si="119"/>
        <v>0</v>
      </c>
      <c r="R508" s="712">
        <f>IF(P509,_xll.qDateYears(P508,P509,DCCfixed),0)</f>
        <v>0</v>
      </c>
      <c r="S508" s="519">
        <f ca="1"/>
        <v>0</v>
      </c>
      <c r="T508" s="720"/>
      <c r="U508" s="390">
        <f t="shared" si="129"/>
        <v>0</v>
      </c>
      <c r="X508" s="345">
        <v>0</v>
      </c>
      <c r="Y508" s="711">
        <f t="shared" si="120"/>
        <v>0</v>
      </c>
      <c r="Z508" s="712">
        <f>IF(X509,_xll.qDateYears(X508,X509,DCCfloat),0)</f>
        <v>0</v>
      </c>
      <c r="AA508" s="519">
        <f ca="1"/>
        <v>0</v>
      </c>
      <c r="AB508" s="890">
        <f>IF(X508=0,0,         IF(OR(CCY="AUD",CCY="NZD",CCY="GBP"),X508,   _xll.qDateNext(X508,"-2b",,,IF(CCY="EUR","TGT","LON"))))</f>
        <v>0</v>
      </c>
      <c r="AC508" s="879" t="str">
        <v/>
      </c>
      <c r="AD508" s="879" t="str">
        <v/>
      </c>
      <c r="AE508" s="879" t="str">
        <v/>
      </c>
      <c r="AF508" s="879" t="str">
        <v/>
      </c>
      <c r="AG508" s="879" t="str">
        <v/>
      </c>
      <c r="AH508" s="879" t="str">
        <v/>
      </c>
      <c r="AI508" s="879" t="str">
        <v/>
      </c>
      <c r="AJ508" s="879" t="str">
        <v/>
      </c>
      <c r="AK508" s="882">
        <f>IF($X508=0,0,      _xll.qDateNext($X508,AK$12,$AR$11,FRM&lt;&gt;"Calypso",CCY))</f>
        <v>0</v>
      </c>
      <c r="AL508" s="882">
        <f>IF($X508=0,0,      _xll.qDateNext($X508,AL$12,$AR$11,FRM&lt;&gt;"Calypso",CCY))</f>
        <v>0</v>
      </c>
      <c r="AM508" s="882">
        <f>IF($X508=0,0,      _xll.qDateNext($X508,AM$12,$AR$11,FRM&lt;&gt;"Calypso",CCY))</f>
        <v>0</v>
      </c>
      <c r="AN508" s="882">
        <f>IF($X508=0,0,      _xll.qDateNext($X508,AN$12,$AR$11,FRM&lt;&gt;"Calypso",CCY))</f>
        <v>0</v>
      </c>
      <c r="AO508" s="882">
        <f>IF($X508=0,0,      _xll.qDateNext($X508,AO$12,$AR$11,FRM&lt;&gt;"Calypso",CCY))</f>
        <v>0</v>
      </c>
      <c r="AP508" s="882">
        <f>IF($X508=0,0,      _xll.qDateNext($X508,AP$12,$AR$11,FRM&lt;&gt;"Calypso",CCY))</f>
        <v>0</v>
      </c>
      <c r="AQ508" s="882">
        <f>IF($X508=0,0,      _xll.qDateNext($X508,AQ$12,$AR$11,FRM&lt;&gt;"Calypso",CCY))</f>
        <v>0</v>
      </c>
      <c r="AR508" s="882">
        <f>IF($X508=0,0,      _xll.qDateNext($X508,AR$12,$AR$11,FRM&lt;&gt;"Calypso",CCY))</f>
        <v>0</v>
      </c>
      <c r="AS508" s="901">
        <f ca="1"/>
        <v>0</v>
      </c>
      <c r="AT508" s="901">
        <f ca="1"/>
        <v>0</v>
      </c>
      <c r="AU508" s="901">
        <f t="shared" si="130"/>
        <v>0</v>
      </c>
      <c r="AV508" s="901">
        <f ca="1"/>
        <v>0</v>
      </c>
      <c r="AW508" s="901">
        <f t="shared" si="131"/>
        <v>0</v>
      </c>
      <c r="AX508" s="901">
        <f t="shared" si="132"/>
        <v>0</v>
      </c>
      <c r="AY508" s="901">
        <f ca="1"/>
        <v>0</v>
      </c>
      <c r="AZ508" s="901">
        <f ca="1"/>
        <v>0</v>
      </c>
      <c r="BA508" s="905">
        <f t="shared" si="121"/>
        <v>0</v>
      </c>
      <c r="BB508" s="905">
        <f t="shared" si="122"/>
        <v>0</v>
      </c>
      <c r="BC508" s="905">
        <f t="shared" si="123"/>
        <v>0</v>
      </c>
      <c r="BD508" s="905">
        <f t="shared" si="124"/>
        <v>0</v>
      </c>
      <c r="BE508" s="905">
        <f t="shared" si="125"/>
        <v>0</v>
      </c>
      <c r="BF508" s="905">
        <f t="shared" si="126"/>
        <v>0</v>
      </c>
      <c r="BG508" s="905">
        <f t="shared" si="127"/>
        <v>0</v>
      </c>
      <c r="BH508" s="905">
        <f t="shared" si="128"/>
        <v>0</v>
      </c>
      <c r="BI508" s="713">
        <v>0</v>
      </c>
      <c r="BJ508" s="695"/>
      <c r="BK508" s="752">
        <f>IF(X509=0,0,           IF(ISNUMBER(BJ508),BJ508,               IF(ISTEXT(BJ508),INDEX(BA508:BH508,MATCH(BJ508,$BA$12:$BH$12,0)),             IF(BI508="INT",_xll.qInterp(X509,AK508:AR508,BA508:BH508),            INDEX(BA508:BH508,MATCH(BI508,$BA$12:$BH$12,0))))))</f>
        <v>0</v>
      </c>
      <c r="BL508" s="389">
        <f t="shared" si="133"/>
        <v>0</v>
      </c>
      <c r="BM508" s="394">
        <f t="shared" si="134"/>
        <v>0</v>
      </c>
      <c r="BN508" s="389">
        <f t="shared" si="135"/>
        <v>0</v>
      </c>
    </row>
    <row r="509" spans="16:66">
      <c r="P509" s="716">
        <v>0</v>
      </c>
      <c r="Q509" s="715">
        <f t="shared" si="119"/>
        <v>0</v>
      </c>
      <c r="R509" s="712">
        <f>IF(P510,_xll.qDateYears(P509,P510,DCCfixed),0)</f>
        <v>0</v>
      </c>
      <c r="S509" s="519">
        <f ca="1"/>
        <v>0</v>
      </c>
      <c r="T509" s="720"/>
      <c r="U509" s="390">
        <f t="shared" si="129"/>
        <v>0</v>
      </c>
      <c r="X509" s="345">
        <v>0</v>
      </c>
      <c r="Y509" s="711">
        <f t="shared" si="120"/>
        <v>0</v>
      </c>
      <c r="Z509" s="712">
        <f>IF(X510,_xll.qDateYears(X509,X510,DCCfloat),0)</f>
        <v>0</v>
      </c>
      <c r="AA509" s="519">
        <f ca="1"/>
        <v>0</v>
      </c>
      <c r="AB509" s="890">
        <f>IF(X509=0,0,         IF(OR(CCY="AUD",CCY="NZD",CCY="GBP"),X509,   _xll.qDateNext(X509,"-2b",,,IF(CCY="EUR","TGT","LON"))))</f>
        <v>0</v>
      </c>
      <c r="AC509" s="879" t="str">
        <v/>
      </c>
      <c r="AD509" s="879" t="str">
        <v/>
      </c>
      <c r="AE509" s="879" t="str">
        <v/>
      </c>
      <c r="AF509" s="879" t="str">
        <v/>
      </c>
      <c r="AG509" s="879" t="str">
        <v/>
      </c>
      <c r="AH509" s="879" t="str">
        <v/>
      </c>
      <c r="AI509" s="879" t="str">
        <v/>
      </c>
      <c r="AJ509" s="879" t="str">
        <v/>
      </c>
      <c r="AK509" s="882">
        <f>IF($X509=0,0,      _xll.qDateNext($X509,AK$12,$AR$11,FRM&lt;&gt;"Calypso",CCY))</f>
        <v>0</v>
      </c>
      <c r="AL509" s="882">
        <f>IF($X509=0,0,      _xll.qDateNext($X509,AL$12,$AR$11,FRM&lt;&gt;"Calypso",CCY))</f>
        <v>0</v>
      </c>
      <c r="AM509" s="882">
        <f>IF($X509=0,0,      _xll.qDateNext($X509,AM$12,$AR$11,FRM&lt;&gt;"Calypso",CCY))</f>
        <v>0</v>
      </c>
      <c r="AN509" s="882">
        <f>IF($X509=0,0,      _xll.qDateNext($X509,AN$12,$AR$11,FRM&lt;&gt;"Calypso",CCY))</f>
        <v>0</v>
      </c>
      <c r="AO509" s="882">
        <f>IF($X509=0,0,      _xll.qDateNext($X509,AO$12,$AR$11,FRM&lt;&gt;"Calypso",CCY))</f>
        <v>0</v>
      </c>
      <c r="AP509" s="882">
        <f>IF($X509=0,0,      _xll.qDateNext($X509,AP$12,$AR$11,FRM&lt;&gt;"Calypso",CCY))</f>
        <v>0</v>
      </c>
      <c r="AQ509" s="882">
        <f>IF($X509=0,0,      _xll.qDateNext($X509,AQ$12,$AR$11,FRM&lt;&gt;"Calypso",CCY))</f>
        <v>0</v>
      </c>
      <c r="AR509" s="882">
        <f>IF($X509=0,0,      _xll.qDateNext($X509,AR$12,$AR$11,FRM&lt;&gt;"Calypso",CCY))</f>
        <v>0</v>
      </c>
      <c r="AS509" s="901">
        <f ca="1"/>
        <v>0</v>
      </c>
      <c r="AT509" s="901">
        <f ca="1"/>
        <v>0</v>
      </c>
      <c r="AU509" s="901">
        <f t="shared" si="130"/>
        <v>0</v>
      </c>
      <c r="AV509" s="901">
        <f ca="1"/>
        <v>0</v>
      </c>
      <c r="AW509" s="901">
        <f t="shared" si="131"/>
        <v>0</v>
      </c>
      <c r="AX509" s="901">
        <f t="shared" si="132"/>
        <v>0</v>
      </c>
      <c r="AY509" s="901">
        <f ca="1"/>
        <v>0</v>
      </c>
      <c r="AZ509" s="901">
        <f ca="1"/>
        <v>0</v>
      </c>
      <c r="BA509" s="905">
        <f t="shared" si="121"/>
        <v>0</v>
      </c>
      <c r="BB509" s="905">
        <f t="shared" si="122"/>
        <v>0</v>
      </c>
      <c r="BC509" s="905">
        <f t="shared" si="123"/>
        <v>0</v>
      </c>
      <c r="BD509" s="905">
        <f t="shared" si="124"/>
        <v>0</v>
      </c>
      <c r="BE509" s="905">
        <f t="shared" si="125"/>
        <v>0</v>
      </c>
      <c r="BF509" s="905">
        <f t="shared" si="126"/>
        <v>0</v>
      </c>
      <c r="BG509" s="905">
        <f t="shared" si="127"/>
        <v>0</v>
      </c>
      <c r="BH509" s="905">
        <f t="shared" si="128"/>
        <v>0</v>
      </c>
      <c r="BI509" s="713">
        <v>0</v>
      </c>
      <c r="BJ509" s="695"/>
      <c r="BK509" s="752">
        <f>IF(X510=0,0,           IF(ISNUMBER(BJ509),BJ509,               IF(ISTEXT(BJ509),INDEX(BA509:BH509,MATCH(BJ509,$BA$12:$BH$12,0)),             IF(BI509="INT",_xll.qInterp(X510,AK509:AR509,BA509:BH509),            INDEX(BA509:BH509,MATCH(BI509,$BA$12:$BH$12,0))))))</f>
        <v>0</v>
      </c>
      <c r="BL509" s="389">
        <f t="shared" si="133"/>
        <v>0</v>
      </c>
      <c r="BM509" s="394">
        <f t="shared" si="134"/>
        <v>0</v>
      </c>
      <c r="BN509" s="389">
        <f t="shared" si="135"/>
        <v>0</v>
      </c>
    </row>
    <row r="510" spans="16:66">
      <c r="P510" s="716">
        <v>0</v>
      </c>
      <c r="Q510" s="715">
        <f t="shared" si="119"/>
        <v>0</v>
      </c>
      <c r="R510" s="712">
        <f>IF(P511,_xll.qDateYears(P510,P511,DCCfixed),0)</f>
        <v>0</v>
      </c>
      <c r="S510" s="519">
        <f ca="1"/>
        <v>0</v>
      </c>
      <c r="T510" s="720"/>
      <c r="U510" s="390">
        <f t="shared" si="129"/>
        <v>0</v>
      </c>
      <c r="X510" s="345">
        <v>0</v>
      </c>
      <c r="Y510" s="711">
        <f t="shared" si="120"/>
        <v>0</v>
      </c>
      <c r="Z510" s="712">
        <f>IF(X511,_xll.qDateYears(X510,X511,DCCfloat),0)</f>
        <v>0</v>
      </c>
      <c r="AA510" s="519">
        <f ca="1"/>
        <v>0</v>
      </c>
      <c r="AB510" s="890">
        <f>IF(X510=0,0,         IF(OR(CCY="AUD",CCY="NZD",CCY="GBP"),X510,   _xll.qDateNext(X510,"-2b",,,IF(CCY="EUR","TGT","LON"))))</f>
        <v>0</v>
      </c>
      <c r="AC510" s="879" t="str">
        <v/>
      </c>
      <c r="AD510" s="879" t="str">
        <v/>
      </c>
      <c r="AE510" s="879" t="str">
        <v/>
      </c>
      <c r="AF510" s="879" t="str">
        <v/>
      </c>
      <c r="AG510" s="879" t="str">
        <v/>
      </c>
      <c r="AH510" s="879" t="str">
        <v/>
      </c>
      <c r="AI510" s="879" t="str">
        <v/>
      </c>
      <c r="AJ510" s="879" t="str">
        <v/>
      </c>
      <c r="AK510" s="882">
        <f>IF($X510=0,0,      _xll.qDateNext($X510,AK$12,$AR$11,FRM&lt;&gt;"Calypso",CCY))</f>
        <v>0</v>
      </c>
      <c r="AL510" s="882">
        <f>IF($X510=0,0,      _xll.qDateNext($X510,AL$12,$AR$11,FRM&lt;&gt;"Calypso",CCY))</f>
        <v>0</v>
      </c>
      <c r="AM510" s="882">
        <f>IF($X510=0,0,      _xll.qDateNext($X510,AM$12,$AR$11,FRM&lt;&gt;"Calypso",CCY))</f>
        <v>0</v>
      </c>
      <c r="AN510" s="882">
        <f>IF($X510=0,0,      _xll.qDateNext($X510,AN$12,$AR$11,FRM&lt;&gt;"Calypso",CCY))</f>
        <v>0</v>
      </c>
      <c r="AO510" s="882">
        <f>IF($X510=0,0,      _xll.qDateNext($X510,AO$12,$AR$11,FRM&lt;&gt;"Calypso",CCY))</f>
        <v>0</v>
      </c>
      <c r="AP510" s="882">
        <f>IF($X510=0,0,      _xll.qDateNext($X510,AP$12,$AR$11,FRM&lt;&gt;"Calypso",CCY))</f>
        <v>0</v>
      </c>
      <c r="AQ510" s="882">
        <f>IF($X510=0,0,      _xll.qDateNext($X510,AQ$12,$AR$11,FRM&lt;&gt;"Calypso",CCY))</f>
        <v>0</v>
      </c>
      <c r="AR510" s="882">
        <f>IF($X510=0,0,      _xll.qDateNext($X510,AR$12,$AR$11,FRM&lt;&gt;"Calypso",CCY))</f>
        <v>0</v>
      </c>
      <c r="AS510" s="901">
        <f ca="1"/>
        <v>0</v>
      </c>
      <c r="AT510" s="901">
        <f ca="1"/>
        <v>0</v>
      </c>
      <c r="AU510" s="901">
        <f t="shared" si="130"/>
        <v>0</v>
      </c>
      <c r="AV510" s="901">
        <f ca="1"/>
        <v>0</v>
      </c>
      <c r="AW510" s="901">
        <f t="shared" si="131"/>
        <v>0</v>
      </c>
      <c r="AX510" s="901">
        <f t="shared" si="132"/>
        <v>0</v>
      </c>
      <c r="AY510" s="901">
        <f ca="1"/>
        <v>0</v>
      </c>
      <c r="AZ510" s="901">
        <f ca="1"/>
        <v>0</v>
      </c>
      <c r="BA510" s="905">
        <f t="shared" si="121"/>
        <v>0</v>
      </c>
      <c r="BB510" s="905">
        <f t="shared" si="122"/>
        <v>0</v>
      </c>
      <c r="BC510" s="905">
        <f t="shared" si="123"/>
        <v>0</v>
      </c>
      <c r="BD510" s="905">
        <f t="shared" si="124"/>
        <v>0</v>
      </c>
      <c r="BE510" s="905">
        <f t="shared" si="125"/>
        <v>0</v>
      </c>
      <c r="BF510" s="905">
        <f t="shared" si="126"/>
        <v>0</v>
      </c>
      <c r="BG510" s="905">
        <f t="shared" si="127"/>
        <v>0</v>
      </c>
      <c r="BH510" s="905">
        <f t="shared" si="128"/>
        <v>0</v>
      </c>
      <c r="BI510" s="713">
        <v>0</v>
      </c>
      <c r="BJ510" s="695"/>
      <c r="BK510" s="752">
        <f>IF(X511=0,0,           IF(ISNUMBER(BJ510),BJ510,               IF(ISTEXT(BJ510),INDEX(BA510:BH510,MATCH(BJ510,$BA$12:$BH$12,0)),             IF(BI510="INT",_xll.qInterp(X511,AK510:AR510,BA510:BH510),            INDEX(BA510:BH510,MATCH(BI510,$BA$12:$BH$12,0))))))</f>
        <v>0</v>
      </c>
      <c r="BL510" s="389">
        <f t="shared" si="133"/>
        <v>0</v>
      </c>
      <c r="BM510" s="394">
        <f t="shared" si="134"/>
        <v>0</v>
      </c>
      <c r="BN510" s="389">
        <f t="shared" si="135"/>
        <v>0</v>
      </c>
    </row>
    <row r="511" spans="16:66">
      <c r="P511" s="716">
        <v>0</v>
      </c>
      <c r="Q511" s="715">
        <f t="shared" si="119"/>
        <v>0</v>
      </c>
      <c r="R511" s="712">
        <f>IF(P512,_xll.qDateYears(P511,P512,DCCfixed),0)</f>
        <v>0</v>
      </c>
      <c r="S511" s="519">
        <f ca="1"/>
        <v>0</v>
      </c>
      <c r="T511" s="720"/>
      <c r="U511" s="390">
        <f t="shared" si="129"/>
        <v>0</v>
      </c>
      <c r="X511" s="345">
        <v>0</v>
      </c>
      <c r="Y511" s="711">
        <f t="shared" ref="Y511:Y512" si="136">IF(X512,IF(LEFT(DCCfloat,3)="Act",X512-X511,DAYS360(X511,X512)),0)</f>
        <v>0</v>
      </c>
      <c r="Z511" s="712">
        <f>IF(X512,_xll.qDateYears(X511,X512,DCCfloat),0)</f>
        <v>0</v>
      </c>
      <c r="AA511" s="519">
        <f ca="1"/>
        <v>0</v>
      </c>
      <c r="AB511" s="890">
        <f>IF(X511=0,0,         IF(OR(CCY="AUD",CCY="NZD",CCY="GBP"),X511,   _xll.qDateNext(X511,"-2b",,,IF(CCY="EUR","TGT","LON"))))</f>
        <v>0</v>
      </c>
      <c r="AC511" s="879" t="str">
        <v/>
      </c>
      <c r="AD511" s="879" t="str">
        <v/>
      </c>
      <c r="AE511" s="879" t="str">
        <v/>
      </c>
      <c r="AF511" s="879" t="str">
        <v/>
      </c>
      <c r="AG511" s="879" t="str">
        <v/>
      </c>
      <c r="AH511" s="879" t="str">
        <v/>
      </c>
      <c r="AI511" s="879" t="str">
        <v/>
      </c>
      <c r="AJ511" s="879" t="str">
        <v/>
      </c>
      <c r="AK511" s="882">
        <f>IF($X511=0,0,      _xll.qDateNext($X511,AK$12,$AR$11,FRM&lt;&gt;"Calypso",CCY))</f>
        <v>0</v>
      </c>
      <c r="AL511" s="882">
        <f>IF($X511=0,0,      _xll.qDateNext($X511,AL$12,$AR$11,FRM&lt;&gt;"Calypso",CCY))</f>
        <v>0</v>
      </c>
      <c r="AM511" s="882">
        <f>IF($X511=0,0,      _xll.qDateNext($X511,AM$12,$AR$11,FRM&lt;&gt;"Calypso",CCY))</f>
        <v>0</v>
      </c>
      <c r="AN511" s="882">
        <f>IF($X511=0,0,      _xll.qDateNext($X511,AN$12,$AR$11,FRM&lt;&gt;"Calypso",CCY))</f>
        <v>0</v>
      </c>
      <c r="AO511" s="882">
        <f>IF($X511=0,0,      _xll.qDateNext($X511,AO$12,$AR$11,FRM&lt;&gt;"Calypso",CCY))</f>
        <v>0</v>
      </c>
      <c r="AP511" s="882">
        <f>IF($X511=0,0,      _xll.qDateNext($X511,AP$12,$AR$11,FRM&lt;&gt;"Calypso",CCY))</f>
        <v>0</v>
      </c>
      <c r="AQ511" s="882">
        <f>IF($X511=0,0,      _xll.qDateNext($X511,AQ$12,$AR$11,FRM&lt;&gt;"Calypso",CCY))</f>
        <v>0</v>
      </c>
      <c r="AR511" s="882">
        <f>IF($X511=0,0,      _xll.qDateNext($X511,AR$12,$AR$11,FRM&lt;&gt;"Calypso",CCY))</f>
        <v>0</v>
      </c>
      <c r="AS511" s="901">
        <f ca="1"/>
        <v>0</v>
      </c>
      <c r="AT511" s="901">
        <f ca="1"/>
        <v>0</v>
      </c>
      <c r="AU511" s="901">
        <f t="shared" si="130"/>
        <v>0</v>
      </c>
      <c r="AV511" s="901">
        <f ca="1"/>
        <v>0</v>
      </c>
      <c r="AW511" s="901">
        <f t="shared" si="131"/>
        <v>0</v>
      </c>
      <c r="AX511" s="901">
        <f t="shared" si="132"/>
        <v>0</v>
      </c>
      <c r="AY511" s="901">
        <f ca="1"/>
        <v>0</v>
      </c>
      <c r="AZ511" s="901">
        <f ca="1"/>
        <v>0</v>
      </c>
      <c r="BA511" s="905">
        <f t="shared" si="121"/>
        <v>0</v>
      </c>
      <c r="BB511" s="905">
        <f t="shared" si="122"/>
        <v>0</v>
      </c>
      <c r="BC511" s="905">
        <f t="shared" si="123"/>
        <v>0</v>
      </c>
      <c r="BD511" s="905">
        <f t="shared" si="124"/>
        <v>0</v>
      </c>
      <c r="BE511" s="905">
        <f t="shared" si="125"/>
        <v>0</v>
      </c>
      <c r="BF511" s="905">
        <f t="shared" si="126"/>
        <v>0</v>
      </c>
      <c r="BG511" s="905">
        <f t="shared" si="127"/>
        <v>0</v>
      </c>
      <c r="BH511" s="905">
        <f t="shared" si="128"/>
        <v>0</v>
      </c>
      <c r="BI511" s="713">
        <v>0</v>
      </c>
      <c r="BJ511" s="695"/>
      <c r="BK511" s="752">
        <f>IF(X512=0,0,           IF(ISNUMBER(BJ511),BJ511,               IF(ISTEXT(BJ511),INDEX(BA511:BH511,MATCH(BJ511,$BA$12:$BH$12,0)),             IF(BI511="INT",_xll.qInterp(X512,AK511:AR511,BA511:BH511),            INDEX(BA511:BH511,MATCH(BI511,$BA$12:$BH$12,0))))))</f>
        <v>0</v>
      </c>
      <c r="BL511" s="389">
        <f t="shared" si="133"/>
        <v>0</v>
      </c>
      <c r="BM511" s="394">
        <f t="shared" si="134"/>
        <v>0</v>
      </c>
      <c r="BN511" s="389">
        <f t="shared" si="135"/>
        <v>0</v>
      </c>
    </row>
    <row r="512" spans="16:66">
      <c r="P512" s="716">
        <v>0</v>
      </c>
      <c r="Q512" s="715"/>
      <c r="R512" s="712"/>
      <c r="S512" s="519">
        <f ca="1"/>
        <v>0</v>
      </c>
      <c r="T512" s="720"/>
      <c r="U512" s="390">
        <f t="shared" si="129"/>
        <v>0</v>
      </c>
      <c r="X512" s="345">
        <v>0</v>
      </c>
      <c r="Y512" s="711">
        <f t="shared" si="136"/>
        <v>0</v>
      </c>
      <c r="Z512" s="712">
        <f>IF(X513,_xll.qDateYears(X512,X513,DCCfloat),0)</f>
        <v>0</v>
      </c>
      <c r="AA512" s="519">
        <f ca="1"/>
        <v>0</v>
      </c>
      <c r="AB512" s="890">
        <f>IF(X512=0,0,         IF(OR(CCY="AUD",CCY="NZD",CCY="GBP"),X512,   _xll.qDateNext(X512,"-2b",,,IF(CCY="EUR","TGT","LON"))))</f>
        <v>0</v>
      </c>
      <c r="AC512" s="879" t="str">
        <v/>
      </c>
      <c r="AD512" s="879" t="str">
        <v/>
      </c>
      <c r="AE512" s="879" t="str">
        <v/>
      </c>
      <c r="AF512" s="879" t="str">
        <v/>
      </c>
      <c r="AG512" s="879" t="str">
        <v/>
      </c>
      <c r="AH512" s="879" t="str">
        <v/>
      </c>
      <c r="AI512" s="879" t="str">
        <v/>
      </c>
      <c r="AJ512" s="879" t="str">
        <v/>
      </c>
      <c r="AK512" s="882">
        <f>IF($X512=0,0,      _xll.qDateNext($X512,AK$12,$AR$11,FRM&lt;&gt;"Calypso",CCY))</f>
        <v>0</v>
      </c>
      <c r="AL512" s="882">
        <f>IF($X512=0,0,      _xll.qDateNext($X512,AL$12,$AR$11,FRM&lt;&gt;"Calypso",CCY))</f>
        <v>0</v>
      </c>
      <c r="AM512" s="882">
        <f>IF($X512=0,0,      _xll.qDateNext($X512,AM$12,$AR$11,FRM&lt;&gt;"Calypso",CCY))</f>
        <v>0</v>
      </c>
      <c r="AN512" s="882">
        <f>IF($X512=0,0,      _xll.qDateNext($X512,AN$12,$AR$11,FRM&lt;&gt;"Calypso",CCY))</f>
        <v>0</v>
      </c>
      <c r="AO512" s="882">
        <f>IF($X512=0,0,      _xll.qDateNext($X512,AO$12,$AR$11,FRM&lt;&gt;"Calypso",CCY))</f>
        <v>0</v>
      </c>
      <c r="AP512" s="882">
        <f>IF($X512=0,0,      _xll.qDateNext($X512,AP$12,$AR$11,FRM&lt;&gt;"Calypso",CCY))</f>
        <v>0</v>
      </c>
      <c r="AQ512" s="882">
        <f>IF($X512=0,0,      _xll.qDateNext($X512,AQ$12,$AR$11,FRM&lt;&gt;"Calypso",CCY))</f>
        <v>0</v>
      </c>
      <c r="AR512" s="882">
        <f>IF($X512=0,0,      _xll.qDateNext($X512,AR$12,$AR$11,FRM&lt;&gt;"Calypso",CCY))</f>
        <v>0</v>
      </c>
      <c r="AS512" s="901">
        <f ca="1"/>
        <v>0</v>
      </c>
      <c r="AT512" s="901">
        <f ca="1"/>
        <v>0</v>
      </c>
      <c r="AU512" s="901">
        <f t="shared" si="130"/>
        <v>0</v>
      </c>
      <c r="AV512" s="901">
        <f ca="1"/>
        <v>0</v>
      </c>
      <c r="AW512" s="901"/>
      <c r="AX512" s="901">
        <f t="shared" si="132"/>
        <v>0</v>
      </c>
      <c r="AY512" s="901">
        <f ca="1"/>
        <v>0</v>
      </c>
      <c r="AZ512" s="901">
        <f ca="1"/>
        <v>0</v>
      </c>
      <c r="BA512" s="905">
        <f t="shared" si="121"/>
        <v>0</v>
      </c>
      <c r="BB512" s="905">
        <f t="shared" si="122"/>
        <v>0</v>
      </c>
      <c r="BC512" s="905">
        <f t="shared" si="123"/>
        <v>0</v>
      </c>
      <c r="BD512" s="905">
        <f t="shared" si="124"/>
        <v>0</v>
      </c>
      <c r="BE512" s="905">
        <f t="shared" si="125"/>
        <v>0</v>
      </c>
      <c r="BF512" s="905">
        <f t="shared" si="126"/>
        <v>0</v>
      </c>
      <c r="BG512" s="905">
        <f t="shared" si="127"/>
        <v>0</v>
      </c>
      <c r="BH512" s="905">
        <f t="shared" si="128"/>
        <v>0</v>
      </c>
      <c r="BI512" s="713">
        <v>0</v>
      </c>
      <c r="BJ512" s="695"/>
      <c r="BK512" s="752">
        <f>IF(X513=0,0,           IF(ISNUMBER(BJ512),BJ512,               IF(ISTEXT(BJ512),INDEX(BA512:BH512,MATCH(BJ512,$BA$12:$BH$12,0)),             IF(BI512="INT",_xll.qInterp(X513,AK512:AR512,BA512:BH512),            INDEX(BA512:BH512,MATCH(BI512,$BA$12:$BH$12,0))))))</f>
        <v>0</v>
      </c>
      <c r="BL512" s="389">
        <f t="shared" si="133"/>
        <v>0</v>
      </c>
      <c r="BM512" s="394">
        <f t="shared" si="134"/>
        <v>0</v>
      </c>
      <c r="BN512" s="389">
        <f t="shared" si="135"/>
        <v>0</v>
      </c>
    </row>
  </sheetData>
  <sheetProtection sheet="1" objects="1" scenarios="1" autoFilter="0" pivotTables="0"/>
  <conditionalFormatting sqref="D19">
    <cfRule type="cellIs" dxfId="18" priority="43" operator="notEqual">
      <formula>"M"</formula>
    </cfRule>
  </conditionalFormatting>
  <conditionalFormatting sqref="BL7">
    <cfRule type="expression" dxfId="17" priority="26">
      <formula>ISNUMBER(DesiredFixedRate)</formula>
    </cfRule>
    <cfRule type="expression" dxfId="16" priority="42">
      <formula>AND($BL$7&lt;&gt;"0bp",$BL$7&lt;&gt;0)</formula>
    </cfRule>
  </conditionalFormatting>
  <conditionalFormatting sqref="D40 F19">
    <cfRule type="cellIs" dxfId="15" priority="41" operator="notEqual">
      <formula>TRUE</formula>
    </cfRule>
  </conditionalFormatting>
  <conditionalFormatting sqref="D29 F29">
    <cfRule type="cellIs" dxfId="14" priority="40" operator="notEqual">
      <formula>"S/S"</formula>
    </cfRule>
  </conditionalFormatting>
  <conditionalFormatting sqref="BJ13:BJ512 D21 D17 T5 T13:T512">
    <cfRule type="cellIs" dxfId="13" priority="39" operator="notEqual">
      <formula>""</formula>
    </cfRule>
  </conditionalFormatting>
  <conditionalFormatting sqref="F27">
    <cfRule type="expression" dxfId="12" priority="33">
      <formula>AND(CCY="USD",DCCfloat&lt;&gt;"Act/360")</formula>
    </cfRule>
    <cfRule type="expression" dxfId="11" priority="34">
      <formula>AND(CCY="AUD",DCCfloat&lt;&gt;"Act/365")</formula>
    </cfRule>
  </conditionalFormatting>
  <conditionalFormatting sqref="F25">
    <cfRule type="expression" dxfId="10" priority="31">
      <formula>AND(CCY="AUD",Yrs&gt;3.5,FreqFloat&lt;&gt;"6M")</formula>
    </cfRule>
    <cfRule type="expression" dxfId="9" priority="32">
      <formula>AND(CCY="AUD",Yrs&lt;3.5,FreqFloat&lt;&gt;"3M")</formula>
    </cfRule>
  </conditionalFormatting>
  <conditionalFormatting sqref="D34">
    <cfRule type="cellIs" dxfId="8" priority="30" operator="notEqual">
      <formula>0</formula>
    </cfRule>
  </conditionalFormatting>
  <conditionalFormatting sqref="D38">
    <cfRule type="cellIs" dxfId="7" priority="29" operator="notEqual">
      <formula>7</formula>
    </cfRule>
  </conditionalFormatting>
  <conditionalFormatting sqref="P13:U512">
    <cfRule type="expression" dxfId="6" priority="3" stopIfTrue="1">
      <formula>$P13=0</formula>
    </cfRule>
    <cfRule type="expression" dxfId="5" priority="11" stopIfTrue="1">
      <formula>$P13&lt;Today</formula>
    </cfRule>
  </conditionalFormatting>
  <conditionalFormatting sqref="X13:BN512">
    <cfRule type="expression" dxfId="4" priority="1" stopIfTrue="1">
      <formula>$X13=0</formula>
    </cfRule>
  </conditionalFormatting>
  <conditionalFormatting sqref="X13:AA512">
    <cfRule type="expression" dxfId="3" priority="6" stopIfTrue="1">
      <formula>$X13&lt;Today</formula>
    </cfRule>
  </conditionalFormatting>
  <conditionalFormatting sqref="BK13:BN512 BI13:BI512">
    <cfRule type="expression" dxfId="2" priority="5" stopIfTrue="1">
      <formula>$X13&lt;Today</formula>
    </cfRule>
  </conditionalFormatting>
  <conditionalFormatting sqref="BK13:BK512">
    <cfRule type="expression" dxfId="1" priority="4" stopIfTrue="1">
      <formula>OR($BI13="INT",$BJ13&lt;&gt;"")</formula>
    </cfRule>
  </conditionalFormatting>
  <conditionalFormatting sqref="BA13:BH512">
    <cfRule type="expression" dxfId="0" priority="2" stopIfTrue="1">
      <formula>ISNUMBER(AC13)</formula>
    </cfRule>
  </conditionalFormatting>
  <dataValidations xWindow="271" yWindow="311" count="12">
    <dataValidation type="custom" allowBlank="1" showErrorMessage="1" sqref="BL7">
      <formula1>OR(ISNUMBER(BL7),RIGHT(BL7,2)="bp")</formula1>
    </dataValidation>
    <dataValidation type="list" allowBlank="1" showErrorMessage="1" sqref="D36">
      <formula1>"ON,OFF,CALYPSO"</formula1>
    </dataValidation>
    <dataValidation type="list" allowBlank="1" showInputMessage="1" showErrorMessage="1" sqref="D40">
      <formula1>"TRUE,FALSE"</formula1>
    </dataValidation>
    <dataValidation type="list" allowBlank="1" showErrorMessage="1" sqref="F29 D29">
      <formula1>"S/S,L/S,S/L,L/L"</formula1>
    </dataValidation>
    <dataValidation type="list" allowBlank="1" showInputMessage="1" showErrorMessage="1" sqref="F27">
      <formula1>"Act/365,Act/360,30/360"</formula1>
    </dataValidation>
    <dataValidation type="list" allowBlank="1" showInputMessage="1" showErrorMessage="1" sqref="F25">
      <formula1>"1M,3M,6M,12M"</formula1>
    </dataValidation>
    <dataValidation type="list" allowBlank="1" showInputMessage="1" showErrorMessage="1" sqref="D25">
      <formula1>"1M,3M,6M,12M,18M"</formula1>
    </dataValidation>
    <dataValidation type="list" allowBlank="1" showErrorMessage="1" sqref="F19">
      <formula1>"TRUE,FALSE"</formula1>
    </dataValidation>
    <dataValidation type="list" allowBlank="1" showErrorMessage="1" sqref="D19">
      <formula1>"M,F,P,N,MS,MP"</formula1>
    </dataValidation>
    <dataValidation type="decimal" operator="notEqual" showErrorMessage="1" sqref="D10">
      <formula1>0</formula1>
    </dataValidation>
    <dataValidation type="list" allowBlank="1" showInputMessage="1" showErrorMessage="1" sqref="D8">
      <formula1>"Zero Bank,Local OIS,Fed Funds,EONIA,SONIA,NAB COF"</formula1>
    </dataValidation>
    <dataValidation type="list" allowBlank="1" showInputMessage="1" showErrorMessage="1" sqref="D27">
      <formula1>"Act/365,Act/360,30/360,1/1,1/2,1/4,1/12"</formula1>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tSTR">
    <tabColor rgb="FF000000"/>
    <outlinePr showOutlineSymbols="0"/>
  </sheetPr>
  <dimension ref="A1:EI517"/>
  <sheetViews>
    <sheetView showGridLines="0" showRowColHeaders="0" showZeros="0" showOutlineSymbols="0" topLeftCell="N1" zoomScaleNormal="100" workbookViewId="0">
      <selection activeCell="DF32" sqref="DF32"/>
    </sheetView>
  </sheetViews>
  <sheetFormatPr defaultRowHeight="12.75" outlineLevelCol="2"/>
  <cols>
    <col min="1" max="1" width="2.7109375" style="149" hidden="1" customWidth="1" outlineLevel="2"/>
    <col min="2" max="2" width="11.28515625" style="149" hidden="1" customWidth="1" outlineLevel="2"/>
    <col min="3" max="3" width="9.85546875" style="150" hidden="1" customWidth="1" outlineLevel="2"/>
    <col min="4" max="5" width="9.140625" style="149" hidden="1" customWidth="1" outlineLevel="2"/>
    <col min="6" max="6" width="9.140625" style="150" hidden="1" customWidth="1" outlineLevel="2"/>
    <col min="7" max="7" width="9.140625" style="149" hidden="1" customWidth="1" outlineLevel="2"/>
    <col min="8" max="8" width="11.140625" style="149" hidden="1" customWidth="1" outlineLevel="2"/>
    <col min="9" max="9" width="5.7109375" style="149" hidden="1" customWidth="1" outlineLevel="2"/>
    <col min="10" max="12" width="9.140625" style="149" hidden="1" customWidth="1" outlineLevel="2"/>
    <col min="13" max="13" width="2.7109375" style="149" hidden="1" customWidth="1" outlineLevel="2"/>
    <col min="14" max="14" width="3.7109375" customWidth="1" collapsed="1"/>
    <col min="15" max="15" width="9.7109375" style="121" customWidth="1"/>
    <col min="16" max="16" width="5.7109375" style="316" customWidth="1"/>
    <col min="17" max="17" width="6.7109375" style="125" hidden="1" customWidth="1" outlineLevel="1"/>
    <col min="18" max="18" width="5.7109375" style="626" hidden="1" customWidth="1" outlineLevel="1"/>
    <col min="19" max="26" width="5.7109375" style="679" hidden="1" customWidth="1" outlineLevel="2"/>
    <col min="27" max="34" width="5.7109375" style="626" hidden="1" customWidth="1" outlineLevel="1"/>
    <col min="35" max="42" width="5.7109375" style="619" hidden="1" customWidth="1" outlineLevel="2"/>
    <col min="43" max="50" width="5.7109375" style="619" hidden="1" customWidth="1" outlineLevel="1"/>
    <col min="51" max="51" width="4.28515625" style="619" hidden="1" customWidth="1" outlineLevel="1"/>
    <col min="52" max="52" width="5.7109375" style="128" customWidth="1" collapsed="1"/>
    <col min="53" max="53" width="5.7109375" style="128" customWidth="1"/>
    <col min="54" max="54" width="6.7109375" style="127" customWidth="1"/>
    <col min="55" max="55" width="12.28515625" style="666" hidden="1" customWidth="1" outlineLevel="2"/>
    <col min="56" max="57" width="9.42578125" style="268" hidden="1" customWidth="1" outlineLevel="2"/>
    <col min="58" max="58" width="0.85546875" customWidth="1" collapsed="1"/>
    <col min="59" max="59" width="11.7109375" style="324" customWidth="1"/>
    <col min="60" max="61" width="11.7109375" style="353" customWidth="1"/>
    <col min="62" max="62" width="0.85546875" style="324" customWidth="1"/>
    <col min="63" max="63" width="11.7109375" style="324" customWidth="1"/>
    <col min="64" max="65" width="2.7109375" customWidth="1"/>
    <col min="66" max="66" width="9.7109375" style="121" customWidth="1"/>
    <col min="67" max="67" width="5.7109375" customWidth="1"/>
    <col min="68" max="68" width="6.7109375" style="339" hidden="1" customWidth="1" outlineLevel="1"/>
    <col min="69" max="69" width="5.7109375" style="867" hidden="1" customWidth="1" outlineLevel="1"/>
    <col min="70" max="77" width="5.7109375" style="649" hidden="1" customWidth="1" outlineLevel="2"/>
    <col min="78" max="85" width="5.7109375" style="649" hidden="1" customWidth="1" outlineLevel="1"/>
    <col min="86" max="93" width="5.7109375" style="649" hidden="1" customWidth="1" outlineLevel="2"/>
    <col min="94" max="102" width="5.7109375" style="649" hidden="1" customWidth="1" outlineLevel="1"/>
    <col min="103" max="103" width="5.7109375" style="649" customWidth="1" collapsed="1"/>
    <col min="104" max="104" width="5.7109375" style="125" customWidth="1"/>
    <col min="105" max="105" width="6.7109375" style="127" customWidth="1"/>
    <col min="106" max="106" width="13.42578125" style="387" hidden="1" customWidth="1" outlineLevel="1"/>
    <col min="107" max="108" width="10.140625" style="268" hidden="1" customWidth="1" outlineLevel="1"/>
    <col min="109" max="109" width="0.85546875" customWidth="1" collapsed="1"/>
    <col min="110" max="110" width="11.7109375" style="324" customWidth="1"/>
    <col min="111" max="112" width="11.7109375" style="353" customWidth="1"/>
    <col min="113" max="113" width="0.85546875" style="327" customWidth="1"/>
    <col min="114" max="114" width="11.7109375" style="324" customWidth="1"/>
    <col min="115" max="115" width="5.7109375" customWidth="1"/>
    <col min="116" max="119" width="9.140625" style="407"/>
    <col min="124" max="124" width="3.7109375" customWidth="1"/>
    <col min="125" max="125" width="18.7109375" customWidth="1"/>
    <col min="126" max="126" width="9.140625" style="120" customWidth="1"/>
    <col min="129" max="129" width="3.140625" customWidth="1"/>
    <col min="130" max="130" width="7.85546875" customWidth="1"/>
  </cols>
  <sheetData>
    <row r="1" spans="1:139" ht="0.95" customHeight="1"/>
    <row r="2" spans="1:139" ht="24.95" customHeight="1">
      <c r="B2" s="191" t="s">
        <v>100</v>
      </c>
      <c r="C2" s="314"/>
      <c r="D2" s="191"/>
      <c r="E2" s="191"/>
      <c r="F2" s="314"/>
      <c r="G2" s="191"/>
      <c r="H2" s="191"/>
      <c r="I2" s="191"/>
      <c r="J2" s="191"/>
      <c r="K2" s="191"/>
      <c r="L2" s="191"/>
      <c r="O2" s="133" t="s">
        <v>235</v>
      </c>
      <c r="P2" s="317"/>
      <c r="Q2" s="131"/>
      <c r="R2" s="627"/>
      <c r="S2" s="680"/>
      <c r="T2" s="680"/>
      <c r="U2" s="680"/>
      <c r="V2" s="680"/>
      <c r="W2" s="680"/>
      <c r="X2" s="680"/>
      <c r="Y2" s="680"/>
      <c r="Z2" s="680"/>
      <c r="AA2" s="627"/>
      <c r="AB2" s="627"/>
      <c r="AC2" s="627"/>
      <c r="AD2" s="627"/>
      <c r="AE2" s="627"/>
      <c r="AF2" s="627"/>
      <c r="AG2" s="627"/>
      <c r="AH2" s="627"/>
      <c r="AI2" s="620"/>
      <c r="AJ2" s="620"/>
      <c r="AK2" s="620"/>
      <c r="AL2" s="620"/>
      <c r="AM2" s="620"/>
      <c r="AN2" s="620"/>
      <c r="AO2" s="620"/>
      <c r="AP2" s="620"/>
      <c r="AQ2" s="620"/>
      <c r="AR2" s="620"/>
      <c r="AS2" s="620"/>
      <c r="AT2" s="620"/>
      <c r="AU2" s="620"/>
      <c r="AV2" s="620"/>
      <c r="AW2" s="620"/>
      <c r="AX2" s="620"/>
      <c r="AY2" s="620"/>
      <c r="AZ2" s="48"/>
      <c r="BA2" s="48"/>
      <c r="BB2" s="47"/>
      <c r="BC2" s="667"/>
      <c r="BD2" s="321"/>
      <c r="BE2" s="321"/>
      <c r="BF2" s="46"/>
      <c r="BG2" s="325"/>
      <c r="BH2" s="354"/>
      <c r="BI2" s="354"/>
      <c r="BJ2" s="325"/>
      <c r="BK2" s="325"/>
      <c r="BL2" s="46"/>
      <c r="BM2" s="46"/>
      <c r="BN2" s="133"/>
      <c r="BO2" s="46"/>
      <c r="BP2" s="340"/>
      <c r="BQ2" s="868"/>
      <c r="BR2" s="650"/>
      <c r="BS2" s="650"/>
      <c r="BT2" s="650"/>
      <c r="BU2" s="650"/>
      <c r="BV2" s="650"/>
      <c r="BW2" s="650"/>
      <c r="BX2" s="650"/>
      <c r="BY2" s="650"/>
      <c r="BZ2" s="650"/>
      <c r="CA2" s="650"/>
      <c r="CB2" s="650"/>
      <c r="CC2" s="650"/>
      <c r="CD2" s="650"/>
      <c r="CE2" s="650"/>
      <c r="CF2" s="650"/>
      <c r="CG2" s="650"/>
      <c r="CH2" s="650"/>
      <c r="CI2" s="650"/>
      <c r="CJ2" s="650"/>
      <c r="CK2" s="650"/>
      <c r="CL2" s="650"/>
      <c r="CM2" s="650"/>
      <c r="CN2" s="650"/>
      <c r="CO2" s="650"/>
      <c r="CP2" s="650"/>
      <c r="CQ2" s="650"/>
      <c r="CR2" s="650"/>
      <c r="CS2" s="650"/>
      <c r="CT2" s="650"/>
      <c r="CU2" s="650"/>
      <c r="CV2" s="650"/>
      <c r="CW2" s="650"/>
      <c r="CX2" s="650"/>
      <c r="CY2" s="650"/>
      <c r="CZ2" s="131"/>
      <c r="DA2" s="47"/>
      <c r="DB2" s="662"/>
      <c r="DC2" s="321"/>
      <c r="DD2" s="321"/>
      <c r="DE2" s="46"/>
      <c r="DF2" s="325"/>
      <c r="DG2" s="354"/>
      <c r="DH2" s="354"/>
      <c r="DI2" s="328"/>
      <c r="DJ2" s="325"/>
      <c r="DK2" s="46"/>
      <c r="DU2" s="46" t="s">
        <v>629</v>
      </c>
      <c r="DV2" s="542"/>
      <c r="DW2" s="46"/>
      <c r="DX2" s="46"/>
      <c r="DY2" s="46"/>
      <c r="DZ2" s="46"/>
      <c r="EA2" s="46"/>
      <c r="EB2" s="46"/>
      <c r="EC2" s="46"/>
      <c r="ED2" s="46"/>
      <c r="EE2" s="46"/>
      <c r="EF2" s="46"/>
      <c r="EG2" s="46"/>
      <c r="EH2" s="46"/>
      <c r="EI2" s="46"/>
    </row>
    <row r="4" spans="1:139">
      <c r="B4" s="267" t="s">
        <v>743</v>
      </c>
      <c r="C4" s="435" t="b">
        <f>Currency1=Currency2</f>
        <v>1</v>
      </c>
      <c r="H4" s="149" t="s">
        <v>301</v>
      </c>
      <c r="O4" s="318" t="s">
        <v>233</v>
      </c>
      <c r="BA4" s="636" t="s">
        <v>310</v>
      </c>
      <c r="BB4" s="352"/>
      <c r="BF4" s="344"/>
      <c r="BG4" s="334"/>
      <c r="BI4" s="355"/>
      <c r="BJ4" s="334"/>
      <c r="BK4" s="343" t="str">
        <f>"PV in " &amp; Currency1</f>
        <v>PV in AUD</v>
      </c>
      <c r="BL4" s="344"/>
      <c r="BM4" s="344"/>
      <c r="BN4" s="345"/>
      <c r="BO4" s="344"/>
      <c r="BP4" s="346"/>
      <c r="BQ4" s="869"/>
      <c r="BR4" s="651"/>
      <c r="BS4" s="651"/>
      <c r="BT4" s="651"/>
      <c r="BU4" s="651"/>
      <c r="BV4" s="651"/>
      <c r="BW4" s="651"/>
      <c r="BX4" s="651"/>
      <c r="BY4" s="651"/>
      <c r="BZ4" s="651"/>
      <c r="CA4" s="651"/>
      <c r="CB4" s="651"/>
      <c r="CC4" s="651"/>
      <c r="CD4" s="651"/>
      <c r="CE4" s="651"/>
      <c r="CF4" s="651"/>
      <c r="CG4" s="651"/>
      <c r="CH4" s="651"/>
      <c r="CI4" s="651"/>
      <c r="CJ4" s="651"/>
      <c r="CK4" s="651"/>
      <c r="CL4" s="651"/>
      <c r="CM4" s="651"/>
      <c r="CN4" s="651"/>
      <c r="CO4" s="651"/>
      <c r="CP4" s="651"/>
      <c r="CQ4" s="651"/>
      <c r="CR4" s="651"/>
      <c r="CS4" s="651"/>
      <c r="CT4" s="651"/>
      <c r="CU4" s="651"/>
      <c r="CV4" s="651"/>
      <c r="CW4" s="651"/>
      <c r="CX4" s="651"/>
      <c r="CY4" s="651"/>
      <c r="DF4" s="329" t="s">
        <v>354</v>
      </c>
      <c r="DG4" s="329" t="s">
        <v>299</v>
      </c>
      <c r="DU4" t="s">
        <v>135</v>
      </c>
      <c r="DV4" s="119" t="b">
        <v>0</v>
      </c>
      <c r="DZ4" t="s">
        <v>632</v>
      </c>
    </row>
    <row r="5" spans="1:139">
      <c r="B5" s="267" t="s">
        <v>744</v>
      </c>
      <c r="C5" s="435" t="b">
        <f>NOT(C4)</f>
        <v>0</v>
      </c>
      <c r="H5" s="149" t="s">
        <v>302</v>
      </c>
      <c r="J5" s="206">
        <f>IF(ISTEXT(BO5),LEFT(BO5,LEN(BO5)-2)*DF5,BO5+0)</f>
        <v>0</v>
      </c>
      <c r="O5" s="122" t="s">
        <v>127</v>
      </c>
      <c r="P5" s="337" t="s">
        <v>231</v>
      </c>
      <c r="BA5" s="637">
        <f t="array" ref="BA5:BA7">_xll.qArraySort(B36:F49,5,FALSE)</f>
        <v>0</v>
      </c>
      <c r="BB5" s="151"/>
      <c r="BF5" s="149"/>
      <c r="BG5" s="333"/>
      <c r="BI5" s="768" t="s">
        <v>789</v>
      </c>
      <c r="BJ5" s="334"/>
      <c r="BK5" s="347">
        <f>BK15</f>
        <v>0</v>
      </c>
      <c r="BL5" s="944" t="str">
        <f>IF(ABS(BK5/DF5)&gt;=100,TEXT(BK5/DF5,"0"),TEXT(BK5/DF5,"0.0"))</f>
        <v>0.0</v>
      </c>
      <c r="BM5" s="944"/>
      <c r="BN5" s="348" t="s">
        <v>291</v>
      </c>
      <c r="BO5" s="313"/>
      <c r="BP5" s="346"/>
      <c r="BQ5" s="869"/>
      <c r="BR5" s="651"/>
      <c r="BS5" s="651"/>
      <c r="BT5" s="651"/>
      <c r="BU5" s="651"/>
      <c r="BV5" s="651"/>
      <c r="BW5" s="651"/>
      <c r="BX5" s="651"/>
      <c r="BY5" s="651"/>
      <c r="BZ5" s="651"/>
      <c r="CA5" s="651"/>
      <c r="CB5" s="651"/>
      <c r="CC5" s="651"/>
      <c r="CD5" s="651"/>
      <c r="CE5" s="651"/>
      <c r="CF5" s="651"/>
      <c r="CG5" s="651"/>
      <c r="CH5" s="651"/>
      <c r="CI5" s="651"/>
      <c r="CJ5" s="651"/>
      <c r="CK5" s="651"/>
      <c r="CL5" s="651"/>
      <c r="CM5" s="651"/>
      <c r="CN5" s="651"/>
      <c r="CO5" s="651"/>
      <c r="CP5" s="651"/>
      <c r="CQ5" s="651"/>
      <c r="CR5" s="651"/>
      <c r="CS5" s="651"/>
      <c r="CT5" s="651"/>
      <c r="CU5" s="651"/>
      <c r="CV5" s="651"/>
      <c r="CW5" s="651"/>
      <c r="CX5" s="651"/>
      <c r="CY5" s="651"/>
      <c r="DF5" s="324">
        <f>IF(DF4="PV01 (Float)",SUMPRODUCT(Q19:Q517,FACE1,FloatYrs1)*100,            IF(DF4="PV01 (Fixed)",SUMPRODUCT(Q19:Q517,FACE1,FixedYrs1)*100,   0))</f>
        <v>27722.588898395315</v>
      </c>
      <c r="DG5" s="324" t="s">
        <v>300</v>
      </c>
      <c r="DU5" s="407"/>
      <c r="DV5" s="139"/>
    </row>
    <row r="6" spans="1:139">
      <c r="B6" s="267"/>
      <c r="C6" s="435"/>
      <c r="H6" s="149" t="s">
        <v>303</v>
      </c>
      <c r="J6" s="206">
        <f>IF(ISTEXT(BO6),LEFT(BO6,LEN(BO6)-2)*DF6,BO6+0)</f>
        <v>0</v>
      </c>
      <c r="O6" s="122" t="s">
        <v>7</v>
      </c>
      <c r="P6" s="337" t="s">
        <v>232</v>
      </c>
      <c r="BA6" s="637">
        <v>0</v>
      </c>
      <c r="BB6" s="151"/>
      <c r="BF6" s="149"/>
      <c r="BG6" s="333"/>
      <c r="BI6" s="769" t="s">
        <v>790</v>
      </c>
      <c r="BJ6" s="349"/>
      <c r="BK6" s="350">
        <f>DJ15/FX</f>
        <v>0</v>
      </c>
      <c r="BL6" s="945" t="str">
        <f>IF(ABS(BK6/DF6)&gt;=100,TEXT(BK6/DF6,"0"),TEXT(BK6/DF6,"0.0"))</f>
        <v>0.0</v>
      </c>
      <c r="BM6" s="945"/>
      <c r="BN6" s="351" t="s">
        <v>291</v>
      </c>
      <c r="BO6" s="319"/>
      <c r="BP6" s="346"/>
      <c r="BQ6" s="869"/>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DF6" s="432">
        <f>IF(DF4="PV01 (Float)",SUMPRODUCT(BP19:BP517,FACE2,FloatYrs2)*100,            IF(DF4="PV01 (Fixed)",SUMPRODUCT(BP19:BP517,FACE2,FixedYrs2)*100,   0))</f>
        <v>27722.588898395315</v>
      </c>
      <c r="DG6" s="432" t="s">
        <v>300</v>
      </c>
      <c r="DU6" s="407" t="s">
        <v>646</v>
      </c>
      <c r="DV6" s="530">
        <v>7</v>
      </c>
      <c r="DW6" s="407"/>
      <c r="DX6" s="407"/>
      <c r="DY6" s="407"/>
      <c r="DZ6" s="407" t="s">
        <v>635</v>
      </c>
      <c r="EA6" s="407"/>
      <c r="EB6" s="407"/>
      <c r="EC6" s="407"/>
      <c r="ED6" s="407"/>
      <c r="EE6" s="407"/>
      <c r="EF6" s="407"/>
      <c r="EG6" s="407"/>
      <c r="EH6" s="407"/>
      <c r="EI6" s="407"/>
    </row>
    <row r="7" spans="1:139">
      <c r="B7" s="149" t="s">
        <v>787</v>
      </c>
      <c r="C7" s="150">
        <f>IF(IRS?,1,         ufxconvert(1,Currency1,Currency2,FXccys,FXspots))</f>
        <v>1</v>
      </c>
      <c r="E7" s="149" t="s">
        <v>485</v>
      </c>
      <c r="F7" s="119"/>
      <c r="H7" s="149" t="s">
        <v>304</v>
      </c>
      <c r="J7" s="206">
        <f>IF(ISTEXT(BO7),LEFT(BO7,LEN(BO7)-2)*BP7,BO7+0)</f>
        <v>0</v>
      </c>
      <c r="O7" s="122"/>
      <c r="P7" s="337" t="s">
        <v>247</v>
      </c>
      <c r="BA7" s="637">
        <v>0</v>
      </c>
      <c r="BB7" s="151"/>
      <c r="BF7" s="149"/>
      <c r="BG7" s="333"/>
      <c r="BI7" s="768" t="s">
        <v>791</v>
      </c>
      <c r="BJ7" s="334"/>
      <c r="BK7" s="347">
        <f>BK6+BK5</f>
        <v>0</v>
      </c>
      <c r="BL7" s="946"/>
      <c r="BM7" s="946"/>
      <c r="BN7" s="348"/>
      <c r="BO7" s="313"/>
      <c r="BP7" s="346"/>
      <c r="BQ7" s="869"/>
      <c r="BR7" s="651"/>
      <c r="BS7" s="651"/>
      <c r="BT7" s="651"/>
      <c r="BU7" s="651"/>
      <c r="BV7" s="651"/>
      <c r="BW7" s="651"/>
      <c r="BX7" s="651"/>
      <c r="BY7" s="651"/>
      <c r="BZ7" s="651"/>
      <c r="CA7" s="651"/>
      <c r="CB7" s="651"/>
      <c r="CC7" s="651"/>
      <c r="CD7" s="651"/>
      <c r="CE7" s="651"/>
      <c r="CF7" s="651"/>
      <c r="CG7" s="651"/>
      <c r="CH7" s="651"/>
      <c r="CI7" s="651"/>
      <c r="CJ7" s="651"/>
      <c r="CK7" s="651"/>
      <c r="CL7" s="651"/>
      <c r="CM7" s="651"/>
      <c r="CN7" s="651"/>
      <c r="CO7" s="651"/>
      <c r="CP7" s="651"/>
      <c r="CQ7" s="651"/>
      <c r="CR7" s="651"/>
      <c r="CS7" s="651"/>
      <c r="CT7" s="651"/>
      <c r="CU7" s="651"/>
      <c r="CV7" s="651"/>
      <c r="CW7" s="651"/>
      <c r="CX7" s="651"/>
      <c r="CY7" s="651"/>
      <c r="DF7" s="432"/>
      <c r="DG7" s="432"/>
      <c r="DU7" s="407"/>
      <c r="DV7" s="139"/>
      <c r="DW7" s="407"/>
      <c r="DX7" s="407"/>
      <c r="DY7" s="407"/>
      <c r="DZ7" s="407"/>
      <c r="EA7" s="407"/>
      <c r="EB7" s="407"/>
      <c r="EC7" s="407"/>
      <c r="ED7" s="407"/>
      <c r="EE7" s="407"/>
      <c r="EF7" s="407"/>
      <c r="EG7" s="407"/>
      <c r="EH7" s="407"/>
      <c r="EI7" s="407"/>
    </row>
    <row r="8" spans="1:139" s="407" customFormat="1">
      <c r="A8" s="267"/>
      <c r="B8" s="149" t="s">
        <v>788</v>
      </c>
      <c r="C8" s="150">
        <f>IF(ISNUMBER(FaceFX_Input),FaceFX_Input,FX)</f>
        <v>1</v>
      </c>
      <c r="D8" s="267"/>
      <c r="E8" s="267" t="s">
        <v>486</v>
      </c>
      <c r="F8" s="530"/>
      <c r="G8" s="267"/>
      <c r="H8" s="267"/>
      <c r="I8" s="267"/>
      <c r="J8" s="267"/>
      <c r="K8" s="267"/>
      <c r="L8" s="267"/>
      <c r="M8" s="267"/>
      <c r="O8" s="142"/>
      <c r="P8" s="424"/>
      <c r="Q8" s="140"/>
      <c r="R8" s="628"/>
      <c r="S8" s="717"/>
      <c r="T8" s="717"/>
      <c r="U8" s="717"/>
      <c r="V8" s="717"/>
      <c r="W8" s="717"/>
      <c r="X8" s="717"/>
      <c r="Y8" s="717"/>
      <c r="Z8" s="717"/>
      <c r="AA8" s="628"/>
      <c r="AB8" s="628"/>
      <c r="AC8" s="628"/>
      <c r="AD8" s="628"/>
      <c r="AE8" s="628"/>
      <c r="AF8" s="628"/>
      <c r="AG8" s="628"/>
      <c r="AH8" s="628"/>
      <c r="AI8" s="621"/>
      <c r="AJ8" s="621"/>
      <c r="AK8" s="621"/>
      <c r="AL8" s="621"/>
      <c r="AM8" s="621"/>
      <c r="AN8" s="621"/>
      <c r="AO8" s="621"/>
      <c r="AP8" s="621"/>
      <c r="AQ8" s="621"/>
      <c r="AR8" s="621"/>
      <c r="AS8" s="621"/>
      <c r="AT8" s="621"/>
      <c r="AU8" s="621"/>
      <c r="AV8" s="621"/>
      <c r="AW8" s="621"/>
      <c r="AX8" s="621"/>
      <c r="AY8" s="621"/>
      <c r="AZ8" s="611"/>
      <c r="BA8" s="638"/>
      <c r="BB8" s="425"/>
      <c r="BC8" s="668"/>
      <c r="BD8" s="426"/>
      <c r="BE8" s="426"/>
      <c r="BF8" s="427"/>
      <c r="BG8" s="428"/>
      <c r="BH8" s="429"/>
      <c r="BI8" s="770" t="str">
        <f>IF(XCS?,"Mkt "&amp;Currency1&amp;"/"&amp;Currency2,"")</f>
        <v/>
      </c>
      <c r="BJ8" s="428"/>
      <c r="BK8" s="767" t="str">
        <f>IF(XCS?,FX,"")</f>
        <v/>
      </c>
      <c r="BL8" s="166"/>
      <c r="BM8" s="166"/>
      <c r="BN8" s="430"/>
      <c r="BO8" s="427"/>
      <c r="BP8" s="431"/>
      <c r="BQ8" s="870"/>
      <c r="BR8" s="652"/>
      <c r="BS8" s="652"/>
      <c r="BT8" s="652"/>
      <c r="BU8" s="652"/>
      <c r="BV8" s="652"/>
      <c r="BW8" s="652"/>
      <c r="BX8" s="652"/>
      <c r="BY8" s="652"/>
      <c r="BZ8" s="652"/>
      <c r="CA8" s="652"/>
      <c r="CB8" s="652"/>
      <c r="CC8" s="652"/>
      <c r="CD8" s="652"/>
      <c r="CE8" s="652"/>
      <c r="CF8" s="652"/>
      <c r="CG8" s="652"/>
      <c r="CH8" s="652"/>
      <c r="CI8" s="652"/>
      <c r="CJ8" s="652"/>
      <c r="CK8" s="652"/>
      <c r="CL8" s="652"/>
      <c r="CM8" s="652"/>
      <c r="CN8" s="652"/>
      <c r="CO8" s="652"/>
      <c r="CP8" s="652"/>
      <c r="CQ8" s="652"/>
      <c r="CR8" s="652"/>
      <c r="CS8" s="652"/>
      <c r="CT8" s="652"/>
      <c r="CU8" s="652"/>
      <c r="CV8" s="652"/>
      <c r="CW8" s="652"/>
      <c r="CX8" s="652"/>
      <c r="CY8" s="652"/>
      <c r="CZ8" s="140"/>
      <c r="DA8" s="753"/>
      <c r="DB8" s="663"/>
      <c r="DC8" s="426"/>
      <c r="DD8" s="426"/>
      <c r="DF8" s="432"/>
      <c r="DG8" s="433"/>
      <c r="DH8" s="433"/>
      <c r="DI8" s="434"/>
      <c r="DJ8" s="432"/>
      <c r="DU8" t="s">
        <v>377</v>
      </c>
      <c r="DV8" s="947"/>
      <c r="DW8" s="947"/>
      <c r="DX8" s="947"/>
      <c r="DY8"/>
      <c r="DZ8" t="s">
        <v>782</v>
      </c>
      <c r="EA8"/>
      <c r="EB8"/>
      <c r="EC8"/>
      <c r="ED8"/>
      <c r="EE8"/>
      <c r="EF8"/>
      <c r="EG8"/>
      <c r="EH8"/>
      <c r="EI8"/>
    </row>
    <row r="9" spans="1:139" s="407" customFormat="1" ht="13.5" thickBot="1">
      <c r="A9" s="267"/>
      <c r="B9" s="267"/>
      <c r="C9" s="435"/>
      <c r="D9" s="267"/>
      <c r="E9" s="267"/>
      <c r="F9" s="435"/>
      <c r="G9" s="267"/>
      <c r="H9" s="267"/>
      <c r="I9" s="267"/>
      <c r="J9" s="267"/>
      <c r="K9" s="267"/>
      <c r="L9" s="267"/>
      <c r="M9" s="267"/>
      <c r="N9" s="408"/>
      <c r="O9" s="408"/>
      <c r="P9" s="409"/>
      <c r="Q9" s="410"/>
      <c r="R9" s="629"/>
      <c r="S9" s="907"/>
      <c r="T9" s="907"/>
      <c r="U9" s="907"/>
      <c r="V9" s="907"/>
      <c r="W9" s="907"/>
      <c r="X9" s="907"/>
      <c r="Y9" s="907"/>
      <c r="Z9" s="907"/>
      <c r="AA9" s="629"/>
      <c r="AB9" s="629"/>
      <c r="AC9" s="629"/>
      <c r="AD9" s="629"/>
      <c r="AE9" s="629"/>
      <c r="AF9" s="629"/>
      <c r="AG9" s="629"/>
      <c r="AH9" s="629"/>
      <c r="AI9" s="622"/>
      <c r="AJ9" s="622"/>
      <c r="AK9" s="622"/>
      <c r="AL9" s="622"/>
      <c r="AM9" s="622"/>
      <c r="AN9" s="622"/>
      <c r="AO9" s="622"/>
      <c r="AP9" s="622"/>
      <c r="AQ9" s="622"/>
      <c r="AR9" s="622"/>
      <c r="AS9" s="622"/>
      <c r="AT9" s="622"/>
      <c r="AU9" s="622"/>
      <c r="AV9" s="622"/>
      <c r="AW9" s="622"/>
      <c r="AX9" s="622"/>
      <c r="AY9" s="622"/>
      <c r="AZ9" s="612"/>
      <c r="BA9" s="639"/>
      <c r="BB9" s="411"/>
      <c r="BC9" s="669"/>
      <c r="BD9" s="412"/>
      <c r="BE9" s="412"/>
      <c r="BF9" s="413"/>
      <c r="BG9" s="414"/>
      <c r="BH9" s="415"/>
      <c r="BI9" s="415"/>
      <c r="BJ9" s="414"/>
      <c r="BK9" s="414"/>
      <c r="BL9" s="413"/>
      <c r="BM9" s="413"/>
      <c r="BN9" s="416"/>
      <c r="BO9" s="413"/>
      <c r="BP9" s="417"/>
      <c r="BQ9" s="871"/>
      <c r="BR9" s="653"/>
      <c r="BS9" s="653"/>
      <c r="BT9" s="653"/>
      <c r="BU9" s="653"/>
      <c r="BV9" s="653"/>
      <c r="BW9" s="653"/>
      <c r="BX9" s="653"/>
      <c r="BY9" s="653"/>
      <c r="BZ9" s="653"/>
      <c r="CA9" s="653"/>
      <c r="CB9" s="653"/>
      <c r="CC9" s="653"/>
      <c r="CD9" s="653"/>
      <c r="CE9" s="653"/>
      <c r="CF9" s="653"/>
      <c r="CG9" s="653"/>
      <c r="CH9" s="653"/>
      <c r="CI9" s="653"/>
      <c r="CJ9" s="653"/>
      <c r="CK9" s="653"/>
      <c r="CL9" s="653"/>
      <c r="CM9" s="653"/>
      <c r="CN9" s="653"/>
      <c r="CO9" s="653"/>
      <c r="CP9" s="653"/>
      <c r="CQ9" s="653"/>
      <c r="CR9" s="653"/>
      <c r="CS9" s="653"/>
      <c r="CT9" s="653"/>
      <c r="CU9" s="653"/>
      <c r="CV9" s="653"/>
      <c r="CW9" s="653"/>
      <c r="CX9" s="653"/>
      <c r="CY9" s="653"/>
      <c r="CZ9" s="410"/>
      <c r="DA9" s="754"/>
      <c r="DB9" s="664"/>
      <c r="DC9" s="412"/>
      <c r="DD9" s="412"/>
      <c r="DE9" s="418"/>
      <c r="DF9" s="419"/>
      <c r="DG9" s="420"/>
      <c r="DH9" s="420"/>
      <c r="DI9" s="421"/>
      <c r="DJ9" s="419"/>
      <c r="DK9" s="419"/>
      <c r="DU9"/>
      <c r="DV9" s="743" t="str">
        <f>IF(ISTEXT(DV8),DV8,      IF(IRS?,Currency1,Currency1&amp;"+GBP+"&amp;Currency2))</f>
        <v>AUD</v>
      </c>
      <c r="DW9"/>
      <c r="DX9"/>
      <c r="DY9"/>
      <c r="DZ9"/>
      <c r="EA9"/>
      <c r="EB9"/>
      <c r="EC9"/>
      <c r="ED9"/>
      <c r="EE9"/>
      <c r="EF9"/>
      <c r="EG9"/>
      <c r="EH9"/>
      <c r="EI9"/>
    </row>
    <row r="10" spans="1:139" ht="13.5" thickTop="1">
      <c r="N10" s="121"/>
      <c r="BA10" s="640"/>
      <c r="BB10" s="352"/>
      <c r="BF10" s="344"/>
      <c r="BG10" s="334"/>
      <c r="BH10" s="355"/>
      <c r="BI10" s="355"/>
      <c r="BJ10" s="334"/>
      <c r="BK10" s="334"/>
      <c r="BL10" s="422"/>
      <c r="BM10" s="423"/>
      <c r="BN10" s="345"/>
      <c r="BO10" s="344"/>
      <c r="BP10" s="346"/>
      <c r="BQ10" s="869"/>
      <c r="BR10" s="651"/>
      <c r="BS10" s="651"/>
      <c r="BT10" s="651"/>
      <c r="BU10" s="651"/>
      <c r="BV10" s="651"/>
      <c r="BW10" s="651"/>
      <c r="BX10" s="651"/>
      <c r="BY10" s="651"/>
      <c r="BZ10" s="651"/>
      <c r="CA10" s="651"/>
      <c r="CB10" s="651"/>
      <c r="CC10" s="651"/>
      <c r="CD10" s="651"/>
      <c r="CE10" s="651"/>
      <c r="CF10" s="651"/>
      <c r="CG10" s="651"/>
      <c r="CH10" s="651"/>
      <c r="CI10" s="651"/>
      <c r="CJ10" s="651"/>
      <c r="CK10" s="651"/>
      <c r="CL10" s="651"/>
      <c r="CM10" s="651"/>
      <c r="CN10" s="651"/>
      <c r="CO10" s="651"/>
      <c r="CP10" s="651"/>
      <c r="CQ10" s="651"/>
      <c r="CR10" s="651"/>
      <c r="CS10" s="651"/>
      <c r="CT10" s="651"/>
      <c r="CU10" s="651"/>
      <c r="CV10" s="651"/>
      <c r="CW10" s="651"/>
      <c r="CX10" s="651"/>
      <c r="CY10" s="651"/>
      <c r="DK10" s="528"/>
      <c r="DL10" s="338"/>
    </row>
    <row r="11" spans="1:139" ht="12.75" customHeight="1">
      <c r="B11" s="149" t="s">
        <v>244</v>
      </c>
      <c r="C11" s="150" t="s">
        <v>245</v>
      </c>
      <c r="D11" s="149" t="str">
        <f t="array" ref="D11:D16">INDIRECT(B12)</f>
        <v>AUD.ZB.DISC|[Swap Pricer 1w.xlsm]AU!$BG$52#1130</v>
      </c>
      <c r="G11" s="149" t="str">
        <f t="array" ref="G11:G16">" "</f>
        <v xml:space="preserve"> </v>
      </c>
      <c r="H11" s="149" t="s">
        <v>244</v>
      </c>
      <c r="I11" s="149" t="s">
        <v>245</v>
      </c>
      <c r="J11" s="149" t="str">
        <f t="array" ref="J11:J16">INDIRECT(H12)</f>
        <v>AUD.ZB.DISC|[Swap Pricer 1w.xlsm]AU!$BG$52#1130</v>
      </c>
      <c r="M11" s="149" t="s">
        <v>78</v>
      </c>
      <c r="O11" s="948" t="s">
        <v>228</v>
      </c>
      <c r="P11" s="358" t="s">
        <v>38</v>
      </c>
      <c r="Q11" s="630"/>
      <c r="R11" s="630"/>
      <c r="S11" s="908"/>
      <c r="T11" s="908"/>
      <c r="U11" s="908"/>
      <c r="V11" s="908"/>
      <c r="W11" s="908"/>
      <c r="X11" s="908"/>
      <c r="Y11" s="908"/>
      <c r="Z11" s="908"/>
      <c r="AA11" s="630"/>
      <c r="AB11" s="630"/>
      <c r="AC11" s="630"/>
      <c r="AD11" s="630"/>
      <c r="AE11" s="630"/>
      <c r="AF11" s="630"/>
      <c r="AG11" s="630"/>
      <c r="AH11" s="630"/>
      <c r="AI11" s="623"/>
      <c r="AJ11" s="623"/>
      <c r="AK11" s="623"/>
      <c r="AL11" s="623"/>
      <c r="AM11" s="623"/>
      <c r="AN11" s="623"/>
      <c r="AO11" s="623"/>
      <c r="AP11" s="623"/>
      <c r="AQ11" s="623"/>
      <c r="AR11" s="623"/>
      <c r="AS11" s="623"/>
      <c r="AT11" s="623"/>
      <c r="AU11" s="623"/>
      <c r="AV11" s="623"/>
      <c r="AW11" s="623"/>
      <c r="AX11" s="623"/>
      <c r="AY11" s="623"/>
      <c r="AZ11" s="613"/>
      <c r="BA11" s="641" t="s">
        <v>317</v>
      </c>
      <c r="BB11" s="660" t="s">
        <v>2</v>
      </c>
      <c r="BC11" s="670"/>
      <c r="BD11" s="361" t="s">
        <v>320</v>
      </c>
      <c r="BE11" s="362">
        <f>IF(P11="Pay",-1,1)</f>
        <v>1</v>
      </c>
      <c r="BF11" s="360"/>
      <c r="BG11" s="359" t="s">
        <v>316</v>
      </c>
      <c r="BH11" s="358" t="s">
        <v>142</v>
      </c>
      <c r="BI11" s="363"/>
      <c r="BJ11" s="359" t="s">
        <v>312</v>
      </c>
      <c r="BK11" s="487" t="s">
        <v>882</v>
      </c>
      <c r="BM11" s="338"/>
      <c r="BN11" s="950" t="s">
        <v>229</v>
      </c>
      <c r="BO11" s="370" t="str">
        <f>IF(P11="PAY","RECEIVE","PAY")</f>
        <v>PAY</v>
      </c>
      <c r="BP11" s="371"/>
      <c r="BQ11" s="872"/>
      <c r="BR11" s="875"/>
      <c r="BS11" s="875"/>
      <c r="BT11" s="875"/>
      <c r="BU11" s="875"/>
      <c r="BV11" s="875"/>
      <c r="BW11" s="875"/>
      <c r="BX11" s="875"/>
      <c r="BY11" s="875"/>
      <c r="BZ11" s="654"/>
      <c r="CA11" s="654"/>
      <c r="CB11" s="654"/>
      <c r="CC11" s="654"/>
      <c r="CD11" s="654"/>
      <c r="CE11" s="654"/>
      <c r="CF11" s="654"/>
      <c r="CG11" s="654"/>
      <c r="CH11" s="654"/>
      <c r="CI11" s="654"/>
      <c r="CJ11" s="654"/>
      <c r="CK11" s="654"/>
      <c r="CL11" s="654"/>
      <c r="CM11" s="654"/>
      <c r="CN11" s="654"/>
      <c r="CO11" s="654"/>
      <c r="CP11" s="654"/>
      <c r="CQ11" s="654"/>
      <c r="CR11" s="654"/>
      <c r="CS11" s="654"/>
      <c r="CT11" s="654"/>
      <c r="CU11" s="654"/>
      <c r="CV11" s="654"/>
      <c r="CW11" s="654"/>
      <c r="CX11" s="654"/>
      <c r="CY11" s="654"/>
      <c r="CZ11" s="371" t="s">
        <v>317</v>
      </c>
      <c r="DA11" s="756" t="s">
        <v>2</v>
      </c>
      <c r="DB11" s="672"/>
      <c r="DC11" s="374" t="s">
        <v>320</v>
      </c>
      <c r="DD11" s="375">
        <f>-BE11</f>
        <v>-1</v>
      </c>
      <c r="DE11" s="373"/>
      <c r="DF11" s="371" t="s">
        <v>316</v>
      </c>
      <c r="DG11" s="372" t="s">
        <v>142</v>
      </c>
      <c r="DH11" s="381"/>
      <c r="DI11" s="371" t="s">
        <v>312</v>
      </c>
      <c r="DJ11" s="502" t="s">
        <v>134</v>
      </c>
      <c r="DK11" s="529"/>
      <c r="DL11" s="338"/>
      <c r="DU11" t="s">
        <v>780</v>
      </c>
      <c r="DV11" s="138" t="s">
        <v>781</v>
      </c>
      <c r="DZ11" t="s">
        <v>781</v>
      </c>
      <c r="EA11" t="s">
        <v>792</v>
      </c>
    </row>
    <row r="12" spans="1:139" ht="12.75" customHeight="1">
      <c r="B12" s="149" t="str">
        <f>Currency1&amp;IF(IRS?,".ZB",".ZBX")</f>
        <v>AUD.ZB</v>
      </c>
      <c r="C12" s="150" t="s">
        <v>6</v>
      </c>
      <c r="D12" s="149" t="str">
        <v>AUD.ZB.ON|[Swap Pricer 1w.xlsm]AU!$BG$53#1132</v>
      </c>
      <c r="G12" s="149" t="str">
        <v xml:space="preserve"> </v>
      </c>
      <c r="H12" s="149" t="str">
        <f>Currency2&amp;IF(IRS?,".ZB",".ZBX")</f>
        <v>AUD.ZB</v>
      </c>
      <c r="I12" s="149" t="s">
        <v>6</v>
      </c>
      <c r="J12" s="149" t="str">
        <v>AUD.ZB.ON|[Swap Pricer 1w.xlsm]AU!$BG$53#1132</v>
      </c>
      <c r="M12" s="149" t="s">
        <v>78</v>
      </c>
      <c r="O12" s="949"/>
      <c r="P12" s="364" t="s">
        <v>128</v>
      </c>
      <c r="Q12" s="631"/>
      <c r="R12" s="631"/>
      <c r="S12" s="909"/>
      <c r="T12" s="909"/>
      <c r="U12" s="909"/>
      <c r="V12" s="909"/>
      <c r="W12" s="909"/>
      <c r="X12" s="909"/>
      <c r="Y12" s="909"/>
      <c r="Z12" s="909"/>
      <c r="AA12" s="631"/>
      <c r="AB12" s="631"/>
      <c r="AC12" s="631"/>
      <c r="AD12" s="631"/>
      <c r="AE12" s="631"/>
      <c r="AF12" s="631"/>
      <c r="AG12" s="631"/>
      <c r="AH12" s="631"/>
      <c r="AI12" s="624"/>
      <c r="AJ12" s="624"/>
      <c r="AK12" s="624"/>
      <c r="AL12" s="624"/>
      <c r="AM12" s="624"/>
      <c r="AN12" s="624"/>
      <c r="AO12" s="624"/>
      <c r="AP12" s="624"/>
      <c r="AQ12" s="624"/>
      <c r="AR12" s="624"/>
      <c r="AS12" s="624"/>
      <c r="AT12" s="624"/>
      <c r="AU12" s="624"/>
      <c r="AV12" s="624"/>
      <c r="AW12" s="624"/>
      <c r="AX12" s="624"/>
      <c r="AY12" s="624"/>
      <c r="AZ12" s="614"/>
      <c r="BA12" s="642" t="s">
        <v>315</v>
      </c>
      <c r="BB12" s="364" t="s">
        <v>136</v>
      </c>
      <c r="BC12" s="671"/>
      <c r="BD12" s="367" t="s">
        <v>230</v>
      </c>
      <c r="BE12" s="368">
        <f>COUNTIF(Dates1,"&gt;0")</f>
        <v>13</v>
      </c>
      <c r="BF12" s="366"/>
      <c r="BG12" s="365" t="s">
        <v>314</v>
      </c>
      <c r="BH12" s="659" t="b">
        <v>1</v>
      </c>
      <c r="BI12" s="369"/>
      <c r="BJ12" s="365" t="s">
        <v>313</v>
      </c>
      <c r="BK12" s="501" t="s">
        <v>134</v>
      </c>
      <c r="BM12" s="338"/>
      <c r="BN12" s="951"/>
      <c r="BO12" s="376" t="s">
        <v>128</v>
      </c>
      <c r="BP12" s="377"/>
      <c r="BQ12" s="873"/>
      <c r="BR12" s="876"/>
      <c r="BS12" s="876"/>
      <c r="BT12" s="876"/>
      <c r="BU12" s="876"/>
      <c r="BV12" s="876"/>
      <c r="BW12" s="876"/>
      <c r="BX12" s="876"/>
      <c r="BY12" s="876"/>
      <c r="BZ12" s="655"/>
      <c r="CA12" s="655"/>
      <c r="CB12" s="655"/>
      <c r="CC12" s="655"/>
      <c r="CD12" s="655"/>
      <c r="CE12" s="655"/>
      <c r="CF12" s="655"/>
      <c r="CG12" s="655"/>
      <c r="CH12" s="655"/>
      <c r="CI12" s="655"/>
      <c r="CJ12" s="655"/>
      <c r="CK12" s="655"/>
      <c r="CL12" s="655"/>
      <c r="CM12" s="655"/>
      <c r="CN12" s="655"/>
      <c r="CO12" s="655"/>
      <c r="CP12" s="655"/>
      <c r="CQ12" s="655"/>
      <c r="CR12" s="655"/>
      <c r="CS12" s="655"/>
      <c r="CT12" s="655"/>
      <c r="CU12" s="655"/>
      <c r="CV12" s="655"/>
      <c r="CW12" s="655"/>
      <c r="CX12" s="655"/>
      <c r="CY12" s="655"/>
      <c r="CZ12" s="377" t="s">
        <v>315</v>
      </c>
      <c r="DA12" s="490" t="s">
        <v>136</v>
      </c>
      <c r="DB12" s="673"/>
      <c r="DC12" s="379"/>
      <c r="DD12" s="379"/>
      <c r="DE12" s="378"/>
      <c r="DF12" s="377" t="s">
        <v>314</v>
      </c>
      <c r="DG12" s="490" t="b">
        <v>1</v>
      </c>
      <c r="DH12" s="382"/>
      <c r="DI12" s="377" t="s">
        <v>313</v>
      </c>
      <c r="DJ12" s="500" t="s">
        <v>134</v>
      </c>
      <c r="DK12" s="529"/>
      <c r="DL12" s="338"/>
      <c r="DZ12" t="s">
        <v>6</v>
      </c>
      <c r="EA12" t="s">
        <v>793</v>
      </c>
    </row>
    <row r="13" spans="1:139">
      <c r="C13" s="150" t="s">
        <v>0</v>
      </c>
      <c r="D13" s="149" t="str">
        <v>AUD.ZB.1M|[Swap Pricer 1w.xlsm]AU!$BG$54#1133</v>
      </c>
      <c r="G13" s="149" t="str">
        <v xml:space="preserve"> </v>
      </c>
      <c r="I13" s="149" t="s">
        <v>0</v>
      </c>
      <c r="J13" s="149" t="str">
        <v>AUD.ZB.1M|[Swap Pricer 1w.xlsm]AU!$BG$54#1133</v>
      </c>
      <c r="M13" s="149" t="s">
        <v>78</v>
      </c>
      <c r="AI13" s="644" t="s">
        <v>633</v>
      </c>
      <c r="AJ13" s="644"/>
      <c r="AK13" s="644"/>
      <c r="AL13" s="644"/>
      <c r="AM13" s="644"/>
      <c r="AN13" s="644"/>
      <c r="AO13" s="644"/>
      <c r="AP13" s="644"/>
      <c r="AQ13" s="644"/>
      <c r="AR13" s="644"/>
      <c r="AS13" s="644"/>
      <c r="AT13" s="644"/>
      <c r="AU13" s="644"/>
      <c r="AV13" s="644"/>
      <c r="AW13" s="644"/>
      <c r="AX13" s="644"/>
      <c r="BM13" s="338"/>
      <c r="CH13" s="656" t="s">
        <v>633</v>
      </c>
      <c r="CI13" s="656"/>
      <c r="CJ13" s="656"/>
      <c r="CK13" s="656"/>
      <c r="CL13" s="656"/>
      <c r="CM13" s="656"/>
      <c r="CN13" s="656"/>
      <c r="CO13" s="656"/>
      <c r="CP13" s="656"/>
      <c r="CQ13" s="656"/>
      <c r="CR13" s="656"/>
      <c r="CS13" s="656"/>
      <c r="CT13" s="656"/>
      <c r="CU13" s="656"/>
      <c r="CV13" s="656"/>
      <c r="CW13" s="656"/>
      <c r="DK13" s="529"/>
      <c r="DL13" s="338"/>
      <c r="EA13" t="s">
        <v>794</v>
      </c>
    </row>
    <row r="14" spans="1:139">
      <c r="C14" s="150" t="s">
        <v>2</v>
      </c>
      <c r="D14" s="149" t="str">
        <v>AUD.ZB.DISC|[Swap Pricer 1w.xlsm]AU!$BG$52#1130</v>
      </c>
      <c r="G14" s="149" t="str">
        <v xml:space="preserve"> </v>
      </c>
      <c r="I14" s="149" t="s">
        <v>2</v>
      </c>
      <c r="J14" s="149" t="str">
        <v>AUD.ZB.DISC|[Swap Pricer 1w.xlsm]AU!$BG$52#1130</v>
      </c>
      <c r="M14" s="149" t="s">
        <v>78</v>
      </c>
      <c r="R14" s="679"/>
      <c r="AI14" s="644" t="str">
        <f>$D$12</f>
        <v>AUD.ZB.ON|[Swap Pricer 1w.xlsm]AU!$BG$53#1132</v>
      </c>
      <c r="AJ14" s="644" t="str">
        <f>$D$13</f>
        <v>AUD.ZB.1M|[Swap Pricer 1w.xlsm]AU!$BG$54#1133</v>
      </c>
      <c r="AK14" s="644" t="s">
        <v>78</v>
      </c>
      <c r="AL14" s="644" t="str">
        <f>$D$14</f>
        <v>AUD.ZB.DISC|[Swap Pricer 1w.xlsm]AU!$BG$52#1130</v>
      </c>
      <c r="AM14" s="644" t="s">
        <v>78</v>
      </c>
      <c r="AN14" s="644" t="s">
        <v>78</v>
      </c>
      <c r="AO14" s="644" t="str">
        <f>D15</f>
        <v>AUD.ZB.6M|[Swap Pricer 1w.xlsm]AU!$BG$56#1131</v>
      </c>
      <c r="AP14" s="644" t="str">
        <f>D16</f>
        <v>AUD.ZB.6M|[Swap Pricer 1w.xlsm]AU!$BG$56#1131</v>
      </c>
      <c r="AQ14" s="644"/>
      <c r="AR14" s="644"/>
      <c r="AS14" s="644"/>
      <c r="AT14" s="644"/>
      <c r="AU14" s="644"/>
      <c r="AV14" s="644"/>
      <c r="AW14" s="644"/>
      <c r="AX14" s="644"/>
      <c r="AY14" s="619" t="s">
        <v>78</v>
      </c>
      <c r="BB14" s="383"/>
      <c r="BH14" s="330"/>
      <c r="BI14" s="353" t="s">
        <v>481</v>
      </c>
      <c r="BK14" s="329" t="str">
        <f>"PV (in "&amp;Currency1&amp;")"</f>
        <v>PV (in AUD)</v>
      </c>
      <c r="BM14" s="338"/>
      <c r="CH14" s="656" t="str">
        <f>J12</f>
        <v>AUD.ZB.ON|[Swap Pricer 1w.xlsm]AU!$BG$53#1132</v>
      </c>
      <c r="CI14" s="656" t="str">
        <f>J13</f>
        <v>AUD.ZB.1M|[Swap Pricer 1w.xlsm]AU!$BG$54#1133</v>
      </c>
      <c r="CJ14" s="656" t="s">
        <v>78</v>
      </c>
      <c r="CK14" s="656" t="str">
        <f>J14</f>
        <v>AUD.ZB.DISC|[Swap Pricer 1w.xlsm]AU!$BG$52#1130</v>
      </c>
      <c r="CL14" s="656" t="s">
        <v>78</v>
      </c>
      <c r="CM14" s="656" t="s">
        <v>78</v>
      </c>
      <c r="CN14" s="656" t="str">
        <f>J15</f>
        <v>AUD.ZB.6M|[Swap Pricer 1w.xlsm]AU!$BG$56#1131</v>
      </c>
      <c r="CO14" s="656" t="str">
        <f>J16</f>
        <v>AUD.ZB.6M|[Swap Pricer 1w.xlsm]AU!$BG$56#1131</v>
      </c>
      <c r="CP14" s="656"/>
      <c r="CQ14" s="656"/>
      <c r="CR14" s="656"/>
      <c r="CS14" s="656"/>
      <c r="CT14" s="656"/>
      <c r="CU14" s="656"/>
      <c r="CV14" s="656"/>
      <c r="CW14" s="656"/>
      <c r="CX14" s="649" t="s">
        <v>78</v>
      </c>
      <c r="DA14" s="383" t="s">
        <v>786</v>
      </c>
      <c r="DG14" s="330"/>
      <c r="DH14" s="353" t="s">
        <v>481</v>
      </c>
      <c r="DJ14" s="329" t="str">
        <f>"PV (in "&amp;Currency2&amp;")"</f>
        <v>PV (in AUD)</v>
      </c>
      <c r="DK14" s="529"/>
      <c r="DL14" s="338"/>
    </row>
    <row r="15" spans="1:139">
      <c r="C15" s="150" t="s">
        <v>5</v>
      </c>
      <c r="D15" s="149" t="str">
        <v>AUD.ZB.6M|[Swap Pricer 1w.xlsm]AU!$BG$56#1131</v>
      </c>
      <c r="G15" s="149" t="str">
        <v xml:space="preserve"> </v>
      </c>
      <c r="I15" s="149" t="s">
        <v>5</v>
      </c>
      <c r="J15" s="149" t="str">
        <v>AUD.ZB.6M|[Swap Pricer 1w.xlsm]AU!$BG$56#1131</v>
      </c>
      <c r="M15" s="149" t="s">
        <v>78</v>
      </c>
      <c r="Q15" s="342"/>
      <c r="R15" s="632"/>
      <c r="S15" s="910"/>
      <c r="T15" s="910"/>
      <c r="U15" s="910"/>
      <c r="V15" s="910"/>
      <c r="W15" s="910"/>
      <c r="X15" s="910"/>
      <c r="Y15" s="910"/>
      <c r="Z15" s="910"/>
      <c r="AA15" s="632"/>
      <c r="AB15" s="632"/>
      <c r="AC15" s="632"/>
      <c r="AD15" s="632"/>
      <c r="AE15" s="632"/>
      <c r="AF15" s="632"/>
      <c r="AG15" s="632"/>
      <c r="AH15" s="632"/>
      <c r="AI15" s="625"/>
      <c r="AJ15" s="625"/>
      <c r="AK15" s="625"/>
      <c r="AL15" s="625"/>
      <c r="AM15" s="625"/>
      <c r="AN15" s="625"/>
      <c r="AO15" s="625"/>
      <c r="AP15" s="625"/>
      <c r="AQ15" s="625"/>
      <c r="AR15" s="625"/>
      <c r="AS15" s="625"/>
      <c r="AT15" s="625"/>
      <c r="AU15" s="625"/>
      <c r="AV15" s="625"/>
      <c r="AW15" s="625"/>
      <c r="AX15" s="625"/>
      <c r="AY15" s="625"/>
      <c r="AZ15" s="615"/>
      <c r="BB15" s="383"/>
      <c r="BH15" s="192"/>
      <c r="BI15" s="353" t="s">
        <v>482</v>
      </c>
      <c r="BK15" s="675">
        <f>SUMPRODUCT(BK18:BK517,Q18:Q517)</f>
        <v>0</v>
      </c>
      <c r="BM15" s="338"/>
      <c r="BP15" s="341"/>
      <c r="BQ15" s="874"/>
      <c r="BR15" s="657"/>
      <c r="BS15" s="657"/>
      <c r="BT15" s="657"/>
      <c r="BU15" s="657"/>
      <c r="BV15" s="657"/>
      <c r="BW15" s="657"/>
      <c r="BX15" s="657"/>
      <c r="BY15" s="657"/>
      <c r="BZ15" s="657"/>
      <c r="CA15" s="657"/>
      <c r="CB15" s="657"/>
      <c r="CC15" s="657"/>
      <c r="CD15" s="657"/>
      <c r="CE15" s="657"/>
      <c r="CF15" s="657"/>
      <c r="CG15" s="657"/>
      <c r="CH15" s="657"/>
      <c r="CI15" s="657"/>
      <c r="CJ15" s="657"/>
      <c r="CK15" s="657"/>
      <c r="CL15" s="657"/>
      <c r="CM15" s="657"/>
      <c r="CN15" s="657"/>
      <c r="CO15" s="657"/>
      <c r="CP15" s="657"/>
      <c r="CQ15" s="657"/>
      <c r="CR15" s="657"/>
      <c r="CS15" s="657"/>
      <c r="CT15" s="657"/>
      <c r="CU15" s="657"/>
      <c r="CV15" s="657"/>
      <c r="CW15" s="657"/>
      <c r="CX15" s="657"/>
      <c r="CY15" s="657"/>
      <c r="DA15" s="774"/>
      <c r="DG15" s="192"/>
      <c r="DH15" s="353" t="s">
        <v>482</v>
      </c>
      <c r="DJ15" s="336">
        <f>SUMPRODUCT(BP18:BP517,DJ18:DJ517)</f>
        <v>0</v>
      </c>
      <c r="DK15" s="529"/>
      <c r="DL15" s="338"/>
      <c r="DU15" t="s">
        <v>795</v>
      </c>
      <c r="DV15" s="921" t="s">
        <v>796</v>
      </c>
      <c r="DZ15" t="s">
        <v>796</v>
      </c>
      <c r="EA15" t="s">
        <v>798</v>
      </c>
    </row>
    <row r="16" spans="1:139">
      <c r="C16" s="150" t="s">
        <v>25</v>
      </c>
      <c r="D16" s="149" t="str">
        <v>AUD.ZB.6M|[Swap Pricer 1w.xlsm]AU!$BG$56#1131</v>
      </c>
      <c r="G16" s="149" t="str">
        <v xml:space="preserve"> </v>
      </c>
      <c r="I16" s="149" t="s">
        <v>25</v>
      </c>
      <c r="J16" s="149" t="str">
        <v>AUD.ZB.6M|[Swap Pricer 1w.xlsm]AU!$BG$56#1131</v>
      </c>
      <c r="M16" s="149" t="s">
        <v>78</v>
      </c>
      <c r="O16" s="383" t="s">
        <v>321</v>
      </c>
      <c r="P16" s="383"/>
      <c r="Q16" s="618"/>
      <c r="R16" s="888" t="s">
        <v>648</v>
      </c>
      <c r="S16" s="887" t="s">
        <v>850</v>
      </c>
      <c r="T16" s="877"/>
      <c r="U16" s="877"/>
      <c r="V16" s="877"/>
      <c r="W16" s="877"/>
      <c r="X16" s="877"/>
      <c r="Y16" s="877"/>
      <c r="Z16" s="877"/>
      <c r="AA16" s="891" t="s">
        <v>846</v>
      </c>
      <c r="AB16" s="880"/>
      <c r="AC16" s="880"/>
      <c r="AD16" s="880"/>
      <c r="AE16" s="880"/>
      <c r="AF16" s="880"/>
      <c r="AG16" s="958" t="s">
        <v>916</v>
      </c>
      <c r="AH16" s="880" t="str">
        <f>IF(Currency1="AUD","S","M")</f>
        <v>S</v>
      </c>
      <c r="AI16" s="883" t="s">
        <v>851</v>
      </c>
      <c r="AJ16" s="884"/>
      <c r="AK16" s="884"/>
      <c r="AL16" s="884"/>
      <c r="AM16" s="884"/>
      <c r="AN16" s="884"/>
      <c r="AO16" s="884"/>
      <c r="AP16" s="884"/>
      <c r="AQ16" s="645" t="s">
        <v>852</v>
      </c>
      <c r="AR16" s="646"/>
      <c r="AS16" s="646"/>
      <c r="AT16" s="646"/>
      <c r="AU16" s="911"/>
      <c r="AV16" s="911"/>
      <c r="AW16" s="911"/>
      <c r="AX16" s="912" t="s">
        <v>853</v>
      </c>
      <c r="AY16" s="633"/>
      <c r="BB16" s="383" t="s">
        <v>321</v>
      </c>
      <c r="BM16" s="338"/>
      <c r="BN16" s="383" t="s">
        <v>321</v>
      </c>
      <c r="BO16" s="383"/>
      <c r="BQ16" s="888" t="s">
        <v>648</v>
      </c>
      <c r="BR16" s="887" t="s">
        <v>850</v>
      </c>
      <c r="BS16" s="877"/>
      <c r="BT16" s="877"/>
      <c r="BU16" s="877"/>
      <c r="BV16" s="877"/>
      <c r="BW16" s="877"/>
      <c r="BX16" s="877"/>
      <c r="BY16" s="877"/>
      <c r="BZ16" s="891" t="s">
        <v>846</v>
      </c>
      <c r="CA16" s="880"/>
      <c r="CB16" s="880"/>
      <c r="CC16" s="880"/>
      <c r="CD16" s="880"/>
      <c r="CE16" s="880"/>
      <c r="CF16" s="958" t="s">
        <v>916</v>
      </c>
      <c r="CG16" s="880" t="str">
        <f>IF(Currency2="AUD","S","M")</f>
        <v>S</v>
      </c>
      <c r="CH16" s="883" t="s">
        <v>847</v>
      </c>
      <c r="CI16" s="884"/>
      <c r="CJ16" s="884"/>
      <c r="CK16" s="884"/>
      <c r="CL16" s="884"/>
      <c r="CM16" s="884"/>
      <c r="CN16" s="884"/>
      <c r="CO16" s="884"/>
      <c r="CP16" s="645" t="s">
        <v>852</v>
      </c>
      <c r="CQ16" s="646"/>
      <c r="CR16" s="646"/>
      <c r="CS16" s="646"/>
      <c r="CT16" s="911"/>
      <c r="CU16" s="911"/>
      <c r="CV16" s="911"/>
      <c r="CW16" s="912" t="s">
        <v>853</v>
      </c>
      <c r="DA16" s="383" t="s">
        <v>321</v>
      </c>
      <c r="DK16" s="529"/>
      <c r="DL16" s="338"/>
      <c r="DZ16" t="s">
        <v>797</v>
      </c>
      <c r="EA16" t="s">
        <v>799</v>
      </c>
    </row>
    <row r="17" spans="2:131">
      <c r="M17" s="149" t="s">
        <v>78</v>
      </c>
      <c r="O17" s="610" t="s">
        <v>233</v>
      </c>
      <c r="P17" s="190" t="s">
        <v>156</v>
      </c>
      <c r="Q17" s="189" t="s">
        <v>139</v>
      </c>
      <c r="R17" s="889" t="s">
        <v>475</v>
      </c>
      <c r="S17" s="878" t="s">
        <v>6</v>
      </c>
      <c r="T17" s="878" t="s">
        <v>0</v>
      </c>
      <c r="U17" s="878" t="s">
        <v>1</v>
      </c>
      <c r="V17" s="878" t="s">
        <v>2</v>
      </c>
      <c r="W17" s="878" t="s">
        <v>3</v>
      </c>
      <c r="X17" s="878" t="s">
        <v>4</v>
      </c>
      <c r="Y17" s="878" t="s">
        <v>5</v>
      </c>
      <c r="Z17" s="878" t="s">
        <v>25</v>
      </c>
      <c r="AA17" s="881" t="s">
        <v>106</v>
      </c>
      <c r="AB17" s="881" t="s">
        <v>0</v>
      </c>
      <c r="AC17" s="881" t="s">
        <v>1</v>
      </c>
      <c r="AD17" s="881" t="s">
        <v>2</v>
      </c>
      <c r="AE17" s="881" t="s">
        <v>3</v>
      </c>
      <c r="AF17" s="881" t="s">
        <v>4</v>
      </c>
      <c r="AG17" s="881" t="s">
        <v>5</v>
      </c>
      <c r="AH17" s="881" t="s">
        <v>25</v>
      </c>
      <c r="AI17" s="885" t="s">
        <v>6</v>
      </c>
      <c r="AJ17" s="885" t="s">
        <v>0</v>
      </c>
      <c r="AK17" s="885" t="s">
        <v>1</v>
      </c>
      <c r="AL17" s="885" t="s">
        <v>2</v>
      </c>
      <c r="AM17" s="885" t="s">
        <v>3</v>
      </c>
      <c r="AN17" s="885" t="s">
        <v>4</v>
      </c>
      <c r="AO17" s="885" t="s">
        <v>5</v>
      </c>
      <c r="AP17" s="885" t="s">
        <v>25</v>
      </c>
      <c r="AQ17" s="647" t="s">
        <v>6</v>
      </c>
      <c r="AR17" s="647" t="s">
        <v>0</v>
      </c>
      <c r="AS17" s="647" t="s">
        <v>1</v>
      </c>
      <c r="AT17" s="647" t="s">
        <v>2</v>
      </c>
      <c r="AU17" s="647" t="s">
        <v>3</v>
      </c>
      <c r="AV17" s="647" t="s">
        <v>4</v>
      </c>
      <c r="AW17" s="647" t="s">
        <v>5</v>
      </c>
      <c r="AX17" s="647" t="s">
        <v>25</v>
      </c>
      <c r="AY17" s="677" t="s">
        <v>631</v>
      </c>
      <c r="AZ17" s="952" t="s">
        <v>634</v>
      </c>
      <c r="BA17" s="952"/>
      <c r="BB17" s="190" t="s">
        <v>234</v>
      </c>
      <c r="BC17" s="665" t="s">
        <v>243</v>
      </c>
      <c r="BD17" s="323" t="s">
        <v>318</v>
      </c>
      <c r="BE17" s="323" t="s">
        <v>319</v>
      </c>
      <c r="BF17" s="322"/>
      <c r="BG17" s="335" t="s">
        <v>308</v>
      </c>
      <c r="BH17" s="356"/>
      <c r="BI17" s="356"/>
      <c r="BJ17" s="326"/>
      <c r="BK17" s="326" t="s">
        <v>213</v>
      </c>
      <c r="BM17" s="338"/>
      <c r="BN17" s="610" t="s">
        <v>233</v>
      </c>
      <c r="BO17" s="190" t="s">
        <v>156</v>
      </c>
      <c r="BP17" s="189" t="s">
        <v>139</v>
      </c>
      <c r="BQ17" s="889" t="s">
        <v>475</v>
      </c>
      <c r="BR17" s="878" t="s">
        <v>6</v>
      </c>
      <c r="BS17" s="878" t="s">
        <v>0</v>
      </c>
      <c r="BT17" s="878" t="s">
        <v>1</v>
      </c>
      <c r="BU17" s="878" t="s">
        <v>2</v>
      </c>
      <c r="BV17" s="878" t="s">
        <v>3</v>
      </c>
      <c r="BW17" s="878" t="s">
        <v>4</v>
      </c>
      <c r="BX17" s="878" t="s">
        <v>5</v>
      </c>
      <c r="BY17" s="878" t="s">
        <v>25</v>
      </c>
      <c r="BZ17" s="881" t="s">
        <v>106</v>
      </c>
      <c r="CA17" s="881" t="s">
        <v>0</v>
      </c>
      <c r="CB17" s="881" t="s">
        <v>1</v>
      </c>
      <c r="CC17" s="881" t="s">
        <v>2</v>
      </c>
      <c r="CD17" s="881" t="s">
        <v>3</v>
      </c>
      <c r="CE17" s="881" t="s">
        <v>4</v>
      </c>
      <c r="CF17" s="881" t="s">
        <v>5</v>
      </c>
      <c r="CG17" s="881" t="s">
        <v>25</v>
      </c>
      <c r="CH17" s="885" t="s">
        <v>6</v>
      </c>
      <c r="CI17" s="885" t="s">
        <v>0</v>
      </c>
      <c r="CJ17" s="885" t="s">
        <v>1</v>
      </c>
      <c r="CK17" s="885" t="s">
        <v>2</v>
      </c>
      <c r="CL17" s="885" t="s">
        <v>3</v>
      </c>
      <c r="CM17" s="885" t="s">
        <v>4</v>
      </c>
      <c r="CN17" s="885" t="s">
        <v>5</v>
      </c>
      <c r="CO17" s="885" t="s">
        <v>25</v>
      </c>
      <c r="CP17" s="647" t="s">
        <v>6</v>
      </c>
      <c r="CQ17" s="647" t="s">
        <v>0</v>
      </c>
      <c r="CR17" s="647" t="s">
        <v>1</v>
      </c>
      <c r="CS17" s="647" t="s">
        <v>2</v>
      </c>
      <c r="CT17" s="647" t="s">
        <v>3</v>
      </c>
      <c r="CU17" s="647" t="s">
        <v>4</v>
      </c>
      <c r="CV17" s="647" t="s">
        <v>5</v>
      </c>
      <c r="CW17" s="647" t="s">
        <v>25</v>
      </c>
      <c r="CX17" s="658" t="s">
        <v>631</v>
      </c>
      <c r="CY17" s="952" t="s">
        <v>634</v>
      </c>
      <c r="CZ17" s="952"/>
      <c r="DA17" s="190" t="s">
        <v>234</v>
      </c>
      <c r="DB17" s="665" t="s">
        <v>243</v>
      </c>
      <c r="DC17" s="323" t="s">
        <v>318</v>
      </c>
      <c r="DD17" s="323" t="s">
        <v>319</v>
      </c>
      <c r="DE17" s="322"/>
      <c r="DF17" s="335" t="s">
        <v>308</v>
      </c>
      <c r="DG17" s="356"/>
      <c r="DH17" s="356"/>
      <c r="DI17" s="331"/>
      <c r="DJ17" s="326" t="s">
        <v>213</v>
      </c>
      <c r="DK17" s="529"/>
      <c r="DL17" s="338"/>
      <c r="EA17" t="s">
        <v>800</v>
      </c>
    </row>
    <row r="18" spans="2:131">
      <c r="M18" s="149" t="s">
        <v>78</v>
      </c>
      <c r="O18" s="121">
        <f t="array" ref="O18:O517">_xll.qArrayPad(_xll.qDateSchedule(IF(ISNUMBER(Start),Start,Today),IF(ISNUMBER(Start),"0b",Start),End,Freq1,BusDayAdj1,EOM_1,Holidays,Anniv,Stubs1),0)</f>
        <v>40730</v>
      </c>
      <c r="P18" s="755">
        <f t="shared" ref="P18:P81" si="0">IF(O19,O19-O18,0)</f>
        <v>92</v>
      </c>
      <c r="Q18" s="125">
        <f t="array" ref="Q18:Q517">_xll.qGetDF(D11,O18:O517)</f>
        <v>0.99986987994713017</v>
      </c>
      <c r="R18" s="890">
        <f>IF(O19=0,0,         IF(OR(Currency1="AUD",Currency1="NZD",Currency1="GBP"),O18,   _xll.qDateNext(O18,"-2b",,,IF(Currency1="EUR","TGT","LON"))))</f>
        <v>40730</v>
      </c>
      <c r="S18" s="879" t="str">
        <f t="array" ref="S18:Z516">IF(ISERROR(SUM(Currency1,R18:R516)/0),GetHistoricalRateSets(Currency1,R18:R516) )</f>
        <v/>
      </c>
      <c r="T18" s="879" t="str">
        <v/>
      </c>
      <c r="U18" s="879" t="str">
        <v/>
      </c>
      <c r="V18" s="879" t="str">
        <v/>
      </c>
      <c r="W18" s="879" t="str">
        <v/>
      </c>
      <c r="X18" s="879" t="str">
        <v/>
      </c>
      <c r="Y18" s="879" t="str">
        <v/>
      </c>
      <c r="Z18" s="879" t="str">
        <v/>
      </c>
      <c r="AA18" s="882">
        <f>IF($O19=0,0,        _xll.qDateNext($O18,AA$17,$AH$16,TRUE,Currency1))</f>
        <v>40731</v>
      </c>
      <c r="AB18" s="882">
        <f>IF($O19=0,0,        _xll.qDateNext($O18,AB$17,$AH$16,TRUE,Currency1))</f>
        <v>40763</v>
      </c>
      <c r="AC18" s="882">
        <f>IF($O19=0,0,        _xll.qDateNext($O18,AC$17,$AH$16,TRUE,Currency1))</f>
        <v>40792</v>
      </c>
      <c r="AD18" s="882">
        <f>IF($O19=0,0,        _xll.qDateNext($O18,AD$17,$AH$16,TRUE,Currency1))</f>
        <v>40822</v>
      </c>
      <c r="AE18" s="882">
        <f>IF($O19=0,0,        _xll.qDateNext($O18,AE$17,$AH$16,TRUE,Currency1))</f>
        <v>40854</v>
      </c>
      <c r="AF18" s="882">
        <f>IF($O19=0,0,        _xll.qDateNext($O18,AF$17,$AH$16,TRUE,Currency1))</f>
        <v>40883</v>
      </c>
      <c r="AG18" s="882">
        <f>IF($O19=0,0,        _xll.qDateNext($O18,AG$17,$AH$16,TRUE,Currency1))</f>
        <v>40914</v>
      </c>
      <c r="AH18" s="882">
        <f>IF($O19=0,0,        _xll.qDateNext($O18,AH$17,$AH$16,TRUE,Currency1))</f>
        <v>41096</v>
      </c>
      <c r="AI18" s="886">
        <f>IF($O19=0,0,           IF(FRM,_xll.qGetFwdRate(AI$14,$O18,AA18,"T",DCC_Leg1_Float),_xll.qGetFwdRate(AI$14,$O18,$O19,"T",DCC_Leg1_Float)))</f>
        <v>4.7424999999999873</v>
      </c>
      <c r="AJ18" s="886">
        <f>IF($O19=0,0,           IF(FRM,_xll.qGetFwdRate(AJ$14,$O18,AB18,"T",DCC_Leg1_Float),_xll.qGetFwdRate(AJ$14,$O18,$O19,"T",DCC_Leg1_Float)))</f>
        <v>4.8200000000000092</v>
      </c>
      <c r="AK18" s="886">
        <f t="shared" ref="AK18:AK81" si="1">AVERAGE(AJ18,AL18)</f>
        <v>4.8899999999999846</v>
      </c>
      <c r="AL18" s="886">
        <f>IF($O19=0,0,           IF(FRM,_xll.qGetFwdRate(AL$14,$O18,AD18,"T",DCC_Leg1_Float),_xll.qGetFwdRate(AL$14,$O18,$O19,"T",DCC_Leg1_Float)))</f>
        <v>4.9599999999999591</v>
      </c>
      <c r="AM18" s="886">
        <f>(AO18-AL18)/3+AL18</f>
        <v>4.9878803394404976</v>
      </c>
      <c r="AN18" s="886">
        <f>AVERAGE(AM18,AO18)</f>
        <v>5.015760678881036</v>
      </c>
      <c r="AO18" s="886">
        <f>IF($O19=0,0,           IF(FRM,_xll.qGetFwdRate(AO$14,$O18,AG18,"T",DCC_Leg1_Float),_xll.qGetFwdRate(AO$14,$O18,$O19,"T",DCC_Leg1_Float)))</f>
        <v>5.0436410183215745</v>
      </c>
      <c r="AP18" s="886">
        <f>IF($O19=0,0,           IF(FRM,_xll.qGetFwdRate(AP$14,$O18,AH18,"T",DCC_Leg1_Float),_xll.qGetFwdRate(AP$14,$O18,$O19,"T",DCC_Leg1_Float)))</f>
        <v>5.0436410183215745</v>
      </c>
      <c r="AQ18" s="648">
        <f t="shared" ref="AQ18:AX18" si="2">IF(ISNUMBER(S18),S18,AI18)</f>
        <v>4.7424999999999873</v>
      </c>
      <c r="AR18" s="648">
        <f t="shared" si="2"/>
        <v>4.8200000000000092</v>
      </c>
      <c r="AS18" s="648">
        <f t="shared" si="2"/>
        <v>4.8899999999999846</v>
      </c>
      <c r="AT18" s="648">
        <f t="shared" si="2"/>
        <v>4.9599999999999591</v>
      </c>
      <c r="AU18" s="648">
        <f t="shared" si="2"/>
        <v>4.9878803394404976</v>
      </c>
      <c r="AV18" s="648">
        <f t="shared" si="2"/>
        <v>5.015760678881036</v>
      </c>
      <c r="AW18" s="648">
        <f t="shared" si="2"/>
        <v>5.0436410183215745</v>
      </c>
      <c r="AX18" s="648">
        <f t="shared" si="2"/>
        <v>5.0436410183215745</v>
      </c>
      <c r="AY18" s="634" t="str">
        <f t="array" ref="AY18:AY516">IF(ISERROR(SUM(P18:P516,InterpTrigger,DCC_Leg1_Float)/0),          TheoreticalRoll(P18:P516+0,InterpTrigger,DCC_Leg1_Float))</f>
        <v>3M</v>
      </c>
      <c r="AZ18" s="616"/>
      <c r="BA18" s="619">
        <f>IF(O19=0,0,             IF(ISNUMBER(AZ18),AZ18,             IF(ISTEXT(AZ18),INDEX(AQ18:AX18,MATCH(AZ18,$AQ$17:$AX$17,0)),           IF(AY18="INT",_xll.qInterp(O19,AA18:AH18,AQ18:AX18),       INDEX(AQ18:AX18,MATCH(AY18,$AQ$17:$AX$17,0))))))</f>
        <v>4.9599999999999591</v>
      </c>
      <c r="BB18" s="674">
        <v>100</v>
      </c>
      <c r="BC18" s="666">
        <f t="shared" ref="BC18:BC81" si="3">IF(O19,BB18*1000000*$BE$11,0)</f>
        <v>100000000</v>
      </c>
      <c r="BD18" s="268">
        <f>IF($O19=0,0,                IF(LEFT(DCC_Leg1_Fixed,2)="1/",uEvaluate(DCC_Leg1_Fixed),        _xll.qDateYears($O18,$O19,DCC_Leg1_Fixed)))</f>
        <v>0.25555555555555554</v>
      </c>
      <c r="BE18" s="268">
        <f>IF($O19,_xll.qDateYears($O18,$O19,DCC_Leg1_Float),0)</f>
        <v>0.25205479452054796</v>
      </c>
      <c r="BG18" s="332">
        <f>IF(Principal1?,-$BC18,0)</f>
        <v>0</v>
      </c>
      <c r="BH18" s="357"/>
      <c r="BI18" s="527"/>
      <c r="BK18" s="324">
        <f>SUM(BG18:BI18)</f>
        <v>0</v>
      </c>
      <c r="BM18" s="338"/>
      <c r="BN18" s="121">
        <f t="array" ref="BN18:BN517">_xll.qArrayPad(_xll.qDateSchedule(IF(ISNUMBER(Start),Start,Today),IF(ISNUMBER(Start),"0b",Start),End,Freq2,BusDayAdj2,EOM_2,Holidays,Anniv,Stubs2),0)</f>
        <v>40730</v>
      </c>
      <c r="BO18" s="755">
        <f t="shared" ref="BO18:BO81" si="4">IF(BN19,BN19-BN18,0)</f>
        <v>92</v>
      </c>
      <c r="BP18" s="339">
        <f t="array" ref="BP18:BP517">_xll.qGetDF(J11,BN18:BN517)</f>
        <v>0.99986987994713017</v>
      </c>
      <c r="BQ18" s="890">
        <f>IF(BN19=0,0,         IF(OR(Currency2="AUD",Currency1="NZD",Currency2="GBP"),BN18,   _xll.qDateNext(BN18,"-2b",,,IF(Currency2="EUR","TGT","LON"))))</f>
        <v>40730</v>
      </c>
      <c r="BR18" s="879" t="str">
        <f t="array" ref="BR18:BY516">IF(ISERROR(SUM(Currency2,BQ18:BQ516)/0),GetHistoricalRateSets(Currency2,BQ18:BQ516) )</f>
        <v/>
      </c>
      <c r="BS18" s="879" t="str">
        <v/>
      </c>
      <c r="BT18" s="879" t="str">
        <v/>
      </c>
      <c r="BU18" s="879" t="str">
        <v/>
      </c>
      <c r="BV18" s="879" t="str">
        <v/>
      </c>
      <c r="BW18" s="879" t="str">
        <v/>
      </c>
      <c r="BX18" s="879" t="str">
        <v/>
      </c>
      <c r="BY18" s="879" t="str">
        <v/>
      </c>
      <c r="BZ18" s="882">
        <f>IF($BN19=0,0,        _xll.qDateNext($BN18,BZ$17,$CG$16,TRUE,Currency2))</f>
        <v>40731</v>
      </c>
      <c r="CA18" s="882">
        <f>IF($BN19=0,0,        _xll.qDateNext($BN18,CA$17,$CG$16,TRUE,Currency2))</f>
        <v>40763</v>
      </c>
      <c r="CB18" s="882">
        <f>IF($BN19=0,0,        _xll.qDateNext($BN18,CB$17,$CG$16,TRUE,Currency2))</f>
        <v>40792</v>
      </c>
      <c r="CC18" s="882">
        <f>IF($BN19=0,0,        _xll.qDateNext($BN18,CC$17,$CG$16,TRUE,Currency2))</f>
        <v>40822</v>
      </c>
      <c r="CD18" s="882">
        <f>IF($BN19=0,0,        _xll.qDateNext($BN18,CD$17,$CG$16,TRUE,Currency2))</f>
        <v>40854</v>
      </c>
      <c r="CE18" s="882">
        <f>IF($BN19=0,0,        _xll.qDateNext($BN18,CE$17,$CG$16,TRUE,Currency2))</f>
        <v>40883</v>
      </c>
      <c r="CF18" s="882">
        <f>IF($BN19=0,0,        _xll.qDateNext($BN18,CF$17,$CG$16,TRUE,Currency2))</f>
        <v>40914</v>
      </c>
      <c r="CG18" s="882">
        <f>IF($BN19=0,0,        _xll.qDateNext($BN18,CG$17,$CG$16,TRUE,Currency2))</f>
        <v>41096</v>
      </c>
      <c r="CH18" s="886">
        <f t="array" ref="CH18:CH516">IF(FRM,_xll.qGetFwdRate(CH14,$BN18:$BN516,BZ18:BZ516,"T",DCC_Leg2_Float),_xll.qGetFwdRate(CH14,$BN18:$BN516,$BN19:$BN517,"T",DCC_Leg2_Float))</f>
        <v>4.7424999999999873</v>
      </c>
      <c r="CI18" s="886">
        <f t="array" ref="CI18:CI516">IF(FRM,_xll.qGetFwdRate(CI14,$BN18:$BN516,CA18:CA516,"T",DCC_Leg2_Float),_xll.qGetFwdRate(CI14,$BN18:$BN516,$BN19:$BN517,"T",DCC_Leg2_Float))</f>
        <v>4.8200000000000092</v>
      </c>
      <c r="CJ18" s="886">
        <f t="array" ref="CJ18:CJ516">IF(FRM,(_xll.qGetFwdRate(CI14,$BN18:$BN516,CB18:CB516,"T",DCC_Leg2_Float)+_xll.qGetFwdRate(CK14,$BN18:$BN516,CB18:CB516,"T",DCC_Leg2_Float))/2,(_xll.qGetFwdRate(CI14,$BN18:$BN516,$BN19:$BN517,"T",DCC_Leg2_Float)+_xll.qGetFwdRate(CK14,$BN18:$BN516,$BN19:$BN517,"T",DCC_Leg2_Float))/2)</f>
        <v>4.8899999999999846</v>
      </c>
      <c r="CK18" s="886">
        <f t="array" ref="CK18:CK516">IF(FRM,_xll.qGetFwdRate(CK14,$BN18:$BN516,CC18:CC516,"T",DCC_Leg2_Float),_xll.qGetFwdRate(CK14,$BN18:$BN516,$BN19:$BN517,"T",DCC_Leg2_Float))</f>
        <v>4.9599999999999591</v>
      </c>
      <c r="CL18" s="886">
        <f t="shared" ref="CL18:CL82" si="5">(CN18-CK18)/3+CK18</f>
        <v>4.9878803394404976</v>
      </c>
      <c r="CM18" s="886">
        <f>AVERAGE(CL18,CN18)</f>
        <v>5.015760678881036</v>
      </c>
      <c r="CN18" s="886">
        <f t="array" ref="CN18:CN516">IF(FRM,_xll.qGetFwdRate(CN14,$BN18:$BN516,CF18:CF516,"T",DCC_Leg2_Float),_xll.qGetFwdRate(CN14,$BN18:$BN516,$BN19:$BN517,"T",DCC_Leg2_Float))</f>
        <v>5.0436410183215745</v>
      </c>
      <c r="CO18" s="886">
        <f t="array" ref="CO18:CO516">IF(FRM,_xll.qGetFwdRate(CO14,$BN18:$BN516,CG18:CG516,"T",DCC_Leg2_Float),_xll.qGetFwdRate(CO14,$BN18:$BN516,$BN19:$BN517,"T",DCC_Leg2_Float))</f>
        <v>5.0436410183215745</v>
      </c>
      <c r="CP18" s="648">
        <f t="shared" ref="CP18:CP81" si="6">IF($BN18=0,0,      IF(ISNUMBER(BR18),BR18,CH18))</f>
        <v>4.7424999999999873</v>
      </c>
      <c r="CQ18" s="648">
        <f t="shared" ref="CQ18:CQ81" si="7">IF($BN18=0,0,      IF(ISNUMBER(BS18),BS18,CI18))</f>
        <v>4.8200000000000092</v>
      </c>
      <c r="CR18" s="648">
        <f t="shared" ref="CR18:CR81" si="8">IF($BN18=0,0,      IF(ISNUMBER(BT18),BT18,CJ18))</f>
        <v>4.8899999999999846</v>
      </c>
      <c r="CS18" s="648">
        <f t="shared" ref="CS18:CS81" si="9">IF($BN18=0,0,      IF(ISNUMBER(BU18),BU18,CK18))</f>
        <v>4.9599999999999591</v>
      </c>
      <c r="CT18" s="648">
        <f t="shared" ref="CT18:CT81" si="10">IF($BN18=0,0,      IF(ISNUMBER(BV18),BV18,CL18))</f>
        <v>4.9878803394404976</v>
      </c>
      <c r="CU18" s="648">
        <f t="shared" ref="CU18:CU81" si="11">IF($BN18=0,0,      IF(ISNUMBER(BW18),BW18,CM18))</f>
        <v>5.015760678881036</v>
      </c>
      <c r="CV18" s="648">
        <f t="shared" ref="CV18:CV81" si="12">IF($BN18=0,0,      IF(ISNUMBER(BX18),BX18,CN18))</f>
        <v>5.0436410183215745</v>
      </c>
      <c r="CW18" s="648">
        <f t="shared" ref="CW18:CW81" si="13">IF($BN18=0,0,      IF(ISNUMBER(BY18),BY18,CO18))</f>
        <v>5.0436410183215745</v>
      </c>
      <c r="CX18" s="634" t="str">
        <f t="array" ref="CX18:CX516">IF(ISERROR(SUM(BO18:BO516,InterpTrigger,DCC_Leg2_Float)/0),        TheoreticalRoll(BO18:BO516+0,InterpTrigger,DCC_Leg2_Float))</f>
        <v>3M</v>
      </c>
      <c r="CY18" s="616"/>
      <c r="CZ18" s="619">
        <f>IF(BN19=0,0,             IF(ISNUMBER(CY18),CY18,             IF(ISTEXT(CY18),INDEX(CP18:CW18,MATCH(CY18,$CP$17:$CW$17,0)),           IF(CX18="INT",_xll.qInterp(BN19,BZ18:CG18,CP18:CW18),       INDEX(CP18:CW18,MATCH(CX18,$CP$17:$CW$17,0))))))</f>
        <v>4.9599999999999591</v>
      </c>
      <c r="DA18" s="755">
        <f t="shared" ref="DA18:DA81" si="14">IF(BN19,INDEX($BB$18:$BB$516,MATCH(BN18,OFFSET($O$18,0,0,$BE$12,1)))*FaceFX,0)</f>
        <v>100</v>
      </c>
      <c r="DB18" s="387">
        <f t="shared" ref="DB18:DB81" si="15">IF(BN18,DA18*1000000*$DD$11,0)</f>
        <v>-100000000</v>
      </c>
      <c r="DC18" s="268">
        <f>IF($BN19=0,0,         IF(LEFT(DCC_Leg2_Fixed,2)="1/",uEvaluate(DCC_Leg2_Fixed),         _xll.qDateYears($BN18,$BN19,DCC_Leg2_Fixed)))</f>
        <v>0.25205479452054796</v>
      </c>
      <c r="DD18" s="268">
        <f>IF($BN19,_xll.qDateYears($BN18,$BN19,DCC_Leg2_Float),0)</f>
        <v>0.25205479452054796</v>
      </c>
      <c r="DF18" s="332">
        <f>IF(Principal2?,-$DB18,0)</f>
        <v>0</v>
      </c>
      <c r="DG18" s="928"/>
      <c r="DH18" s="527"/>
      <c r="DJ18" s="324">
        <f>SUM(DF18:DH18)</f>
        <v>0</v>
      </c>
      <c r="DK18" s="529"/>
      <c r="DL18" s="338"/>
    </row>
    <row r="19" spans="2:131">
      <c r="M19" s="149" t="s">
        <v>78</v>
      </c>
      <c r="O19" s="121">
        <v>40822</v>
      </c>
      <c r="P19" s="755">
        <f t="shared" si="0"/>
        <v>92</v>
      </c>
      <c r="Q19" s="125">
        <v>0.98752393685492101</v>
      </c>
      <c r="R19" s="890">
        <f>IF(O20=0,0,         IF(OR(Currency1="AUD",Currency1="NZD",Currency1="GBP"),O19,   _xll.qDateNext(O19,"-2b",,,IF(Currency1="EUR","TGT","LON"))))</f>
        <v>40822</v>
      </c>
      <c r="S19" s="879" t="str">
        <v/>
      </c>
      <c r="T19" s="879" t="str">
        <v/>
      </c>
      <c r="U19" s="879" t="str">
        <v/>
      </c>
      <c r="V19" s="879" t="str">
        <v/>
      </c>
      <c r="W19" s="879" t="str">
        <v/>
      </c>
      <c r="X19" s="879" t="str">
        <v/>
      </c>
      <c r="Y19" s="879" t="str">
        <v/>
      </c>
      <c r="Z19" s="879" t="str">
        <v/>
      </c>
      <c r="AA19" s="882">
        <f>IF($O20=0,0,        _xll.qDateNext($O19,AA$17,$AH$16,TRUE,Currency1))</f>
        <v>40823</v>
      </c>
      <c r="AB19" s="882">
        <f>IF($O20=0,0,        _xll.qDateNext($O19,AB$17,$AH$16,TRUE,Currency1))</f>
        <v>40854</v>
      </c>
      <c r="AC19" s="882">
        <f>IF($O20=0,0,        _xll.qDateNext($O19,AC$17,$AH$16,TRUE,Currency1))</f>
        <v>40883</v>
      </c>
      <c r="AD19" s="882">
        <f>IF($O20=0,0,        _xll.qDateNext($O19,AD$17,$AH$16,TRUE,Currency1))</f>
        <v>40914</v>
      </c>
      <c r="AE19" s="882">
        <f>IF($O20=0,0,        _xll.qDateNext($O19,AE$17,$AH$16,TRUE,Currency1))</f>
        <v>40945</v>
      </c>
      <c r="AF19" s="882">
        <f>IF($O20=0,0,        _xll.qDateNext($O19,AF$17,$AH$16,TRUE,Currency1))</f>
        <v>40974</v>
      </c>
      <c r="AG19" s="882">
        <f>IF($O20=0,0,        _xll.qDateNext($O19,AG$17,$AH$16,TRUE,Currency1))</f>
        <v>41009</v>
      </c>
      <c r="AH19" s="882">
        <f>IF($O20=0,0,        _xll.qDateNext($O19,AH$17,$AH$16,TRUE,Currency1))</f>
        <v>41190</v>
      </c>
      <c r="AI19" s="886">
        <f>IF($O20=0,0,           IF(FRM,_xll.qGetFwdRate(AI$14,$O19,AA19,"T",DCC_Leg1_Float),_xll.qGetFwdRate(AI$14,$O19,$O20,"T",DCC_Leg1_Float)))</f>
        <v>4.7111839271438143</v>
      </c>
      <c r="AJ19" s="886">
        <f>IF($O20=0,0,           IF(FRM,_xll.qGetFwdRate(AJ$14,$O19,AB19,"T",DCC_Leg1_Float),_xll.qGetFwdRate(AJ$14,$O19,$O20,"T",DCC_Leg1_Float)))</f>
        <v>4.7720244785001897</v>
      </c>
      <c r="AK19" s="886">
        <f t="shared" si="1"/>
        <v>4.8021646816811403</v>
      </c>
      <c r="AL19" s="886">
        <f>IF($O20=0,0,           IF(FRM,_xll.qGetFwdRate(AL$14,$O19,AD19,"T",DCC_Leg1_Float),_xll.qGetFwdRate(AL$14,$O19,$O20,"T",DCC_Leg1_Float)))</f>
        <v>4.8323048848620909</v>
      </c>
      <c r="AM19" s="886">
        <f t="shared" ref="AM19:AM82" si="16">(AO19-AL19)/3+AL19</f>
        <v>4.8594999168588151</v>
      </c>
      <c r="AN19" s="886">
        <f t="shared" ref="AN19:AN82" si="17">AVERAGE(AM19,AO19)</f>
        <v>4.8866949488555402</v>
      </c>
      <c r="AO19" s="886">
        <f>IF($O20=0,0,           IF(FRM,_xll.qGetFwdRate(AO$14,$O19,AG19,"T",DCC_Leg1_Float),_xll.qGetFwdRate(AO$14,$O19,$O20,"T",DCC_Leg1_Float)))</f>
        <v>4.9138899808522645</v>
      </c>
      <c r="AP19" s="886">
        <f>IF($O20=0,0,           IF(FRM,_xll.qGetFwdRate(AP$14,$O19,AH19,"T",DCC_Leg1_Float),_xll.qGetFwdRate(AP$14,$O19,$O20,"T",DCC_Leg1_Float)))</f>
        <v>4.9138899808522645</v>
      </c>
      <c r="AQ19" s="648">
        <f t="shared" ref="AQ19:AQ82" si="18">IF(ISNUMBER(S19),S19,AI19)</f>
        <v>4.7111839271438143</v>
      </c>
      <c r="AR19" s="648">
        <f t="shared" ref="AR19:AR82" si="19">IF(ISNUMBER(T19),T19,AJ19)</f>
        <v>4.7720244785001897</v>
      </c>
      <c r="AS19" s="648">
        <f t="shared" ref="AS19:AS82" si="20">IF(ISNUMBER(U19),U19,AK19)</f>
        <v>4.8021646816811403</v>
      </c>
      <c r="AT19" s="648">
        <f t="shared" ref="AT19:AT82" si="21">IF(ISNUMBER(V19),V19,AL19)</f>
        <v>4.8323048848620909</v>
      </c>
      <c r="AU19" s="648">
        <f t="shared" ref="AU19:AU82" si="22">IF(ISNUMBER(W19),W19,AM19)</f>
        <v>4.8594999168588151</v>
      </c>
      <c r="AV19" s="648">
        <f t="shared" ref="AV19:AV82" si="23">IF(ISNUMBER(X19),X19,AN19)</f>
        <v>4.8866949488555402</v>
      </c>
      <c r="AW19" s="648">
        <f t="shared" ref="AW19:AW82" si="24">IF(ISNUMBER(Y19),Y19,AO19)</f>
        <v>4.9138899808522645</v>
      </c>
      <c r="AX19" s="648">
        <f t="shared" ref="AX19:AX82" si="25">IF(ISNUMBER(Z19),Z19,AP19)</f>
        <v>4.9138899808522645</v>
      </c>
      <c r="AY19" s="634" t="str">
        <v>3M</v>
      </c>
      <c r="AZ19" s="616"/>
      <c r="BA19" s="619">
        <f>IF(O20=0,0,             IF(ISNUMBER(AZ19),AZ19,             IF(ISTEXT(AZ19),INDEX(AQ19:AX19,MATCH(AZ19,$AQ$17:$AX$17,0)),           IF(AY19="INT",_xll.qInterp(O20,AA19:AH19,AQ19:AX19),       INDEX(AQ19:AX19,MATCH(AY19,$AQ$17:$AX$17,0))))))</f>
        <v>4.8323048848620909</v>
      </c>
      <c r="BB19" s="674">
        <v>100</v>
      </c>
      <c r="BC19" s="666">
        <f t="shared" si="3"/>
        <v>100000000</v>
      </c>
      <c r="BD19" s="268">
        <f>IF($O20=0,0,                IF(LEFT(DCC_Leg1_Fixed,2)="1/",uEvaluate(DCC_Leg1_Fixed),        _xll.qDateYears($O19,$O20,DCC_Leg1_Fixed)))</f>
        <v>0.25555555555555554</v>
      </c>
      <c r="BE19" s="268">
        <f>IF($O20,_xll.qDateYears($O19,$O20,DCC_Leg1_Float),0)</f>
        <v>0.25205479452054796</v>
      </c>
      <c r="BG19" s="332">
        <f t="shared" ref="BG19:BG82" si="26">IF(Principal1?,$BC18-$BC19,       0)</f>
        <v>0</v>
      </c>
      <c r="BH19" s="357">
        <f t="shared" ref="BH19:BH82" si="27">IF(GenType_1a="Fixed",GenRate_1a%*$BC18*BD18,          IF(GenType_1a="Float",$BC18*(BA18%+GenRate_1a%%)*$BE18,        IF(GenType_1a="bp (Fixed)",GenRate_1a%%*$BD18*$BC18,   IF(GenType_1a="bp (Float)",GenRate_1a%%*$BC18*$BE18,0))))</f>
        <v>0</v>
      </c>
      <c r="BI19" s="527"/>
      <c r="BK19" s="324">
        <f>SUM(BG19:BI19)</f>
        <v>0</v>
      </c>
      <c r="BM19" s="338"/>
      <c r="BN19" s="121">
        <v>40822</v>
      </c>
      <c r="BO19" s="755">
        <f t="shared" si="4"/>
        <v>92</v>
      </c>
      <c r="BP19" s="339">
        <v>0.98752393685492101</v>
      </c>
      <c r="BQ19" s="890">
        <f>IF(BN20=0,0,         IF(OR(Currency2="AUD",Currency1="NZD",Currency2="GBP"),BN19,   _xll.qDateNext(BN19,"-2b",,,IF(Currency2="EUR","TGT","LON"))))</f>
        <v>40822</v>
      </c>
      <c r="BR19" s="879" t="str">
        <v/>
      </c>
      <c r="BS19" s="879" t="str">
        <v/>
      </c>
      <c r="BT19" s="879" t="str">
        <v/>
      </c>
      <c r="BU19" s="879" t="str">
        <v/>
      </c>
      <c r="BV19" s="879" t="str">
        <v/>
      </c>
      <c r="BW19" s="879" t="str">
        <v/>
      </c>
      <c r="BX19" s="879" t="str">
        <v/>
      </c>
      <c r="BY19" s="879" t="str">
        <v/>
      </c>
      <c r="BZ19" s="882">
        <f>IF($BN20=0,0,        _xll.qDateNext($BN19,BZ$17,$CG$16,TRUE,Currency2))</f>
        <v>40823</v>
      </c>
      <c r="CA19" s="882">
        <f>IF($BN20=0,0,        _xll.qDateNext($BN19,CA$17,$CG$16,TRUE,Currency2))</f>
        <v>40854</v>
      </c>
      <c r="CB19" s="882">
        <f>IF($BN20=0,0,        _xll.qDateNext($BN19,CB$17,$CG$16,TRUE,Currency2))</f>
        <v>40883</v>
      </c>
      <c r="CC19" s="882">
        <f>IF($BN20=0,0,        _xll.qDateNext($BN19,CC$17,$CG$16,TRUE,Currency2))</f>
        <v>40914</v>
      </c>
      <c r="CD19" s="882">
        <f>IF($BN20=0,0,        _xll.qDateNext($BN19,CD$17,$CG$16,TRUE,Currency2))</f>
        <v>40945</v>
      </c>
      <c r="CE19" s="882">
        <f>IF($BN20=0,0,        _xll.qDateNext($BN19,CE$17,$CG$16,TRUE,Currency2))</f>
        <v>40974</v>
      </c>
      <c r="CF19" s="882">
        <f>IF($BN20=0,0,        _xll.qDateNext($BN19,CF$17,$CG$16,TRUE,Currency2))</f>
        <v>41009</v>
      </c>
      <c r="CG19" s="882">
        <f>IF($BN20=0,0,        _xll.qDateNext($BN19,CG$17,$CG$16,TRUE,Currency2))</f>
        <v>41190</v>
      </c>
      <c r="CH19" s="886">
        <v>4.7111839271438143</v>
      </c>
      <c r="CI19" s="886">
        <v>4.7720244785001897</v>
      </c>
      <c r="CJ19" s="886">
        <v>4.8021646816811403</v>
      </c>
      <c r="CK19" s="886">
        <v>4.8323048848620909</v>
      </c>
      <c r="CL19" s="886">
        <f t="shared" si="5"/>
        <v>4.8594999168588151</v>
      </c>
      <c r="CM19" s="886">
        <f t="shared" ref="CM19:CM82" si="28">AVERAGE(CL19,CN19)</f>
        <v>4.8866949488555402</v>
      </c>
      <c r="CN19" s="886">
        <v>4.9138899808522645</v>
      </c>
      <c r="CO19" s="886">
        <v>4.9138899808522645</v>
      </c>
      <c r="CP19" s="648">
        <f t="shared" si="6"/>
        <v>4.7111839271438143</v>
      </c>
      <c r="CQ19" s="648">
        <f t="shared" si="7"/>
        <v>4.7720244785001897</v>
      </c>
      <c r="CR19" s="648">
        <f t="shared" si="8"/>
        <v>4.8021646816811403</v>
      </c>
      <c r="CS19" s="648">
        <f t="shared" si="9"/>
        <v>4.8323048848620909</v>
      </c>
      <c r="CT19" s="648">
        <f t="shared" si="10"/>
        <v>4.8594999168588151</v>
      </c>
      <c r="CU19" s="648">
        <f t="shared" si="11"/>
        <v>4.8866949488555402</v>
      </c>
      <c r="CV19" s="648">
        <f t="shared" si="12"/>
        <v>4.9138899808522645</v>
      </c>
      <c r="CW19" s="648">
        <f t="shared" si="13"/>
        <v>4.9138899808522645</v>
      </c>
      <c r="CX19" s="634" t="str">
        <v>3M</v>
      </c>
      <c r="CY19" s="616"/>
      <c r="CZ19" s="619">
        <f>IF(BN20=0,0,             IF(ISNUMBER(CY19),CY19,             IF(ISTEXT(CY19),INDEX(CP19:CW19,MATCH(CY19,$CP$17:$CW$17,0)),           IF(CX19="INT",_xll.qInterp(BN20,BZ19:CG19,CP19:CW19),       INDEX(CP19:CW19,MATCH(CX19,$CP$17:$CW$17,0))))))</f>
        <v>4.8323048848620909</v>
      </c>
      <c r="DA19" s="755">
        <f t="shared" si="14"/>
        <v>100</v>
      </c>
      <c r="DB19" s="387">
        <f t="shared" si="15"/>
        <v>-100000000</v>
      </c>
      <c r="DC19" s="268">
        <f>IF($BN20=0,0,         IF(LEFT(DCC_Leg2_Fixed,2)="1/",uEvaluate(DCC_Leg2_Fixed),         _xll.qDateYears($BN19,$BN20,DCC_Leg2_Fixed)))</f>
        <v>0.25205479452054796</v>
      </c>
      <c r="DD19" s="268">
        <f>IF($BN20,_xll.qDateYears($BN19,$BN20,DCC_Leg2_Float),0)</f>
        <v>0.25205479452054796</v>
      </c>
      <c r="DF19" s="332">
        <f t="shared" ref="DF19:DF82" si="29">IF(Principal2?,$DB18-$DB19,       0)</f>
        <v>0</v>
      </c>
      <c r="DG19" s="357">
        <f t="shared" ref="DG19:DG82" si="30">IF(GenType_2a="Fixed",GenRate_2a%*$DB18*DC18,          IF(GenType_2a="Float",$DB18*(CZ18%+GenRate_2a%%)*$DD18,        IF(GenType_2a="bp (Fixed)",GenRate_2a%%*$DC18*$DB18,   IF(GenType_2a="bp (Float)",GenRate_2a%%*$DB18*$DD18,0))))</f>
        <v>0</v>
      </c>
      <c r="DH19" s="527"/>
      <c r="DJ19" s="324">
        <f t="shared" ref="DJ19:DJ40" si="31">SUM(DF19:DH19)</f>
        <v>0</v>
      </c>
      <c r="DK19" s="529"/>
      <c r="DL19" s="338"/>
    </row>
    <row r="20" spans="2:131">
      <c r="B20" s="149" t="s">
        <v>630</v>
      </c>
      <c r="C20" s="150" t="s">
        <v>0</v>
      </c>
      <c r="D20" s="149">
        <f>RIGHT(DCC_Leg1_Float,3)/12</f>
        <v>30.416666666666668</v>
      </c>
      <c r="O20" s="121">
        <v>40914</v>
      </c>
      <c r="P20" s="755">
        <f t="shared" si="0"/>
        <v>95</v>
      </c>
      <c r="Q20" s="125">
        <v>0.97564057981239671</v>
      </c>
      <c r="R20" s="890">
        <f>IF(O21=0,0,         IF(OR(Currency1="AUD",Currency1="NZD",Currency1="GBP"),O20,   _xll.qDateNext(O20,"-2b",,,IF(Currency1="EUR","TGT","LON"))))</f>
        <v>40914</v>
      </c>
      <c r="S20" s="879" t="str">
        <v/>
      </c>
      <c r="T20" s="879" t="str">
        <v/>
      </c>
      <c r="U20" s="879" t="str">
        <v/>
      </c>
      <c r="V20" s="879" t="str">
        <v/>
      </c>
      <c r="W20" s="879" t="str">
        <v/>
      </c>
      <c r="X20" s="879" t="str">
        <v/>
      </c>
      <c r="Y20" s="879" t="str">
        <v/>
      </c>
      <c r="Z20" s="879" t="str">
        <v/>
      </c>
      <c r="AA20" s="882">
        <f>IF($O21=0,0,        _xll.qDateNext($O20,AA$17,$AH$16,TRUE,Currency1))</f>
        <v>40917</v>
      </c>
      <c r="AB20" s="882">
        <f>IF($O21=0,0,        _xll.qDateNext($O20,AB$17,$AH$16,TRUE,Currency1))</f>
        <v>40945</v>
      </c>
      <c r="AC20" s="882">
        <f>IF($O21=0,0,        _xll.qDateNext($O20,AC$17,$AH$16,TRUE,Currency1))</f>
        <v>40974</v>
      </c>
      <c r="AD20" s="882">
        <f>IF($O21=0,0,        _xll.qDateNext($O20,AD$17,$AH$16,TRUE,Currency1))</f>
        <v>41009</v>
      </c>
      <c r="AE20" s="882">
        <f>IF($O21=0,0,        _xll.qDateNext($O20,AE$17,$AH$16,TRUE,Currency1))</f>
        <v>41036</v>
      </c>
      <c r="AF20" s="882">
        <f>IF($O21=0,0,        _xll.qDateNext($O20,AF$17,$AH$16,TRUE,Currency1))</f>
        <v>41066</v>
      </c>
      <c r="AG20" s="882">
        <f>IF($O21=0,0,        _xll.qDateNext($O20,AG$17,$AH$16,TRUE,Currency1))</f>
        <v>41096</v>
      </c>
      <c r="AH20" s="882">
        <f>IF($O21=0,0,        _xll.qDateNext($O20,AH$17,$AH$16,TRUE,Currency1))</f>
        <v>41281</v>
      </c>
      <c r="AI20" s="886">
        <f>IF($O21=0,0,           IF(FRM,_xll.qGetFwdRate(AI$14,$O20,AA20,"T",DCC_Leg1_Float),_xll.qGetFwdRate(AI$14,$O20,$O21,"T",DCC_Leg1_Float)))</f>
        <v>4.6990785196449272</v>
      </c>
      <c r="AJ20" s="886">
        <f>IF($O21=0,0,           IF(FRM,_xll.qGetFwdRate(AJ$14,$O20,AB20,"T",DCC_Leg1_Float),_xll.qGetFwdRate(AJ$14,$O20,$O21,"T",DCC_Leg1_Float)))</f>
        <v>4.7704129826102575</v>
      </c>
      <c r="AK20" s="886">
        <f t="shared" si="1"/>
        <v>4.8366137767656152</v>
      </c>
      <c r="AL20" s="886">
        <f>IF($O21=0,0,           IF(FRM,_xll.qGetFwdRate(AL$14,$O20,AD20,"T",DCC_Leg1_Float),_xll.qGetFwdRate(AL$14,$O20,$O21,"T",DCC_Leg1_Float)))</f>
        <v>4.9028145709209738</v>
      </c>
      <c r="AM20" s="886">
        <f t="shared" si="16"/>
        <v>4.9364777170764258</v>
      </c>
      <c r="AN20" s="886">
        <f t="shared" si="17"/>
        <v>4.9701408632318778</v>
      </c>
      <c r="AO20" s="886">
        <f>IF($O21=0,0,           IF(FRM,_xll.qGetFwdRate(AO$14,$O20,AG20,"T",DCC_Leg1_Float),_xll.qGetFwdRate(AO$14,$O20,$O21,"T",DCC_Leg1_Float)))</f>
        <v>5.0038040093873288</v>
      </c>
      <c r="AP20" s="886">
        <f>IF($O21=0,0,           IF(FRM,_xll.qGetFwdRate(AP$14,$O20,AH20,"T",DCC_Leg1_Float),_xll.qGetFwdRate(AP$14,$O20,$O21,"T",DCC_Leg1_Float)))</f>
        <v>5.0038040093873288</v>
      </c>
      <c r="AQ20" s="648">
        <f t="shared" si="18"/>
        <v>4.6990785196449272</v>
      </c>
      <c r="AR20" s="648">
        <f t="shared" si="19"/>
        <v>4.7704129826102575</v>
      </c>
      <c r="AS20" s="648">
        <f t="shared" si="20"/>
        <v>4.8366137767656152</v>
      </c>
      <c r="AT20" s="648">
        <f t="shared" si="21"/>
        <v>4.9028145709209738</v>
      </c>
      <c r="AU20" s="648">
        <f t="shared" si="22"/>
        <v>4.9364777170764258</v>
      </c>
      <c r="AV20" s="648">
        <f t="shared" si="23"/>
        <v>4.9701408632318778</v>
      </c>
      <c r="AW20" s="648">
        <f t="shared" si="24"/>
        <v>5.0038040093873288</v>
      </c>
      <c r="AX20" s="648">
        <f t="shared" si="25"/>
        <v>5.0038040093873288</v>
      </c>
      <c r="AY20" s="634" t="str">
        <v>3M</v>
      </c>
      <c r="AZ20" s="616"/>
      <c r="BA20" s="619">
        <f>IF(O21=0,0,             IF(ISNUMBER(AZ20),AZ20,             IF(ISTEXT(AZ20),INDEX(AQ20:AX20,MATCH(AZ20,$AQ$17:$AX$17,0)),           IF(AY20="INT",_xll.qInterp(O21,AA20:AH20,AQ20:AX20),       INDEX(AQ20:AX20,MATCH(AY20,$AQ$17:$AX$17,0))))))</f>
        <v>4.9028145709209738</v>
      </c>
      <c r="BB20" s="674">
        <v>100</v>
      </c>
      <c r="BC20" s="666">
        <f t="shared" si="3"/>
        <v>100000000</v>
      </c>
      <c r="BD20" s="268">
        <f>IF($O21=0,0,                IF(LEFT(DCC_Leg1_Fixed,2)="1/",uEvaluate(DCC_Leg1_Fixed),        _xll.qDateYears($O20,$O21,DCC_Leg1_Fixed)))</f>
        <v>0.2638888888888889</v>
      </c>
      <c r="BE20" s="268">
        <f>IF($O21,_xll.qDateYears($O20,$O21,DCC_Leg1_Float),0)</f>
        <v>0.26027397260273971</v>
      </c>
      <c r="BG20" s="332">
        <f t="shared" si="26"/>
        <v>0</v>
      </c>
      <c r="BH20" s="357">
        <f t="shared" si="27"/>
        <v>0</v>
      </c>
      <c r="BI20" s="527"/>
      <c r="BK20" s="324">
        <f t="shared" ref="BK20:BK39" si="32">SUM(BG20:BI20)</f>
        <v>0</v>
      </c>
      <c r="BM20" s="338"/>
      <c r="BN20" s="121">
        <v>40914</v>
      </c>
      <c r="BO20" s="755">
        <f t="shared" si="4"/>
        <v>95</v>
      </c>
      <c r="BP20" s="339">
        <v>0.97564057981239671</v>
      </c>
      <c r="BQ20" s="890">
        <f>IF(BN21=0,0,         IF(OR(Currency2="AUD",Currency1="NZD",Currency2="GBP"),BN20,   _xll.qDateNext(BN20,"-2b",,,IF(Currency2="EUR","TGT","LON"))))</f>
        <v>40914</v>
      </c>
      <c r="BR20" s="879" t="str">
        <v/>
      </c>
      <c r="BS20" s="879" t="str">
        <v/>
      </c>
      <c r="BT20" s="879" t="str">
        <v/>
      </c>
      <c r="BU20" s="879" t="str">
        <v/>
      </c>
      <c r="BV20" s="879" t="str">
        <v/>
      </c>
      <c r="BW20" s="879" t="str">
        <v/>
      </c>
      <c r="BX20" s="879" t="str">
        <v/>
      </c>
      <c r="BY20" s="879" t="str">
        <v/>
      </c>
      <c r="BZ20" s="882">
        <f>IF($BN21=0,0,        _xll.qDateNext($BN20,BZ$17,$CG$16,TRUE,Currency2))</f>
        <v>40917</v>
      </c>
      <c r="CA20" s="882">
        <f>IF($BN21=0,0,        _xll.qDateNext($BN20,CA$17,$CG$16,TRUE,Currency2))</f>
        <v>40945</v>
      </c>
      <c r="CB20" s="882">
        <f>IF($BN21=0,0,        _xll.qDateNext($BN20,CB$17,$CG$16,TRUE,Currency2))</f>
        <v>40974</v>
      </c>
      <c r="CC20" s="882">
        <f>IF($BN21=0,0,        _xll.qDateNext($BN20,CC$17,$CG$16,TRUE,Currency2))</f>
        <v>41009</v>
      </c>
      <c r="CD20" s="882">
        <f>IF($BN21=0,0,        _xll.qDateNext($BN20,CD$17,$CG$16,TRUE,Currency2))</f>
        <v>41036</v>
      </c>
      <c r="CE20" s="882">
        <f>IF($BN21=0,0,        _xll.qDateNext($BN20,CE$17,$CG$16,TRUE,Currency2))</f>
        <v>41066</v>
      </c>
      <c r="CF20" s="882">
        <f>IF($BN21=0,0,        _xll.qDateNext($BN20,CF$17,$CG$16,TRUE,Currency2))</f>
        <v>41096</v>
      </c>
      <c r="CG20" s="882">
        <f>IF($BN21=0,0,        _xll.qDateNext($BN20,CG$17,$CG$16,TRUE,Currency2))</f>
        <v>41281</v>
      </c>
      <c r="CH20" s="886">
        <v>4.6990785196449272</v>
      </c>
      <c r="CI20" s="886">
        <v>4.7704129826102575</v>
      </c>
      <c r="CJ20" s="886">
        <v>4.8366137767656152</v>
      </c>
      <c r="CK20" s="886">
        <v>4.9028145709209738</v>
      </c>
      <c r="CL20" s="886">
        <f t="shared" si="5"/>
        <v>4.9364777170764258</v>
      </c>
      <c r="CM20" s="886">
        <f t="shared" si="28"/>
        <v>4.9701408632318778</v>
      </c>
      <c r="CN20" s="886">
        <v>5.0038040093873288</v>
      </c>
      <c r="CO20" s="886">
        <v>5.0038040093873288</v>
      </c>
      <c r="CP20" s="648">
        <f t="shared" si="6"/>
        <v>4.6990785196449272</v>
      </c>
      <c r="CQ20" s="648">
        <f t="shared" si="7"/>
        <v>4.7704129826102575</v>
      </c>
      <c r="CR20" s="648">
        <f t="shared" si="8"/>
        <v>4.8366137767656152</v>
      </c>
      <c r="CS20" s="648">
        <f t="shared" si="9"/>
        <v>4.9028145709209738</v>
      </c>
      <c r="CT20" s="648">
        <f t="shared" si="10"/>
        <v>4.9364777170764258</v>
      </c>
      <c r="CU20" s="648">
        <f t="shared" si="11"/>
        <v>4.9701408632318778</v>
      </c>
      <c r="CV20" s="648">
        <f t="shared" si="12"/>
        <v>5.0038040093873288</v>
      </c>
      <c r="CW20" s="648">
        <f t="shared" si="13"/>
        <v>5.0038040093873288</v>
      </c>
      <c r="CX20" s="634" t="str">
        <v>3M</v>
      </c>
      <c r="CY20" s="616"/>
      <c r="CZ20" s="619">
        <f>IF(BN21=0,0,             IF(ISNUMBER(CY20),CY20,             IF(ISTEXT(CY20),INDEX(CP20:CW20,MATCH(CY20,$CP$17:$CW$17,0)),           IF(CX20="INT",_xll.qInterp(BN21,BZ20:CG20,CP20:CW20),       INDEX(CP20:CW20,MATCH(CX20,$CP$17:$CW$17,0))))))</f>
        <v>4.9028145709209738</v>
      </c>
      <c r="DA20" s="755">
        <f t="shared" si="14"/>
        <v>100</v>
      </c>
      <c r="DB20" s="387">
        <f t="shared" si="15"/>
        <v>-100000000</v>
      </c>
      <c r="DC20" s="268">
        <f>IF($BN21=0,0,         IF(LEFT(DCC_Leg2_Fixed,2)="1/",uEvaluate(DCC_Leg2_Fixed),         _xll.qDateYears($BN20,$BN21,DCC_Leg2_Fixed)))</f>
        <v>0.26027397260273971</v>
      </c>
      <c r="DD20" s="268">
        <f>IF($BN21,_xll.qDateYears($BN20,$BN21,DCC_Leg2_Float),0)</f>
        <v>0.26027397260273971</v>
      </c>
      <c r="DF20" s="332">
        <f t="shared" si="29"/>
        <v>0</v>
      </c>
      <c r="DG20" s="357">
        <f t="shared" si="30"/>
        <v>0</v>
      </c>
      <c r="DH20" s="527"/>
      <c r="DJ20" s="324">
        <f t="shared" si="31"/>
        <v>0</v>
      </c>
      <c r="DK20" s="529"/>
      <c r="DL20" s="338"/>
    </row>
    <row r="21" spans="2:131">
      <c r="C21" s="150" t="s">
        <v>1</v>
      </c>
      <c r="D21" s="149">
        <f>D20*2</f>
        <v>60.833333333333336</v>
      </c>
      <c r="O21" s="121">
        <v>41009</v>
      </c>
      <c r="P21" s="755">
        <f t="shared" si="0"/>
        <v>87</v>
      </c>
      <c r="Q21" s="125">
        <v>0.96334754241669684</v>
      </c>
      <c r="R21" s="890">
        <f>IF(O22=0,0,         IF(OR(Currency1="AUD",Currency1="NZD",Currency1="GBP"),O21,   _xll.qDateNext(O21,"-2b",,,IF(Currency1="EUR","TGT","LON"))))</f>
        <v>41009</v>
      </c>
      <c r="S21" s="879" t="str">
        <v/>
      </c>
      <c r="T21" s="879" t="str">
        <v/>
      </c>
      <c r="U21" s="879" t="str">
        <v/>
      </c>
      <c r="V21" s="879" t="str">
        <v/>
      </c>
      <c r="W21" s="879" t="str">
        <v/>
      </c>
      <c r="X21" s="879" t="str">
        <v/>
      </c>
      <c r="Y21" s="879" t="str">
        <v/>
      </c>
      <c r="Z21" s="879" t="str">
        <v/>
      </c>
      <c r="AA21" s="882">
        <f>IF($O22=0,0,        _xll.qDateNext($O21,AA$17,$AH$16,TRUE,Currency1))</f>
        <v>41010</v>
      </c>
      <c r="AB21" s="882">
        <f>IF($O22=0,0,        _xll.qDateNext($O21,AB$17,$AH$16,TRUE,Currency1))</f>
        <v>41039</v>
      </c>
      <c r="AC21" s="882">
        <f>IF($O22=0,0,        _xll.qDateNext($O21,AC$17,$AH$16,TRUE,Currency1))</f>
        <v>41072</v>
      </c>
      <c r="AD21" s="882">
        <f>IF($O22=0,0,        _xll.qDateNext($O21,AD$17,$AH$16,TRUE,Currency1))</f>
        <v>41100</v>
      </c>
      <c r="AE21" s="882">
        <f>IF($O22=0,0,        _xll.qDateNext($O21,AE$17,$AH$16,TRUE,Currency1))</f>
        <v>41131</v>
      </c>
      <c r="AF21" s="882">
        <f>IF($O22=0,0,        _xll.qDateNext($O21,AF$17,$AH$16,TRUE,Currency1))</f>
        <v>41162</v>
      </c>
      <c r="AG21" s="882">
        <f>IF($O22=0,0,        _xll.qDateNext($O21,AG$17,$AH$16,TRUE,Currency1))</f>
        <v>41192</v>
      </c>
      <c r="AH21" s="882">
        <f>IF($O22=0,0,        _xll.qDateNext($O21,AH$17,$AH$16,TRUE,Currency1))</f>
        <v>41374</v>
      </c>
      <c r="AI21" s="886">
        <f>IF($O22=0,0,           IF(FRM,_xll.qGetFwdRate(AI$14,$O21,AA21,"T",DCC_Leg1_Float),_xll.qGetFwdRate(AI$14,$O21,$O22,"T",DCC_Leg1_Float)))</f>
        <v>4.7427285959545156</v>
      </c>
      <c r="AJ21" s="886">
        <f>IF($O22=0,0,           IF(FRM,_xll.qGetFwdRate(AJ$14,$O21,AB21,"T",DCC_Leg1_Float),_xll.qGetFwdRate(AJ$14,$O21,$O22,"T",DCC_Leg1_Float)))</f>
        <v>4.8153007379002011</v>
      </c>
      <c r="AK21" s="886">
        <f t="shared" si="1"/>
        <v>4.892072151528545</v>
      </c>
      <c r="AL21" s="886">
        <f>IF($O22=0,0,           IF(FRM,_xll.qGetFwdRate(AL$14,$O21,AD21,"T",DCC_Leg1_Float),_xll.qGetFwdRate(AL$14,$O21,$O22,"T",DCC_Leg1_Float)))</f>
        <v>4.9688435651568899</v>
      </c>
      <c r="AM21" s="886">
        <f t="shared" si="16"/>
        <v>5.0064387912590274</v>
      </c>
      <c r="AN21" s="886">
        <f t="shared" si="17"/>
        <v>5.0440340173611649</v>
      </c>
      <c r="AO21" s="886">
        <f>IF($O22=0,0,           IF(FRM,_xll.qGetFwdRate(AO$14,$O21,AG21,"T",DCC_Leg1_Float),_xll.qGetFwdRate(AO$14,$O21,$O22,"T",DCC_Leg1_Float)))</f>
        <v>5.0816292434633032</v>
      </c>
      <c r="AP21" s="886">
        <f>IF($O22=0,0,           IF(FRM,_xll.qGetFwdRate(AP$14,$O21,AH21,"T",DCC_Leg1_Float),_xll.qGetFwdRate(AP$14,$O21,$O22,"T",DCC_Leg1_Float)))</f>
        <v>5.0816292434633032</v>
      </c>
      <c r="AQ21" s="648">
        <f t="shared" si="18"/>
        <v>4.7427285959545156</v>
      </c>
      <c r="AR21" s="648">
        <f t="shared" si="19"/>
        <v>4.8153007379002011</v>
      </c>
      <c r="AS21" s="648">
        <f t="shared" si="20"/>
        <v>4.892072151528545</v>
      </c>
      <c r="AT21" s="648">
        <f t="shared" si="21"/>
        <v>4.9688435651568899</v>
      </c>
      <c r="AU21" s="648">
        <f t="shared" si="22"/>
        <v>5.0064387912590274</v>
      </c>
      <c r="AV21" s="648">
        <f t="shared" si="23"/>
        <v>5.0440340173611649</v>
      </c>
      <c r="AW21" s="648">
        <f t="shared" si="24"/>
        <v>5.0816292434633032</v>
      </c>
      <c r="AX21" s="648">
        <f t="shared" si="25"/>
        <v>5.0816292434633032</v>
      </c>
      <c r="AY21" s="634" t="str">
        <v>3M</v>
      </c>
      <c r="AZ21" s="616"/>
      <c r="BA21" s="619">
        <f>IF(O22=0,0,             IF(ISNUMBER(AZ21),AZ21,             IF(ISTEXT(AZ21),INDEX(AQ21:AX21,MATCH(AZ21,$AQ$17:$AX$17,0)),           IF(AY21="INT",_xll.qInterp(O22,AA21:AH21,AQ21:AX21),       INDEX(AQ21:AX21,MATCH(AY21,$AQ$17:$AX$17,0))))))</f>
        <v>4.9688435651568899</v>
      </c>
      <c r="BB21" s="674">
        <v>100</v>
      </c>
      <c r="BC21" s="666">
        <f t="shared" si="3"/>
        <v>100000000</v>
      </c>
      <c r="BD21" s="268">
        <f>IF($O22=0,0,                IF(LEFT(DCC_Leg1_Fixed,2)="1/",uEvaluate(DCC_Leg1_Fixed),        _xll.qDateYears($O21,$O22,DCC_Leg1_Fixed)))</f>
        <v>0.24166666666666667</v>
      </c>
      <c r="BE21" s="268">
        <f>IF($O22,_xll.qDateYears($O21,$O22,DCC_Leg1_Float),0)</f>
        <v>0.23835616438356164</v>
      </c>
      <c r="BG21" s="332">
        <f t="shared" si="26"/>
        <v>0</v>
      </c>
      <c r="BH21" s="357">
        <f t="shared" si="27"/>
        <v>0</v>
      </c>
      <c r="BI21" s="527"/>
      <c r="BK21" s="324">
        <f t="shared" si="32"/>
        <v>0</v>
      </c>
      <c r="BM21" s="338"/>
      <c r="BN21" s="121">
        <v>41009</v>
      </c>
      <c r="BO21" s="755">
        <f t="shared" si="4"/>
        <v>87</v>
      </c>
      <c r="BP21" s="339">
        <v>0.96334754241669684</v>
      </c>
      <c r="BQ21" s="890">
        <f>IF(BN22=0,0,         IF(OR(Currency2="AUD",Currency1="NZD",Currency2="GBP"),BN21,   _xll.qDateNext(BN21,"-2b",,,IF(Currency2="EUR","TGT","LON"))))</f>
        <v>41009</v>
      </c>
      <c r="BR21" s="879" t="str">
        <v/>
      </c>
      <c r="BS21" s="879" t="str">
        <v/>
      </c>
      <c r="BT21" s="879" t="str">
        <v/>
      </c>
      <c r="BU21" s="879" t="str">
        <v/>
      </c>
      <c r="BV21" s="879" t="str">
        <v/>
      </c>
      <c r="BW21" s="879" t="str">
        <v/>
      </c>
      <c r="BX21" s="879" t="str">
        <v/>
      </c>
      <c r="BY21" s="879" t="str">
        <v/>
      </c>
      <c r="BZ21" s="882">
        <f>IF($BN22=0,0,        _xll.qDateNext($BN21,BZ$17,$CG$16,TRUE,Currency2))</f>
        <v>41010</v>
      </c>
      <c r="CA21" s="882">
        <f>IF($BN22=0,0,        _xll.qDateNext($BN21,CA$17,$CG$16,TRUE,Currency2))</f>
        <v>41039</v>
      </c>
      <c r="CB21" s="882">
        <f>IF($BN22=0,0,        _xll.qDateNext($BN21,CB$17,$CG$16,TRUE,Currency2))</f>
        <v>41072</v>
      </c>
      <c r="CC21" s="882">
        <f>IF($BN22=0,0,        _xll.qDateNext($BN21,CC$17,$CG$16,TRUE,Currency2))</f>
        <v>41100</v>
      </c>
      <c r="CD21" s="882">
        <f>IF($BN22=0,0,        _xll.qDateNext($BN21,CD$17,$CG$16,TRUE,Currency2))</f>
        <v>41131</v>
      </c>
      <c r="CE21" s="882">
        <f>IF($BN22=0,0,        _xll.qDateNext($BN21,CE$17,$CG$16,TRUE,Currency2))</f>
        <v>41162</v>
      </c>
      <c r="CF21" s="882">
        <f>IF($BN22=0,0,        _xll.qDateNext($BN21,CF$17,$CG$16,TRUE,Currency2))</f>
        <v>41192</v>
      </c>
      <c r="CG21" s="882">
        <f>IF($BN22=0,0,        _xll.qDateNext($BN21,CG$17,$CG$16,TRUE,Currency2))</f>
        <v>41374</v>
      </c>
      <c r="CH21" s="886">
        <v>4.7427285959545156</v>
      </c>
      <c r="CI21" s="886">
        <v>4.8153007379002011</v>
      </c>
      <c r="CJ21" s="886">
        <v>4.892072151528545</v>
      </c>
      <c r="CK21" s="886">
        <v>4.9688435651568899</v>
      </c>
      <c r="CL21" s="886">
        <f t="shared" si="5"/>
        <v>5.0064387912590274</v>
      </c>
      <c r="CM21" s="886">
        <f t="shared" si="28"/>
        <v>5.0440340173611649</v>
      </c>
      <c r="CN21" s="886">
        <v>5.0816292434633032</v>
      </c>
      <c r="CO21" s="886">
        <v>5.0816292434633032</v>
      </c>
      <c r="CP21" s="648">
        <f t="shared" si="6"/>
        <v>4.7427285959545156</v>
      </c>
      <c r="CQ21" s="648">
        <f t="shared" si="7"/>
        <v>4.8153007379002011</v>
      </c>
      <c r="CR21" s="648">
        <f t="shared" si="8"/>
        <v>4.892072151528545</v>
      </c>
      <c r="CS21" s="648">
        <f t="shared" si="9"/>
        <v>4.9688435651568899</v>
      </c>
      <c r="CT21" s="648">
        <f t="shared" si="10"/>
        <v>5.0064387912590274</v>
      </c>
      <c r="CU21" s="648">
        <f t="shared" si="11"/>
        <v>5.0440340173611649</v>
      </c>
      <c r="CV21" s="648">
        <f t="shared" si="12"/>
        <v>5.0816292434633032</v>
      </c>
      <c r="CW21" s="648">
        <f t="shared" si="13"/>
        <v>5.0816292434633032</v>
      </c>
      <c r="CX21" s="634" t="str">
        <v>3M</v>
      </c>
      <c r="CY21" s="616"/>
      <c r="CZ21" s="619">
        <f>IF(BN22=0,0,             IF(ISNUMBER(CY21),CY21,             IF(ISTEXT(CY21),INDEX(CP21:CW21,MATCH(CY21,$CP$17:$CW$17,0)),           IF(CX21="INT",_xll.qInterp(BN22,BZ21:CG21,CP21:CW21),       INDEX(CP21:CW21,MATCH(CX21,$CP$17:$CW$17,0))))))</f>
        <v>4.9688435651568899</v>
      </c>
      <c r="DA21" s="755">
        <f t="shared" si="14"/>
        <v>100</v>
      </c>
      <c r="DB21" s="387">
        <f t="shared" si="15"/>
        <v>-100000000</v>
      </c>
      <c r="DC21" s="268">
        <f>IF($BN22=0,0,         IF(LEFT(DCC_Leg2_Fixed,2)="1/",uEvaluate(DCC_Leg2_Fixed),         _xll.qDateYears($BN21,$BN22,DCC_Leg2_Fixed)))</f>
        <v>0.23835616438356164</v>
      </c>
      <c r="DD21" s="268">
        <f>IF($BN22,_xll.qDateYears($BN21,$BN22,DCC_Leg2_Float),0)</f>
        <v>0.23835616438356164</v>
      </c>
      <c r="DF21" s="332">
        <f t="shared" si="29"/>
        <v>0</v>
      </c>
      <c r="DG21" s="357">
        <f t="shared" si="30"/>
        <v>0</v>
      </c>
      <c r="DH21" s="527"/>
      <c r="DJ21" s="324">
        <f t="shared" si="31"/>
        <v>0</v>
      </c>
      <c r="DK21" s="529"/>
      <c r="DL21" s="338"/>
    </row>
    <row r="22" spans="2:131">
      <c r="C22" s="150" t="s">
        <v>2</v>
      </c>
      <c r="D22" s="149">
        <f>D20*3</f>
        <v>91.25</v>
      </c>
      <c r="O22" s="121">
        <v>41096</v>
      </c>
      <c r="P22" s="755">
        <f t="shared" si="0"/>
        <v>94</v>
      </c>
      <c r="Q22" s="125">
        <v>0.95207163917570681</v>
      </c>
      <c r="R22" s="890">
        <f>IF(O23=0,0,         IF(OR(Currency1="AUD",Currency1="NZD",Currency1="GBP"),O22,   _xll.qDateNext(O22,"-2b",,,IF(Currency1="EUR","TGT","LON"))))</f>
        <v>41096</v>
      </c>
      <c r="S22" s="879" t="str">
        <v/>
      </c>
      <c r="T22" s="879" t="str">
        <v/>
      </c>
      <c r="U22" s="879" t="str">
        <v/>
      </c>
      <c r="V22" s="879" t="str">
        <v/>
      </c>
      <c r="W22" s="879" t="str">
        <v/>
      </c>
      <c r="X22" s="879" t="str">
        <v/>
      </c>
      <c r="Y22" s="879" t="str">
        <v/>
      </c>
      <c r="Z22" s="879" t="str">
        <v/>
      </c>
      <c r="AA22" s="882">
        <f>IF($O23=0,0,        _xll.qDateNext($O22,AA$17,$AH$16,TRUE,Currency1))</f>
        <v>41099</v>
      </c>
      <c r="AB22" s="882">
        <f>IF($O23=0,0,        _xll.qDateNext($O22,AB$17,$AH$16,TRUE,Currency1))</f>
        <v>41128</v>
      </c>
      <c r="AC22" s="882">
        <f>IF($O23=0,0,        _xll.qDateNext($O22,AC$17,$AH$16,TRUE,Currency1))</f>
        <v>41158</v>
      </c>
      <c r="AD22" s="882">
        <f>IF($O23=0,0,        _xll.qDateNext($O22,AD$17,$AH$16,TRUE,Currency1))</f>
        <v>41190</v>
      </c>
      <c r="AE22" s="882">
        <f>IF($O23=0,0,        _xll.qDateNext($O22,AE$17,$AH$16,TRUE,Currency1))</f>
        <v>41219</v>
      </c>
      <c r="AF22" s="882">
        <f>IF($O23=0,0,        _xll.qDateNext($O22,AF$17,$AH$16,TRUE,Currency1))</f>
        <v>41249</v>
      </c>
      <c r="AG22" s="882">
        <f>IF($O23=0,0,        _xll.qDateNext($O22,AG$17,$AH$16,TRUE,Currency1))</f>
        <v>41281</v>
      </c>
      <c r="AH22" s="882">
        <f>IF($O23=0,0,        _xll.qDateNext($O22,AH$17,$AH$16,TRUE,Currency1))</f>
        <v>41463</v>
      </c>
      <c r="AI22" s="886">
        <f>IF($O23=0,0,           IF(FRM,_xll.qGetFwdRate(AI$14,$O22,AA22,"T",DCC_Leg1_Float),_xll.qGetFwdRate(AI$14,$O22,$O23,"T",DCC_Leg1_Float)))</f>
        <v>4.8271461024105911</v>
      </c>
      <c r="AJ22" s="886">
        <f>IF($O23=0,0,           IF(FRM,_xll.qGetFwdRate(AJ$14,$O22,AB22,"T",DCC_Leg1_Float),_xll.qGetFwdRate(AJ$14,$O22,$O23,"T",DCC_Leg1_Float)))</f>
        <v>4.9303318465188699</v>
      </c>
      <c r="AK22" s="886">
        <f t="shared" si="1"/>
        <v>4.9908337980815674</v>
      </c>
      <c r="AL22" s="886">
        <f>IF($O23=0,0,           IF(FRM,_xll.qGetFwdRate(AL$14,$O22,AD22,"T",DCC_Leg1_Float),_xll.qGetFwdRate(AL$14,$O22,$O23,"T",DCC_Leg1_Float)))</f>
        <v>5.0513357496442657</v>
      </c>
      <c r="AM22" s="886">
        <f t="shared" si="16"/>
        <v>5.0817567035272688</v>
      </c>
      <c r="AN22" s="886">
        <f t="shared" si="17"/>
        <v>5.112177657410272</v>
      </c>
      <c r="AO22" s="886">
        <f>IF($O23=0,0,           IF(FRM,_xll.qGetFwdRate(AO$14,$O22,AG22,"T",DCC_Leg1_Float),_xll.qGetFwdRate(AO$14,$O22,$O23,"T",DCC_Leg1_Float)))</f>
        <v>5.1425986112932751</v>
      </c>
      <c r="AP22" s="886">
        <f>IF($O23=0,0,           IF(FRM,_xll.qGetFwdRate(AP$14,$O22,AH22,"T",DCC_Leg1_Float),_xll.qGetFwdRate(AP$14,$O22,$O23,"T",DCC_Leg1_Float)))</f>
        <v>5.1425986112932751</v>
      </c>
      <c r="AQ22" s="648">
        <f t="shared" si="18"/>
        <v>4.8271461024105911</v>
      </c>
      <c r="AR22" s="648">
        <f t="shared" si="19"/>
        <v>4.9303318465188699</v>
      </c>
      <c r="AS22" s="648">
        <f t="shared" si="20"/>
        <v>4.9908337980815674</v>
      </c>
      <c r="AT22" s="648">
        <f t="shared" si="21"/>
        <v>5.0513357496442657</v>
      </c>
      <c r="AU22" s="648">
        <f t="shared" si="22"/>
        <v>5.0817567035272688</v>
      </c>
      <c r="AV22" s="648">
        <f t="shared" si="23"/>
        <v>5.112177657410272</v>
      </c>
      <c r="AW22" s="648">
        <f t="shared" si="24"/>
        <v>5.1425986112932751</v>
      </c>
      <c r="AX22" s="648">
        <f t="shared" si="25"/>
        <v>5.1425986112932751</v>
      </c>
      <c r="AY22" s="634" t="str">
        <v>3M</v>
      </c>
      <c r="AZ22" s="616"/>
      <c r="BA22" s="619">
        <f>IF(O23=0,0,             IF(ISNUMBER(AZ22),AZ22,             IF(ISTEXT(AZ22),INDEX(AQ22:AX22,MATCH(AZ22,$AQ$17:$AX$17,0)),           IF(AY22="INT",_xll.qInterp(O23,AA22:AH22,AQ22:AX22),       INDEX(AQ22:AX22,MATCH(AY22,$AQ$17:$AX$17,0))))))</f>
        <v>5.0513357496442657</v>
      </c>
      <c r="BB22" s="674">
        <v>100</v>
      </c>
      <c r="BC22" s="666">
        <f t="shared" si="3"/>
        <v>100000000</v>
      </c>
      <c r="BD22" s="268">
        <f>IF($O23=0,0,                IF(LEFT(DCC_Leg1_Fixed,2)="1/",uEvaluate(DCC_Leg1_Fixed),        _xll.qDateYears($O22,$O23,DCC_Leg1_Fixed)))</f>
        <v>0.26111111111111113</v>
      </c>
      <c r="BE22" s="268">
        <f>IF($O23,_xll.qDateYears($O22,$O23,DCC_Leg1_Float),0)</f>
        <v>0.25753424657534246</v>
      </c>
      <c r="BG22" s="332">
        <f t="shared" si="26"/>
        <v>0</v>
      </c>
      <c r="BH22" s="357">
        <f t="shared" si="27"/>
        <v>0</v>
      </c>
      <c r="BI22" s="527"/>
      <c r="BK22" s="324">
        <f t="shared" si="32"/>
        <v>0</v>
      </c>
      <c r="BM22" s="338"/>
      <c r="BN22" s="121">
        <v>41096</v>
      </c>
      <c r="BO22" s="755">
        <f t="shared" si="4"/>
        <v>94</v>
      </c>
      <c r="BP22" s="339">
        <v>0.95207163917570681</v>
      </c>
      <c r="BQ22" s="890">
        <f>IF(BN23=0,0,         IF(OR(Currency2="AUD",Currency1="NZD",Currency2="GBP"),BN22,   _xll.qDateNext(BN22,"-2b",,,IF(Currency2="EUR","TGT","LON"))))</f>
        <v>41096</v>
      </c>
      <c r="BR22" s="879" t="str">
        <v/>
      </c>
      <c r="BS22" s="879" t="str">
        <v/>
      </c>
      <c r="BT22" s="879" t="str">
        <v/>
      </c>
      <c r="BU22" s="879" t="str">
        <v/>
      </c>
      <c r="BV22" s="879" t="str">
        <v/>
      </c>
      <c r="BW22" s="879" t="str">
        <v/>
      </c>
      <c r="BX22" s="879" t="str">
        <v/>
      </c>
      <c r="BY22" s="879" t="str">
        <v/>
      </c>
      <c r="BZ22" s="882">
        <f>IF($BN23=0,0,        _xll.qDateNext($BN22,BZ$17,$CG$16,TRUE,Currency2))</f>
        <v>41099</v>
      </c>
      <c r="CA22" s="882">
        <f>IF($BN23=0,0,        _xll.qDateNext($BN22,CA$17,$CG$16,TRUE,Currency2))</f>
        <v>41128</v>
      </c>
      <c r="CB22" s="882">
        <f>IF($BN23=0,0,        _xll.qDateNext($BN22,CB$17,$CG$16,TRUE,Currency2))</f>
        <v>41158</v>
      </c>
      <c r="CC22" s="882">
        <f>IF($BN23=0,0,        _xll.qDateNext($BN22,CC$17,$CG$16,TRUE,Currency2))</f>
        <v>41190</v>
      </c>
      <c r="CD22" s="882">
        <f>IF($BN23=0,0,        _xll.qDateNext($BN22,CD$17,$CG$16,TRUE,Currency2))</f>
        <v>41219</v>
      </c>
      <c r="CE22" s="882">
        <f>IF($BN23=0,0,        _xll.qDateNext($BN22,CE$17,$CG$16,TRUE,Currency2))</f>
        <v>41249</v>
      </c>
      <c r="CF22" s="882">
        <f>IF($BN23=0,0,        _xll.qDateNext($BN22,CF$17,$CG$16,TRUE,Currency2))</f>
        <v>41281</v>
      </c>
      <c r="CG22" s="882">
        <f>IF($BN23=0,0,        _xll.qDateNext($BN22,CG$17,$CG$16,TRUE,Currency2))</f>
        <v>41463</v>
      </c>
      <c r="CH22" s="886">
        <v>4.8271461024105911</v>
      </c>
      <c r="CI22" s="886">
        <v>4.9303318465188699</v>
      </c>
      <c r="CJ22" s="886">
        <v>4.9908337980815674</v>
      </c>
      <c r="CK22" s="886">
        <v>5.0513357496442657</v>
      </c>
      <c r="CL22" s="886">
        <f t="shared" si="5"/>
        <v>5.0817567035272688</v>
      </c>
      <c r="CM22" s="886">
        <f t="shared" si="28"/>
        <v>5.112177657410272</v>
      </c>
      <c r="CN22" s="886">
        <v>5.1425986112932751</v>
      </c>
      <c r="CO22" s="886">
        <v>5.1425986112932751</v>
      </c>
      <c r="CP22" s="648">
        <f t="shared" si="6"/>
        <v>4.8271461024105911</v>
      </c>
      <c r="CQ22" s="648">
        <f t="shared" si="7"/>
        <v>4.9303318465188699</v>
      </c>
      <c r="CR22" s="648">
        <f t="shared" si="8"/>
        <v>4.9908337980815674</v>
      </c>
      <c r="CS22" s="648">
        <f t="shared" si="9"/>
        <v>5.0513357496442657</v>
      </c>
      <c r="CT22" s="648">
        <f t="shared" si="10"/>
        <v>5.0817567035272688</v>
      </c>
      <c r="CU22" s="648">
        <f t="shared" si="11"/>
        <v>5.112177657410272</v>
      </c>
      <c r="CV22" s="648">
        <f t="shared" si="12"/>
        <v>5.1425986112932751</v>
      </c>
      <c r="CW22" s="648">
        <f t="shared" si="13"/>
        <v>5.1425986112932751</v>
      </c>
      <c r="CX22" s="634" t="str">
        <v>3M</v>
      </c>
      <c r="CY22" s="616"/>
      <c r="CZ22" s="619">
        <f>IF(BN23=0,0,             IF(ISNUMBER(CY22),CY22,             IF(ISTEXT(CY22),INDEX(CP22:CW22,MATCH(CY22,$CP$17:$CW$17,0)),           IF(CX22="INT",_xll.qInterp(BN23,BZ22:CG22,CP22:CW22),       INDEX(CP22:CW22,MATCH(CX22,$CP$17:$CW$17,0))))))</f>
        <v>5.0513357496442657</v>
      </c>
      <c r="DA22" s="755">
        <f t="shared" si="14"/>
        <v>100</v>
      </c>
      <c r="DB22" s="387">
        <f t="shared" si="15"/>
        <v>-100000000</v>
      </c>
      <c r="DC22" s="268">
        <f>IF($BN23=0,0,         IF(LEFT(DCC_Leg2_Fixed,2)="1/",uEvaluate(DCC_Leg2_Fixed),         _xll.qDateYears($BN22,$BN23,DCC_Leg2_Fixed)))</f>
        <v>0.25753424657534246</v>
      </c>
      <c r="DD22" s="268">
        <f>IF($BN23,_xll.qDateYears($BN22,$BN23,DCC_Leg2_Float),0)</f>
        <v>0.25753424657534246</v>
      </c>
      <c r="DF22" s="332">
        <f t="shared" si="29"/>
        <v>0</v>
      </c>
      <c r="DG22" s="357">
        <f t="shared" si="30"/>
        <v>0</v>
      </c>
      <c r="DH22" s="527"/>
      <c r="DJ22" s="324">
        <f t="shared" si="31"/>
        <v>0</v>
      </c>
      <c r="DK22" s="529"/>
      <c r="DL22" s="338"/>
    </row>
    <row r="23" spans="2:131">
      <c r="C23" s="150" t="s">
        <v>3</v>
      </c>
      <c r="D23" s="149">
        <f>D20*4</f>
        <v>121.66666666666667</v>
      </c>
      <c r="O23" s="121">
        <v>41190</v>
      </c>
      <c r="P23" s="755">
        <f t="shared" si="0"/>
        <v>91</v>
      </c>
      <c r="Q23" s="125">
        <v>0.93984526777777722</v>
      </c>
      <c r="R23" s="890">
        <f>IF(O24=0,0,         IF(OR(Currency1="AUD",Currency1="NZD",Currency1="GBP"),O23,   _xll.qDateNext(O23,"-2b",,,IF(Currency1="EUR","TGT","LON"))))</f>
        <v>41190</v>
      </c>
      <c r="S23" s="879" t="str">
        <v/>
      </c>
      <c r="T23" s="879" t="str">
        <v/>
      </c>
      <c r="U23" s="879" t="str">
        <v/>
      </c>
      <c r="V23" s="879" t="str">
        <v/>
      </c>
      <c r="W23" s="879" t="str">
        <v/>
      </c>
      <c r="X23" s="879" t="str">
        <v/>
      </c>
      <c r="Y23" s="879" t="str">
        <v/>
      </c>
      <c r="Z23" s="879" t="str">
        <v/>
      </c>
      <c r="AA23" s="882">
        <f>IF($O24=0,0,        _xll.qDateNext($O23,AA$17,$AH$16,TRUE,Currency1))</f>
        <v>41191</v>
      </c>
      <c r="AB23" s="882">
        <f>IF($O24=0,0,        _xll.qDateNext($O23,AB$17,$AH$16,TRUE,Currency1))</f>
        <v>41221</v>
      </c>
      <c r="AC23" s="882">
        <f>IF($O24=0,0,        _xll.qDateNext($O23,AC$17,$AH$16,TRUE,Currency1))</f>
        <v>41253</v>
      </c>
      <c r="AD23" s="882">
        <f>IF($O24=0,0,        _xll.qDateNext($O23,AD$17,$AH$16,TRUE,Currency1))</f>
        <v>41282</v>
      </c>
      <c r="AE23" s="882">
        <f>IF($O24=0,0,        _xll.qDateNext($O23,AE$17,$AH$16,TRUE,Currency1))</f>
        <v>41313</v>
      </c>
      <c r="AF23" s="882">
        <f>IF($O24=0,0,        _xll.qDateNext($O23,AF$17,$AH$16,TRUE,Currency1))</f>
        <v>41341</v>
      </c>
      <c r="AG23" s="882">
        <f>IF($O24=0,0,        _xll.qDateNext($O23,AG$17,$AH$16,TRUE,Currency1))</f>
        <v>41372</v>
      </c>
      <c r="AH23" s="882">
        <f>IF($O24=0,0,        _xll.qDateNext($O23,AH$17,$AH$16,TRUE,Currency1))</f>
        <v>41555</v>
      </c>
      <c r="AI23" s="886">
        <f>IF($O24=0,0,           IF(FRM,_xll.qGetFwdRate(AI$14,$O23,AA23,"T",DCC_Leg1_Float),_xll.qGetFwdRate(AI$14,$O23,$O24,"T",DCC_Leg1_Float)))</f>
        <v>4.8717134090029504</v>
      </c>
      <c r="AJ23" s="886">
        <f>IF($O24=0,0,           IF(FRM,_xll.qGetFwdRate(AJ$14,$O23,AB23,"T",DCC_Leg1_Float),_xll.qGetFwdRate(AJ$14,$O23,$O24,"T",DCC_Leg1_Float)))</f>
        <v>4.9879228552506873</v>
      </c>
      <c r="AK23" s="886">
        <f t="shared" si="1"/>
        <v>5.0484172215246126</v>
      </c>
      <c r="AL23" s="886">
        <f>IF($O24=0,0,           IF(FRM,_xll.qGetFwdRate(AL$14,$O23,AD23,"T",DCC_Leg1_Float),_xll.qGetFwdRate(AL$14,$O23,$O24,"T",DCC_Leg1_Float)))</f>
        <v>5.1089115877985387</v>
      </c>
      <c r="AM23" s="886">
        <f t="shared" si="16"/>
        <v>5.1388788088031019</v>
      </c>
      <c r="AN23" s="886">
        <f t="shared" si="17"/>
        <v>5.1688460298076659</v>
      </c>
      <c r="AO23" s="886">
        <f>IF($O24=0,0,           IF(FRM,_xll.qGetFwdRate(AO$14,$O23,AG23,"T",DCC_Leg1_Float),_xll.qGetFwdRate(AO$14,$O23,$O24,"T",DCC_Leg1_Float)))</f>
        <v>5.1988132508122291</v>
      </c>
      <c r="AP23" s="886">
        <f>IF($O24=0,0,           IF(FRM,_xll.qGetFwdRate(AP$14,$O23,AH23,"T",DCC_Leg1_Float),_xll.qGetFwdRate(AP$14,$O23,$O24,"T",DCC_Leg1_Float)))</f>
        <v>5.1988132508122291</v>
      </c>
      <c r="AQ23" s="648">
        <f t="shared" si="18"/>
        <v>4.8717134090029504</v>
      </c>
      <c r="AR23" s="648">
        <f t="shared" si="19"/>
        <v>4.9879228552506873</v>
      </c>
      <c r="AS23" s="648">
        <f t="shared" si="20"/>
        <v>5.0484172215246126</v>
      </c>
      <c r="AT23" s="648">
        <f t="shared" si="21"/>
        <v>5.1089115877985387</v>
      </c>
      <c r="AU23" s="648">
        <f t="shared" si="22"/>
        <v>5.1388788088031019</v>
      </c>
      <c r="AV23" s="648">
        <f t="shared" si="23"/>
        <v>5.1688460298076659</v>
      </c>
      <c r="AW23" s="648">
        <f t="shared" si="24"/>
        <v>5.1988132508122291</v>
      </c>
      <c r="AX23" s="648">
        <f t="shared" si="25"/>
        <v>5.1988132508122291</v>
      </c>
      <c r="AY23" s="634" t="str">
        <v>3M</v>
      </c>
      <c r="AZ23" s="616"/>
      <c r="BA23" s="619">
        <f>IF(O24=0,0,             IF(ISNUMBER(AZ23),AZ23,             IF(ISTEXT(AZ23),INDEX(AQ23:AX23,MATCH(AZ23,$AQ$17:$AX$17,0)),           IF(AY23="INT",_xll.qInterp(O24,AA23:AH23,AQ23:AX23),       INDEX(AQ23:AX23,MATCH(AY23,$AQ$17:$AX$17,0))))))</f>
        <v>5.1089115877985387</v>
      </c>
      <c r="BB23" s="674">
        <v>100</v>
      </c>
      <c r="BC23" s="666">
        <f t="shared" si="3"/>
        <v>100000000</v>
      </c>
      <c r="BD23" s="268">
        <f>IF($O24=0,0,                IF(LEFT(DCC_Leg1_Fixed,2)="1/",uEvaluate(DCC_Leg1_Fixed),        _xll.qDateYears($O23,$O24,DCC_Leg1_Fixed)))</f>
        <v>0.25277777777777777</v>
      </c>
      <c r="BE23" s="268">
        <f>IF($O24,_xll.qDateYears($O23,$O24,DCC_Leg1_Float),0)</f>
        <v>0.24931506849315069</v>
      </c>
      <c r="BG23" s="332">
        <f t="shared" si="26"/>
        <v>0</v>
      </c>
      <c r="BH23" s="357">
        <f t="shared" si="27"/>
        <v>0</v>
      </c>
      <c r="BI23" s="527"/>
      <c r="BK23" s="324">
        <f t="shared" si="32"/>
        <v>0</v>
      </c>
      <c r="BM23" s="338"/>
      <c r="BN23" s="121">
        <v>41190</v>
      </c>
      <c r="BO23" s="755">
        <f t="shared" si="4"/>
        <v>91</v>
      </c>
      <c r="BP23" s="339">
        <v>0.93984526777777722</v>
      </c>
      <c r="BQ23" s="890">
        <f>IF(BN24=0,0,         IF(OR(Currency2="AUD",Currency1="NZD",Currency2="GBP"),BN23,   _xll.qDateNext(BN23,"-2b",,,IF(Currency2="EUR","TGT","LON"))))</f>
        <v>41190</v>
      </c>
      <c r="BR23" s="879" t="str">
        <v/>
      </c>
      <c r="BS23" s="879" t="str">
        <v/>
      </c>
      <c r="BT23" s="879" t="str">
        <v/>
      </c>
      <c r="BU23" s="879" t="str">
        <v/>
      </c>
      <c r="BV23" s="879" t="str">
        <v/>
      </c>
      <c r="BW23" s="879" t="str">
        <v/>
      </c>
      <c r="BX23" s="879" t="str">
        <v/>
      </c>
      <c r="BY23" s="879" t="str">
        <v/>
      </c>
      <c r="BZ23" s="882">
        <f>IF($BN24=0,0,        _xll.qDateNext($BN23,BZ$17,$CG$16,TRUE,Currency2))</f>
        <v>41191</v>
      </c>
      <c r="CA23" s="882">
        <f>IF($BN24=0,0,        _xll.qDateNext($BN23,CA$17,$CG$16,TRUE,Currency2))</f>
        <v>41221</v>
      </c>
      <c r="CB23" s="882">
        <f>IF($BN24=0,0,        _xll.qDateNext($BN23,CB$17,$CG$16,TRUE,Currency2))</f>
        <v>41253</v>
      </c>
      <c r="CC23" s="882">
        <f>IF($BN24=0,0,        _xll.qDateNext($BN23,CC$17,$CG$16,TRUE,Currency2))</f>
        <v>41282</v>
      </c>
      <c r="CD23" s="882">
        <f>IF($BN24=0,0,        _xll.qDateNext($BN23,CD$17,$CG$16,TRUE,Currency2))</f>
        <v>41313</v>
      </c>
      <c r="CE23" s="882">
        <f>IF($BN24=0,0,        _xll.qDateNext($BN23,CE$17,$CG$16,TRUE,Currency2))</f>
        <v>41341</v>
      </c>
      <c r="CF23" s="882">
        <f>IF($BN24=0,0,        _xll.qDateNext($BN23,CF$17,$CG$16,TRUE,Currency2))</f>
        <v>41372</v>
      </c>
      <c r="CG23" s="882">
        <f>IF($BN24=0,0,        _xll.qDateNext($BN23,CG$17,$CG$16,TRUE,Currency2))</f>
        <v>41555</v>
      </c>
      <c r="CH23" s="886">
        <v>4.8717134090029504</v>
      </c>
      <c r="CI23" s="886">
        <v>4.9879228552506873</v>
      </c>
      <c r="CJ23" s="886">
        <v>5.0484172215246126</v>
      </c>
      <c r="CK23" s="886">
        <v>5.1089115877985387</v>
      </c>
      <c r="CL23" s="886">
        <f t="shared" si="5"/>
        <v>5.1388788088031019</v>
      </c>
      <c r="CM23" s="886">
        <f t="shared" si="28"/>
        <v>5.1688460298076659</v>
      </c>
      <c r="CN23" s="886">
        <v>5.1988132508122291</v>
      </c>
      <c r="CO23" s="886">
        <v>5.1988132508122291</v>
      </c>
      <c r="CP23" s="648">
        <f t="shared" si="6"/>
        <v>4.8717134090029504</v>
      </c>
      <c r="CQ23" s="648">
        <f t="shared" si="7"/>
        <v>4.9879228552506873</v>
      </c>
      <c r="CR23" s="648">
        <f t="shared" si="8"/>
        <v>5.0484172215246126</v>
      </c>
      <c r="CS23" s="648">
        <f t="shared" si="9"/>
        <v>5.1089115877985387</v>
      </c>
      <c r="CT23" s="648">
        <f t="shared" si="10"/>
        <v>5.1388788088031019</v>
      </c>
      <c r="CU23" s="648">
        <f t="shared" si="11"/>
        <v>5.1688460298076659</v>
      </c>
      <c r="CV23" s="648">
        <f t="shared" si="12"/>
        <v>5.1988132508122291</v>
      </c>
      <c r="CW23" s="648">
        <f t="shared" si="13"/>
        <v>5.1988132508122291</v>
      </c>
      <c r="CX23" s="634" t="str">
        <v>3M</v>
      </c>
      <c r="CY23" s="616"/>
      <c r="CZ23" s="619">
        <f>IF(BN24=0,0,             IF(ISNUMBER(CY23),CY23,             IF(ISTEXT(CY23),INDEX(CP23:CW23,MATCH(CY23,$CP$17:$CW$17,0)),           IF(CX23="INT",_xll.qInterp(BN24,BZ23:CG23,CP23:CW23),       INDEX(CP23:CW23,MATCH(CX23,$CP$17:$CW$17,0))))))</f>
        <v>5.1089115877985387</v>
      </c>
      <c r="DA23" s="755">
        <f t="shared" si="14"/>
        <v>100</v>
      </c>
      <c r="DB23" s="387">
        <f t="shared" si="15"/>
        <v>-100000000</v>
      </c>
      <c r="DC23" s="268">
        <f>IF($BN24=0,0,         IF(LEFT(DCC_Leg2_Fixed,2)="1/",uEvaluate(DCC_Leg2_Fixed),         _xll.qDateYears($BN23,$BN24,DCC_Leg2_Fixed)))</f>
        <v>0.24931506849315069</v>
      </c>
      <c r="DD23" s="268">
        <f>IF($BN24,_xll.qDateYears($BN23,$BN24,DCC_Leg2_Float),0)</f>
        <v>0.24931506849315069</v>
      </c>
      <c r="DF23" s="332">
        <f t="shared" si="29"/>
        <v>0</v>
      </c>
      <c r="DG23" s="357">
        <f t="shared" si="30"/>
        <v>0</v>
      </c>
      <c r="DH23" s="527"/>
      <c r="DJ23" s="324">
        <f t="shared" si="31"/>
        <v>0</v>
      </c>
      <c r="DK23" s="529"/>
      <c r="DL23" s="338"/>
    </row>
    <row r="24" spans="2:131">
      <c r="C24" s="150" t="s">
        <v>4</v>
      </c>
      <c r="D24" s="149">
        <f>D20*5</f>
        <v>152.08333333333334</v>
      </c>
      <c r="O24" s="121">
        <v>41281</v>
      </c>
      <c r="P24" s="755">
        <f t="shared" si="0"/>
        <v>91</v>
      </c>
      <c r="Q24" s="125">
        <v>0.92802475071896118</v>
      </c>
      <c r="R24" s="890">
        <f>IF(O25=0,0,         IF(OR(Currency1="AUD",Currency1="NZD",Currency1="GBP"),O24,   _xll.qDateNext(O24,"-2b",,,IF(Currency1="EUR","TGT","LON"))))</f>
        <v>41281</v>
      </c>
      <c r="S24" s="879" t="str">
        <v/>
      </c>
      <c r="T24" s="879" t="str">
        <v/>
      </c>
      <c r="U24" s="879" t="str">
        <v/>
      </c>
      <c r="V24" s="879" t="str">
        <v/>
      </c>
      <c r="W24" s="879" t="str">
        <v/>
      </c>
      <c r="X24" s="879" t="str">
        <v/>
      </c>
      <c r="Y24" s="879" t="str">
        <v/>
      </c>
      <c r="Z24" s="879" t="str">
        <v/>
      </c>
      <c r="AA24" s="882">
        <f>IF($O25=0,0,        _xll.qDateNext($O24,AA$17,$AH$16,TRUE,Currency1))</f>
        <v>41282</v>
      </c>
      <c r="AB24" s="882">
        <f>IF($O25=0,0,        _xll.qDateNext($O24,AB$17,$AH$16,TRUE,Currency1))</f>
        <v>41312</v>
      </c>
      <c r="AC24" s="882">
        <f>IF($O25=0,0,        _xll.qDateNext($O24,AC$17,$AH$16,TRUE,Currency1))</f>
        <v>41340</v>
      </c>
      <c r="AD24" s="882">
        <f>IF($O25=0,0,        _xll.qDateNext($O24,AD$17,$AH$16,TRUE,Currency1))</f>
        <v>41372</v>
      </c>
      <c r="AE24" s="882">
        <f>IF($O25=0,0,        _xll.qDateNext($O24,AE$17,$AH$16,TRUE,Currency1))</f>
        <v>41401</v>
      </c>
      <c r="AF24" s="882">
        <f>IF($O25=0,0,        _xll.qDateNext($O24,AF$17,$AH$16,TRUE,Currency1))</f>
        <v>41432</v>
      </c>
      <c r="AG24" s="882">
        <f>IF($O25=0,0,        _xll.qDateNext($O24,AG$17,$AH$16,TRUE,Currency1))</f>
        <v>41463</v>
      </c>
      <c r="AH24" s="882">
        <f>IF($O25=0,0,        _xll.qDateNext($O24,AH$17,$AH$16,TRUE,Currency1))</f>
        <v>41646</v>
      </c>
      <c r="AI24" s="886">
        <f>IF($O25=0,0,           IF(FRM,_xll.qGetFwdRate(AI$14,$O24,AA24,"T",DCC_Leg1_Float),_xll.qGetFwdRate(AI$14,$O24,$O25,"T",DCC_Leg1_Float)))</f>
        <v>4.9154670170065771</v>
      </c>
      <c r="AJ24" s="886">
        <f>IF($O25=0,0,           IF(FRM,_xll.qGetFwdRate(AJ$14,$O24,AB24,"T",DCC_Leg1_Float),_xll.qGetFwdRate(AJ$14,$O24,$O25,"T",DCC_Leg1_Float)))</f>
        <v>5.0445301189619727</v>
      </c>
      <c r="AK24" s="886">
        <f t="shared" si="1"/>
        <v>5.1050412794319673</v>
      </c>
      <c r="AL24" s="886">
        <f>IF($O25=0,0,           IF(FRM,_xll.qGetFwdRate(AL$14,$O24,AD24,"T",DCC_Leg1_Float),_xll.qGetFwdRate(AL$14,$O24,$O25,"T",DCC_Leg1_Float)))</f>
        <v>5.1655524399019619</v>
      </c>
      <c r="AM24" s="886">
        <f t="shared" si="16"/>
        <v>5.1950857124988454</v>
      </c>
      <c r="AN24" s="886">
        <f t="shared" si="17"/>
        <v>5.224618985095729</v>
      </c>
      <c r="AO24" s="886">
        <f>IF($O25=0,0,           IF(FRM,_xll.qGetFwdRate(AO$14,$O24,AG24,"T",DCC_Leg1_Float),_xll.qGetFwdRate(AO$14,$O24,$O25,"T",DCC_Leg1_Float)))</f>
        <v>5.2541522576926134</v>
      </c>
      <c r="AP24" s="886">
        <f>IF($O25=0,0,           IF(FRM,_xll.qGetFwdRate(AP$14,$O24,AH24,"T",DCC_Leg1_Float),_xll.qGetFwdRate(AP$14,$O24,$O25,"T",DCC_Leg1_Float)))</f>
        <v>5.2541522576926134</v>
      </c>
      <c r="AQ24" s="648">
        <f t="shared" si="18"/>
        <v>4.9154670170065771</v>
      </c>
      <c r="AR24" s="648">
        <f t="shared" si="19"/>
        <v>5.0445301189619727</v>
      </c>
      <c r="AS24" s="648">
        <f t="shared" si="20"/>
        <v>5.1050412794319673</v>
      </c>
      <c r="AT24" s="648">
        <f t="shared" si="21"/>
        <v>5.1655524399019619</v>
      </c>
      <c r="AU24" s="648">
        <f t="shared" si="22"/>
        <v>5.1950857124988454</v>
      </c>
      <c r="AV24" s="648">
        <f t="shared" si="23"/>
        <v>5.224618985095729</v>
      </c>
      <c r="AW24" s="648">
        <f t="shared" si="24"/>
        <v>5.2541522576926134</v>
      </c>
      <c r="AX24" s="648">
        <f t="shared" si="25"/>
        <v>5.2541522576926134</v>
      </c>
      <c r="AY24" s="634" t="str">
        <v>3M</v>
      </c>
      <c r="AZ24" s="616"/>
      <c r="BA24" s="619">
        <f>IF(O25=0,0,             IF(ISNUMBER(AZ24),AZ24,             IF(ISTEXT(AZ24),INDEX(AQ24:AX24,MATCH(AZ24,$AQ$17:$AX$17,0)),           IF(AY24="INT",_xll.qInterp(O25,AA24:AH24,AQ24:AX24),       INDEX(AQ24:AX24,MATCH(AY24,$AQ$17:$AX$17,0))))))</f>
        <v>5.1655524399019619</v>
      </c>
      <c r="BB24" s="674">
        <v>100</v>
      </c>
      <c r="BC24" s="666">
        <f t="shared" si="3"/>
        <v>100000000</v>
      </c>
      <c r="BD24" s="268">
        <f>IF($O25=0,0,                IF(LEFT(DCC_Leg1_Fixed,2)="1/",uEvaluate(DCC_Leg1_Fixed),        _xll.qDateYears($O24,$O25,DCC_Leg1_Fixed)))</f>
        <v>0.25277777777777777</v>
      </c>
      <c r="BE24" s="268">
        <f>IF($O25,_xll.qDateYears($O24,$O25,DCC_Leg1_Float),0)</f>
        <v>0.24931506849315069</v>
      </c>
      <c r="BG24" s="332">
        <f t="shared" si="26"/>
        <v>0</v>
      </c>
      <c r="BH24" s="357">
        <f t="shared" si="27"/>
        <v>0</v>
      </c>
      <c r="BI24" s="527"/>
      <c r="BK24" s="324">
        <f t="shared" si="32"/>
        <v>0</v>
      </c>
      <c r="BM24" s="338"/>
      <c r="BN24" s="121">
        <v>41281</v>
      </c>
      <c r="BO24" s="755">
        <f t="shared" si="4"/>
        <v>91</v>
      </c>
      <c r="BP24" s="339">
        <v>0.92802475071896118</v>
      </c>
      <c r="BQ24" s="890">
        <f>IF(BN25=0,0,         IF(OR(Currency2="AUD",Currency1="NZD",Currency2="GBP"),BN24,   _xll.qDateNext(BN24,"-2b",,,IF(Currency2="EUR","TGT","LON"))))</f>
        <v>41281</v>
      </c>
      <c r="BR24" s="879" t="str">
        <v/>
      </c>
      <c r="BS24" s="879" t="str">
        <v/>
      </c>
      <c r="BT24" s="879" t="str">
        <v/>
      </c>
      <c r="BU24" s="879" t="str">
        <v/>
      </c>
      <c r="BV24" s="879" t="str">
        <v/>
      </c>
      <c r="BW24" s="879" t="str">
        <v/>
      </c>
      <c r="BX24" s="879" t="str">
        <v/>
      </c>
      <c r="BY24" s="879" t="str">
        <v/>
      </c>
      <c r="BZ24" s="882">
        <f>IF($BN25=0,0,        _xll.qDateNext($BN24,BZ$17,$CG$16,TRUE,Currency2))</f>
        <v>41282</v>
      </c>
      <c r="CA24" s="882">
        <f>IF($BN25=0,0,        _xll.qDateNext($BN24,CA$17,$CG$16,TRUE,Currency2))</f>
        <v>41312</v>
      </c>
      <c r="CB24" s="882">
        <f>IF($BN25=0,0,        _xll.qDateNext($BN24,CB$17,$CG$16,TRUE,Currency2))</f>
        <v>41340</v>
      </c>
      <c r="CC24" s="882">
        <f>IF($BN25=0,0,        _xll.qDateNext($BN24,CC$17,$CG$16,TRUE,Currency2))</f>
        <v>41372</v>
      </c>
      <c r="CD24" s="882">
        <f>IF($BN25=0,0,        _xll.qDateNext($BN24,CD$17,$CG$16,TRUE,Currency2))</f>
        <v>41401</v>
      </c>
      <c r="CE24" s="882">
        <f>IF($BN25=0,0,        _xll.qDateNext($BN24,CE$17,$CG$16,TRUE,Currency2))</f>
        <v>41432</v>
      </c>
      <c r="CF24" s="882">
        <f>IF($BN25=0,0,        _xll.qDateNext($BN24,CF$17,$CG$16,TRUE,Currency2))</f>
        <v>41463</v>
      </c>
      <c r="CG24" s="882">
        <f>IF($BN25=0,0,        _xll.qDateNext($BN24,CG$17,$CG$16,TRUE,Currency2))</f>
        <v>41646</v>
      </c>
      <c r="CH24" s="886">
        <v>4.9154670170065771</v>
      </c>
      <c r="CI24" s="886">
        <v>5.0445301189619727</v>
      </c>
      <c r="CJ24" s="886">
        <v>5.1050412794319673</v>
      </c>
      <c r="CK24" s="886">
        <v>5.1655524399019619</v>
      </c>
      <c r="CL24" s="886">
        <f t="shared" si="5"/>
        <v>5.1950857124988454</v>
      </c>
      <c r="CM24" s="886">
        <f t="shared" si="28"/>
        <v>5.224618985095729</v>
      </c>
      <c r="CN24" s="886">
        <v>5.2541522576926134</v>
      </c>
      <c r="CO24" s="886">
        <v>5.2541522576926134</v>
      </c>
      <c r="CP24" s="648">
        <f t="shared" si="6"/>
        <v>4.9154670170065771</v>
      </c>
      <c r="CQ24" s="648">
        <f t="shared" si="7"/>
        <v>5.0445301189619727</v>
      </c>
      <c r="CR24" s="648">
        <f t="shared" si="8"/>
        <v>5.1050412794319673</v>
      </c>
      <c r="CS24" s="648">
        <f t="shared" si="9"/>
        <v>5.1655524399019619</v>
      </c>
      <c r="CT24" s="648">
        <f t="shared" si="10"/>
        <v>5.1950857124988454</v>
      </c>
      <c r="CU24" s="648">
        <f t="shared" si="11"/>
        <v>5.224618985095729</v>
      </c>
      <c r="CV24" s="648">
        <f t="shared" si="12"/>
        <v>5.2541522576926134</v>
      </c>
      <c r="CW24" s="648">
        <f t="shared" si="13"/>
        <v>5.2541522576926134</v>
      </c>
      <c r="CX24" s="634" t="str">
        <v>3M</v>
      </c>
      <c r="CY24" s="616"/>
      <c r="CZ24" s="619">
        <f>IF(BN25=0,0,             IF(ISNUMBER(CY24),CY24,             IF(ISTEXT(CY24),INDEX(CP24:CW24,MATCH(CY24,$CP$17:$CW$17,0)),           IF(CX24="INT",_xll.qInterp(BN25,BZ24:CG24,CP24:CW24),       INDEX(CP24:CW24,MATCH(CX24,$CP$17:$CW$17,0))))))</f>
        <v>5.1655524399019619</v>
      </c>
      <c r="DA24" s="755">
        <f t="shared" si="14"/>
        <v>100</v>
      </c>
      <c r="DB24" s="387">
        <f t="shared" si="15"/>
        <v>-100000000</v>
      </c>
      <c r="DC24" s="268">
        <f>IF($BN25=0,0,         IF(LEFT(DCC_Leg2_Fixed,2)="1/",uEvaluate(DCC_Leg2_Fixed),         _xll.qDateYears($BN24,$BN25,DCC_Leg2_Fixed)))</f>
        <v>0.24931506849315069</v>
      </c>
      <c r="DD24" s="268">
        <f>IF($BN25,_xll.qDateYears($BN24,$BN25,DCC_Leg2_Float),0)</f>
        <v>0.24931506849315069</v>
      </c>
      <c r="DF24" s="332">
        <f t="shared" si="29"/>
        <v>0</v>
      </c>
      <c r="DG24" s="357">
        <f t="shared" si="30"/>
        <v>0</v>
      </c>
      <c r="DH24" s="527"/>
      <c r="DJ24" s="324">
        <f t="shared" si="31"/>
        <v>0</v>
      </c>
      <c r="DK24" s="529"/>
      <c r="DL24" s="338"/>
    </row>
    <row r="25" spans="2:131">
      <c r="C25" s="150" t="s">
        <v>5</v>
      </c>
      <c r="D25" s="149">
        <f>D20*6</f>
        <v>182.5</v>
      </c>
      <c r="O25" s="121">
        <v>41372</v>
      </c>
      <c r="P25" s="755">
        <f t="shared" si="0"/>
        <v>91</v>
      </c>
      <c r="Q25" s="125">
        <v>0.91622514464068083</v>
      </c>
      <c r="R25" s="890">
        <f>IF(O26=0,0,         IF(OR(Currency1="AUD",Currency1="NZD",Currency1="GBP"),O25,   _xll.qDateNext(O25,"-2b",,,IF(Currency1="EUR","TGT","LON"))))</f>
        <v>41372</v>
      </c>
      <c r="S25" s="879" t="str">
        <v/>
      </c>
      <c r="T25" s="879" t="str">
        <v/>
      </c>
      <c r="U25" s="879" t="str">
        <v/>
      </c>
      <c r="V25" s="879" t="str">
        <v/>
      </c>
      <c r="W25" s="879" t="str">
        <v/>
      </c>
      <c r="X25" s="879" t="str">
        <v/>
      </c>
      <c r="Y25" s="879" t="str">
        <v/>
      </c>
      <c r="Z25" s="879" t="str">
        <v/>
      </c>
      <c r="AA25" s="882">
        <f>IF($O26=0,0,        _xll.qDateNext($O25,AA$17,$AH$16,TRUE,Currency1))</f>
        <v>41373</v>
      </c>
      <c r="AB25" s="882">
        <f>IF($O26=0,0,        _xll.qDateNext($O25,AB$17,$AH$16,TRUE,Currency1))</f>
        <v>41402</v>
      </c>
      <c r="AC25" s="882">
        <f>IF($O26=0,0,        _xll.qDateNext($O25,AC$17,$AH$16,TRUE,Currency1))</f>
        <v>41436</v>
      </c>
      <c r="AD25" s="882">
        <f>IF($O26=0,0,        _xll.qDateNext($O25,AD$17,$AH$16,TRUE,Currency1))</f>
        <v>41463</v>
      </c>
      <c r="AE25" s="882">
        <f>IF($O26=0,0,        _xll.qDateNext($O25,AE$17,$AH$16,TRUE,Currency1))</f>
        <v>41494</v>
      </c>
      <c r="AF25" s="882">
        <f>IF($O26=0,0,        _xll.qDateNext($O25,AF$17,$AH$16,TRUE,Currency1))</f>
        <v>41526</v>
      </c>
      <c r="AG25" s="882">
        <f>IF($O26=0,0,        _xll.qDateNext($O25,AG$17,$AH$16,TRUE,Currency1))</f>
        <v>41555</v>
      </c>
      <c r="AH25" s="882">
        <f>IF($O26=0,0,        _xll.qDateNext($O25,AH$17,$AH$16,TRUE,Currency1))</f>
        <v>41737</v>
      </c>
      <c r="AI25" s="886">
        <f>IF($O26=0,0,           IF(FRM,_xll.qGetFwdRate(AI$14,$O25,AA25,"T",DCC_Leg1_Float),_xll.qGetFwdRate(AI$14,$O25,$O26,"T",DCC_Leg1_Float)))</f>
        <v>4.9587837495213911</v>
      </c>
      <c r="AJ25" s="886">
        <f>IF($O26=0,0,           IF(FRM,_xll.qGetFwdRate(AJ$14,$O25,AB25,"T",DCC_Leg1_Float),_xll.qGetFwdRate(AJ$14,$O25,$O26,"T",DCC_Leg1_Float)))</f>
        <v>5.1007012452136982</v>
      </c>
      <c r="AK25" s="886">
        <f t="shared" si="1"/>
        <v>5.1612292008952885</v>
      </c>
      <c r="AL25" s="886">
        <f>IF($O26=0,0,           IF(FRM,_xll.qGetFwdRate(AL$14,$O25,AD25,"T",DCC_Leg1_Float),_xll.qGetFwdRate(AL$14,$O25,$O26,"T",DCC_Leg1_Float)))</f>
        <v>5.2217571565768797</v>
      </c>
      <c r="AM25" s="886">
        <f t="shared" si="16"/>
        <v>5.2508564527522141</v>
      </c>
      <c r="AN25" s="886">
        <f t="shared" si="17"/>
        <v>5.2799557489275486</v>
      </c>
      <c r="AO25" s="886">
        <f>IF($O26=0,0,           IF(FRM,_xll.qGetFwdRate(AO$14,$O25,AG25,"T",DCC_Leg1_Float),_xll.qGetFwdRate(AO$14,$O25,$O26,"T",DCC_Leg1_Float)))</f>
        <v>5.3090550451028831</v>
      </c>
      <c r="AP25" s="886">
        <f>IF($O26=0,0,           IF(FRM,_xll.qGetFwdRate(AP$14,$O25,AH25,"T",DCC_Leg1_Float),_xll.qGetFwdRate(AP$14,$O25,$O26,"T",DCC_Leg1_Float)))</f>
        <v>5.3090550451028831</v>
      </c>
      <c r="AQ25" s="648">
        <f t="shared" si="18"/>
        <v>4.9587837495213911</v>
      </c>
      <c r="AR25" s="648">
        <f t="shared" si="19"/>
        <v>5.1007012452136982</v>
      </c>
      <c r="AS25" s="648">
        <f t="shared" si="20"/>
        <v>5.1612292008952885</v>
      </c>
      <c r="AT25" s="648">
        <f t="shared" si="21"/>
        <v>5.2217571565768797</v>
      </c>
      <c r="AU25" s="648">
        <f t="shared" si="22"/>
        <v>5.2508564527522141</v>
      </c>
      <c r="AV25" s="648">
        <f t="shared" si="23"/>
        <v>5.2799557489275486</v>
      </c>
      <c r="AW25" s="648">
        <f t="shared" si="24"/>
        <v>5.3090550451028831</v>
      </c>
      <c r="AX25" s="648">
        <f t="shared" si="25"/>
        <v>5.3090550451028831</v>
      </c>
      <c r="AY25" s="634" t="str">
        <v>3M</v>
      </c>
      <c r="AZ25" s="616"/>
      <c r="BA25" s="619">
        <f>IF(O26=0,0,             IF(ISNUMBER(AZ25),AZ25,             IF(ISTEXT(AZ25),INDEX(AQ25:AX25,MATCH(AZ25,$AQ$17:$AX$17,0)),           IF(AY25="INT",_xll.qInterp(O26,AA25:AH25,AQ25:AX25),       INDEX(AQ25:AX25,MATCH(AY25,$AQ$17:$AX$17,0))))))</f>
        <v>5.2217571565768797</v>
      </c>
      <c r="BB25" s="674">
        <v>100</v>
      </c>
      <c r="BC25" s="666">
        <f t="shared" si="3"/>
        <v>100000000</v>
      </c>
      <c r="BD25" s="268">
        <f>IF($O26=0,0,                IF(LEFT(DCC_Leg1_Fixed,2)="1/",uEvaluate(DCC_Leg1_Fixed),        _xll.qDateYears($O25,$O26,DCC_Leg1_Fixed)))</f>
        <v>0.25277777777777777</v>
      </c>
      <c r="BE25" s="268">
        <f>IF($O26,_xll.qDateYears($O25,$O26,DCC_Leg1_Float),0)</f>
        <v>0.24931506849315069</v>
      </c>
      <c r="BG25" s="332">
        <f t="shared" si="26"/>
        <v>0</v>
      </c>
      <c r="BH25" s="357">
        <f t="shared" si="27"/>
        <v>0</v>
      </c>
      <c r="BI25" s="527"/>
      <c r="BK25" s="324">
        <f t="shared" si="32"/>
        <v>0</v>
      </c>
      <c r="BM25" s="338"/>
      <c r="BN25" s="121">
        <v>41372</v>
      </c>
      <c r="BO25" s="755">
        <f t="shared" si="4"/>
        <v>91</v>
      </c>
      <c r="BP25" s="339">
        <v>0.91622514464068083</v>
      </c>
      <c r="BQ25" s="890">
        <f>IF(BN26=0,0,         IF(OR(Currency2="AUD",Currency1="NZD",Currency2="GBP"),BN25,   _xll.qDateNext(BN25,"-2b",,,IF(Currency2="EUR","TGT","LON"))))</f>
        <v>41372</v>
      </c>
      <c r="BR25" s="879" t="str">
        <v/>
      </c>
      <c r="BS25" s="879" t="str">
        <v/>
      </c>
      <c r="BT25" s="879" t="str">
        <v/>
      </c>
      <c r="BU25" s="879" t="str">
        <v/>
      </c>
      <c r="BV25" s="879" t="str">
        <v/>
      </c>
      <c r="BW25" s="879" t="str">
        <v/>
      </c>
      <c r="BX25" s="879" t="str">
        <v/>
      </c>
      <c r="BY25" s="879" t="str">
        <v/>
      </c>
      <c r="BZ25" s="882">
        <f>IF($BN26=0,0,        _xll.qDateNext($BN25,BZ$17,$CG$16,TRUE,Currency2))</f>
        <v>41373</v>
      </c>
      <c r="CA25" s="882">
        <f>IF($BN26=0,0,        _xll.qDateNext($BN25,CA$17,$CG$16,TRUE,Currency2))</f>
        <v>41402</v>
      </c>
      <c r="CB25" s="882">
        <f>IF($BN26=0,0,        _xll.qDateNext($BN25,CB$17,$CG$16,TRUE,Currency2))</f>
        <v>41436</v>
      </c>
      <c r="CC25" s="882">
        <f>IF($BN26=0,0,        _xll.qDateNext($BN25,CC$17,$CG$16,TRUE,Currency2))</f>
        <v>41463</v>
      </c>
      <c r="CD25" s="882">
        <f>IF($BN26=0,0,        _xll.qDateNext($BN25,CD$17,$CG$16,TRUE,Currency2))</f>
        <v>41494</v>
      </c>
      <c r="CE25" s="882">
        <f>IF($BN26=0,0,        _xll.qDateNext($BN25,CE$17,$CG$16,TRUE,Currency2))</f>
        <v>41526</v>
      </c>
      <c r="CF25" s="882">
        <f>IF($BN26=0,0,        _xll.qDateNext($BN25,CF$17,$CG$16,TRUE,Currency2))</f>
        <v>41555</v>
      </c>
      <c r="CG25" s="882">
        <f>IF($BN26=0,0,        _xll.qDateNext($BN25,CG$17,$CG$16,TRUE,Currency2))</f>
        <v>41737</v>
      </c>
      <c r="CH25" s="886">
        <v>4.9587837495213911</v>
      </c>
      <c r="CI25" s="886">
        <v>5.1007012452136982</v>
      </c>
      <c r="CJ25" s="886">
        <v>5.1612292008952885</v>
      </c>
      <c r="CK25" s="886">
        <v>5.2217571565768797</v>
      </c>
      <c r="CL25" s="886">
        <f t="shared" si="5"/>
        <v>5.2508564527522141</v>
      </c>
      <c r="CM25" s="886">
        <f t="shared" si="28"/>
        <v>5.2799557489275486</v>
      </c>
      <c r="CN25" s="886">
        <v>5.3090550451028831</v>
      </c>
      <c r="CO25" s="886">
        <v>5.3090550451028831</v>
      </c>
      <c r="CP25" s="648">
        <f t="shared" si="6"/>
        <v>4.9587837495213911</v>
      </c>
      <c r="CQ25" s="648">
        <f t="shared" si="7"/>
        <v>5.1007012452136982</v>
      </c>
      <c r="CR25" s="648">
        <f t="shared" si="8"/>
        <v>5.1612292008952885</v>
      </c>
      <c r="CS25" s="648">
        <f t="shared" si="9"/>
        <v>5.2217571565768797</v>
      </c>
      <c r="CT25" s="648">
        <f t="shared" si="10"/>
        <v>5.2508564527522141</v>
      </c>
      <c r="CU25" s="648">
        <f t="shared" si="11"/>
        <v>5.2799557489275486</v>
      </c>
      <c r="CV25" s="648">
        <f t="shared" si="12"/>
        <v>5.3090550451028831</v>
      </c>
      <c r="CW25" s="648">
        <f t="shared" si="13"/>
        <v>5.3090550451028831</v>
      </c>
      <c r="CX25" s="634" t="str">
        <v>3M</v>
      </c>
      <c r="CY25" s="616"/>
      <c r="CZ25" s="619">
        <f>IF(BN26=0,0,             IF(ISNUMBER(CY25),CY25,             IF(ISTEXT(CY25),INDEX(CP25:CW25,MATCH(CY25,$CP$17:$CW$17,0)),           IF(CX25="INT",_xll.qInterp(BN26,BZ25:CG25,CP25:CW25),       INDEX(CP25:CW25,MATCH(CX25,$CP$17:$CW$17,0))))))</f>
        <v>5.2217571565768797</v>
      </c>
      <c r="DA25" s="755">
        <f t="shared" si="14"/>
        <v>100</v>
      </c>
      <c r="DB25" s="387">
        <f t="shared" si="15"/>
        <v>-100000000</v>
      </c>
      <c r="DC25" s="268">
        <f>IF($BN26=0,0,         IF(LEFT(DCC_Leg2_Fixed,2)="1/",uEvaluate(DCC_Leg2_Fixed),         _xll.qDateYears($BN25,$BN26,DCC_Leg2_Fixed)))</f>
        <v>0.24931506849315069</v>
      </c>
      <c r="DD25" s="268">
        <f>IF($BN26,_xll.qDateYears($BN25,$BN26,DCC_Leg2_Float),0)</f>
        <v>0.24931506849315069</v>
      </c>
      <c r="DF25" s="332">
        <f t="shared" si="29"/>
        <v>0</v>
      </c>
      <c r="DG25" s="357">
        <f t="shared" si="30"/>
        <v>0</v>
      </c>
      <c r="DH25" s="527"/>
      <c r="DJ25" s="324">
        <f t="shared" si="31"/>
        <v>0</v>
      </c>
      <c r="DK25" s="529"/>
      <c r="DL25" s="338"/>
    </row>
    <row r="26" spans="2:131">
      <c r="C26" s="150" t="s">
        <v>25</v>
      </c>
      <c r="D26" s="149">
        <f>D20*12</f>
        <v>365</v>
      </c>
      <c r="O26" s="121">
        <v>41463</v>
      </c>
      <c r="P26" s="755">
        <f t="shared" si="0"/>
        <v>92</v>
      </c>
      <c r="Q26" s="125">
        <v>0.90445044131497654</v>
      </c>
      <c r="R26" s="890">
        <f>IF(O27=0,0,         IF(OR(Currency1="AUD",Currency1="NZD",Currency1="GBP"),O26,   _xll.qDateNext(O26,"-2b",,,IF(Currency1="EUR","TGT","LON"))))</f>
        <v>41463</v>
      </c>
      <c r="S26" s="879" t="str">
        <v/>
      </c>
      <c r="T26" s="879" t="str">
        <v/>
      </c>
      <c r="U26" s="879" t="str">
        <v/>
      </c>
      <c r="V26" s="879" t="str">
        <v/>
      </c>
      <c r="W26" s="879" t="str">
        <v/>
      </c>
      <c r="X26" s="879" t="str">
        <v/>
      </c>
      <c r="Y26" s="879" t="str">
        <v/>
      </c>
      <c r="Z26" s="879" t="str">
        <v/>
      </c>
      <c r="AA26" s="882">
        <f>IF($O27=0,0,        _xll.qDateNext($O26,AA$17,$AH$16,TRUE,Currency1))</f>
        <v>41464</v>
      </c>
      <c r="AB26" s="882">
        <f>IF($O27=0,0,        _xll.qDateNext($O26,AB$17,$AH$16,TRUE,Currency1))</f>
        <v>41494</v>
      </c>
      <c r="AC26" s="882">
        <f>IF($O27=0,0,        _xll.qDateNext($O26,AC$17,$AH$16,TRUE,Currency1))</f>
        <v>41526</v>
      </c>
      <c r="AD26" s="882">
        <f>IF($O27=0,0,        _xll.qDateNext($O26,AD$17,$AH$16,TRUE,Currency1))</f>
        <v>41555</v>
      </c>
      <c r="AE26" s="882">
        <f>IF($O27=0,0,        _xll.qDateNext($O26,AE$17,$AH$16,TRUE,Currency1))</f>
        <v>41586</v>
      </c>
      <c r="AF26" s="882">
        <f>IF($O27=0,0,        _xll.qDateNext($O26,AF$17,$AH$16,TRUE,Currency1))</f>
        <v>41617</v>
      </c>
      <c r="AG26" s="882">
        <f>IF($O27=0,0,        _xll.qDateNext($O26,AG$17,$AH$16,TRUE,Currency1))</f>
        <v>41647</v>
      </c>
      <c r="AH26" s="882">
        <f>IF($O27=0,0,        _xll.qDateNext($O26,AH$17,$AH$16,TRUE,Currency1))</f>
        <v>41828</v>
      </c>
      <c r="AI26" s="886">
        <f>IF($O27=0,0,           IF(FRM,_xll.qGetFwdRate(AI$14,$O26,AA26,"T",DCC_Leg1_Float),_xll.qGetFwdRate(AI$14,$O26,$O27,"T",DCC_Leg1_Float)))</f>
        <v>5.0332084906420018</v>
      </c>
      <c r="AJ26" s="886">
        <f>IF($O27=0,0,           IF(FRM,_xll.qGetFwdRate(AJ$14,$O26,AB26,"T",DCC_Leg1_Float),_xll.qGetFwdRate(AJ$14,$O26,$O27,"T",DCC_Leg1_Float)))</f>
        <v>5.1775712893359582</v>
      </c>
      <c r="AK26" s="886">
        <f t="shared" si="1"/>
        <v>5.2380983603790625</v>
      </c>
      <c r="AL26" s="886">
        <f>IF($O27=0,0,           IF(FRM,_xll.qGetFwdRate(AL$14,$O26,AD26,"T",DCC_Leg1_Float),_xll.qGetFwdRate(AL$14,$O26,$O27,"T",DCC_Leg1_Float)))</f>
        <v>5.2986254314221659</v>
      </c>
      <c r="AM26" s="886">
        <f t="shared" si="16"/>
        <v>5.3252912717440148</v>
      </c>
      <c r="AN26" s="886">
        <f t="shared" si="17"/>
        <v>5.3519571120658638</v>
      </c>
      <c r="AO26" s="886">
        <f>IF($O27=0,0,           IF(FRM,_xll.qGetFwdRate(AO$14,$O26,AG26,"T",DCC_Leg1_Float),_xll.qGetFwdRate(AO$14,$O26,$O27,"T",DCC_Leg1_Float)))</f>
        <v>5.3786229523877127</v>
      </c>
      <c r="AP26" s="886">
        <f>IF($O27=0,0,           IF(FRM,_xll.qGetFwdRate(AP$14,$O26,AH26,"T",DCC_Leg1_Float),_xll.qGetFwdRate(AP$14,$O26,$O27,"T",DCC_Leg1_Float)))</f>
        <v>5.3786229523877127</v>
      </c>
      <c r="AQ26" s="648">
        <f t="shared" si="18"/>
        <v>5.0332084906420018</v>
      </c>
      <c r="AR26" s="648">
        <f t="shared" si="19"/>
        <v>5.1775712893359582</v>
      </c>
      <c r="AS26" s="648">
        <f t="shared" si="20"/>
        <v>5.2380983603790625</v>
      </c>
      <c r="AT26" s="648">
        <f t="shared" si="21"/>
        <v>5.2986254314221659</v>
      </c>
      <c r="AU26" s="648">
        <f t="shared" si="22"/>
        <v>5.3252912717440148</v>
      </c>
      <c r="AV26" s="648">
        <f t="shared" si="23"/>
        <v>5.3519571120658638</v>
      </c>
      <c r="AW26" s="648">
        <f t="shared" si="24"/>
        <v>5.3786229523877127</v>
      </c>
      <c r="AX26" s="648">
        <f t="shared" si="25"/>
        <v>5.3786229523877127</v>
      </c>
      <c r="AY26" s="634" t="str">
        <v>3M</v>
      </c>
      <c r="AZ26" s="616"/>
      <c r="BA26" s="619">
        <f>IF(O27=0,0,             IF(ISNUMBER(AZ26),AZ26,             IF(ISTEXT(AZ26),INDEX(AQ26:AX26,MATCH(AZ26,$AQ$17:$AX$17,0)),           IF(AY26="INT",_xll.qInterp(O27,AA26:AH26,AQ26:AX26),       INDEX(AQ26:AX26,MATCH(AY26,$AQ$17:$AX$17,0))))))</f>
        <v>5.2986254314221659</v>
      </c>
      <c r="BB26" s="674">
        <v>100</v>
      </c>
      <c r="BC26" s="666">
        <f t="shared" si="3"/>
        <v>100000000</v>
      </c>
      <c r="BD26" s="268">
        <f>IF($O27=0,0,                IF(LEFT(DCC_Leg1_Fixed,2)="1/",uEvaluate(DCC_Leg1_Fixed),        _xll.qDateYears($O26,$O27,DCC_Leg1_Fixed)))</f>
        <v>0.25555555555555554</v>
      </c>
      <c r="BE26" s="268">
        <f>IF($O27,_xll.qDateYears($O26,$O27,DCC_Leg1_Float),0)</f>
        <v>0.25205479452054796</v>
      </c>
      <c r="BG26" s="332">
        <f t="shared" si="26"/>
        <v>0</v>
      </c>
      <c r="BH26" s="357">
        <f t="shared" si="27"/>
        <v>0</v>
      </c>
      <c r="BI26" s="527"/>
      <c r="BK26" s="324">
        <f t="shared" si="32"/>
        <v>0</v>
      </c>
      <c r="BM26" s="338"/>
      <c r="BN26" s="121">
        <v>41463</v>
      </c>
      <c r="BO26" s="755">
        <f t="shared" si="4"/>
        <v>92</v>
      </c>
      <c r="BP26" s="339">
        <v>0.90445044131497654</v>
      </c>
      <c r="BQ26" s="890">
        <f>IF(BN27=0,0,         IF(OR(Currency2="AUD",Currency1="NZD",Currency2="GBP"),BN26,   _xll.qDateNext(BN26,"-2b",,,IF(Currency2="EUR","TGT","LON"))))</f>
        <v>41463</v>
      </c>
      <c r="BR26" s="879" t="str">
        <v/>
      </c>
      <c r="BS26" s="879" t="str">
        <v/>
      </c>
      <c r="BT26" s="879" t="str">
        <v/>
      </c>
      <c r="BU26" s="879" t="str">
        <v/>
      </c>
      <c r="BV26" s="879" t="str">
        <v/>
      </c>
      <c r="BW26" s="879" t="str">
        <v/>
      </c>
      <c r="BX26" s="879" t="str">
        <v/>
      </c>
      <c r="BY26" s="879" t="str">
        <v/>
      </c>
      <c r="BZ26" s="882">
        <f>IF($BN27=0,0,        _xll.qDateNext($BN26,BZ$17,$CG$16,TRUE,Currency2))</f>
        <v>41464</v>
      </c>
      <c r="CA26" s="882">
        <f>IF($BN27=0,0,        _xll.qDateNext($BN26,CA$17,$CG$16,TRUE,Currency2))</f>
        <v>41494</v>
      </c>
      <c r="CB26" s="882">
        <f>IF($BN27=0,0,        _xll.qDateNext($BN26,CB$17,$CG$16,TRUE,Currency2))</f>
        <v>41526</v>
      </c>
      <c r="CC26" s="882">
        <f>IF($BN27=0,0,        _xll.qDateNext($BN26,CC$17,$CG$16,TRUE,Currency2))</f>
        <v>41555</v>
      </c>
      <c r="CD26" s="882">
        <f>IF($BN27=0,0,        _xll.qDateNext($BN26,CD$17,$CG$16,TRUE,Currency2))</f>
        <v>41586</v>
      </c>
      <c r="CE26" s="882">
        <f>IF($BN27=0,0,        _xll.qDateNext($BN26,CE$17,$CG$16,TRUE,Currency2))</f>
        <v>41617</v>
      </c>
      <c r="CF26" s="882">
        <f>IF($BN27=0,0,        _xll.qDateNext($BN26,CF$17,$CG$16,TRUE,Currency2))</f>
        <v>41647</v>
      </c>
      <c r="CG26" s="882">
        <f>IF($BN27=0,0,        _xll.qDateNext($BN26,CG$17,$CG$16,TRUE,Currency2))</f>
        <v>41828</v>
      </c>
      <c r="CH26" s="886">
        <v>5.0332084906420018</v>
      </c>
      <c r="CI26" s="886">
        <v>5.1775712893359582</v>
      </c>
      <c r="CJ26" s="886">
        <v>5.2380983603790625</v>
      </c>
      <c r="CK26" s="886">
        <v>5.2986254314221659</v>
      </c>
      <c r="CL26" s="886">
        <f t="shared" si="5"/>
        <v>5.3252912717440148</v>
      </c>
      <c r="CM26" s="886">
        <f t="shared" si="28"/>
        <v>5.3519571120658638</v>
      </c>
      <c r="CN26" s="886">
        <v>5.3786229523877127</v>
      </c>
      <c r="CO26" s="886">
        <v>5.3786229523877127</v>
      </c>
      <c r="CP26" s="648">
        <f t="shared" si="6"/>
        <v>5.0332084906420018</v>
      </c>
      <c r="CQ26" s="648">
        <f t="shared" si="7"/>
        <v>5.1775712893359582</v>
      </c>
      <c r="CR26" s="648">
        <f t="shared" si="8"/>
        <v>5.2380983603790625</v>
      </c>
      <c r="CS26" s="648">
        <f t="shared" si="9"/>
        <v>5.2986254314221659</v>
      </c>
      <c r="CT26" s="648">
        <f t="shared" si="10"/>
        <v>5.3252912717440148</v>
      </c>
      <c r="CU26" s="648">
        <f t="shared" si="11"/>
        <v>5.3519571120658638</v>
      </c>
      <c r="CV26" s="648">
        <f t="shared" si="12"/>
        <v>5.3786229523877127</v>
      </c>
      <c r="CW26" s="648">
        <f t="shared" si="13"/>
        <v>5.3786229523877127</v>
      </c>
      <c r="CX26" s="634" t="str">
        <v>3M</v>
      </c>
      <c r="CY26" s="616"/>
      <c r="CZ26" s="619">
        <f>IF(BN27=0,0,             IF(ISNUMBER(CY26),CY26,             IF(ISTEXT(CY26),INDEX(CP26:CW26,MATCH(CY26,$CP$17:$CW$17,0)),           IF(CX26="INT",_xll.qInterp(BN27,BZ26:CG26,CP26:CW26),       INDEX(CP26:CW26,MATCH(CX26,$CP$17:$CW$17,0))))))</f>
        <v>5.2986254314221659</v>
      </c>
      <c r="DA26" s="755">
        <f t="shared" si="14"/>
        <v>100</v>
      </c>
      <c r="DB26" s="387">
        <f t="shared" si="15"/>
        <v>-100000000</v>
      </c>
      <c r="DC26" s="268">
        <f>IF($BN27=0,0,         IF(LEFT(DCC_Leg2_Fixed,2)="1/",uEvaluate(DCC_Leg2_Fixed),         _xll.qDateYears($BN26,$BN27,DCC_Leg2_Fixed)))</f>
        <v>0.25205479452054796</v>
      </c>
      <c r="DD26" s="268">
        <f>IF($BN27,_xll.qDateYears($BN26,$BN27,DCC_Leg2_Float),0)</f>
        <v>0.25205479452054796</v>
      </c>
      <c r="DF26" s="332">
        <f t="shared" si="29"/>
        <v>0</v>
      </c>
      <c r="DG26" s="357">
        <f t="shared" si="30"/>
        <v>0</v>
      </c>
      <c r="DH26" s="527"/>
      <c r="DJ26" s="324">
        <f t="shared" si="31"/>
        <v>0</v>
      </c>
      <c r="DK26" s="529"/>
      <c r="DL26" s="338"/>
    </row>
    <row r="27" spans="2:131">
      <c r="O27" s="121">
        <v>41555</v>
      </c>
      <c r="P27" s="755">
        <f t="shared" si="0"/>
        <v>90</v>
      </c>
      <c r="Q27" s="125">
        <v>0.89253030685027368</v>
      </c>
      <c r="R27" s="890">
        <f>IF(O28=0,0,         IF(OR(Currency1="AUD",Currency1="NZD",Currency1="GBP"),O27,   _xll.qDateNext(O27,"-2b",,,IF(Currency1="EUR","TGT","LON"))))</f>
        <v>41555</v>
      </c>
      <c r="S27" s="879" t="str">
        <v/>
      </c>
      <c r="T27" s="879" t="str">
        <v/>
      </c>
      <c r="U27" s="879" t="str">
        <v/>
      </c>
      <c r="V27" s="879" t="str">
        <v/>
      </c>
      <c r="W27" s="879" t="str">
        <v/>
      </c>
      <c r="X27" s="879" t="str">
        <v/>
      </c>
      <c r="Y27" s="879" t="str">
        <v/>
      </c>
      <c r="Z27" s="879" t="str">
        <v/>
      </c>
      <c r="AA27" s="882">
        <f>IF($O28=0,0,        _xll.qDateNext($O27,AA$17,$AH$16,TRUE,Currency1))</f>
        <v>41556</v>
      </c>
      <c r="AB27" s="882">
        <f>IF($O28=0,0,        _xll.qDateNext($O27,AB$17,$AH$16,TRUE,Currency1))</f>
        <v>41586</v>
      </c>
      <c r="AC27" s="882">
        <f>IF($O28=0,0,        _xll.qDateNext($O27,AC$17,$AH$16,TRUE,Currency1))</f>
        <v>41617</v>
      </c>
      <c r="AD27" s="882">
        <f>IF($O28=0,0,        _xll.qDateNext($O27,AD$17,$AH$16,TRUE,Currency1))</f>
        <v>41647</v>
      </c>
      <c r="AE27" s="882">
        <f>IF($O28=0,0,        _xll.qDateNext($O27,AE$17,$AH$16,TRUE,Currency1))</f>
        <v>41680</v>
      </c>
      <c r="AF27" s="882">
        <f>IF($O28=0,0,        _xll.qDateNext($O27,AF$17,$AH$16,TRUE,Currency1))</f>
        <v>41708</v>
      </c>
      <c r="AG27" s="882">
        <f>IF($O28=0,0,        _xll.qDateNext($O27,AG$17,$AH$16,TRUE,Currency1))</f>
        <v>41737</v>
      </c>
      <c r="AH27" s="882">
        <f>IF($O28=0,0,        _xll.qDateNext($O27,AH$17,$AH$16,TRUE,Currency1))</f>
        <v>41920</v>
      </c>
      <c r="AI27" s="886">
        <f>IF($O28=0,0,           IF(FRM,_xll.qGetFwdRate(AI$14,$O27,AA27,"T",DCC_Leg1_Float),_xll.qGetFwdRate(AI$14,$O27,$O28,"T",DCC_Leg1_Float)))</f>
        <v>5.139543247955598</v>
      </c>
      <c r="AJ27" s="886">
        <f>IF($O28=0,0,           IF(FRM,_xll.qGetFwdRate(AJ$14,$O27,AB27,"T",DCC_Leg1_Float),_xll.qGetFwdRate(AJ$14,$O27,$O28,"T",DCC_Leg1_Float)))</f>
        <v>5.2944128488050897</v>
      </c>
      <c r="AK27" s="886">
        <f t="shared" si="1"/>
        <v>5.3549334261812405</v>
      </c>
      <c r="AL27" s="886">
        <f>IF($O28=0,0,           IF(FRM,_xll.qGetFwdRate(AL$14,$O27,AD27,"T",DCC_Leg1_Float),_xll.qGetFwdRate(AL$14,$O27,$O28,"T",DCC_Leg1_Float)))</f>
        <v>5.4154540035573904</v>
      </c>
      <c r="AM27" s="886">
        <f t="shared" si="16"/>
        <v>5.4412366151155052</v>
      </c>
      <c r="AN27" s="886">
        <f t="shared" si="17"/>
        <v>5.4670192266736208</v>
      </c>
      <c r="AO27" s="886">
        <f>IF($O28=0,0,           IF(FRM,_xll.qGetFwdRate(AO$14,$O27,AG27,"T",DCC_Leg1_Float),_xll.qGetFwdRate(AO$14,$O27,$O28,"T",DCC_Leg1_Float)))</f>
        <v>5.4928018382317356</v>
      </c>
      <c r="AP27" s="886">
        <f>IF($O28=0,0,           IF(FRM,_xll.qGetFwdRate(AP$14,$O27,AH27,"T",DCC_Leg1_Float),_xll.qGetFwdRate(AP$14,$O27,$O28,"T",DCC_Leg1_Float)))</f>
        <v>5.4928018382317356</v>
      </c>
      <c r="AQ27" s="648">
        <f t="shared" si="18"/>
        <v>5.139543247955598</v>
      </c>
      <c r="AR27" s="648">
        <f t="shared" si="19"/>
        <v>5.2944128488050897</v>
      </c>
      <c r="AS27" s="648">
        <f t="shared" si="20"/>
        <v>5.3549334261812405</v>
      </c>
      <c r="AT27" s="648">
        <f t="shared" si="21"/>
        <v>5.4154540035573904</v>
      </c>
      <c r="AU27" s="648">
        <f t="shared" si="22"/>
        <v>5.4412366151155052</v>
      </c>
      <c r="AV27" s="648">
        <f t="shared" si="23"/>
        <v>5.4670192266736208</v>
      </c>
      <c r="AW27" s="648">
        <f t="shared" si="24"/>
        <v>5.4928018382317356</v>
      </c>
      <c r="AX27" s="648">
        <f t="shared" si="25"/>
        <v>5.4928018382317356</v>
      </c>
      <c r="AY27" s="634" t="str">
        <v>3M</v>
      </c>
      <c r="AZ27" s="617"/>
      <c r="BA27" s="619">
        <f>IF(O28=0,0,             IF(ISNUMBER(AZ27),AZ27,             IF(ISTEXT(AZ27),INDEX(AQ27:AX27,MATCH(AZ27,$AQ$17:$AX$17,0)),           IF(AY27="INT",_xll.qInterp(O28,AA27:AH27,AQ27:AX27),       INDEX(AQ27:AX27,MATCH(AY27,$AQ$17:$AX$17,0))))))</f>
        <v>5.4154540035573904</v>
      </c>
      <c r="BB27" s="674">
        <v>100</v>
      </c>
      <c r="BC27" s="666">
        <f t="shared" si="3"/>
        <v>100000000</v>
      </c>
      <c r="BD27" s="268">
        <f>IF($O28=0,0,                IF(LEFT(DCC_Leg1_Fixed,2)="1/",uEvaluate(DCC_Leg1_Fixed),        _xll.qDateYears($O27,$O28,DCC_Leg1_Fixed)))</f>
        <v>0.25</v>
      </c>
      <c r="BE27" s="268">
        <f>IF($O28,_xll.qDateYears($O27,$O28,DCC_Leg1_Float),0)</f>
        <v>0.24657534246575341</v>
      </c>
      <c r="BG27" s="332">
        <f t="shared" si="26"/>
        <v>0</v>
      </c>
      <c r="BH27" s="357">
        <f t="shared" si="27"/>
        <v>0</v>
      </c>
      <c r="BI27" s="527"/>
      <c r="BK27" s="324">
        <f t="shared" si="32"/>
        <v>0</v>
      </c>
      <c r="BM27" s="338"/>
      <c r="BN27" s="121">
        <v>41555</v>
      </c>
      <c r="BO27" s="755">
        <f t="shared" si="4"/>
        <v>90</v>
      </c>
      <c r="BP27" s="339">
        <v>0.89253030685027368</v>
      </c>
      <c r="BQ27" s="890">
        <f>IF(BN28=0,0,         IF(OR(Currency2="AUD",Currency1="NZD",Currency2="GBP"),BN27,   _xll.qDateNext(BN27,"-2b",,,IF(Currency2="EUR","TGT","LON"))))</f>
        <v>41555</v>
      </c>
      <c r="BR27" s="879" t="str">
        <v/>
      </c>
      <c r="BS27" s="879" t="str">
        <v/>
      </c>
      <c r="BT27" s="879" t="str">
        <v/>
      </c>
      <c r="BU27" s="879" t="str">
        <v/>
      </c>
      <c r="BV27" s="879" t="str">
        <v/>
      </c>
      <c r="BW27" s="879" t="str">
        <v/>
      </c>
      <c r="BX27" s="879" t="str">
        <v/>
      </c>
      <c r="BY27" s="879" t="str">
        <v/>
      </c>
      <c r="BZ27" s="882">
        <f>IF($BN28=0,0,        _xll.qDateNext($BN27,BZ$17,$CG$16,TRUE,Currency2))</f>
        <v>41556</v>
      </c>
      <c r="CA27" s="882">
        <f>IF($BN28=0,0,        _xll.qDateNext($BN27,CA$17,$CG$16,TRUE,Currency2))</f>
        <v>41586</v>
      </c>
      <c r="CB27" s="882">
        <f>IF($BN28=0,0,        _xll.qDateNext($BN27,CB$17,$CG$16,TRUE,Currency2))</f>
        <v>41617</v>
      </c>
      <c r="CC27" s="882">
        <f>IF($BN28=0,0,        _xll.qDateNext($BN27,CC$17,$CG$16,TRUE,Currency2))</f>
        <v>41647</v>
      </c>
      <c r="CD27" s="882">
        <f>IF($BN28=0,0,        _xll.qDateNext($BN27,CD$17,$CG$16,TRUE,Currency2))</f>
        <v>41680</v>
      </c>
      <c r="CE27" s="882">
        <f>IF($BN28=0,0,        _xll.qDateNext($BN27,CE$17,$CG$16,TRUE,Currency2))</f>
        <v>41708</v>
      </c>
      <c r="CF27" s="882">
        <f>IF($BN28=0,0,        _xll.qDateNext($BN27,CF$17,$CG$16,TRUE,Currency2))</f>
        <v>41737</v>
      </c>
      <c r="CG27" s="882">
        <f>IF($BN28=0,0,        _xll.qDateNext($BN27,CG$17,$CG$16,TRUE,Currency2))</f>
        <v>41920</v>
      </c>
      <c r="CH27" s="886">
        <v>5.139543247955598</v>
      </c>
      <c r="CI27" s="886">
        <v>5.2944128488050897</v>
      </c>
      <c r="CJ27" s="886">
        <v>5.3549334261812405</v>
      </c>
      <c r="CK27" s="886">
        <v>5.4154540035573904</v>
      </c>
      <c r="CL27" s="886">
        <f t="shared" si="5"/>
        <v>5.4412366151155052</v>
      </c>
      <c r="CM27" s="886">
        <f t="shared" si="28"/>
        <v>5.4670192266736208</v>
      </c>
      <c r="CN27" s="886">
        <v>5.4928018382317356</v>
      </c>
      <c r="CO27" s="886">
        <v>5.4928018382317356</v>
      </c>
      <c r="CP27" s="648">
        <f t="shared" si="6"/>
        <v>5.139543247955598</v>
      </c>
      <c r="CQ27" s="648">
        <f t="shared" si="7"/>
        <v>5.2944128488050897</v>
      </c>
      <c r="CR27" s="648">
        <f t="shared" si="8"/>
        <v>5.3549334261812405</v>
      </c>
      <c r="CS27" s="648">
        <f t="shared" si="9"/>
        <v>5.4154540035573904</v>
      </c>
      <c r="CT27" s="648">
        <f t="shared" si="10"/>
        <v>5.4412366151155052</v>
      </c>
      <c r="CU27" s="648">
        <f t="shared" si="11"/>
        <v>5.4670192266736208</v>
      </c>
      <c r="CV27" s="648">
        <f t="shared" si="12"/>
        <v>5.4928018382317356</v>
      </c>
      <c r="CW27" s="648">
        <f t="shared" si="13"/>
        <v>5.4928018382317356</v>
      </c>
      <c r="CX27" s="634" t="str">
        <v>3M</v>
      </c>
      <c r="CY27" s="616"/>
      <c r="CZ27" s="619">
        <f>IF(BN28=0,0,             IF(ISNUMBER(CY27),CY27,             IF(ISTEXT(CY27),INDEX(CP27:CW27,MATCH(CY27,$CP$17:$CW$17,0)),           IF(CX27="INT",_xll.qInterp(BN28,BZ27:CG27,CP27:CW27),       INDEX(CP27:CW27,MATCH(CX27,$CP$17:$CW$17,0))))))</f>
        <v>5.4154540035573904</v>
      </c>
      <c r="DA27" s="755">
        <f t="shared" si="14"/>
        <v>100</v>
      </c>
      <c r="DB27" s="387">
        <f t="shared" si="15"/>
        <v>-100000000</v>
      </c>
      <c r="DC27" s="268">
        <f>IF($BN28=0,0,         IF(LEFT(DCC_Leg2_Fixed,2)="1/",uEvaluate(DCC_Leg2_Fixed),         _xll.qDateYears($BN27,$BN28,DCC_Leg2_Fixed)))</f>
        <v>0.24657534246575341</v>
      </c>
      <c r="DD27" s="268">
        <f>IF($BN28,_xll.qDateYears($BN27,$BN28,DCC_Leg2_Float),0)</f>
        <v>0.24657534246575341</v>
      </c>
      <c r="DF27" s="332">
        <f t="shared" si="29"/>
        <v>0</v>
      </c>
      <c r="DG27" s="357">
        <f t="shared" si="30"/>
        <v>0</v>
      </c>
      <c r="DH27" s="527"/>
      <c r="DJ27" s="324">
        <f t="shared" si="31"/>
        <v>0</v>
      </c>
      <c r="DK27" s="529"/>
      <c r="DL27" s="338"/>
    </row>
    <row r="28" spans="2:131">
      <c r="O28" s="121">
        <v>41645</v>
      </c>
      <c r="P28" s="755">
        <f t="shared" si="0"/>
        <v>91</v>
      </c>
      <c r="Q28" s="125">
        <v>0.88076924168727377</v>
      </c>
      <c r="R28" s="890">
        <f>IF(O29=0,0,         IF(OR(Currency1="AUD",Currency1="NZD",Currency1="GBP"),O28,   _xll.qDateNext(O28,"-2b",,,IF(Currency1="EUR","TGT","LON"))))</f>
        <v>41645</v>
      </c>
      <c r="S28" s="879" t="str">
        <v/>
      </c>
      <c r="T28" s="879" t="str">
        <v/>
      </c>
      <c r="U28" s="879" t="str">
        <v/>
      </c>
      <c r="V28" s="879" t="str">
        <v/>
      </c>
      <c r="W28" s="879" t="str">
        <v/>
      </c>
      <c r="X28" s="879" t="str">
        <v/>
      </c>
      <c r="Y28" s="879" t="str">
        <v/>
      </c>
      <c r="Z28" s="879" t="str">
        <v/>
      </c>
      <c r="AA28" s="882">
        <f>IF($O29=0,0,        _xll.qDateNext($O28,AA$17,$AH$16,TRUE,Currency1))</f>
        <v>41646</v>
      </c>
      <c r="AB28" s="882">
        <f>IF($O29=0,0,        _xll.qDateNext($O28,AB$17,$AH$16,TRUE,Currency1))</f>
        <v>41676</v>
      </c>
      <c r="AC28" s="882">
        <f>IF($O29=0,0,        _xll.qDateNext($O28,AC$17,$AH$16,TRUE,Currency1))</f>
        <v>41704</v>
      </c>
      <c r="AD28" s="882">
        <f>IF($O29=0,0,        _xll.qDateNext($O28,AD$17,$AH$16,TRUE,Currency1))</f>
        <v>41736</v>
      </c>
      <c r="AE28" s="882">
        <f>IF($O29=0,0,        _xll.qDateNext($O28,AE$17,$AH$16,TRUE,Currency1))</f>
        <v>41765</v>
      </c>
      <c r="AF28" s="882">
        <f>IF($O29=0,0,        _xll.qDateNext($O28,AF$17,$AH$16,TRUE,Currency1))</f>
        <v>41796</v>
      </c>
      <c r="AG28" s="882">
        <f>IF($O29=0,0,        _xll.qDateNext($O28,AG$17,$AH$16,TRUE,Currency1))</f>
        <v>41827</v>
      </c>
      <c r="AH28" s="882">
        <f>IF($O29=0,0,        _xll.qDateNext($O28,AH$17,$AH$16,TRUE,Currency1))</f>
        <v>42010</v>
      </c>
      <c r="AI28" s="886">
        <f>IF($O29=0,0,           IF(FRM,_xll.qGetFwdRate(AI$14,$O28,AA28,"T",DCC_Leg1_Float),_xll.qGetFwdRate(AI$14,$O28,$O29,"T",DCC_Leg1_Float)))</f>
        <v>5.2005758679291318</v>
      </c>
      <c r="AJ28" s="886">
        <f>IF($O29=0,0,           IF(FRM,_xll.qGetFwdRate(AJ$14,$O28,AB28,"T",DCC_Leg1_Float),_xll.qGetFwdRate(AJ$14,$O28,$O29,"T",DCC_Leg1_Float)))</f>
        <v>5.3659538461215996</v>
      </c>
      <c r="AK28" s="886">
        <f t="shared" si="1"/>
        <v>5.4264941600738013</v>
      </c>
      <c r="AL28" s="886">
        <f>IF($O29=0,0,           IF(FRM,_xll.qGetFwdRate(AL$14,$O28,AD28,"T",DCC_Leg1_Float),_xll.qGetFwdRate(AL$14,$O28,$O29,"T",DCC_Leg1_Float)))</f>
        <v>5.4870344740260029</v>
      </c>
      <c r="AM28" s="886">
        <f t="shared" si="16"/>
        <v>5.5119505813174205</v>
      </c>
      <c r="AN28" s="886">
        <f t="shared" si="17"/>
        <v>5.5368666886088382</v>
      </c>
      <c r="AO28" s="886">
        <f>IF($O29=0,0,           IF(FRM,_xll.qGetFwdRate(AO$14,$O28,AG28,"T",DCC_Leg1_Float),_xll.qGetFwdRate(AO$14,$O28,$O29,"T",DCC_Leg1_Float)))</f>
        <v>5.5617827959002559</v>
      </c>
      <c r="AP28" s="886">
        <f>IF($O29=0,0,           IF(FRM,_xll.qGetFwdRate(AP$14,$O28,AH28,"T",DCC_Leg1_Float),_xll.qGetFwdRate(AP$14,$O28,$O29,"T",DCC_Leg1_Float)))</f>
        <v>5.5617827959002559</v>
      </c>
      <c r="AQ28" s="648">
        <f t="shared" si="18"/>
        <v>5.2005758679291318</v>
      </c>
      <c r="AR28" s="648">
        <f t="shared" si="19"/>
        <v>5.3659538461215996</v>
      </c>
      <c r="AS28" s="648">
        <f t="shared" si="20"/>
        <v>5.4264941600738013</v>
      </c>
      <c r="AT28" s="648">
        <f t="shared" si="21"/>
        <v>5.4870344740260029</v>
      </c>
      <c r="AU28" s="648">
        <f t="shared" si="22"/>
        <v>5.5119505813174205</v>
      </c>
      <c r="AV28" s="648">
        <f t="shared" si="23"/>
        <v>5.5368666886088382</v>
      </c>
      <c r="AW28" s="648">
        <f t="shared" si="24"/>
        <v>5.5617827959002559</v>
      </c>
      <c r="AX28" s="648">
        <f t="shared" si="25"/>
        <v>5.5617827959002559</v>
      </c>
      <c r="AY28" s="634" t="str">
        <v>3M</v>
      </c>
      <c r="AZ28" s="617"/>
      <c r="BA28" s="619">
        <f>IF(O29=0,0,             IF(ISNUMBER(AZ28),AZ28,             IF(ISTEXT(AZ28),INDEX(AQ28:AX28,MATCH(AZ28,$AQ$17:$AX$17,0)),           IF(AY28="INT",_xll.qInterp(O29,AA28:AH28,AQ28:AX28),       INDEX(AQ28:AX28,MATCH(AY28,$AQ$17:$AX$17,0))))))</f>
        <v>5.4870344740260029</v>
      </c>
      <c r="BB28" s="674">
        <v>100</v>
      </c>
      <c r="BC28" s="666">
        <f t="shared" si="3"/>
        <v>100000000</v>
      </c>
      <c r="BD28" s="268">
        <f>IF($O29=0,0,                IF(LEFT(DCC_Leg1_Fixed,2)="1/",uEvaluate(DCC_Leg1_Fixed),        _xll.qDateYears($O28,$O29,DCC_Leg1_Fixed)))</f>
        <v>0.25277777777777777</v>
      </c>
      <c r="BE28" s="268">
        <f>IF($O29,_xll.qDateYears($O28,$O29,DCC_Leg1_Float),0)</f>
        <v>0.24931506849315069</v>
      </c>
      <c r="BG28" s="332">
        <f t="shared" si="26"/>
        <v>0</v>
      </c>
      <c r="BH28" s="357">
        <f t="shared" si="27"/>
        <v>0</v>
      </c>
      <c r="BI28" s="527"/>
      <c r="BK28" s="324">
        <f t="shared" si="32"/>
        <v>0</v>
      </c>
      <c r="BM28" s="338"/>
      <c r="BN28" s="121">
        <v>41645</v>
      </c>
      <c r="BO28" s="755">
        <f t="shared" si="4"/>
        <v>91</v>
      </c>
      <c r="BP28" s="339">
        <v>0.88076924168727377</v>
      </c>
      <c r="BQ28" s="890">
        <f>IF(BN29=0,0,         IF(OR(Currency2="AUD",Currency1="NZD",Currency2="GBP"),BN28,   _xll.qDateNext(BN28,"-2b",,,IF(Currency2="EUR","TGT","LON"))))</f>
        <v>41645</v>
      </c>
      <c r="BR28" s="879" t="str">
        <v/>
      </c>
      <c r="BS28" s="879" t="str">
        <v/>
      </c>
      <c r="BT28" s="879" t="str">
        <v/>
      </c>
      <c r="BU28" s="879" t="str">
        <v/>
      </c>
      <c r="BV28" s="879" t="str">
        <v/>
      </c>
      <c r="BW28" s="879" t="str">
        <v/>
      </c>
      <c r="BX28" s="879" t="str">
        <v/>
      </c>
      <c r="BY28" s="879" t="str">
        <v/>
      </c>
      <c r="BZ28" s="882">
        <f>IF($BN29=0,0,        _xll.qDateNext($BN28,BZ$17,$CG$16,TRUE,Currency2))</f>
        <v>41646</v>
      </c>
      <c r="CA28" s="882">
        <f>IF($BN29=0,0,        _xll.qDateNext($BN28,CA$17,$CG$16,TRUE,Currency2))</f>
        <v>41676</v>
      </c>
      <c r="CB28" s="882">
        <f>IF($BN29=0,0,        _xll.qDateNext($BN28,CB$17,$CG$16,TRUE,Currency2))</f>
        <v>41704</v>
      </c>
      <c r="CC28" s="882">
        <f>IF($BN29=0,0,        _xll.qDateNext($BN28,CC$17,$CG$16,TRUE,Currency2))</f>
        <v>41736</v>
      </c>
      <c r="CD28" s="882">
        <f>IF($BN29=0,0,        _xll.qDateNext($BN28,CD$17,$CG$16,TRUE,Currency2))</f>
        <v>41765</v>
      </c>
      <c r="CE28" s="882">
        <f>IF($BN29=0,0,        _xll.qDateNext($BN28,CE$17,$CG$16,TRUE,Currency2))</f>
        <v>41796</v>
      </c>
      <c r="CF28" s="882">
        <f>IF($BN29=0,0,        _xll.qDateNext($BN28,CF$17,$CG$16,TRUE,Currency2))</f>
        <v>41827</v>
      </c>
      <c r="CG28" s="882">
        <f>IF($BN29=0,0,        _xll.qDateNext($BN28,CG$17,$CG$16,TRUE,Currency2))</f>
        <v>42010</v>
      </c>
      <c r="CH28" s="886">
        <v>5.2005758679291318</v>
      </c>
      <c r="CI28" s="886">
        <v>5.3659538461215996</v>
      </c>
      <c r="CJ28" s="886">
        <v>5.4264941600738013</v>
      </c>
      <c r="CK28" s="886">
        <v>5.4870344740260029</v>
      </c>
      <c r="CL28" s="886">
        <f t="shared" si="5"/>
        <v>5.5119505813174205</v>
      </c>
      <c r="CM28" s="886">
        <f t="shared" si="28"/>
        <v>5.5368666886088382</v>
      </c>
      <c r="CN28" s="886">
        <v>5.5617827959002559</v>
      </c>
      <c r="CO28" s="886">
        <v>5.5617827959002559</v>
      </c>
      <c r="CP28" s="648">
        <f t="shared" si="6"/>
        <v>5.2005758679291318</v>
      </c>
      <c r="CQ28" s="648">
        <f t="shared" si="7"/>
        <v>5.3659538461215996</v>
      </c>
      <c r="CR28" s="648">
        <f t="shared" si="8"/>
        <v>5.4264941600738013</v>
      </c>
      <c r="CS28" s="648">
        <f t="shared" si="9"/>
        <v>5.4870344740260029</v>
      </c>
      <c r="CT28" s="648">
        <f t="shared" si="10"/>
        <v>5.5119505813174205</v>
      </c>
      <c r="CU28" s="648">
        <f t="shared" si="11"/>
        <v>5.5368666886088382</v>
      </c>
      <c r="CV28" s="648">
        <f t="shared" si="12"/>
        <v>5.5617827959002559</v>
      </c>
      <c r="CW28" s="648">
        <f t="shared" si="13"/>
        <v>5.5617827959002559</v>
      </c>
      <c r="CX28" s="634" t="str">
        <v>3M</v>
      </c>
      <c r="CY28" s="616"/>
      <c r="CZ28" s="619">
        <f>IF(BN29=0,0,             IF(ISNUMBER(CY28),CY28,             IF(ISTEXT(CY28),INDEX(CP28:CW28,MATCH(CY28,$CP$17:$CW$17,0)),           IF(CX28="INT",_xll.qInterp(BN29,BZ28:CG28,CP28:CW28),       INDEX(CP28:CW28,MATCH(CX28,$CP$17:$CW$17,0))))))</f>
        <v>5.4870344740260029</v>
      </c>
      <c r="DA28" s="755">
        <f t="shared" si="14"/>
        <v>100</v>
      </c>
      <c r="DB28" s="387">
        <f t="shared" si="15"/>
        <v>-100000000</v>
      </c>
      <c r="DC28" s="268">
        <f>IF($BN29=0,0,         IF(LEFT(DCC_Leg2_Fixed,2)="1/",uEvaluate(DCC_Leg2_Fixed),         _xll.qDateYears($BN28,$BN29,DCC_Leg2_Fixed)))</f>
        <v>0.24931506849315069</v>
      </c>
      <c r="DD28" s="268">
        <f>IF($BN29,_xll.qDateYears($BN28,$BN29,DCC_Leg2_Float),0)</f>
        <v>0.24931506849315069</v>
      </c>
      <c r="DF28" s="332">
        <f t="shared" si="29"/>
        <v>0</v>
      </c>
      <c r="DG28" s="357">
        <f t="shared" si="30"/>
        <v>0</v>
      </c>
      <c r="DH28" s="527"/>
      <c r="DJ28" s="324">
        <f t="shared" si="31"/>
        <v>0</v>
      </c>
      <c r="DK28" s="529"/>
      <c r="DL28" s="338"/>
    </row>
    <row r="29" spans="2:131">
      <c r="B29" s="149" t="s">
        <v>374</v>
      </c>
      <c r="C29" s="643">
        <v>1</v>
      </c>
      <c r="O29" s="121">
        <v>41736</v>
      </c>
      <c r="P29" s="755">
        <f t="shared" si="0"/>
        <v>91</v>
      </c>
      <c r="Q29" s="125">
        <v>0.86888292007609991</v>
      </c>
      <c r="R29" s="890">
        <f>IF(O30=0,0,         IF(OR(Currency1="AUD",Currency1="NZD",Currency1="GBP"),O29,   _xll.qDateNext(O29,"-2b",,,IF(Currency1="EUR","TGT","LON"))))</f>
        <v>41736</v>
      </c>
      <c r="S29" s="879" t="str">
        <v/>
      </c>
      <c r="T29" s="879" t="str">
        <v/>
      </c>
      <c r="U29" s="879" t="str">
        <v/>
      </c>
      <c r="V29" s="879" t="str">
        <v/>
      </c>
      <c r="W29" s="879" t="str">
        <v/>
      </c>
      <c r="X29" s="879" t="str">
        <v/>
      </c>
      <c r="Y29" s="879" t="str">
        <v/>
      </c>
      <c r="Z29" s="879" t="str">
        <v/>
      </c>
      <c r="AA29" s="882">
        <f>IF($O30=0,0,        _xll.qDateNext($O29,AA$17,$AH$16,TRUE,Currency1))</f>
        <v>41737</v>
      </c>
      <c r="AB29" s="882">
        <f>IF($O30=0,0,        _xll.qDateNext($O29,AB$17,$AH$16,TRUE,Currency1))</f>
        <v>41766</v>
      </c>
      <c r="AC29" s="882">
        <f>IF($O30=0,0,        _xll.qDateNext($O29,AC$17,$AH$16,TRUE,Currency1))</f>
        <v>41800</v>
      </c>
      <c r="AD29" s="882">
        <f>IF($O30=0,0,        _xll.qDateNext($O29,AD$17,$AH$16,TRUE,Currency1))</f>
        <v>41827</v>
      </c>
      <c r="AE29" s="882">
        <f>IF($O30=0,0,        _xll.qDateNext($O29,AE$17,$AH$16,TRUE,Currency1))</f>
        <v>41858</v>
      </c>
      <c r="AF29" s="882">
        <f>IF($O30=0,0,        _xll.qDateNext($O29,AF$17,$AH$16,TRUE,Currency1))</f>
        <v>41890</v>
      </c>
      <c r="AG29" s="882">
        <f>IF($O30=0,0,        _xll.qDateNext($O29,AG$17,$AH$16,TRUE,Currency1))</f>
        <v>41919</v>
      </c>
      <c r="AH29" s="882">
        <f>IF($O30=0,0,        _xll.qDateNext($O29,AH$17,$AH$16,TRUE,Currency1))</f>
        <v>42101</v>
      </c>
      <c r="AI29" s="886">
        <f>IF($O30=0,0,           IF(FRM,_xll.qGetFwdRate(AI$14,$O29,AA29,"T",DCC_Leg1_Float),_xll.qGetFwdRate(AI$14,$O29,$O30,"T",DCC_Leg1_Float)))</f>
        <v>5.2615856175221518</v>
      </c>
      <c r="AJ29" s="886">
        <f>IF($O30=0,0,           IF(FRM,_xll.qGetFwdRate(AJ$14,$O29,AB29,"T",DCC_Leg1_Float),_xll.qGetFwdRate(AJ$14,$O29,$O30,"T",DCC_Leg1_Float)))</f>
        <v>5.4375087634792205</v>
      </c>
      <c r="AK29" s="886">
        <f t="shared" si="1"/>
        <v>5.4980600532668547</v>
      </c>
      <c r="AL29" s="886">
        <f>IF($O30=0,0,           IF(FRM,_xll.qGetFwdRate(AL$14,$O29,AD29,"T",DCC_Leg1_Float),_xll.qGetFwdRate(AL$14,$O29,$O30,"T",DCC_Leg1_Float)))</f>
        <v>5.5586113430544879</v>
      </c>
      <c r="AM29" s="886">
        <f t="shared" si="16"/>
        <v>5.5826522352893635</v>
      </c>
      <c r="AN29" s="886">
        <f t="shared" si="17"/>
        <v>5.6066931275242382</v>
      </c>
      <c r="AO29" s="886">
        <f>IF($O30=0,0,           IF(FRM,_xll.qGetFwdRate(AO$14,$O29,AG29,"T",DCC_Leg1_Float),_xll.qGetFwdRate(AO$14,$O29,$O30,"T",DCC_Leg1_Float)))</f>
        <v>5.6307340197591138</v>
      </c>
      <c r="AP29" s="886">
        <f>IF($O30=0,0,           IF(FRM,_xll.qGetFwdRate(AP$14,$O29,AH29,"T",DCC_Leg1_Float),_xll.qGetFwdRate(AP$14,$O29,$O30,"T",DCC_Leg1_Float)))</f>
        <v>5.6307340197591138</v>
      </c>
      <c r="AQ29" s="648">
        <f t="shared" si="18"/>
        <v>5.2615856175221518</v>
      </c>
      <c r="AR29" s="648">
        <f t="shared" si="19"/>
        <v>5.4375087634792205</v>
      </c>
      <c r="AS29" s="648">
        <f t="shared" si="20"/>
        <v>5.4980600532668547</v>
      </c>
      <c r="AT29" s="648">
        <f t="shared" si="21"/>
        <v>5.5586113430544879</v>
      </c>
      <c r="AU29" s="648">
        <f t="shared" si="22"/>
        <v>5.5826522352893635</v>
      </c>
      <c r="AV29" s="648">
        <f t="shared" si="23"/>
        <v>5.6066931275242382</v>
      </c>
      <c r="AW29" s="648">
        <f t="shared" si="24"/>
        <v>5.6307340197591138</v>
      </c>
      <c r="AX29" s="648">
        <f t="shared" si="25"/>
        <v>5.6307340197591138</v>
      </c>
      <c r="AY29" s="634" t="str">
        <v>3M</v>
      </c>
      <c r="AZ29" s="617"/>
      <c r="BA29" s="619">
        <f>IF(O30=0,0,             IF(ISNUMBER(AZ29),AZ29,             IF(ISTEXT(AZ29),INDEX(AQ29:AX29,MATCH(AZ29,$AQ$17:$AX$17,0)),           IF(AY29="INT",_xll.qInterp(O30,AA29:AH29,AQ29:AX29),       INDEX(AQ29:AX29,MATCH(AY29,$AQ$17:$AX$17,0))))))</f>
        <v>5.5586113430544879</v>
      </c>
      <c r="BB29" s="674">
        <v>100</v>
      </c>
      <c r="BC29" s="666">
        <f t="shared" si="3"/>
        <v>100000000</v>
      </c>
      <c r="BD29" s="268">
        <f>IF($O30=0,0,                IF(LEFT(DCC_Leg1_Fixed,2)="1/",uEvaluate(DCC_Leg1_Fixed),        _xll.qDateYears($O29,$O30,DCC_Leg1_Fixed)))</f>
        <v>0.25277777777777777</v>
      </c>
      <c r="BE29" s="268">
        <f>IF($O30,_xll.qDateYears($O29,$O30,DCC_Leg1_Float),0)</f>
        <v>0.24931506849315069</v>
      </c>
      <c r="BG29" s="332">
        <f t="shared" si="26"/>
        <v>0</v>
      </c>
      <c r="BH29" s="357">
        <f t="shared" si="27"/>
        <v>0</v>
      </c>
      <c r="BI29" s="527"/>
      <c r="BK29" s="324">
        <f t="shared" si="32"/>
        <v>0</v>
      </c>
      <c r="BM29" s="338"/>
      <c r="BN29" s="121">
        <v>41736</v>
      </c>
      <c r="BO29" s="755">
        <f t="shared" si="4"/>
        <v>91</v>
      </c>
      <c r="BP29" s="339">
        <v>0.86888292007609991</v>
      </c>
      <c r="BQ29" s="890">
        <f>IF(BN30=0,0,         IF(OR(Currency2="AUD",Currency1="NZD",Currency2="GBP"),BN29,   _xll.qDateNext(BN29,"-2b",,,IF(Currency2="EUR","TGT","LON"))))</f>
        <v>41736</v>
      </c>
      <c r="BR29" s="879" t="str">
        <v/>
      </c>
      <c r="BS29" s="879" t="str">
        <v/>
      </c>
      <c r="BT29" s="879" t="str">
        <v/>
      </c>
      <c r="BU29" s="879" t="str">
        <v/>
      </c>
      <c r="BV29" s="879" t="str">
        <v/>
      </c>
      <c r="BW29" s="879" t="str">
        <v/>
      </c>
      <c r="BX29" s="879" t="str">
        <v/>
      </c>
      <c r="BY29" s="879" t="str">
        <v/>
      </c>
      <c r="BZ29" s="882">
        <f>IF($BN30=0,0,        _xll.qDateNext($BN29,BZ$17,$CG$16,TRUE,Currency2))</f>
        <v>41737</v>
      </c>
      <c r="CA29" s="882">
        <f>IF($BN30=0,0,        _xll.qDateNext($BN29,CA$17,$CG$16,TRUE,Currency2))</f>
        <v>41766</v>
      </c>
      <c r="CB29" s="882">
        <f>IF($BN30=0,0,        _xll.qDateNext($BN29,CB$17,$CG$16,TRUE,Currency2))</f>
        <v>41800</v>
      </c>
      <c r="CC29" s="882">
        <f>IF($BN30=0,0,        _xll.qDateNext($BN29,CC$17,$CG$16,TRUE,Currency2))</f>
        <v>41827</v>
      </c>
      <c r="CD29" s="882">
        <f>IF($BN30=0,0,        _xll.qDateNext($BN29,CD$17,$CG$16,TRUE,Currency2))</f>
        <v>41858</v>
      </c>
      <c r="CE29" s="882">
        <f>IF($BN30=0,0,        _xll.qDateNext($BN29,CE$17,$CG$16,TRUE,Currency2))</f>
        <v>41890</v>
      </c>
      <c r="CF29" s="882">
        <f>IF($BN30=0,0,        _xll.qDateNext($BN29,CF$17,$CG$16,TRUE,Currency2))</f>
        <v>41919</v>
      </c>
      <c r="CG29" s="882">
        <f>IF($BN30=0,0,        _xll.qDateNext($BN29,CG$17,$CG$16,TRUE,Currency2))</f>
        <v>42101</v>
      </c>
      <c r="CH29" s="886">
        <v>5.2615856175221518</v>
      </c>
      <c r="CI29" s="886">
        <v>5.4375087634792205</v>
      </c>
      <c r="CJ29" s="886">
        <v>5.4980600532668547</v>
      </c>
      <c r="CK29" s="886">
        <v>5.5586113430544879</v>
      </c>
      <c r="CL29" s="886">
        <f t="shared" si="5"/>
        <v>5.5826522352893635</v>
      </c>
      <c r="CM29" s="886">
        <f t="shared" si="28"/>
        <v>5.6066931275242382</v>
      </c>
      <c r="CN29" s="886">
        <v>5.6307340197591138</v>
      </c>
      <c r="CO29" s="886">
        <v>5.6307340197591138</v>
      </c>
      <c r="CP29" s="648">
        <f t="shared" si="6"/>
        <v>5.2615856175221518</v>
      </c>
      <c r="CQ29" s="648">
        <f t="shared" si="7"/>
        <v>5.4375087634792205</v>
      </c>
      <c r="CR29" s="648">
        <f t="shared" si="8"/>
        <v>5.4980600532668547</v>
      </c>
      <c r="CS29" s="648">
        <f t="shared" si="9"/>
        <v>5.5586113430544879</v>
      </c>
      <c r="CT29" s="648">
        <f t="shared" si="10"/>
        <v>5.5826522352893635</v>
      </c>
      <c r="CU29" s="648">
        <f t="shared" si="11"/>
        <v>5.6066931275242382</v>
      </c>
      <c r="CV29" s="648">
        <f t="shared" si="12"/>
        <v>5.6307340197591138</v>
      </c>
      <c r="CW29" s="648">
        <f t="shared" si="13"/>
        <v>5.6307340197591138</v>
      </c>
      <c r="CX29" s="634" t="str">
        <v>3M</v>
      </c>
      <c r="CY29" s="616"/>
      <c r="CZ29" s="619">
        <f>IF(BN30=0,0,             IF(ISNUMBER(CY29),CY29,             IF(ISTEXT(CY29),INDEX(CP29:CW29,MATCH(CY29,$CP$17:$CW$17,0)),           IF(CX29="INT",_xll.qInterp(BN30,BZ29:CG29,CP29:CW29),       INDEX(CP29:CW29,MATCH(CX29,$CP$17:$CW$17,0))))))</f>
        <v>5.5586113430544879</v>
      </c>
      <c r="DA29" s="755">
        <f t="shared" si="14"/>
        <v>100</v>
      </c>
      <c r="DB29" s="387">
        <f t="shared" si="15"/>
        <v>-100000000</v>
      </c>
      <c r="DC29" s="268">
        <f>IF($BN30=0,0,         IF(LEFT(DCC_Leg2_Fixed,2)="1/",uEvaluate(DCC_Leg2_Fixed),         _xll.qDateYears($BN29,$BN30,DCC_Leg2_Fixed)))</f>
        <v>0.24931506849315069</v>
      </c>
      <c r="DD29" s="268">
        <f>IF($BN30,_xll.qDateYears($BN29,$BN30,DCC_Leg2_Float),0)</f>
        <v>0.24931506849315069</v>
      </c>
      <c r="DF29" s="332">
        <f t="shared" si="29"/>
        <v>0</v>
      </c>
      <c r="DG29" s="357">
        <f t="shared" si="30"/>
        <v>0</v>
      </c>
      <c r="DH29" s="527"/>
      <c r="DJ29" s="324">
        <f t="shared" si="31"/>
        <v>0</v>
      </c>
      <c r="DK29" s="529"/>
      <c r="DL29" s="338"/>
    </row>
    <row r="30" spans="2:131">
      <c r="O30" s="121">
        <v>41827</v>
      </c>
      <c r="P30" s="755">
        <f t="shared" si="0"/>
        <v>0</v>
      </c>
      <c r="Q30" s="125">
        <v>0.85700613849073404</v>
      </c>
      <c r="R30" s="890">
        <f>IF(O31=0,0,         IF(OR(Currency1="AUD",Currency1="NZD",Currency1="GBP"),O30,   _xll.qDateNext(O30,"-2b",,,IF(Currency1="EUR","TGT","LON"))))</f>
        <v>0</v>
      </c>
      <c r="S30" s="879" t="str">
        <v/>
      </c>
      <c r="T30" s="879" t="str">
        <v/>
      </c>
      <c r="U30" s="879" t="str">
        <v/>
      </c>
      <c r="V30" s="879" t="str">
        <v/>
      </c>
      <c r="W30" s="879" t="str">
        <v/>
      </c>
      <c r="X30" s="879" t="str">
        <v/>
      </c>
      <c r="Y30" s="879" t="str">
        <v/>
      </c>
      <c r="Z30" s="879" t="str">
        <v/>
      </c>
      <c r="AA30" s="882">
        <f>IF($O31=0,0,        _xll.qDateNext($O30,AA$17,$AH$16,TRUE,Currency1))</f>
        <v>0</v>
      </c>
      <c r="AB30" s="882">
        <f>IF($O31=0,0,        _xll.qDateNext($O30,AB$17,$AH$16,TRUE,Currency1))</f>
        <v>0</v>
      </c>
      <c r="AC30" s="882">
        <f>IF($O31=0,0,        _xll.qDateNext($O30,AC$17,$AH$16,TRUE,Currency1))</f>
        <v>0</v>
      </c>
      <c r="AD30" s="882">
        <f>IF($O31=0,0,        _xll.qDateNext($O30,AD$17,$AH$16,TRUE,Currency1))</f>
        <v>0</v>
      </c>
      <c r="AE30" s="882">
        <f>IF($O31=0,0,        _xll.qDateNext($O30,AE$17,$AH$16,TRUE,Currency1))</f>
        <v>0</v>
      </c>
      <c r="AF30" s="882">
        <f>IF($O31=0,0,        _xll.qDateNext($O30,AF$17,$AH$16,TRUE,Currency1))</f>
        <v>0</v>
      </c>
      <c r="AG30" s="882">
        <f>IF($O31=0,0,        _xll.qDateNext($O30,AG$17,$AH$16,TRUE,Currency1))</f>
        <v>0</v>
      </c>
      <c r="AH30" s="882">
        <f>IF($O31=0,0,        _xll.qDateNext($O30,AH$17,$AH$16,TRUE,Currency1))</f>
        <v>0</v>
      </c>
      <c r="AI30" s="886">
        <f>IF($O31=0,0,           IF(FRM,_xll.qGetFwdRate(AI$14,$O30,AA30,"T",DCC_Leg1_Float),_xll.qGetFwdRate(AI$14,$O30,$O31,"T",DCC_Leg1_Float)))</f>
        <v>0</v>
      </c>
      <c r="AJ30" s="886">
        <f>IF($O31=0,0,           IF(FRM,_xll.qGetFwdRate(AJ$14,$O30,AB30,"T",DCC_Leg1_Float),_xll.qGetFwdRate(AJ$14,$O30,$O31,"T",DCC_Leg1_Float)))</f>
        <v>0</v>
      </c>
      <c r="AK30" s="886">
        <f t="shared" si="1"/>
        <v>0</v>
      </c>
      <c r="AL30" s="886">
        <f>IF($O31=0,0,           IF(FRM,_xll.qGetFwdRate(AL$14,$O30,AD30,"T",DCC_Leg1_Float),_xll.qGetFwdRate(AL$14,$O30,$O31,"T",DCC_Leg1_Float)))</f>
        <v>0</v>
      </c>
      <c r="AM30" s="886">
        <f t="shared" si="16"/>
        <v>0</v>
      </c>
      <c r="AN30" s="886">
        <f t="shared" si="17"/>
        <v>0</v>
      </c>
      <c r="AO30" s="886">
        <f>IF($O31=0,0,           IF(FRM,_xll.qGetFwdRate(AO$14,$O30,AG30,"T",DCC_Leg1_Float),_xll.qGetFwdRate(AO$14,$O30,$O31,"T",DCC_Leg1_Float)))</f>
        <v>0</v>
      </c>
      <c r="AP30" s="886">
        <f>IF($O31=0,0,           IF(FRM,_xll.qGetFwdRate(AP$14,$O30,AH30,"T",DCC_Leg1_Float),_xll.qGetFwdRate(AP$14,$O30,$O31,"T",DCC_Leg1_Float)))</f>
        <v>0</v>
      </c>
      <c r="AQ30" s="648">
        <f t="shared" si="18"/>
        <v>0</v>
      </c>
      <c r="AR30" s="648">
        <f t="shared" si="19"/>
        <v>0</v>
      </c>
      <c r="AS30" s="648">
        <f t="shared" si="20"/>
        <v>0</v>
      </c>
      <c r="AT30" s="648">
        <f t="shared" si="21"/>
        <v>0</v>
      </c>
      <c r="AU30" s="648">
        <f t="shared" si="22"/>
        <v>0</v>
      </c>
      <c r="AV30" s="648">
        <f t="shared" si="23"/>
        <v>0</v>
      </c>
      <c r="AW30" s="648">
        <f t="shared" si="24"/>
        <v>0</v>
      </c>
      <c r="AX30" s="648">
        <f t="shared" si="25"/>
        <v>0</v>
      </c>
      <c r="AY30" s="634">
        <v>0</v>
      </c>
      <c r="AZ30" s="617"/>
      <c r="BA30" s="619">
        <f>IF(O31=0,0,             IF(ISNUMBER(AZ30),AZ30,             IF(ISTEXT(AZ30),INDEX(AQ30:AX30,MATCH(AZ30,$AQ$17:$AX$17,0)),           IF(AY30="INT",_xll.qInterp(O31,AA30:AH30,AQ30:AX30),       INDEX(AQ30:AX30,MATCH(AY30,$AQ$17:$AX$17,0))))))</f>
        <v>0</v>
      </c>
      <c r="BB30" s="674">
        <v>100</v>
      </c>
      <c r="BC30" s="666">
        <f t="shared" si="3"/>
        <v>0</v>
      </c>
      <c r="BD30" s="268">
        <f>IF($O31=0,0,                IF(LEFT(DCC_Leg1_Fixed,2)="1/",uEvaluate(DCC_Leg1_Fixed),        _xll.qDateYears($O30,$O31,DCC_Leg1_Fixed)))</f>
        <v>0</v>
      </c>
      <c r="BE30" s="268">
        <f>IF($O31,_xll.qDateYears($O30,$O31,DCC_Leg1_Float),0)</f>
        <v>0</v>
      </c>
      <c r="BG30" s="332">
        <f t="shared" si="26"/>
        <v>0</v>
      </c>
      <c r="BH30" s="357">
        <f t="shared" si="27"/>
        <v>0</v>
      </c>
      <c r="BI30" s="527"/>
      <c r="BK30" s="324">
        <f t="shared" si="32"/>
        <v>0</v>
      </c>
      <c r="BM30" s="338"/>
      <c r="BN30" s="121">
        <v>41827</v>
      </c>
      <c r="BO30" s="755">
        <f t="shared" si="4"/>
        <v>0</v>
      </c>
      <c r="BP30" s="339">
        <v>0.85700613849073404</v>
      </c>
      <c r="BQ30" s="890">
        <f>IF(BN31=0,0,         IF(OR(Currency2="AUD",Currency1="NZD",Currency2="GBP"),BN30,   _xll.qDateNext(BN30,"-2b",,,IF(Currency2="EUR","TGT","LON"))))</f>
        <v>0</v>
      </c>
      <c r="BR30" s="879" t="str">
        <v/>
      </c>
      <c r="BS30" s="879" t="str">
        <v/>
      </c>
      <c r="BT30" s="879" t="str">
        <v/>
      </c>
      <c r="BU30" s="879" t="str">
        <v/>
      </c>
      <c r="BV30" s="879" t="str">
        <v/>
      </c>
      <c r="BW30" s="879" t="str">
        <v/>
      </c>
      <c r="BX30" s="879" t="str">
        <v/>
      </c>
      <c r="BY30" s="879" t="str">
        <v/>
      </c>
      <c r="BZ30" s="882">
        <f>IF($BN31=0,0,        _xll.qDateNext($BN30,BZ$17,$CG$16,TRUE,Currency2))</f>
        <v>0</v>
      </c>
      <c r="CA30" s="882">
        <f>IF($BN31=0,0,        _xll.qDateNext($BN30,CA$17,$CG$16,TRUE,Currency2))</f>
        <v>0</v>
      </c>
      <c r="CB30" s="882">
        <f>IF($BN31=0,0,        _xll.qDateNext($BN30,CB$17,$CG$16,TRUE,Currency2))</f>
        <v>0</v>
      </c>
      <c r="CC30" s="882">
        <f>IF($BN31=0,0,        _xll.qDateNext($BN30,CC$17,$CG$16,TRUE,Currency2))</f>
        <v>0</v>
      </c>
      <c r="CD30" s="882">
        <f>IF($BN31=0,0,        _xll.qDateNext($BN30,CD$17,$CG$16,TRUE,Currency2))</f>
        <v>0</v>
      </c>
      <c r="CE30" s="882">
        <f>IF($BN31=0,0,        _xll.qDateNext($BN30,CE$17,$CG$16,TRUE,Currency2))</f>
        <v>0</v>
      </c>
      <c r="CF30" s="882">
        <f>IF($BN31=0,0,        _xll.qDateNext($BN30,CF$17,$CG$16,TRUE,Currency2))</f>
        <v>0</v>
      </c>
      <c r="CG30" s="882">
        <f>IF($BN31=0,0,        _xll.qDateNext($BN30,CG$17,$CG$16,TRUE,Currency2))</f>
        <v>0</v>
      </c>
      <c r="CH30" s="886">
        <v>0</v>
      </c>
      <c r="CI30" s="886">
        <v>0</v>
      </c>
      <c r="CJ30" s="886">
        <v>0</v>
      </c>
      <c r="CK30" s="886">
        <v>0</v>
      </c>
      <c r="CL30" s="886">
        <f t="shared" si="5"/>
        <v>0</v>
      </c>
      <c r="CM30" s="886">
        <f t="shared" si="28"/>
        <v>0</v>
      </c>
      <c r="CN30" s="886">
        <v>0</v>
      </c>
      <c r="CO30" s="886">
        <v>0</v>
      </c>
      <c r="CP30" s="648">
        <f t="shared" si="6"/>
        <v>0</v>
      </c>
      <c r="CQ30" s="648">
        <f t="shared" si="7"/>
        <v>0</v>
      </c>
      <c r="CR30" s="648">
        <f t="shared" si="8"/>
        <v>0</v>
      </c>
      <c r="CS30" s="648">
        <f t="shared" si="9"/>
        <v>0</v>
      </c>
      <c r="CT30" s="648">
        <f t="shared" si="10"/>
        <v>0</v>
      </c>
      <c r="CU30" s="648">
        <f t="shared" si="11"/>
        <v>0</v>
      </c>
      <c r="CV30" s="648">
        <f t="shared" si="12"/>
        <v>0</v>
      </c>
      <c r="CW30" s="648">
        <f t="shared" si="13"/>
        <v>0</v>
      </c>
      <c r="CX30" s="634">
        <v>0</v>
      </c>
      <c r="CY30" s="617"/>
      <c r="CZ30" s="619">
        <f>IF(BN31=0,0,             IF(ISNUMBER(CY30),CY30,             IF(ISTEXT(CY30),INDEX(CP30:CW30,MATCH(CY30,$CP$17:$CW$17,0)),           IF(CX30="INT",_xll.qInterp(BN31,BZ30:CG30,CP30:CW30),       INDEX(CP30:CW30,MATCH(CX30,$CP$17:$CW$17,0))))))</f>
        <v>0</v>
      </c>
      <c r="DA30" s="755">
        <f t="shared" si="14"/>
        <v>0</v>
      </c>
      <c r="DB30" s="387">
        <f t="shared" si="15"/>
        <v>0</v>
      </c>
      <c r="DC30" s="268">
        <f>IF($BN31=0,0,         IF(LEFT(DCC_Leg2_Fixed,2)="1/",uEvaluate(DCC_Leg2_Fixed),         _xll.qDateYears($BN30,$BN31,DCC_Leg2_Fixed)))</f>
        <v>0</v>
      </c>
      <c r="DD30" s="268">
        <f>IF($BN31,_xll.qDateYears($BN30,$BN31,DCC_Leg2_Float),0)</f>
        <v>0</v>
      </c>
      <c r="DF30" s="332">
        <f t="shared" si="29"/>
        <v>0</v>
      </c>
      <c r="DG30" s="357">
        <f t="shared" si="30"/>
        <v>0</v>
      </c>
      <c r="DH30" s="527"/>
      <c r="DJ30" s="324">
        <f t="shared" si="31"/>
        <v>0</v>
      </c>
      <c r="DK30" s="529"/>
      <c r="DL30" s="338"/>
    </row>
    <row r="31" spans="2:131">
      <c r="B31" s="149" t="s">
        <v>843</v>
      </c>
      <c r="C31" s="836" t="b">
        <v>1</v>
      </c>
      <c r="O31" s="121">
        <v>0</v>
      </c>
      <c r="P31" s="755">
        <f t="shared" si="0"/>
        <v>0</v>
      </c>
      <c r="Q31" s="125">
        <v>0</v>
      </c>
      <c r="R31" s="890">
        <f>IF(O32=0,0,         IF(OR(Currency1="AUD",Currency1="NZD",Currency1="GBP"),O31,   _xll.qDateNext(O31,"-2b",,,IF(Currency1="EUR","TGT","LON"))))</f>
        <v>0</v>
      </c>
      <c r="S31" s="879" t="str">
        <v/>
      </c>
      <c r="T31" s="879" t="str">
        <v/>
      </c>
      <c r="U31" s="879" t="str">
        <v/>
      </c>
      <c r="V31" s="879" t="str">
        <v/>
      </c>
      <c r="W31" s="879" t="str">
        <v/>
      </c>
      <c r="X31" s="879" t="str">
        <v/>
      </c>
      <c r="Y31" s="879" t="str">
        <v/>
      </c>
      <c r="Z31" s="879" t="str">
        <v/>
      </c>
      <c r="AA31" s="882">
        <f>IF($O32=0,0,        _xll.qDateNext($O31,AA$17,$AH$16,TRUE,Currency1))</f>
        <v>0</v>
      </c>
      <c r="AB31" s="882">
        <f>IF($O32=0,0,        _xll.qDateNext($O31,AB$17,$AH$16,TRUE,Currency1))</f>
        <v>0</v>
      </c>
      <c r="AC31" s="882">
        <f>IF($O32=0,0,        _xll.qDateNext($O31,AC$17,$AH$16,TRUE,Currency1))</f>
        <v>0</v>
      </c>
      <c r="AD31" s="882">
        <f>IF($O32=0,0,        _xll.qDateNext($O31,AD$17,$AH$16,TRUE,Currency1))</f>
        <v>0</v>
      </c>
      <c r="AE31" s="882">
        <f>IF($O32=0,0,        _xll.qDateNext($O31,AE$17,$AH$16,TRUE,Currency1))</f>
        <v>0</v>
      </c>
      <c r="AF31" s="882">
        <f>IF($O32=0,0,        _xll.qDateNext($O31,AF$17,$AH$16,TRUE,Currency1))</f>
        <v>0</v>
      </c>
      <c r="AG31" s="882">
        <f>IF($O32=0,0,        _xll.qDateNext($O31,AG$17,$AH$16,TRUE,Currency1))</f>
        <v>0</v>
      </c>
      <c r="AH31" s="882">
        <f>IF($O32=0,0,        _xll.qDateNext($O31,AH$17,$AH$16,TRUE,Currency1))</f>
        <v>0</v>
      </c>
      <c r="AI31" s="886">
        <f>IF($O32=0,0,           IF(FRM,_xll.qGetFwdRate(AI$14,$O31,AA31,"T",DCC_Leg1_Float),_xll.qGetFwdRate(AI$14,$O31,$O32,"T",DCC_Leg1_Float)))</f>
        <v>0</v>
      </c>
      <c r="AJ31" s="886">
        <f>IF($O32=0,0,           IF(FRM,_xll.qGetFwdRate(AJ$14,$O31,AB31,"T",DCC_Leg1_Float),_xll.qGetFwdRate(AJ$14,$O31,$O32,"T",DCC_Leg1_Float)))</f>
        <v>0</v>
      </c>
      <c r="AK31" s="886">
        <f t="shared" si="1"/>
        <v>0</v>
      </c>
      <c r="AL31" s="886">
        <f>IF($O32=0,0,           IF(FRM,_xll.qGetFwdRate(AL$14,$O31,AD31,"T",DCC_Leg1_Float),_xll.qGetFwdRate(AL$14,$O31,$O32,"T",DCC_Leg1_Float)))</f>
        <v>0</v>
      </c>
      <c r="AM31" s="886">
        <f t="shared" si="16"/>
        <v>0</v>
      </c>
      <c r="AN31" s="886">
        <f t="shared" si="17"/>
        <v>0</v>
      </c>
      <c r="AO31" s="886">
        <f>IF($O32=0,0,           IF(FRM,_xll.qGetFwdRate(AO$14,$O31,AG31,"T",DCC_Leg1_Float),_xll.qGetFwdRate(AO$14,$O31,$O32,"T",DCC_Leg1_Float)))</f>
        <v>0</v>
      </c>
      <c r="AP31" s="886">
        <f>IF($O32=0,0,           IF(FRM,_xll.qGetFwdRate(AP$14,$O31,AH31,"T",DCC_Leg1_Float),_xll.qGetFwdRate(AP$14,$O31,$O32,"T",DCC_Leg1_Float)))</f>
        <v>0</v>
      </c>
      <c r="AQ31" s="648">
        <f t="shared" si="18"/>
        <v>0</v>
      </c>
      <c r="AR31" s="648">
        <f t="shared" si="19"/>
        <v>0</v>
      </c>
      <c r="AS31" s="648">
        <f t="shared" si="20"/>
        <v>0</v>
      </c>
      <c r="AT31" s="648">
        <f t="shared" si="21"/>
        <v>0</v>
      </c>
      <c r="AU31" s="648">
        <f t="shared" si="22"/>
        <v>0</v>
      </c>
      <c r="AV31" s="648">
        <f t="shared" si="23"/>
        <v>0</v>
      </c>
      <c r="AW31" s="648">
        <f t="shared" si="24"/>
        <v>0</v>
      </c>
      <c r="AX31" s="648">
        <f t="shared" si="25"/>
        <v>0</v>
      </c>
      <c r="AY31" s="634">
        <v>0</v>
      </c>
      <c r="AZ31" s="617"/>
      <c r="BA31" s="619">
        <f>IF(O32=0,0,             IF(ISNUMBER(AZ31),AZ31,             IF(ISTEXT(AZ31),INDEX(AQ31:AX31,MATCH(AZ31,$AQ$17:$AX$17,0)),           IF(AY31="INT",_xll.qInterp(O32,AA31:AH31,AQ31:AX31),       INDEX(AQ31:AX31,MATCH(AY31,$AQ$17:$AX$17,0))))))</f>
        <v>0</v>
      </c>
      <c r="BB31" s="674">
        <v>100</v>
      </c>
      <c r="BC31" s="666">
        <f t="shared" si="3"/>
        <v>0</v>
      </c>
      <c r="BD31" s="268">
        <f>IF($O32=0,0,                IF(LEFT(DCC_Leg1_Fixed,2)="1/",uEvaluate(DCC_Leg1_Fixed),        _xll.qDateYears($O31,$O32,DCC_Leg1_Fixed)))</f>
        <v>0</v>
      </c>
      <c r="BE31" s="268">
        <f>IF($O32,_xll.qDateYears($O31,$O32,DCC_Leg1_Float),0)</f>
        <v>0</v>
      </c>
      <c r="BG31" s="332">
        <f t="shared" si="26"/>
        <v>0</v>
      </c>
      <c r="BH31" s="357">
        <f t="shared" si="27"/>
        <v>0</v>
      </c>
      <c r="BI31" s="527"/>
      <c r="BK31" s="324">
        <f t="shared" si="32"/>
        <v>0</v>
      </c>
      <c r="BM31" s="338"/>
      <c r="BN31" s="121">
        <v>0</v>
      </c>
      <c r="BO31" s="755">
        <f t="shared" si="4"/>
        <v>0</v>
      </c>
      <c r="BP31" s="339">
        <v>0</v>
      </c>
      <c r="BQ31" s="890">
        <f>IF(BN32=0,0,         IF(OR(Currency2="AUD",Currency1="NZD",Currency2="GBP"),BN31,   _xll.qDateNext(BN31,"-2b",,,IF(Currency2="EUR","TGT","LON"))))</f>
        <v>0</v>
      </c>
      <c r="BR31" s="879" t="str">
        <v/>
      </c>
      <c r="BS31" s="879" t="str">
        <v/>
      </c>
      <c r="BT31" s="879" t="str">
        <v/>
      </c>
      <c r="BU31" s="879" t="str">
        <v/>
      </c>
      <c r="BV31" s="879" t="str">
        <v/>
      </c>
      <c r="BW31" s="879" t="str">
        <v/>
      </c>
      <c r="BX31" s="879" t="str">
        <v/>
      </c>
      <c r="BY31" s="879" t="str">
        <v/>
      </c>
      <c r="BZ31" s="882">
        <f>IF($BN32=0,0,        _xll.qDateNext($BN31,BZ$17,$CG$16,TRUE,Currency2))</f>
        <v>0</v>
      </c>
      <c r="CA31" s="882">
        <f>IF($BN32=0,0,        _xll.qDateNext($BN31,CA$17,$CG$16,TRUE,Currency2))</f>
        <v>0</v>
      </c>
      <c r="CB31" s="882">
        <f>IF($BN32=0,0,        _xll.qDateNext($BN31,CB$17,$CG$16,TRUE,Currency2))</f>
        <v>0</v>
      </c>
      <c r="CC31" s="882">
        <f>IF($BN32=0,0,        _xll.qDateNext($BN31,CC$17,$CG$16,TRUE,Currency2))</f>
        <v>0</v>
      </c>
      <c r="CD31" s="882">
        <f>IF($BN32=0,0,        _xll.qDateNext($BN31,CD$17,$CG$16,TRUE,Currency2))</f>
        <v>0</v>
      </c>
      <c r="CE31" s="882">
        <f>IF($BN32=0,0,        _xll.qDateNext($BN31,CE$17,$CG$16,TRUE,Currency2))</f>
        <v>0</v>
      </c>
      <c r="CF31" s="882">
        <f>IF($BN32=0,0,        _xll.qDateNext($BN31,CF$17,$CG$16,TRUE,Currency2))</f>
        <v>0</v>
      </c>
      <c r="CG31" s="882">
        <f>IF($BN32=0,0,        _xll.qDateNext($BN31,CG$17,$CG$16,TRUE,Currency2))</f>
        <v>0</v>
      </c>
      <c r="CH31" s="886">
        <v>0</v>
      </c>
      <c r="CI31" s="886">
        <v>0</v>
      </c>
      <c r="CJ31" s="886">
        <v>0</v>
      </c>
      <c r="CK31" s="886">
        <v>0</v>
      </c>
      <c r="CL31" s="886">
        <f t="shared" si="5"/>
        <v>0</v>
      </c>
      <c r="CM31" s="886">
        <f t="shared" si="28"/>
        <v>0</v>
      </c>
      <c r="CN31" s="886">
        <v>0</v>
      </c>
      <c r="CO31" s="886">
        <v>0</v>
      </c>
      <c r="CP31" s="648">
        <f t="shared" si="6"/>
        <v>0</v>
      </c>
      <c r="CQ31" s="648">
        <f t="shared" si="7"/>
        <v>0</v>
      </c>
      <c r="CR31" s="648">
        <f t="shared" si="8"/>
        <v>0</v>
      </c>
      <c r="CS31" s="648">
        <f t="shared" si="9"/>
        <v>0</v>
      </c>
      <c r="CT31" s="648">
        <f t="shared" si="10"/>
        <v>0</v>
      </c>
      <c r="CU31" s="648">
        <f t="shared" si="11"/>
        <v>0</v>
      </c>
      <c r="CV31" s="648">
        <f t="shared" si="12"/>
        <v>0</v>
      </c>
      <c r="CW31" s="648">
        <f t="shared" si="13"/>
        <v>0</v>
      </c>
      <c r="CX31" s="634">
        <v>0</v>
      </c>
      <c r="CY31" s="617"/>
      <c r="CZ31" s="619">
        <f>IF(BN32=0,0,             IF(ISNUMBER(CY31),CY31,             IF(ISTEXT(CY31),INDEX(CP31:CW31,MATCH(CY31,$CP$17:$CW$17,0)),           IF(CX31="INT",_xll.qInterp(BN32,BZ31:CG31,CP31:CW31),       INDEX(CP31:CW31,MATCH(CX31,$CP$17:$CW$17,0))))))</f>
        <v>0</v>
      </c>
      <c r="DA31" s="755">
        <f t="shared" si="14"/>
        <v>0</v>
      </c>
      <c r="DB31" s="387">
        <f t="shared" si="15"/>
        <v>0</v>
      </c>
      <c r="DC31" s="268">
        <f>IF($BN32=0,0,         IF(LEFT(DCC_Leg2_Fixed,2)="1/",uEvaluate(DCC_Leg2_Fixed),         _xll.qDateYears($BN31,$BN32,DCC_Leg2_Fixed)))</f>
        <v>0</v>
      </c>
      <c r="DD31" s="268">
        <f>IF($BN32,_xll.qDateYears($BN31,$BN32,DCC_Leg2_Float),0)</f>
        <v>0</v>
      </c>
      <c r="DF31" s="332">
        <f t="shared" si="29"/>
        <v>0</v>
      </c>
      <c r="DG31" s="357">
        <f t="shared" si="30"/>
        <v>0</v>
      </c>
      <c r="DH31" s="527"/>
      <c r="DJ31" s="324">
        <f t="shared" si="31"/>
        <v>0</v>
      </c>
      <c r="DK31" s="529"/>
      <c r="DL31" s="338"/>
    </row>
    <row r="32" spans="2:131">
      <c r="M32" s="149" t="s">
        <v>78</v>
      </c>
      <c r="O32" s="121">
        <v>0</v>
      </c>
      <c r="P32" s="755">
        <f t="shared" si="0"/>
        <v>0</v>
      </c>
      <c r="Q32" s="125">
        <v>0</v>
      </c>
      <c r="R32" s="890">
        <f>IF(O33=0,0,         IF(OR(Currency1="AUD",Currency1="NZD",Currency1="GBP"),O32,   _xll.qDateNext(O32,"-2b",,,IF(Currency1="EUR","TGT","LON"))))</f>
        <v>0</v>
      </c>
      <c r="S32" s="879" t="str">
        <v/>
      </c>
      <c r="T32" s="879" t="str">
        <v/>
      </c>
      <c r="U32" s="879" t="str">
        <v/>
      </c>
      <c r="V32" s="879" t="str">
        <v/>
      </c>
      <c r="W32" s="879" t="str">
        <v/>
      </c>
      <c r="X32" s="879" t="str">
        <v/>
      </c>
      <c r="Y32" s="879" t="str">
        <v/>
      </c>
      <c r="Z32" s="879" t="str">
        <v/>
      </c>
      <c r="AA32" s="882">
        <f>IF($O33=0,0,        _xll.qDateNext($O32,AA$17,$AH$16,TRUE,Currency1))</f>
        <v>0</v>
      </c>
      <c r="AB32" s="882">
        <f>IF($O33=0,0,        _xll.qDateNext($O32,AB$17,$AH$16,TRUE,Currency1))</f>
        <v>0</v>
      </c>
      <c r="AC32" s="882">
        <f>IF($O33=0,0,        _xll.qDateNext($O32,AC$17,$AH$16,TRUE,Currency1))</f>
        <v>0</v>
      </c>
      <c r="AD32" s="882">
        <f>IF($O33=0,0,        _xll.qDateNext($O32,AD$17,$AH$16,TRUE,Currency1))</f>
        <v>0</v>
      </c>
      <c r="AE32" s="882">
        <f>IF($O33=0,0,        _xll.qDateNext($O32,AE$17,$AH$16,TRUE,Currency1))</f>
        <v>0</v>
      </c>
      <c r="AF32" s="882">
        <f>IF($O33=0,0,        _xll.qDateNext($O32,AF$17,$AH$16,TRUE,Currency1))</f>
        <v>0</v>
      </c>
      <c r="AG32" s="882">
        <f>IF($O33=0,0,        _xll.qDateNext($O32,AG$17,$AH$16,TRUE,Currency1))</f>
        <v>0</v>
      </c>
      <c r="AH32" s="882">
        <f>IF($O33=0,0,        _xll.qDateNext($O32,AH$17,$AH$16,TRUE,Currency1))</f>
        <v>0</v>
      </c>
      <c r="AI32" s="886">
        <f>IF($O33=0,0,           IF(FRM,_xll.qGetFwdRate(AI$14,$O32,AA32,"T",DCC_Leg1_Float),_xll.qGetFwdRate(AI$14,$O32,$O33,"T",DCC_Leg1_Float)))</f>
        <v>0</v>
      </c>
      <c r="AJ32" s="886">
        <f>IF($O33=0,0,           IF(FRM,_xll.qGetFwdRate(AJ$14,$O32,AB32,"T",DCC_Leg1_Float),_xll.qGetFwdRate(AJ$14,$O32,$O33,"T",DCC_Leg1_Float)))</f>
        <v>0</v>
      </c>
      <c r="AK32" s="886">
        <f t="shared" si="1"/>
        <v>0</v>
      </c>
      <c r="AL32" s="886">
        <f>IF($O33=0,0,           IF(FRM,_xll.qGetFwdRate(AL$14,$O32,AD32,"T",DCC_Leg1_Float),_xll.qGetFwdRate(AL$14,$O32,$O33,"T",DCC_Leg1_Float)))</f>
        <v>0</v>
      </c>
      <c r="AM32" s="886">
        <f t="shared" si="16"/>
        <v>0</v>
      </c>
      <c r="AN32" s="886">
        <f t="shared" si="17"/>
        <v>0</v>
      </c>
      <c r="AO32" s="886">
        <f>IF($O33=0,0,           IF(FRM,_xll.qGetFwdRate(AO$14,$O32,AG32,"T",DCC_Leg1_Float),_xll.qGetFwdRate(AO$14,$O32,$O33,"T",DCC_Leg1_Float)))</f>
        <v>0</v>
      </c>
      <c r="AP32" s="886">
        <f>IF($O33=0,0,           IF(FRM,_xll.qGetFwdRate(AP$14,$O32,AH32,"T",DCC_Leg1_Float),_xll.qGetFwdRate(AP$14,$O32,$O33,"T",DCC_Leg1_Float)))</f>
        <v>0</v>
      </c>
      <c r="AQ32" s="648">
        <f t="shared" si="18"/>
        <v>0</v>
      </c>
      <c r="AR32" s="648">
        <f t="shared" si="19"/>
        <v>0</v>
      </c>
      <c r="AS32" s="648">
        <f t="shared" si="20"/>
        <v>0</v>
      </c>
      <c r="AT32" s="648">
        <f t="shared" si="21"/>
        <v>0</v>
      </c>
      <c r="AU32" s="648">
        <f t="shared" si="22"/>
        <v>0</v>
      </c>
      <c r="AV32" s="648">
        <f t="shared" si="23"/>
        <v>0</v>
      </c>
      <c r="AW32" s="648">
        <f t="shared" si="24"/>
        <v>0</v>
      </c>
      <c r="AX32" s="648">
        <f t="shared" si="25"/>
        <v>0</v>
      </c>
      <c r="AY32" s="634">
        <v>0</v>
      </c>
      <c r="AZ32" s="616"/>
      <c r="BA32" s="619">
        <f>IF(O33=0,0,             IF(ISNUMBER(AZ32),AZ32,             IF(ISTEXT(AZ32),INDEX(AQ32:AX32,MATCH(AZ32,$AQ$17:$AX$17,0)),           IF(AY32="INT",_xll.qInterp(O33,AA32:AH32,AQ32:AX32),       INDEX(AQ32:AX32,MATCH(AY32,$AQ$17:$AX$17,0))))))</f>
        <v>0</v>
      </c>
      <c r="BB32" s="674">
        <v>100</v>
      </c>
      <c r="BC32" s="666">
        <f t="shared" si="3"/>
        <v>0</v>
      </c>
      <c r="BD32" s="268">
        <f>IF($O33=0,0,                IF(LEFT(DCC_Leg1_Fixed,2)="1/",uEvaluate(DCC_Leg1_Fixed),        _xll.qDateYears($O32,$O33,DCC_Leg1_Fixed)))</f>
        <v>0</v>
      </c>
      <c r="BE32" s="268">
        <f>IF($O33,_xll.qDateYears($O32,$O33,DCC_Leg1_Float),0)</f>
        <v>0</v>
      </c>
      <c r="BG32" s="332">
        <f t="shared" si="26"/>
        <v>0</v>
      </c>
      <c r="BH32" s="357">
        <f t="shared" si="27"/>
        <v>0</v>
      </c>
      <c r="BI32" s="527"/>
      <c r="BK32" s="324">
        <f t="shared" si="32"/>
        <v>0</v>
      </c>
      <c r="BM32" s="338"/>
      <c r="BN32" s="121">
        <v>0</v>
      </c>
      <c r="BO32" s="755">
        <f t="shared" si="4"/>
        <v>0</v>
      </c>
      <c r="BP32" s="339">
        <v>0</v>
      </c>
      <c r="BQ32" s="890">
        <f>IF(BN33=0,0,         IF(OR(Currency2="AUD",Currency1="NZD",Currency2="GBP"),BN32,   _xll.qDateNext(BN32,"-2b",,,IF(Currency2="EUR","TGT","LON"))))</f>
        <v>0</v>
      </c>
      <c r="BR32" s="879" t="str">
        <v/>
      </c>
      <c r="BS32" s="879" t="str">
        <v/>
      </c>
      <c r="BT32" s="879" t="str">
        <v/>
      </c>
      <c r="BU32" s="879" t="str">
        <v/>
      </c>
      <c r="BV32" s="879" t="str">
        <v/>
      </c>
      <c r="BW32" s="879" t="str">
        <v/>
      </c>
      <c r="BX32" s="879" t="str">
        <v/>
      </c>
      <c r="BY32" s="879" t="str">
        <v/>
      </c>
      <c r="BZ32" s="882">
        <f>IF($BN33=0,0,        _xll.qDateNext($BN32,BZ$17,$CG$16,TRUE,Currency2))</f>
        <v>0</v>
      </c>
      <c r="CA32" s="882">
        <f>IF($BN33=0,0,        _xll.qDateNext($BN32,CA$17,$CG$16,TRUE,Currency2))</f>
        <v>0</v>
      </c>
      <c r="CB32" s="882">
        <f>IF($BN33=0,0,        _xll.qDateNext($BN32,CB$17,$CG$16,TRUE,Currency2))</f>
        <v>0</v>
      </c>
      <c r="CC32" s="882">
        <f>IF($BN33=0,0,        _xll.qDateNext($BN32,CC$17,$CG$16,TRUE,Currency2))</f>
        <v>0</v>
      </c>
      <c r="CD32" s="882">
        <f>IF($BN33=0,0,        _xll.qDateNext($BN32,CD$17,$CG$16,TRUE,Currency2))</f>
        <v>0</v>
      </c>
      <c r="CE32" s="882">
        <f>IF($BN33=0,0,        _xll.qDateNext($BN32,CE$17,$CG$16,TRUE,Currency2))</f>
        <v>0</v>
      </c>
      <c r="CF32" s="882">
        <f>IF($BN33=0,0,        _xll.qDateNext($BN32,CF$17,$CG$16,TRUE,Currency2))</f>
        <v>0</v>
      </c>
      <c r="CG32" s="882">
        <f>IF($BN33=0,0,        _xll.qDateNext($BN32,CG$17,$CG$16,TRUE,Currency2))</f>
        <v>0</v>
      </c>
      <c r="CH32" s="886">
        <v>0</v>
      </c>
      <c r="CI32" s="886">
        <v>0</v>
      </c>
      <c r="CJ32" s="886">
        <v>0</v>
      </c>
      <c r="CK32" s="886">
        <v>0</v>
      </c>
      <c r="CL32" s="886">
        <f t="shared" si="5"/>
        <v>0</v>
      </c>
      <c r="CM32" s="886">
        <f t="shared" si="28"/>
        <v>0</v>
      </c>
      <c r="CN32" s="886">
        <v>0</v>
      </c>
      <c r="CO32" s="886">
        <v>0</v>
      </c>
      <c r="CP32" s="648">
        <f t="shared" si="6"/>
        <v>0</v>
      </c>
      <c r="CQ32" s="648">
        <f t="shared" si="7"/>
        <v>0</v>
      </c>
      <c r="CR32" s="648">
        <f t="shared" si="8"/>
        <v>0</v>
      </c>
      <c r="CS32" s="648">
        <f t="shared" si="9"/>
        <v>0</v>
      </c>
      <c r="CT32" s="648">
        <f t="shared" si="10"/>
        <v>0</v>
      </c>
      <c r="CU32" s="648">
        <f t="shared" si="11"/>
        <v>0</v>
      </c>
      <c r="CV32" s="648">
        <f t="shared" si="12"/>
        <v>0</v>
      </c>
      <c r="CW32" s="648">
        <f t="shared" si="13"/>
        <v>0</v>
      </c>
      <c r="CX32" s="634">
        <v>0</v>
      </c>
      <c r="CY32" s="616"/>
      <c r="CZ32" s="619">
        <f>IF(BN33=0,0,             IF(ISNUMBER(CY32),CY32,             IF(ISTEXT(CY32),INDEX(CP32:CW32,MATCH(CY32,$CP$17:$CW$17,0)),           IF(CX32="INT",_xll.qInterp(BN33,BZ32:CG32,CP32:CW32),       INDEX(CP32:CW32,MATCH(CX32,$CP$17:$CW$17,0))))))</f>
        <v>0</v>
      </c>
      <c r="DA32" s="755">
        <f t="shared" si="14"/>
        <v>0</v>
      </c>
      <c r="DB32" s="387">
        <f t="shared" si="15"/>
        <v>0</v>
      </c>
      <c r="DC32" s="268">
        <f>IF($BN33=0,0,         IF(LEFT(DCC_Leg2_Fixed,2)="1/",uEvaluate(DCC_Leg2_Fixed),         _xll.qDateYears($BN32,$BN33,DCC_Leg2_Fixed)))</f>
        <v>0</v>
      </c>
      <c r="DD32" s="268">
        <f>IF($BN33,_xll.qDateYears($BN32,$BN33,DCC_Leg2_Float),0)</f>
        <v>0</v>
      </c>
      <c r="DF32" s="332">
        <f t="shared" si="29"/>
        <v>0</v>
      </c>
      <c r="DG32" s="357">
        <f t="shared" si="30"/>
        <v>0</v>
      </c>
      <c r="DH32" s="527"/>
      <c r="DJ32" s="324">
        <f t="shared" si="31"/>
        <v>0</v>
      </c>
      <c r="DK32" s="529"/>
      <c r="DL32" s="338"/>
    </row>
    <row r="33" spans="2:116">
      <c r="O33" s="121">
        <v>0</v>
      </c>
      <c r="P33" s="755">
        <f t="shared" si="0"/>
        <v>0</v>
      </c>
      <c r="Q33" s="125">
        <v>0</v>
      </c>
      <c r="R33" s="890">
        <f>IF(O34=0,0,         IF(OR(Currency1="AUD",Currency1="NZD",Currency1="GBP"),O33,   _xll.qDateNext(O33,"-2b",,,IF(Currency1="EUR","TGT","LON"))))</f>
        <v>0</v>
      </c>
      <c r="S33" s="879" t="str">
        <v/>
      </c>
      <c r="T33" s="879" t="str">
        <v/>
      </c>
      <c r="U33" s="879" t="str">
        <v/>
      </c>
      <c r="V33" s="879" t="str">
        <v/>
      </c>
      <c r="W33" s="879" t="str">
        <v/>
      </c>
      <c r="X33" s="879" t="str">
        <v/>
      </c>
      <c r="Y33" s="879" t="str">
        <v/>
      </c>
      <c r="Z33" s="879" t="str">
        <v/>
      </c>
      <c r="AA33" s="882">
        <f>IF($O34=0,0,        _xll.qDateNext($O33,AA$17,$AH$16,TRUE,Currency1))</f>
        <v>0</v>
      </c>
      <c r="AB33" s="882">
        <f>IF($O34=0,0,        _xll.qDateNext($O33,AB$17,$AH$16,TRUE,Currency1))</f>
        <v>0</v>
      </c>
      <c r="AC33" s="882">
        <f>IF($O34=0,0,        _xll.qDateNext($O33,AC$17,$AH$16,TRUE,Currency1))</f>
        <v>0</v>
      </c>
      <c r="AD33" s="882">
        <f>IF($O34=0,0,        _xll.qDateNext($O33,AD$17,$AH$16,TRUE,Currency1))</f>
        <v>0</v>
      </c>
      <c r="AE33" s="882">
        <f>IF($O34=0,0,        _xll.qDateNext($O33,AE$17,$AH$16,TRUE,Currency1))</f>
        <v>0</v>
      </c>
      <c r="AF33" s="882">
        <f>IF($O34=0,0,        _xll.qDateNext($O33,AF$17,$AH$16,TRUE,Currency1))</f>
        <v>0</v>
      </c>
      <c r="AG33" s="882">
        <f>IF($O34=0,0,        _xll.qDateNext($O33,AG$17,$AH$16,TRUE,Currency1))</f>
        <v>0</v>
      </c>
      <c r="AH33" s="882">
        <f>IF($O34=0,0,        _xll.qDateNext($O33,AH$17,$AH$16,TRUE,Currency1))</f>
        <v>0</v>
      </c>
      <c r="AI33" s="886">
        <f>IF($O34=0,0,           IF(FRM,_xll.qGetFwdRate(AI$14,$O33,AA33,"T",DCC_Leg1_Float),_xll.qGetFwdRate(AI$14,$O33,$O34,"T",DCC_Leg1_Float)))</f>
        <v>0</v>
      </c>
      <c r="AJ33" s="886">
        <f>IF($O34=0,0,           IF(FRM,_xll.qGetFwdRate(AJ$14,$O33,AB33,"T",DCC_Leg1_Float),_xll.qGetFwdRate(AJ$14,$O33,$O34,"T",DCC_Leg1_Float)))</f>
        <v>0</v>
      </c>
      <c r="AK33" s="886">
        <f t="shared" si="1"/>
        <v>0</v>
      </c>
      <c r="AL33" s="886">
        <f>IF($O34=0,0,           IF(FRM,_xll.qGetFwdRate(AL$14,$O33,AD33,"T",DCC_Leg1_Float),_xll.qGetFwdRate(AL$14,$O33,$O34,"T",DCC_Leg1_Float)))</f>
        <v>0</v>
      </c>
      <c r="AM33" s="886">
        <f t="shared" si="16"/>
        <v>0</v>
      </c>
      <c r="AN33" s="886">
        <f t="shared" si="17"/>
        <v>0</v>
      </c>
      <c r="AO33" s="886">
        <f>IF($O34=0,0,           IF(FRM,_xll.qGetFwdRate(AO$14,$O33,AG33,"T",DCC_Leg1_Float),_xll.qGetFwdRate(AO$14,$O33,$O34,"T",DCC_Leg1_Float)))</f>
        <v>0</v>
      </c>
      <c r="AP33" s="886">
        <f>IF($O34=0,0,           IF(FRM,_xll.qGetFwdRate(AP$14,$O33,AH33,"T",DCC_Leg1_Float),_xll.qGetFwdRate(AP$14,$O33,$O34,"T",DCC_Leg1_Float)))</f>
        <v>0</v>
      </c>
      <c r="AQ33" s="648">
        <f t="shared" si="18"/>
        <v>0</v>
      </c>
      <c r="AR33" s="648">
        <f t="shared" si="19"/>
        <v>0</v>
      </c>
      <c r="AS33" s="648">
        <f t="shared" si="20"/>
        <v>0</v>
      </c>
      <c r="AT33" s="648">
        <f t="shared" si="21"/>
        <v>0</v>
      </c>
      <c r="AU33" s="648">
        <f t="shared" si="22"/>
        <v>0</v>
      </c>
      <c r="AV33" s="648">
        <f t="shared" si="23"/>
        <v>0</v>
      </c>
      <c r="AW33" s="648">
        <f t="shared" si="24"/>
        <v>0</v>
      </c>
      <c r="AX33" s="648">
        <f t="shared" si="25"/>
        <v>0</v>
      </c>
      <c r="AY33" s="634">
        <v>0</v>
      </c>
      <c r="AZ33" s="616"/>
      <c r="BA33" s="619">
        <f>IF(O34=0,0,             IF(ISNUMBER(AZ33),AZ33,             IF(ISTEXT(AZ33),INDEX(AQ33:AX33,MATCH(AZ33,$AQ$17:$AX$17,0)),           IF(AY33="INT",_xll.qInterp(O34,AA33:AH33,AQ33:AX33),       INDEX(AQ33:AX33,MATCH(AY33,$AQ$17:$AX$17,0))))))</f>
        <v>0</v>
      </c>
      <c r="BB33" s="674">
        <v>100</v>
      </c>
      <c r="BC33" s="666">
        <f t="shared" si="3"/>
        <v>0</v>
      </c>
      <c r="BD33" s="268">
        <f>IF($O34=0,0,                IF(LEFT(DCC_Leg1_Fixed,2)="1/",uEvaluate(DCC_Leg1_Fixed),        _xll.qDateYears($O33,$O34,DCC_Leg1_Fixed)))</f>
        <v>0</v>
      </c>
      <c r="BE33" s="268">
        <f>IF($O34,_xll.qDateYears($O33,$O34,DCC_Leg1_Float),0)</f>
        <v>0</v>
      </c>
      <c r="BG33" s="332">
        <f t="shared" si="26"/>
        <v>0</v>
      </c>
      <c r="BH33" s="357">
        <f t="shared" si="27"/>
        <v>0</v>
      </c>
      <c r="BI33" s="527"/>
      <c r="BK33" s="324">
        <f t="shared" si="32"/>
        <v>0</v>
      </c>
      <c r="BM33" s="338"/>
      <c r="BN33" s="121">
        <v>0</v>
      </c>
      <c r="BO33" s="755">
        <f t="shared" si="4"/>
        <v>0</v>
      </c>
      <c r="BP33" s="339">
        <v>0</v>
      </c>
      <c r="BQ33" s="890">
        <f>IF(BN34=0,0,         IF(OR(Currency2="AUD",Currency1="NZD",Currency2="GBP"),BN33,   _xll.qDateNext(BN33,"-2b",,,IF(Currency2="EUR","TGT","LON"))))</f>
        <v>0</v>
      </c>
      <c r="BR33" s="879" t="str">
        <v/>
      </c>
      <c r="BS33" s="879" t="str">
        <v/>
      </c>
      <c r="BT33" s="879" t="str">
        <v/>
      </c>
      <c r="BU33" s="879" t="str">
        <v/>
      </c>
      <c r="BV33" s="879" t="str">
        <v/>
      </c>
      <c r="BW33" s="879" t="str">
        <v/>
      </c>
      <c r="BX33" s="879" t="str">
        <v/>
      </c>
      <c r="BY33" s="879" t="str">
        <v/>
      </c>
      <c r="BZ33" s="882">
        <f>IF($BN34=0,0,        _xll.qDateNext($BN33,BZ$17,$CG$16,TRUE,Currency2))</f>
        <v>0</v>
      </c>
      <c r="CA33" s="882">
        <f>IF($BN34=0,0,        _xll.qDateNext($BN33,CA$17,$CG$16,TRUE,Currency2))</f>
        <v>0</v>
      </c>
      <c r="CB33" s="882">
        <f>IF($BN34=0,0,        _xll.qDateNext($BN33,CB$17,$CG$16,TRUE,Currency2))</f>
        <v>0</v>
      </c>
      <c r="CC33" s="882">
        <f>IF($BN34=0,0,        _xll.qDateNext($BN33,CC$17,$CG$16,TRUE,Currency2))</f>
        <v>0</v>
      </c>
      <c r="CD33" s="882">
        <f>IF($BN34=0,0,        _xll.qDateNext($BN33,CD$17,$CG$16,TRUE,Currency2))</f>
        <v>0</v>
      </c>
      <c r="CE33" s="882">
        <f>IF($BN34=0,0,        _xll.qDateNext($BN33,CE$17,$CG$16,TRUE,Currency2))</f>
        <v>0</v>
      </c>
      <c r="CF33" s="882">
        <f>IF($BN34=0,0,        _xll.qDateNext($BN33,CF$17,$CG$16,TRUE,Currency2))</f>
        <v>0</v>
      </c>
      <c r="CG33" s="882">
        <f>IF($BN34=0,0,        _xll.qDateNext($BN33,CG$17,$CG$16,TRUE,Currency2))</f>
        <v>0</v>
      </c>
      <c r="CH33" s="886">
        <v>0</v>
      </c>
      <c r="CI33" s="886">
        <v>0</v>
      </c>
      <c r="CJ33" s="886">
        <v>0</v>
      </c>
      <c r="CK33" s="886">
        <v>0</v>
      </c>
      <c r="CL33" s="886">
        <f t="shared" si="5"/>
        <v>0</v>
      </c>
      <c r="CM33" s="886">
        <f t="shared" si="28"/>
        <v>0</v>
      </c>
      <c r="CN33" s="886">
        <v>0</v>
      </c>
      <c r="CO33" s="886">
        <v>0</v>
      </c>
      <c r="CP33" s="648">
        <f t="shared" si="6"/>
        <v>0</v>
      </c>
      <c r="CQ33" s="648">
        <f t="shared" si="7"/>
        <v>0</v>
      </c>
      <c r="CR33" s="648">
        <f t="shared" si="8"/>
        <v>0</v>
      </c>
      <c r="CS33" s="648">
        <f t="shared" si="9"/>
        <v>0</v>
      </c>
      <c r="CT33" s="648">
        <f t="shared" si="10"/>
        <v>0</v>
      </c>
      <c r="CU33" s="648">
        <f t="shared" si="11"/>
        <v>0</v>
      </c>
      <c r="CV33" s="648">
        <f t="shared" si="12"/>
        <v>0</v>
      </c>
      <c r="CW33" s="648">
        <f t="shared" si="13"/>
        <v>0</v>
      </c>
      <c r="CX33" s="634">
        <v>0</v>
      </c>
      <c r="CY33" s="616"/>
      <c r="CZ33" s="619">
        <f>IF(BN34=0,0,             IF(ISNUMBER(CY33),CY33,             IF(ISTEXT(CY33),INDEX(CP33:CW33,MATCH(CY33,$CP$17:$CW$17,0)),           IF(CX33="INT",_xll.qInterp(BN34,BZ33:CG33,CP33:CW33),       INDEX(CP33:CW33,MATCH(CX33,$CP$17:$CW$17,0))))))</f>
        <v>0</v>
      </c>
      <c r="DA33" s="755">
        <f t="shared" si="14"/>
        <v>0</v>
      </c>
      <c r="DB33" s="387">
        <f t="shared" si="15"/>
        <v>0</v>
      </c>
      <c r="DC33" s="268">
        <f>IF($BN34=0,0,         IF(LEFT(DCC_Leg2_Fixed,2)="1/",uEvaluate(DCC_Leg2_Fixed),         _xll.qDateYears($BN33,$BN34,DCC_Leg2_Fixed)))</f>
        <v>0</v>
      </c>
      <c r="DD33" s="268">
        <f>IF($BN34,_xll.qDateYears($BN33,$BN34,DCC_Leg2_Float),0)</f>
        <v>0</v>
      </c>
      <c r="DF33" s="332">
        <f t="shared" si="29"/>
        <v>0</v>
      </c>
      <c r="DG33" s="357">
        <f t="shared" si="30"/>
        <v>0</v>
      </c>
      <c r="DH33" s="527"/>
      <c r="DJ33" s="324">
        <f t="shared" si="31"/>
        <v>0</v>
      </c>
      <c r="DK33" s="529"/>
      <c r="DL33" s="338"/>
    </row>
    <row r="34" spans="2:116">
      <c r="O34" s="121">
        <v>0</v>
      </c>
      <c r="P34" s="755">
        <f t="shared" si="0"/>
        <v>0</v>
      </c>
      <c r="Q34" s="125">
        <v>0</v>
      </c>
      <c r="R34" s="890">
        <f>IF(O35=0,0,         IF(OR(Currency1="AUD",Currency1="NZD",Currency1="GBP"),O34,   _xll.qDateNext(O34,"-2b",,,IF(Currency1="EUR","TGT","LON"))))</f>
        <v>0</v>
      </c>
      <c r="S34" s="879" t="str">
        <v/>
      </c>
      <c r="T34" s="879" t="str">
        <v/>
      </c>
      <c r="U34" s="879" t="str">
        <v/>
      </c>
      <c r="V34" s="879" t="str">
        <v/>
      </c>
      <c r="W34" s="879" t="str">
        <v/>
      </c>
      <c r="X34" s="879" t="str">
        <v/>
      </c>
      <c r="Y34" s="879" t="str">
        <v/>
      </c>
      <c r="Z34" s="879" t="str">
        <v/>
      </c>
      <c r="AA34" s="882">
        <f>IF($O35=0,0,        _xll.qDateNext($O34,AA$17,$AH$16,TRUE,Currency1))</f>
        <v>0</v>
      </c>
      <c r="AB34" s="882">
        <f>IF($O35=0,0,        _xll.qDateNext($O34,AB$17,$AH$16,TRUE,Currency1))</f>
        <v>0</v>
      </c>
      <c r="AC34" s="882">
        <f>IF($O35=0,0,        _xll.qDateNext($O34,AC$17,$AH$16,TRUE,Currency1))</f>
        <v>0</v>
      </c>
      <c r="AD34" s="882">
        <f>IF($O35=0,0,        _xll.qDateNext($O34,AD$17,$AH$16,TRUE,Currency1))</f>
        <v>0</v>
      </c>
      <c r="AE34" s="882">
        <f>IF($O35=0,0,        _xll.qDateNext($O34,AE$17,$AH$16,TRUE,Currency1))</f>
        <v>0</v>
      </c>
      <c r="AF34" s="882">
        <f>IF($O35=0,0,        _xll.qDateNext($O34,AF$17,$AH$16,TRUE,Currency1))</f>
        <v>0</v>
      </c>
      <c r="AG34" s="882">
        <f>IF($O35=0,0,        _xll.qDateNext($O34,AG$17,$AH$16,TRUE,Currency1))</f>
        <v>0</v>
      </c>
      <c r="AH34" s="882">
        <f>IF($O35=0,0,        _xll.qDateNext($O34,AH$17,$AH$16,TRUE,Currency1))</f>
        <v>0</v>
      </c>
      <c r="AI34" s="886">
        <f>IF($O35=0,0,           IF(FRM,_xll.qGetFwdRate(AI$14,$O34,AA34,"T",DCC_Leg1_Float),_xll.qGetFwdRate(AI$14,$O34,$O35,"T",DCC_Leg1_Float)))</f>
        <v>0</v>
      </c>
      <c r="AJ34" s="886">
        <f>IF($O35=0,0,           IF(FRM,_xll.qGetFwdRate(AJ$14,$O34,AB34,"T",DCC_Leg1_Float),_xll.qGetFwdRate(AJ$14,$O34,$O35,"T",DCC_Leg1_Float)))</f>
        <v>0</v>
      </c>
      <c r="AK34" s="886">
        <f t="shared" si="1"/>
        <v>0</v>
      </c>
      <c r="AL34" s="886">
        <f>IF($O35=0,0,           IF(FRM,_xll.qGetFwdRate(AL$14,$O34,AD34,"T",DCC_Leg1_Float),_xll.qGetFwdRate(AL$14,$O34,$O35,"T",DCC_Leg1_Float)))</f>
        <v>0</v>
      </c>
      <c r="AM34" s="886">
        <f t="shared" si="16"/>
        <v>0</v>
      </c>
      <c r="AN34" s="886">
        <f t="shared" si="17"/>
        <v>0</v>
      </c>
      <c r="AO34" s="886">
        <f>IF($O35=0,0,           IF(FRM,_xll.qGetFwdRate(AO$14,$O34,AG34,"T",DCC_Leg1_Float),_xll.qGetFwdRate(AO$14,$O34,$O35,"T",DCC_Leg1_Float)))</f>
        <v>0</v>
      </c>
      <c r="AP34" s="886">
        <f>IF($O35=0,0,           IF(FRM,_xll.qGetFwdRate(AP$14,$O34,AH34,"T",DCC_Leg1_Float),_xll.qGetFwdRate(AP$14,$O34,$O35,"T",DCC_Leg1_Float)))</f>
        <v>0</v>
      </c>
      <c r="AQ34" s="648">
        <f t="shared" si="18"/>
        <v>0</v>
      </c>
      <c r="AR34" s="648">
        <f t="shared" si="19"/>
        <v>0</v>
      </c>
      <c r="AS34" s="648">
        <f t="shared" si="20"/>
        <v>0</v>
      </c>
      <c r="AT34" s="648">
        <f t="shared" si="21"/>
        <v>0</v>
      </c>
      <c r="AU34" s="648">
        <f t="shared" si="22"/>
        <v>0</v>
      </c>
      <c r="AV34" s="648">
        <f t="shared" si="23"/>
        <v>0</v>
      </c>
      <c r="AW34" s="648">
        <f t="shared" si="24"/>
        <v>0</v>
      </c>
      <c r="AX34" s="648">
        <f t="shared" si="25"/>
        <v>0</v>
      </c>
      <c r="AY34" s="634">
        <v>0</v>
      </c>
      <c r="AZ34" s="616"/>
      <c r="BA34" s="619">
        <f>IF(O35=0,0,             IF(ISNUMBER(AZ34),AZ34,             IF(ISTEXT(AZ34),INDEX(AQ34:AX34,MATCH(AZ34,$AQ$17:$AX$17,0)),           IF(AY34="INT",_xll.qInterp(O35,AA34:AH34,AQ34:AX34),       INDEX(AQ34:AX34,MATCH(AY34,$AQ$17:$AX$17,0))))))</f>
        <v>0</v>
      </c>
      <c r="BB34" s="674">
        <v>100</v>
      </c>
      <c r="BC34" s="666">
        <f t="shared" si="3"/>
        <v>0</v>
      </c>
      <c r="BD34" s="268">
        <f>IF($O35=0,0,                IF(LEFT(DCC_Leg1_Fixed,2)="1/",uEvaluate(DCC_Leg1_Fixed),        _xll.qDateYears($O34,$O35,DCC_Leg1_Fixed)))</f>
        <v>0</v>
      </c>
      <c r="BE34" s="268">
        <f>IF($O35,_xll.qDateYears($O34,$O35,DCC_Leg1_Float),0)</f>
        <v>0</v>
      </c>
      <c r="BG34" s="332">
        <f t="shared" si="26"/>
        <v>0</v>
      </c>
      <c r="BH34" s="357">
        <f t="shared" si="27"/>
        <v>0</v>
      </c>
      <c r="BI34" s="527"/>
      <c r="BK34" s="324">
        <f t="shared" si="32"/>
        <v>0</v>
      </c>
      <c r="BM34" s="338"/>
      <c r="BN34" s="121">
        <v>0</v>
      </c>
      <c r="BO34" s="755">
        <f t="shared" si="4"/>
        <v>0</v>
      </c>
      <c r="BP34" s="339">
        <v>0</v>
      </c>
      <c r="BQ34" s="890">
        <f>IF(BN35=0,0,         IF(OR(Currency2="AUD",Currency1="NZD",Currency2="GBP"),BN34,   _xll.qDateNext(BN34,"-2b",,,IF(Currency2="EUR","TGT","LON"))))</f>
        <v>0</v>
      </c>
      <c r="BR34" s="879" t="str">
        <v/>
      </c>
      <c r="BS34" s="879" t="str">
        <v/>
      </c>
      <c r="BT34" s="879" t="str">
        <v/>
      </c>
      <c r="BU34" s="879" t="str">
        <v/>
      </c>
      <c r="BV34" s="879" t="str">
        <v/>
      </c>
      <c r="BW34" s="879" t="str">
        <v/>
      </c>
      <c r="BX34" s="879" t="str">
        <v/>
      </c>
      <c r="BY34" s="879" t="str">
        <v/>
      </c>
      <c r="BZ34" s="882">
        <f>IF($BN35=0,0,        _xll.qDateNext($BN34,BZ$17,$CG$16,TRUE,Currency2))</f>
        <v>0</v>
      </c>
      <c r="CA34" s="882">
        <f>IF($BN35=0,0,        _xll.qDateNext($BN34,CA$17,$CG$16,TRUE,Currency2))</f>
        <v>0</v>
      </c>
      <c r="CB34" s="882">
        <f>IF($BN35=0,0,        _xll.qDateNext($BN34,CB$17,$CG$16,TRUE,Currency2))</f>
        <v>0</v>
      </c>
      <c r="CC34" s="882">
        <f>IF($BN35=0,0,        _xll.qDateNext($BN34,CC$17,$CG$16,TRUE,Currency2))</f>
        <v>0</v>
      </c>
      <c r="CD34" s="882">
        <f>IF($BN35=0,0,        _xll.qDateNext($BN34,CD$17,$CG$16,TRUE,Currency2))</f>
        <v>0</v>
      </c>
      <c r="CE34" s="882">
        <f>IF($BN35=0,0,        _xll.qDateNext($BN34,CE$17,$CG$16,TRUE,Currency2))</f>
        <v>0</v>
      </c>
      <c r="CF34" s="882">
        <f>IF($BN35=0,0,        _xll.qDateNext($BN34,CF$17,$CG$16,TRUE,Currency2))</f>
        <v>0</v>
      </c>
      <c r="CG34" s="882">
        <f>IF($BN35=0,0,        _xll.qDateNext($BN34,CG$17,$CG$16,TRUE,Currency2))</f>
        <v>0</v>
      </c>
      <c r="CH34" s="886">
        <v>0</v>
      </c>
      <c r="CI34" s="886">
        <v>0</v>
      </c>
      <c r="CJ34" s="886">
        <v>0</v>
      </c>
      <c r="CK34" s="886">
        <v>0</v>
      </c>
      <c r="CL34" s="886">
        <f t="shared" si="5"/>
        <v>0</v>
      </c>
      <c r="CM34" s="886">
        <f t="shared" si="28"/>
        <v>0</v>
      </c>
      <c r="CN34" s="886">
        <v>0</v>
      </c>
      <c r="CO34" s="886">
        <v>0</v>
      </c>
      <c r="CP34" s="648">
        <f t="shared" si="6"/>
        <v>0</v>
      </c>
      <c r="CQ34" s="648">
        <f t="shared" si="7"/>
        <v>0</v>
      </c>
      <c r="CR34" s="648">
        <f t="shared" si="8"/>
        <v>0</v>
      </c>
      <c r="CS34" s="648">
        <f t="shared" si="9"/>
        <v>0</v>
      </c>
      <c r="CT34" s="648">
        <f t="shared" si="10"/>
        <v>0</v>
      </c>
      <c r="CU34" s="648">
        <f t="shared" si="11"/>
        <v>0</v>
      </c>
      <c r="CV34" s="648">
        <f t="shared" si="12"/>
        <v>0</v>
      </c>
      <c r="CW34" s="648">
        <f t="shared" si="13"/>
        <v>0</v>
      </c>
      <c r="CX34" s="634">
        <v>0</v>
      </c>
      <c r="CY34" s="616"/>
      <c r="CZ34" s="619">
        <f>IF(BN35=0,0,             IF(ISNUMBER(CY34),CY34,             IF(ISTEXT(CY34),INDEX(CP34:CW34,MATCH(CY34,$CP$17:$CW$17,0)),           IF(CX34="INT",_xll.qInterp(BN35,BZ34:CG34,CP34:CW34),       INDEX(CP34:CW34,MATCH(CX34,$CP$17:$CW$17,0))))))</f>
        <v>0</v>
      </c>
      <c r="DA34" s="755">
        <f t="shared" si="14"/>
        <v>0</v>
      </c>
      <c r="DB34" s="387">
        <f t="shared" si="15"/>
        <v>0</v>
      </c>
      <c r="DC34" s="268">
        <f>IF($BN35=0,0,         IF(LEFT(DCC_Leg2_Fixed,2)="1/",uEvaluate(DCC_Leg2_Fixed),         _xll.qDateYears($BN34,$BN35,DCC_Leg2_Fixed)))</f>
        <v>0</v>
      </c>
      <c r="DD34" s="268">
        <f>IF($BN35,_xll.qDateYears($BN34,$BN35,DCC_Leg2_Float),0)</f>
        <v>0</v>
      </c>
      <c r="DF34" s="332">
        <f t="shared" si="29"/>
        <v>0</v>
      </c>
      <c r="DG34" s="357">
        <f t="shared" si="30"/>
        <v>0</v>
      </c>
      <c r="DH34" s="527"/>
      <c r="DJ34" s="324">
        <f t="shared" si="31"/>
        <v>0</v>
      </c>
      <c r="DK34" s="529"/>
      <c r="DL34" s="338"/>
    </row>
    <row r="35" spans="2:116">
      <c r="B35" s="149" t="s">
        <v>309</v>
      </c>
      <c r="F35" s="150" t="s">
        <v>311</v>
      </c>
      <c r="O35" s="121">
        <v>0</v>
      </c>
      <c r="P35" s="755">
        <f t="shared" si="0"/>
        <v>0</v>
      </c>
      <c r="Q35" s="125">
        <v>0</v>
      </c>
      <c r="R35" s="890">
        <f>IF(O36=0,0,         IF(OR(Currency1="AUD",Currency1="NZD",Currency1="GBP"),O35,   _xll.qDateNext(O35,"-2b",,,IF(Currency1="EUR","TGT","LON"))))</f>
        <v>0</v>
      </c>
      <c r="S35" s="879" t="str">
        <v/>
      </c>
      <c r="T35" s="879" t="str">
        <v/>
      </c>
      <c r="U35" s="879" t="str">
        <v/>
      </c>
      <c r="V35" s="879" t="str">
        <v/>
      </c>
      <c r="W35" s="879" t="str">
        <v/>
      </c>
      <c r="X35" s="879" t="str">
        <v/>
      </c>
      <c r="Y35" s="879" t="str">
        <v/>
      </c>
      <c r="Z35" s="879" t="str">
        <v/>
      </c>
      <c r="AA35" s="882">
        <f>IF($O36=0,0,        _xll.qDateNext($O35,AA$17,$AH$16,TRUE,Currency1))</f>
        <v>0</v>
      </c>
      <c r="AB35" s="882">
        <f>IF($O36=0,0,        _xll.qDateNext($O35,AB$17,$AH$16,TRUE,Currency1))</f>
        <v>0</v>
      </c>
      <c r="AC35" s="882">
        <f>IF($O36=0,0,        _xll.qDateNext($O35,AC$17,$AH$16,TRUE,Currency1))</f>
        <v>0</v>
      </c>
      <c r="AD35" s="882">
        <f>IF($O36=0,0,        _xll.qDateNext($O35,AD$17,$AH$16,TRUE,Currency1))</f>
        <v>0</v>
      </c>
      <c r="AE35" s="882">
        <f>IF($O36=0,0,        _xll.qDateNext($O35,AE$17,$AH$16,TRUE,Currency1))</f>
        <v>0</v>
      </c>
      <c r="AF35" s="882">
        <f>IF($O36=0,0,        _xll.qDateNext($O35,AF$17,$AH$16,TRUE,Currency1))</f>
        <v>0</v>
      </c>
      <c r="AG35" s="882">
        <f>IF($O36=0,0,        _xll.qDateNext($O35,AG$17,$AH$16,TRUE,Currency1))</f>
        <v>0</v>
      </c>
      <c r="AH35" s="882">
        <f>IF($O36=0,0,        _xll.qDateNext($O35,AH$17,$AH$16,TRUE,Currency1))</f>
        <v>0</v>
      </c>
      <c r="AI35" s="886">
        <f>IF($O36=0,0,           IF(FRM,_xll.qGetFwdRate(AI$14,$O35,AA35,"T",DCC_Leg1_Float),_xll.qGetFwdRate(AI$14,$O35,$O36,"T",DCC_Leg1_Float)))</f>
        <v>0</v>
      </c>
      <c r="AJ35" s="886">
        <f>IF($O36=0,0,           IF(FRM,_xll.qGetFwdRate(AJ$14,$O35,AB35,"T",DCC_Leg1_Float),_xll.qGetFwdRate(AJ$14,$O35,$O36,"T",DCC_Leg1_Float)))</f>
        <v>0</v>
      </c>
      <c r="AK35" s="886">
        <f t="shared" si="1"/>
        <v>0</v>
      </c>
      <c r="AL35" s="886">
        <f>IF($O36=0,0,           IF(FRM,_xll.qGetFwdRate(AL$14,$O35,AD35,"T",DCC_Leg1_Float),_xll.qGetFwdRate(AL$14,$O35,$O36,"T",DCC_Leg1_Float)))</f>
        <v>0</v>
      </c>
      <c r="AM35" s="886">
        <f t="shared" si="16"/>
        <v>0</v>
      </c>
      <c r="AN35" s="886">
        <f t="shared" si="17"/>
        <v>0</v>
      </c>
      <c r="AO35" s="886">
        <f>IF($O36=0,0,           IF(FRM,_xll.qGetFwdRate(AO$14,$O35,AG35,"T",DCC_Leg1_Float),_xll.qGetFwdRate(AO$14,$O35,$O36,"T",DCC_Leg1_Float)))</f>
        <v>0</v>
      </c>
      <c r="AP35" s="886">
        <f>IF($O36=0,0,           IF(FRM,_xll.qGetFwdRate(AP$14,$O35,AH35,"T",DCC_Leg1_Float),_xll.qGetFwdRate(AP$14,$O35,$O36,"T",DCC_Leg1_Float)))</f>
        <v>0</v>
      </c>
      <c r="AQ35" s="648">
        <f t="shared" si="18"/>
        <v>0</v>
      </c>
      <c r="AR35" s="648">
        <f t="shared" si="19"/>
        <v>0</v>
      </c>
      <c r="AS35" s="648">
        <f t="shared" si="20"/>
        <v>0</v>
      </c>
      <c r="AT35" s="648">
        <f t="shared" si="21"/>
        <v>0</v>
      </c>
      <c r="AU35" s="648">
        <f t="shared" si="22"/>
        <v>0</v>
      </c>
      <c r="AV35" s="648">
        <f t="shared" si="23"/>
        <v>0</v>
      </c>
      <c r="AW35" s="648">
        <f t="shared" si="24"/>
        <v>0</v>
      </c>
      <c r="AX35" s="648">
        <f t="shared" si="25"/>
        <v>0</v>
      </c>
      <c r="AY35" s="634">
        <v>0</v>
      </c>
      <c r="AZ35" s="616"/>
      <c r="BA35" s="619">
        <f>IF(O36=0,0,             IF(ISNUMBER(AZ35),AZ35,             IF(ISTEXT(AZ35),INDEX(AQ35:AX35,MATCH(AZ35,$AQ$17:$AX$17,0)),           IF(AY35="INT",_xll.qInterp(O36,AA35:AH35,AQ35:AX35),       INDEX(AQ35:AX35,MATCH(AY35,$AQ$17:$AX$17,0))))))</f>
        <v>0</v>
      </c>
      <c r="BB35" s="674">
        <v>100</v>
      </c>
      <c r="BC35" s="666">
        <f t="shared" si="3"/>
        <v>0</v>
      </c>
      <c r="BD35" s="268">
        <f>IF($O36=0,0,                IF(LEFT(DCC_Leg1_Fixed,2)="1/",uEvaluate(DCC_Leg1_Fixed),        _xll.qDateYears($O35,$O36,DCC_Leg1_Fixed)))</f>
        <v>0</v>
      </c>
      <c r="BE35" s="268">
        <f>IF($O36,_xll.qDateYears($O35,$O36,DCC_Leg1_Float),0)</f>
        <v>0</v>
      </c>
      <c r="BG35" s="332">
        <f t="shared" si="26"/>
        <v>0</v>
      </c>
      <c r="BH35" s="357">
        <f t="shared" si="27"/>
        <v>0</v>
      </c>
      <c r="BI35" s="527"/>
      <c r="BK35" s="324">
        <f t="shared" si="32"/>
        <v>0</v>
      </c>
      <c r="BM35" s="338"/>
      <c r="BN35" s="121">
        <v>0</v>
      </c>
      <c r="BO35" s="755">
        <f t="shared" si="4"/>
        <v>0</v>
      </c>
      <c r="BP35" s="339">
        <v>0</v>
      </c>
      <c r="BQ35" s="890">
        <f>IF(BN36=0,0,         IF(OR(Currency2="AUD",Currency1="NZD",Currency2="GBP"),BN35,   _xll.qDateNext(BN35,"-2b",,,IF(Currency2="EUR","TGT","LON"))))</f>
        <v>0</v>
      </c>
      <c r="BR35" s="879" t="str">
        <v/>
      </c>
      <c r="BS35" s="879" t="str">
        <v/>
      </c>
      <c r="BT35" s="879" t="str">
        <v/>
      </c>
      <c r="BU35" s="879" t="str">
        <v/>
      </c>
      <c r="BV35" s="879" t="str">
        <v/>
      </c>
      <c r="BW35" s="879" t="str">
        <v/>
      </c>
      <c r="BX35" s="879" t="str">
        <v/>
      </c>
      <c r="BY35" s="879" t="str">
        <v/>
      </c>
      <c r="BZ35" s="882">
        <f>IF($BN36=0,0,        _xll.qDateNext($BN35,BZ$17,$CG$16,TRUE,Currency2))</f>
        <v>0</v>
      </c>
      <c r="CA35" s="882">
        <f>IF($BN36=0,0,        _xll.qDateNext($BN35,CA$17,$CG$16,TRUE,Currency2))</f>
        <v>0</v>
      </c>
      <c r="CB35" s="882">
        <f>IF($BN36=0,0,        _xll.qDateNext($BN35,CB$17,$CG$16,TRUE,Currency2))</f>
        <v>0</v>
      </c>
      <c r="CC35" s="882">
        <f>IF($BN36=0,0,        _xll.qDateNext($BN35,CC$17,$CG$16,TRUE,Currency2))</f>
        <v>0</v>
      </c>
      <c r="CD35" s="882">
        <f>IF($BN36=0,0,        _xll.qDateNext($BN35,CD$17,$CG$16,TRUE,Currency2))</f>
        <v>0</v>
      </c>
      <c r="CE35" s="882">
        <f>IF($BN36=0,0,        _xll.qDateNext($BN35,CE$17,$CG$16,TRUE,Currency2))</f>
        <v>0</v>
      </c>
      <c r="CF35" s="882">
        <f>IF($BN36=0,0,        _xll.qDateNext($BN35,CF$17,$CG$16,TRUE,Currency2))</f>
        <v>0</v>
      </c>
      <c r="CG35" s="882">
        <f>IF($BN36=0,0,        _xll.qDateNext($BN35,CG$17,$CG$16,TRUE,Currency2))</f>
        <v>0</v>
      </c>
      <c r="CH35" s="886">
        <v>0</v>
      </c>
      <c r="CI35" s="886">
        <v>0</v>
      </c>
      <c r="CJ35" s="886">
        <v>0</v>
      </c>
      <c r="CK35" s="886">
        <v>0</v>
      </c>
      <c r="CL35" s="886">
        <f t="shared" si="5"/>
        <v>0</v>
      </c>
      <c r="CM35" s="886">
        <f t="shared" si="28"/>
        <v>0</v>
      </c>
      <c r="CN35" s="886">
        <v>0</v>
      </c>
      <c r="CO35" s="886">
        <v>0</v>
      </c>
      <c r="CP35" s="648">
        <f t="shared" si="6"/>
        <v>0</v>
      </c>
      <c r="CQ35" s="648">
        <f t="shared" si="7"/>
        <v>0</v>
      </c>
      <c r="CR35" s="648">
        <f t="shared" si="8"/>
        <v>0</v>
      </c>
      <c r="CS35" s="648">
        <f t="shared" si="9"/>
        <v>0</v>
      </c>
      <c r="CT35" s="648">
        <f t="shared" si="10"/>
        <v>0</v>
      </c>
      <c r="CU35" s="648">
        <f t="shared" si="11"/>
        <v>0</v>
      </c>
      <c r="CV35" s="648">
        <f t="shared" si="12"/>
        <v>0</v>
      </c>
      <c r="CW35" s="648">
        <f t="shared" si="13"/>
        <v>0</v>
      </c>
      <c r="CX35" s="634">
        <v>0</v>
      </c>
      <c r="CY35" s="616"/>
      <c r="CZ35" s="619">
        <f>IF(BN36=0,0,             IF(ISNUMBER(CY35),CY35,             IF(ISTEXT(CY35),INDEX(CP35:CW35,MATCH(CY35,$CP$17:$CW$17,0)),           IF(CX35="INT",_xll.qInterp(BN36,BZ35:CG35,CP35:CW35),       INDEX(CP35:CW35,MATCH(CX35,$CP$17:$CW$17,0))))))</f>
        <v>0</v>
      </c>
      <c r="DA35" s="755">
        <f t="shared" si="14"/>
        <v>0</v>
      </c>
      <c r="DB35" s="387">
        <f t="shared" si="15"/>
        <v>0</v>
      </c>
      <c r="DC35" s="268">
        <f>IF($BN36=0,0,         IF(LEFT(DCC_Leg2_Fixed,2)="1/",uEvaluate(DCC_Leg2_Fixed),         _xll.qDateYears($BN35,$BN36,DCC_Leg2_Fixed)))</f>
        <v>0</v>
      </c>
      <c r="DD35" s="268">
        <f>IF($BN36,_xll.qDateYears($BN35,$BN36,DCC_Leg2_Float),0)</f>
        <v>0</v>
      </c>
      <c r="DF35" s="332">
        <f t="shared" si="29"/>
        <v>0</v>
      </c>
      <c r="DG35" s="357">
        <f t="shared" si="30"/>
        <v>0</v>
      </c>
      <c r="DH35" s="527"/>
      <c r="DJ35" s="324">
        <f t="shared" si="31"/>
        <v>0</v>
      </c>
      <c r="DK35" s="529"/>
      <c r="DL35" s="338"/>
    </row>
    <row r="36" spans="2:116">
      <c r="B36" s="206" t="s">
        <v>623</v>
      </c>
      <c r="C36" s="315"/>
      <c r="D36" s="206"/>
      <c r="E36" s="206"/>
      <c r="F36" s="315">
        <f>IF(AND(XCS?,NOT(Principals?)),10,0)</f>
        <v>0</v>
      </c>
      <c r="O36" s="121">
        <v>0</v>
      </c>
      <c r="P36" s="755">
        <f t="shared" si="0"/>
        <v>0</v>
      </c>
      <c r="Q36" s="125">
        <v>0</v>
      </c>
      <c r="R36" s="890">
        <f>IF(O37=0,0,         IF(OR(Currency1="AUD",Currency1="NZD",Currency1="GBP"),O36,   _xll.qDateNext(O36,"-2b",,,IF(Currency1="EUR","TGT","LON"))))</f>
        <v>0</v>
      </c>
      <c r="S36" s="879" t="str">
        <v/>
      </c>
      <c r="T36" s="879" t="str">
        <v/>
      </c>
      <c r="U36" s="879" t="str">
        <v/>
      </c>
      <c r="V36" s="879" t="str">
        <v/>
      </c>
      <c r="W36" s="879" t="str">
        <v/>
      </c>
      <c r="X36" s="879" t="str">
        <v/>
      </c>
      <c r="Y36" s="879" t="str">
        <v/>
      </c>
      <c r="Z36" s="879" t="str">
        <v/>
      </c>
      <c r="AA36" s="882">
        <f>IF($O37=0,0,        _xll.qDateNext($O36,AA$17,$AH$16,TRUE,Currency1))</f>
        <v>0</v>
      </c>
      <c r="AB36" s="882">
        <f>IF($O37=0,0,        _xll.qDateNext($O36,AB$17,$AH$16,TRUE,Currency1))</f>
        <v>0</v>
      </c>
      <c r="AC36" s="882">
        <f>IF($O37=0,0,        _xll.qDateNext($O36,AC$17,$AH$16,TRUE,Currency1))</f>
        <v>0</v>
      </c>
      <c r="AD36" s="882">
        <f>IF($O37=0,0,        _xll.qDateNext($O36,AD$17,$AH$16,TRUE,Currency1))</f>
        <v>0</v>
      </c>
      <c r="AE36" s="882">
        <f>IF($O37=0,0,        _xll.qDateNext($O36,AE$17,$AH$16,TRUE,Currency1))</f>
        <v>0</v>
      </c>
      <c r="AF36" s="882">
        <f>IF($O37=0,0,        _xll.qDateNext($O36,AF$17,$AH$16,TRUE,Currency1))</f>
        <v>0</v>
      </c>
      <c r="AG36" s="882">
        <f>IF($O37=0,0,        _xll.qDateNext($O36,AG$17,$AH$16,TRUE,Currency1))</f>
        <v>0</v>
      </c>
      <c r="AH36" s="882">
        <f>IF($O37=0,0,        _xll.qDateNext($O36,AH$17,$AH$16,TRUE,Currency1))</f>
        <v>0</v>
      </c>
      <c r="AI36" s="886">
        <f>IF($O37=0,0,           IF(FRM,_xll.qGetFwdRate(AI$14,$O36,AA36,"T",DCC_Leg1_Float),_xll.qGetFwdRate(AI$14,$O36,$O37,"T",DCC_Leg1_Float)))</f>
        <v>0</v>
      </c>
      <c r="AJ36" s="886">
        <f>IF($O37=0,0,           IF(FRM,_xll.qGetFwdRate(AJ$14,$O36,AB36,"T",DCC_Leg1_Float),_xll.qGetFwdRate(AJ$14,$O36,$O37,"T",DCC_Leg1_Float)))</f>
        <v>0</v>
      </c>
      <c r="AK36" s="886">
        <f t="shared" si="1"/>
        <v>0</v>
      </c>
      <c r="AL36" s="886">
        <f>IF($O37=0,0,           IF(FRM,_xll.qGetFwdRate(AL$14,$O36,AD36,"T",DCC_Leg1_Float),_xll.qGetFwdRate(AL$14,$O36,$O37,"T",DCC_Leg1_Float)))</f>
        <v>0</v>
      </c>
      <c r="AM36" s="886">
        <f t="shared" si="16"/>
        <v>0</v>
      </c>
      <c r="AN36" s="886">
        <f t="shared" si="17"/>
        <v>0</v>
      </c>
      <c r="AO36" s="886">
        <f>IF($O37=0,0,           IF(FRM,_xll.qGetFwdRate(AO$14,$O36,AG36,"T",DCC_Leg1_Float),_xll.qGetFwdRate(AO$14,$O36,$O37,"T",DCC_Leg1_Float)))</f>
        <v>0</v>
      </c>
      <c r="AP36" s="886">
        <f>IF($O37=0,0,           IF(FRM,_xll.qGetFwdRate(AP$14,$O36,AH36,"T",DCC_Leg1_Float),_xll.qGetFwdRate(AP$14,$O36,$O37,"T",DCC_Leg1_Float)))</f>
        <v>0</v>
      </c>
      <c r="AQ36" s="648">
        <f t="shared" si="18"/>
        <v>0</v>
      </c>
      <c r="AR36" s="648">
        <f t="shared" si="19"/>
        <v>0</v>
      </c>
      <c r="AS36" s="648">
        <f t="shared" si="20"/>
        <v>0</v>
      </c>
      <c r="AT36" s="648">
        <f t="shared" si="21"/>
        <v>0</v>
      </c>
      <c r="AU36" s="648">
        <f t="shared" si="22"/>
        <v>0</v>
      </c>
      <c r="AV36" s="648">
        <f t="shared" si="23"/>
        <v>0</v>
      </c>
      <c r="AW36" s="648">
        <f t="shared" si="24"/>
        <v>0</v>
      </c>
      <c r="AX36" s="648">
        <f t="shared" si="25"/>
        <v>0</v>
      </c>
      <c r="AY36" s="634">
        <v>0</v>
      </c>
      <c r="AZ36" s="616"/>
      <c r="BA36" s="619">
        <f>IF(O37=0,0,             IF(ISNUMBER(AZ36),AZ36,             IF(ISTEXT(AZ36),INDEX(AQ36:AX36,MATCH(AZ36,$AQ$17:$AX$17,0)),           IF(AY36="INT",_xll.qInterp(O37,AA36:AH36,AQ36:AX36),       INDEX(AQ36:AX36,MATCH(AY36,$AQ$17:$AX$17,0))))))</f>
        <v>0</v>
      </c>
      <c r="BB36" s="674">
        <v>100</v>
      </c>
      <c r="BC36" s="666">
        <f t="shared" si="3"/>
        <v>0</v>
      </c>
      <c r="BD36" s="268">
        <f>IF($O37=0,0,                IF(LEFT(DCC_Leg1_Fixed,2)="1/",uEvaluate(DCC_Leg1_Fixed),        _xll.qDateYears($O36,$O37,DCC_Leg1_Fixed)))</f>
        <v>0</v>
      </c>
      <c r="BE36" s="268">
        <f>IF($O37,_xll.qDateYears($O36,$O37,DCC_Leg1_Float),0)</f>
        <v>0</v>
      </c>
      <c r="BG36" s="332">
        <f t="shared" si="26"/>
        <v>0</v>
      </c>
      <c r="BH36" s="357">
        <f t="shared" si="27"/>
        <v>0</v>
      </c>
      <c r="BI36" s="527"/>
      <c r="BK36" s="324">
        <f t="shared" si="32"/>
        <v>0</v>
      </c>
      <c r="BM36" s="338"/>
      <c r="BN36" s="121">
        <v>0</v>
      </c>
      <c r="BO36" s="755">
        <f t="shared" si="4"/>
        <v>0</v>
      </c>
      <c r="BP36" s="339">
        <v>0</v>
      </c>
      <c r="BQ36" s="890">
        <f>IF(BN37=0,0,         IF(OR(Currency2="AUD",Currency1="NZD",Currency2="GBP"),BN36,   _xll.qDateNext(BN36,"-2b",,,IF(Currency2="EUR","TGT","LON"))))</f>
        <v>0</v>
      </c>
      <c r="BR36" s="879" t="str">
        <v/>
      </c>
      <c r="BS36" s="879" t="str">
        <v/>
      </c>
      <c r="BT36" s="879" t="str">
        <v/>
      </c>
      <c r="BU36" s="879" t="str">
        <v/>
      </c>
      <c r="BV36" s="879" t="str">
        <v/>
      </c>
      <c r="BW36" s="879" t="str">
        <v/>
      </c>
      <c r="BX36" s="879" t="str">
        <v/>
      </c>
      <c r="BY36" s="879" t="str">
        <v/>
      </c>
      <c r="BZ36" s="882">
        <f>IF($BN37=0,0,        _xll.qDateNext($BN36,BZ$17,$CG$16,TRUE,Currency2))</f>
        <v>0</v>
      </c>
      <c r="CA36" s="882">
        <f>IF($BN37=0,0,        _xll.qDateNext($BN36,CA$17,$CG$16,TRUE,Currency2))</f>
        <v>0</v>
      </c>
      <c r="CB36" s="882">
        <f>IF($BN37=0,0,        _xll.qDateNext($BN36,CB$17,$CG$16,TRUE,Currency2))</f>
        <v>0</v>
      </c>
      <c r="CC36" s="882">
        <f>IF($BN37=0,0,        _xll.qDateNext($BN36,CC$17,$CG$16,TRUE,Currency2))</f>
        <v>0</v>
      </c>
      <c r="CD36" s="882">
        <f>IF($BN37=0,0,        _xll.qDateNext($BN36,CD$17,$CG$16,TRUE,Currency2))</f>
        <v>0</v>
      </c>
      <c r="CE36" s="882">
        <f>IF($BN37=0,0,        _xll.qDateNext($BN36,CE$17,$CG$16,TRUE,Currency2))</f>
        <v>0</v>
      </c>
      <c r="CF36" s="882">
        <f>IF($BN37=0,0,        _xll.qDateNext($BN36,CF$17,$CG$16,TRUE,Currency2))</f>
        <v>0</v>
      </c>
      <c r="CG36" s="882">
        <f>IF($BN37=0,0,        _xll.qDateNext($BN36,CG$17,$CG$16,TRUE,Currency2))</f>
        <v>0</v>
      </c>
      <c r="CH36" s="886">
        <v>0</v>
      </c>
      <c r="CI36" s="886">
        <v>0</v>
      </c>
      <c r="CJ36" s="886">
        <v>0</v>
      </c>
      <c r="CK36" s="886">
        <v>0</v>
      </c>
      <c r="CL36" s="886">
        <f t="shared" si="5"/>
        <v>0</v>
      </c>
      <c r="CM36" s="886">
        <f t="shared" si="28"/>
        <v>0</v>
      </c>
      <c r="CN36" s="886">
        <v>0</v>
      </c>
      <c r="CO36" s="886">
        <v>0</v>
      </c>
      <c r="CP36" s="648">
        <f t="shared" si="6"/>
        <v>0</v>
      </c>
      <c r="CQ36" s="648">
        <f t="shared" si="7"/>
        <v>0</v>
      </c>
      <c r="CR36" s="648">
        <f t="shared" si="8"/>
        <v>0</v>
      </c>
      <c r="CS36" s="648">
        <f t="shared" si="9"/>
        <v>0</v>
      </c>
      <c r="CT36" s="648">
        <f t="shared" si="10"/>
        <v>0</v>
      </c>
      <c r="CU36" s="648">
        <f t="shared" si="11"/>
        <v>0</v>
      </c>
      <c r="CV36" s="648">
        <f t="shared" si="12"/>
        <v>0</v>
      </c>
      <c r="CW36" s="648">
        <f t="shared" si="13"/>
        <v>0</v>
      </c>
      <c r="CX36" s="634">
        <v>0</v>
      </c>
      <c r="CY36" s="616"/>
      <c r="CZ36" s="619">
        <f>IF(BN37=0,0,             IF(ISNUMBER(CY36),CY36,             IF(ISTEXT(CY36),INDEX(CP36:CW36,MATCH(CY36,$CP$17:$CW$17,0)),           IF(CX36="INT",_xll.qInterp(BN37,BZ36:CG36,CP36:CW36),       INDEX(CP36:CW36,MATCH(CX36,$CP$17:$CW$17,0))))))</f>
        <v>0</v>
      </c>
      <c r="DA36" s="755">
        <f t="shared" si="14"/>
        <v>0</v>
      </c>
      <c r="DB36" s="387">
        <f t="shared" si="15"/>
        <v>0</v>
      </c>
      <c r="DC36" s="268">
        <f>IF($BN37=0,0,         IF(LEFT(DCC_Leg2_Fixed,2)="1/",uEvaluate(DCC_Leg2_Fixed),         _xll.qDateYears($BN36,$BN37,DCC_Leg2_Fixed)))</f>
        <v>0</v>
      </c>
      <c r="DD36" s="268">
        <f>IF($BN37,_xll.qDateYears($BN36,$BN37,DCC_Leg2_Float),0)</f>
        <v>0</v>
      </c>
      <c r="DF36" s="332">
        <f t="shared" si="29"/>
        <v>0</v>
      </c>
      <c r="DG36" s="357">
        <f t="shared" si="30"/>
        <v>0</v>
      </c>
      <c r="DH36" s="527"/>
      <c r="DJ36" s="324">
        <f t="shared" si="31"/>
        <v>0</v>
      </c>
      <c r="DK36" s="529"/>
      <c r="DL36" s="338"/>
    </row>
    <row r="37" spans="2:116">
      <c r="B37" s="206" t="s">
        <v>624</v>
      </c>
      <c r="C37" s="315"/>
      <c r="D37" s="206"/>
      <c r="E37" s="206"/>
      <c r="F37" s="315">
        <f>IF(AND(XCS?,Start&lt;&gt;"2b",RIGHT(Start,1)="b"),8,0)</f>
        <v>0</v>
      </c>
      <c r="O37" s="121">
        <v>0</v>
      </c>
      <c r="P37" s="755">
        <f t="shared" si="0"/>
        <v>0</v>
      </c>
      <c r="Q37" s="125">
        <v>0</v>
      </c>
      <c r="R37" s="890">
        <f>IF(O38=0,0,         IF(OR(Currency1="AUD",Currency1="NZD",Currency1="GBP"),O37,   _xll.qDateNext(O37,"-2b",,,IF(Currency1="EUR","TGT","LON"))))</f>
        <v>0</v>
      </c>
      <c r="S37" s="879" t="str">
        <v/>
      </c>
      <c r="T37" s="879" t="str">
        <v/>
      </c>
      <c r="U37" s="879" t="str">
        <v/>
      </c>
      <c r="V37" s="879" t="str">
        <v/>
      </c>
      <c r="W37" s="879" t="str">
        <v/>
      </c>
      <c r="X37" s="879" t="str">
        <v/>
      </c>
      <c r="Y37" s="879" t="str">
        <v/>
      </c>
      <c r="Z37" s="879" t="str">
        <v/>
      </c>
      <c r="AA37" s="882">
        <f>IF($O38=0,0,        _xll.qDateNext($O37,AA$17,$AH$16,TRUE,Currency1))</f>
        <v>0</v>
      </c>
      <c r="AB37" s="882">
        <f>IF($O38=0,0,        _xll.qDateNext($O37,AB$17,$AH$16,TRUE,Currency1))</f>
        <v>0</v>
      </c>
      <c r="AC37" s="882">
        <f>IF($O38=0,0,        _xll.qDateNext($O37,AC$17,$AH$16,TRUE,Currency1))</f>
        <v>0</v>
      </c>
      <c r="AD37" s="882">
        <f>IF($O38=0,0,        _xll.qDateNext($O37,AD$17,$AH$16,TRUE,Currency1))</f>
        <v>0</v>
      </c>
      <c r="AE37" s="882">
        <f>IF($O38=0,0,        _xll.qDateNext($O37,AE$17,$AH$16,TRUE,Currency1))</f>
        <v>0</v>
      </c>
      <c r="AF37" s="882">
        <f>IF($O38=0,0,        _xll.qDateNext($O37,AF$17,$AH$16,TRUE,Currency1))</f>
        <v>0</v>
      </c>
      <c r="AG37" s="882">
        <f>IF($O38=0,0,        _xll.qDateNext($O37,AG$17,$AH$16,TRUE,Currency1))</f>
        <v>0</v>
      </c>
      <c r="AH37" s="882">
        <f>IF($O38=0,0,        _xll.qDateNext($O37,AH$17,$AH$16,TRUE,Currency1))</f>
        <v>0</v>
      </c>
      <c r="AI37" s="886">
        <f>IF($O38=0,0,           IF(FRM,_xll.qGetFwdRate(AI$14,$O37,AA37,"T",DCC_Leg1_Float),_xll.qGetFwdRate(AI$14,$O37,$O38,"T",DCC_Leg1_Float)))</f>
        <v>0</v>
      </c>
      <c r="AJ37" s="886">
        <f>IF($O38=0,0,           IF(FRM,_xll.qGetFwdRate(AJ$14,$O37,AB37,"T",DCC_Leg1_Float),_xll.qGetFwdRate(AJ$14,$O37,$O38,"T",DCC_Leg1_Float)))</f>
        <v>0</v>
      </c>
      <c r="AK37" s="886">
        <f t="shared" si="1"/>
        <v>0</v>
      </c>
      <c r="AL37" s="886">
        <f>IF($O38=0,0,           IF(FRM,_xll.qGetFwdRate(AL$14,$O37,AD37,"T",DCC_Leg1_Float),_xll.qGetFwdRate(AL$14,$O37,$O38,"T",DCC_Leg1_Float)))</f>
        <v>0</v>
      </c>
      <c r="AM37" s="886">
        <f t="shared" si="16"/>
        <v>0</v>
      </c>
      <c r="AN37" s="886">
        <f t="shared" si="17"/>
        <v>0</v>
      </c>
      <c r="AO37" s="886">
        <f>IF($O38=0,0,           IF(FRM,_xll.qGetFwdRate(AO$14,$O37,AG37,"T",DCC_Leg1_Float),_xll.qGetFwdRate(AO$14,$O37,$O38,"T",DCC_Leg1_Float)))</f>
        <v>0</v>
      </c>
      <c r="AP37" s="886">
        <f>IF($O38=0,0,           IF(FRM,_xll.qGetFwdRate(AP$14,$O37,AH37,"T",DCC_Leg1_Float),_xll.qGetFwdRate(AP$14,$O37,$O38,"T",DCC_Leg1_Float)))</f>
        <v>0</v>
      </c>
      <c r="AQ37" s="648">
        <f t="shared" si="18"/>
        <v>0</v>
      </c>
      <c r="AR37" s="648">
        <f t="shared" si="19"/>
        <v>0</v>
      </c>
      <c r="AS37" s="648">
        <f t="shared" si="20"/>
        <v>0</v>
      </c>
      <c r="AT37" s="648">
        <f t="shared" si="21"/>
        <v>0</v>
      </c>
      <c r="AU37" s="648">
        <f t="shared" si="22"/>
        <v>0</v>
      </c>
      <c r="AV37" s="648">
        <f t="shared" si="23"/>
        <v>0</v>
      </c>
      <c r="AW37" s="648">
        <f t="shared" si="24"/>
        <v>0</v>
      </c>
      <c r="AX37" s="648">
        <f t="shared" si="25"/>
        <v>0</v>
      </c>
      <c r="AY37" s="634">
        <v>0</v>
      </c>
      <c r="AZ37" s="616"/>
      <c r="BA37" s="619">
        <f>IF(O38=0,0,             IF(ISNUMBER(AZ37),AZ37,             IF(ISTEXT(AZ37),INDEX(AQ37:AX37,MATCH(AZ37,$AQ$17:$AX$17,0)),           IF(AY37="INT",_xll.qInterp(O38,AA37:AH37,AQ37:AX37),       INDEX(AQ37:AX37,MATCH(AY37,$AQ$17:$AX$17,0))))))</f>
        <v>0</v>
      </c>
      <c r="BB37" s="674">
        <v>100</v>
      </c>
      <c r="BC37" s="666">
        <f t="shared" si="3"/>
        <v>0</v>
      </c>
      <c r="BD37" s="268">
        <f>IF($O38=0,0,                IF(LEFT(DCC_Leg1_Fixed,2)="1/",uEvaluate(DCC_Leg1_Fixed),        _xll.qDateYears($O37,$O38,DCC_Leg1_Fixed)))</f>
        <v>0</v>
      </c>
      <c r="BE37" s="268">
        <f>IF($O38,_xll.qDateYears($O37,$O38,DCC_Leg1_Float),0)</f>
        <v>0</v>
      </c>
      <c r="BG37" s="332">
        <f t="shared" si="26"/>
        <v>0</v>
      </c>
      <c r="BH37" s="357">
        <f t="shared" si="27"/>
        <v>0</v>
      </c>
      <c r="BI37" s="527"/>
      <c r="BK37" s="324">
        <f t="shared" si="32"/>
        <v>0</v>
      </c>
      <c r="BM37" s="338"/>
      <c r="BN37" s="121">
        <v>0</v>
      </c>
      <c r="BO37" s="755">
        <f t="shared" si="4"/>
        <v>0</v>
      </c>
      <c r="BP37" s="339">
        <v>0</v>
      </c>
      <c r="BQ37" s="890">
        <f>IF(BN38=0,0,         IF(OR(Currency2="AUD",Currency1="NZD",Currency2="GBP"),BN37,   _xll.qDateNext(BN37,"-2b",,,IF(Currency2="EUR","TGT","LON"))))</f>
        <v>0</v>
      </c>
      <c r="BR37" s="879" t="str">
        <v/>
      </c>
      <c r="BS37" s="879" t="str">
        <v/>
      </c>
      <c r="BT37" s="879" t="str">
        <v/>
      </c>
      <c r="BU37" s="879" t="str">
        <v/>
      </c>
      <c r="BV37" s="879" t="str">
        <v/>
      </c>
      <c r="BW37" s="879" t="str">
        <v/>
      </c>
      <c r="BX37" s="879" t="str">
        <v/>
      </c>
      <c r="BY37" s="879" t="str">
        <v/>
      </c>
      <c r="BZ37" s="882">
        <f>IF($BN38=0,0,        _xll.qDateNext($BN37,BZ$17,$CG$16,TRUE,Currency2))</f>
        <v>0</v>
      </c>
      <c r="CA37" s="882">
        <f>IF($BN38=0,0,        _xll.qDateNext($BN37,CA$17,$CG$16,TRUE,Currency2))</f>
        <v>0</v>
      </c>
      <c r="CB37" s="882">
        <f>IF($BN38=0,0,        _xll.qDateNext($BN37,CB$17,$CG$16,TRUE,Currency2))</f>
        <v>0</v>
      </c>
      <c r="CC37" s="882">
        <f>IF($BN38=0,0,        _xll.qDateNext($BN37,CC$17,$CG$16,TRUE,Currency2))</f>
        <v>0</v>
      </c>
      <c r="CD37" s="882">
        <f>IF($BN38=0,0,        _xll.qDateNext($BN37,CD$17,$CG$16,TRUE,Currency2))</f>
        <v>0</v>
      </c>
      <c r="CE37" s="882">
        <f>IF($BN38=0,0,        _xll.qDateNext($BN37,CE$17,$CG$16,TRUE,Currency2))</f>
        <v>0</v>
      </c>
      <c r="CF37" s="882">
        <f>IF($BN38=0,0,        _xll.qDateNext($BN37,CF$17,$CG$16,TRUE,Currency2))</f>
        <v>0</v>
      </c>
      <c r="CG37" s="882">
        <f>IF($BN38=0,0,        _xll.qDateNext($BN37,CG$17,$CG$16,TRUE,Currency2))</f>
        <v>0</v>
      </c>
      <c r="CH37" s="886">
        <v>0</v>
      </c>
      <c r="CI37" s="886">
        <v>0</v>
      </c>
      <c r="CJ37" s="886">
        <v>0</v>
      </c>
      <c r="CK37" s="886">
        <v>0</v>
      </c>
      <c r="CL37" s="886">
        <f t="shared" si="5"/>
        <v>0</v>
      </c>
      <c r="CM37" s="886">
        <f t="shared" si="28"/>
        <v>0</v>
      </c>
      <c r="CN37" s="886">
        <v>0</v>
      </c>
      <c r="CO37" s="886">
        <v>0</v>
      </c>
      <c r="CP37" s="648">
        <f t="shared" si="6"/>
        <v>0</v>
      </c>
      <c r="CQ37" s="648">
        <f t="shared" si="7"/>
        <v>0</v>
      </c>
      <c r="CR37" s="648">
        <f t="shared" si="8"/>
        <v>0</v>
      </c>
      <c r="CS37" s="648">
        <f t="shared" si="9"/>
        <v>0</v>
      </c>
      <c r="CT37" s="648">
        <f t="shared" si="10"/>
        <v>0</v>
      </c>
      <c r="CU37" s="648">
        <f t="shared" si="11"/>
        <v>0</v>
      </c>
      <c r="CV37" s="648">
        <f t="shared" si="12"/>
        <v>0</v>
      </c>
      <c r="CW37" s="648">
        <f t="shared" si="13"/>
        <v>0</v>
      </c>
      <c r="CX37" s="634">
        <v>0</v>
      </c>
      <c r="CY37" s="616"/>
      <c r="CZ37" s="619">
        <f>IF(BN38=0,0,             IF(ISNUMBER(CY37),CY37,             IF(ISTEXT(CY37),INDEX(CP37:CW37,MATCH(CY37,$CP$17:$CW$17,0)),           IF(CX37="INT",_xll.qInterp(BN38,BZ37:CG37,CP37:CW37),       INDEX(CP37:CW37,MATCH(CX37,$CP$17:$CW$17,0))))))</f>
        <v>0</v>
      </c>
      <c r="DA37" s="755">
        <f t="shared" si="14"/>
        <v>0</v>
      </c>
      <c r="DB37" s="387">
        <f t="shared" si="15"/>
        <v>0</v>
      </c>
      <c r="DC37" s="268">
        <f>IF($BN38=0,0,         IF(LEFT(DCC_Leg2_Fixed,2)="1/",uEvaluate(DCC_Leg2_Fixed),         _xll.qDateYears($BN37,$BN38,DCC_Leg2_Fixed)))</f>
        <v>0</v>
      </c>
      <c r="DD37" s="268">
        <f>IF($BN38,_xll.qDateYears($BN37,$BN38,DCC_Leg2_Float),0)</f>
        <v>0</v>
      </c>
      <c r="DF37" s="332">
        <f t="shared" si="29"/>
        <v>0</v>
      </c>
      <c r="DG37" s="357">
        <f t="shared" si="30"/>
        <v>0</v>
      </c>
      <c r="DH37" s="527"/>
      <c r="DJ37" s="324">
        <f t="shared" si="31"/>
        <v>0</v>
      </c>
      <c r="DK37" s="529"/>
      <c r="DL37" s="338"/>
    </row>
    <row r="38" spans="2:116">
      <c r="B38" s="206" t="s">
        <v>625</v>
      </c>
      <c r="C38" s="315"/>
      <c r="D38" s="206"/>
      <c r="E38" s="206"/>
      <c r="F38" s="315">
        <f>IF(DCC_Leg1_Float&lt;&gt;uFloatDCC(Currency1),10,0)</f>
        <v>0</v>
      </c>
      <c r="O38" s="121">
        <v>0</v>
      </c>
      <c r="P38" s="755">
        <f t="shared" si="0"/>
        <v>0</v>
      </c>
      <c r="Q38" s="125">
        <v>0</v>
      </c>
      <c r="R38" s="890">
        <f>IF(O39=0,0,         IF(OR(Currency1="AUD",Currency1="NZD",Currency1="GBP"),O38,   _xll.qDateNext(O38,"-2b",,,IF(Currency1="EUR","TGT","LON"))))</f>
        <v>0</v>
      </c>
      <c r="S38" s="879" t="str">
        <v/>
      </c>
      <c r="T38" s="879" t="str">
        <v/>
      </c>
      <c r="U38" s="879" t="str">
        <v/>
      </c>
      <c r="V38" s="879" t="str">
        <v/>
      </c>
      <c r="W38" s="879" t="str">
        <v/>
      </c>
      <c r="X38" s="879" t="str">
        <v/>
      </c>
      <c r="Y38" s="879" t="str">
        <v/>
      </c>
      <c r="Z38" s="879" t="str">
        <v/>
      </c>
      <c r="AA38" s="882">
        <f>IF($O39=0,0,        _xll.qDateNext($O38,AA$17,$AH$16,TRUE,Currency1))</f>
        <v>0</v>
      </c>
      <c r="AB38" s="882">
        <f>IF($O39=0,0,        _xll.qDateNext($O38,AB$17,$AH$16,TRUE,Currency1))</f>
        <v>0</v>
      </c>
      <c r="AC38" s="882">
        <f>IF($O39=0,0,        _xll.qDateNext($O38,AC$17,$AH$16,TRUE,Currency1))</f>
        <v>0</v>
      </c>
      <c r="AD38" s="882">
        <f>IF($O39=0,0,        _xll.qDateNext($O38,AD$17,$AH$16,TRUE,Currency1))</f>
        <v>0</v>
      </c>
      <c r="AE38" s="882">
        <f>IF($O39=0,0,        _xll.qDateNext($O38,AE$17,$AH$16,TRUE,Currency1))</f>
        <v>0</v>
      </c>
      <c r="AF38" s="882">
        <f>IF($O39=0,0,        _xll.qDateNext($O38,AF$17,$AH$16,TRUE,Currency1))</f>
        <v>0</v>
      </c>
      <c r="AG38" s="882">
        <f>IF($O39=0,0,        _xll.qDateNext($O38,AG$17,$AH$16,TRUE,Currency1))</f>
        <v>0</v>
      </c>
      <c r="AH38" s="882">
        <f>IF($O39=0,0,        _xll.qDateNext($O38,AH$17,$AH$16,TRUE,Currency1))</f>
        <v>0</v>
      </c>
      <c r="AI38" s="886">
        <f>IF($O39=0,0,           IF(FRM,_xll.qGetFwdRate(AI$14,$O38,AA38,"T",DCC_Leg1_Float),_xll.qGetFwdRate(AI$14,$O38,$O39,"T",DCC_Leg1_Float)))</f>
        <v>0</v>
      </c>
      <c r="AJ38" s="886">
        <f>IF($O39=0,0,           IF(FRM,_xll.qGetFwdRate(AJ$14,$O38,AB38,"T",DCC_Leg1_Float),_xll.qGetFwdRate(AJ$14,$O38,$O39,"T",DCC_Leg1_Float)))</f>
        <v>0</v>
      </c>
      <c r="AK38" s="886">
        <f t="shared" si="1"/>
        <v>0</v>
      </c>
      <c r="AL38" s="886">
        <f>IF($O39=0,0,           IF(FRM,_xll.qGetFwdRate(AL$14,$O38,AD38,"T",DCC_Leg1_Float),_xll.qGetFwdRate(AL$14,$O38,$O39,"T",DCC_Leg1_Float)))</f>
        <v>0</v>
      </c>
      <c r="AM38" s="886">
        <f t="shared" si="16"/>
        <v>0</v>
      </c>
      <c r="AN38" s="886">
        <f t="shared" si="17"/>
        <v>0</v>
      </c>
      <c r="AO38" s="886">
        <f>IF($O39=0,0,           IF(FRM,_xll.qGetFwdRate(AO$14,$O38,AG38,"T",DCC_Leg1_Float),_xll.qGetFwdRate(AO$14,$O38,$O39,"T",DCC_Leg1_Float)))</f>
        <v>0</v>
      </c>
      <c r="AP38" s="886">
        <f>IF($O39=0,0,           IF(FRM,_xll.qGetFwdRate(AP$14,$O38,AH38,"T",DCC_Leg1_Float),_xll.qGetFwdRate(AP$14,$O38,$O39,"T",DCC_Leg1_Float)))</f>
        <v>0</v>
      </c>
      <c r="AQ38" s="648">
        <f t="shared" si="18"/>
        <v>0</v>
      </c>
      <c r="AR38" s="648">
        <f t="shared" si="19"/>
        <v>0</v>
      </c>
      <c r="AS38" s="648">
        <f t="shared" si="20"/>
        <v>0</v>
      </c>
      <c r="AT38" s="648">
        <f t="shared" si="21"/>
        <v>0</v>
      </c>
      <c r="AU38" s="648">
        <f t="shared" si="22"/>
        <v>0</v>
      </c>
      <c r="AV38" s="648">
        <f t="shared" si="23"/>
        <v>0</v>
      </c>
      <c r="AW38" s="648">
        <f t="shared" si="24"/>
        <v>0</v>
      </c>
      <c r="AX38" s="648">
        <f t="shared" si="25"/>
        <v>0</v>
      </c>
      <c r="AY38" s="634">
        <v>0</v>
      </c>
      <c r="AZ38" s="616"/>
      <c r="BA38" s="619">
        <f>IF(O39=0,0,             IF(ISNUMBER(AZ38),AZ38,             IF(ISTEXT(AZ38),INDEX(AQ38:AX38,MATCH(AZ38,$AQ$17:$AX$17,0)),           IF(AY38="INT",_xll.qInterp(O39,AA38:AH38,AQ38:AX38),       INDEX(AQ38:AX38,MATCH(AY38,$AQ$17:$AX$17,0))))))</f>
        <v>0</v>
      </c>
      <c r="BB38" s="674">
        <v>100</v>
      </c>
      <c r="BC38" s="666">
        <f t="shared" si="3"/>
        <v>0</v>
      </c>
      <c r="BD38" s="268">
        <f>IF($O39=0,0,                IF(LEFT(DCC_Leg1_Fixed,2)="1/",uEvaluate(DCC_Leg1_Fixed),        _xll.qDateYears($O38,$O39,DCC_Leg1_Fixed)))</f>
        <v>0</v>
      </c>
      <c r="BE38" s="268">
        <f>IF($O39,_xll.qDateYears($O38,$O39,DCC_Leg1_Float),0)</f>
        <v>0</v>
      </c>
      <c r="BG38" s="332">
        <f t="shared" si="26"/>
        <v>0</v>
      </c>
      <c r="BH38" s="357">
        <f t="shared" si="27"/>
        <v>0</v>
      </c>
      <c r="BI38" s="527"/>
      <c r="BK38" s="324">
        <f t="shared" si="32"/>
        <v>0</v>
      </c>
      <c r="BM38" s="338"/>
      <c r="BN38" s="121">
        <v>0</v>
      </c>
      <c r="BO38" s="755">
        <f t="shared" si="4"/>
        <v>0</v>
      </c>
      <c r="BP38" s="339">
        <v>0</v>
      </c>
      <c r="BQ38" s="890">
        <f>IF(BN39=0,0,         IF(OR(Currency2="AUD",Currency1="NZD",Currency2="GBP"),BN38,   _xll.qDateNext(BN38,"-2b",,,IF(Currency2="EUR","TGT","LON"))))</f>
        <v>0</v>
      </c>
      <c r="BR38" s="879" t="str">
        <v/>
      </c>
      <c r="BS38" s="879" t="str">
        <v/>
      </c>
      <c r="BT38" s="879" t="str">
        <v/>
      </c>
      <c r="BU38" s="879" t="str">
        <v/>
      </c>
      <c r="BV38" s="879" t="str">
        <v/>
      </c>
      <c r="BW38" s="879" t="str">
        <v/>
      </c>
      <c r="BX38" s="879" t="str">
        <v/>
      </c>
      <c r="BY38" s="879" t="str">
        <v/>
      </c>
      <c r="BZ38" s="882">
        <f>IF($BN39=0,0,        _xll.qDateNext($BN38,BZ$17,$CG$16,TRUE,Currency2))</f>
        <v>0</v>
      </c>
      <c r="CA38" s="882">
        <f>IF($BN39=0,0,        _xll.qDateNext($BN38,CA$17,$CG$16,TRUE,Currency2))</f>
        <v>0</v>
      </c>
      <c r="CB38" s="882">
        <f>IF($BN39=0,0,        _xll.qDateNext($BN38,CB$17,$CG$16,TRUE,Currency2))</f>
        <v>0</v>
      </c>
      <c r="CC38" s="882">
        <f>IF($BN39=0,0,        _xll.qDateNext($BN38,CC$17,$CG$16,TRUE,Currency2))</f>
        <v>0</v>
      </c>
      <c r="CD38" s="882">
        <f>IF($BN39=0,0,        _xll.qDateNext($BN38,CD$17,$CG$16,TRUE,Currency2))</f>
        <v>0</v>
      </c>
      <c r="CE38" s="882">
        <f>IF($BN39=0,0,        _xll.qDateNext($BN38,CE$17,$CG$16,TRUE,Currency2))</f>
        <v>0</v>
      </c>
      <c r="CF38" s="882">
        <f>IF($BN39=0,0,        _xll.qDateNext($BN38,CF$17,$CG$16,TRUE,Currency2))</f>
        <v>0</v>
      </c>
      <c r="CG38" s="882">
        <f>IF($BN39=0,0,        _xll.qDateNext($BN38,CG$17,$CG$16,TRUE,Currency2))</f>
        <v>0</v>
      </c>
      <c r="CH38" s="886">
        <v>0</v>
      </c>
      <c r="CI38" s="886">
        <v>0</v>
      </c>
      <c r="CJ38" s="886">
        <v>0</v>
      </c>
      <c r="CK38" s="886">
        <v>0</v>
      </c>
      <c r="CL38" s="886">
        <f t="shared" si="5"/>
        <v>0</v>
      </c>
      <c r="CM38" s="886">
        <f t="shared" si="28"/>
        <v>0</v>
      </c>
      <c r="CN38" s="886">
        <v>0</v>
      </c>
      <c r="CO38" s="886">
        <v>0</v>
      </c>
      <c r="CP38" s="648">
        <f t="shared" si="6"/>
        <v>0</v>
      </c>
      <c r="CQ38" s="648">
        <f t="shared" si="7"/>
        <v>0</v>
      </c>
      <c r="CR38" s="648">
        <f t="shared" si="8"/>
        <v>0</v>
      </c>
      <c r="CS38" s="648">
        <f t="shared" si="9"/>
        <v>0</v>
      </c>
      <c r="CT38" s="648">
        <f t="shared" si="10"/>
        <v>0</v>
      </c>
      <c r="CU38" s="648">
        <f t="shared" si="11"/>
        <v>0</v>
      </c>
      <c r="CV38" s="648">
        <f t="shared" si="12"/>
        <v>0</v>
      </c>
      <c r="CW38" s="648">
        <f t="shared" si="13"/>
        <v>0</v>
      </c>
      <c r="CX38" s="634">
        <v>0</v>
      </c>
      <c r="CY38" s="616"/>
      <c r="CZ38" s="619">
        <f>IF(BN39=0,0,             IF(ISNUMBER(CY38),CY38,             IF(ISTEXT(CY38),INDEX(CP38:CW38,MATCH(CY38,$CP$17:$CW$17,0)),           IF(CX38="INT",_xll.qInterp(BN39,BZ38:CG38,CP38:CW38),       INDEX(CP38:CW38,MATCH(CX38,$CP$17:$CW$17,0))))))</f>
        <v>0</v>
      </c>
      <c r="DA38" s="755">
        <f t="shared" si="14"/>
        <v>0</v>
      </c>
      <c r="DB38" s="387">
        <f t="shared" si="15"/>
        <v>0</v>
      </c>
      <c r="DC38" s="268">
        <f>IF($BN39=0,0,         IF(LEFT(DCC_Leg2_Fixed,2)="1/",uEvaluate(DCC_Leg2_Fixed),         _xll.qDateYears($BN38,$BN39,DCC_Leg2_Fixed)))</f>
        <v>0</v>
      </c>
      <c r="DD38" s="268">
        <f>IF($BN39,_xll.qDateYears($BN38,$BN39,DCC_Leg2_Float),0)</f>
        <v>0</v>
      </c>
      <c r="DF38" s="332">
        <f t="shared" si="29"/>
        <v>0</v>
      </c>
      <c r="DG38" s="357">
        <f t="shared" si="30"/>
        <v>0</v>
      </c>
      <c r="DH38" s="527"/>
      <c r="DJ38" s="324">
        <f t="shared" si="31"/>
        <v>0</v>
      </c>
      <c r="DK38" s="529"/>
      <c r="DL38" s="338"/>
    </row>
    <row r="39" spans="2:116">
      <c r="B39" s="206" t="s">
        <v>626</v>
      </c>
      <c r="C39" s="315"/>
      <c r="D39" s="206"/>
      <c r="E39" s="206"/>
      <c r="F39" s="315">
        <f>IF(DCC_Leg2_Float&lt;&gt;uFloatDCC(Currency2),10,0)</f>
        <v>0</v>
      </c>
      <c r="O39" s="121">
        <v>0</v>
      </c>
      <c r="P39" s="755">
        <f t="shared" si="0"/>
        <v>0</v>
      </c>
      <c r="Q39" s="125">
        <v>0</v>
      </c>
      <c r="R39" s="890">
        <f>IF(O40=0,0,         IF(OR(Currency1="AUD",Currency1="NZD",Currency1="GBP"),O39,   _xll.qDateNext(O39,"-2b",,,IF(Currency1="EUR","TGT","LON"))))</f>
        <v>0</v>
      </c>
      <c r="S39" s="879" t="str">
        <v/>
      </c>
      <c r="T39" s="879" t="str">
        <v/>
      </c>
      <c r="U39" s="879" t="str">
        <v/>
      </c>
      <c r="V39" s="879" t="str">
        <v/>
      </c>
      <c r="W39" s="879" t="str">
        <v/>
      </c>
      <c r="X39" s="879" t="str">
        <v/>
      </c>
      <c r="Y39" s="879" t="str">
        <v/>
      </c>
      <c r="Z39" s="879" t="str">
        <v/>
      </c>
      <c r="AA39" s="882">
        <f>IF($O40=0,0,        _xll.qDateNext($O39,AA$17,$AH$16,TRUE,Currency1))</f>
        <v>0</v>
      </c>
      <c r="AB39" s="882">
        <f>IF($O40=0,0,        _xll.qDateNext($O39,AB$17,$AH$16,TRUE,Currency1))</f>
        <v>0</v>
      </c>
      <c r="AC39" s="882">
        <f>IF($O40=0,0,        _xll.qDateNext($O39,AC$17,$AH$16,TRUE,Currency1))</f>
        <v>0</v>
      </c>
      <c r="AD39" s="882">
        <f>IF($O40=0,0,        _xll.qDateNext($O39,AD$17,$AH$16,TRUE,Currency1))</f>
        <v>0</v>
      </c>
      <c r="AE39" s="882">
        <f>IF($O40=0,0,        _xll.qDateNext($O39,AE$17,$AH$16,TRUE,Currency1))</f>
        <v>0</v>
      </c>
      <c r="AF39" s="882">
        <f>IF($O40=0,0,        _xll.qDateNext($O39,AF$17,$AH$16,TRUE,Currency1))</f>
        <v>0</v>
      </c>
      <c r="AG39" s="882">
        <f>IF($O40=0,0,        _xll.qDateNext($O39,AG$17,$AH$16,TRUE,Currency1))</f>
        <v>0</v>
      </c>
      <c r="AH39" s="882">
        <f>IF($O40=0,0,        _xll.qDateNext($O39,AH$17,$AH$16,TRUE,Currency1))</f>
        <v>0</v>
      </c>
      <c r="AI39" s="886">
        <f>IF($O40=0,0,           IF(FRM,_xll.qGetFwdRate(AI$14,$O39,AA39,"T",DCC_Leg1_Float),_xll.qGetFwdRate(AI$14,$O39,$O40,"T",DCC_Leg1_Float)))</f>
        <v>0</v>
      </c>
      <c r="AJ39" s="886">
        <f>IF($O40=0,0,           IF(FRM,_xll.qGetFwdRate(AJ$14,$O39,AB39,"T",DCC_Leg1_Float),_xll.qGetFwdRate(AJ$14,$O39,$O40,"T",DCC_Leg1_Float)))</f>
        <v>0</v>
      </c>
      <c r="AK39" s="886">
        <f t="shared" si="1"/>
        <v>0</v>
      </c>
      <c r="AL39" s="886">
        <f>IF($O40=0,0,           IF(FRM,_xll.qGetFwdRate(AL$14,$O39,AD39,"T",DCC_Leg1_Float),_xll.qGetFwdRate(AL$14,$O39,$O40,"T",DCC_Leg1_Float)))</f>
        <v>0</v>
      </c>
      <c r="AM39" s="886">
        <f t="shared" si="16"/>
        <v>0</v>
      </c>
      <c r="AN39" s="886">
        <f t="shared" si="17"/>
        <v>0</v>
      </c>
      <c r="AO39" s="886">
        <f>IF($O40=0,0,           IF(FRM,_xll.qGetFwdRate(AO$14,$O39,AG39,"T",DCC_Leg1_Float),_xll.qGetFwdRate(AO$14,$O39,$O40,"T",DCC_Leg1_Float)))</f>
        <v>0</v>
      </c>
      <c r="AP39" s="886">
        <f>IF($O40=0,0,           IF(FRM,_xll.qGetFwdRate(AP$14,$O39,AH39,"T",DCC_Leg1_Float),_xll.qGetFwdRate(AP$14,$O39,$O40,"T",DCC_Leg1_Float)))</f>
        <v>0</v>
      </c>
      <c r="AQ39" s="648">
        <f t="shared" si="18"/>
        <v>0</v>
      </c>
      <c r="AR39" s="648">
        <f t="shared" si="19"/>
        <v>0</v>
      </c>
      <c r="AS39" s="648">
        <f t="shared" si="20"/>
        <v>0</v>
      </c>
      <c r="AT39" s="648">
        <f t="shared" si="21"/>
        <v>0</v>
      </c>
      <c r="AU39" s="648">
        <f t="shared" si="22"/>
        <v>0</v>
      </c>
      <c r="AV39" s="648">
        <f t="shared" si="23"/>
        <v>0</v>
      </c>
      <c r="AW39" s="648">
        <f t="shared" si="24"/>
        <v>0</v>
      </c>
      <c r="AX39" s="648">
        <f t="shared" si="25"/>
        <v>0</v>
      </c>
      <c r="AY39" s="634">
        <v>0</v>
      </c>
      <c r="AZ39" s="616"/>
      <c r="BA39" s="619">
        <f>IF(O40=0,0,             IF(ISNUMBER(AZ39),AZ39,             IF(ISTEXT(AZ39),INDEX(AQ39:AX39,MATCH(AZ39,$AQ$17:$AX$17,0)),           IF(AY39="INT",_xll.qInterp(O40,AA39:AH39,AQ39:AX39),       INDEX(AQ39:AX39,MATCH(AY39,$AQ$17:$AX$17,0))))))</f>
        <v>0</v>
      </c>
      <c r="BB39" s="674">
        <v>100</v>
      </c>
      <c r="BC39" s="666">
        <f t="shared" si="3"/>
        <v>0</v>
      </c>
      <c r="BD39" s="268">
        <f>IF($O40=0,0,                IF(LEFT(DCC_Leg1_Fixed,2)="1/",uEvaluate(DCC_Leg1_Fixed),        _xll.qDateYears($O39,$O40,DCC_Leg1_Fixed)))</f>
        <v>0</v>
      </c>
      <c r="BE39" s="268">
        <f>IF($O40,_xll.qDateYears($O39,$O40,DCC_Leg1_Float),0)</f>
        <v>0</v>
      </c>
      <c r="BG39" s="332">
        <f t="shared" si="26"/>
        <v>0</v>
      </c>
      <c r="BH39" s="357">
        <f t="shared" si="27"/>
        <v>0</v>
      </c>
      <c r="BI39" s="527"/>
      <c r="BK39" s="324">
        <f t="shared" si="32"/>
        <v>0</v>
      </c>
      <c r="BM39" s="338"/>
      <c r="BN39" s="121">
        <v>0</v>
      </c>
      <c r="BO39" s="755">
        <f t="shared" si="4"/>
        <v>0</v>
      </c>
      <c r="BP39" s="339">
        <v>0</v>
      </c>
      <c r="BQ39" s="890">
        <f>IF(BN40=0,0,         IF(OR(Currency2="AUD",Currency1="NZD",Currency2="GBP"),BN39,   _xll.qDateNext(BN39,"-2b",,,IF(Currency2="EUR","TGT","LON"))))</f>
        <v>0</v>
      </c>
      <c r="BR39" s="879" t="str">
        <v/>
      </c>
      <c r="BS39" s="879" t="str">
        <v/>
      </c>
      <c r="BT39" s="879" t="str">
        <v/>
      </c>
      <c r="BU39" s="879" t="str">
        <v/>
      </c>
      <c r="BV39" s="879" t="str">
        <v/>
      </c>
      <c r="BW39" s="879" t="str">
        <v/>
      </c>
      <c r="BX39" s="879" t="str">
        <v/>
      </c>
      <c r="BY39" s="879" t="str">
        <v/>
      </c>
      <c r="BZ39" s="882">
        <f>IF($BN40=0,0,        _xll.qDateNext($BN39,BZ$17,$CG$16,TRUE,Currency2))</f>
        <v>0</v>
      </c>
      <c r="CA39" s="882">
        <f>IF($BN40=0,0,        _xll.qDateNext($BN39,CA$17,$CG$16,TRUE,Currency2))</f>
        <v>0</v>
      </c>
      <c r="CB39" s="882">
        <f>IF($BN40=0,0,        _xll.qDateNext($BN39,CB$17,$CG$16,TRUE,Currency2))</f>
        <v>0</v>
      </c>
      <c r="CC39" s="882">
        <f>IF($BN40=0,0,        _xll.qDateNext($BN39,CC$17,$CG$16,TRUE,Currency2))</f>
        <v>0</v>
      </c>
      <c r="CD39" s="882">
        <f>IF($BN40=0,0,        _xll.qDateNext($BN39,CD$17,$CG$16,TRUE,Currency2))</f>
        <v>0</v>
      </c>
      <c r="CE39" s="882">
        <f>IF($BN40=0,0,        _xll.qDateNext($BN39,CE$17,$CG$16,TRUE,Currency2))</f>
        <v>0</v>
      </c>
      <c r="CF39" s="882">
        <f>IF($BN40=0,0,        _xll.qDateNext($BN39,CF$17,$CG$16,TRUE,Currency2))</f>
        <v>0</v>
      </c>
      <c r="CG39" s="882">
        <f>IF($BN40=0,0,        _xll.qDateNext($BN39,CG$17,$CG$16,TRUE,Currency2))</f>
        <v>0</v>
      </c>
      <c r="CH39" s="886">
        <v>0</v>
      </c>
      <c r="CI39" s="886">
        <v>0</v>
      </c>
      <c r="CJ39" s="886">
        <v>0</v>
      </c>
      <c r="CK39" s="886">
        <v>0</v>
      </c>
      <c r="CL39" s="886">
        <f t="shared" si="5"/>
        <v>0</v>
      </c>
      <c r="CM39" s="886">
        <f t="shared" si="28"/>
        <v>0</v>
      </c>
      <c r="CN39" s="886">
        <v>0</v>
      </c>
      <c r="CO39" s="886">
        <v>0</v>
      </c>
      <c r="CP39" s="648">
        <f t="shared" si="6"/>
        <v>0</v>
      </c>
      <c r="CQ39" s="648">
        <f t="shared" si="7"/>
        <v>0</v>
      </c>
      <c r="CR39" s="648">
        <f t="shared" si="8"/>
        <v>0</v>
      </c>
      <c r="CS39" s="648">
        <f t="shared" si="9"/>
        <v>0</v>
      </c>
      <c r="CT39" s="648">
        <f t="shared" si="10"/>
        <v>0</v>
      </c>
      <c r="CU39" s="648">
        <f t="shared" si="11"/>
        <v>0</v>
      </c>
      <c r="CV39" s="648">
        <f t="shared" si="12"/>
        <v>0</v>
      </c>
      <c r="CW39" s="648">
        <f t="shared" si="13"/>
        <v>0</v>
      </c>
      <c r="CX39" s="634">
        <v>0</v>
      </c>
      <c r="CY39" s="616"/>
      <c r="CZ39" s="619">
        <f>IF(BN40=0,0,             IF(ISNUMBER(CY39),CY39,             IF(ISTEXT(CY39),INDEX(CP39:CW39,MATCH(CY39,$CP$17:$CW$17,0)),           IF(CX39="INT",_xll.qInterp(BN40,BZ39:CG39,CP39:CW39),       INDEX(CP39:CW39,MATCH(CX39,$CP$17:$CW$17,0))))))</f>
        <v>0</v>
      </c>
      <c r="DA39" s="755">
        <f t="shared" si="14"/>
        <v>0</v>
      </c>
      <c r="DB39" s="387">
        <f t="shared" si="15"/>
        <v>0</v>
      </c>
      <c r="DC39" s="268">
        <f>IF($BN40=0,0,         IF(LEFT(DCC_Leg2_Fixed,2)="1/",uEvaluate(DCC_Leg2_Fixed),         _xll.qDateYears($BN39,$BN40,DCC_Leg2_Fixed)))</f>
        <v>0</v>
      </c>
      <c r="DD39" s="268">
        <f>IF($BN40,_xll.qDateYears($BN39,$BN40,DCC_Leg2_Float),0)</f>
        <v>0</v>
      </c>
      <c r="DF39" s="332">
        <f t="shared" si="29"/>
        <v>0</v>
      </c>
      <c r="DG39" s="357">
        <f t="shared" si="30"/>
        <v>0</v>
      </c>
      <c r="DH39" s="527"/>
      <c r="DJ39" s="324">
        <f t="shared" si="31"/>
        <v>0</v>
      </c>
      <c r="DK39" s="529"/>
      <c r="DL39" s="338"/>
    </row>
    <row r="40" spans="2:116">
      <c r="B40" s="206" t="s">
        <v>771</v>
      </c>
      <c r="C40" s="315"/>
      <c r="D40" s="206"/>
      <c r="E40" s="206"/>
      <c r="F40" s="315">
        <f>IF(DV8&lt;&gt;"",3,0)</f>
        <v>0</v>
      </c>
      <c r="O40" s="121">
        <v>0</v>
      </c>
      <c r="P40" s="755">
        <f t="shared" si="0"/>
        <v>0</v>
      </c>
      <c r="Q40" s="125">
        <v>0</v>
      </c>
      <c r="R40" s="890">
        <f>IF(O41=0,0,         IF(OR(Currency1="AUD",Currency1="NZD",Currency1="GBP"),O40,   _xll.qDateNext(O40,"-2b",,,IF(Currency1="EUR","TGT","LON"))))</f>
        <v>0</v>
      </c>
      <c r="S40" s="879" t="str">
        <v/>
      </c>
      <c r="T40" s="879" t="str">
        <v/>
      </c>
      <c r="U40" s="879" t="str">
        <v/>
      </c>
      <c r="V40" s="879" t="str">
        <v/>
      </c>
      <c r="W40" s="879" t="str">
        <v/>
      </c>
      <c r="X40" s="879" t="str">
        <v/>
      </c>
      <c r="Y40" s="879" t="str">
        <v/>
      </c>
      <c r="Z40" s="879" t="str">
        <v/>
      </c>
      <c r="AA40" s="882">
        <f>IF($O41=0,0,        _xll.qDateNext($O40,AA$17,$AH$16,TRUE,Currency1))</f>
        <v>0</v>
      </c>
      <c r="AB40" s="882">
        <f>IF($O41=0,0,        _xll.qDateNext($O40,AB$17,$AH$16,TRUE,Currency1))</f>
        <v>0</v>
      </c>
      <c r="AC40" s="882">
        <f>IF($O41=0,0,        _xll.qDateNext($O40,AC$17,$AH$16,TRUE,Currency1))</f>
        <v>0</v>
      </c>
      <c r="AD40" s="882">
        <f>IF($O41=0,0,        _xll.qDateNext($O40,AD$17,$AH$16,TRUE,Currency1))</f>
        <v>0</v>
      </c>
      <c r="AE40" s="882">
        <f>IF($O41=0,0,        _xll.qDateNext($O40,AE$17,$AH$16,TRUE,Currency1))</f>
        <v>0</v>
      </c>
      <c r="AF40" s="882">
        <f>IF($O41=0,0,        _xll.qDateNext($O40,AF$17,$AH$16,TRUE,Currency1))</f>
        <v>0</v>
      </c>
      <c r="AG40" s="882">
        <f>IF($O41=0,0,        _xll.qDateNext($O40,AG$17,$AH$16,TRUE,Currency1))</f>
        <v>0</v>
      </c>
      <c r="AH40" s="882">
        <f>IF($O41=0,0,        _xll.qDateNext($O40,AH$17,$AH$16,TRUE,Currency1))</f>
        <v>0</v>
      </c>
      <c r="AI40" s="886">
        <f>IF($O41=0,0,           IF(FRM,_xll.qGetFwdRate(AI$14,$O40,AA40,"T",DCC_Leg1_Float),_xll.qGetFwdRate(AI$14,$O40,$O41,"T",DCC_Leg1_Float)))</f>
        <v>0</v>
      </c>
      <c r="AJ40" s="886">
        <f>IF($O41=0,0,           IF(FRM,_xll.qGetFwdRate(AJ$14,$O40,AB40,"T",DCC_Leg1_Float),_xll.qGetFwdRate(AJ$14,$O40,$O41,"T",DCC_Leg1_Float)))</f>
        <v>0</v>
      </c>
      <c r="AK40" s="886">
        <f t="shared" si="1"/>
        <v>0</v>
      </c>
      <c r="AL40" s="886">
        <f>IF($O41=0,0,           IF(FRM,_xll.qGetFwdRate(AL$14,$O40,AD40,"T",DCC_Leg1_Float),_xll.qGetFwdRate(AL$14,$O40,$O41,"T",DCC_Leg1_Float)))</f>
        <v>0</v>
      </c>
      <c r="AM40" s="886">
        <f t="shared" si="16"/>
        <v>0</v>
      </c>
      <c r="AN40" s="886">
        <f t="shared" si="17"/>
        <v>0</v>
      </c>
      <c r="AO40" s="886">
        <f>IF($O41=0,0,           IF(FRM,_xll.qGetFwdRate(AO$14,$O40,AG40,"T",DCC_Leg1_Float),_xll.qGetFwdRate(AO$14,$O40,$O41,"T",DCC_Leg1_Float)))</f>
        <v>0</v>
      </c>
      <c r="AP40" s="886">
        <f>IF($O41=0,0,           IF(FRM,_xll.qGetFwdRate(AP$14,$O40,AH40,"T",DCC_Leg1_Float),_xll.qGetFwdRate(AP$14,$O40,$O41,"T",DCC_Leg1_Float)))</f>
        <v>0</v>
      </c>
      <c r="AQ40" s="648">
        <f t="shared" si="18"/>
        <v>0</v>
      </c>
      <c r="AR40" s="648">
        <f t="shared" si="19"/>
        <v>0</v>
      </c>
      <c r="AS40" s="648">
        <f t="shared" si="20"/>
        <v>0</v>
      </c>
      <c r="AT40" s="648">
        <f t="shared" si="21"/>
        <v>0</v>
      </c>
      <c r="AU40" s="648">
        <f t="shared" si="22"/>
        <v>0</v>
      </c>
      <c r="AV40" s="648">
        <f t="shared" si="23"/>
        <v>0</v>
      </c>
      <c r="AW40" s="648">
        <f t="shared" si="24"/>
        <v>0</v>
      </c>
      <c r="AX40" s="648">
        <f t="shared" si="25"/>
        <v>0</v>
      </c>
      <c r="AY40" s="634">
        <v>0</v>
      </c>
      <c r="AZ40" s="616"/>
      <c r="BA40" s="619">
        <f>IF(O41=0,0,             IF(ISNUMBER(AZ40),AZ40,             IF(ISTEXT(AZ40),INDEX(AQ40:AX40,MATCH(AZ40,$AQ$17:$AX$17,0)),           IF(AY40="INT",_xll.qInterp(O41,AA40:AH40,AQ40:AX40),       INDEX(AQ40:AX40,MATCH(AY40,$AQ$17:$AX$17,0))))))</f>
        <v>0</v>
      </c>
      <c r="BB40" s="674">
        <v>100</v>
      </c>
      <c r="BC40" s="666">
        <f t="shared" si="3"/>
        <v>0</v>
      </c>
      <c r="BD40" s="268">
        <f>IF($O41=0,0,                IF(LEFT(DCC_Leg1_Fixed,2)="1/",uEvaluate(DCC_Leg1_Fixed),        _xll.qDateYears($O40,$O41,DCC_Leg1_Fixed)))</f>
        <v>0</v>
      </c>
      <c r="BE40" s="268">
        <f>IF($O41,_xll.qDateYears($O40,$O41,DCC_Leg1_Float),0)</f>
        <v>0</v>
      </c>
      <c r="BG40" s="332">
        <f t="shared" si="26"/>
        <v>0</v>
      </c>
      <c r="BH40" s="357">
        <f t="shared" si="27"/>
        <v>0</v>
      </c>
      <c r="BI40" s="527"/>
      <c r="BK40" s="324">
        <f t="shared" ref="BK40:BK103" si="33">SUM(BG40:BI40)</f>
        <v>0</v>
      </c>
      <c r="BM40" s="338"/>
      <c r="BN40" s="121">
        <v>0</v>
      </c>
      <c r="BO40" s="755">
        <f t="shared" si="4"/>
        <v>0</v>
      </c>
      <c r="BP40" s="339">
        <v>0</v>
      </c>
      <c r="BQ40" s="890">
        <f>IF(BN41=0,0,         IF(OR(Currency2="AUD",Currency1="NZD",Currency2="GBP"),BN40,   _xll.qDateNext(BN40,"-2b",,,IF(Currency2="EUR","TGT","LON"))))</f>
        <v>0</v>
      </c>
      <c r="BR40" s="879" t="str">
        <v/>
      </c>
      <c r="BS40" s="879" t="str">
        <v/>
      </c>
      <c r="BT40" s="879" t="str">
        <v/>
      </c>
      <c r="BU40" s="879" t="str">
        <v/>
      </c>
      <c r="BV40" s="879" t="str">
        <v/>
      </c>
      <c r="BW40" s="879" t="str">
        <v/>
      </c>
      <c r="BX40" s="879" t="str">
        <v/>
      </c>
      <c r="BY40" s="879" t="str">
        <v/>
      </c>
      <c r="BZ40" s="882">
        <f>IF($BN41=0,0,        _xll.qDateNext($BN40,BZ$17,$CG$16,TRUE,Currency2))</f>
        <v>0</v>
      </c>
      <c r="CA40" s="882">
        <f>IF($BN41=0,0,        _xll.qDateNext($BN40,CA$17,$CG$16,TRUE,Currency2))</f>
        <v>0</v>
      </c>
      <c r="CB40" s="882">
        <f>IF($BN41=0,0,        _xll.qDateNext($BN40,CB$17,$CG$16,TRUE,Currency2))</f>
        <v>0</v>
      </c>
      <c r="CC40" s="882">
        <f>IF($BN41=0,0,        _xll.qDateNext($BN40,CC$17,$CG$16,TRUE,Currency2))</f>
        <v>0</v>
      </c>
      <c r="CD40" s="882">
        <f>IF($BN41=0,0,        _xll.qDateNext($BN40,CD$17,$CG$16,TRUE,Currency2))</f>
        <v>0</v>
      </c>
      <c r="CE40" s="882">
        <f>IF($BN41=0,0,        _xll.qDateNext($BN40,CE$17,$CG$16,TRUE,Currency2))</f>
        <v>0</v>
      </c>
      <c r="CF40" s="882">
        <f>IF($BN41=0,0,        _xll.qDateNext($BN40,CF$17,$CG$16,TRUE,Currency2))</f>
        <v>0</v>
      </c>
      <c r="CG40" s="882">
        <f>IF($BN41=0,0,        _xll.qDateNext($BN40,CG$17,$CG$16,TRUE,Currency2))</f>
        <v>0</v>
      </c>
      <c r="CH40" s="886">
        <v>0</v>
      </c>
      <c r="CI40" s="886">
        <v>0</v>
      </c>
      <c r="CJ40" s="886">
        <v>0</v>
      </c>
      <c r="CK40" s="886">
        <v>0</v>
      </c>
      <c r="CL40" s="886">
        <f t="shared" si="5"/>
        <v>0</v>
      </c>
      <c r="CM40" s="886">
        <f t="shared" si="28"/>
        <v>0</v>
      </c>
      <c r="CN40" s="886">
        <v>0</v>
      </c>
      <c r="CO40" s="886">
        <v>0</v>
      </c>
      <c r="CP40" s="648">
        <f t="shared" si="6"/>
        <v>0</v>
      </c>
      <c r="CQ40" s="648">
        <f t="shared" si="7"/>
        <v>0</v>
      </c>
      <c r="CR40" s="648">
        <f t="shared" si="8"/>
        <v>0</v>
      </c>
      <c r="CS40" s="648">
        <f t="shared" si="9"/>
        <v>0</v>
      </c>
      <c r="CT40" s="648">
        <f t="shared" si="10"/>
        <v>0</v>
      </c>
      <c r="CU40" s="648">
        <f t="shared" si="11"/>
        <v>0</v>
      </c>
      <c r="CV40" s="648">
        <f t="shared" si="12"/>
        <v>0</v>
      </c>
      <c r="CW40" s="648">
        <f t="shared" si="13"/>
        <v>0</v>
      </c>
      <c r="CX40" s="634">
        <v>0</v>
      </c>
      <c r="CY40" s="616"/>
      <c r="CZ40" s="619">
        <f>IF(BN41=0,0,             IF(ISNUMBER(CY40),CY40,             IF(ISTEXT(CY40),INDEX(CP40:CW40,MATCH(CY40,$CP$17:$CW$17,0)),           IF(CX40="INT",_xll.qInterp(BN41,BZ40:CG40,CP40:CW40),       INDEX(CP40:CW40,MATCH(CX40,$CP$17:$CW$17,0))))))</f>
        <v>0</v>
      </c>
      <c r="DA40" s="755">
        <f t="shared" si="14"/>
        <v>0</v>
      </c>
      <c r="DB40" s="387">
        <f t="shared" si="15"/>
        <v>0</v>
      </c>
      <c r="DC40" s="268">
        <f>IF($BN41=0,0,         IF(LEFT(DCC_Leg2_Fixed,2)="1/",uEvaluate(DCC_Leg2_Fixed),         _xll.qDateYears($BN40,$BN41,DCC_Leg2_Fixed)))</f>
        <v>0</v>
      </c>
      <c r="DD40" s="268">
        <f>IF($BN41,_xll.qDateYears($BN40,$BN41,DCC_Leg2_Float),0)</f>
        <v>0</v>
      </c>
      <c r="DF40" s="332">
        <f t="shared" si="29"/>
        <v>0</v>
      </c>
      <c r="DG40" s="357">
        <f t="shared" si="30"/>
        <v>0</v>
      </c>
      <c r="DH40" s="527"/>
      <c r="DJ40" s="324">
        <f t="shared" si="31"/>
        <v>0</v>
      </c>
      <c r="DK40" s="529"/>
      <c r="DL40" s="338"/>
    </row>
    <row r="41" spans="2:116">
      <c r="B41" s="206" t="s">
        <v>785</v>
      </c>
      <c r="C41" s="315"/>
      <c r="D41" s="206"/>
      <c r="E41" s="206"/>
      <c r="F41" s="315">
        <f>IF(Calculation="ON",1,0)</f>
        <v>0</v>
      </c>
      <c r="O41" s="121">
        <v>0</v>
      </c>
      <c r="P41" s="755">
        <f t="shared" si="0"/>
        <v>0</v>
      </c>
      <c r="Q41" s="125">
        <v>0</v>
      </c>
      <c r="R41" s="890">
        <f>IF(O42=0,0,         IF(OR(Currency1="AUD",Currency1="NZD",Currency1="GBP"),O41,   _xll.qDateNext(O41,"-2b",,,IF(Currency1="EUR","TGT","LON"))))</f>
        <v>0</v>
      </c>
      <c r="S41" s="879" t="str">
        <v/>
      </c>
      <c r="T41" s="879" t="str">
        <v/>
      </c>
      <c r="U41" s="879" t="str">
        <v/>
      </c>
      <c r="V41" s="879" t="str">
        <v/>
      </c>
      <c r="W41" s="879" t="str">
        <v/>
      </c>
      <c r="X41" s="879" t="str">
        <v/>
      </c>
      <c r="Y41" s="879" t="str">
        <v/>
      </c>
      <c r="Z41" s="879" t="str">
        <v/>
      </c>
      <c r="AA41" s="882">
        <f>IF($O42=0,0,        _xll.qDateNext($O41,AA$17,$AH$16,TRUE,Currency1))</f>
        <v>0</v>
      </c>
      <c r="AB41" s="882">
        <f>IF($O42=0,0,        _xll.qDateNext($O41,AB$17,$AH$16,TRUE,Currency1))</f>
        <v>0</v>
      </c>
      <c r="AC41" s="882">
        <f>IF($O42=0,0,        _xll.qDateNext($O41,AC$17,$AH$16,TRUE,Currency1))</f>
        <v>0</v>
      </c>
      <c r="AD41" s="882">
        <f>IF($O42=0,0,        _xll.qDateNext($O41,AD$17,$AH$16,TRUE,Currency1))</f>
        <v>0</v>
      </c>
      <c r="AE41" s="882">
        <f>IF($O42=0,0,        _xll.qDateNext($O41,AE$17,$AH$16,TRUE,Currency1))</f>
        <v>0</v>
      </c>
      <c r="AF41" s="882">
        <f>IF($O42=0,0,        _xll.qDateNext($O41,AF$17,$AH$16,TRUE,Currency1))</f>
        <v>0</v>
      </c>
      <c r="AG41" s="882">
        <f>IF($O42=0,0,        _xll.qDateNext($O41,AG$17,$AH$16,TRUE,Currency1))</f>
        <v>0</v>
      </c>
      <c r="AH41" s="882">
        <f>IF($O42=0,0,        _xll.qDateNext($O41,AH$17,$AH$16,TRUE,Currency1))</f>
        <v>0</v>
      </c>
      <c r="AI41" s="886">
        <f>IF($O42=0,0,           IF(FRM,_xll.qGetFwdRate(AI$14,$O41,AA41,"T",DCC_Leg1_Float),_xll.qGetFwdRate(AI$14,$O41,$O42,"T",DCC_Leg1_Float)))</f>
        <v>0</v>
      </c>
      <c r="AJ41" s="886">
        <f>IF($O42=0,0,           IF(FRM,_xll.qGetFwdRate(AJ$14,$O41,AB41,"T",DCC_Leg1_Float),_xll.qGetFwdRate(AJ$14,$O41,$O42,"T",DCC_Leg1_Float)))</f>
        <v>0</v>
      </c>
      <c r="AK41" s="886">
        <f t="shared" si="1"/>
        <v>0</v>
      </c>
      <c r="AL41" s="886">
        <f>IF($O42=0,0,           IF(FRM,_xll.qGetFwdRate(AL$14,$O41,AD41,"T",DCC_Leg1_Float),_xll.qGetFwdRate(AL$14,$O41,$O42,"T",DCC_Leg1_Float)))</f>
        <v>0</v>
      </c>
      <c r="AM41" s="886">
        <f t="shared" si="16"/>
        <v>0</v>
      </c>
      <c r="AN41" s="886">
        <f t="shared" si="17"/>
        <v>0</v>
      </c>
      <c r="AO41" s="886">
        <f>IF($O42=0,0,           IF(FRM,_xll.qGetFwdRate(AO$14,$O41,AG41,"T",DCC_Leg1_Float),_xll.qGetFwdRate(AO$14,$O41,$O42,"T",DCC_Leg1_Float)))</f>
        <v>0</v>
      </c>
      <c r="AP41" s="886">
        <f>IF($O42=0,0,           IF(FRM,_xll.qGetFwdRate(AP$14,$O41,AH41,"T",DCC_Leg1_Float),_xll.qGetFwdRate(AP$14,$O41,$O42,"T",DCC_Leg1_Float)))</f>
        <v>0</v>
      </c>
      <c r="AQ41" s="648">
        <f t="shared" si="18"/>
        <v>0</v>
      </c>
      <c r="AR41" s="648">
        <f t="shared" si="19"/>
        <v>0</v>
      </c>
      <c r="AS41" s="648">
        <f t="shared" si="20"/>
        <v>0</v>
      </c>
      <c r="AT41" s="648">
        <f t="shared" si="21"/>
        <v>0</v>
      </c>
      <c r="AU41" s="648">
        <f t="shared" si="22"/>
        <v>0</v>
      </c>
      <c r="AV41" s="648">
        <f t="shared" si="23"/>
        <v>0</v>
      </c>
      <c r="AW41" s="648">
        <f t="shared" si="24"/>
        <v>0</v>
      </c>
      <c r="AX41" s="648">
        <f t="shared" si="25"/>
        <v>0</v>
      </c>
      <c r="AY41" s="634">
        <v>0</v>
      </c>
      <c r="AZ41" s="616"/>
      <c r="BA41" s="619">
        <f>IF(O42=0,0,             IF(ISNUMBER(AZ41),AZ41,             IF(ISTEXT(AZ41),INDEX(AQ41:AX41,MATCH(AZ41,$AQ$17:$AX$17,0)),           IF(AY41="INT",_xll.qInterp(O42,AA41:AH41,AQ41:AX41),       INDEX(AQ41:AX41,MATCH(AY41,$AQ$17:$AX$17,0))))))</f>
        <v>0</v>
      </c>
      <c r="BB41" s="674">
        <v>100</v>
      </c>
      <c r="BC41" s="666">
        <f t="shared" si="3"/>
        <v>0</v>
      </c>
      <c r="BD41" s="268">
        <f>IF($O42=0,0,                IF(LEFT(DCC_Leg1_Fixed,2)="1/",uEvaluate(DCC_Leg1_Fixed),        _xll.qDateYears($O41,$O42,DCC_Leg1_Fixed)))</f>
        <v>0</v>
      </c>
      <c r="BE41" s="268">
        <f>IF($O42,_xll.qDateYears($O41,$O42,DCC_Leg1_Float),0)</f>
        <v>0</v>
      </c>
      <c r="BG41" s="332">
        <f t="shared" si="26"/>
        <v>0</v>
      </c>
      <c r="BH41" s="357">
        <f t="shared" si="27"/>
        <v>0</v>
      </c>
      <c r="BI41" s="527"/>
      <c r="BK41" s="324">
        <f t="shared" si="33"/>
        <v>0</v>
      </c>
      <c r="BM41" s="338"/>
      <c r="BN41" s="121">
        <v>0</v>
      </c>
      <c r="BO41" s="755">
        <f t="shared" si="4"/>
        <v>0</v>
      </c>
      <c r="BP41" s="339">
        <v>0</v>
      </c>
      <c r="BQ41" s="890">
        <f>IF(BN42=0,0,         IF(OR(Currency2="AUD",Currency1="NZD",Currency2="GBP"),BN41,   _xll.qDateNext(BN41,"-2b",,,IF(Currency2="EUR","TGT","LON"))))</f>
        <v>0</v>
      </c>
      <c r="BR41" s="879" t="str">
        <v/>
      </c>
      <c r="BS41" s="879" t="str">
        <v/>
      </c>
      <c r="BT41" s="879" t="str">
        <v/>
      </c>
      <c r="BU41" s="879" t="str">
        <v/>
      </c>
      <c r="BV41" s="879" t="str">
        <v/>
      </c>
      <c r="BW41" s="879" t="str">
        <v/>
      </c>
      <c r="BX41" s="879" t="str">
        <v/>
      </c>
      <c r="BY41" s="879" t="str">
        <v/>
      </c>
      <c r="BZ41" s="882">
        <f>IF($BN42=0,0,        _xll.qDateNext($BN41,BZ$17,$CG$16,TRUE,Currency2))</f>
        <v>0</v>
      </c>
      <c r="CA41" s="882">
        <f>IF($BN42=0,0,        _xll.qDateNext($BN41,CA$17,$CG$16,TRUE,Currency2))</f>
        <v>0</v>
      </c>
      <c r="CB41" s="882">
        <f>IF($BN42=0,0,        _xll.qDateNext($BN41,CB$17,$CG$16,TRUE,Currency2))</f>
        <v>0</v>
      </c>
      <c r="CC41" s="882">
        <f>IF($BN42=0,0,        _xll.qDateNext($BN41,CC$17,$CG$16,TRUE,Currency2))</f>
        <v>0</v>
      </c>
      <c r="CD41" s="882">
        <f>IF($BN42=0,0,        _xll.qDateNext($BN41,CD$17,$CG$16,TRUE,Currency2))</f>
        <v>0</v>
      </c>
      <c r="CE41" s="882">
        <f>IF($BN42=0,0,        _xll.qDateNext($BN41,CE$17,$CG$16,TRUE,Currency2))</f>
        <v>0</v>
      </c>
      <c r="CF41" s="882">
        <f>IF($BN42=0,0,        _xll.qDateNext($BN41,CF$17,$CG$16,TRUE,Currency2))</f>
        <v>0</v>
      </c>
      <c r="CG41" s="882">
        <f>IF($BN42=0,0,        _xll.qDateNext($BN41,CG$17,$CG$16,TRUE,Currency2))</f>
        <v>0</v>
      </c>
      <c r="CH41" s="886">
        <v>0</v>
      </c>
      <c r="CI41" s="886">
        <v>0</v>
      </c>
      <c r="CJ41" s="886">
        <v>0</v>
      </c>
      <c r="CK41" s="886">
        <v>0</v>
      </c>
      <c r="CL41" s="886">
        <f t="shared" si="5"/>
        <v>0</v>
      </c>
      <c r="CM41" s="886">
        <f t="shared" si="28"/>
        <v>0</v>
      </c>
      <c r="CN41" s="886">
        <v>0</v>
      </c>
      <c r="CO41" s="886">
        <v>0</v>
      </c>
      <c r="CP41" s="648">
        <f t="shared" si="6"/>
        <v>0</v>
      </c>
      <c r="CQ41" s="648">
        <f t="shared" si="7"/>
        <v>0</v>
      </c>
      <c r="CR41" s="648">
        <f t="shared" si="8"/>
        <v>0</v>
      </c>
      <c r="CS41" s="648">
        <f t="shared" si="9"/>
        <v>0</v>
      </c>
      <c r="CT41" s="648">
        <f t="shared" si="10"/>
        <v>0</v>
      </c>
      <c r="CU41" s="648">
        <f t="shared" si="11"/>
        <v>0</v>
      </c>
      <c r="CV41" s="648">
        <f t="shared" si="12"/>
        <v>0</v>
      </c>
      <c r="CW41" s="648">
        <f t="shared" si="13"/>
        <v>0</v>
      </c>
      <c r="CX41" s="634">
        <v>0</v>
      </c>
      <c r="CY41" s="616"/>
      <c r="CZ41" s="619">
        <f>IF(BN42=0,0,             IF(ISNUMBER(CY41),CY41,             IF(ISTEXT(CY41),INDEX(CP41:CW41,MATCH(CY41,$CP$17:$CW$17,0)),           IF(CX41="INT",_xll.qInterp(BN42,BZ41:CG41,CP41:CW41),       INDEX(CP41:CW41,MATCH(CX41,$CP$17:$CW$17,0))))))</f>
        <v>0</v>
      </c>
      <c r="DA41" s="755">
        <f t="shared" si="14"/>
        <v>0</v>
      </c>
      <c r="DB41" s="387">
        <f t="shared" si="15"/>
        <v>0</v>
      </c>
      <c r="DC41" s="268">
        <f>IF($BN42=0,0,         IF(LEFT(DCC_Leg2_Fixed,2)="1/",uEvaluate(DCC_Leg2_Fixed),         _xll.qDateYears($BN41,$BN42,DCC_Leg2_Fixed)))</f>
        <v>0</v>
      </c>
      <c r="DD41" s="268">
        <f>IF($BN42,_xll.qDateYears($BN41,$BN42,DCC_Leg2_Float),0)</f>
        <v>0</v>
      </c>
      <c r="DF41" s="332">
        <f t="shared" si="29"/>
        <v>0</v>
      </c>
      <c r="DG41" s="357">
        <f t="shared" si="30"/>
        <v>0</v>
      </c>
      <c r="DH41" s="527"/>
      <c r="DJ41" s="324">
        <f t="shared" ref="DJ41:DJ104" si="34">SUM(DF41:DH41)</f>
        <v>0</v>
      </c>
      <c r="DK41" s="529"/>
      <c r="DL41" s="338"/>
    </row>
    <row r="42" spans="2:116">
      <c r="B42" s="206" t="s">
        <v>801</v>
      </c>
      <c r="C42" s="315"/>
      <c r="D42" s="206"/>
      <c r="E42" s="206"/>
      <c r="F42" s="315">
        <f>IF(SolverCalcScope="BOOK",1,0)</f>
        <v>0</v>
      </c>
      <c r="O42" s="121">
        <v>0</v>
      </c>
      <c r="P42" s="755">
        <f t="shared" si="0"/>
        <v>0</v>
      </c>
      <c r="Q42" s="125">
        <v>0</v>
      </c>
      <c r="R42" s="890">
        <f>IF(O43=0,0,         IF(OR(Currency1="AUD",Currency1="NZD",Currency1="GBP"),O42,   _xll.qDateNext(O42,"-2b",,,IF(Currency1="EUR","TGT","LON"))))</f>
        <v>0</v>
      </c>
      <c r="S42" s="879" t="str">
        <v/>
      </c>
      <c r="T42" s="879" t="str">
        <v/>
      </c>
      <c r="U42" s="879" t="str">
        <v/>
      </c>
      <c r="V42" s="879" t="str">
        <v/>
      </c>
      <c r="W42" s="879" t="str">
        <v/>
      </c>
      <c r="X42" s="879" t="str">
        <v/>
      </c>
      <c r="Y42" s="879" t="str">
        <v/>
      </c>
      <c r="Z42" s="879" t="str">
        <v/>
      </c>
      <c r="AA42" s="882">
        <f>IF($O43=0,0,        _xll.qDateNext($O42,AA$17,$AH$16,TRUE,Currency1))</f>
        <v>0</v>
      </c>
      <c r="AB42" s="882">
        <f>IF($O43=0,0,        _xll.qDateNext($O42,AB$17,$AH$16,TRUE,Currency1))</f>
        <v>0</v>
      </c>
      <c r="AC42" s="882">
        <f>IF($O43=0,0,        _xll.qDateNext($O42,AC$17,$AH$16,TRUE,Currency1))</f>
        <v>0</v>
      </c>
      <c r="AD42" s="882">
        <f>IF($O43=0,0,        _xll.qDateNext($O42,AD$17,$AH$16,TRUE,Currency1))</f>
        <v>0</v>
      </c>
      <c r="AE42" s="882">
        <f>IF($O43=0,0,        _xll.qDateNext($O42,AE$17,$AH$16,TRUE,Currency1))</f>
        <v>0</v>
      </c>
      <c r="AF42" s="882">
        <f>IF($O43=0,0,        _xll.qDateNext($O42,AF$17,$AH$16,TRUE,Currency1))</f>
        <v>0</v>
      </c>
      <c r="AG42" s="882">
        <f>IF($O43=0,0,        _xll.qDateNext($O42,AG$17,$AH$16,TRUE,Currency1))</f>
        <v>0</v>
      </c>
      <c r="AH42" s="882">
        <f>IF($O43=0,0,        _xll.qDateNext($O42,AH$17,$AH$16,TRUE,Currency1))</f>
        <v>0</v>
      </c>
      <c r="AI42" s="886">
        <f>IF($O43=0,0,           IF(FRM,_xll.qGetFwdRate(AI$14,$O42,AA42,"T",DCC_Leg1_Float),_xll.qGetFwdRate(AI$14,$O42,$O43,"T",DCC_Leg1_Float)))</f>
        <v>0</v>
      </c>
      <c r="AJ42" s="886">
        <f>IF($O43=0,0,           IF(FRM,_xll.qGetFwdRate(AJ$14,$O42,AB42,"T",DCC_Leg1_Float),_xll.qGetFwdRate(AJ$14,$O42,$O43,"T",DCC_Leg1_Float)))</f>
        <v>0</v>
      </c>
      <c r="AK42" s="886">
        <f t="shared" si="1"/>
        <v>0</v>
      </c>
      <c r="AL42" s="886">
        <f>IF($O43=0,0,           IF(FRM,_xll.qGetFwdRate(AL$14,$O42,AD42,"T",DCC_Leg1_Float),_xll.qGetFwdRate(AL$14,$O42,$O43,"T",DCC_Leg1_Float)))</f>
        <v>0</v>
      </c>
      <c r="AM42" s="886">
        <f t="shared" si="16"/>
        <v>0</v>
      </c>
      <c r="AN42" s="886">
        <f t="shared" si="17"/>
        <v>0</v>
      </c>
      <c r="AO42" s="886">
        <f>IF($O43=0,0,           IF(FRM,_xll.qGetFwdRate(AO$14,$O42,AG42,"T",DCC_Leg1_Float),_xll.qGetFwdRate(AO$14,$O42,$O43,"T",DCC_Leg1_Float)))</f>
        <v>0</v>
      </c>
      <c r="AP42" s="886">
        <f>IF($O43=0,0,           IF(FRM,_xll.qGetFwdRate(AP$14,$O42,AH42,"T",DCC_Leg1_Float),_xll.qGetFwdRate(AP$14,$O42,$O43,"T",DCC_Leg1_Float)))</f>
        <v>0</v>
      </c>
      <c r="AQ42" s="648">
        <f t="shared" si="18"/>
        <v>0</v>
      </c>
      <c r="AR42" s="648">
        <f t="shared" si="19"/>
        <v>0</v>
      </c>
      <c r="AS42" s="648">
        <f t="shared" si="20"/>
        <v>0</v>
      </c>
      <c r="AT42" s="648">
        <f t="shared" si="21"/>
        <v>0</v>
      </c>
      <c r="AU42" s="648">
        <f t="shared" si="22"/>
        <v>0</v>
      </c>
      <c r="AV42" s="648">
        <f t="shared" si="23"/>
        <v>0</v>
      </c>
      <c r="AW42" s="648">
        <f t="shared" si="24"/>
        <v>0</v>
      </c>
      <c r="AX42" s="648">
        <f t="shared" si="25"/>
        <v>0</v>
      </c>
      <c r="AY42" s="634">
        <v>0</v>
      </c>
      <c r="AZ42" s="616"/>
      <c r="BA42" s="619">
        <f>IF(O43=0,0,             IF(ISNUMBER(AZ42),AZ42,             IF(ISTEXT(AZ42),INDEX(AQ42:AX42,MATCH(AZ42,$AQ$17:$AX$17,0)),           IF(AY42="INT",_xll.qInterp(O43,AA42:AH42,AQ42:AX42),       INDEX(AQ42:AX42,MATCH(AY42,$AQ$17:$AX$17,0))))))</f>
        <v>0</v>
      </c>
      <c r="BB42" s="674">
        <v>100</v>
      </c>
      <c r="BC42" s="666">
        <f t="shared" si="3"/>
        <v>0</v>
      </c>
      <c r="BD42" s="268">
        <f>IF($O43=0,0,                IF(LEFT(DCC_Leg1_Fixed,2)="1/",uEvaluate(DCC_Leg1_Fixed),        _xll.qDateYears($O42,$O43,DCC_Leg1_Fixed)))</f>
        <v>0</v>
      </c>
      <c r="BE42" s="268">
        <f>IF($O43,_xll.qDateYears($O42,$O43,DCC_Leg1_Float),0)</f>
        <v>0</v>
      </c>
      <c r="BG42" s="332">
        <f t="shared" si="26"/>
        <v>0</v>
      </c>
      <c r="BH42" s="357">
        <f t="shared" si="27"/>
        <v>0</v>
      </c>
      <c r="BI42" s="527"/>
      <c r="BK42" s="324">
        <f t="shared" si="33"/>
        <v>0</v>
      </c>
      <c r="BM42" s="338"/>
      <c r="BN42" s="121">
        <v>0</v>
      </c>
      <c r="BO42" s="755">
        <f t="shared" si="4"/>
        <v>0</v>
      </c>
      <c r="BP42" s="339">
        <v>0</v>
      </c>
      <c r="BQ42" s="890">
        <f>IF(BN43=0,0,         IF(OR(Currency2="AUD",Currency1="NZD",Currency2="GBP"),BN42,   _xll.qDateNext(BN42,"-2b",,,IF(Currency2="EUR","TGT","LON"))))</f>
        <v>0</v>
      </c>
      <c r="BR42" s="879" t="str">
        <v/>
      </c>
      <c r="BS42" s="879" t="str">
        <v/>
      </c>
      <c r="BT42" s="879" t="str">
        <v/>
      </c>
      <c r="BU42" s="879" t="str">
        <v/>
      </c>
      <c r="BV42" s="879" t="str">
        <v/>
      </c>
      <c r="BW42" s="879" t="str">
        <v/>
      </c>
      <c r="BX42" s="879" t="str">
        <v/>
      </c>
      <c r="BY42" s="879" t="str">
        <v/>
      </c>
      <c r="BZ42" s="882">
        <f>IF($BN43=0,0,        _xll.qDateNext($BN42,BZ$17,$CG$16,TRUE,Currency2))</f>
        <v>0</v>
      </c>
      <c r="CA42" s="882">
        <f>IF($BN43=0,0,        _xll.qDateNext($BN42,CA$17,$CG$16,TRUE,Currency2))</f>
        <v>0</v>
      </c>
      <c r="CB42" s="882">
        <f>IF($BN43=0,0,        _xll.qDateNext($BN42,CB$17,$CG$16,TRUE,Currency2))</f>
        <v>0</v>
      </c>
      <c r="CC42" s="882">
        <f>IF($BN43=0,0,        _xll.qDateNext($BN42,CC$17,$CG$16,TRUE,Currency2))</f>
        <v>0</v>
      </c>
      <c r="CD42" s="882">
        <f>IF($BN43=0,0,        _xll.qDateNext($BN42,CD$17,$CG$16,TRUE,Currency2))</f>
        <v>0</v>
      </c>
      <c r="CE42" s="882">
        <f>IF($BN43=0,0,        _xll.qDateNext($BN42,CE$17,$CG$16,TRUE,Currency2))</f>
        <v>0</v>
      </c>
      <c r="CF42" s="882">
        <f>IF($BN43=0,0,        _xll.qDateNext($BN42,CF$17,$CG$16,TRUE,Currency2))</f>
        <v>0</v>
      </c>
      <c r="CG42" s="882">
        <f>IF($BN43=0,0,        _xll.qDateNext($BN42,CG$17,$CG$16,TRUE,Currency2))</f>
        <v>0</v>
      </c>
      <c r="CH42" s="886">
        <v>0</v>
      </c>
      <c r="CI42" s="886">
        <v>0</v>
      </c>
      <c r="CJ42" s="886">
        <v>0</v>
      </c>
      <c r="CK42" s="886">
        <v>0</v>
      </c>
      <c r="CL42" s="886">
        <f t="shared" si="5"/>
        <v>0</v>
      </c>
      <c r="CM42" s="886">
        <f t="shared" si="28"/>
        <v>0</v>
      </c>
      <c r="CN42" s="886">
        <v>0</v>
      </c>
      <c r="CO42" s="886">
        <v>0</v>
      </c>
      <c r="CP42" s="648">
        <f t="shared" si="6"/>
        <v>0</v>
      </c>
      <c r="CQ42" s="648">
        <f t="shared" si="7"/>
        <v>0</v>
      </c>
      <c r="CR42" s="648">
        <f t="shared" si="8"/>
        <v>0</v>
      </c>
      <c r="CS42" s="648">
        <f t="shared" si="9"/>
        <v>0</v>
      </c>
      <c r="CT42" s="648">
        <f t="shared" si="10"/>
        <v>0</v>
      </c>
      <c r="CU42" s="648">
        <f t="shared" si="11"/>
        <v>0</v>
      </c>
      <c r="CV42" s="648">
        <f t="shared" si="12"/>
        <v>0</v>
      </c>
      <c r="CW42" s="648">
        <f t="shared" si="13"/>
        <v>0</v>
      </c>
      <c r="CX42" s="634">
        <v>0</v>
      </c>
      <c r="CY42" s="616"/>
      <c r="CZ42" s="619">
        <f>IF(BN43=0,0,             IF(ISNUMBER(CY42),CY42,             IF(ISTEXT(CY42),INDEX(CP42:CW42,MATCH(CY42,$CP$17:$CW$17,0)),           IF(CX42="INT",_xll.qInterp(BN43,BZ42:CG42,CP42:CW42),       INDEX(CP42:CW42,MATCH(CX42,$CP$17:$CW$17,0))))))</f>
        <v>0</v>
      </c>
      <c r="DA42" s="755">
        <f t="shared" si="14"/>
        <v>0</v>
      </c>
      <c r="DB42" s="387">
        <f t="shared" si="15"/>
        <v>0</v>
      </c>
      <c r="DC42" s="268">
        <f>IF($BN43=0,0,         IF(LEFT(DCC_Leg2_Fixed,2)="1/",uEvaluate(DCC_Leg2_Fixed),         _xll.qDateYears($BN42,$BN43,DCC_Leg2_Fixed)))</f>
        <v>0</v>
      </c>
      <c r="DD42" s="268">
        <f>IF($BN43,_xll.qDateYears($BN42,$BN43,DCC_Leg2_Float),0)</f>
        <v>0</v>
      </c>
      <c r="DF42" s="332">
        <f t="shared" si="29"/>
        <v>0</v>
      </c>
      <c r="DG42" s="357">
        <f t="shared" si="30"/>
        <v>0</v>
      </c>
      <c r="DH42" s="527"/>
      <c r="DJ42" s="324">
        <f t="shared" si="34"/>
        <v>0</v>
      </c>
      <c r="DK42" s="529"/>
      <c r="DL42" s="338"/>
    </row>
    <row r="43" spans="2:116">
      <c r="B43" s="206" t="s">
        <v>881</v>
      </c>
      <c r="C43" s="315"/>
      <c r="D43" s="206"/>
      <c r="E43" s="206"/>
      <c r="F43" s="315">
        <f>IF(MIN(INDEX(Dates1,1),INDEX(Dates2,1))&lt;Today,2,0)</f>
        <v>0</v>
      </c>
      <c r="O43" s="121">
        <v>0</v>
      </c>
      <c r="P43" s="755">
        <f t="shared" si="0"/>
        <v>0</v>
      </c>
      <c r="Q43" s="125">
        <v>0</v>
      </c>
      <c r="R43" s="890">
        <f>IF(O44=0,0,         IF(OR(Currency1="AUD",Currency1="NZD",Currency1="GBP"),O43,   _xll.qDateNext(O43,"-2b",,,IF(Currency1="EUR","TGT","LON"))))</f>
        <v>0</v>
      </c>
      <c r="S43" s="879" t="str">
        <v/>
      </c>
      <c r="T43" s="879" t="str">
        <v/>
      </c>
      <c r="U43" s="879" t="str">
        <v/>
      </c>
      <c r="V43" s="879" t="str">
        <v/>
      </c>
      <c r="W43" s="879" t="str">
        <v/>
      </c>
      <c r="X43" s="879" t="str">
        <v/>
      </c>
      <c r="Y43" s="879" t="str">
        <v/>
      </c>
      <c r="Z43" s="879" t="str">
        <v/>
      </c>
      <c r="AA43" s="882">
        <f>IF($O44=0,0,        _xll.qDateNext($O43,AA$17,$AH$16,TRUE,Currency1))</f>
        <v>0</v>
      </c>
      <c r="AB43" s="882">
        <f>IF($O44=0,0,        _xll.qDateNext($O43,AB$17,$AH$16,TRUE,Currency1))</f>
        <v>0</v>
      </c>
      <c r="AC43" s="882">
        <f>IF($O44=0,0,        _xll.qDateNext($O43,AC$17,$AH$16,TRUE,Currency1))</f>
        <v>0</v>
      </c>
      <c r="AD43" s="882">
        <f>IF($O44=0,0,        _xll.qDateNext($O43,AD$17,$AH$16,TRUE,Currency1))</f>
        <v>0</v>
      </c>
      <c r="AE43" s="882">
        <f>IF($O44=0,0,        _xll.qDateNext($O43,AE$17,$AH$16,TRUE,Currency1))</f>
        <v>0</v>
      </c>
      <c r="AF43" s="882">
        <f>IF($O44=0,0,        _xll.qDateNext($O43,AF$17,$AH$16,TRUE,Currency1))</f>
        <v>0</v>
      </c>
      <c r="AG43" s="882">
        <f>IF($O44=0,0,        _xll.qDateNext($O43,AG$17,$AH$16,TRUE,Currency1))</f>
        <v>0</v>
      </c>
      <c r="AH43" s="882">
        <f>IF($O44=0,0,        _xll.qDateNext($O43,AH$17,$AH$16,TRUE,Currency1))</f>
        <v>0</v>
      </c>
      <c r="AI43" s="886">
        <f>IF($O44=0,0,           IF(FRM,_xll.qGetFwdRate(AI$14,$O43,AA43,"T",DCC_Leg1_Float),_xll.qGetFwdRate(AI$14,$O43,$O44,"T",DCC_Leg1_Float)))</f>
        <v>0</v>
      </c>
      <c r="AJ43" s="886">
        <f>IF($O44=0,0,           IF(FRM,_xll.qGetFwdRate(AJ$14,$O43,AB43,"T",DCC_Leg1_Float),_xll.qGetFwdRate(AJ$14,$O43,$O44,"T",DCC_Leg1_Float)))</f>
        <v>0</v>
      </c>
      <c r="AK43" s="886">
        <f t="shared" si="1"/>
        <v>0</v>
      </c>
      <c r="AL43" s="886">
        <f>IF($O44=0,0,           IF(FRM,_xll.qGetFwdRate(AL$14,$O43,AD43,"T",DCC_Leg1_Float),_xll.qGetFwdRate(AL$14,$O43,$O44,"T",DCC_Leg1_Float)))</f>
        <v>0</v>
      </c>
      <c r="AM43" s="886">
        <f t="shared" si="16"/>
        <v>0</v>
      </c>
      <c r="AN43" s="886">
        <f t="shared" si="17"/>
        <v>0</v>
      </c>
      <c r="AO43" s="886">
        <f>IF($O44=0,0,           IF(FRM,_xll.qGetFwdRate(AO$14,$O43,AG43,"T",DCC_Leg1_Float),_xll.qGetFwdRate(AO$14,$O43,$O44,"T",DCC_Leg1_Float)))</f>
        <v>0</v>
      </c>
      <c r="AP43" s="886">
        <f>IF($O44=0,0,           IF(FRM,_xll.qGetFwdRate(AP$14,$O43,AH43,"T",DCC_Leg1_Float),_xll.qGetFwdRate(AP$14,$O43,$O44,"T",DCC_Leg1_Float)))</f>
        <v>0</v>
      </c>
      <c r="AQ43" s="648">
        <f t="shared" si="18"/>
        <v>0</v>
      </c>
      <c r="AR43" s="648">
        <f t="shared" si="19"/>
        <v>0</v>
      </c>
      <c r="AS43" s="648">
        <f t="shared" si="20"/>
        <v>0</v>
      </c>
      <c r="AT43" s="648">
        <f t="shared" si="21"/>
        <v>0</v>
      </c>
      <c r="AU43" s="648">
        <f t="shared" si="22"/>
        <v>0</v>
      </c>
      <c r="AV43" s="648">
        <f t="shared" si="23"/>
        <v>0</v>
      </c>
      <c r="AW43" s="648">
        <f t="shared" si="24"/>
        <v>0</v>
      </c>
      <c r="AX43" s="648">
        <f t="shared" si="25"/>
        <v>0</v>
      </c>
      <c r="AY43" s="634">
        <v>0</v>
      </c>
      <c r="AZ43" s="616"/>
      <c r="BA43" s="619">
        <f>IF(O44=0,0,             IF(ISNUMBER(AZ43),AZ43,             IF(ISTEXT(AZ43),INDEX(AQ43:AX43,MATCH(AZ43,$AQ$17:$AX$17,0)),           IF(AY43="INT",_xll.qInterp(O44,AA43:AH43,AQ43:AX43),       INDEX(AQ43:AX43,MATCH(AY43,$AQ$17:$AX$17,0))))))</f>
        <v>0</v>
      </c>
      <c r="BB43" s="674">
        <v>100</v>
      </c>
      <c r="BC43" s="666">
        <f t="shared" si="3"/>
        <v>0</v>
      </c>
      <c r="BD43" s="268">
        <f>IF($O44=0,0,                IF(LEFT(DCC_Leg1_Fixed,2)="1/",uEvaluate(DCC_Leg1_Fixed),        _xll.qDateYears($O43,$O44,DCC_Leg1_Fixed)))</f>
        <v>0</v>
      </c>
      <c r="BE43" s="268">
        <f>IF($O44,_xll.qDateYears($O43,$O44,DCC_Leg1_Float),0)</f>
        <v>0</v>
      </c>
      <c r="BG43" s="332">
        <f t="shared" si="26"/>
        <v>0</v>
      </c>
      <c r="BH43" s="357">
        <f t="shared" si="27"/>
        <v>0</v>
      </c>
      <c r="BI43" s="527"/>
      <c r="BK43" s="324">
        <f t="shared" si="33"/>
        <v>0</v>
      </c>
      <c r="BM43" s="338"/>
      <c r="BN43" s="121">
        <v>0</v>
      </c>
      <c r="BO43" s="755">
        <f t="shared" si="4"/>
        <v>0</v>
      </c>
      <c r="BP43" s="339">
        <v>0</v>
      </c>
      <c r="BQ43" s="890">
        <f>IF(BN44=0,0,         IF(OR(Currency2="AUD",Currency1="NZD",Currency2="GBP"),BN43,   _xll.qDateNext(BN43,"-2b",,,IF(Currency2="EUR","TGT","LON"))))</f>
        <v>0</v>
      </c>
      <c r="BR43" s="879" t="str">
        <v/>
      </c>
      <c r="BS43" s="879" t="str">
        <v/>
      </c>
      <c r="BT43" s="879" t="str">
        <v/>
      </c>
      <c r="BU43" s="879" t="str">
        <v/>
      </c>
      <c r="BV43" s="879" t="str">
        <v/>
      </c>
      <c r="BW43" s="879" t="str">
        <v/>
      </c>
      <c r="BX43" s="879" t="str">
        <v/>
      </c>
      <c r="BY43" s="879" t="str">
        <v/>
      </c>
      <c r="BZ43" s="882">
        <f>IF($BN44=0,0,        _xll.qDateNext($BN43,BZ$17,$CG$16,TRUE,Currency2))</f>
        <v>0</v>
      </c>
      <c r="CA43" s="882">
        <f>IF($BN44=0,0,        _xll.qDateNext($BN43,CA$17,$CG$16,TRUE,Currency2))</f>
        <v>0</v>
      </c>
      <c r="CB43" s="882">
        <f>IF($BN44=0,0,        _xll.qDateNext($BN43,CB$17,$CG$16,TRUE,Currency2))</f>
        <v>0</v>
      </c>
      <c r="CC43" s="882">
        <f>IF($BN44=0,0,        _xll.qDateNext($BN43,CC$17,$CG$16,TRUE,Currency2))</f>
        <v>0</v>
      </c>
      <c r="CD43" s="882">
        <f>IF($BN44=0,0,        _xll.qDateNext($BN43,CD$17,$CG$16,TRUE,Currency2))</f>
        <v>0</v>
      </c>
      <c r="CE43" s="882">
        <f>IF($BN44=0,0,        _xll.qDateNext($BN43,CE$17,$CG$16,TRUE,Currency2))</f>
        <v>0</v>
      </c>
      <c r="CF43" s="882">
        <f>IF($BN44=0,0,        _xll.qDateNext($BN43,CF$17,$CG$16,TRUE,Currency2))</f>
        <v>0</v>
      </c>
      <c r="CG43" s="882">
        <f>IF($BN44=0,0,        _xll.qDateNext($BN43,CG$17,$CG$16,TRUE,Currency2))</f>
        <v>0</v>
      </c>
      <c r="CH43" s="886">
        <v>0</v>
      </c>
      <c r="CI43" s="886">
        <v>0</v>
      </c>
      <c r="CJ43" s="886">
        <v>0</v>
      </c>
      <c r="CK43" s="886">
        <v>0</v>
      </c>
      <c r="CL43" s="886">
        <f t="shared" si="5"/>
        <v>0</v>
      </c>
      <c r="CM43" s="886">
        <f t="shared" si="28"/>
        <v>0</v>
      </c>
      <c r="CN43" s="886">
        <v>0</v>
      </c>
      <c r="CO43" s="886">
        <v>0</v>
      </c>
      <c r="CP43" s="648">
        <f t="shared" si="6"/>
        <v>0</v>
      </c>
      <c r="CQ43" s="648">
        <f t="shared" si="7"/>
        <v>0</v>
      </c>
      <c r="CR43" s="648">
        <f t="shared" si="8"/>
        <v>0</v>
      </c>
      <c r="CS43" s="648">
        <f t="shared" si="9"/>
        <v>0</v>
      </c>
      <c r="CT43" s="648">
        <f t="shared" si="10"/>
        <v>0</v>
      </c>
      <c r="CU43" s="648">
        <f t="shared" si="11"/>
        <v>0</v>
      </c>
      <c r="CV43" s="648">
        <f t="shared" si="12"/>
        <v>0</v>
      </c>
      <c r="CW43" s="648">
        <f t="shared" si="13"/>
        <v>0</v>
      </c>
      <c r="CX43" s="634">
        <v>0</v>
      </c>
      <c r="CY43" s="616"/>
      <c r="CZ43" s="619">
        <f>IF(BN44=0,0,             IF(ISNUMBER(CY43),CY43,             IF(ISTEXT(CY43),INDEX(CP43:CW43,MATCH(CY43,$CP$17:$CW$17,0)),           IF(CX43="INT",_xll.qInterp(BN44,BZ43:CG43,CP43:CW43),       INDEX(CP43:CW43,MATCH(CX43,$CP$17:$CW$17,0))))))</f>
        <v>0</v>
      </c>
      <c r="DA43" s="755">
        <f t="shared" si="14"/>
        <v>0</v>
      </c>
      <c r="DB43" s="387">
        <f t="shared" si="15"/>
        <v>0</v>
      </c>
      <c r="DC43" s="268">
        <f>IF($BN44=0,0,         IF(LEFT(DCC_Leg2_Fixed,2)="1/",uEvaluate(DCC_Leg2_Fixed),         _xll.qDateYears($BN43,$BN44,DCC_Leg2_Fixed)))</f>
        <v>0</v>
      </c>
      <c r="DD43" s="268">
        <f>IF($BN44,_xll.qDateYears($BN43,$BN44,DCC_Leg2_Float),0)</f>
        <v>0</v>
      </c>
      <c r="DF43" s="332">
        <f t="shared" si="29"/>
        <v>0</v>
      </c>
      <c r="DG43" s="357">
        <f t="shared" si="30"/>
        <v>0</v>
      </c>
      <c r="DH43" s="527"/>
      <c r="DJ43" s="324">
        <f t="shared" si="34"/>
        <v>0</v>
      </c>
      <c r="DK43" s="529"/>
      <c r="DL43" s="338"/>
    </row>
    <row r="44" spans="2:116">
      <c r="B44" s="206"/>
      <c r="C44" s="315"/>
      <c r="D44" s="206"/>
      <c r="E44" s="206"/>
      <c r="F44" s="315">
        <v>0.5</v>
      </c>
      <c r="O44" s="121">
        <v>0</v>
      </c>
      <c r="P44" s="755">
        <f t="shared" si="0"/>
        <v>0</v>
      </c>
      <c r="Q44" s="125">
        <v>0</v>
      </c>
      <c r="R44" s="890">
        <f>IF(O45=0,0,         IF(OR(Currency1="AUD",Currency1="NZD",Currency1="GBP"),O44,   _xll.qDateNext(O44,"-2b",,,IF(Currency1="EUR","TGT","LON"))))</f>
        <v>0</v>
      </c>
      <c r="S44" s="879" t="str">
        <v/>
      </c>
      <c r="T44" s="879" t="str">
        <v/>
      </c>
      <c r="U44" s="879" t="str">
        <v/>
      </c>
      <c r="V44" s="879" t="str">
        <v/>
      </c>
      <c r="W44" s="879" t="str">
        <v/>
      </c>
      <c r="X44" s="879" t="str">
        <v/>
      </c>
      <c r="Y44" s="879" t="str">
        <v/>
      </c>
      <c r="Z44" s="879" t="str">
        <v/>
      </c>
      <c r="AA44" s="882">
        <f>IF($O45=0,0,        _xll.qDateNext($O44,AA$17,$AH$16,TRUE,Currency1))</f>
        <v>0</v>
      </c>
      <c r="AB44" s="882">
        <f>IF($O45=0,0,        _xll.qDateNext($O44,AB$17,$AH$16,TRUE,Currency1))</f>
        <v>0</v>
      </c>
      <c r="AC44" s="882">
        <f>IF($O45=0,0,        _xll.qDateNext($O44,AC$17,$AH$16,TRUE,Currency1))</f>
        <v>0</v>
      </c>
      <c r="AD44" s="882">
        <f>IF($O45=0,0,        _xll.qDateNext($O44,AD$17,$AH$16,TRUE,Currency1))</f>
        <v>0</v>
      </c>
      <c r="AE44" s="882">
        <f>IF($O45=0,0,        _xll.qDateNext($O44,AE$17,$AH$16,TRUE,Currency1))</f>
        <v>0</v>
      </c>
      <c r="AF44" s="882">
        <f>IF($O45=0,0,        _xll.qDateNext($O44,AF$17,$AH$16,TRUE,Currency1))</f>
        <v>0</v>
      </c>
      <c r="AG44" s="882">
        <f>IF($O45=0,0,        _xll.qDateNext($O44,AG$17,$AH$16,TRUE,Currency1))</f>
        <v>0</v>
      </c>
      <c r="AH44" s="882">
        <f>IF($O45=0,0,        _xll.qDateNext($O44,AH$17,$AH$16,TRUE,Currency1))</f>
        <v>0</v>
      </c>
      <c r="AI44" s="886">
        <f>IF($O45=0,0,           IF(FRM,_xll.qGetFwdRate(AI$14,$O44,AA44,"T",DCC_Leg1_Float),_xll.qGetFwdRate(AI$14,$O44,$O45,"T",DCC_Leg1_Float)))</f>
        <v>0</v>
      </c>
      <c r="AJ44" s="886">
        <f>IF($O45=0,0,           IF(FRM,_xll.qGetFwdRate(AJ$14,$O44,AB44,"T",DCC_Leg1_Float),_xll.qGetFwdRate(AJ$14,$O44,$O45,"T",DCC_Leg1_Float)))</f>
        <v>0</v>
      </c>
      <c r="AK44" s="886">
        <f t="shared" si="1"/>
        <v>0</v>
      </c>
      <c r="AL44" s="886">
        <f>IF($O45=0,0,           IF(FRM,_xll.qGetFwdRate(AL$14,$O44,AD44,"T",DCC_Leg1_Float),_xll.qGetFwdRate(AL$14,$O44,$O45,"T",DCC_Leg1_Float)))</f>
        <v>0</v>
      </c>
      <c r="AM44" s="886">
        <f t="shared" si="16"/>
        <v>0</v>
      </c>
      <c r="AN44" s="886">
        <f t="shared" si="17"/>
        <v>0</v>
      </c>
      <c r="AO44" s="886">
        <f>IF($O45=0,0,           IF(FRM,_xll.qGetFwdRate(AO$14,$O44,AG44,"T",DCC_Leg1_Float),_xll.qGetFwdRate(AO$14,$O44,$O45,"T",DCC_Leg1_Float)))</f>
        <v>0</v>
      </c>
      <c r="AP44" s="886">
        <f>IF($O45=0,0,           IF(FRM,_xll.qGetFwdRate(AP$14,$O44,AH44,"T",DCC_Leg1_Float),_xll.qGetFwdRate(AP$14,$O44,$O45,"T",DCC_Leg1_Float)))</f>
        <v>0</v>
      </c>
      <c r="AQ44" s="648">
        <f t="shared" si="18"/>
        <v>0</v>
      </c>
      <c r="AR44" s="648">
        <f t="shared" si="19"/>
        <v>0</v>
      </c>
      <c r="AS44" s="648">
        <f t="shared" si="20"/>
        <v>0</v>
      </c>
      <c r="AT44" s="648">
        <f t="shared" si="21"/>
        <v>0</v>
      </c>
      <c r="AU44" s="648">
        <f t="shared" si="22"/>
        <v>0</v>
      </c>
      <c r="AV44" s="648">
        <f t="shared" si="23"/>
        <v>0</v>
      </c>
      <c r="AW44" s="648">
        <f t="shared" si="24"/>
        <v>0</v>
      </c>
      <c r="AX44" s="648">
        <f t="shared" si="25"/>
        <v>0</v>
      </c>
      <c r="AY44" s="634">
        <v>0</v>
      </c>
      <c r="AZ44" s="616"/>
      <c r="BA44" s="619">
        <f>IF(O45=0,0,             IF(ISNUMBER(AZ44),AZ44,             IF(ISTEXT(AZ44),INDEX(AQ44:AX44,MATCH(AZ44,$AQ$17:$AX$17,0)),           IF(AY44="INT",_xll.qInterp(O45,AA44:AH44,AQ44:AX44),       INDEX(AQ44:AX44,MATCH(AY44,$AQ$17:$AX$17,0))))))</f>
        <v>0</v>
      </c>
      <c r="BB44" s="674">
        <v>100</v>
      </c>
      <c r="BC44" s="666">
        <f t="shared" si="3"/>
        <v>0</v>
      </c>
      <c r="BD44" s="268">
        <f>IF($O45=0,0,                IF(LEFT(DCC_Leg1_Fixed,2)="1/",uEvaluate(DCC_Leg1_Fixed),        _xll.qDateYears($O44,$O45,DCC_Leg1_Fixed)))</f>
        <v>0</v>
      </c>
      <c r="BE44" s="268">
        <f>IF($O45,_xll.qDateYears($O44,$O45,DCC_Leg1_Float),0)</f>
        <v>0</v>
      </c>
      <c r="BG44" s="332">
        <f t="shared" si="26"/>
        <v>0</v>
      </c>
      <c r="BH44" s="357">
        <f t="shared" si="27"/>
        <v>0</v>
      </c>
      <c r="BI44" s="527"/>
      <c r="BK44" s="324">
        <f t="shared" si="33"/>
        <v>0</v>
      </c>
      <c r="BM44" s="338"/>
      <c r="BN44" s="121">
        <v>0</v>
      </c>
      <c r="BO44" s="755">
        <f t="shared" si="4"/>
        <v>0</v>
      </c>
      <c r="BP44" s="339">
        <v>0</v>
      </c>
      <c r="BQ44" s="890">
        <f>IF(BN45=0,0,         IF(OR(Currency2="AUD",Currency1="NZD",Currency2="GBP"),BN44,   _xll.qDateNext(BN44,"-2b",,,IF(Currency2="EUR","TGT","LON"))))</f>
        <v>0</v>
      </c>
      <c r="BR44" s="879" t="str">
        <v/>
      </c>
      <c r="BS44" s="879" t="str">
        <v/>
      </c>
      <c r="BT44" s="879" t="str">
        <v/>
      </c>
      <c r="BU44" s="879" t="str">
        <v/>
      </c>
      <c r="BV44" s="879" t="str">
        <v/>
      </c>
      <c r="BW44" s="879" t="str">
        <v/>
      </c>
      <c r="BX44" s="879" t="str">
        <v/>
      </c>
      <c r="BY44" s="879" t="str">
        <v/>
      </c>
      <c r="BZ44" s="882">
        <f>IF($BN45=0,0,        _xll.qDateNext($BN44,BZ$17,$CG$16,TRUE,Currency2))</f>
        <v>0</v>
      </c>
      <c r="CA44" s="882">
        <f>IF($BN45=0,0,        _xll.qDateNext($BN44,CA$17,$CG$16,TRUE,Currency2))</f>
        <v>0</v>
      </c>
      <c r="CB44" s="882">
        <f>IF($BN45=0,0,        _xll.qDateNext($BN44,CB$17,$CG$16,TRUE,Currency2))</f>
        <v>0</v>
      </c>
      <c r="CC44" s="882">
        <f>IF($BN45=0,0,        _xll.qDateNext($BN44,CC$17,$CG$16,TRUE,Currency2))</f>
        <v>0</v>
      </c>
      <c r="CD44" s="882">
        <f>IF($BN45=0,0,        _xll.qDateNext($BN44,CD$17,$CG$16,TRUE,Currency2))</f>
        <v>0</v>
      </c>
      <c r="CE44" s="882">
        <f>IF($BN45=0,0,        _xll.qDateNext($BN44,CE$17,$CG$16,TRUE,Currency2))</f>
        <v>0</v>
      </c>
      <c r="CF44" s="882">
        <f>IF($BN45=0,0,        _xll.qDateNext($BN44,CF$17,$CG$16,TRUE,Currency2))</f>
        <v>0</v>
      </c>
      <c r="CG44" s="882">
        <f>IF($BN45=0,0,        _xll.qDateNext($BN44,CG$17,$CG$16,TRUE,Currency2))</f>
        <v>0</v>
      </c>
      <c r="CH44" s="886">
        <v>0</v>
      </c>
      <c r="CI44" s="886">
        <v>0</v>
      </c>
      <c r="CJ44" s="886">
        <v>0</v>
      </c>
      <c r="CK44" s="886">
        <v>0</v>
      </c>
      <c r="CL44" s="886">
        <f t="shared" si="5"/>
        <v>0</v>
      </c>
      <c r="CM44" s="886">
        <f t="shared" si="28"/>
        <v>0</v>
      </c>
      <c r="CN44" s="886">
        <v>0</v>
      </c>
      <c r="CO44" s="886">
        <v>0</v>
      </c>
      <c r="CP44" s="648">
        <f t="shared" si="6"/>
        <v>0</v>
      </c>
      <c r="CQ44" s="648">
        <f t="shared" si="7"/>
        <v>0</v>
      </c>
      <c r="CR44" s="648">
        <f t="shared" si="8"/>
        <v>0</v>
      </c>
      <c r="CS44" s="648">
        <f t="shared" si="9"/>
        <v>0</v>
      </c>
      <c r="CT44" s="648">
        <f t="shared" si="10"/>
        <v>0</v>
      </c>
      <c r="CU44" s="648">
        <f t="shared" si="11"/>
        <v>0</v>
      </c>
      <c r="CV44" s="648">
        <f t="shared" si="12"/>
        <v>0</v>
      </c>
      <c r="CW44" s="648">
        <f t="shared" si="13"/>
        <v>0</v>
      </c>
      <c r="CX44" s="634">
        <v>0</v>
      </c>
      <c r="CY44" s="616"/>
      <c r="CZ44" s="619">
        <f>IF(BN45=0,0,             IF(ISNUMBER(CY44),CY44,             IF(ISTEXT(CY44),INDEX(CP44:CW44,MATCH(CY44,$CP$17:$CW$17,0)),           IF(CX44="INT",_xll.qInterp(BN45,BZ44:CG44,CP44:CW44),       INDEX(CP44:CW44,MATCH(CX44,$CP$17:$CW$17,0))))))</f>
        <v>0</v>
      </c>
      <c r="DA44" s="755">
        <f t="shared" si="14"/>
        <v>0</v>
      </c>
      <c r="DB44" s="387">
        <f t="shared" si="15"/>
        <v>0</v>
      </c>
      <c r="DC44" s="268">
        <f>IF($BN45=0,0,         IF(LEFT(DCC_Leg2_Fixed,2)="1/",uEvaluate(DCC_Leg2_Fixed),         _xll.qDateYears($BN44,$BN45,DCC_Leg2_Fixed)))</f>
        <v>0</v>
      </c>
      <c r="DD44" s="268">
        <f>IF($BN45,_xll.qDateYears($BN44,$BN45,DCC_Leg2_Float),0)</f>
        <v>0</v>
      </c>
      <c r="DF44" s="332">
        <f t="shared" si="29"/>
        <v>0</v>
      </c>
      <c r="DG44" s="357">
        <f t="shared" si="30"/>
        <v>0</v>
      </c>
      <c r="DH44" s="527"/>
      <c r="DJ44" s="324">
        <f t="shared" si="34"/>
        <v>0</v>
      </c>
      <c r="DK44" s="529"/>
      <c r="DL44" s="338"/>
    </row>
    <row r="45" spans="2:116">
      <c r="B45" s="206"/>
      <c r="C45" s="315"/>
      <c r="D45" s="206"/>
      <c r="E45" s="206"/>
      <c r="F45" s="315">
        <v>0.5</v>
      </c>
      <c r="O45" s="121">
        <v>0</v>
      </c>
      <c r="P45" s="755">
        <f t="shared" si="0"/>
        <v>0</v>
      </c>
      <c r="Q45" s="125">
        <v>0</v>
      </c>
      <c r="R45" s="890">
        <f>IF(O46=0,0,         IF(OR(Currency1="AUD",Currency1="NZD",Currency1="GBP"),O45,   _xll.qDateNext(O45,"-2b",,,IF(Currency1="EUR","TGT","LON"))))</f>
        <v>0</v>
      </c>
      <c r="S45" s="879" t="str">
        <v/>
      </c>
      <c r="T45" s="879" t="str">
        <v/>
      </c>
      <c r="U45" s="879" t="str">
        <v/>
      </c>
      <c r="V45" s="879" t="str">
        <v/>
      </c>
      <c r="W45" s="879" t="str">
        <v/>
      </c>
      <c r="X45" s="879" t="str">
        <v/>
      </c>
      <c r="Y45" s="879" t="str">
        <v/>
      </c>
      <c r="Z45" s="879" t="str">
        <v/>
      </c>
      <c r="AA45" s="882">
        <f>IF($O46=0,0,        _xll.qDateNext($O45,AA$17,$AH$16,TRUE,Currency1))</f>
        <v>0</v>
      </c>
      <c r="AB45" s="882">
        <f>IF($O46=0,0,        _xll.qDateNext($O45,AB$17,$AH$16,TRUE,Currency1))</f>
        <v>0</v>
      </c>
      <c r="AC45" s="882">
        <f>IF($O46=0,0,        _xll.qDateNext($O45,AC$17,$AH$16,TRUE,Currency1))</f>
        <v>0</v>
      </c>
      <c r="AD45" s="882">
        <f>IF($O46=0,0,        _xll.qDateNext($O45,AD$17,$AH$16,TRUE,Currency1))</f>
        <v>0</v>
      </c>
      <c r="AE45" s="882">
        <f>IF($O46=0,0,        _xll.qDateNext($O45,AE$17,$AH$16,TRUE,Currency1))</f>
        <v>0</v>
      </c>
      <c r="AF45" s="882">
        <f>IF($O46=0,0,        _xll.qDateNext($O45,AF$17,$AH$16,TRUE,Currency1))</f>
        <v>0</v>
      </c>
      <c r="AG45" s="882">
        <f>IF($O46=0,0,        _xll.qDateNext($O45,AG$17,$AH$16,TRUE,Currency1))</f>
        <v>0</v>
      </c>
      <c r="AH45" s="882">
        <f>IF($O46=0,0,        _xll.qDateNext($O45,AH$17,$AH$16,TRUE,Currency1))</f>
        <v>0</v>
      </c>
      <c r="AI45" s="886">
        <f>IF($O46=0,0,           IF(FRM,_xll.qGetFwdRate(AI$14,$O45,AA45,"T",DCC_Leg1_Float),_xll.qGetFwdRate(AI$14,$O45,$O46,"T",DCC_Leg1_Float)))</f>
        <v>0</v>
      </c>
      <c r="AJ45" s="886">
        <f>IF($O46=0,0,           IF(FRM,_xll.qGetFwdRate(AJ$14,$O45,AB45,"T",DCC_Leg1_Float),_xll.qGetFwdRate(AJ$14,$O45,$O46,"T",DCC_Leg1_Float)))</f>
        <v>0</v>
      </c>
      <c r="AK45" s="886">
        <f t="shared" si="1"/>
        <v>0</v>
      </c>
      <c r="AL45" s="886">
        <f>IF($O46=0,0,           IF(FRM,_xll.qGetFwdRate(AL$14,$O45,AD45,"T",DCC_Leg1_Float),_xll.qGetFwdRate(AL$14,$O45,$O46,"T",DCC_Leg1_Float)))</f>
        <v>0</v>
      </c>
      <c r="AM45" s="886">
        <f t="shared" si="16"/>
        <v>0</v>
      </c>
      <c r="AN45" s="886">
        <f t="shared" si="17"/>
        <v>0</v>
      </c>
      <c r="AO45" s="886">
        <f>IF($O46=0,0,           IF(FRM,_xll.qGetFwdRate(AO$14,$O45,AG45,"T",DCC_Leg1_Float),_xll.qGetFwdRate(AO$14,$O45,$O46,"T",DCC_Leg1_Float)))</f>
        <v>0</v>
      </c>
      <c r="AP45" s="886">
        <f>IF($O46=0,0,           IF(FRM,_xll.qGetFwdRate(AP$14,$O45,AH45,"T",DCC_Leg1_Float),_xll.qGetFwdRate(AP$14,$O45,$O46,"T",DCC_Leg1_Float)))</f>
        <v>0</v>
      </c>
      <c r="AQ45" s="648">
        <f t="shared" si="18"/>
        <v>0</v>
      </c>
      <c r="AR45" s="648">
        <f t="shared" si="19"/>
        <v>0</v>
      </c>
      <c r="AS45" s="648">
        <f t="shared" si="20"/>
        <v>0</v>
      </c>
      <c r="AT45" s="648">
        <f t="shared" si="21"/>
        <v>0</v>
      </c>
      <c r="AU45" s="648">
        <f t="shared" si="22"/>
        <v>0</v>
      </c>
      <c r="AV45" s="648">
        <f t="shared" si="23"/>
        <v>0</v>
      </c>
      <c r="AW45" s="648">
        <f t="shared" si="24"/>
        <v>0</v>
      </c>
      <c r="AX45" s="648">
        <f t="shared" si="25"/>
        <v>0</v>
      </c>
      <c r="AY45" s="634">
        <v>0</v>
      </c>
      <c r="AZ45" s="616"/>
      <c r="BA45" s="619">
        <f>IF(O46=0,0,             IF(ISNUMBER(AZ45),AZ45,             IF(ISTEXT(AZ45),INDEX(AQ45:AX45,MATCH(AZ45,$AQ$17:$AX$17,0)),           IF(AY45="INT",_xll.qInterp(O46,AA45:AH45,AQ45:AX45),       INDEX(AQ45:AX45,MATCH(AY45,$AQ$17:$AX$17,0))))))</f>
        <v>0</v>
      </c>
      <c r="BB45" s="674">
        <v>100</v>
      </c>
      <c r="BC45" s="666">
        <f t="shared" si="3"/>
        <v>0</v>
      </c>
      <c r="BD45" s="268">
        <f>IF($O46=0,0,                IF(LEFT(DCC_Leg1_Fixed,2)="1/",uEvaluate(DCC_Leg1_Fixed),        _xll.qDateYears($O45,$O46,DCC_Leg1_Fixed)))</f>
        <v>0</v>
      </c>
      <c r="BE45" s="268">
        <f>IF($O46,_xll.qDateYears($O45,$O46,DCC_Leg1_Float),0)</f>
        <v>0</v>
      </c>
      <c r="BG45" s="332">
        <f t="shared" si="26"/>
        <v>0</v>
      </c>
      <c r="BH45" s="357">
        <f t="shared" si="27"/>
        <v>0</v>
      </c>
      <c r="BI45" s="527"/>
      <c r="BK45" s="324">
        <f t="shared" si="33"/>
        <v>0</v>
      </c>
      <c r="BM45" s="338"/>
      <c r="BN45" s="121">
        <v>0</v>
      </c>
      <c r="BO45" s="755">
        <f t="shared" si="4"/>
        <v>0</v>
      </c>
      <c r="BP45" s="339">
        <v>0</v>
      </c>
      <c r="BQ45" s="890">
        <f>IF(BN46=0,0,         IF(OR(Currency2="AUD",Currency1="NZD",Currency2="GBP"),BN45,   _xll.qDateNext(BN45,"-2b",,,IF(Currency2="EUR","TGT","LON"))))</f>
        <v>0</v>
      </c>
      <c r="BR45" s="879" t="str">
        <v/>
      </c>
      <c r="BS45" s="879" t="str">
        <v/>
      </c>
      <c r="BT45" s="879" t="str">
        <v/>
      </c>
      <c r="BU45" s="879" t="str">
        <v/>
      </c>
      <c r="BV45" s="879" t="str">
        <v/>
      </c>
      <c r="BW45" s="879" t="str">
        <v/>
      </c>
      <c r="BX45" s="879" t="str">
        <v/>
      </c>
      <c r="BY45" s="879" t="str">
        <v/>
      </c>
      <c r="BZ45" s="882">
        <f>IF($BN46=0,0,        _xll.qDateNext($BN45,BZ$17,$CG$16,TRUE,Currency2))</f>
        <v>0</v>
      </c>
      <c r="CA45" s="882">
        <f>IF($BN46=0,0,        _xll.qDateNext($BN45,CA$17,$CG$16,TRUE,Currency2))</f>
        <v>0</v>
      </c>
      <c r="CB45" s="882">
        <f>IF($BN46=0,0,        _xll.qDateNext($BN45,CB$17,$CG$16,TRUE,Currency2))</f>
        <v>0</v>
      </c>
      <c r="CC45" s="882">
        <f>IF($BN46=0,0,        _xll.qDateNext($BN45,CC$17,$CG$16,TRUE,Currency2))</f>
        <v>0</v>
      </c>
      <c r="CD45" s="882">
        <f>IF($BN46=0,0,        _xll.qDateNext($BN45,CD$17,$CG$16,TRUE,Currency2))</f>
        <v>0</v>
      </c>
      <c r="CE45" s="882">
        <f>IF($BN46=0,0,        _xll.qDateNext($BN45,CE$17,$CG$16,TRUE,Currency2))</f>
        <v>0</v>
      </c>
      <c r="CF45" s="882">
        <f>IF($BN46=0,0,        _xll.qDateNext($BN45,CF$17,$CG$16,TRUE,Currency2))</f>
        <v>0</v>
      </c>
      <c r="CG45" s="882">
        <f>IF($BN46=0,0,        _xll.qDateNext($BN45,CG$17,$CG$16,TRUE,Currency2))</f>
        <v>0</v>
      </c>
      <c r="CH45" s="886">
        <v>0</v>
      </c>
      <c r="CI45" s="886">
        <v>0</v>
      </c>
      <c r="CJ45" s="886">
        <v>0</v>
      </c>
      <c r="CK45" s="886">
        <v>0</v>
      </c>
      <c r="CL45" s="886">
        <f t="shared" si="5"/>
        <v>0</v>
      </c>
      <c r="CM45" s="886">
        <f t="shared" si="28"/>
        <v>0</v>
      </c>
      <c r="CN45" s="886">
        <v>0</v>
      </c>
      <c r="CO45" s="886">
        <v>0</v>
      </c>
      <c r="CP45" s="648">
        <f t="shared" si="6"/>
        <v>0</v>
      </c>
      <c r="CQ45" s="648">
        <f t="shared" si="7"/>
        <v>0</v>
      </c>
      <c r="CR45" s="648">
        <f t="shared" si="8"/>
        <v>0</v>
      </c>
      <c r="CS45" s="648">
        <f t="shared" si="9"/>
        <v>0</v>
      </c>
      <c r="CT45" s="648">
        <f t="shared" si="10"/>
        <v>0</v>
      </c>
      <c r="CU45" s="648">
        <f t="shared" si="11"/>
        <v>0</v>
      </c>
      <c r="CV45" s="648">
        <f t="shared" si="12"/>
        <v>0</v>
      </c>
      <c r="CW45" s="648">
        <f t="shared" si="13"/>
        <v>0</v>
      </c>
      <c r="CX45" s="634">
        <v>0</v>
      </c>
      <c r="CY45" s="616"/>
      <c r="CZ45" s="619">
        <f>IF(BN46=0,0,             IF(ISNUMBER(CY45),CY45,             IF(ISTEXT(CY45),INDEX(CP45:CW45,MATCH(CY45,$CP$17:$CW$17,0)),           IF(CX45="INT",_xll.qInterp(BN46,BZ45:CG45,CP45:CW45),       INDEX(CP45:CW45,MATCH(CX45,$CP$17:$CW$17,0))))))</f>
        <v>0</v>
      </c>
      <c r="DA45" s="755">
        <f t="shared" si="14"/>
        <v>0</v>
      </c>
      <c r="DB45" s="387">
        <f t="shared" si="15"/>
        <v>0</v>
      </c>
      <c r="DC45" s="268">
        <f>IF($BN46=0,0,         IF(LEFT(DCC_Leg2_Fixed,2)="1/",uEvaluate(DCC_Leg2_Fixed),         _xll.qDateYears($BN45,$BN46,DCC_Leg2_Fixed)))</f>
        <v>0</v>
      </c>
      <c r="DD45" s="268">
        <f>IF($BN46,_xll.qDateYears($BN45,$BN46,DCC_Leg2_Float),0)</f>
        <v>0</v>
      </c>
      <c r="DF45" s="332">
        <f t="shared" si="29"/>
        <v>0</v>
      </c>
      <c r="DG45" s="357">
        <f t="shared" si="30"/>
        <v>0</v>
      </c>
      <c r="DH45" s="527"/>
      <c r="DJ45" s="324">
        <f t="shared" si="34"/>
        <v>0</v>
      </c>
      <c r="DK45" s="529"/>
      <c r="DL45" s="338"/>
    </row>
    <row r="46" spans="2:116">
      <c r="B46" s="206"/>
      <c r="C46" s="315"/>
      <c r="D46" s="206"/>
      <c r="E46" s="206"/>
      <c r="F46" s="315">
        <v>0.5</v>
      </c>
      <c r="O46" s="121">
        <v>0</v>
      </c>
      <c r="P46" s="755">
        <f t="shared" si="0"/>
        <v>0</v>
      </c>
      <c r="Q46" s="125">
        <v>0</v>
      </c>
      <c r="R46" s="890">
        <f>IF(O47=0,0,         IF(OR(Currency1="AUD",Currency1="NZD",Currency1="GBP"),O46,   _xll.qDateNext(O46,"-2b",,,IF(Currency1="EUR","TGT","LON"))))</f>
        <v>0</v>
      </c>
      <c r="S46" s="879" t="str">
        <v/>
      </c>
      <c r="T46" s="879" t="str">
        <v/>
      </c>
      <c r="U46" s="879" t="str">
        <v/>
      </c>
      <c r="V46" s="879" t="str">
        <v/>
      </c>
      <c r="W46" s="879" t="str">
        <v/>
      </c>
      <c r="X46" s="879" t="str">
        <v/>
      </c>
      <c r="Y46" s="879" t="str">
        <v/>
      </c>
      <c r="Z46" s="879" t="str">
        <v/>
      </c>
      <c r="AA46" s="882">
        <f>IF($O47=0,0,        _xll.qDateNext($O46,AA$17,$AH$16,TRUE,Currency1))</f>
        <v>0</v>
      </c>
      <c r="AB46" s="882">
        <f>IF($O47=0,0,        _xll.qDateNext($O46,AB$17,$AH$16,TRUE,Currency1))</f>
        <v>0</v>
      </c>
      <c r="AC46" s="882">
        <f>IF($O47=0,0,        _xll.qDateNext($O46,AC$17,$AH$16,TRUE,Currency1))</f>
        <v>0</v>
      </c>
      <c r="AD46" s="882">
        <f>IF($O47=0,0,        _xll.qDateNext($O46,AD$17,$AH$16,TRUE,Currency1))</f>
        <v>0</v>
      </c>
      <c r="AE46" s="882">
        <f>IF($O47=0,0,        _xll.qDateNext($O46,AE$17,$AH$16,TRUE,Currency1))</f>
        <v>0</v>
      </c>
      <c r="AF46" s="882">
        <f>IF($O47=0,0,        _xll.qDateNext($O46,AF$17,$AH$16,TRUE,Currency1))</f>
        <v>0</v>
      </c>
      <c r="AG46" s="882">
        <f>IF($O47=0,0,        _xll.qDateNext($O46,AG$17,$AH$16,TRUE,Currency1))</f>
        <v>0</v>
      </c>
      <c r="AH46" s="882">
        <f>IF($O47=0,0,        _xll.qDateNext($O46,AH$17,$AH$16,TRUE,Currency1))</f>
        <v>0</v>
      </c>
      <c r="AI46" s="886">
        <f>IF($O47=0,0,           IF(FRM,_xll.qGetFwdRate(AI$14,$O46,AA46,"T",DCC_Leg1_Float),_xll.qGetFwdRate(AI$14,$O46,$O47,"T",DCC_Leg1_Float)))</f>
        <v>0</v>
      </c>
      <c r="AJ46" s="886">
        <f>IF($O47=0,0,           IF(FRM,_xll.qGetFwdRate(AJ$14,$O46,AB46,"T",DCC_Leg1_Float),_xll.qGetFwdRate(AJ$14,$O46,$O47,"T",DCC_Leg1_Float)))</f>
        <v>0</v>
      </c>
      <c r="AK46" s="886">
        <f t="shared" si="1"/>
        <v>0</v>
      </c>
      <c r="AL46" s="886">
        <f>IF($O47=0,0,           IF(FRM,_xll.qGetFwdRate(AL$14,$O46,AD46,"T",DCC_Leg1_Float),_xll.qGetFwdRate(AL$14,$O46,$O47,"T",DCC_Leg1_Float)))</f>
        <v>0</v>
      </c>
      <c r="AM46" s="886">
        <f t="shared" si="16"/>
        <v>0</v>
      </c>
      <c r="AN46" s="886">
        <f t="shared" si="17"/>
        <v>0</v>
      </c>
      <c r="AO46" s="886">
        <f>IF($O47=0,0,           IF(FRM,_xll.qGetFwdRate(AO$14,$O46,AG46,"T",DCC_Leg1_Float),_xll.qGetFwdRate(AO$14,$O46,$O47,"T",DCC_Leg1_Float)))</f>
        <v>0</v>
      </c>
      <c r="AP46" s="886">
        <f>IF($O47=0,0,           IF(FRM,_xll.qGetFwdRate(AP$14,$O46,AH46,"T",DCC_Leg1_Float),_xll.qGetFwdRate(AP$14,$O46,$O47,"T",DCC_Leg1_Float)))</f>
        <v>0</v>
      </c>
      <c r="AQ46" s="648">
        <f t="shared" si="18"/>
        <v>0</v>
      </c>
      <c r="AR46" s="648">
        <f t="shared" si="19"/>
        <v>0</v>
      </c>
      <c r="AS46" s="648">
        <f t="shared" si="20"/>
        <v>0</v>
      </c>
      <c r="AT46" s="648">
        <f t="shared" si="21"/>
        <v>0</v>
      </c>
      <c r="AU46" s="648">
        <f t="shared" si="22"/>
        <v>0</v>
      </c>
      <c r="AV46" s="648">
        <f t="shared" si="23"/>
        <v>0</v>
      </c>
      <c r="AW46" s="648">
        <f t="shared" si="24"/>
        <v>0</v>
      </c>
      <c r="AX46" s="648">
        <f t="shared" si="25"/>
        <v>0</v>
      </c>
      <c r="AY46" s="634">
        <v>0</v>
      </c>
      <c r="AZ46" s="616"/>
      <c r="BA46" s="619">
        <f>IF(O47=0,0,             IF(ISNUMBER(AZ46),AZ46,             IF(ISTEXT(AZ46),INDEX(AQ46:AX46,MATCH(AZ46,$AQ$17:$AX$17,0)),           IF(AY46="INT",_xll.qInterp(O47,AA46:AH46,AQ46:AX46),       INDEX(AQ46:AX46,MATCH(AY46,$AQ$17:$AX$17,0))))))</f>
        <v>0</v>
      </c>
      <c r="BB46" s="674">
        <v>100</v>
      </c>
      <c r="BC46" s="666">
        <f t="shared" si="3"/>
        <v>0</v>
      </c>
      <c r="BD46" s="268">
        <f>IF($O47=0,0,                IF(LEFT(DCC_Leg1_Fixed,2)="1/",uEvaluate(DCC_Leg1_Fixed),        _xll.qDateYears($O46,$O47,DCC_Leg1_Fixed)))</f>
        <v>0</v>
      </c>
      <c r="BE46" s="268">
        <f>IF($O47,_xll.qDateYears($O46,$O47,DCC_Leg1_Float),0)</f>
        <v>0</v>
      </c>
      <c r="BG46" s="332">
        <f t="shared" si="26"/>
        <v>0</v>
      </c>
      <c r="BH46" s="357">
        <f t="shared" si="27"/>
        <v>0</v>
      </c>
      <c r="BI46" s="527"/>
      <c r="BK46" s="324">
        <f t="shared" si="33"/>
        <v>0</v>
      </c>
      <c r="BM46" s="338"/>
      <c r="BN46" s="121">
        <v>0</v>
      </c>
      <c r="BO46" s="755">
        <f t="shared" si="4"/>
        <v>0</v>
      </c>
      <c r="BP46" s="339">
        <v>0</v>
      </c>
      <c r="BQ46" s="890">
        <f>IF(BN47=0,0,         IF(OR(Currency2="AUD",Currency1="NZD",Currency2="GBP"),BN46,   _xll.qDateNext(BN46,"-2b",,,IF(Currency2="EUR","TGT","LON"))))</f>
        <v>0</v>
      </c>
      <c r="BR46" s="879" t="str">
        <v/>
      </c>
      <c r="BS46" s="879" t="str">
        <v/>
      </c>
      <c r="BT46" s="879" t="str">
        <v/>
      </c>
      <c r="BU46" s="879" t="str">
        <v/>
      </c>
      <c r="BV46" s="879" t="str">
        <v/>
      </c>
      <c r="BW46" s="879" t="str">
        <v/>
      </c>
      <c r="BX46" s="879" t="str">
        <v/>
      </c>
      <c r="BY46" s="879" t="str">
        <v/>
      </c>
      <c r="BZ46" s="882">
        <f>IF($BN47=0,0,        _xll.qDateNext($BN46,BZ$17,$CG$16,TRUE,Currency2))</f>
        <v>0</v>
      </c>
      <c r="CA46" s="882">
        <f>IF($BN47=0,0,        _xll.qDateNext($BN46,CA$17,$CG$16,TRUE,Currency2))</f>
        <v>0</v>
      </c>
      <c r="CB46" s="882">
        <f>IF($BN47=0,0,        _xll.qDateNext($BN46,CB$17,$CG$16,TRUE,Currency2))</f>
        <v>0</v>
      </c>
      <c r="CC46" s="882">
        <f>IF($BN47=0,0,        _xll.qDateNext($BN46,CC$17,$CG$16,TRUE,Currency2))</f>
        <v>0</v>
      </c>
      <c r="CD46" s="882">
        <f>IF($BN47=0,0,        _xll.qDateNext($BN46,CD$17,$CG$16,TRUE,Currency2))</f>
        <v>0</v>
      </c>
      <c r="CE46" s="882">
        <f>IF($BN47=0,0,        _xll.qDateNext($BN46,CE$17,$CG$16,TRUE,Currency2))</f>
        <v>0</v>
      </c>
      <c r="CF46" s="882">
        <f>IF($BN47=0,0,        _xll.qDateNext($BN46,CF$17,$CG$16,TRUE,Currency2))</f>
        <v>0</v>
      </c>
      <c r="CG46" s="882">
        <f>IF($BN47=0,0,        _xll.qDateNext($BN46,CG$17,$CG$16,TRUE,Currency2))</f>
        <v>0</v>
      </c>
      <c r="CH46" s="886">
        <v>0</v>
      </c>
      <c r="CI46" s="886">
        <v>0</v>
      </c>
      <c r="CJ46" s="886">
        <v>0</v>
      </c>
      <c r="CK46" s="886">
        <v>0</v>
      </c>
      <c r="CL46" s="886">
        <f t="shared" si="5"/>
        <v>0</v>
      </c>
      <c r="CM46" s="886">
        <f t="shared" si="28"/>
        <v>0</v>
      </c>
      <c r="CN46" s="886">
        <v>0</v>
      </c>
      <c r="CO46" s="886">
        <v>0</v>
      </c>
      <c r="CP46" s="648">
        <f t="shared" si="6"/>
        <v>0</v>
      </c>
      <c r="CQ46" s="648">
        <f t="shared" si="7"/>
        <v>0</v>
      </c>
      <c r="CR46" s="648">
        <f t="shared" si="8"/>
        <v>0</v>
      </c>
      <c r="CS46" s="648">
        <f t="shared" si="9"/>
        <v>0</v>
      </c>
      <c r="CT46" s="648">
        <f t="shared" si="10"/>
        <v>0</v>
      </c>
      <c r="CU46" s="648">
        <f t="shared" si="11"/>
        <v>0</v>
      </c>
      <c r="CV46" s="648">
        <f t="shared" si="12"/>
        <v>0</v>
      </c>
      <c r="CW46" s="648">
        <f t="shared" si="13"/>
        <v>0</v>
      </c>
      <c r="CX46" s="634">
        <v>0</v>
      </c>
      <c r="CY46" s="616"/>
      <c r="CZ46" s="619">
        <f>IF(BN47=0,0,             IF(ISNUMBER(CY46),CY46,             IF(ISTEXT(CY46),INDEX(CP46:CW46,MATCH(CY46,$CP$17:$CW$17,0)),           IF(CX46="INT",_xll.qInterp(BN47,BZ46:CG46,CP46:CW46),       INDEX(CP46:CW46,MATCH(CX46,$CP$17:$CW$17,0))))))</f>
        <v>0</v>
      </c>
      <c r="DA46" s="755">
        <f t="shared" si="14"/>
        <v>0</v>
      </c>
      <c r="DB46" s="387">
        <f t="shared" si="15"/>
        <v>0</v>
      </c>
      <c r="DC46" s="268">
        <f>IF($BN47=0,0,         IF(LEFT(DCC_Leg2_Fixed,2)="1/",uEvaluate(DCC_Leg2_Fixed),         _xll.qDateYears($BN46,$BN47,DCC_Leg2_Fixed)))</f>
        <v>0</v>
      </c>
      <c r="DD46" s="268">
        <f>IF($BN47,_xll.qDateYears($BN46,$BN47,DCC_Leg2_Float),0)</f>
        <v>0</v>
      </c>
      <c r="DF46" s="332">
        <f t="shared" si="29"/>
        <v>0</v>
      </c>
      <c r="DG46" s="357">
        <f t="shared" si="30"/>
        <v>0</v>
      </c>
      <c r="DH46" s="527"/>
      <c r="DJ46" s="324">
        <f t="shared" si="34"/>
        <v>0</v>
      </c>
      <c r="DK46" s="529"/>
      <c r="DL46" s="338"/>
    </row>
    <row r="47" spans="2:116">
      <c r="B47" s="206"/>
      <c r="C47" s="315"/>
      <c r="D47" s="206"/>
      <c r="E47" s="206"/>
      <c r="F47" s="315">
        <v>0.5</v>
      </c>
      <c r="O47" s="121">
        <v>0</v>
      </c>
      <c r="P47" s="755">
        <f t="shared" si="0"/>
        <v>0</v>
      </c>
      <c r="Q47" s="125">
        <v>0</v>
      </c>
      <c r="R47" s="890">
        <f>IF(O48=0,0,         IF(OR(Currency1="AUD",Currency1="NZD",Currency1="GBP"),O47,   _xll.qDateNext(O47,"-2b",,,IF(Currency1="EUR","TGT","LON"))))</f>
        <v>0</v>
      </c>
      <c r="S47" s="879" t="str">
        <v/>
      </c>
      <c r="T47" s="879" t="str">
        <v/>
      </c>
      <c r="U47" s="879" t="str">
        <v/>
      </c>
      <c r="V47" s="879" t="str">
        <v/>
      </c>
      <c r="W47" s="879" t="str">
        <v/>
      </c>
      <c r="X47" s="879" t="str">
        <v/>
      </c>
      <c r="Y47" s="879" t="str">
        <v/>
      </c>
      <c r="Z47" s="879" t="str">
        <v/>
      </c>
      <c r="AA47" s="882">
        <f>IF($O48=0,0,        _xll.qDateNext($O47,AA$17,$AH$16,TRUE,Currency1))</f>
        <v>0</v>
      </c>
      <c r="AB47" s="882">
        <f>IF($O48=0,0,        _xll.qDateNext($O47,AB$17,$AH$16,TRUE,Currency1))</f>
        <v>0</v>
      </c>
      <c r="AC47" s="882">
        <f>IF($O48=0,0,        _xll.qDateNext($O47,AC$17,$AH$16,TRUE,Currency1))</f>
        <v>0</v>
      </c>
      <c r="AD47" s="882">
        <f>IF($O48=0,0,        _xll.qDateNext($O47,AD$17,$AH$16,TRUE,Currency1))</f>
        <v>0</v>
      </c>
      <c r="AE47" s="882">
        <f>IF($O48=0,0,        _xll.qDateNext($O47,AE$17,$AH$16,TRUE,Currency1))</f>
        <v>0</v>
      </c>
      <c r="AF47" s="882">
        <f>IF($O48=0,0,        _xll.qDateNext($O47,AF$17,$AH$16,TRUE,Currency1))</f>
        <v>0</v>
      </c>
      <c r="AG47" s="882">
        <f>IF($O48=0,0,        _xll.qDateNext($O47,AG$17,$AH$16,TRUE,Currency1))</f>
        <v>0</v>
      </c>
      <c r="AH47" s="882">
        <f>IF($O48=0,0,        _xll.qDateNext($O47,AH$17,$AH$16,TRUE,Currency1))</f>
        <v>0</v>
      </c>
      <c r="AI47" s="886">
        <f>IF($O48=0,0,           IF(FRM,_xll.qGetFwdRate(AI$14,$O47,AA47,"T",DCC_Leg1_Float),_xll.qGetFwdRate(AI$14,$O47,$O48,"T",DCC_Leg1_Float)))</f>
        <v>0</v>
      </c>
      <c r="AJ47" s="886">
        <f>IF($O48=0,0,           IF(FRM,_xll.qGetFwdRate(AJ$14,$O47,AB47,"T",DCC_Leg1_Float),_xll.qGetFwdRate(AJ$14,$O47,$O48,"T",DCC_Leg1_Float)))</f>
        <v>0</v>
      </c>
      <c r="AK47" s="886">
        <f t="shared" si="1"/>
        <v>0</v>
      </c>
      <c r="AL47" s="886">
        <f>IF($O48=0,0,           IF(FRM,_xll.qGetFwdRate(AL$14,$O47,AD47,"T",DCC_Leg1_Float),_xll.qGetFwdRate(AL$14,$O47,$O48,"T",DCC_Leg1_Float)))</f>
        <v>0</v>
      </c>
      <c r="AM47" s="886">
        <f t="shared" si="16"/>
        <v>0</v>
      </c>
      <c r="AN47" s="886">
        <f t="shared" si="17"/>
        <v>0</v>
      </c>
      <c r="AO47" s="886">
        <f>IF($O48=0,0,           IF(FRM,_xll.qGetFwdRate(AO$14,$O47,AG47,"T",DCC_Leg1_Float),_xll.qGetFwdRate(AO$14,$O47,$O48,"T",DCC_Leg1_Float)))</f>
        <v>0</v>
      </c>
      <c r="AP47" s="886">
        <f>IF($O48=0,0,           IF(FRM,_xll.qGetFwdRate(AP$14,$O47,AH47,"T",DCC_Leg1_Float),_xll.qGetFwdRate(AP$14,$O47,$O48,"T",DCC_Leg1_Float)))</f>
        <v>0</v>
      </c>
      <c r="AQ47" s="648">
        <f t="shared" si="18"/>
        <v>0</v>
      </c>
      <c r="AR47" s="648">
        <f t="shared" si="19"/>
        <v>0</v>
      </c>
      <c r="AS47" s="648">
        <f t="shared" si="20"/>
        <v>0</v>
      </c>
      <c r="AT47" s="648">
        <f t="shared" si="21"/>
        <v>0</v>
      </c>
      <c r="AU47" s="648">
        <f t="shared" si="22"/>
        <v>0</v>
      </c>
      <c r="AV47" s="648">
        <f t="shared" si="23"/>
        <v>0</v>
      </c>
      <c r="AW47" s="648">
        <f t="shared" si="24"/>
        <v>0</v>
      </c>
      <c r="AX47" s="648">
        <f t="shared" si="25"/>
        <v>0</v>
      </c>
      <c r="AY47" s="634">
        <v>0</v>
      </c>
      <c r="AZ47" s="616"/>
      <c r="BA47" s="619">
        <f>IF(O48=0,0,             IF(ISNUMBER(AZ47),AZ47,             IF(ISTEXT(AZ47),INDEX(AQ47:AX47,MATCH(AZ47,$AQ$17:$AX$17,0)),           IF(AY47="INT",_xll.qInterp(O48,AA47:AH47,AQ47:AX47),       INDEX(AQ47:AX47,MATCH(AY47,$AQ$17:$AX$17,0))))))</f>
        <v>0</v>
      </c>
      <c r="BB47" s="674">
        <v>100</v>
      </c>
      <c r="BC47" s="666">
        <f t="shared" si="3"/>
        <v>0</v>
      </c>
      <c r="BD47" s="268">
        <f>IF($O48=0,0,                IF(LEFT(DCC_Leg1_Fixed,2)="1/",uEvaluate(DCC_Leg1_Fixed),        _xll.qDateYears($O47,$O48,DCC_Leg1_Fixed)))</f>
        <v>0</v>
      </c>
      <c r="BE47" s="268">
        <f>IF($O48,_xll.qDateYears($O47,$O48,DCC_Leg1_Float),0)</f>
        <v>0</v>
      </c>
      <c r="BG47" s="332">
        <f t="shared" si="26"/>
        <v>0</v>
      </c>
      <c r="BH47" s="357">
        <f t="shared" si="27"/>
        <v>0</v>
      </c>
      <c r="BI47" s="527"/>
      <c r="BK47" s="324">
        <f t="shared" si="33"/>
        <v>0</v>
      </c>
      <c r="BM47" s="338"/>
      <c r="BN47" s="121">
        <v>0</v>
      </c>
      <c r="BO47" s="755">
        <f t="shared" si="4"/>
        <v>0</v>
      </c>
      <c r="BP47" s="339">
        <v>0</v>
      </c>
      <c r="BQ47" s="890">
        <f>IF(BN48=0,0,         IF(OR(Currency2="AUD",Currency1="NZD",Currency2="GBP"),BN47,   _xll.qDateNext(BN47,"-2b",,,IF(Currency2="EUR","TGT","LON"))))</f>
        <v>0</v>
      </c>
      <c r="BR47" s="879" t="str">
        <v/>
      </c>
      <c r="BS47" s="879" t="str">
        <v/>
      </c>
      <c r="BT47" s="879" t="str">
        <v/>
      </c>
      <c r="BU47" s="879" t="str">
        <v/>
      </c>
      <c r="BV47" s="879" t="str">
        <v/>
      </c>
      <c r="BW47" s="879" t="str">
        <v/>
      </c>
      <c r="BX47" s="879" t="str">
        <v/>
      </c>
      <c r="BY47" s="879" t="str">
        <v/>
      </c>
      <c r="BZ47" s="882">
        <f>IF($BN48=0,0,        _xll.qDateNext($BN47,BZ$17,$CG$16,TRUE,Currency2))</f>
        <v>0</v>
      </c>
      <c r="CA47" s="882">
        <f>IF($BN48=0,0,        _xll.qDateNext($BN47,CA$17,$CG$16,TRUE,Currency2))</f>
        <v>0</v>
      </c>
      <c r="CB47" s="882">
        <f>IF($BN48=0,0,        _xll.qDateNext($BN47,CB$17,$CG$16,TRUE,Currency2))</f>
        <v>0</v>
      </c>
      <c r="CC47" s="882">
        <f>IF($BN48=0,0,        _xll.qDateNext($BN47,CC$17,$CG$16,TRUE,Currency2))</f>
        <v>0</v>
      </c>
      <c r="CD47" s="882">
        <f>IF($BN48=0,0,        _xll.qDateNext($BN47,CD$17,$CG$16,TRUE,Currency2))</f>
        <v>0</v>
      </c>
      <c r="CE47" s="882">
        <f>IF($BN48=0,0,        _xll.qDateNext($BN47,CE$17,$CG$16,TRUE,Currency2))</f>
        <v>0</v>
      </c>
      <c r="CF47" s="882">
        <f>IF($BN48=0,0,        _xll.qDateNext($BN47,CF$17,$CG$16,TRUE,Currency2))</f>
        <v>0</v>
      </c>
      <c r="CG47" s="882">
        <f>IF($BN48=0,0,        _xll.qDateNext($BN47,CG$17,$CG$16,TRUE,Currency2))</f>
        <v>0</v>
      </c>
      <c r="CH47" s="886">
        <v>0</v>
      </c>
      <c r="CI47" s="886">
        <v>0</v>
      </c>
      <c r="CJ47" s="886">
        <v>0</v>
      </c>
      <c r="CK47" s="886">
        <v>0</v>
      </c>
      <c r="CL47" s="886">
        <f t="shared" si="5"/>
        <v>0</v>
      </c>
      <c r="CM47" s="886">
        <f t="shared" si="28"/>
        <v>0</v>
      </c>
      <c r="CN47" s="886">
        <v>0</v>
      </c>
      <c r="CO47" s="886">
        <v>0</v>
      </c>
      <c r="CP47" s="648">
        <f t="shared" si="6"/>
        <v>0</v>
      </c>
      <c r="CQ47" s="648">
        <f t="shared" si="7"/>
        <v>0</v>
      </c>
      <c r="CR47" s="648">
        <f t="shared" si="8"/>
        <v>0</v>
      </c>
      <c r="CS47" s="648">
        <f t="shared" si="9"/>
        <v>0</v>
      </c>
      <c r="CT47" s="648">
        <f t="shared" si="10"/>
        <v>0</v>
      </c>
      <c r="CU47" s="648">
        <f t="shared" si="11"/>
        <v>0</v>
      </c>
      <c r="CV47" s="648">
        <f t="shared" si="12"/>
        <v>0</v>
      </c>
      <c r="CW47" s="648">
        <f t="shared" si="13"/>
        <v>0</v>
      </c>
      <c r="CX47" s="634">
        <v>0</v>
      </c>
      <c r="CY47" s="616"/>
      <c r="CZ47" s="619">
        <f>IF(BN48=0,0,             IF(ISNUMBER(CY47),CY47,             IF(ISTEXT(CY47),INDEX(CP47:CW47,MATCH(CY47,$CP$17:$CW$17,0)),           IF(CX47="INT",_xll.qInterp(BN48,BZ47:CG47,CP47:CW47),       INDEX(CP47:CW47,MATCH(CX47,$CP$17:$CW$17,0))))))</f>
        <v>0</v>
      </c>
      <c r="DA47" s="755">
        <f t="shared" si="14"/>
        <v>0</v>
      </c>
      <c r="DB47" s="387">
        <f t="shared" si="15"/>
        <v>0</v>
      </c>
      <c r="DC47" s="268">
        <f>IF($BN48=0,0,         IF(LEFT(DCC_Leg2_Fixed,2)="1/",uEvaluate(DCC_Leg2_Fixed),         _xll.qDateYears($BN47,$BN48,DCC_Leg2_Fixed)))</f>
        <v>0</v>
      </c>
      <c r="DD47" s="268">
        <f>IF($BN48,_xll.qDateYears($BN47,$BN48,DCC_Leg2_Float),0)</f>
        <v>0</v>
      </c>
      <c r="DF47" s="332">
        <f t="shared" si="29"/>
        <v>0</v>
      </c>
      <c r="DG47" s="357">
        <f t="shared" si="30"/>
        <v>0</v>
      </c>
      <c r="DH47" s="527"/>
      <c r="DJ47" s="324">
        <f t="shared" si="34"/>
        <v>0</v>
      </c>
      <c r="DK47" s="529"/>
      <c r="DL47" s="338"/>
    </row>
    <row r="48" spans="2:116">
      <c r="B48" s="206"/>
      <c r="C48" s="315"/>
      <c r="D48" s="206"/>
      <c r="E48" s="206"/>
      <c r="F48" s="315">
        <v>0.5</v>
      </c>
      <c r="O48" s="121">
        <v>0</v>
      </c>
      <c r="P48" s="755">
        <f t="shared" si="0"/>
        <v>0</v>
      </c>
      <c r="Q48" s="125">
        <v>0</v>
      </c>
      <c r="R48" s="890">
        <f>IF(O49=0,0,         IF(OR(Currency1="AUD",Currency1="NZD",Currency1="GBP"),O48,   _xll.qDateNext(O48,"-2b",,,IF(Currency1="EUR","TGT","LON"))))</f>
        <v>0</v>
      </c>
      <c r="S48" s="879" t="str">
        <v/>
      </c>
      <c r="T48" s="879" t="str">
        <v/>
      </c>
      <c r="U48" s="879" t="str">
        <v/>
      </c>
      <c r="V48" s="879" t="str">
        <v/>
      </c>
      <c r="W48" s="879" t="str">
        <v/>
      </c>
      <c r="X48" s="879" t="str">
        <v/>
      </c>
      <c r="Y48" s="879" t="str">
        <v/>
      </c>
      <c r="Z48" s="879" t="str">
        <v/>
      </c>
      <c r="AA48" s="882">
        <f>IF($O49=0,0,        _xll.qDateNext($O48,AA$17,$AH$16,TRUE,Currency1))</f>
        <v>0</v>
      </c>
      <c r="AB48" s="882">
        <f>IF($O49=0,0,        _xll.qDateNext($O48,AB$17,$AH$16,TRUE,Currency1))</f>
        <v>0</v>
      </c>
      <c r="AC48" s="882">
        <f>IF($O49=0,0,        _xll.qDateNext($O48,AC$17,$AH$16,TRUE,Currency1))</f>
        <v>0</v>
      </c>
      <c r="AD48" s="882">
        <f>IF($O49=0,0,        _xll.qDateNext($O48,AD$17,$AH$16,TRUE,Currency1))</f>
        <v>0</v>
      </c>
      <c r="AE48" s="882">
        <f>IF($O49=0,0,        _xll.qDateNext($O48,AE$17,$AH$16,TRUE,Currency1))</f>
        <v>0</v>
      </c>
      <c r="AF48" s="882">
        <f>IF($O49=0,0,        _xll.qDateNext($O48,AF$17,$AH$16,TRUE,Currency1))</f>
        <v>0</v>
      </c>
      <c r="AG48" s="882">
        <f>IF($O49=0,0,        _xll.qDateNext($O48,AG$17,$AH$16,TRUE,Currency1))</f>
        <v>0</v>
      </c>
      <c r="AH48" s="882">
        <f>IF($O49=0,0,        _xll.qDateNext($O48,AH$17,$AH$16,TRUE,Currency1))</f>
        <v>0</v>
      </c>
      <c r="AI48" s="886">
        <f>IF($O49=0,0,           IF(FRM,_xll.qGetFwdRate(AI$14,$O48,AA48,"T",DCC_Leg1_Float),_xll.qGetFwdRate(AI$14,$O48,$O49,"T",DCC_Leg1_Float)))</f>
        <v>0</v>
      </c>
      <c r="AJ48" s="886">
        <f>IF($O49=0,0,           IF(FRM,_xll.qGetFwdRate(AJ$14,$O48,AB48,"T",DCC_Leg1_Float),_xll.qGetFwdRate(AJ$14,$O48,$O49,"T",DCC_Leg1_Float)))</f>
        <v>0</v>
      </c>
      <c r="AK48" s="886">
        <f t="shared" si="1"/>
        <v>0</v>
      </c>
      <c r="AL48" s="886">
        <f>IF($O49=0,0,           IF(FRM,_xll.qGetFwdRate(AL$14,$O48,AD48,"T",DCC_Leg1_Float),_xll.qGetFwdRate(AL$14,$O48,$O49,"T",DCC_Leg1_Float)))</f>
        <v>0</v>
      </c>
      <c r="AM48" s="886">
        <f t="shared" si="16"/>
        <v>0</v>
      </c>
      <c r="AN48" s="886">
        <f t="shared" si="17"/>
        <v>0</v>
      </c>
      <c r="AO48" s="886">
        <f>IF($O49=0,0,           IF(FRM,_xll.qGetFwdRate(AO$14,$O48,AG48,"T",DCC_Leg1_Float),_xll.qGetFwdRate(AO$14,$O48,$O49,"T",DCC_Leg1_Float)))</f>
        <v>0</v>
      </c>
      <c r="AP48" s="886">
        <f>IF($O49=0,0,           IF(FRM,_xll.qGetFwdRate(AP$14,$O48,AH48,"T",DCC_Leg1_Float),_xll.qGetFwdRate(AP$14,$O48,$O49,"T",DCC_Leg1_Float)))</f>
        <v>0</v>
      </c>
      <c r="AQ48" s="648">
        <f t="shared" si="18"/>
        <v>0</v>
      </c>
      <c r="AR48" s="648">
        <f t="shared" si="19"/>
        <v>0</v>
      </c>
      <c r="AS48" s="648">
        <f t="shared" si="20"/>
        <v>0</v>
      </c>
      <c r="AT48" s="648">
        <f t="shared" si="21"/>
        <v>0</v>
      </c>
      <c r="AU48" s="648">
        <f t="shared" si="22"/>
        <v>0</v>
      </c>
      <c r="AV48" s="648">
        <f t="shared" si="23"/>
        <v>0</v>
      </c>
      <c r="AW48" s="648">
        <f t="shared" si="24"/>
        <v>0</v>
      </c>
      <c r="AX48" s="648">
        <f t="shared" si="25"/>
        <v>0</v>
      </c>
      <c r="AY48" s="634">
        <v>0</v>
      </c>
      <c r="AZ48" s="616"/>
      <c r="BA48" s="619">
        <f>IF(O49=0,0,             IF(ISNUMBER(AZ48),AZ48,             IF(ISTEXT(AZ48),INDEX(AQ48:AX48,MATCH(AZ48,$AQ$17:$AX$17,0)),           IF(AY48="INT",_xll.qInterp(O49,AA48:AH48,AQ48:AX48),       INDEX(AQ48:AX48,MATCH(AY48,$AQ$17:$AX$17,0))))))</f>
        <v>0</v>
      </c>
      <c r="BB48" s="674">
        <v>100</v>
      </c>
      <c r="BC48" s="666">
        <f t="shared" si="3"/>
        <v>0</v>
      </c>
      <c r="BD48" s="268">
        <f>IF($O49=0,0,                IF(LEFT(DCC_Leg1_Fixed,2)="1/",uEvaluate(DCC_Leg1_Fixed),        _xll.qDateYears($O48,$O49,DCC_Leg1_Fixed)))</f>
        <v>0</v>
      </c>
      <c r="BE48" s="268">
        <f>IF($O49,_xll.qDateYears($O48,$O49,DCC_Leg1_Float),0)</f>
        <v>0</v>
      </c>
      <c r="BG48" s="332">
        <f t="shared" si="26"/>
        <v>0</v>
      </c>
      <c r="BH48" s="357">
        <f t="shared" si="27"/>
        <v>0</v>
      </c>
      <c r="BI48" s="527"/>
      <c r="BK48" s="324">
        <f t="shared" si="33"/>
        <v>0</v>
      </c>
      <c r="BM48" s="338"/>
      <c r="BN48" s="121">
        <v>0</v>
      </c>
      <c r="BO48" s="755">
        <f t="shared" si="4"/>
        <v>0</v>
      </c>
      <c r="BP48" s="339">
        <v>0</v>
      </c>
      <c r="BQ48" s="890">
        <f>IF(BN49=0,0,         IF(OR(Currency2="AUD",Currency1="NZD",Currency2="GBP"),BN48,   _xll.qDateNext(BN48,"-2b",,,IF(Currency2="EUR","TGT","LON"))))</f>
        <v>0</v>
      </c>
      <c r="BR48" s="879" t="str">
        <v/>
      </c>
      <c r="BS48" s="879" t="str">
        <v/>
      </c>
      <c r="BT48" s="879" t="str">
        <v/>
      </c>
      <c r="BU48" s="879" t="str">
        <v/>
      </c>
      <c r="BV48" s="879" t="str">
        <v/>
      </c>
      <c r="BW48" s="879" t="str">
        <v/>
      </c>
      <c r="BX48" s="879" t="str">
        <v/>
      </c>
      <c r="BY48" s="879" t="str">
        <v/>
      </c>
      <c r="BZ48" s="882">
        <f>IF($BN49=0,0,        _xll.qDateNext($BN48,BZ$17,$CG$16,TRUE,Currency2))</f>
        <v>0</v>
      </c>
      <c r="CA48" s="882">
        <f>IF($BN49=0,0,        _xll.qDateNext($BN48,CA$17,$CG$16,TRUE,Currency2))</f>
        <v>0</v>
      </c>
      <c r="CB48" s="882">
        <f>IF($BN49=0,0,        _xll.qDateNext($BN48,CB$17,$CG$16,TRUE,Currency2))</f>
        <v>0</v>
      </c>
      <c r="CC48" s="882">
        <f>IF($BN49=0,0,        _xll.qDateNext($BN48,CC$17,$CG$16,TRUE,Currency2))</f>
        <v>0</v>
      </c>
      <c r="CD48" s="882">
        <f>IF($BN49=0,0,        _xll.qDateNext($BN48,CD$17,$CG$16,TRUE,Currency2))</f>
        <v>0</v>
      </c>
      <c r="CE48" s="882">
        <f>IF($BN49=0,0,        _xll.qDateNext($BN48,CE$17,$CG$16,TRUE,Currency2))</f>
        <v>0</v>
      </c>
      <c r="CF48" s="882">
        <f>IF($BN49=0,0,        _xll.qDateNext($BN48,CF$17,$CG$16,TRUE,Currency2))</f>
        <v>0</v>
      </c>
      <c r="CG48" s="882">
        <f>IF($BN49=0,0,        _xll.qDateNext($BN48,CG$17,$CG$16,TRUE,Currency2))</f>
        <v>0</v>
      </c>
      <c r="CH48" s="886">
        <v>0</v>
      </c>
      <c r="CI48" s="886">
        <v>0</v>
      </c>
      <c r="CJ48" s="886">
        <v>0</v>
      </c>
      <c r="CK48" s="886">
        <v>0</v>
      </c>
      <c r="CL48" s="886">
        <f t="shared" si="5"/>
        <v>0</v>
      </c>
      <c r="CM48" s="886">
        <f t="shared" si="28"/>
        <v>0</v>
      </c>
      <c r="CN48" s="886">
        <v>0</v>
      </c>
      <c r="CO48" s="886">
        <v>0</v>
      </c>
      <c r="CP48" s="648">
        <f t="shared" si="6"/>
        <v>0</v>
      </c>
      <c r="CQ48" s="648">
        <f t="shared" si="7"/>
        <v>0</v>
      </c>
      <c r="CR48" s="648">
        <f t="shared" si="8"/>
        <v>0</v>
      </c>
      <c r="CS48" s="648">
        <f t="shared" si="9"/>
        <v>0</v>
      </c>
      <c r="CT48" s="648">
        <f t="shared" si="10"/>
        <v>0</v>
      </c>
      <c r="CU48" s="648">
        <f t="shared" si="11"/>
        <v>0</v>
      </c>
      <c r="CV48" s="648">
        <f t="shared" si="12"/>
        <v>0</v>
      </c>
      <c r="CW48" s="648">
        <f t="shared" si="13"/>
        <v>0</v>
      </c>
      <c r="CX48" s="634">
        <v>0</v>
      </c>
      <c r="CY48" s="616"/>
      <c r="CZ48" s="619">
        <f>IF(BN49=0,0,             IF(ISNUMBER(CY48),CY48,             IF(ISTEXT(CY48),INDEX(CP48:CW48,MATCH(CY48,$CP$17:$CW$17,0)),           IF(CX48="INT",_xll.qInterp(BN49,BZ48:CG48,CP48:CW48),       INDEX(CP48:CW48,MATCH(CX48,$CP$17:$CW$17,0))))))</f>
        <v>0</v>
      </c>
      <c r="DA48" s="755">
        <f t="shared" si="14"/>
        <v>0</v>
      </c>
      <c r="DB48" s="387">
        <f t="shared" si="15"/>
        <v>0</v>
      </c>
      <c r="DC48" s="268">
        <f>IF($BN49=0,0,         IF(LEFT(DCC_Leg2_Fixed,2)="1/",uEvaluate(DCC_Leg2_Fixed),         _xll.qDateYears($BN48,$BN49,DCC_Leg2_Fixed)))</f>
        <v>0</v>
      </c>
      <c r="DD48" s="268">
        <f>IF($BN49,_xll.qDateYears($BN48,$BN49,DCC_Leg2_Float),0)</f>
        <v>0</v>
      </c>
      <c r="DF48" s="332">
        <f t="shared" si="29"/>
        <v>0</v>
      </c>
      <c r="DG48" s="357">
        <f t="shared" si="30"/>
        <v>0</v>
      </c>
      <c r="DH48" s="527"/>
      <c r="DJ48" s="324">
        <f t="shared" si="34"/>
        <v>0</v>
      </c>
      <c r="DK48" s="529"/>
      <c r="DL48" s="338"/>
    </row>
    <row r="49" spans="2:116">
      <c r="B49" s="206"/>
      <c r="C49" s="315"/>
      <c r="D49" s="206"/>
      <c r="E49" s="206"/>
      <c r="F49" s="315">
        <v>0.5</v>
      </c>
      <c r="O49" s="121">
        <v>0</v>
      </c>
      <c r="P49" s="755">
        <f t="shared" si="0"/>
        <v>0</v>
      </c>
      <c r="Q49" s="125">
        <v>0</v>
      </c>
      <c r="R49" s="890">
        <f>IF(O50=0,0,         IF(OR(Currency1="AUD",Currency1="NZD",Currency1="GBP"),O49,   _xll.qDateNext(O49,"-2b",,,IF(Currency1="EUR","TGT","LON"))))</f>
        <v>0</v>
      </c>
      <c r="S49" s="879" t="str">
        <v/>
      </c>
      <c r="T49" s="879" t="str">
        <v/>
      </c>
      <c r="U49" s="879" t="str">
        <v/>
      </c>
      <c r="V49" s="879" t="str">
        <v/>
      </c>
      <c r="W49" s="879" t="str">
        <v/>
      </c>
      <c r="X49" s="879" t="str">
        <v/>
      </c>
      <c r="Y49" s="879" t="str">
        <v/>
      </c>
      <c r="Z49" s="879" t="str">
        <v/>
      </c>
      <c r="AA49" s="882">
        <f>IF($O50=0,0,        _xll.qDateNext($O49,AA$17,$AH$16,TRUE,Currency1))</f>
        <v>0</v>
      </c>
      <c r="AB49" s="882">
        <f>IF($O50=0,0,        _xll.qDateNext($O49,AB$17,$AH$16,TRUE,Currency1))</f>
        <v>0</v>
      </c>
      <c r="AC49" s="882">
        <f>IF($O50=0,0,        _xll.qDateNext($O49,AC$17,$AH$16,TRUE,Currency1))</f>
        <v>0</v>
      </c>
      <c r="AD49" s="882">
        <f>IF($O50=0,0,        _xll.qDateNext($O49,AD$17,$AH$16,TRUE,Currency1))</f>
        <v>0</v>
      </c>
      <c r="AE49" s="882">
        <f>IF($O50=0,0,        _xll.qDateNext($O49,AE$17,$AH$16,TRUE,Currency1))</f>
        <v>0</v>
      </c>
      <c r="AF49" s="882">
        <f>IF($O50=0,0,        _xll.qDateNext($O49,AF$17,$AH$16,TRUE,Currency1))</f>
        <v>0</v>
      </c>
      <c r="AG49" s="882">
        <f>IF($O50=0,0,        _xll.qDateNext($O49,AG$17,$AH$16,TRUE,Currency1))</f>
        <v>0</v>
      </c>
      <c r="AH49" s="882">
        <f>IF($O50=0,0,        _xll.qDateNext($O49,AH$17,$AH$16,TRUE,Currency1))</f>
        <v>0</v>
      </c>
      <c r="AI49" s="886">
        <f>IF($O50=0,0,           IF(FRM,_xll.qGetFwdRate(AI$14,$O49,AA49,"T",DCC_Leg1_Float),_xll.qGetFwdRate(AI$14,$O49,$O50,"T",DCC_Leg1_Float)))</f>
        <v>0</v>
      </c>
      <c r="AJ49" s="886">
        <f>IF($O50=0,0,           IF(FRM,_xll.qGetFwdRate(AJ$14,$O49,AB49,"T",DCC_Leg1_Float),_xll.qGetFwdRate(AJ$14,$O49,$O50,"T",DCC_Leg1_Float)))</f>
        <v>0</v>
      </c>
      <c r="AK49" s="886">
        <f t="shared" si="1"/>
        <v>0</v>
      </c>
      <c r="AL49" s="886">
        <f>IF($O50=0,0,           IF(FRM,_xll.qGetFwdRate(AL$14,$O49,AD49,"T",DCC_Leg1_Float),_xll.qGetFwdRate(AL$14,$O49,$O50,"T",DCC_Leg1_Float)))</f>
        <v>0</v>
      </c>
      <c r="AM49" s="886">
        <f t="shared" si="16"/>
        <v>0</v>
      </c>
      <c r="AN49" s="886">
        <f t="shared" si="17"/>
        <v>0</v>
      </c>
      <c r="AO49" s="886">
        <f>IF($O50=0,0,           IF(FRM,_xll.qGetFwdRate(AO$14,$O49,AG49,"T",DCC_Leg1_Float),_xll.qGetFwdRate(AO$14,$O49,$O50,"T",DCC_Leg1_Float)))</f>
        <v>0</v>
      </c>
      <c r="AP49" s="886">
        <f>IF($O50=0,0,           IF(FRM,_xll.qGetFwdRate(AP$14,$O49,AH49,"T",DCC_Leg1_Float),_xll.qGetFwdRate(AP$14,$O49,$O50,"T",DCC_Leg1_Float)))</f>
        <v>0</v>
      </c>
      <c r="AQ49" s="648">
        <f t="shared" si="18"/>
        <v>0</v>
      </c>
      <c r="AR49" s="648">
        <f t="shared" si="19"/>
        <v>0</v>
      </c>
      <c r="AS49" s="648">
        <f t="shared" si="20"/>
        <v>0</v>
      </c>
      <c r="AT49" s="648">
        <f t="shared" si="21"/>
        <v>0</v>
      </c>
      <c r="AU49" s="648">
        <f t="shared" si="22"/>
        <v>0</v>
      </c>
      <c r="AV49" s="648">
        <f t="shared" si="23"/>
        <v>0</v>
      </c>
      <c r="AW49" s="648">
        <f t="shared" si="24"/>
        <v>0</v>
      </c>
      <c r="AX49" s="648">
        <f t="shared" si="25"/>
        <v>0</v>
      </c>
      <c r="AY49" s="634">
        <v>0</v>
      </c>
      <c r="AZ49" s="616"/>
      <c r="BA49" s="619">
        <f>IF(O50=0,0,             IF(ISNUMBER(AZ49),AZ49,             IF(ISTEXT(AZ49),INDEX(AQ49:AX49,MATCH(AZ49,$AQ$17:$AX$17,0)),           IF(AY49="INT",_xll.qInterp(O50,AA49:AH49,AQ49:AX49),       INDEX(AQ49:AX49,MATCH(AY49,$AQ$17:$AX$17,0))))))</f>
        <v>0</v>
      </c>
      <c r="BB49" s="674">
        <v>100</v>
      </c>
      <c r="BC49" s="666">
        <f t="shared" si="3"/>
        <v>0</v>
      </c>
      <c r="BD49" s="268">
        <f>IF($O50=0,0,                IF(LEFT(DCC_Leg1_Fixed,2)="1/",uEvaluate(DCC_Leg1_Fixed),        _xll.qDateYears($O49,$O50,DCC_Leg1_Fixed)))</f>
        <v>0</v>
      </c>
      <c r="BE49" s="268">
        <f>IF($O50,_xll.qDateYears($O49,$O50,DCC_Leg1_Float),0)</f>
        <v>0</v>
      </c>
      <c r="BG49" s="332">
        <f t="shared" si="26"/>
        <v>0</v>
      </c>
      <c r="BH49" s="357">
        <f t="shared" si="27"/>
        <v>0</v>
      </c>
      <c r="BI49" s="527"/>
      <c r="BK49" s="324">
        <f t="shared" si="33"/>
        <v>0</v>
      </c>
      <c r="BM49" s="338"/>
      <c r="BN49" s="121">
        <v>0</v>
      </c>
      <c r="BO49" s="755">
        <f t="shared" si="4"/>
        <v>0</v>
      </c>
      <c r="BP49" s="339">
        <v>0</v>
      </c>
      <c r="BQ49" s="890">
        <f>IF(BN50=0,0,         IF(OR(Currency2="AUD",Currency1="NZD",Currency2="GBP"),BN49,   _xll.qDateNext(BN49,"-2b",,,IF(Currency2="EUR","TGT","LON"))))</f>
        <v>0</v>
      </c>
      <c r="BR49" s="879" t="str">
        <v/>
      </c>
      <c r="BS49" s="879" t="str">
        <v/>
      </c>
      <c r="BT49" s="879" t="str">
        <v/>
      </c>
      <c r="BU49" s="879" t="str">
        <v/>
      </c>
      <c r="BV49" s="879" t="str">
        <v/>
      </c>
      <c r="BW49" s="879" t="str">
        <v/>
      </c>
      <c r="BX49" s="879" t="str">
        <v/>
      </c>
      <c r="BY49" s="879" t="str">
        <v/>
      </c>
      <c r="BZ49" s="882">
        <f>IF($BN50=0,0,        _xll.qDateNext($BN49,BZ$17,$CG$16,TRUE,Currency2))</f>
        <v>0</v>
      </c>
      <c r="CA49" s="882">
        <f>IF($BN50=0,0,        _xll.qDateNext($BN49,CA$17,$CG$16,TRUE,Currency2))</f>
        <v>0</v>
      </c>
      <c r="CB49" s="882">
        <f>IF($BN50=0,0,        _xll.qDateNext($BN49,CB$17,$CG$16,TRUE,Currency2))</f>
        <v>0</v>
      </c>
      <c r="CC49" s="882">
        <f>IF($BN50=0,0,        _xll.qDateNext($BN49,CC$17,$CG$16,TRUE,Currency2))</f>
        <v>0</v>
      </c>
      <c r="CD49" s="882">
        <f>IF($BN50=0,0,        _xll.qDateNext($BN49,CD$17,$CG$16,TRUE,Currency2))</f>
        <v>0</v>
      </c>
      <c r="CE49" s="882">
        <f>IF($BN50=0,0,        _xll.qDateNext($BN49,CE$17,$CG$16,TRUE,Currency2))</f>
        <v>0</v>
      </c>
      <c r="CF49" s="882">
        <f>IF($BN50=0,0,        _xll.qDateNext($BN49,CF$17,$CG$16,TRUE,Currency2))</f>
        <v>0</v>
      </c>
      <c r="CG49" s="882">
        <f>IF($BN50=0,0,        _xll.qDateNext($BN49,CG$17,$CG$16,TRUE,Currency2))</f>
        <v>0</v>
      </c>
      <c r="CH49" s="886">
        <v>0</v>
      </c>
      <c r="CI49" s="886">
        <v>0</v>
      </c>
      <c r="CJ49" s="886">
        <v>0</v>
      </c>
      <c r="CK49" s="886">
        <v>0</v>
      </c>
      <c r="CL49" s="886">
        <f t="shared" si="5"/>
        <v>0</v>
      </c>
      <c r="CM49" s="886">
        <f t="shared" si="28"/>
        <v>0</v>
      </c>
      <c r="CN49" s="886">
        <v>0</v>
      </c>
      <c r="CO49" s="886">
        <v>0</v>
      </c>
      <c r="CP49" s="648">
        <f t="shared" si="6"/>
        <v>0</v>
      </c>
      <c r="CQ49" s="648">
        <f t="shared" si="7"/>
        <v>0</v>
      </c>
      <c r="CR49" s="648">
        <f t="shared" si="8"/>
        <v>0</v>
      </c>
      <c r="CS49" s="648">
        <f t="shared" si="9"/>
        <v>0</v>
      </c>
      <c r="CT49" s="648">
        <f t="shared" si="10"/>
        <v>0</v>
      </c>
      <c r="CU49" s="648">
        <f t="shared" si="11"/>
        <v>0</v>
      </c>
      <c r="CV49" s="648">
        <f t="shared" si="12"/>
        <v>0</v>
      </c>
      <c r="CW49" s="648">
        <f t="shared" si="13"/>
        <v>0</v>
      </c>
      <c r="CX49" s="634">
        <v>0</v>
      </c>
      <c r="CY49" s="616"/>
      <c r="CZ49" s="619">
        <f>IF(BN50=0,0,             IF(ISNUMBER(CY49),CY49,             IF(ISTEXT(CY49),INDEX(CP49:CW49,MATCH(CY49,$CP$17:$CW$17,0)),           IF(CX49="INT",_xll.qInterp(BN50,BZ49:CG49,CP49:CW49),       INDEX(CP49:CW49,MATCH(CX49,$CP$17:$CW$17,0))))))</f>
        <v>0</v>
      </c>
      <c r="DA49" s="755">
        <f t="shared" si="14"/>
        <v>0</v>
      </c>
      <c r="DB49" s="387">
        <f t="shared" si="15"/>
        <v>0</v>
      </c>
      <c r="DC49" s="268">
        <f>IF($BN50=0,0,         IF(LEFT(DCC_Leg2_Fixed,2)="1/",uEvaluate(DCC_Leg2_Fixed),         _xll.qDateYears($BN49,$BN50,DCC_Leg2_Fixed)))</f>
        <v>0</v>
      </c>
      <c r="DD49" s="268">
        <f>IF($BN50,_xll.qDateYears($BN49,$BN50,DCC_Leg2_Float),0)</f>
        <v>0</v>
      </c>
      <c r="DF49" s="332">
        <f t="shared" si="29"/>
        <v>0</v>
      </c>
      <c r="DG49" s="357">
        <f t="shared" si="30"/>
        <v>0</v>
      </c>
      <c r="DH49" s="527"/>
      <c r="DJ49" s="324">
        <f t="shared" si="34"/>
        <v>0</v>
      </c>
      <c r="DK49" s="529"/>
      <c r="DL49" s="338"/>
    </row>
    <row r="50" spans="2:116">
      <c r="O50" s="121">
        <v>0</v>
      </c>
      <c r="P50" s="755">
        <f t="shared" si="0"/>
        <v>0</v>
      </c>
      <c r="Q50" s="125">
        <v>0</v>
      </c>
      <c r="R50" s="890">
        <f>IF(O51=0,0,         IF(OR(Currency1="AUD",Currency1="NZD",Currency1="GBP"),O50,   _xll.qDateNext(O50,"-2b",,,IF(Currency1="EUR","TGT","LON"))))</f>
        <v>0</v>
      </c>
      <c r="S50" s="879" t="str">
        <v/>
      </c>
      <c r="T50" s="879" t="str">
        <v/>
      </c>
      <c r="U50" s="879" t="str">
        <v/>
      </c>
      <c r="V50" s="879" t="str">
        <v/>
      </c>
      <c r="W50" s="879" t="str">
        <v/>
      </c>
      <c r="X50" s="879" t="str">
        <v/>
      </c>
      <c r="Y50" s="879" t="str">
        <v/>
      </c>
      <c r="Z50" s="879" t="str">
        <v/>
      </c>
      <c r="AA50" s="882">
        <f>IF($O51=0,0,        _xll.qDateNext($O50,AA$17,$AH$16,TRUE,Currency1))</f>
        <v>0</v>
      </c>
      <c r="AB50" s="882">
        <f>IF($O51=0,0,        _xll.qDateNext($O50,AB$17,$AH$16,TRUE,Currency1))</f>
        <v>0</v>
      </c>
      <c r="AC50" s="882">
        <f>IF($O51=0,0,        _xll.qDateNext($O50,AC$17,$AH$16,TRUE,Currency1))</f>
        <v>0</v>
      </c>
      <c r="AD50" s="882">
        <f>IF($O51=0,0,        _xll.qDateNext($O50,AD$17,$AH$16,TRUE,Currency1))</f>
        <v>0</v>
      </c>
      <c r="AE50" s="882">
        <f>IF($O51=0,0,        _xll.qDateNext($O50,AE$17,$AH$16,TRUE,Currency1))</f>
        <v>0</v>
      </c>
      <c r="AF50" s="882">
        <f>IF($O51=0,0,        _xll.qDateNext($O50,AF$17,$AH$16,TRUE,Currency1))</f>
        <v>0</v>
      </c>
      <c r="AG50" s="882">
        <f>IF($O51=0,0,        _xll.qDateNext($O50,AG$17,$AH$16,TRUE,Currency1))</f>
        <v>0</v>
      </c>
      <c r="AH50" s="882">
        <f>IF($O51=0,0,        _xll.qDateNext($O50,AH$17,$AH$16,TRUE,Currency1))</f>
        <v>0</v>
      </c>
      <c r="AI50" s="886">
        <f>IF($O51=0,0,           IF(FRM,_xll.qGetFwdRate(AI$14,$O50,AA50,"T",DCC_Leg1_Float),_xll.qGetFwdRate(AI$14,$O50,$O51,"T",DCC_Leg1_Float)))</f>
        <v>0</v>
      </c>
      <c r="AJ50" s="886">
        <f>IF($O51=0,0,           IF(FRM,_xll.qGetFwdRate(AJ$14,$O50,AB50,"T",DCC_Leg1_Float),_xll.qGetFwdRate(AJ$14,$O50,$O51,"T",DCC_Leg1_Float)))</f>
        <v>0</v>
      </c>
      <c r="AK50" s="886">
        <f t="shared" si="1"/>
        <v>0</v>
      </c>
      <c r="AL50" s="886">
        <f>IF($O51=0,0,           IF(FRM,_xll.qGetFwdRate(AL$14,$O50,AD50,"T",DCC_Leg1_Float),_xll.qGetFwdRate(AL$14,$O50,$O51,"T",DCC_Leg1_Float)))</f>
        <v>0</v>
      </c>
      <c r="AM50" s="886">
        <f t="shared" si="16"/>
        <v>0</v>
      </c>
      <c r="AN50" s="886">
        <f t="shared" si="17"/>
        <v>0</v>
      </c>
      <c r="AO50" s="886">
        <f>IF($O51=0,0,           IF(FRM,_xll.qGetFwdRate(AO$14,$O50,AG50,"T",DCC_Leg1_Float),_xll.qGetFwdRate(AO$14,$O50,$O51,"T",DCC_Leg1_Float)))</f>
        <v>0</v>
      </c>
      <c r="AP50" s="886">
        <f>IF($O51=0,0,           IF(FRM,_xll.qGetFwdRate(AP$14,$O50,AH50,"T",DCC_Leg1_Float),_xll.qGetFwdRate(AP$14,$O50,$O51,"T",DCC_Leg1_Float)))</f>
        <v>0</v>
      </c>
      <c r="AQ50" s="648">
        <f t="shared" si="18"/>
        <v>0</v>
      </c>
      <c r="AR50" s="648">
        <f t="shared" si="19"/>
        <v>0</v>
      </c>
      <c r="AS50" s="648">
        <f t="shared" si="20"/>
        <v>0</v>
      </c>
      <c r="AT50" s="648">
        <f t="shared" si="21"/>
        <v>0</v>
      </c>
      <c r="AU50" s="648">
        <f t="shared" si="22"/>
        <v>0</v>
      </c>
      <c r="AV50" s="648">
        <f t="shared" si="23"/>
        <v>0</v>
      </c>
      <c r="AW50" s="648">
        <f t="shared" si="24"/>
        <v>0</v>
      </c>
      <c r="AX50" s="648">
        <f t="shared" si="25"/>
        <v>0</v>
      </c>
      <c r="AY50" s="634">
        <v>0</v>
      </c>
      <c r="AZ50" s="616"/>
      <c r="BA50" s="619">
        <f>IF(O51=0,0,             IF(ISNUMBER(AZ50),AZ50,             IF(ISTEXT(AZ50),INDEX(AQ50:AX50,MATCH(AZ50,$AQ$17:$AX$17,0)),           IF(AY50="INT",_xll.qInterp(O51,AA50:AH50,AQ50:AX50),       INDEX(AQ50:AX50,MATCH(AY50,$AQ$17:$AX$17,0))))))</f>
        <v>0</v>
      </c>
      <c r="BB50" s="674">
        <v>100</v>
      </c>
      <c r="BC50" s="666">
        <f t="shared" si="3"/>
        <v>0</v>
      </c>
      <c r="BD50" s="268">
        <f>IF($O51=0,0,                IF(LEFT(DCC_Leg1_Fixed,2)="1/",uEvaluate(DCC_Leg1_Fixed),        _xll.qDateYears($O50,$O51,DCC_Leg1_Fixed)))</f>
        <v>0</v>
      </c>
      <c r="BE50" s="268">
        <f>IF($O51,_xll.qDateYears($O50,$O51,DCC_Leg1_Float),0)</f>
        <v>0</v>
      </c>
      <c r="BG50" s="332">
        <f t="shared" si="26"/>
        <v>0</v>
      </c>
      <c r="BH50" s="357">
        <f t="shared" si="27"/>
        <v>0</v>
      </c>
      <c r="BI50" s="527"/>
      <c r="BK50" s="324">
        <f t="shared" si="33"/>
        <v>0</v>
      </c>
      <c r="BM50" s="338"/>
      <c r="BN50" s="121">
        <v>0</v>
      </c>
      <c r="BO50" s="755">
        <f t="shared" si="4"/>
        <v>0</v>
      </c>
      <c r="BP50" s="339">
        <v>0</v>
      </c>
      <c r="BQ50" s="890">
        <f>IF(BN51=0,0,         IF(OR(Currency2="AUD",Currency1="NZD",Currency2="GBP"),BN50,   _xll.qDateNext(BN50,"-2b",,,IF(Currency2="EUR","TGT","LON"))))</f>
        <v>0</v>
      </c>
      <c r="BR50" s="879" t="str">
        <v/>
      </c>
      <c r="BS50" s="879" t="str">
        <v/>
      </c>
      <c r="BT50" s="879" t="str">
        <v/>
      </c>
      <c r="BU50" s="879" t="str">
        <v/>
      </c>
      <c r="BV50" s="879" t="str">
        <v/>
      </c>
      <c r="BW50" s="879" t="str">
        <v/>
      </c>
      <c r="BX50" s="879" t="str">
        <v/>
      </c>
      <c r="BY50" s="879" t="str">
        <v/>
      </c>
      <c r="BZ50" s="882">
        <f>IF($BN51=0,0,        _xll.qDateNext($BN50,BZ$17,$CG$16,TRUE,Currency2))</f>
        <v>0</v>
      </c>
      <c r="CA50" s="882">
        <f>IF($BN51=0,0,        _xll.qDateNext($BN50,CA$17,$CG$16,TRUE,Currency2))</f>
        <v>0</v>
      </c>
      <c r="CB50" s="882">
        <f>IF($BN51=0,0,        _xll.qDateNext($BN50,CB$17,$CG$16,TRUE,Currency2))</f>
        <v>0</v>
      </c>
      <c r="CC50" s="882">
        <f>IF($BN51=0,0,        _xll.qDateNext($BN50,CC$17,$CG$16,TRUE,Currency2))</f>
        <v>0</v>
      </c>
      <c r="CD50" s="882">
        <f>IF($BN51=0,0,        _xll.qDateNext($BN50,CD$17,$CG$16,TRUE,Currency2))</f>
        <v>0</v>
      </c>
      <c r="CE50" s="882">
        <f>IF($BN51=0,0,        _xll.qDateNext($BN50,CE$17,$CG$16,TRUE,Currency2))</f>
        <v>0</v>
      </c>
      <c r="CF50" s="882">
        <f>IF($BN51=0,0,        _xll.qDateNext($BN50,CF$17,$CG$16,TRUE,Currency2))</f>
        <v>0</v>
      </c>
      <c r="CG50" s="882">
        <f>IF($BN51=0,0,        _xll.qDateNext($BN50,CG$17,$CG$16,TRUE,Currency2))</f>
        <v>0</v>
      </c>
      <c r="CH50" s="886">
        <v>0</v>
      </c>
      <c r="CI50" s="886">
        <v>0</v>
      </c>
      <c r="CJ50" s="886">
        <v>0</v>
      </c>
      <c r="CK50" s="886">
        <v>0</v>
      </c>
      <c r="CL50" s="886">
        <f t="shared" si="5"/>
        <v>0</v>
      </c>
      <c r="CM50" s="886">
        <f t="shared" si="28"/>
        <v>0</v>
      </c>
      <c r="CN50" s="886">
        <v>0</v>
      </c>
      <c r="CO50" s="886">
        <v>0</v>
      </c>
      <c r="CP50" s="648">
        <f t="shared" si="6"/>
        <v>0</v>
      </c>
      <c r="CQ50" s="648">
        <f t="shared" si="7"/>
        <v>0</v>
      </c>
      <c r="CR50" s="648">
        <f t="shared" si="8"/>
        <v>0</v>
      </c>
      <c r="CS50" s="648">
        <f t="shared" si="9"/>
        <v>0</v>
      </c>
      <c r="CT50" s="648">
        <f t="shared" si="10"/>
        <v>0</v>
      </c>
      <c r="CU50" s="648">
        <f t="shared" si="11"/>
        <v>0</v>
      </c>
      <c r="CV50" s="648">
        <f t="shared" si="12"/>
        <v>0</v>
      </c>
      <c r="CW50" s="648">
        <f t="shared" si="13"/>
        <v>0</v>
      </c>
      <c r="CX50" s="634">
        <v>0</v>
      </c>
      <c r="CY50" s="616"/>
      <c r="CZ50" s="619">
        <f>IF(BN51=0,0,             IF(ISNUMBER(CY50),CY50,             IF(ISTEXT(CY50),INDEX(CP50:CW50,MATCH(CY50,$CP$17:$CW$17,0)),           IF(CX50="INT",_xll.qInterp(BN51,BZ50:CG50,CP50:CW50),       INDEX(CP50:CW50,MATCH(CX50,$CP$17:$CW$17,0))))))</f>
        <v>0</v>
      </c>
      <c r="DA50" s="755">
        <f t="shared" si="14"/>
        <v>0</v>
      </c>
      <c r="DB50" s="387">
        <f t="shared" si="15"/>
        <v>0</v>
      </c>
      <c r="DC50" s="268">
        <f>IF($BN51=0,0,         IF(LEFT(DCC_Leg2_Fixed,2)="1/",uEvaluate(DCC_Leg2_Fixed),         _xll.qDateYears($BN50,$BN51,DCC_Leg2_Fixed)))</f>
        <v>0</v>
      </c>
      <c r="DD50" s="268">
        <f>IF($BN51,_xll.qDateYears($BN50,$BN51,DCC_Leg2_Float),0)</f>
        <v>0</v>
      </c>
      <c r="DF50" s="332">
        <f t="shared" si="29"/>
        <v>0</v>
      </c>
      <c r="DG50" s="357">
        <f t="shared" si="30"/>
        <v>0</v>
      </c>
      <c r="DH50" s="527"/>
      <c r="DJ50" s="324">
        <f t="shared" si="34"/>
        <v>0</v>
      </c>
      <c r="DK50" s="529"/>
      <c r="DL50" s="338"/>
    </row>
    <row r="51" spans="2:116">
      <c r="O51" s="121">
        <v>0</v>
      </c>
      <c r="P51" s="755">
        <f t="shared" si="0"/>
        <v>0</v>
      </c>
      <c r="Q51" s="125">
        <v>0</v>
      </c>
      <c r="R51" s="890">
        <f>IF(O52=0,0,         IF(OR(Currency1="AUD",Currency1="NZD",Currency1="GBP"),O51,   _xll.qDateNext(O51,"-2b",,,IF(Currency1="EUR","TGT","LON"))))</f>
        <v>0</v>
      </c>
      <c r="S51" s="879" t="str">
        <v/>
      </c>
      <c r="T51" s="879" t="str">
        <v/>
      </c>
      <c r="U51" s="879" t="str">
        <v/>
      </c>
      <c r="V51" s="879" t="str">
        <v/>
      </c>
      <c r="W51" s="879" t="str">
        <v/>
      </c>
      <c r="X51" s="879" t="str">
        <v/>
      </c>
      <c r="Y51" s="879" t="str">
        <v/>
      </c>
      <c r="Z51" s="879" t="str">
        <v/>
      </c>
      <c r="AA51" s="882">
        <f>IF($O52=0,0,        _xll.qDateNext($O51,AA$17,$AH$16,TRUE,Currency1))</f>
        <v>0</v>
      </c>
      <c r="AB51" s="882">
        <f>IF($O52=0,0,        _xll.qDateNext($O51,AB$17,$AH$16,TRUE,Currency1))</f>
        <v>0</v>
      </c>
      <c r="AC51" s="882">
        <f>IF($O52=0,0,        _xll.qDateNext($O51,AC$17,$AH$16,TRUE,Currency1))</f>
        <v>0</v>
      </c>
      <c r="AD51" s="882">
        <f>IF($O52=0,0,        _xll.qDateNext($O51,AD$17,$AH$16,TRUE,Currency1))</f>
        <v>0</v>
      </c>
      <c r="AE51" s="882">
        <f>IF($O52=0,0,        _xll.qDateNext($O51,AE$17,$AH$16,TRUE,Currency1))</f>
        <v>0</v>
      </c>
      <c r="AF51" s="882">
        <f>IF($O52=0,0,        _xll.qDateNext($O51,AF$17,$AH$16,TRUE,Currency1))</f>
        <v>0</v>
      </c>
      <c r="AG51" s="882">
        <f>IF($O52=0,0,        _xll.qDateNext($O51,AG$17,$AH$16,TRUE,Currency1))</f>
        <v>0</v>
      </c>
      <c r="AH51" s="882">
        <f>IF($O52=0,0,        _xll.qDateNext($O51,AH$17,$AH$16,TRUE,Currency1))</f>
        <v>0</v>
      </c>
      <c r="AI51" s="886">
        <f>IF($O52=0,0,           IF(FRM,_xll.qGetFwdRate(AI$14,$O51,AA51,"T",DCC_Leg1_Float),_xll.qGetFwdRate(AI$14,$O51,$O52,"T",DCC_Leg1_Float)))</f>
        <v>0</v>
      </c>
      <c r="AJ51" s="886">
        <f>IF($O52=0,0,           IF(FRM,_xll.qGetFwdRate(AJ$14,$O51,AB51,"T",DCC_Leg1_Float),_xll.qGetFwdRate(AJ$14,$O51,$O52,"T",DCC_Leg1_Float)))</f>
        <v>0</v>
      </c>
      <c r="AK51" s="886">
        <f t="shared" si="1"/>
        <v>0</v>
      </c>
      <c r="AL51" s="886">
        <f>IF($O52=0,0,           IF(FRM,_xll.qGetFwdRate(AL$14,$O51,AD51,"T",DCC_Leg1_Float),_xll.qGetFwdRate(AL$14,$O51,$O52,"T",DCC_Leg1_Float)))</f>
        <v>0</v>
      </c>
      <c r="AM51" s="886">
        <f t="shared" si="16"/>
        <v>0</v>
      </c>
      <c r="AN51" s="886">
        <f t="shared" si="17"/>
        <v>0</v>
      </c>
      <c r="AO51" s="886">
        <f>IF($O52=0,0,           IF(FRM,_xll.qGetFwdRate(AO$14,$O51,AG51,"T",DCC_Leg1_Float),_xll.qGetFwdRate(AO$14,$O51,$O52,"T",DCC_Leg1_Float)))</f>
        <v>0</v>
      </c>
      <c r="AP51" s="886">
        <f>IF($O52=0,0,           IF(FRM,_xll.qGetFwdRate(AP$14,$O51,AH51,"T",DCC_Leg1_Float),_xll.qGetFwdRate(AP$14,$O51,$O52,"T",DCC_Leg1_Float)))</f>
        <v>0</v>
      </c>
      <c r="AQ51" s="648">
        <f t="shared" si="18"/>
        <v>0</v>
      </c>
      <c r="AR51" s="648">
        <f t="shared" si="19"/>
        <v>0</v>
      </c>
      <c r="AS51" s="648">
        <f t="shared" si="20"/>
        <v>0</v>
      </c>
      <c r="AT51" s="648">
        <f t="shared" si="21"/>
        <v>0</v>
      </c>
      <c r="AU51" s="648">
        <f t="shared" si="22"/>
        <v>0</v>
      </c>
      <c r="AV51" s="648">
        <f t="shared" si="23"/>
        <v>0</v>
      </c>
      <c r="AW51" s="648">
        <f t="shared" si="24"/>
        <v>0</v>
      </c>
      <c r="AX51" s="648">
        <f t="shared" si="25"/>
        <v>0</v>
      </c>
      <c r="AY51" s="634">
        <v>0</v>
      </c>
      <c r="AZ51" s="616"/>
      <c r="BA51" s="619">
        <f>IF(O52=0,0,             IF(ISNUMBER(AZ51),AZ51,             IF(ISTEXT(AZ51),INDEX(AQ51:AX51,MATCH(AZ51,$AQ$17:$AX$17,0)),           IF(AY51="INT",_xll.qInterp(O52,AA51:AH51,AQ51:AX51),       INDEX(AQ51:AX51,MATCH(AY51,$AQ$17:$AX$17,0))))))</f>
        <v>0</v>
      </c>
      <c r="BB51" s="674">
        <v>100</v>
      </c>
      <c r="BC51" s="666">
        <f t="shared" si="3"/>
        <v>0</v>
      </c>
      <c r="BD51" s="268">
        <f>IF($O52=0,0,                IF(LEFT(DCC_Leg1_Fixed,2)="1/",uEvaluate(DCC_Leg1_Fixed),        _xll.qDateYears($O51,$O52,DCC_Leg1_Fixed)))</f>
        <v>0</v>
      </c>
      <c r="BE51" s="268">
        <f>IF($O52,_xll.qDateYears($O51,$O52,DCC_Leg1_Float),0)</f>
        <v>0</v>
      </c>
      <c r="BG51" s="332">
        <f t="shared" si="26"/>
        <v>0</v>
      </c>
      <c r="BH51" s="357">
        <f t="shared" si="27"/>
        <v>0</v>
      </c>
      <c r="BI51" s="527"/>
      <c r="BK51" s="324">
        <f t="shared" si="33"/>
        <v>0</v>
      </c>
      <c r="BM51" s="338"/>
      <c r="BN51" s="121">
        <v>0</v>
      </c>
      <c r="BO51" s="755">
        <f t="shared" si="4"/>
        <v>0</v>
      </c>
      <c r="BP51" s="339">
        <v>0</v>
      </c>
      <c r="BQ51" s="890">
        <f>IF(BN52=0,0,         IF(OR(Currency2="AUD",Currency1="NZD",Currency2="GBP"),BN51,   _xll.qDateNext(BN51,"-2b",,,IF(Currency2="EUR","TGT","LON"))))</f>
        <v>0</v>
      </c>
      <c r="BR51" s="879" t="str">
        <v/>
      </c>
      <c r="BS51" s="879" t="str">
        <v/>
      </c>
      <c r="BT51" s="879" t="str">
        <v/>
      </c>
      <c r="BU51" s="879" t="str">
        <v/>
      </c>
      <c r="BV51" s="879" t="str">
        <v/>
      </c>
      <c r="BW51" s="879" t="str">
        <v/>
      </c>
      <c r="BX51" s="879" t="str">
        <v/>
      </c>
      <c r="BY51" s="879" t="str">
        <v/>
      </c>
      <c r="BZ51" s="882">
        <f>IF($BN52=0,0,        _xll.qDateNext($BN51,BZ$17,$CG$16,TRUE,Currency2))</f>
        <v>0</v>
      </c>
      <c r="CA51" s="882">
        <f>IF($BN52=0,0,        _xll.qDateNext($BN51,CA$17,$CG$16,TRUE,Currency2))</f>
        <v>0</v>
      </c>
      <c r="CB51" s="882">
        <f>IF($BN52=0,0,        _xll.qDateNext($BN51,CB$17,$CG$16,TRUE,Currency2))</f>
        <v>0</v>
      </c>
      <c r="CC51" s="882">
        <f>IF($BN52=0,0,        _xll.qDateNext($BN51,CC$17,$CG$16,TRUE,Currency2))</f>
        <v>0</v>
      </c>
      <c r="CD51" s="882">
        <f>IF($BN52=0,0,        _xll.qDateNext($BN51,CD$17,$CG$16,TRUE,Currency2))</f>
        <v>0</v>
      </c>
      <c r="CE51" s="882">
        <f>IF($BN52=0,0,        _xll.qDateNext($BN51,CE$17,$CG$16,TRUE,Currency2))</f>
        <v>0</v>
      </c>
      <c r="CF51" s="882">
        <f>IF($BN52=0,0,        _xll.qDateNext($BN51,CF$17,$CG$16,TRUE,Currency2))</f>
        <v>0</v>
      </c>
      <c r="CG51" s="882">
        <f>IF($BN52=0,0,        _xll.qDateNext($BN51,CG$17,$CG$16,TRUE,Currency2))</f>
        <v>0</v>
      </c>
      <c r="CH51" s="886">
        <v>0</v>
      </c>
      <c r="CI51" s="886">
        <v>0</v>
      </c>
      <c r="CJ51" s="886">
        <v>0</v>
      </c>
      <c r="CK51" s="886">
        <v>0</v>
      </c>
      <c r="CL51" s="886">
        <f t="shared" si="5"/>
        <v>0</v>
      </c>
      <c r="CM51" s="886">
        <f t="shared" si="28"/>
        <v>0</v>
      </c>
      <c r="CN51" s="886">
        <v>0</v>
      </c>
      <c r="CO51" s="886">
        <v>0</v>
      </c>
      <c r="CP51" s="648">
        <f t="shared" si="6"/>
        <v>0</v>
      </c>
      <c r="CQ51" s="648">
        <f t="shared" si="7"/>
        <v>0</v>
      </c>
      <c r="CR51" s="648">
        <f t="shared" si="8"/>
        <v>0</v>
      </c>
      <c r="CS51" s="648">
        <f t="shared" si="9"/>
        <v>0</v>
      </c>
      <c r="CT51" s="648">
        <f t="shared" si="10"/>
        <v>0</v>
      </c>
      <c r="CU51" s="648">
        <f t="shared" si="11"/>
        <v>0</v>
      </c>
      <c r="CV51" s="648">
        <f t="shared" si="12"/>
        <v>0</v>
      </c>
      <c r="CW51" s="648">
        <f t="shared" si="13"/>
        <v>0</v>
      </c>
      <c r="CX51" s="634">
        <v>0</v>
      </c>
      <c r="CY51" s="616"/>
      <c r="CZ51" s="619">
        <f>IF(BN52=0,0,             IF(ISNUMBER(CY51),CY51,             IF(ISTEXT(CY51),INDEX(CP51:CW51,MATCH(CY51,$CP$17:$CW$17,0)),           IF(CX51="INT",_xll.qInterp(BN52,BZ51:CG51,CP51:CW51),       INDEX(CP51:CW51,MATCH(CX51,$CP$17:$CW$17,0))))))</f>
        <v>0</v>
      </c>
      <c r="DA51" s="755">
        <f t="shared" si="14"/>
        <v>0</v>
      </c>
      <c r="DB51" s="387">
        <f t="shared" si="15"/>
        <v>0</v>
      </c>
      <c r="DC51" s="268">
        <f>IF($BN52=0,0,         IF(LEFT(DCC_Leg2_Fixed,2)="1/",uEvaluate(DCC_Leg2_Fixed),         _xll.qDateYears($BN51,$BN52,DCC_Leg2_Fixed)))</f>
        <v>0</v>
      </c>
      <c r="DD51" s="268">
        <f>IF($BN52,_xll.qDateYears($BN51,$BN52,DCC_Leg2_Float),0)</f>
        <v>0</v>
      </c>
      <c r="DF51" s="332">
        <f t="shared" si="29"/>
        <v>0</v>
      </c>
      <c r="DG51" s="357">
        <f t="shared" si="30"/>
        <v>0</v>
      </c>
      <c r="DH51" s="527"/>
      <c r="DJ51" s="324">
        <f t="shared" si="34"/>
        <v>0</v>
      </c>
      <c r="DK51" s="529"/>
      <c r="DL51" s="338"/>
    </row>
    <row r="52" spans="2:116">
      <c r="O52" s="121">
        <v>0</v>
      </c>
      <c r="P52" s="755">
        <f t="shared" si="0"/>
        <v>0</v>
      </c>
      <c r="Q52" s="125">
        <v>0</v>
      </c>
      <c r="R52" s="890">
        <f>IF(O53=0,0,         IF(OR(Currency1="AUD",Currency1="NZD",Currency1="GBP"),O52,   _xll.qDateNext(O52,"-2b",,,IF(Currency1="EUR","TGT","LON"))))</f>
        <v>0</v>
      </c>
      <c r="S52" s="879" t="str">
        <v/>
      </c>
      <c r="T52" s="879" t="str">
        <v/>
      </c>
      <c r="U52" s="879" t="str">
        <v/>
      </c>
      <c r="V52" s="879" t="str">
        <v/>
      </c>
      <c r="W52" s="879" t="str">
        <v/>
      </c>
      <c r="X52" s="879" t="str">
        <v/>
      </c>
      <c r="Y52" s="879" t="str">
        <v/>
      </c>
      <c r="Z52" s="879" t="str">
        <v/>
      </c>
      <c r="AA52" s="882">
        <f>IF($O53=0,0,        _xll.qDateNext($O52,AA$17,$AH$16,TRUE,Currency1))</f>
        <v>0</v>
      </c>
      <c r="AB52" s="882">
        <f>IF($O53=0,0,        _xll.qDateNext($O52,AB$17,$AH$16,TRUE,Currency1))</f>
        <v>0</v>
      </c>
      <c r="AC52" s="882">
        <f>IF($O53=0,0,        _xll.qDateNext($O52,AC$17,$AH$16,TRUE,Currency1))</f>
        <v>0</v>
      </c>
      <c r="AD52" s="882">
        <f>IF($O53=0,0,        _xll.qDateNext($O52,AD$17,$AH$16,TRUE,Currency1))</f>
        <v>0</v>
      </c>
      <c r="AE52" s="882">
        <f>IF($O53=0,0,        _xll.qDateNext($O52,AE$17,$AH$16,TRUE,Currency1))</f>
        <v>0</v>
      </c>
      <c r="AF52" s="882">
        <f>IF($O53=0,0,        _xll.qDateNext($O52,AF$17,$AH$16,TRUE,Currency1))</f>
        <v>0</v>
      </c>
      <c r="AG52" s="882">
        <f>IF($O53=0,0,        _xll.qDateNext($O52,AG$17,$AH$16,TRUE,Currency1))</f>
        <v>0</v>
      </c>
      <c r="AH52" s="882">
        <f>IF($O53=0,0,        _xll.qDateNext($O52,AH$17,$AH$16,TRUE,Currency1))</f>
        <v>0</v>
      </c>
      <c r="AI52" s="886">
        <f>IF($O53=0,0,           IF(FRM,_xll.qGetFwdRate(AI$14,$O52,AA52,"T",DCC_Leg1_Float),_xll.qGetFwdRate(AI$14,$O52,$O53,"T",DCC_Leg1_Float)))</f>
        <v>0</v>
      </c>
      <c r="AJ52" s="886">
        <f>IF($O53=0,0,           IF(FRM,_xll.qGetFwdRate(AJ$14,$O52,AB52,"T",DCC_Leg1_Float),_xll.qGetFwdRate(AJ$14,$O52,$O53,"T",DCC_Leg1_Float)))</f>
        <v>0</v>
      </c>
      <c r="AK52" s="886">
        <f t="shared" si="1"/>
        <v>0</v>
      </c>
      <c r="AL52" s="886">
        <f>IF($O53=0,0,           IF(FRM,_xll.qGetFwdRate(AL$14,$O52,AD52,"T",DCC_Leg1_Float),_xll.qGetFwdRate(AL$14,$O52,$O53,"T",DCC_Leg1_Float)))</f>
        <v>0</v>
      </c>
      <c r="AM52" s="886">
        <f t="shared" si="16"/>
        <v>0</v>
      </c>
      <c r="AN52" s="886">
        <f t="shared" si="17"/>
        <v>0</v>
      </c>
      <c r="AO52" s="886">
        <f>IF($O53=0,0,           IF(FRM,_xll.qGetFwdRate(AO$14,$O52,AG52,"T",DCC_Leg1_Float),_xll.qGetFwdRate(AO$14,$O52,$O53,"T",DCC_Leg1_Float)))</f>
        <v>0</v>
      </c>
      <c r="AP52" s="886">
        <f>IF($O53=0,0,           IF(FRM,_xll.qGetFwdRate(AP$14,$O52,AH52,"T",DCC_Leg1_Float),_xll.qGetFwdRate(AP$14,$O52,$O53,"T",DCC_Leg1_Float)))</f>
        <v>0</v>
      </c>
      <c r="AQ52" s="648">
        <f t="shared" si="18"/>
        <v>0</v>
      </c>
      <c r="AR52" s="648">
        <f t="shared" si="19"/>
        <v>0</v>
      </c>
      <c r="AS52" s="648">
        <f t="shared" si="20"/>
        <v>0</v>
      </c>
      <c r="AT52" s="648">
        <f t="shared" si="21"/>
        <v>0</v>
      </c>
      <c r="AU52" s="648">
        <f t="shared" si="22"/>
        <v>0</v>
      </c>
      <c r="AV52" s="648">
        <f t="shared" si="23"/>
        <v>0</v>
      </c>
      <c r="AW52" s="648">
        <f t="shared" si="24"/>
        <v>0</v>
      </c>
      <c r="AX52" s="648">
        <f t="shared" si="25"/>
        <v>0</v>
      </c>
      <c r="AY52" s="634">
        <v>0</v>
      </c>
      <c r="AZ52" s="616"/>
      <c r="BA52" s="619">
        <f>IF(O53=0,0,             IF(ISNUMBER(AZ52),AZ52,             IF(ISTEXT(AZ52),INDEX(AQ52:AX52,MATCH(AZ52,$AQ$17:$AX$17,0)),           IF(AY52="INT",_xll.qInterp(O53,AA52:AH52,AQ52:AX52),       INDEX(AQ52:AX52,MATCH(AY52,$AQ$17:$AX$17,0))))))</f>
        <v>0</v>
      </c>
      <c r="BB52" s="674">
        <v>100</v>
      </c>
      <c r="BC52" s="666">
        <f t="shared" si="3"/>
        <v>0</v>
      </c>
      <c r="BD52" s="268">
        <f>IF($O53=0,0,                IF(LEFT(DCC_Leg1_Fixed,2)="1/",uEvaluate(DCC_Leg1_Fixed),        _xll.qDateYears($O52,$O53,DCC_Leg1_Fixed)))</f>
        <v>0</v>
      </c>
      <c r="BE52" s="268">
        <f>IF($O53,_xll.qDateYears($O52,$O53,DCC_Leg1_Float),0)</f>
        <v>0</v>
      </c>
      <c r="BG52" s="332">
        <f t="shared" si="26"/>
        <v>0</v>
      </c>
      <c r="BH52" s="357">
        <f t="shared" si="27"/>
        <v>0</v>
      </c>
      <c r="BI52" s="527"/>
      <c r="BK52" s="324">
        <f t="shared" si="33"/>
        <v>0</v>
      </c>
      <c r="BM52" s="338"/>
      <c r="BN52" s="121">
        <v>0</v>
      </c>
      <c r="BO52" s="755">
        <f t="shared" si="4"/>
        <v>0</v>
      </c>
      <c r="BP52" s="339">
        <v>0</v>
      </c>
      <c r="BQ52" s="890">
        <f>IF(BN53=0,0,         IF(OR(Currency2="AUD",Currency1="NZD",Currency2="GBP"),BN52,   _xll.qDateNext(BN52,"-2b",,,IF(Currency2="EUR","TGT","LON"))))</f>
        <v>0</v>
      </c>
      <c r="BR52" s="879" t="str">
        <v/>
      </c>
      <c r="BS52" s="879" t="str">
        <v/>
      </c>
      <c r="BT52" s="879" t="str">
        <v/>
      </c>
      <c r="BU52" s="879" t="str">
        <v/>
      </c>
      <c r="BV52" s="879" t="str">
        <v/>
      </c>
      <c r="BW52" s="879" t="str">
        <v/>
      </c>
      <c r="BX52" s="879" t="str">
        <v/>
      </c>
      <c r="BY52" s="879" t="str">
        <v/>
      </c>
      <c r="BZ52" s="882">
        <f>IF($BN53=0,0,        _xll.qDateNext($BN52,BZ$17,$CG$16,TRUE,Currency2))</f>
        <v>0</v>
      </c>
      <c r="CA52" s="882">
        <f>IF($BN53=0,0,        _xll.qDateNext($BN52,CA$17,$CG$16,TRUE,Currency2))</f>
        <v>0</v>
      </c>
      <c r="CB52" s="882">
        <f>IF($BN53=0,0,        _xll.qDateNext($BN52,CB$17,$CG$16,TRUE,Currency2))</f>
        <v>0</v>
      </c>
      <c r="CC52" s="882">
        <f>IF($BN53=0,0,        _xll.qDateNext($BN52,CC$17,$CG$16,TRUE,Currency2))</f>
        <v>0</v>
      </c>
      <c r="CD52" s="882">
        <f>IF($BN53=0,0,        _xll.qDateNext($BN52,CD$17,$CG$16,TRUE,Currency2))</f>
        <v>0</v>
      </c>
      <c r="CE52" s="882">
        <f>IF($BN53=0,0,        _xll.qDateNext($BN52,CE$17,$CG$16,TRUE,Currency2))</f>
        <v>0</v>
      </c>
      <c r="CF52" s="882">
        <f>IF($BN53=0,0,        _xll.qDateNext($BN52,CF$17,$CG$16,TRUE,Currency2))</f>
        <v>0</v>
      </c>
      <c r="CG52" s="882">
        <f>IF($BN53=0,0,        _xll.qDateNext($BN52,CG$17,$CG$16,TRUE,Currency2))</f>
        <v>0</v>
      </c>
      <c r="CH52" s="886">
        <v>0</v>
      </c>
      <c r="CI52" s="886">
        <v>0</v>
      </c>
      <c r="CJ52" s="886">
        <v>0</v>
      </c>
      <c r="CK52" s="886">
        <v>0</v>
      </c>
      <c r="CL52" s="886">
        <f t="shared" si="5"/>
        <v>0</v>
      </c>
      <c r="CM52" s="886">
        <f t="shared" si="28"/>
        <v>0</v>
      </c>
      <c r="CN52" s="886">
        <v>0</v>
      </c>
      <c r="CO52" s="886">
        <v>0</v>
      </c>
      <c r="CP52" s="648">
        <f t="shared" si="6"/>
        <v>0</v>
      </c>
      <c r="CQ52" s="648">
        <f t="shared" si="7"/>
        <v>0</v>
      </c>
      <c r="CR52" s="648">
        <f t="shared" si="8"/>
        <v>0</v>
      </c>
      <c r="CS52" s="648">
        <f t="shared" si="9"/>
        <v>0</v>
      </c>
      <c r="CT52" s="648">
        <f t="shared" si="10"/>
        <v>0</v>
      </c>
      <c r="CU52" s="648">
        <f t="shared" si="11"/>
        <v>0</v>
      </c>
      <c r="CV52" s="648">
        <f t="shared" si="12"/>
        <v>0</v>
      </c>
      <c r="CW52" s="648">
        <f t="shared" si="13"/>
        <v>0</v>
      </c>
      <c r="CX52" s="634">
        <v>0</v>
      </c>
      <c r="CY52" s="616"/>
      <c r="CZ52" s="619">
        <f>IF(BN53=0,0,             IF(ISNUMBER(CY52),CY52,             IF(ISTEXT(CY52),INDEX(CP52:CW52,MATCH(CY52,$CP$17:$CW$17,0)),           IF(CX52="INT",_xll.qInterp(BN53,BZ52:CG52,CP52:CW52),       INDEX(CP52:CW52,MATCH(CX52,$CP$17:$CW$17,0))))))</f>
        <v>0</v>
      </c>
      <c r="DA52" s="755">
        <f t="shared" si="14"/>
        <v>0</v>
      </c>
      <c r="DB52" s="387">
        <f t="shared" si="15"/>
        <v>0</v>
      </c>
      <c r="DC52" s="268">
        <f>IF($BN53=0,0,         IF(LEFT(DCC_Leg2_Fixed,2)="1/",uEvaluate(DCC_Leg2_Fixed),         _xll.qDateYears($BN52,$BN53,DCC_Leg2_Fixed)))</f>
        <v>0</v>
      </c>
      <c r="DD52" s="268">
        <f>IF($BN53,_xll.qDateYears($BN52,$BN53,DCC_Leg2_Float),0)</f>
        <v>0</v>
      </c>
      <c r="DF52" s="332">
        <f t="shared" si="29"/>
        <v>0</v>
      </c>
      <c r="DG52" s="357">
        <f t="shared" si="30"/>
        <v>0</v>
      </c>
      <c r="DH52" s="527"/>
      <c r="DJ52" s="324">
        <f t="shared" si="34"/>
        <v>0</v>
      </c>
      <c r="DK52" s="529"/>
      <c r="DL52" s="338"/>
    </row>
    <row r="53" spans="2:116">
      <c r="O53" s="121">
        <v>0</v>
      </c>
      <c r="P53" s="755">
        <f t="shared" si="0"/>
        <v>0</v>
      </c>
      <c r="Q53" s="125">
        <v>0</v>
      </c>
      <c r="R53" s="890">
        <f>IF(O54=0,0,         IF(OR(Currency1="AUD",Currency1="NZD",Currency1="GBP"),O53,   _xll.qDateNext(O53,"-2b",,,IF(Currency1="EUR","TGT","LON"))))</f>
        <v>0</v>
      </c>
      <c r="S53" s="879" t="str">
        <v/>
      </c>
      <c r="T53" s="879" t="str">
        <v/>
      </c>
      <c r="U53" s="879" t="str">
        <v/>
      </c>
      <c r="V53" s="879" t="str">
        <v/>
      </c>
      <c r="W53" s="879" t="str">
        <v/>
      </c>
      <c r="X53" s="879" t="str">
        <v/>
      </c>
      <c r="Y53" s="879" t="str">
        <v/>
      </c>
      <c r="Z53" s="879" t="str">
        <v/>
      </c>
      <c r="AA53" s="882">
        <f>IF($O54=0,0,        _xll.qDateNext($O53,AA$17,$AH$16,TRUE,Currency1))</f>
        <v>0</v>
      </c>
      <c r="AB53" s="882">
        <f>IF($O54=0,0,        _xll.qDateNext($O53,AB$17,$AH$16,TRUE,Currency1))</f>
        <v>0</v>
      </c>
      <c r="AC53" s="882">
        <f>IF($O54=0,0,        _xll.qDateNext($O53,AC$17,$AH$16,TRUE,Currency1))</f>
        <v>0</v>
      </c>
      <c r="AD53" s="882">
        <f>IF($O54=0,0,        _xll.qDateNext($O53,AD$17,$AH$16,TRUE,Currency1))</f>
        <v>0</v>
      </c>
      <c r="AE53" s="882">
        <f>IF($O54=0,0,        _xll.qDateNext($O53,AE$17,$AH$16,TRUE,Currency1))</f>
        <v>0</v>
      </c>
      <c r="AF53" s="882">
        <f>IF($O54=0,0,        _xll.qDateNext($O53,AF$17,$AH$16,TRUE,Currency1))</f>
        <v>0</v>
      </c>
      <c r="AG53" s="882">
        <f>IF($O54=0,0,        _xll.qDateNext($O53,AG$17,$AH$16,TRUE,Currency1))</f>
        <v>0</v>
      </c>
      <c r="AH53" s="882">
        <f>IF($O54=0,0,        _xll.qDateNext($O53,AH$17,$AH$16,TRUE,Currency1))</f>
        <v>0</v>
      </c>
      <c r="AI53" s="886">
        <f>IF($O54=0,0,           IF(FRM,_xll.qGetFwdRate(AI$14,$O53,AA53,"T",DCC_Leg1_Float),_xll.qGetFwdRate(AI$14,$O53,$O54,"T",DCC_Leg1_Float)))</f>
        <v>0</v>
      </c>
      <c r="AJ53" s="886">
        <f>IF($O54=0,0,           IF(FRM,_xll.qGetFwdRate(AJ$14,$O53,AB53,"T",DCC_Leg1_Float),_xll.qGetFwdRate(AJ$14,$O53,$O54,"T",DCC_Leg1_Float)))</f>
        <v>0</v>
      </c>
      <c r="AK53" s="886">
        <f t="shared" si="1"/>
        <v>0</v>
      </c>
      <c r="AL53" s="886">
        <f>IF($O54=0,0,           IF(FRM,_xll.qGetFwdRate(AL$14,$O53,AD53,"T",DCC_Leg1_Float),_xll.qGetFwdRate(AL$14,$O53,$O54,"T",DCC_Leg1_Float)))</f>
        <v>0</v>
      </c>
      <c r="AM53" s="886">
        <f t="shared" si="16"/>
        <v>0</v>
      </c>
      <c r="AN53" s="886">
        <f t="shared" si="17"/>
        <v>0</v>
      </c>
      <c r="AO53" s="886">
        <f>IF($O54=0,0,           IF(FRM,_xll.qGetFwdRate(AO$14,$O53,AG53,"T",DCC_Leg1_Float),_xll.qGetFwdRate(AO$14,$O53,$O54,"T",DCC_Leg1_Float)))</f>
        <v>0</v>
      </c>
      <c r="AP53" s="886">
        <f>IF($O54=0,0,           IF(FRM,_xll.qGetFwdRate(AP$14,$O53,AH53,"T",DCC_Leg1_Float),_xll.qGetFwdRate(AP$14,$O53,$O54,"T",DCC_Leg1_Float)))</f>
        <v>0</v>
      </c>
      <c r="AQ53" s="648">
        <f t="shared" si="18"/>
        <v>0</v>
      </c>
      <c r="AR53" s="648">
        <f t="shared" si="19"/>
        <v>0</v>
      </c>
      <c r="AS53" s="648">
        <f t="shared" si="20"/>
        <v>0</v>
      </c>
      <c r="AT53" s="648">
        <f t="shared" si="21"/>
        <v>0</v>
      </c>
      <c r="AU53" s="648">
        <f t="shared" si="22"/>
        <v>0</v>
      </c>
      <c r="AV53" s="648">
        <f t="shared" si="23"/>
        <v>0</v>
      </c>
      <c r="AW53" s="648">
        <f t="shared" si="24"/>
        <v>0</v>
      </c>
      <c r="AX53" s="648">
        <f t="shared" si="25"/>
        <v>0</v>
      </c>
      <c r="AY53" s="634">
        <v>0</v>
      </c>
      <c r="AZ53" s="616"/>
      <c r="BA53" s="619">
        <f>IF(O54=0,0,             IF(ISNUMBER(AZ53),AZ53,             IF(ISTEXT(AZ53),INDEX(AQ53:AX53,MATCH(AZ53,$AQ$17:$AX$17,0)),           IF(AY53="INT",_xll.qInterp(O54,AA53:AH53,AQ53:AX53),       INDEX(AQ53:AX53,MATCH(AY53,$AQ$17:$AX$17,0))))))</f>
        <v>0</v>
      </c>
      <c r="BB53" s="674">
        <v>100</v>
      </c>
      <c r="BC53" s="666">
        <f t="shared" si="3"/>
        <v>0</v>
      </c>
      <c r="BD53" s="268">
        <f>IF($O54=0,0,                IF(LEFT(DCC_Leg1_Fixed,2)="1/",uEvaluate(DCC_Leg1_Fixed),        _xll.qDateYears($O53,$O54,DCC_Leg1_Fixed)))</f>
        <v>0</v>
      </c>
      <c r="BE53" s="268">
        <f>IF($O54,_xll.qDateYears($O53,$O54,DCC_Leg1_Float),0)</f>
        <v>0</v>
      </c>
      <c r="BG53" s="332">
        <f t="shared" si="26"/>
        <v>0</v>
      </c>
      <c r="BH53" s="357">
        <f t="shared" si="27"/>
        <v>0</v>
      </c>
      <c r="BI53" s="527"/>
      <c r="BK53" s="324">
        <f t="shared" si="33"/>
        <v>0</v>
      </c>
      <c r="BM53" s="338"/>
      <c r="BN53" s="121">
        <v>0</v>
      </c>
      <c r="BO53" s="755">
        <f t="shared" si="4"/>
        <v>0</v>
      </c>
      <c r="BP53" s="339">
        <v>0</v>
      </c>
      <c r="BQ53" s="890">
        <f>IF(BN54=0,0,         IF(OR(Currency2="AUD",Currency1="NZD",Currency2="GBP"),BN53,   _xll.qDateNext(BN53,"-2b",,,IF(Currency2="EUR","TGT","LON"))))</f>
        <v>0</v>
      </c>
      <c r="BR53" s="879" t="str">
        <v/>
      </c>
      <c r="BS53" s="879" t="str">
        <v/>
      </c>
      <c r="BT53" s="879" t="str">
        <v/>
      </c>
      <c r="BU53" s="879" t="str">
        <v/>
      </c>
      <c r="BV53" s="879" t="str">
        <v/>
      </c>
      <c r="BW53" s="879" t="str">
        <v/>
      </c>
      <c r="BX53" s="879" t="str">
        <v/>
      </c>
      <c r="BY53" s="879" t="str">
        <v/>
      </c>
      <c r="BZ53" s="882">
        <f>IF($BN54=0,0,        _xll.qDateNext($BN53,BZ$17,$CG$16,TRUE,Currency2))</f>
        <v>0</v>
      </c>
      <c r="CA53" s="882">
        <f>IF($BN54=0,0,        _xll.qDateNext($BN53,CA$17,$CG$16,TRUE,Currency2))</f>
        <v>0</v>
      </c>
      <c r="CB53" s="882">
        <f>IF($BN54=0,0,        _xll.qDateNext($BN53,CB$17,$CG$16,TRUE,Currency2))</f>
        <v>0</v>
      </c>
      <c r="CC53" s="882">
        <f>IF($BN54=0,0,        _xll.qDateNext($BN53,CC$17,$CG$16,TRUE,Currency2))</f>
        <v>0</v>
      </c>
      <c r="CD53" s="882">
        <f>IF($BN54=0,0,        _xll.qDateNext($BN53,CD$17,$CG$16,TRUE,Currency2))</f>
        <v>0</v>
      </c>
      <c r="CE53" s="882">
        <f>IF($BN54=0,0,        _xll.qDateNext($BN53,CE$17,$CG$16,TRUE,Currency2))</f>
        <v>0</v>
      </c>
      <c r="CF53" s="882">
        <f>IF($BN54=0,0,        _xll.qDateNext($BN53,CF$17,$CG$16,TRUE,Currency2))</f>
        <v>0</v>
      </c>
      <c r="CG53" s="882">
        <f>IF($BN54=0,0,        _xll.qDateNext($BN53,CG$17,$CG$16,TRUE,Currency2))</f>
        <v>0</v>
      </c>
      <c r="CH53" s="886">
        <v>0</v>
      </c>
      <c r="CI53" s="886">
        <v>0</v>
      </c>
      <c r="CJ53" s="886">
        <v>0</v>
      </c>
      <c r="CK53" s="886">
        <v>0</v>
      </c>
      <c r="CL53" s="886">
        <f t="shared" si="5"/>
        <v>0</v>
      </c>
      <c r="CM53" s="886">
        <f t="shared" si="28"/>
        <v>0</v>
      </c>
      <c r="CN53" s="886">
        <v>0</v>
      </c>
      <c r="CO53" s="886">
        <v>0</v>
      </c>
      <c r="CP53" s="648">
        <f t="shared" si="6"/>
        <v>0</v>
      </c>
      <c r="CQ53" s="648">
        <f t="shared" si="7"/>
        <v>0</v>
      </c>
      <c r="CR53" s="648">
        <f t="shared" si="8"/>
        <v>0</v>
      </c>
      <c r="CS53" s="648">
        <f t="shared" si="9"/>
        <v>0</v>
      </c>
      <c r="CT53" s="648">
        <f t="shared" si="10"/>
        <v>0</v>
      </c>
      <c r="CU53" s="648">
        <f t="shared" si="11"/>
        <v>0</v>
      </c>
      <c r="CV53" s="648">
        <f t="shared" si="12"/>
        <v>0</v>
      </c>
      <c r="CW53" s="648">
        <f t="shared" si="13"/>
        <v>0</v>
      </c>
      <c r="CX53" s="634">
        <v>0</v>
      </c>
      <c r="CY53" s="616"/>
      <c r="CZ53" s="619">
        <f>IF(BN54=0,0,             IF(ISNUMBER(CY53),CY53,             IF(ISTEXT(CY53),INDEX(CP53:CW53,MATCH(CY53,$CP$17:$CW$17,0)),           IF(CX53="INT",_xll.qInterp(BN54,BZ53:CG53,CP53:CW53),       INDEX(CP53:CW53,MATCH(CX53,$CP$17:$CW$17,0))))))</f>
        <v>0</v>
      </c>
      <c r="DA53" s="755">
        <f t="shared" si="14"/>
        <v>0</v>
      </c>
      <c r="DB53" s="387">
        <f t="shared" si="15"/>
        <v>0</v>
      </c>
      <c r="DC53" s="268">
        <f>IF($BN54=0,0,         IF(LEFT(DCC_Leg2_Fixed,2)="1/",uEvaluate(DCC_Leg2_Fixed),         _xll.qDateYears($BN53,$BN54,DCC_Leg2_Fixed)))</f>
        <v>0</v>
      </c>
      <c r="DD53" s="268">
        <f>IF($BN54,_xll.qDateYears($BN53,$BN54,DCC_Leg2_Float),0)</f>
        <v>0</v>
      </c>
      <c r="DF53" s="332">
        <f t="shared" si="29"/>
        <v>0</v>
      </c>
      <c r="DG53" s="357">
        <f t="shared" si="30"/>
        <v>0</v>
      </c>
      <c r="DH53" s="527"/>
      <c r="DJ53" s="324">
        <f t="shared" si="34"/>
        <v>0</v>
      </c>
      <c r="DK53" s="529"/>
      <c r="DL53" s="338"/>
    </row>
    <row r="54" spans="2:116">
      <c r="O54" s="121">
        <v>0</v>
      </c>
      <c r="P54" s="755">
        <f t="shared" si="0"/>
        <v>0</v>
      </c>
      <c r="Q54" s="125">
        <v>0</v>
      </c>
      <c r="R54" s="890">
        <f>IF(O55=0,0,         IF(OR(Currency1="AUD",Currency1="NZD",Currency1="GBP"),O54,   _xll.qDateNext(O54,"-2b",,,IF(Currency1="EUR","TGT","LON"))))</f>
        <v>0</v>
      </c>
      <c r="S54" s="879" t="str">
        <v/>
      </c>
      <c r="T54" s="879" t="str">
        <v/>
      </c>
      <c r="U54" s="879" t="str">
        <v/>
      </c>
      <c r="V54" s="879" t="str">
        <v/>
      </c>
      <c r="W54" s="879" t="str">
        <v/>
      </c>
      <c r="X54" s="879" t="str">
        <v/>
      </c>
      <c r="Y54" s="879" t="str">
        <v/>
      </c>
      <c r="Z54" s="879" t="str">
        <v/>
      </c>
      <c r="AA54" s="882">
        <f>IF($O55=0,0,        _xll.qDateNext($O54,AA$17,$AH$16,TRUE,Currency1))</f>
        <v>0</v>
      </c>
      <c r="AB54" s="882">
        <f>IF($O55=0,0,        _xll.qDateNext($O54,AB$17,$AH$16,TRUE,Currency1))</f>
        <v>0</v>
      </c>
      <c r="AC54" s="882">
        <f>IF($O55=0,0,        _xll.qDateNext($O54,AC$17,$AH$16,TRUE,Currency1))</f>
        <v>0</v>
      </c>
      <c r="AD54" s="882">
        <f>IF($O55=0,0,        _xll.qDateNext($O54,AD$17,$AH$16,TRUE,Currency1))</f>
        <v>0</v>
      </c>
      <c r="AE54" s="882">
        <f>IF($O55=0,0,        _xll.qDateNext($O54,AE$17,$AH$16,TRUE,Currency1))</f>
        <v>0</v>
      </c>
      <c r="AF54" s="882">
        <f>IF($O55=0,0,        _xll.qDateNext($O54,AF$17,$AH$16,TRUE,Currency1))</f>
        <v>0</v>
      </c>
      <c r="AG54" s="882">
        <f>IF($O55=0,0,        _xll.qDateNext($O54,AG$17,$AH$16,TRUE,Currency1))</f>
        <v>0</v>
      </c>
      <c r="AH54" s="882">
        <f>IF($O55=0,0,        _xll.qDateNext($O54,AH$17,$AH$16,TRUE,Currency1))</f>
        <v>0</v>
      </c>
      <c r="AI54" s="886">
        <f>IF($O55=0,0,           IF(FRM,_xll.qGetFwdRate(AI$14,$O54,AA54,"T",DCC_Leg1_Float),_xll.qGetFwdRate(AI$14,$O54,$O55,"T",DCC_Leg1_Float)))</f>
        <v>0</v>
      </c>
      <c r="AJ54" s="886">
        <f>IF($O55=0,0,           IF(FRM,_xll.qGetFwdRate(AJ$14,$O54,AB54,"T",DCC_Leg1_Float),_xll.qGetFwdRate(AJ$14,$O54,$O55,"T",DCC_Leg1_Float)))</f>
        <v>0</v>
      </c>
      <c r="AK54" s="886">
        <f t="shared" si="1"/>
        <v>0</v>
      </c>
      <c r="AL54" s="886">
        <f>IF($O55=0,0,           IF(FRM,_xll.qGetFwdRate(AL$14,$O54,AD54,"T",DCC_Leg1_Float),_xll.qGetFwdRate(AL$14,$O54,$O55,"T",DCC_Leg1_Float)))</f>
        <v>0</v>
      </c>
      <c r="AM54" s="886">
        <f t="shared" si="16"/>
        <v>0</v>
      </c>
      <c r="AN54" s="886">
        <f t="shared" si="17"/>
        <v>0</v>
      </c>
      <c r="AO54" s="886">
        <f>IF($O55=0,0,           IF(FRM,_xll.qGetFwdRate(AO$14,$O54,AG54,"T",DCC_Leg1_Float),_xll.qGetFwdRate(AO$14,$O54,$O55,"T",DCC_Leg1_Float)))</f>
        <v>0</v>
      </c>
      <c r="AP54" s="886">
        <f>IF($O55=0,0,           IF(FRM,_xll.qGetFwdRate(AP$14,$O54,AH54,"T",DCC_Leg1_Float),_xll.qGetFwdRate(AP$14,$O54,$O55,"T",DCC_Leg1_Float)))</f>
        <v>0</v>
      </c>
      <c r="AQ54" s="648">
        <f t="shared" si="18"/>
        <v>0</v>
      </c>
      <c r="AR54" s="648">
        <f t="shared" si="19"/>
        <v>0</v>
      </c>
      <c r="AS54" s="648">
        <f t="shared" si="20"/>
        <v>0</v>
      </c>
      <c r="AT54" s="648">
        <f t="shared" si="21"/>
        <v>0</v>
      </c>
      <c r="AU54" s="648">
        <f t="shared" si="22"/>
        <v>0</v>
      </c>
      <c r="AV54" s="648">
        <f t="shared" si="23"/>
        <v>0</v>
      </c>
      <c r="AW54" s="648">
        <f t="shared" si="24"/>
        <v>0</v>
      </c>
      <c r="AX54" s="648">
        <f t="shared" si="25"/>
        <v>0</v>
      </c>
      <c r="AY54" s="634">
        <v>0</v>
      </c>
      <c r="AZ54" s="616"/>
      <c r="BA54" s="619">
        <f>IF(O55=0,0,             IF(ISNUMBER(AZ54),AZ54,             IF(ISTEXT(AZ54),INDEX(AQ54:AX54,MATCH(AZ54,$AQ$17:$AX$17,0)),           IF(AY54="INT",_xll.qInterp(O55,AA54:AH54,AQ54:AX54),       INDEX(AQ54:AX54,MATCH(AY54,$AQ$17:$AX$17,0))))))</f>
        <v>0</v>
      </c>
      <c r="BB54" s="674">
        <v>100</v>
      </c>
      <c r="BC54" s="666">
        <f t="shared" si="3"/>
        <v>0</v>
      </c>
      <c r="BD54" s="268">
        <f>IF($O55=0,0,                IF(LEFT(DCC_Leg1_Fixed,2)="1/",uEvaluate(DCC_Leg1_Fixed),        _xll.qDateYears($O54,$O55,DCC_Leg1_Fixed)))</f>
        <v>0</v>
      </c>
      <c r="BE54" s="268">
        <f>IF($O55,_xll.qDateYears($O54,$O55,DCC_Leg1_Float),0)</f>
        <v>0</v>
      </c>
      <c r="BG54" s="332">
        <f t="shared" si="26"/>
        <v>0</v>
      </c>
      <c r="BH54" s="357">
        <f t="shared" si="27"/>
        <v>0</v>
      </c>
      <c r="BI54" s="527"/>
      <c r="BK54" s="324">
        <f t="shared" si="33"/>
        <v>0</v>
      </c>
      <c r="BM54" s="338"/>
      <c r="BN54" s="121">
        <v>0</v>
      </c>
      <c r="BO54" s="755">
        <f t="shared" si="4"/>
        <v>0</v>
      </c>
      <c r="BP54" s="339">
        <v>0</v>
      </c>
      <c r="BQ54" s="890">
        <f>IF(BN55=0,0,         IF(OR(Currency2="AUD",Currency1="NZD",Currency2="GBP"),BN54,   _xll.qDateNext(BN54,"-2b",,,IF(Currency2="EUR","TGT","LON"))))</f>
        <v>0</v>
      </c>
      <c r="BR54" s="879" t="str">
        <v/>
      </c>
      <c r="BS54" s="879" t="str">
        <v/>
      </c>
      <c r="BT54" s="879" t="str">
        <v/>
      </c>
      <c r="BU54" s="879" t="str">
        <v/>
      </c>
      <c r="BV54" s="879" t="str">
        <v/>
      </c>
      <c r="BW54" s="879" t="str">
        <v/>
      </c>
      <c r="BX54" s="879" t="str">
        <v/>
      </c>
      <c r="BY54" s="879" t="str">
        <v/>
      </c>
      <c r="BZ54" s="882">
        <f>IF($BN55=0,0,        _xll.qDateNext($BN54,BZ$17,$CG$16,TRUE,Currency2))</f>
        <v>0</v>
      </c>
      <c r="CA54" s="882">
        <f>IF($BN55=0,0,        _xll.qDateNext($BN54,CA$17,$CG$16,TRUE,Currency2))</f>
        <v>0</v>
      </c>
      <c r="CB54" s="882">
        <f>IF($BN55=0,0,        _xll.qDateNext($BN54,CB$17,$CG$16,TRUE,Currency2))</f>
        <v>0</v>
      </c>
      <c r="CC54" s="882">
        <f>IF($BN55=0,0,        _xll.qDateNext($BN54,CC$17,$CG$16,TRUE,Currency2))</f>
        <v>0</v>
      </c>
      <c r="CD54" s="882">
        <f>IF($BN55=0,0,        _xll.qDateNext($BN54,CD$17,$CG$16,TRUE,Currency2))</f>
        <v>0</v>
      </c>
      <c r="CE54" s="882">
        <f>IF($BN55=0,0,        _xll.qDateNext($BN54,CE$17,$CG$16,TRUE,Currency2))</f>
        <v>0</v>
      </c>
      <c r="CF54" s="882">
        <f>IF($BN55=0,0,        _xll.qDateNext($BN54,CF$17,$CG$16,TRUE,Currency2))</f>
        <v>0</v>
      </c>
      <c r="CG54" s="882">
        <f>IF($BN55=0,0,        _xll.qDateNext($BN54,CG$17,$CG$16,TRUE,Currency2))</f>
        <v>0</v>
      </c>
      <c r="CH54" s="886">
        <v>0</v>
      </c>
      <c r="CI54" s="886">
        <v>0</v>
      </c>
      <c r="CJ54" s="886">
        <v>0</v>
      </c>
      <c r="CK54" s="886">
        <v>0</v>
      </c>
      <c r="CL54" s="886">
        <f t="shared" si="5"/>
        <v>0</v>
      </c>
      <c r="CM54" s="886">
        <f t="shared" si="28"/>
        <v>0</v>
      </c>
      <c r="CN54" s="886">
        <v>0</v>
      </c>
      <c r="CO54" s="886">
        <v>0</v>
      </c>
      <c r="CP54" s="648">
        <f t="shared" si="6"/>
        <v>0</v>
      </c>
      <c r="CQ54" s="648">
        <f t="shared" si="7"/>
        <v>0</v>
      </c>
      <c r="CR54" s="648">
        <f t="shared" si="8"/>
        <v>0</v>
      </c>
      <c r="CS54" s="648">
        <f t="shared" si="9"/>
        <v>0</v>
      </c>
      <c r="CT54" s="648">
        <f t="shared" si="10"/>
        <v>0</v>
      </c>
      <c r="CU54" s="648">
        <f t="shared" si="11"/>
        <v>0</v>
      </c>
      <c r="CV54" s="648">
        <f t="shared" si="12"/>
        <v>0</v>
      </c>
      <c r="CW54" s="648">
        <f t="shared" si="13"/>
        <v>0</v>
      </c>
      <c r="CX54" s="634">
        <v>0</v>
      </c>
      <c r="CY54" s="616"/>
      <c r="CZ54" s="619">
        <f>IF(BN55=0,0,             IF(ISNUMBER(CY54),CY54,             IF(ISTEXT(CY54),INDEX(CP54:CW54,MATCH(CY54,$CP$17:$CW$17,0)),           IF(CX54="INT",_xll.qInterp(BN55,BZ54:CG54,CP54:CW54),       INDEX(CP54:CW54,MATCH(CX54,$CP$17:$CW$17,0))))))</f>
        <v>0</v>
      </c>
      <c r="DA54" s="755">
        <f t="shared" si="14"/>
        <v>0</v>
      </c>
      <c r="DB54" s="387">
        <f t="shared" si="15"/>
        <v>0</v>
      </c>
      <c r="DC54" s="268">
        <f>IF($BN55=0,0,         IF(LEFT(DCC_Leg2_Fixed,2)="1/",uEvaluate(DCC_Leg2_Fixed),         _xll.qDateYears($BN54,$BN55,DCC_Leg2_Fixed)))</f>
        <v>0</v>
      </c>
      <c r="DD54" s="268">
        <f>IF($BN55,_xll.qDateYears($BN54,$BN55,DCC_Leg2_Float),0)</f>
        <v>0</v>
      </c>
      <c r="DF54" s="332">
        <f t="shared" si="29"/>
        <v>0</v>
      </c>
      <c r="DG54" s="357">
        <f t="shared" si="30"/>
        <v>0</v>
      </c>
      <c r="DH54" s="527"/>
      <c r="DJ54" s="324">
        <f t="shared" si="34"/>
        <v>0</v>
      </c>
      <c r="DK54" s="529"/>
      <c r="DL54" s="338"/>
    </row>
    <row r="55" spans="2:116">
      <c r="O55" s="121">
        <v>0</v>
      </c>
      <c r="P55" s="755">
        <f t="shared" si="0"/>
        <v>0</v>
      </c>
      <c r="Q55" s="125">
        <v>0</v>
      </c>
      <c r="R55" s="890">
        <f>IF(O56=0,0,         IF(OR(Currency1="AUD",Currency1="NZD",Currency1="GBP"),O55,   _xll.qDateNext(O55,"-2b",,,IF(Currency1="EUR","TGT","LON"))))</f>
        <v>0</v>
      </c>
      <c r="S55" s="879" t="str">
        <v/>
      </c>
      <c r="T55" s="879" t="str">
        <v/>
      </c>
      <c r="U55" s="879" t="str">
        <v/>
      </c>
      <c r="V55" s="879" t="str">
        <v/>
      </c>
      <c r="W55" s="879" t="str">
        <v/>
      </c>
      <c r="X55" s="879" t="str">
        <v/>
      </c>
      <c r="Y55" s="879" t="str">
        <v/>
      </c>
      <c r="Z55" s="879" t="str">
        <v/>
      </c>
      <c r="AA55" s="882">
        <f>IF($O56=0,0,        _xll.qDateNext($O55,AA$17,$AH$16,TRUE,Currency1))</f>
        <v>0</v>
      </c>
      <c r="AB55" s="882">
        <f>IF($O56=0,0,        _xll.qDateNext($O55,AB$17,$AH$16,TRUE,Currency1))</f>
        <v>0</v>
      </c>
      <c r="AC55" s="882">
        <f>IF($O56=0,0,        _xll.qDateNext($O55,AC$17,$AH$16,TRUE,Currency1))</f>
        <v>0</v>
      </c>
      <c r="AD55" s="882">
        <f>IF($O56=0,0,        _xll.qDateNext($O55,AD$17,$AH$16,TRUE,Currency1))</f>
        <v>0</v>
      </c>
      <c r="AE55" s="882">
        <f>IF($O56=0,0,        _xll.qDateNext($O55,AE$17,$AH$16,TRUE,Currency1))</f>
        <v>0</v>
      </c>
      <c r="AF55" s="882">
        <f>IF($O56=0,0,        _xll.qDateNext($O55,AF$17,$AH$16,TRUE,Currency1))</f>
        <v>0</v>
      </c>
      <c r="AG55" s="882">
        <f>IF($O56=0,0,        _xll.qDateNext($O55,AG$17,$AH$16,TRUE,Currency1))</f>
        <v>0</v>
      </c>
      <c r="AH55" s="882">
        <f>IF($O56=0,0,        _xll.qDateNext($O55,AH$17,$AH$16,TRUE,Currency1))</f>
        <v>0</v>
      </c>
      <c r="AI55" s="886">
        <f>IF($O56=0,0,           IF(FRM,_xll.qGetFwdRate(AI$14,$O55,AA55,"T",DCC_Leg1_Float),_xll.qGetFwdRate(AI$14,$O55,$O56,"T",DCC_Leg1_Float)))</f>
        <v>0</v>
      </c>
      <c r="AJ55" s="886">
        <f>IF($O56=0,0,           IF(FRM,_xll.qGetFwdRate(AJ$14,$O55,AB55,"T",DCC_Leg1_Float),_xll.qGetFwdRate(AJ$14,$O55,$O56,"T",DCC_Leg1_Float)))</f>
        <v>0</v>
      </c>
      <c r="AK55" s="886">
        <f t="shared" si="1"/>
        <v>0</v>
      </c>
      <c r="AL55" s="886">
        <f>IF($O56=0,0,           IF(FRM,_xll.qGetFwdRate(AL$14,$O55,AD55,"T",DCC_Leg1_Float),_xll.qGetFwdRate(AL$14,$O55,$O56,"T",DCC_Leg1_Float)))</f>
        <v>0</v>
      </c>
      <c r="AM55" s="886">
        <f t="shared" si="16"/>
        <v>0</v>
      </c>
      <c r="AN55" s="886">
        <f t="shared" si="17"/>
        <v>0</v>
      </c>
      <c r="AO55" s="886">
        <f>IF($O56=0,0,           IF(FRM,_xll.qGetFwdRate(AO$14,$O55,AG55,"T",DCC_Leg1_Float),_xll.qGetFwdRate(AO$14,$O55,$O56,"T",DCC_Leg1_Float)))</f>
        <v>0</v>
      </c>
      <c r="AP55" s="886">
        <f>IF($O56=0,0,           IF(FRM,_xll.qGetFwdRate(AP$14,$O55,AH55,"T",DCC_Leg1_Float),_xll.qGetFwdRate(AP$14,$O55,$O56,"T",DCC_Leg1_Float)))</f>
        <v>0</v>
      </c>
      <c r="AQ55" s="648">
        <f t="shared" si="18"/>
        <v>0</v>
      </c>
      <c r="AR55" s="648">
        <f t="shared" si="19"/>
        <v>0</v>
      </c>
      <c r="AS55" s="648">
        <f t="shared" si="20"/>
        <v>0</v>
      </c>
      <c r="AT55" s="648">
        <f t="shared" si="21"/>
        <v>0</v>
      </c>
      <c r="AU55" s="648">
        <f t="shared" si="22"/>
        <v>0</v>
      </c>
      <c r="AV55" s="648">
        <f t="shared" si="23"/>
        <v>0</v>
      </c>
      <c r="AW55" s="648">
        <f t="shared" si="24"/>
        <v>0</v>
      </c>
      <c r="AX55" s="648">
        <f t="shared" si="25"/>
        <v>0</v>
      </c>
      <c r="AY55" s="634">
        <v>0</v>
      </c>
      <c r="AZ55" s="616"/>
      <c r="BA55" s="619">
        <f>IF(O56=0,0,             IF(ISNUMBER(AZ55),AZ55,             IF(ISTEXT(AZ55),INDEX(AQ55:AX55,MATCH(AZ55,$AQ$17:$AX$17,0)),           IF(AY55="INT",_xll.qInterp(O56,AA55:AH55,AQ55:AX55),       INDEX(AQ55:AX55,MATCH(AY55,$AQ$17:$AX$17,0))))))</f>
        <v>0</v>
      </c>
      <c r="BB55" s="674">
        <v>100</v>
      </c>
      <c r="BC55" s="666">
        <f t="shared" si="3"/>
        <v>0</v>
      </c>
      <c r="BD55" s="268">
        <f>IF($O56=0,0,                IF(LEFT(DCC_Leg1_Fixed,2)="1/",uEvaluate(DCC_Leg1_Fixed),        _xll.qDateYears($O55,$O56,DCC_Leg1_Fixed)))</f>
        <v>0</v>
      </c>
      <c r="BE55" s="268">
        <f>IF($O56,_xll.qDateYears($O55,$O56,DCC_Leg1_Float),0)</f>
        <v>0</v>
      </c>
      <c r="BG55" s="332">
        <f t="shared" si="26"/>
        <v>0</v>
      </c>
      <c r="BH55" s="357">
        <f t="shared" si="27"/>
        <v>0</v>
      </c>
      <c r="BI55" s="527"/>
      <c r="BK55" s="324">
        <f t="shared" si="33"/>
        <v>0</v>
      </c>
      <c r="BM55" s="338"/>
      <c r="BN55" s="121">
        <v>0</v>
      </c>
      <c r="BO55" s="755">
        <f t="shared" si="4"/>
        <v>0</v>
      </c>
      <c r="BP55" s="339">
        <v>0</v>
      </c>
      <c r="BQ55" s="890">
        <f>IF(BN56=0,0,         IF(OR(Currency2="AUD",Currency1="NZD",Currency2="GBP"),BN55,   _xll.qDateNext(BN55,"-2b",,,IF(Currency2="EUR","TGT","LON"))))</f>
        <v>0</v>
      </c>
      <c r="BR55" s="879" t="str">
        <v/>
      </c>
      <c r="BS55" s="879" t="str">
        <v/>
      </c>
      <c r="BT55" s="879" t="str">
        <v/>
      </c>
      <c r="BU55" s="879" t="str">
        <v/>
      </c>
      <c r="BV55" s="879" t="str">
        <v/>
      </c>
      <c r="BW55" s="879" t="str">
        <v/>
      </c>
      <c r="BX55" s="879" t="str">
        <v/>
      </c>
      <c r="BY55" s="879" t="str">
        <v/>
      </c>
      <c r="BZ55" s="882">
        <f>IF($BN56=0,0,        _xll.qDateNext($BN55,BZ$17,$CG$16,TRUE,Currency2))</f>
        <v>0</v>
      </c>
      <c r="CA55" s="882">
        <f>IF($BN56=0,0,        _xll.qDateNext($BN55,CA$17,$CG$16,TRUE,Currency2))</f>
        <v>0</v>
      </c>
      <c r="CB55" s="882">
        <f>IF($BN56=0,0,        _xll.qDateNext($BN55,CB$17,$CG$16,TRUE,Currency2))</f>
        <v>0</v>
      </c>
      <c r="CC55" s="882">
        <f>IF($BN56=0,0,        _xll.qDateNext($BN55,CC$17,$CG$16,TRUE,Currency2))</f>
        <v>0</v>
      </c>
      <c r="CD55" s="882">
        <f>IF($BN56=0,0,        _xll.qDateNext($BN55,CD$17,$CG$16,TRUE,Currency2))</f>
        <v>0</v>
      </c>
      <c r="CE55" s="882">
        <f>IF($BN56=0,0,        _xll.qDateNext($BN55,CE$17,$CG$16,TRUE,Currency2))</f>
        <v>0</v>
      </c>
      <c r="CF55" s="882">
        <f>IF($BN56=0,0,        _xll.qDateNext($BN55,CF$17,$CG$16,TRUE,Currency2))</f>
        <v>0</v>
      </c>
      <c r="CG55" s="882">
        <f>IF($BN56=0,0,        _xll.qDateNext($BN55,CG$17,$CG$16,TRUE,Currency2))</f>
        <v>0</v>
      </c>
      <c r="CH55" s="886">
        <v>0</v>
      </c>
      <c r="CI55" s="886">
        <v>0</v>
      </c>
      <c r="CJ55" s="886">
        <v>0</v>
      </c>
      <c r="CK55" s="886">
        <v>0</v>
      </c>
      <c r="CL55" s="886">
        <f t="shared" si="5"/>
        <v>0</v>
      </c>
      <c r="CM55" s="886">
        <f t="shared" si="28"/>
        <v>0</v>
      </c>
      <c r="CN55" s="886">
        <v>0</v>
      </c>
      <c r="CO55" s="886">
        <v>0</v>
      </c>
      <c r="CP55" s="648">
        <f t="shared" si="6"/>
        <v>0</v>
      </c>
      <c r="CQ55" s="648">
        <f t="shared" si="7"/>
        <v>0</v>
      </c>
      <c r="CR55" s="648">
        <f t="shared" si="8"/>
        <v>0</v>
      </c>
      <c r="CS55" s="648">
        <f t="shared" si="9"/>
        <v>0</v>
      </c>
      <c r="CT55" s="648">
        <f t="shared" si="10"/>
        <v>0</v>
      </c>
      <c r="CU55" s="648">
        <f t="shared" si="11"/>
        <v>0</v>
      </c>
      <c r="CV55" s="648">
        <f t="shared" si="12"/>
        <v>0</v>
      </c>
      <c r="CW55" s="648">
        <f t="shared" si="13"/>
        <v>0</v>
      </c>
      <c r="CX55" s="634">
        <v>0</v>
      </c>
      <c r="CY55" s="616"/>
      <c r="CZ55" s="619">
        <f>IF(BN56=0,0,             IF(ISNUMBER(CY55),CY55,             IF(ISTEXT(CY55),INDEX(CP55:CW55,MATCH(CY55,$CP$17:$CW$17,0)),           IF(CX55="INT",_xll.qInterp(BN56,BZ55:CG55,CP55:CW55),       INDEX(CP55:CW55,MATCH(CX55,$CP$17:$CW$17,0))))))</f>
        <v>0</v>
      </c>
      <c r="DA55" s="755">
        <f t="shared" si="14"/>
        <v>0</v>
      </c>
      <c r="DB55" s="387">
        <f t="shared" si="15"/>
        <v>0</v>
      </c>
      <c r="DC55" s="268">
        <f>IF($BN56=0,0,         IF(LEFT(DCC_Leg2_Fixed,2)="1/",uEvaluate(DCC_Leg2_Fixed),         _xll.qDateYears($BN55,$BN56,DCC_Leg2_Fixed)))</f>
        <v>0</v>
      </c>
      <c r="DD55" s="268">
        <f>IF($BN56,_xll.qDateYears($BN55,$BN56,DCC_Leg2_Float),0)</f>
        <v>0</v>
      </c>
      <c r="DF55" s="332">
        <f t="shared" si="29"/>
        <v>0</v>
      </c>
      <c r="DG55" s="357">
        <f t="shared" si="30"/>
        <v>0</v>
      </c>
      <c r="DH55" s="527"/>
      <c r="DJ55" s="324">
        <f t="shared" si="34"/>
        <v>0</v>
      </c>
      <c r="DK55" s="529"/>
      <c r="DL55" s="338"/>
    </row>
    <row r="56" spans="2:116">
      <c r="O56" s="121">
        <v>0</v>
      </c>
      <c r="P56" s="755">
        <f t="shared" si="0"/>
        <v>0</v>
      </c>
      <c r="Q56" s="125">
        <v>0</v>
      </c>
      <c r="R56" s="890">
        <f>IF(O57=0,0,         IF(OR(Currency1="AUD",Currency1="NZD",Currency1="GBP"),O56,   _xll.qDateNext(O56,"-2b",,,IF(Currency1="EUR","TGT","LON"))))</f>
        <v>0</v>
      </c>
      <c r="S56" s="879" t="str">
        <v/>
      </c>
      <c r="T56" s="879" t="str">
        <v/>
      </c>
      <c r="U56" s="879" t="str">
        <v/>
      </c>
      <c r="V56" s="879" t="str">
        <v/>
      </c>
      <c r="W56" s="879" t="str">
        <v/>
      </c>
      <c r="X56" s="879" t="str">
        <v/>
      </c>
      <c r="Y56" s="879" t="str">
        <v/>
      </c>
      <c r="Z56" s="879" t="str">
        <v/>
      </c>
      <c r="AA56" s="882">
        <f>IF($O57=0,0,        _xll.qDateNext($O56,AA$17,$AH$16,TRUE,Currency1))</f>
        <v>0</v>
      </c>
      <c r="AB56" s="882">
        <f>IF($O57=0,0,        _xll.qDateNext($O56,AB$17,$AH$16,TRUE,Currency1))</f>
        <v>0</v>
      </c>
      <c r="AC56" s="882">
        <f>IF($O57=0,0,        _xll.qDateNext($O56,AC$17,$AH$16,TRUE,Currency1))</f>
        <v>0</v>
      </c>
      <c r="AD56" s="882">
        <f>IF($O57=0,0,        _xll.qDateNext($O56,AD$17,$AH$16,TRUE,Currency1))</f>
        <v>0</v>
      </c>
      <c r="AE56" s="882">
        <f>IF($O57=0,0,        _xll.qDateNext($O56,AE$17,$AH$16,TRUE,Currency1))</f>
        <v>0</v>
      </c>
      <c r="AF56" s="882">
        <f>IF($O57=0,0,        _xll.qDateNext($O56,AF$17,$AH$16,TRUE,Currency1))</f>
        <v>0</v>
      </c>
      <c r="AG56" s="882">
        <f>IF($O57=0,0,        _xll.qDateNext($O56,AG$17,$AH$16,TRUE,Currency1))</f>
        <v>0</v>
      </c>
      <c r="AH56" s="882">
        <f>IF($O57=0,0,        _xll.qDateNext($O56,AH$17,$AH$16,TRUE,Currency1))</f>
        <v>0</v>
      </c>
      <c r="AI56" s="886">
        <f>IF($O57=0,0,           IF(FRM,_xll.qGetFwdRate(AI$14,$O56,AA56,"T",DCC_Leg1_Float),_xll.qGetFwdRate(AI$14,$O56,$O57,"T",DCC_Leg1_Float)))</f>
        <v>0</v>
      </c>
      <c r="AJ56" s="886">
        <f>IF($O57=0,0,           IF(FRM,_xll.qGetFwdRate(AJ$14,$O56,AB56,"T",DCC_Leg1_Float),_xll.qGetFwdRate(AJ$14,$O56,$O57,"T",DCC_Leg1_Float)))</f>
        <v>0</v>
      </c>
      <c r="AK56" s="886">
        <f t="shared" si="1"/>
        <v>0</v>
      </c>
      <c r="AL56" s="886">
        <f>IF($O57=0,0,           IF(FRM,_xll.qGetFwdRate(AL$14,$O56,AD56,"T",DCC_Leg1_Float),_xll.qGetFwdRate(AL$14,$O56,$O57,"T",DCC_Leg1_Float)))</f>
        <v>0</v>
      </c>
      <c r="AM56" s="886">
        <f t="shared" si="16"/>
        <v>0</v>
      </c>
      <c r="AN56" s="886">
        <f t="shared" si="17"/>
        <v>0</v>
      </c>
      <c r="AO56" s="886">
        <f>IF($O57=0,0,           IF(FRM,_xll.qGetFwdRate(AO$14,$O56,AG56,"T",DCC_Leg1_Float),_xll.qGetFwdRate(AO$14,$O56,$O57,"T",DCC_Leg1_Float)))</f>
        <v>0</v>
      </c>
      <c r="AP56" s="886">
        <f>IF($O57=0,0,           IF(FRM,_xll.qGetFwdRate(AP$14,$O56,AH56,"T",DCC_Leg1_Float),_xll.qGetFwdRate(AP$14,$O56,$O57,"T",DCC_Leg1_Float)))</f>
        <v>0</v>
      </c>
      <c r="AQ56" s="648">
        <f t="shared" si="18"/>
        <v>0</v>
      </c>
      <c r="AR56" s="648">
        <f t="shared" si="19"/>
        <v>0</v>
      </c>
      <c r="AS56" s="648">
        <f t="shared" si="20"/>
        <v>0</v>
      </c>
      <c r="AT56" s="648">
        <f t="shared" si="21"/>
        <v>0</v>
      </c>
      <c r="AU56" s="648">
        <f t="shared" si="22"/>
        <v>0</v>
      </c>
      <c r="AV56" s="648">
        <f t="shared" si="23"/>
        <v>0</v>
      </c>
      <c r="AW56" s="648">
        <f t="shared" si="24"/>
        <v>0</v>
      </c>
      <c r="AX56" s="648">
        <f t="shared" si="25"/>
        <v>0</v>
      </c>
      <c r="AY56" s="634">
        <v>0</v>
      </c>
      <c r="AZ56" s="616"/>
      <c r="BA56" s="619">
        <f>IF(O57=0,0,             IF(ISNUMBER(AZ56),AZ56,             IF(ISTEXT(AZ56),INDEX(AQ56:AX56,MATCH(AZ56,$AQ$17:$AX$17,0)),           IF(AY56="INT",_xll.qInterp(O57,AA56:AH56,AQ56:AX56),       INDEX(AQ56:AX56,MATCH(AY56,$AQ$17:$AX$17,0))))))</f>
        <v>0</v>
      </c>
      <c r="BB56" s="674">
        <v>100</v>
      </c>
      <c r="BC56" s="666">
        <f t="shared" si="3"/>
        <v>0</v>
      </c>
      <c r="BD56" s="268">
        <f>IF($O57=0,0,                IF(LEFT(DCC_Leg1_Fixed,2)="1/",uEvaluate(DCC_Leg1_Fixed),        _xll.qDateYears($O56,$O57,DCC_Leg1_Fixed)))</f>
        <v>0</v>
      </c>
      <c r="BE56" s="268">
        <f>IF($O57,_xll.qDateYears($O56,$O57,DCC_Leg1_Float),0)</f>
        <v>0</v>
      </c>
      <c r="BG56" s="332">
        <f t="shared" si="26"/>
        <v>0</v>
      </c>
      <c r="BH56" s="357">
        <f t="shared" si="27"/>
        <v>0</v>
      </c>
      <c r="BI56" s="527"/>
      <c r="BK56" s="324">
        <f t="shared" si="33"/>
        <v>0</v>
      </c>
      <c r="BM56" s="338"/>
      <c r="BN56" s="121">
        <v>0</v>
      </c>
      <c r="BO56" s="755">
        <f t="shared" si="4"/>
        <v>0</v>
      </c>
      <c r="BP56" s="339">
        <v>0</v>
      </c>
      <c r="BQ56" s="890">
        <f>IF(BN57=0,0,         IF(OR(Currency2="AUD",Currency1="NZD",Currency2="GBP"),BN56,   _xll.qDateNext(BN56,"-2b",,,IF(Currency2="EUR","TGT","LON"))))</f>
        <v>0</v>
      </c>
      <c r="BR56" s="879" t="str">
        <v/>
      </c>
      <c r="BS56" s="879" t="str">
        <v/>
      </c>
      <c r="BT56" s="879" t="str">
        <v/>
      </c>
      <c r="BU56" s="879" t="str">
        <v/>
      </c>
      <c r="BV56" s="879" t="str">
        <v/>
      </c>
      <c r="BW56" s="879" t="str">
        <v/>
      </c>
      <c r="BX56" s="879" t="str">
        <v/>
      </c>
      <c r="BY56" s="879" t="str">
        <v/>
      </c>
      <c r="BZ56" s="882">
        <f>IF($BN57=0,0,        _xll.qDateNext($BN56,BZ$17,$CG$16,TRUE,Currency2))</f>
        <v>0</v>
      </c>
      <c r="CA56" s="882">
        <f>IF($BN57=0,0,        _xll.qDateNext($BN56,CA$17,$CG$16,TRUE,Currency2))</f>
        <v>0</v>
      </c>
      <c r="CB56" s="882">
        <f>IF($BN57=0,0,        _xll.qDateNext($BN56,CB$17,$CG$16,TRUE,Currency2))</f>
        <v>0</v>
      </c>
      <c r="CC56" s="882">
        <f>IF($BN57=0,0,        _xll.qDateNext($BN56,CC$17,$CG$16,TRUE,Currency2))</f>
        <v>0</v>
      </c>
      <c r="CD56" s="882">
        <f>IF($BN57=0,0,        _xll.qDateNext($BN56,CD$17,$CG$16,TRUE,Currency2))</f>
        <v>0</v>
      </c>
      <c r="CE56" s="882">
        <f>IF($BN57=0,0,        _xll.qDateNext($BN56,CE$17,$CG$16,TRUE,Currency2))</f>
        <v>0</v>
      </c>
      <c r="CF56" s="882">
        <f>IF($BN57=0,0,        _xll.qDateNext($BN56,CF$17,$CG$16,TRUE,Currency2))</f>
        <v>0</v>
      </c>
      <c r="CG56" s="882">
        <f>IF($BN57=0,0,        _xll.qDateNext($BN56,CG$17,$CG$16,TRUE,Currency2))</f>
        <v>0</v>
      </c>
      <c r="CH56" s="886">
        <v>0</v>
      </c>
      <c r="CI56" s="886">
        <v>0</v>
      </c>
      <c r="CJ56" s="886">
        <v>0</v>
      </c>
      <c r="CK56" s="886">
        <v>0</v>
      </c>
      <c r="CL56" s="886">
        <f t="shared" si="5"/>
        <v>0</v>
      </c>
      <c r="CM56" s="886">
        <f t="shared" si="28"/>
        <v>0</v>
      </c>
      <c r="CN56" s="886">
        <v>0</v>
      </c>
      <c r="CO56" s="886">
        <v>0</v>
      </c>
      <c r="CP56" s="648">
        <f t="shared" si="6"/>
        <v>0</v>
      </c>
      <c r="CQ56" s="648">
        <f t="shared" si="7"/>
        <v>0</v>
      </c>
      <c r="CR56" s="648">
        <f t="shared" si="8"/>
        <v>0</v>
      </c>
      <c r="CS56" s="648">
        <f t="shared" si="9"/>
        <v>0</v>
      </c>
      <c r="CT56" s="648">
        <f t="shared" si="10"/>
        <v>0</v>
      </c>
      <c r="CU56" s="648">
        <f t="shared" si="11"/>
        <v>0</v>
      </c>
      <c r="CV56" s="648">
        <f t="shared" si="12"/>
        <v>0</v>
      </c>
      <c r="CW56" s="648">
        <f t="shared" si="13"/>
        <v>0</v>
      </c>
      <c r="CX56" s="634">
        <v>0</v>
      </c>
      <c r="CY56" s="616"/>
      <c r="CZ56" s="619">
        <f>IF(BN57=0,0,             IF(ISNUMBER(CY56),CY56,             IF(ISTEXT(CY56),INDEX(CP56:CW56,MATCH(CY56,$CP$17:$CW$17,0)),           IF(CX56="INT",_xll.qInterp(BN57,BZ56:CG56,CP56:CW56),       INDEX(CP56:CW56,MATCH(CX56,$CP$17:$CW$17,0))))))</f>
        <v>0</v>
      </c>
      <c r="DA56" s="755">
        <f t="shared" si="14"/>
        <v>0</v>
      </c>
      <c r="DB56" s="387">
        <f t="shared" si="15"/>
        <v>0</v>
      </c>
      <c r="DC56" s="268">
        <f>IF($BN57=0,0,         IF(LEFT(DCC_Leg2_Fixed,2)="1/",uEvaluate(DCC_Leg2_Fixed),         _xll.qDateYears($BN56,$BN57,DCC_Leg2_Fixed)))</f>
        <v>0</v>
      </c>
      <c r="DD56" s="268">
        <f>IF($BN57,_xll.qDateYears($BN56,$BN57,DCC_Leg2_Float),0)</f>
        <v>0</v>
      </c>
      <c r="DF56" s="332">
        <f t="shared" si="29"/>
        <v>0</v>
      </c>
      <c r="DG56" s="357">
        <f t="shared" si="30"/>
        <v>0</v>
      </c>
      <c r="DH56" s="527"/>
      <c r="DJ56" s="324">
        <f t="shared" si="34"/>
        <v>0</v>
      </c>
      <c r="DK56" s="529"/>
      <c r="DL56" s="338"/>
    </row>
    <row r="57" spans="2:116">
      <c r="O57" s="121">
        <v>0</v>
      </c>
      <c r="P57" s="755">
        <f t="shared" si="0"/>
        <v>0</v>
      </c>
      <c r="Q57" s="125">
        <v>0</v>
      </c>
      <c r="R57" s="890">
        <f>IF(O58=0,0,         IF(OR(Currency1="AUD",Currency1="NZD",Currency1="GBP"),O57,   _xll.qDateNext(O57,"-2b",,,IF(Currency1="EUR","TGT","LON"))))</f>
        <v>0</v>
      </c>
      <c r="S57" s="879" t="str">
        <v/>
      </c>
      <c r="T57" s="879" t="str">
        <v/>
      </c>
      <c r="U57" s="879" t="str">
        <v/>
      </c>
      <c r="V57" s="879" t="str">
        <v/>
      </c>
      <c r="W57" s="879" t="str">
        <v/>
      </c>
      <c r="X57" s="879" t="str">
        <v/>
      </c>
      <c r="Y57" s="879" t="str">
        <v/>
      </c>
      <c r="Z57" s="879" t="str">
        <v/>
      </c>
      <c r="AA57" s="882">
        <f>IF($O58=0,0,        _xll.qDateNext($O57,AA$17,$AH$16,TRUE,Currency1))</f>
        <v>0</v>
      </c>
      <c r="AB57" s="882">
        <f>IF($O58=0,0,        _xll.qDateNext($O57,AB$17,$AH$16,TRUE,Currency1))</f>
        <v>0</v>
      </c>
      <c r="AC57" s="882">
        <f>IF($O58=0,0,        _xll.qDateNext($O57,AC$17,$AH$16,TRUE,Currency1))</f>
        <v>0</v>
      </c>
      <c r="AD57" s="882">
        <f>IF($O58=0,0,        _xll.qDateNext($O57,AD$17,$AH$16,TRUE,Currency1))</f>
        <v>0</v>
      </c>
      <c r="AE57" s="882">
        <f>IF($O58=0,0,        _xll.qDateNext($O57,AE$17,$AH$16,TRUE,Currency1))</f>
        <v>0</v>
      </c>
      <c r="AF57" s="882">
        <f>IF($O58=0,0,        _xll.qDateNext($O57,AF$17,$AH$16,TRUE,Currency1))</f>
        <v>0</v>
      </c>
      <c r="AG57" s="882">
        <f>IF($O58=0,0,        _xll.qDateNext($O57,AG$17,$AH$16,TRUE,Currency1))</f>
        <v>0</v>
      </c>
      <c r="AH57" s="882">
        <f>IF($O58=0,0,        _xll.qDateNext($O57,AH$17,$AH$16,TRUE,Currency1))</f>
        <v>0</v>
      </c>
      <c r="AI57" s="886">
        <f>IF($O58=0,0,           IF(FRM,_xll.qGetFwdRate(AI$14,$O57,AA57,"T",DCC_Leg1_Float),_xll.qGetFwdRate(AI$14,$O57,$O58,"T",DCC_Leg1_Float)))</f>
        <v>0</v>
      </c>
      <c r="AJ57" s="886">
        <f>IF($O58=0,0,           IF(FRM,_xll.qGetFwdRate(AJ$14,$O57,AB57,"T",DCC_Leg1_Float),_xll.qGetFwdRate(AJ$14,$O57,$O58,"T",DCC_Leg1_Float)))</f>
        <v>0</v>
      </c>
      <c r="AK57" s="886">
        <f t="shared" si="1"/>
        <v>0</v>
      </c>
      <c r="AL57" s="886">
        <f>IF($O58=0,0,           IF(FRM,_xll.qGetFwdRate(AL$14,$O57,AD57,"T",DCC_Leg1_Float),_xll.qGetFwdRate(AL$14,$O57,$O58,"T",DCC_Leg1_Float)))</f>
        <v>0</v>
      </c>
      <c r="AM57" s="886">
        <f t="shared" si="16"/>
        <v>0</v>
      </c>
      <c r="AN57" s="886">
        <f t="shared" si="17"/>
        <v>0</v>
      </c>
      <c r="AO57" s="886">
        <f>IF($O58=0,0,           IF(FRM,_xll.qGetFwdRate(AO$14,$O57,AG57,"T",DCC_Leg1_Float),_xll.qGetFwdRate(AO$14,$O57,$O58,"T",DCC_Leg1_Float)))</f>
        <v>0</v>
      </c>
      <c r="AP57" s="886">
        <f>IF($O58=0,0,           IF(FRM,_xll.qGetFwdRate(AP$14,$O57,AH57,"T",DCC_Leg1_Float),_xll.qGetFwdRate(AP$14,$O57,$O58,"T",DCC_Leg1_Float)))</f>
        <v>0</v>
      </c>
      <c r="AQ57" s="648">
        <f t="shared" si="18"/>
        <v>0</v>
      </c>
      <c r="AR57" s="648">
        <f t="shared" si="19"/>
        <v>0</v>
      </c>
      <c r="AS57" s="648">
        <f t="shared" si="20"/>
        <v>0</v>
      </c>
      <c r="AT57" s="648">
        <f t="shared" si="21"/>
        <v>0</v>
      </c>
      <c r="AU57" s="648">
        <f t="shared" si="22"/>
        <v>0</v>
      </c>
      <c r="AV57" s="648">
        <f t="shared" si="23"/>
        <v>0</v>
      </c>
      <c r="AW57" s="648">
        <f t="shared" si="24"/>
        <v>0</v>
      </c>
      <c r="AX57" s="648">
        <f t="shared" si="25"/>
        <v>0</v>
      </c>
      <c r="AY57" s="634">
        <v>0</v>
      </c>
      <c r="AZ57" s="616"/>
      <c r="BA57" s="619">
        <f>IF(O58=0,0,             IF(ISNUMBER(AZ57),AZ57,             IF(ISTEXT(AZ57),INDEX(AQ57:AX57,MATCH(AZ57,$AQ$17:$AX$17,0)),           IF(AY57="INT",_xll.qInterp(O58,AA57:AH57,AQ57:AX57),       INDEX(AQ57:AX57,MATCH(AY57,$AQ$17:$AX$17,0))))))</f>
        <v>0</v>
      </c>
      <c r="BB57" s="674">
        <v>100</v>
      </c>
      <c r="BC57" s="666">
        <f t="shared" si="3"/>
        <v>0</v>
      </c>
      <c r="BD57" s="268">
        <f>IF($O58=0,0,                IF(LEFT(DCC_Leg1_Fixed,2)="1/",uEvaluate(DCC_Leg1_Fixed),        _xll.qDateYears($O57,$O58,DCC_Leg1_Fixed)))</f>
        <v>0</v>
      </c>
      <c r="BE57" s="268">
        <f>IF($O58,_xll.qDateYears($O57,$O58,DCC_Leg1_Float),0)</f>
        <v>0</v>
      </c>
      <c r="BG57" s="332">
        <f t="shared" si="26"/>
        <v>0</v>
      </c>
      <c r="BH57" s="357">
        <f t="shared" si="27"/>
        <v>0</v>
      </c>
      <c r="BI57" s="527"/>
      <c r="BK57" s="324">
        <f t="shared" si="33"/>
        <v>0</v>
      </c>
      <c r="BM57" s="338"/>
      <c r="BN57" s="121">
        <v>0</v>
      </c>
      <c r="BO57" s="755">
        <f t="shared" si="4"/>
        <v>0</v>
      </c>
      <c r="BP57" s="339">
        <v>0</v>
      </c>
      <c r="BQ57" s="890">
        <f>IF(BN58=0,0,         IF(OR(Currency2="AUD",Currency1="NZD",Currency2="GBP"),BN57,   _xll.qDateNext(BN57,"-2b",,,IF(Currency2="EUR","TGT","LON"))))</f>
        <v>0</v>
      </c>
      <c r="BR57" s="879" t="str">
        <v/>
      </c>
      <c r="BS57" s="879" t="str">
        <v/>
      </c>
      <c r="BT57" s="879" t="str">
        <v/>
      </c>
      <c r="BU57" s="879" t="str">
        <v/>
      </c>
      <c r="BV57" s="879" t="str">
        <v/>
      </c>
      <c r="BW57" s="879" t="str">
        <v/>
      </c>
      <c r="BX57" s="879" t="str">
        <v/>
      </c>
      <c r="BY57" s="879" t="str">
        <v/>
      </c>
      <c r="BZ57" s="882">
        <f>IF($BN58=0,0,        _xll.qDateNext($BN57,BZ$17,$CG$16,TRUE,Currency2))</f>
        <v>0</v>
      </c>
      <c r="CA57" s="882">
        <f>IF($BN58=0,0,        _xll.qDateNext($BN57,CA$17,$CG$16,TRUE,Currency2))</f>
        <v>0</v>
      </c>
      <c r="CB57" s="882">
        <f>IF($BN58=0,0,        _xll.qDateNext($BN57,CB$17,$CG$16,TRUE,Currency2))</f>
        <v>0</v>
      </c>
      <c r="CC57" s="882">
        <f>IF($BN58=0,0,        _xll.qDateNext($BN57,CC$17,$CG$16,TRUE,Currency2))</f>
        <v>0</v>
      </c>
      <c r="CD57" s="882">
        <f>IF($BN58=0,0,        _xll.qDateNext($BN57,CD$17,$CG$16,TRUE,Currency2))</f>
        <v>0</v>
      </c>
      <c r="CE57" s="882">
        <f>IF($BN58=0,0,        _xll.qDateNext($BN57,CE$17,$CG$16,TRUE,Currency2))</f>
        <v>0</v>
      </c>
      <c r="CF57" s="882">
        <f>IF($BN58=0,0,        _xll.qDateNext($BN57,CF$17,$CG$16,TRUE,Currency2))</f>
        <v>0</v>
      </c>
      <c r="CG57" s="882">
        <f>IF($BN58=0,0,        _xll.qDateNext($BN57,CG$17,$CG$16,TRUE,Currency2))</f>
        <v>0</v>
      </c>
      <c r="CH57" s="886">
        <v>0</v>
      </c>
      <c r="CI57" s="886">
        <v>0</v>
      </c>
      <c r="CJ57" s="886">
        <v>0</v>
      </c>
      <c r="CK57" s="886">
        <v>0</v>
      </c>
      <c r="CL57" s="886">
        <f t="shared" si="5"/>
        <v>0</v>
      </c>
      <c r="CM57" s="886">
        <f t="shared" si="28"/>
        <v>0</v>
      </c>
      <c r="CN57" s="886">
        <v>0</v>
      </c>
      <c r="CO57" s="886">
        <v>0</v>
      </c>
      <c r="CP57" s="648">
        <f t="shared" si="6"/>
        <v>0</v>
      </c>
      <c r="CQ57" s="648">
        <f t="shared" si="7"/>
        <v>0</v>
      </c>
      <c r="CR57" s="648">
        <f t="shared" si="8"/>
        <v>0</v>
      </c>
      <c r="CS57" s="648">
        <f t="shared" si="9"/>
        <v>0</v>
      </c>
      <c r="CT57" s="648">
        <f t="shared" si="10"/>
        <v>0</v>
      </c>
      <c r="CU57" s="648">
        <f t="shared" si="11"/>
        <v>0</v>
      </c>
      <c r="CV57" s="648">
        <f t="shared" si="12"/>
        <v>0</v>
      </c>
      <c r="CW57" s="648">
        <f t="shared" si="13"/>
        <v>0</v>
      </c>
      <c r="CX57" s="634">
        <v>0</v>
      </c>
      <c r="CY57" s="616"/>
      <c r="CZ57" s="619">
        <f>IF(BN58=0,0,             IF(ISNUMBER(CY57),CY57,             IF(ISTEXT(CY57),INDEX(CP57:CW57,MATCH(CY57,$CP$17:$CW$17,0)),           IF(CX57="INT",_xll.qInterp(BN58,BZ57:CG57,CP57:CW57),       INDEX(CP57:CW57,MATCH(CX57,$CP$17:$CW$17,0))))))</f>
        <v>0</v>
      </c>
      <c r="DA57" s="755">
        <f t="shared" si="14"/>
        <v>0</v>
      </c>
      <c r="DB57" s="387">
        <f t="shared" si="15"/>
        <v>0</v>
      </c>
      <c r="DC57" s="268">
        <f>IF($BN58=0,0,         IF(LEFT(DCC_Leg2_Fixed,2)="1/",uEvaluate(DCC_Leg2_Fixed),         _xll.qDateYears($BN57,$BN58,DCC_Leg2_Fixed)))</f>
        <v>0</v>
      </c>
      <c r="DD57" s="268">
        <f>IF($BN58,_xll.qDateYears($BN57,$BN58,DCC_Leg2_Float),0)</f>
        <v>0</v>
      </c>
      <c r="DF57" s="332">
        <f t="shared" si="29"/>
        <v>0</v>
      </c>
      <c r="DG57" s="357">
        <f t="shared" si="30"/>
        <v>0</v>
      </c>
      <c r="DH57" s="527"/>
      <c r="DJ57" s="324">
        <f t="shared" si="34"/>
        <v>0</v>
      </c>
      <c r="DK57" s="529"/>
      <c r="DL57" s="338"/>
    </row>
    <row r="58" spans="2:116">
      <c r="O58" s="121">
        <v>0</v>
      </c>
      <c r="P58" s="755">
        <f t="shared" si="0"/>
        <v>0</v>
      </c>
      <c r="Q58" s="125">
        <v>0</v>
      </c>
      <c r="R58" s="890">
        <f>IF(O59=0,0,         IF(OR(Currency1="AUD",Currency1="NZD",Currency1="GBP"),O58,   _xll.qDateNext(O58,"-2b",,,IF(Currency1="EUR","TGT","LON"))))</f>
        <v>0</v>
      </c>
      <c r="S58" s="879" t="str">
        <v/>
      </c>
      <c r="T58" s="879" t="str">
        <v/>
      </c>
      <c r="U58" s="879" t="str">
        <v/>
      </c>
      <c r="V58" s="879" t="str">
        <v/>
      </c>
      <c r="W58" s="879" t="str">
        <v/>
      </c>
      <c r="X58" s="879" t="str">
        <v/>
      </c>
      <c r="Y58" s="879" t="str">
        <v/>
      </c>
      <c r="Z58" s="879" t="str">
        <v/>
      </c>
      <c r="AA58" s="882">
        <f>IF($O59=0,0,        _xll.qDateNext($O58,AA$17,$AH$16,TRUE,Currency1))</f>
        <v>0</v>
      </c>
      <c r="AB58" s="882">
        <f>IF($O59=0,0,        _xll.qDateNext($O58,AB$17,$AH$16,TRUE,Currency1))</f>
        <v>0</v>
      </c>
      <c r="AC58" s="882">
        <f>IF($O59=0,0,        _xll.qDateNext($O58,AC$17,$AH$16,TRUE,Currency1))</f>
        <v>0</v>
      </c>
      <c r="AD58" s="882">
        <f>IF($O59=0,0,        _xll.qDateNext($O58,AD$17,$AH$16,TRUE,Currency1))</f>
        <v>0</v>
      </c>
      <c r="AE58" s="882">
        <f>IF($O59=0,0,        _xll.qDateNext($O58,AE$17,$AH$16,TRUE,Currency1))</f>
        <v>0</v>
      </c>
      <c r="AF58" s="882">
        <f>IF($O59=0,0,        _xll.qDateNext($O58,AF$17,$AH$16,TRUE,Currency1))</f>
        <v>0</v>
      </c>
      <c r="AG58" s="882">
        <f>IF($O59=0,0,        _xll.qDateNext($O58,AG$17,$AH$16,TRUE,Currency1))</f>
        <v>0</v>
      </c>
      <c r="AH58" s="882">
        <f>IF($O59=0,0,        _xll.qDateNext($O58,AH$17,$AH$16,TRUE,Currency1))</f>
        <v>0</v>
      </c>
      <c r="AI58" s="886">
        <f>IF($O59=0,0,           IF(FRM,_xll.qGetFwdRate(AI$14,$O58,AA58,"T",DCC_Leg1_Float),_xll.qGetFwdRate(AI$14,$O58,$O59,"T",DCC_Leg1_Float)))</f>
        <v>0</v>
      </c>
      <c r="AJ58" s="886">
        <f>IF($O59=0,0,           IF(FRM,_xll.qGetFwdRate(AJ$14,$O58,AB58,"T",DCC_Leg1_Float),_xll.qGetFwdRate(AJ$14,$O58,$O59,"T",DCC_Leg1_Float)))</f>
        <v>0</v>
      </c>
      <c r="AK58" s="886">
        <f t="shared" si="1"/>
        <v>0</v>
      </c>
      <c r="AL58" s="886">
        <f>IF($O59=0,0,           IF(FRM,_xll.qGetFwdRate(AL$14,$O58,AD58,"T",DCC_Leg1_Float),_xll.qGetFwdRate(AL$14,$O58,$O59,"T",DCC_Leg1_Float)))</f>
        <v>0</v>
      </c>
      <c r="AM58" s="886">
        <f t="shared" si="16"/>
        <v>0</v>
      </c>
      <c r="AN58" s="886">
        <f t="shared" si="17"/>
        <v>0</v>
      </c>
      <c r="AO58" s="886">
        <f>IF($O59=0,0,           IF(FRM,_xll.qGetFwdRate(AO$14,$O58,AG58,"T",DCC_Leg1_Float),_xll.qGetFwdRate(AO$14,$O58,$O59,"T",DCC_Leg1_Float)))</f>
        <v>0</v>
      </c>
      <c r="AP58" s="886">
        <f>IF($O59=0,0,           IF(FRM,_xll.qGetFwdRate(AP$14,$O58,AH58,"T",DCC_Leg1_Float),_xll.qGetFwdRate(AP$14,$O58,$O59,"T",DCC_Leg1_Float)))</f>
        <v>0</v>
      </c>
      <c r="AQ58" s="648">
        <f t="shared" si="18"/>
        <v>0</v>
      </c>
      <c r="AR58" s="648">
        <f t="shared" si="19"/>
        <v>0</v>
      </c>
      <c r="AS58" s="648">
        <f t="shared" si="20"/>
        <v>0</v>
      </c>
      <c r="AT58" s="648">
        <f t="shared" si="21"/>
        <v>0</v>
      </c>
      <c r="AU58" s="648">
        <f t="shared" si="22"/>
        <v>0</v>
      </c>
      <c r="AV58" s="648">
        <f t="shared" si="23"/>
        <v>0</v>
      </c>
      <c r="AW58" s="648">
        <f t="shared" si="24"/>
        <v>0</v>
      </c>
      <c r="AX58" s="648">
        <f t="shared" si="25"/>
        <v>0</v>
      </c>
      <c r="AY58" s="634">
        <v>0</v>
      </c>
      <c r="AZ58" s="616"/>
      <c r="BA58" s="619">
        <f>IF(O59=0,0,             IF(ISNUMBER(AZ58),AZ58,             IF(ISTEXT(AZ58),INDEX(AQ58:AX58,MATCH(AZ58,$AQ$17:$AX$17,0)),           IF(AY58="INT",_xll.qInterp(O59,AA58:AH58,AQ58:AX58),       INDEX(AQ58:AX58,MATCH(AY58,$AQ$17:$AX$17,0))))))</f>
        <v>0</v>
      </c>
      <c r="BB58" s="674">
        <v>100</v>
      </c>
      <c r="BC58" s="666">
        <f t="shared" si="3"/>
        <v>0</v>
      </c>
      <c r="BD58" s="268">
        <f>IF($O59=0,0,                IF(LEFT(DCC_Leg1_Fixed,2)="1/",uEvaluate(DCC_Leg1_Fixed),        _xll.qDateYears($O58,$O59,DCC_Leg1_Fixed)))</f>
        <v>0</v>
      </c>
      <c r="BE58" s="268">
        <f>IF($O59,_xll.qDateYears($O58,$O59,DCC_Leg1_Float),0)</f>
        <v>0</v>
      </c>
      <c r="BG58" s="332">
        <f t="shared" si="26"/>
        <v>0</v>
      </c>
      <c r="BH58" s="357">
        <f t="shared" si="27"/>
        <v>0</v>
      </c>
      <c r="BI58" s="527"/>
      <c r="BK58" s="324">
        <f t="shared" si="33"/>
        <v>0</v>
      </c>
      <c r="BM58" s="338"/>
      <c r="BN58" s="121">
        <v>0</v>
      </c>
      <c r="BO58" s="755">
        <f t="shared" si="4"/>
        <v>0</v>
      </c>
      <c r="BP58" s="339">
        <v>0</v>
      </c>
      <c r="BQ58" s="890">
        <f>IF(BN59=0,0,         IF(OR(Currency2="AUD",Currency1="NZD",Currency2="GBP"),BN58,   _xll.qDateNext(BN58,"-2b",,,IF(Currency2="EUR","TGT","LON"))))</f>
        <v>0</v>
      </c>
      <c r="BR58" s="879" t="str">
        <v/>
      </c>
      <c r="BS58" s="879" t="str">
        <v/>
      </c>
      <c r="BT58" s="879" t="str">
        <v/>
      </c>
      <c r="BU58" s="879" t="str">
        <v/>
      </c>
      <c r="BV58" s="879" t="str">
        <v/>
      </c>
      <c r="BW58" s="879" t="str">
        <v/>
      </c>
      <c r="BX58" s="879" t="str">
        <v/>
      </c>
      <c r="BY58" s="879" t="str">
        <v/>
      </c>
      <c r="BZ58" s="882">
        <f>IF($BN59=0,0,        _xll.qDateNext($BN58,BZ$17,$CG$16,TRUE,Currency2))</f>
        <v>0</v>
      </c>
      <c r="CA58" s="882">
        <f>IF($BN59=0,0,        _xll.qDateNext($BN58,CA$17,$CG$16,TRUE,Currency2))</f>
        <v>0</v>
      </c>
      <c r="CB58" s="882">
        <f>IF($BN59=0,0,        _xll.qDateNext($BN58,CB$17,$CG$16,TRUE,Currency2))</f>
        <v>0</v>
      </c>
      <c r="CC58" s="882">
        <f>IF($BN59=0,0,        _xll.qDateNext($BN58,CC$17,$CG$16,TRUE,Currency2))</f>
        <v>0</v>
      </c>
      <c r="CD58" s="882">
        <f>IF($BN59=0,0,        _xll.qDateNext($BN58,CD$17,$CG$16,TRUE,Currency2))</f>
        <v>0</v>
      </c>
      <c r="CE58" s="882">
        <f>IF($BN59=0,0,        _xll.qDateNext($BN58,CE$17,$CG$16,TRUE,Currency2))</f>
        <v>0</v>
      </c>
      <c r="CF58" s="882">
        <f>IF($BN59=0,0,        _xll.qDateNext($BN58,CF$17,$CG$16,TRUE,Currency2))</f>
        <v>0</v>
      </c>
      <c r="CG58" s="882">
        <f>IF($BN59=0,0,        _xll.qDateNext($BN58,CG$17,$CG$16,TRUE,Currency2))</f>
        <v>0</v>
      </c>
      <c r="CH58" s="886">
        <v>0</v>
      </c>
      <c r="CI58" s="886">
        <v>0</v>
      </c>
      <c r="CJ58" s="886">
        <v>0</v>
      </c>
      <c r="CK58" s="886">
        <v>0</v>
      </c>
      <c r="CL58" s="886">
        <f t="shared" si="5"/>
        <v>0</v>
      </c>
      <c r="CM58" s="886">
        <f t="shared" si="28"/>
        <v>0</v>
      </c>
      <c r="CN58" s="886">
        <v>0</v>
      </c>
      <c r="CO58" s="886">
        <v>0</v>
      </c>
      <c r="CP58" s="648">
        <f t="shared" si="6"/>
        <v>0</v>
      </c>
      <c r="CQ58" s="648">
        <f t="shared" si="7"/>
        <v>0</v>
      </c>
      <c r="CR58" s="648">
        <f t="shared" si="8"/>
        <v>0</v>
      </c>
      <c r="CS58" s="648">
        <f t="shared" si="9"/>
        <v>0</v>
      </c>
      <c r="CT58" s="648">
        <f t="shared" si="10"/>
        <v>0</v>
      </c>
      <c r="CU58" s="648">
        <f t="shared" si="11"/>
        <v>0</v>
      </c>
      <c r="CV58" s="648">
        <f t="shared" si="12"/>
        <v>0</v>
      </c>
      <c r="CW58" s="648">
        <f t="shared" si="13"/>
        <v>0</v>
      </c>
      <c r="CX58" s="634">
        <v>0</v>
      </c>
      <c r="CY58" s="616"/>
      <c r="CZ58" s="619">
        <f>IF(BN59=0,0,             IF(ISNUMBER(CY58),CY58,             IF(ISTEXT(CY58),INDEX(CP58:CW58,MATCH(CY58,$CP$17:$CW$17,0)),           IF(CX58="INT",_xll.qInterp(BN59,BZ58:CG58,CP58:CW58),       INDEX(CP58:CW58,MATCH(CX58,$CP$17:$CW$17,0))))))</f>
        <v>0</v>
      </c>
      <c r="DA58" s="755">
        <f t="shared" si="14"/>
        <v>0</v>
      </c>
      <c r="DB58" s="387">
        <f t="shared" si="15"/>
        <v>0</v>
      </c>
      <c r="DC58" s="268">
        <f>IF($BN59=0,0,         IF(LEFT(DCC_Leg2_Fixed,2)="1/",uEvaluate(DCC_Leg2_Fixed),         _xll.qDateYears($BN58,$BN59,DCC_Leg2_Fixed)))</f>
        <v>0</v>
      </c>
      <c r="DD58" s="268">
        <f>IF($BN59,_xll.qDateYears($BN58,$BN59,DCC_Leg2_Float),0)</f>
        <v>0</v>
      </c>
      <c r="DF58" s="332">
        <f t="shared" si="29"/>
        <v>0</v>
      </c>
      <c r="DG58" s="357">
        <f t="shared" si="30"/>
        <v>0</v>
      </c>
      <c r="DH58" s="527"/>
      <c r="DJ58" s="324">
        <f t="shared" si="34"/>
        <v>0</v>
      </c>
      <c r="DK58" s="529"/>
      <c r="DL58" s="338"/>
    </row>
    <row r="59" spans="2:116">
      <c r="O59" s="121">
        <v>0</v>
      </c>
      <c r="P59" s="755">
        <f t="shared" si="0"/>
        <v>0</v>
      </c>
      <c r="Q59" s="125">
        <v>0</v>
      </c>
      <c r="R59" s="890">
        <f>IF(O60=0,0,         IF(OR(Currency1="AUD",Currency1="NZD",Currency1="GBP"),O59,   _xll.qDateNext(O59,"-2b",,,IF(Currency1="EUR","TGT","LON"))))</f>
        <v>0</v>
      </c>
      <c r="S59" s="879" t="str">
        <v/>
      </c>
      <c r="T59" s="879" t="str">
        <v/>
      </c>
      <c r="U59" s="879" t="str">
        <v/>
      </c>
      <c r="V59" s="879" t="str">
        <v/>
      </c>
      <c r="W59" s="879" t="str">
        <v/>
      </c>
      <c r="X59" s="879" t="str">
        <v/>
      </c>
      <c r="Y59" s="879" t="str">
        <v/>
      </c>
      <c r="Z59" s="879" t="str">
        <v/>
      </c>
      <c r="AA59" s="882">
        <f>IF($O60=0,0,        _xll.qDateNext($O59,AA$17,$AH$16,TRUE,Currency1))</f>
        <v>0</v>
      </c>
      <c r="AB59" s="882">
        <f>IF($O60=0,0,        _xll.qDateNext($O59,AB$17,$AH$16,TRUE,Currency1))</f>
        <v>0</v>
      </c>
      <c r="AC59" s="882">
        <f>IF($O60=0,0,        _xll.qDateNext($O59,AC$17,$AH$16,TRUE,Currency1))</f>
        <v>0</v>
      </c>
      <c r="AD59" s="882">
        <f>IF($O60=0,0,        _xll.qDateNext($O59,AD$17,$AH$16,TRUE,Currency1))</f>
        <v>0</v>
      </c>
      <c r="AE59" s="882">
        <f>IF($O60=0,0,        _xll.qDateNext($O59,AE$17,$AH$16,TRUE,Currency1))</f>
        <v>0</v>
      </c>
      <c r="AF59" s="882">
        <f>IF($O60=0,0,        _xll.qDateNext($O59,AF$17,$AH$16,TRUE,Currency1))</f>
        <v>0</v>
      </c>
      <c r="AG59" s="882">
        <f>IF($O60=0,0,        _xll.qDateNext($O59,AG$17,$AH$16,TRUE,Currency1))</f>
        <v>0</v>
      </c>
      <c r="AH59" s="882">
        <f>IF($O60=0,0,        _xll.qDateNext($O59,AH$17,$AH$16,TRUE,Currency1))</f>
        <v>0</v>
      </c>
      <c r="AI59" s="886">
        <f>IF($O60=0,0,           IF(FRM,_xll.qGetFwdRate(AI$14,$O59,AA59,"T",DCC_Leg1_Float),_xll.qGetFwdRate(AI$14,$O59,$O60,"T",DCC_Leg1_Float)))</f>
        <v>0</v>
      </c>
      <c r="AJ59" s="886">
        <f>IF($O60=0,0,           IF(FRM,_xll.qGetFwdRate(AJ$14,$O59,AB59,"T",DCC_Leg1_Float),_xll.qGetFwdRate(AJ$14,$O59,$O60,"T",DCC_Leg1_Float)))</f>
        <v>0</v>
      </c>
      <c r="AK59" s="886">
        <f t="shared" si="1"/>
        <v>0</v>
      </c>
      <c r="AL59" s="886">
        <f>IF($O60=0,0,           IF(FRM,_xll.qGetFwdRate(AL$14,$O59,AD59,"T",DCC_Leg1_Float),_xll.qGetFwdRate(AL$14,$O59,$O60,"T",DCC_Leg1_Float)))</f>
        <v>0</v>
      </c>
      <c r="AM59" s="886">
        <f t="shared" si="16"/>
        <v>0</v>
      </c>
      <c r="AN59" s="886">
        <f t="shared" si="17"/>
        <v>0</v>
      </c>
      <c r="AO59" s="886">
        <f>IF($O60=0,0,           IF(FRM,_xll.qGetFwdRate(AO$14,$O59,AG59,"T",DCC_Leg1_Float),_xll.qGetFwdRate(AO$14,$O59,$O60,"T",DCC_Leg1_Float)))</f>
        <v>0</v>
      </c>
      <c r="AP59" s="886">
        <f>IF($O60=0,0,           IF(FRM,_xll.qGetFwdRate(AP$14,$O59,AH59,"T",DCC_Leg1_Float),_xll.qGetFwdRate(AP$14,$O59,$O60,"T",DCC_Leg1_Float)))</f>
        <v>0</v>
      </c>
      <c r="AQ59" s="648">
        <f t="shared" si="18"/>
        <v>0</v>
      </c>
      <c r="AR59" s="648">
        <f t="shared" si="19"/>
        <v>0</v>
      </c>
      <c r="AS59" s="648">
        <f t="shared" si="20"/>
        <v>0</v>
      </c>
      <c r="AT59" s="648">
        <f t="shared" si="21"/>
        <v>0</v>
      </c>
      <c r="AU59" s="648">
        <f t="shared" si="22"/>
        <v>0</v>
      </c>
      <c r="AV59" s="648">
        <f t="shared" si="23"/>
        <v>0</v>
      </c>
      <c r="AW59" s="648">
        <f t="shared" si="24"/>
        <v>0</v>
      </c>
      <c r="AX59" s="648">
        <f t="shared" si="25"/>
        <v>0</v>
      </c>
      <c r="AY59" s="634">
        <v>0</v>
      </c>
      <c r="AZ59" s="616"/>
      <c r="BA59" s="619">
        <f>IF(O60=0,0,             IF(ISNUMBER(AZ59),AZ59,             IF(ISTEXT(AZ59),INDEX(AQ59:AX59,MATCH(AZ59,$AQ$17:$AX$17,0)),           IF(AY59="INT",_xll.qInterp(O60,AA59:AH59,AQ59:AX59),       INDEX(AQ59:AX59,MATCH(AY59,$AQ$17:$AX$17,0))))))</f>
        <v>0</v>
      </c>
      <c r="BB59" s="674">
        <v>100</v>
      </c>
      <c r="BC59" s="666">
        <f t="shared" si="3"/>
        <v>0</v>
      </c>
      <c r="BD59" s="268">
        <f>IF($O60=0,0,                IF(LEFT(DCC_Leg1_Fixed,2)="1/",uEvaluate(DCC_Leg1_Fixed),        _xll.qDateYears($O59,$O60,DCC_Leg1_Fixed)))</f>
        <v>0</v>
      </c>
      <c r="BE59" s="268">
        <f>IF($O60,_xll.qDateYears($O59,$O60,DCC_Leg1_Float),0)</f>
        <v>0</v>
      </c>
      <c r="BG59" s="332">
        <f t="shared" si="26"/>
        <v>0</v>
      </c>
      <c r="BH59" s="357">
        <f t="shared" si="27"/>
        <v>0</v>
      </c>
      <c r="BI59" s="527"/>
      <c r="BK59" s="324">
        <f t="shared" si="33"/>
        <v>0</v>
      </c>
      <c r="BM59" s="338"/>
      <c r="BN59" s="121">
        <v>0</v>
      </c>
      <c r="BO59" s="755">
        <f t="shared" si="4"/>
        <v>0</v>
      </c>
      <c r="BP59" s="339">
        <v>0</v>
      </c>
      <c r="BQ59" s="890">
        <f>IF(BN60=0,0,         IF(OR(Currency2="AUD",Currency1="NZD",Currency2="GBP"),BN59,   _xll.qDateNext(BN59,"-2b",,,IF(Currency2="EUR","TGT","LON"))))</f>
        <v>0</v>
      </c>
      <c r="BR59" s="879" t="str">
        <v/>
      </c>
      <c r="BS59" s="879" t="str">
        <v/>
      </c>
      <c r="BT59" s="879" t="str">
        <v/>
      </c>
      <c r="BU59" s="879" t="str">
        <v/>
      </c>
      <c r="BV59" s="879" t="str">
        <v/>
      </c>
      <c r="BW59" s="879" t="str">
        <v/>
      </c>
      <c r="BX59" s="879" t="str">
        <v/>
      </c>
      <c r="BY59" s="879" t="str">
        <v/>
      </c>
      <c r="BZ59" s="882">
        <f>IF($BN60=0,0,        _xll.qDateNext($BN59,BZ$17,$CG$16,TRUE,Currency2))</f>
        <v>0</v>
      </c>
      <c r="CA59" s="882">
        <f>IF($BN60=0,0,        _xll.qDateNext($BN59,CA$17,$CG$16,TRUE,Currency2))</f>
        <v>0</v>
      </c>
      <c r="CB59" s="882">
        <f>IF($BN60=0,0,        _xll.qDateNext($BN59,CB$17,$CG$16,TRUE,Currency2))</f>
        <v>0</v>
      </c>
      <c r="CC59" s="882">
        <f>IF($BN60=0,0,        _xll.qDateNext($BN59,CC$17,$CG$16,TRUE,Currency2))</f>
        <v>0</v>
      </c>
      <c r="CD59" s="882">
        <f>IF($BN60=0,0,        _xll.qDateNext($BN59,CD$17,$CG$16,TRUE,Currency2))</f>
        <v>0</v>
      </c>
      <c r="CE59" s="882">
        <f>IF($BN60=0,0,        _xll.qDateNext($BN59,CE$17,$CG$16,TRUE,Currency2))</f>
        <v>0</v>
      </c>
      <c r="CF59" s="882">
        <f>IF($BN60=0,0,        _xll.qDateNext($BN59,CF$17,$CG$16,TRUE,Currency2))</f>
        <v>0</v>
      </c>
      <c r="CG59" s="882">
        <f>IF($BN60=0,0,        _xll.qDateNext($BN59,CG$17,$CG$16,TRUE,Currency2))</f>
        <v>0</v>
      </c>
      <c r="CH59" s="886">
        <v>0</v>
      </c>
      <c r="CI59" s="886">
        <v>0</v>
      </c>
      <c r="CJ59" s="886">
        <v>0</v>
      </c>
      <c r="CK59" s="886">
        <v>0</v>
      </c>
      <c r="CL59" s="886">
        <f t="shared" si="5"/>
        <v>0</v>
      </c>
      <c r="CM59" s="886">
        <f t="shared" si="28"/>
        <v>0</v>
      </c>
      <c r="CN59" s="886">
        <v>0</v>
      </c>
      <c r="CO59" s="886">
        <v>0</v>
      </c>
      <c r="CP59" s="648">
        <f t="shared" si="6"/>
        <v>0</v>
      </c>
      <c r="CQ59" s="648">
        <f t="shared" si="7"/>
        <v>0</v>
      </c>
      <c r="CR59" s="648">
        <f t="shared" si="8"/>
        <v>0</v>
      </c>
      <c r="CS59" s="648">
        <f t="shared" si="9"/>
        <v>0</v>
      </c>
      <c r="CT59" s="648">
        <f t="shared" si="10"/>
        <v>0</v>
      </c>
      <c r="CU59" s="648">
        <f t="shared" si="11"/>
        <v>0</v>
      </c>
      <c r="CV59" s="648">
        <f t="shared" si="12"/>
        <v>0</v>
      </c>
      <c r="CW59" s="648">
        <f t="shared" si="13"/>
        <v>0</v>
      </c>
      <c r="CX59" s="634">
        <v>0</v>
      </c>
      <c r="CY59" s="616"/>
      <c r="CZ59" s="619">
        <f>IF(BN60=0,0,             IF(ISNUMBER(CY59),CY59,             IF(ISTEXT(CY59),INDEX(CP59:CW59,MATCH(CY59,$CP$17:$CW$17,0)),           IF(CX59="INT",_xll.qInterp(BN60,BZ59:CG59,CP59:CW59),       INDEX(CP59:CW59,MATCH(CX59,$CP$17:$CW$17,0))))))</f>
        <v>0</v>
      </c>
      <c r="DA59" s="755">
        <f t="shared" si="14"/>
        <v>0</v>
      </c>
      <c r="DB59" s="387">
        <f t="shared" si="15"/>
        <v>0</v>
      </c>
      <c r="DC59" s="268">
        <f>IF($BN60=0,0,         IF(LEFT(DCC_Leg2_Fixed,2)="1/",uEvaluate(DCC_Leg2_Fixed),         _xll.qDateYears($BN59,$BN60,DCC_Leg2_Fixed)))</f>
        <v>0</v>
      </c>
      <c r="DD59" s="268">
        <f>IF($BN60,_xll.qDateYears($BN59,$BN60,DCC_Leg2_Float),0)</f>
        <v>0</v>
      </c>
      <c r="DF59" s="332">
        <f t="shared" si="29"/>
        <v>0</v>
      </c>
      <c r="DG59" s="357">
        <f t="shared" si="30"/>
        <v>0</v>
      </c>
      <c r="DH59" s="527"/>
      <c r="DJ59" s="324">
        <f t="shared" si="34"/>
        <v>0</v>
      </c>
      <c r="DK59" s="529"/>
      <c r="DL59" s="338"/>
    </row>
    <row r="60" spans="2:116">
      <c r="O60" s="121">
        <v>0</v>
      </c>
      <c r="P60" s="755">
        <f t="shared" si="0"/>
        <v>0</v>
      </c>
      <c r="Q60" s="125">
        <v>0</v>
      </c>
      <c r="R60" s="890">
        <f>IF(O61=0,0,         IF(OR(Currency1="AUD",Currency1="NZD",Currency1="GBP"),O60,   _xll.qDateNext(O60,"-2b",,,IF(Currency1="EUR","TGT","LON"))))</f>
        <v>0</v>
      </c>
      <c r="S60" s="879" t="str">
        <v/>
      </c>
      <c r="T60" s="879" t="str">
        <v/>
      </c>
      <c r="U60" s="879" t="str">
        <v/>
      </c>
      <c r="V60" s="879" t="str">
        <v/>
      </c>
      <c r="W60" s="879" t="str">
        <v/>
      </c>
      <c r="X60" s="879" t="str">
        <v/>
      </c>
      <c r="Y60" s="879" t="str">
        <v/>
      </c>
      <c r="Z60" s="879" t="str">
        <v/>
      </c>
      <c r="AA60" s="882">
        <f>IF($O61=0,0,        _xll.qDateNext($O60,AA$17,$AH$16,TRUE,Currency1))</f>
        <v>0</v>
      </c>
      <c r="AB60" s="882">
        <f>IF($O61=0,0,        _xll.qDateNext($O60,AB$17,$AH$16,TRUE,Currency1))</f>
        <v>0</v>
      </c>
      <c r="AC60" s="882">
        <f>IF($O61=0,0,        _xll.qDateNext($O60,AC$17,$AH$16,TRUE,Currency1))</f>
        <v>0</v>
      </c>
      <c r="AD60" s="882">
        <f>IF($O61=0,0,        _xll.qDateNext($O60,AD$17,$AH$16,TRUE,Currency1))</f>
        <v>0</v>
      </c>
      <c r="AE60" s="882">
        <f>IF($O61=0,0,        _xll.qDateNext($O60,AE$17,$AH$16,TRUE,Currency1))</f>
        <v>0</v>
      </c>
      <c r="AF60" s="882">
        <f>IF($O61=0,0,        _xll.qDateNext($O60,AF$17,$AH$16,TRUE,Currency1))</f>
        <v>0</v>
      </c>
      <c r="AG60" s="882">
        <f>IF($O61=0,0,        _xll.qDateNext($O60,AG$17,$AH$16,TRUE,Currency1))</f>
        <v>0</v>
      </c>
      <c r="AH60" s="882">
        <f>IF($O61=0,0,        _xll.qDateNext($O60,AH$17,$AH$16,TRUE,Currency1))</f>
        <v>0</v>
      </c>
      <c r="AI60" s="886">
        <f>IF($O61=0,0,           IF(FRM,_xll.qGetFwdRate(AI$14,$O60,AA60,"T",DCC_Leg1_Float),_xll.qGetFwdRate(AI$14,$O60,$O61,"T",DCC_Leg1_Float)))</f>
        <v>0</v>
      </c>
      <c r="AJ60" s="886">
        <f>IF($O61=0,0,           IF(FRM,_xll.qGetFwdRate(AJ$14,$O60,AB60,"T",DCC_Leg1_Float),_xll.qGetFwdRate(AJ$14,$O60,$O61,"T",DCC_Leg1_Float)))</f>
        <v>0</v>
      </c>
      <c r="AK60" s="886">
        <f t="shared" si="1"/>
        <v>0</v>
      </c>
      <c r="AL60" s="886">
        <f>IF($O61=0,0,           IF(FRM,_xll.qGetFwdRate(AL$14,$O60,AD60,"T",DCC_Leg1_Float),_xll.qGetFwdRate(AL$14,$O60,$O61,"T",DCC_Leg1_Float)))</f>
        <v>0</v>
      </c>
      <c r="AM60" s="886">
        <f t="shared" si="16"/>
        <v>0</v>
      </c>
      <c r="AN60" s="886">
        <f t="shared" si="17"/>
        <v>0</v>
      </c>
      <c r="AO60" s="886">
        <f>IF($O61=0,0,           IF(FRM,_xll.qGetFwdRate(AO$14,$O60,AG60,"T",DCC_Leg1_Float),_xll.qGetFwdRate(AO$14,$O60,$O61,"T",DCC_Leg1_Float)))</f>
        <v>0</v>
      </c>
      <c r="AP60" s="886">
        <f>IF($O61=0,0,           IF(FRM,_xll.qGetFwdRate(AP$14,$O60,AH60,"T",DCC_Leg1_Float),_xll.qGetFwdRate(AP$14,$O60,$O61,"T",DCC_Leg1_Float)))</f>
        <v>0</v>
      </c>
      <c r="AQ60" s="648">
        <f t="shared" si="18"/>
        <v>0</v>
      </c>
      <c r="AR60" s="648">
        <f t="shared" si="19"/>
        <v>0</v>
      </c>
      <c r="AS60" s="648">
        <f t="shared" si="20"/>
        <v>0</v>
      </c>
      <c r="AT60" s="648">
        <f t="shared" si="21"/>
        <v>0</v>
      </c>
      <c r="AU60" s="648">
        <f t="shared" si="22"/>
        <v>0</v>
      </c>
      <c r="AV60" s="648">
        <f t="shared" si="23"/>
        <v>0</v>
      </c>
      <c r="AW60" s="648">
        <f t="shared" si="24"/>
        <v>0</v>
      </c>
      <c r="AX60" s="648">
        <f t="shared" si="25"/>
        <v>0</v>
      </c>
      <c r="AY60" s="634">
        <v>0</v>
      </c>
      <c r="AZ60" s="616"/>
      <c r="BA60" s="619">
        <f>IF(O61=0,0,             IF(ISNUMBER(AZ60),AZ60,             IF(ISTEXT(AZ60),INDEX(AQ60:AX60,MATCH(AZ60,$AQ$17:$AX$17,0)),           IF(AY60="INT",_xll.qInterp(O61,AA60:AH60,AQ60:AX60),       INDEX(AQ60:AX60,MATCH(AY60,$AQ$17:$AX$17,0))))))</f>
        <v>0</v>
      </c>
      <c r="BB60" s="674">
        <v>100</v>
      </c>
      <c r="BC60" s="666">
        <f t="shared" si="3"/>
        <v>0</v>
      </c>
      <c r="BD60" s="268">
        <f>IF($O61=0,0,                IF(LEFT(DCC_Leg1_Fixed,2)="1/",uEvaluate(DCC_Leg1_Fixed),        _xll.qDateYears($O60,$O61,DCC_Leg1_Fixed)))</f>
        <v>0</v>
      </c>
      <c r="BE60" s="268">
        <f>IF($O61,_xll.qDateYears($O60,$O61,DCC_Leg1_Float),0)</f>
        <v>0</v>
      </c>
      <c r="BG60" s="332">
        <f t="shared" si="26"/>
        <v>0</v>
      </c>
      <c r="BH60" s="357">
        <f t="shared" si="27"/>
        <v>0</v>
      </c>
      <c r="BI60" s="527"/>
      <c r="BK60" s="324">
        <f t="shared" si="33"/>
        <v>0</v>
      </c>
      <c r="BM60" s="338"/>
      <c r="BN60" s="121">
        <v>0</v>
      </c>
      <c r="BO60" s="755">
        <f t="shared" si="4"/>
        <v>0</v>
      </c>
      <c r="BP60" s="339">
        <v>0</v>
      </c>
      <c r="BQ60" s="890">
        <f>IF(BN61=0,0,         IF(OR(Currency2="AUD",Currency1="NZD",Currency2="GBP"),BN60,   _xll.qDateNext(BN60,"-2b",,,IF(Currency2="EUR","TGT","LON"))))</f>
        <v>0</v>
      </c>
      <c r="BR60" s="879" t="str">
        <v/>
      </c>
      <c r="BS60" s="879" t="str">
        <v/>
      </c>
      <c r="BT60" s="879" t="str">
        <v/>
      </c>
      <c r="BU60" s="879" t="str">
        <v/>
      </c>
      <c r="BV60" s="879" t="str">
        <v/>
      </c>
      <c r="BW60" s="879" t="str">
        <v/>
      </c>
      <c r="BX60" s="879" t="str">
        <v/>
      </c>
      <c r="BY60" s="879" t="str">
        <v/>
      </c>
      <c r="BZ60" s="882">
        <f>IF($BN61=0,0,        _xll.qDateNext($BN60,BZ$17,$CG$16,TRUE,Currency2))</f>
        <v>0</v>
      </c>
      <c r="CA60" s="882">
        <f>IF($BN61=0,0,        _xll.qDateNext($BN60,CA$17,$CG$16,TRUE,Currency2))</f>
        <v>0</v>
      </c>
      <c r="CB60" s="882">
        <f>IF($BN61=0,0,        _xll.qDateNext($BN60,CB$17,$CG$16,TRUE,Currency2))</f>
        <v>0</v>
      </c>
      <c r="CC60" s="882">
        <f>IF($BN61=0,0,        _xll.qDateNext($BN60,CC$17,$CG$16,TRUE,Currency2))</f>
        <v>0</v>
      </c>
      <c r="CD60" s="882">
        <f>IF($BN61=0,0,        _xll.qDateNext($BN60,CD$17,$CG$16,TRUE,Currency2))</f>
        <v>0</v>
      </c>
      <c r="CE60" s="882">
        <f>IF($BN61=0,0,        _xll.qDateNext($BN60,CE$17,$CG$16,TRUE,Currency2))</f>
        <v>0</v>
      </c>
      <c r="CF60" s="882">
        <f>IF($BN61=0,0,        _xll.qDateNext($BN60,CF$17,$CG$16,TRUE,Currency2))</f>
        <v>0</v>
      </c>
      <c r="CG60" s="882">
        <f>IF($BN61=0,0,        _xll.qDateNext($BN60,CG$17,$CG$16,TRUE,Currency2))</f>
        <v>0</v>
      </c>
      <c r="CH60" s="886">
        <v>0</v>
      </c>
      <c r="CI60" s="886">
        <v>0</v>
      </c>
      <c r="CJ60" s="886">
        <v>0</v>
      </c>
      <c r="CK60" s="886">
        <v>0</v>
      </c>
      <c r="CL60" s="886">
        <f t="shared" si="5"/>
        <v>0</v>
      </c>
      <c r="CM60" s="886">
        <f t="shared" si="28"/>
        <v>0</v>
      </c>
      <c r="CN60" s="886">
        <v>0</v>
      </c>
      <c r="CO60" s="886">
        <v>0</v>
      </c>
      <c r="CP60" s="648">
        <f t="shared" si="6"/>
        <v>0</v>
      </c>
      <c r="CQ60" s="648">
        <f t="shared" si="7"/>
        <v>0</v>
      </c>
      <c r="CR60" s="648">
        <f t="shared" si="8"/>
        <v>0</v>
      </c>
      <c r="CS60" s="648">
        <f t="shared" si="9"/>
        <v>0</v>
      </c>
      <c r="CT60" s="648">
        <f t="shared" si="10"/>
        <v>0</v>
      </c>
      <c r="CU60" s="648">
        <f t="shared" si="11"/>
        <v>0</v>
      </c>
      <c r="CV60" s="648">
        <f t="shared" si="12"/>
        <v>0</v>
      </c>
      <c r="CW60" s="648">
        <f t="shared" si="13"/>
        <v>0</v>
      </c>
      <c r="CX60" s="634">
        <v>0</v>
      </c>
      <c r="CY60" s="616"/>
      <c r="CZ60" s="619">
        <f>IF(BN61=0,0,             IF(ISNUMBER(CY60),CY60,             IF(ISTEXT(CY60),INDEX(CP60:CW60,MATCH(CY60,$CP$17:$CW$17,0)),           IF(CX60="INT",_xll.qInterp(BN61,BZ60:CG60,CP60:CW60),       INDEX(CP60:CW60,MATCH(CX60,$CP$17:$CW$17,0))))))</f>
        <v>0</v>
      </c>
      <c r="DA60" s="755">
        <f t="shared" si="14"/>
        <v>0</v>
      </c>
      <c r="DB60" s="387">
        <f t="shared" si="15"/>
        <v>0</v>
      </c>
      <c r="DC60" s="268">
        <f>IF($BN61=0,0,         IF(LEFT(DCC_Leg2_Fixed,2)="1/",uEvaluate(DCC_Leg2_Fixed),         _xll.qDateYears($BN60,$BN61,DCC_Leg2_Fixed)))</f>
        <v>0</v>
      </c>
      <c r="DD60" s="268">
        <f>IF($BN61,_xll.qDateYears($BN60,$BN61,DCC_Leg2_Float),0)</f>
        <v>0</v>
      </c>
      <c r="DF60" s="332">
        <f t="shared" si="29"/>
        <v>0</v>
      </c>
      <c r="DG60" s="357">
        <f t="shared" si="30"/>
        <v>0</v>
      </c>
      <c r="DH60" s="527"/>
      <c r="DJ60" s="324">
        <f t="shared" si="34"/>
        <v>0</v>
      </c>
      <c r="DK60" s="529"/>
      <c r="DL60" s="338"/>
    </row>
    <row r="61" spans="2:116">
      <c r="O61" s="121">
        <v>0</v>
      </c>
      <c r="P61" s="755">
        <f t="shared" si="0"/>
        <v>0</v>
      </c>
      <c r="Q61" s="125">
        <v>0</v>
      </c>
      <c r="R61" s="890">
        <f>IF(O62=0,0,         IF(OR(Currency1="AUD",Currency1="NZD",Currency1="GBP"),O61,   _xll.qDateNext(O61,"-2b",,,IF(Currency1="EUR","TGT","LON"))))</f>
        <v>0</v>
      </c>
      <c r="S61" s="879" t="str">
        <v/>
      </c>
      <c r="T61" s="879" t="str">
        <v/>
      </c>
      <c r="U61" s="879" t="str">
        <v/>
      </c>
      <c r="V61" s="879" t="str">
        <v/>
      </c>
      <c r="W61" s="879" t="str">
        <v/>
      </c>
      <c r="X61" s="879" t="str">
        <v/>
      </c>
      <c r="Y61" s="879" t="str">
        <v/>
      </c>
      <c r="Z61" s="879" t="str">
        <v/>
      </c>
      <c r="AA61" s="882">
        <f>IF($O62=0,0,        _xll.qDateNext($O61,AA$17,$AH$16,TRUE,Currency1))</f>
        <v>0</v>
      </c>
      <c r="AB61" s="882">
        <f>IF($O62=0,0,        _xll.qDateNext($O61,AB$17,$AH$16,TRUE,Currency1))</f>
        <v>0</v>
      </c>
      <c r="AC61" s="882">
        <f>IF($O62=0,0,        _xll.qDateNext($O61,AC$17,$AH$16,TRUE,Currency1))</f>
        <v>0</v>
      </c>
      <c r="AD61" s="882">
        <f>IF($O62=0,0,        _xll.qDateNext($O61,AD$17,$AH$16,TRUE,Currency1))</f>
        <v>0</v>
      </c>
      <c r="AE61" s="882">
        <f>IF($O62=0,0,        _xll.qDateNext($O61,AE$17,$AH$16,TRUE,Currency1))</f>
        <v>0</v>
      </c>
      <c r="AF61" s="882">
        <f>IF($O62=0,0,        _xll.qDateNext($O61,AF$17,$AH$16,TRUE,Currency1))</f>
        <v>0</v>
      </c>
      <c r="AG61" s="882">
        <f>IF($O62=0,0,        _xll.qDateNext($O61,AG$17,$AH$16,TRUE,Currency1))</f>
        <v>0</v>
      </c>
      <c r="AH61" s="882">
        <f>IF($O62=0,0,        _xll.qDateNext($O61,AH$17,$AH$16,TRUE,Currency1))</f>
        <v>0</v>
      </c>
      <c r="AI61" s="886">
        <f>IF($O62=0,0,           IF(FRM,_xll.qGetFwdRate(AI$14,$O61,AA61,"T",DCC_Leg1_Float),_xll.qGetFwdRate(AI$14,$O61,$O62,"T",DCC_Leg1_Float)))</f>
        <v>0</v>
      </c>
      <c r="AJ61" s="886">
        <f>IF($O62=0,0,           IF(FRM,_xll.qGetFwdRate(AJ$14,$O61,AB61,"T",DCC_Leg1_Float),_xll.qGetFwdRate(AJ$14,$O61,$O62,"T",DCC_Leg1_Float)))</f>
        <v>0</v>
      </c>
      <c r="AK61" s="886">
        <f t="shared" si="1"/>
        <v>0</v>
      </c>
      <c r="AL61" s="886">
        <f>IF($O62=0,0,           IF(FRM,_xll.qGetFwdRate(AL$14,$O61,AD61,"T",DCC_Leg1_Float),_xll.qGetFwdRate(AL$14,$O61,$O62,"T",DCC_Leg1_Float)))</f>
        <v>0</v>
      </c>
      <c r="AM61" s="886">
        <f t="shared" si="16"/>
        <v>0</v>
      </c>
      <c r="AN61" s="886">
        <f t="shared" si="17"/>
        <v>0</v>
      </c>
      <c r="AO61" s="886">
        <f>IF($O62=0,0,           IF(FRM,_xll.qGetFwdRate(AO$14,$O61,AG61,"T",DCC_Leg1_Float),_xll.qGetFwdRate(AO$14,$O61,$O62,"T",DCC_Leg1_Float)))</f>
        <v>0</v>
      </c>
      <c r="AP61" s="886">
        <f>IF($O62=0,0,           IF(FRM,_xll.qGetFwdRate(AP$14,$O61,AH61,"T",DCC_Leg1_Float),_xll.qGetFwdRate(AP$14,$O61,$O62,"T",DCC_Leg1_Float)))</f>
        <v>0</v>
      </c>
      <c r="AQ61" s="648">
        <f t="shared" si="18"/>
        <v>0</v>
      </c>
      <c r="AR61" s="648">
        <f t="shared" si="19"/>
        <v>0</v>
      </c>
      <c r="AS61" s="648">
        <f t="shared" si="20"/>
        <v>0</v>
      </c>
      <c r="AT61" s="648">
        <f t="shared" si="21"/>
        <v>0</v>
      </c>
      <c r="AU61" s="648">
        <f t="shared" si="22"/>
        <v>0</v>
      </c>
      <c r="AV61" s="648">
        <f t="shared" si="23"/>
        <v>0</v>
      </c>
      <c r="AW61" s="648">
        <f t="shared" si="24"/>
        <v>0</v>
      </c>
      <c r="AX61" s="648">
        <f t="shared" si="25"/>
        <v>0</v>
      </c>
      <c r="AY61" s="634">
        <v>0</v>
      </c>
      <c r="AZ61" s="616"/>
      <c r="BA61" s="619">
        <f>IF(O62=0,0,             IF(ISNUMBER(AZ61),AZ61,             IF(ISTEXT(AZ61),INDEX(AQ61:AX61,MATCH(AZ61,$AQ$17:$AX$17,0)),           IF(AY61="INT",_xll.qInterp(O62,AA61:AH61,AQ61:AX61),       INDEX(AQ61:AX61,MATCH(AY61,$AQ$17:$AX$17,0))))))</f>
        <v>0</v>
      </c>
      <c r="BB61" s="674">
        <v>100</v>
      </c>
      <c r="BC61" s="666">
        <f t="shared" si="3"/>
        <v>0</v>
      </c>
      <c r="BD61" s="268">
        <f>IF($O62=0,0,                IF(LEFT(DCC_Leg1_Fixed,2)="1/",uEvaluate(DCC_Leg1_Fixed),        _xll.qDateYears($O61,$O62,DCC_Leg1_Fixed)))</f>
        <v>0</v>
      </c>
      <c r="BE61" s="268">
        <f>IF($O62,_xll.qDateYears($O61,$O62,DCC_Leg1_Float),0)</f>
        <v>0</v>
      </c>
      <c r="BG61" s="332">
        <f t="shared" si="26"/>
        <v>0</v>
      </c>
      <c r="BH61" s="357">
        <f t="shared" si="27"/>
        <v>0</v>
      </c>
      <c r="BI61" s="527"/>
      <c r="BK61" s="324">
        <f t="shared" si="33"/>
        <v>0</v>
      </c>
      <c r="BM61" s="338"/>
      <c r="BN61" s="121">
        <v>0</v>
      </c>
      <c r="BO61" s="755">
        <f t="shared" si="4"/>
        <v>0</v>
      </c>
      <c r="BP61" s="339">
        <v>0</v>
      </c>
      <c r="BQ61" s="890">
        <f>IF(BN62=0,0,         IF(OR(Currency2="AUD",Currency1="NZD",Currency2="GBP"),BN61,   _xll.qDateNext(BN61,"-2b",,,IF(Currency2="EUR","TGT","LON"))))</f>
        <v>0</v>
      </c>
      <c r="BR61" s="879" t="str">
        <v/>
      </c>
      <c r="BS61" s="879" t="str">
        <v/>
      </c>
      <c r="BT61" s="879" t="str">
        <v/>
      </c>
      <c r="BU61" s="879" t="str">
        <v/>
      </c>
      <c r="BV61" s="879" t="str">
        <v/>
      </c>
      <c r="BW61" s="879" t="str">
        <v/>
      </c>
      <c r="BX61" s="879" t="str">
        <v/>
      </c>
      <c r="BY61" s="879" t="str">
        <v/>
      </c>
      <c r="BZ61" s="882">
        <f>IF($BN62=0,0,        _xll.qDateNext($BN61,BZ$17,$CG$16,TRUE,Currency2))</f>
        <v>0</v>
      </c>
      <c r="CA61" s="882">
        <f>IF($BN62=0,0,        _xll.qDateNext($BN61,CA$17,$CG$16,TRUE,Currency2))</f>
        <v>0</v>
      </c>
      <c r="CB61" s="882">
        <f>IF($BN62=0,0,        _xll.qDateNext($BN61,CB$17,$CG$16,TRUE,Currency2))</f>
        <v>0</v>
      </c>
      <c r="CC61" s="882">
        <f>IF($BN62=0,0,        _xll.qDateNext($BN61,CC$17,$CG$16,TRUE,Currency2))</f>
        <v>0</v>
      </c>
      <c r="CD61" s="882">
        <f>IF($BN62=0,0,        _xll.qDateNext($BN61,CD$17,$CG$16,TRUE,Currency2))</f>
        <v>0</v>
      </c>
      <c r="CE61" s="882">
        <f>IF($BN62=0,0,        _xll.qDateNext($BN61,CE$17,$CG$16,TRUE,Currency2))</f>
        <v>0</v>
      </c>
      <c r="CF61" s="882">
        <f>IF($BN62=0,0,        _xll.qDateNext($BN61,CF$17,$CG$16,TRUE,Currency2))</f>
        <v>0</v>
      </c>
      <c r="CG61" s="882">
        <f>IF($BN62=0,0,        _xll.qDateNext($BN61,CG$17,$CG$16,TRUE,Currency2))</f>
        <v>0</v>
      </c>
      <c r="CH61" s="886">
        <v>0</v>
      </c>
      <c r="CI61" s="886">
        <v>0</v>
      </c>
      <c r="CJ61" s="886">
        <v>0</v>
      </c>
      <c r="CK61" s="886">
        <v>0</v>
      </c>
      <c r="CL61" s="886">
        <f t="shared" si="5"/>
        <v>0</v>
      </c>
      <c r="CM61" s="886">
        <f t="shared" si="28"/>
        <v>0</v>
      </c>
      <c r="CN61" s="886">
        <v>0</v>
      </c>
      <c r="CO61" s="886">
        <v>0</v>
      </c>
      <c r="CP61" s="648">
        <f t="shared" si="6"/>
        <v>0</v>
      </c>
      <c r="CQ61" s="648">
        <f t="shared" si="7"/>
        <v>0</v>
      </c>
      <c r="CR61" s="648">
        <f t="shared" si="8"/>
        <v>0</v>
      </c>
      <c r="CS61" s="648">
        <f t="shared" si="9"/>
        <v>0</v>
      </c>
      <c r="CT61" s="648">
        <f t="shared" si="10"/>
        <v>0</v>
      </c>
      <c r="CU61" s="648">
        <f t="shared" si="11"/>
        <v>0</v>
      </c>
      <c r="CV61" s="648">
        <f t="shared" si="12"/>
        <v>0</v>
      </c>
      <c r="CW61" s="648">
        <f t="shared" si="13"/>
        <v>0</v>
      </c>
      <c r="CX61" s="634">
        <v>0</v>
      </c>
      <c r="CY61" s="616"/>
      <c r="CZ61" s="619">
        <f>IF(BN62=0,0,             IF(ISNUMBER(CY61),CY61,             IF(ISTEXT(CY61),INDEX(CP61:CW61,MATCH(CY61,$CP$17:$CW$17,0)),           IF(CX61="INT",_xll.qInterp(BN62,BZ61:CG61,CP61:CW61),       INDEX(CP61:CW61,MATCH(CX61,$CP$17:$CW$17,0))))))</f>
        <v>0</v>
      </c>
      <c r="DA61" s="755">
        <f t="shared" si="14"/>
        <v>0</v>
      </c>
      <c r="DB61" s="387">
        <f t="shared" si="15"/>
        <v>0</v>
      </c>
      <c r="DC61" s="268">
        <f>IF($BN62=0,0,         IF(LEFT(DCC_Leg2_Fixed,2)="1/",uEvaluate(DCC_Leg2_Fixed),         _xll.qDateYears($BN61,$BN62,DCC_Leg2_Fixed)))</f>
        <v>0</v>
      </c>
      <c r="DD61" s="268">
        <f>IF($BN62,_xll.qDateYears($BN61,$BN62,DCC_Leg2_Float),0)</f>
        <v>0</v>
      </c>
      <c r="DF61" s="332">
        <f t="shared" si="29"/>
        <v>0</v>
      </c>
      <c r="DG61" s="357">
        <f t="shared" si="30"/>
        <v>0</v>
      </c>
      <c r="DH61" s="527"/>
      <c r="DJ61" s="324">
        <f t="shared" si="34"/>
        <v>0</v>
      </c>
      <c r="DK61" s="529"/>
      <c r="DL61" s="338"/>
    </row>
    <row r="62" spans="2:116">
      <c r="O62" s="121">
        <v>0</v>
      </c>
      <c r="P62" s="755">
        <f t="shared" si="0"/>
        <v>0</v>
      </c>
      <c r="Q62" s="125">
        <v>0</v>
      </c>
      <c r="R62" s="890">
        <f>IF(O63=0,0,         IF(OR(Currency1="AUD",Currency1="NZD",Currency1="GBP"),O62,   _xll.qDateNext(O62,"-2b",,,IF(Currency1="EUR","TGT","LON"))))</f>
        <v>0</v>
      </c>
      <c r="S62" s="879" t="str">
        <v/>
      </c>
      <c r="T62" s="879" t="str">
        <v/>
      </c>
      <c r="U62" s="879" t="str">
        <v/>
      </c>
      <c r="V62" s="879" t="str">
        <v/>
      </c>
      <c r="W62" s="879" t="str">
        <v/>
      </c>
      <c r="X62" s="879" t="str">
        <v/>
      </c>
      <c r="Y62" s="879" t="str">
        <v/>
      </c>
      <c r="Z62" s="879" t="str">
        <v/>
      </c>
      <c r="AA62" s="882">
        <f>IF($O63=0,0,        _xll.qDateNext($O62,AA$17,$AH$16,TRUE,Currency1))</f>
        <v>0</v>
      </c>
      <c r="AB62" s="882">
        <f>IF($O63=0,0,        _xll.qDateNext($O62,AB$17,$AH$16,TRUE,Currency1))</f>
        <v>0</v>
      </c>
      <c r="AC62" s="882">
        <f>IF($O63=0,0,        _xll.qDateNext($O62,AC$17,$AH$16,TRUE,Currency1))</f>
        <v>0</v>
      </c>
      <c r="AD62" s="882">
        <f>IF($O63=0,0,        _xll.qDateNext($O62,AD$17,$AH$16,TRUE,Currency1))</f>
        <v>0</v>
      </c>
      <c r="AE62" s="882">
        <f>IF($O63=0,0,        _xll.qDateNext($O62,AE$17,$AH$16,TRUE,Currency1))</f>
        <v>0</v>
      </c>
      <c r="AF62" s="882">
        <f>IF($O63=0,0,        _xll.qDateNext($O62,AF$17,$AH$16,TRUE,Currency1))</f>
        <v>0</v>
      </c>
      <c r="AG62" s="882">
        <f>IF($O63=0,0,        _xll.qDateNext($O62,AG$17,$AH$16,TRUE,Currency1))</f>
        <v>0</v>
      </c>
      <c r="AH62" s="882">
        <f>IF($O63=0,0,        _xll.qDateNext($O62,AH$17,$AH$16,TRUE,Currency1))</f>
        <v>0</v>
      </c>
      <c r="AI62" s="886">
        <f>IF($O63=0,0,           IF(FRM,_xll.qGetFwdRate(AI$14,$O62,AA62,"T",DCC_Leg1_Float),_xll.qGetFwdRate(AI$14,$O62,$O63,"T",DCC_Leg1_Float)))</f>
        <v>0</v>
      </c>
      <c r="AJ62" s="886">
        <f>IF($O63=0,0,           IF(FRM,_xll.qGetFwdRate(AJ$14,$O62,AB62,"T",DCC_Leg1_Float),_xll.qGetFwdRate(AJ$14,$O62,$O63,"T",DCC_Leg1_Float)))</f>
        <v>0</v>
      </c>
      <c r="AK62" s="886">
        <f t="shared" si="1"/>
        <v>0</v>
      </c>
      <c r="AL62" s="886">
        <f>IF($O63=0,0,           IF(FRM,_xll.qGetFwdRate(AL$14,$O62,AD62,"T",DCC_Leg1_Float),_xll.qGetFwdRate(AL$14,$O62,$O63,"T",DCC_Leg1_Float)))</f>
        <v>0</v>
      </c>
      <c r="AM62" s="886">
        <f t="shared" si="16"/>
        <v>0</v>
      </c>
      <c r="AN62" s="886">
        <f t="shared" si="17"/>
        <v>0</v>
      </c>
      <c r="AO62" s="886">
        <f>IF($O63=0,0,           IF(FRM,_xll.qGetFwdRate(AO$14,$O62,AG62,"T",DCC_Leg1_Float),_xll.qGetFwdRate(AO$14,$O62,$O63,"T",DCC_Leg1_Float)))</f>
        <v>0</v>
      </c>
      <c r="AP62" s="886">
        <f>IF($O63=0,0,           IF(FRM,_xll.qGetFwdRate(AP$14,$O62,AH62,"T",DCC_Leg1_Float),_xll.qGetFwdRate(AP$14,$O62,$O63,"T",DCC_Leg1_Float)))</f>
        <v>0</v>
      </c>
      <c r="AQ62" s="648">
        <f t="shared" si="18"/>
        <v>0</v>
      </c>
      <c r="AR62" s="648">
        <f t="shared" si="19"/>
        <v>0</v>
      </c>
      <c r="AS62" s="648">
        <f t="shared" si="20"/>
        <v>0</v>
      </c>
      <c r="AT62" s="648">
        <f t="shared" si="21"/>
        <v>0</v>
      </c>
      <c r="AU62" s="648">
        <f t="shared" si="22"/>
        <v>0</v>
      </c>
      <c r="AV62" s="648">
        <f t="shared" si="23"/>
        <v>0</v>
      </c>
      <c r="AW62" s="648">
        <f t="shared" si="24"/>
        <v>0</v>
      </c>
      <c r="AX62" s="648">
        <f t="shared" si="25"/>
        <v>0</v>
      </c>
      <c r="AY62" s="634">
        <v>0</v>
      </c>
      <c r="AZ62" s="616"/>
      <c r="BA62" s="619">
        <f>IF(O63=0,0,             IF(ISNUMBER(AZ62),AZ62,             IF(ISTEXT(AZ62),INDEX(AQ62:AX62,MATCH(AZ62,$AQ$17:$AX$17,0)),           IF(AY62="INT",_xll.qInterp(O63,AA62:AH62,AQ62:AX62),       INDEX(AQ62:AX62,MATCH(AY62,$AQ$17:$AX$17,0))))))</f>
        <v>0</v>
      </c>
      <c r="BB62" s="674">
        <v>100</v>
      </c>
      <c r="BC62" s="666">
        <f t="shared" si="3"/>
        <v>0</v>
      </c>
      <c r="BD62" s="268">
        <f>IF($O63=0,0,                IF(LEFT(DCC_Leg1_Fixed,2)="1/",uEvaluate(DCC_Leg1_Fixed),        _xll.qDateYears($O62,$O63,DCC_Leg1_Fixed)))</f>
        <v>0</v>
      </c>
      <c r="BE62" s="268">
        <f>IF($O63,_xll.qDateYears($O62,$O63,DCC_Leg1_Float),0)</f>
        <v>0</v>
      </c>
      <c r="BG62" s="332">
        <f t="shared" si="26"/>
        <v>0</v>
      </c>
      <c r="BH62" s="357">
        <f t="shared" si="27"/>
        <v>0</v>
      </c>
      <c r="BI62" s="527"/>
      <c r="BK62" s="324">
        <f t="shared" si="33"/>
        <v>0</v>
      </c>
      <c r="BM62" s="338"/>
      <c r="BN62" s="121">
        <v>0</v>
      </c>
      <c r="BO62" s="755">
        <f t="shared" si="4"/>
        <v>0</v>
      </c>
      <c r="BP62" s="339">
        <v>0</v>
      </c>
      <c r="BQ62" s="890">
        <f>IF(BN63=0,0,         IF(OR(Currency2="AUD",Currency1="NZD",Currency2="GBP"),BN62,   _xll.qDateNext(BN62,"-2b",,,IF(Currency2="EUR","TGT","LON"))))</f>
        <v>0</v>
      </c>
      <c r="BR62" s="879" t="str">
        <v/>
      </c>
      <c r="BS62" s="879" t="str">
        <v/>
      </c>
      <c r="BT62" s="879" t="str">
        <v/>
      </c>
      <c r="BU62" s="879" t="str">
        <v/>
      </c>
      <c r="BV62" s="879" t="str">
        <v/>
      </c>
      <c r="BW62" s="879" t="str">
        <v/>
      </c>
      <c r="BX62" s="879" t="str">
        <v/>
      </c>
      <c r="BY62" s="879" t="str">
        <v/>
      </c>
      <c r="BZ62" s="882">
        <f>IF($BN63=0,0,        _xll.qDateNext($BN62,BZ$17,$CG$16,TRUE,Currency2))</f>
        <v>0</v>
      </c>
      <c r="CA62" s="882">
        <f>IF($BN63=0,0,        _xll.qDateNext($BN62,CA$17,$CG$16,TRUE,Currency2))</f>
        <v>0</v>
      </c>
      <c r="CB62" s="882">
        <f>IF($BN63=0,0,        _xll.qDateNext($BN62,CB$17,$CG$16,TRUE,Currency2))</f>
        <v>0</v>
      </c>
      <c r="CC62" s="882">
        <f>IF($BN63=0,0,        _xll.qDateNext($BN62,CC$17,$CG$16,TRUE,Currency2))</f>
        <v>0</v>
      </c>
      <c r="CD62" s="882">
        <f>IF($BN63=0,0,        _xll.qDateNext($BN62,CD$17,$CG$16,TRUE,Currency2))</f>
        <v>0</v>
      </c>
      <c r="CE62" s="882">
        <f>IF($BN63=0,0,        _xll.qDateNext($BN62,CE$17,$CG$16,TRUE,Currency2))</f>
        <v>0</v>
      </c>
      <c r="CF62" s="882">
        <f>IF($BN63=0,0,        _xll.qDateNext($BN62,CF$17,$CG$16,TRUE,Currency2))</f>
        <v>0</v>
      </c>
      <c r="CG62" s="882">
        <f>IF($BN63=0,0,        _xll.qDateNext($BN62,CG$17,$CG$16,TRUE,Currency2))</f>
        <v>0</v>
      </c>
      <c r="CH62" s="886">
        <v>0</v>
      </c>
      <c r="CI62" s="886">
        <v>0</v>
      </c>
      <c r="CJ62" s="886">
        <v>0</v>
      </c>
      <c r="CK62" s="886">
        <v>0</v>
      </c>
      <c r="CL62" s="886">
        <f t="shared" si="5"/>
        <v>0</v>
      </c>
      <c r="CM62" s="886">
        <f t="shared" si="28"/>
        <v>0</v>
      </c>
      <c r="CN62" s="886">
        <v>0</v>
      </c>
      <c r="CO62" s="886">
        <v>0</v>
      </c>
      <c r="CP62" s="648">
        <f t="shared" si="6"/>
        <v>0</v>
      </c>
      <c r="CQ62" s="648">
        <f t="shared" si="7"/>
        <v>0</v>
      </c>
      <c r="CR62" s="648">
        <f t="shared" si="8"/>
        <v>0</v>
      </c>
      <c r="CS62" s="648">
        <f t="shared" si="9"/>
        <v>0</v>
      </c>
      <c r="CT62" s="648">
        <f t="shared" si="10"/>
        <v>0</v>
      </c>
      <c r="CU62" s="648">
        <f t="shared" si="11"/>
        <v>0</v>
      </c>
      <c r="CV62" s="648">
        <f t="shared" si="12"/>
        <v>0</v>
      </c>
      <c r="CW62" s="648">
        <f t="shared" si="13"/>
        <v>0</v>
      </c>
      <c r="CX62" s="634">
        <v>0</v>
      </c>
      <c r="CY62" s="616"/>
      <c r="CZ62" s="619">
        <f>IF(BN63=0,0,             IF(ISNUMBER(CY62),CY62,             IF(ISTEXT(CY62),INDEX(CP62:CW62,MATCH(CY62,$CP$17:$CW$17,0)),           IF(CX62="INT",_xll.qInterp(BN63,BZ62:CG62,CP62:CW62),       INDEX(CP62:CW62,MATCH(CX62,$CP$17:$CW$17,0))))))</f>
        <v>0</v>
      </c>
      <c r="DA62" s="755">
        <f t="shared" si="14"/>
        <v>0</v>
      </c>
      <c r="DB62" s="387">
        <f t="shared" si="15"/>
        <v>0</v>
      </c>
      <c r="DC62" s="268">
        <f>IF($BN63=0,0,         IF(LEFT(DCC_Leg2_Fixed,2)="1/",uEvaluate(DCC_Leg2_Fixed),         _xll.qDateYears($BN62,$BN63,DCC_Leg2_Fixed)))</f>
        <v>0</v>
      </c>
      <c r="DD62" s="268">
        <f>IF($BN63,_xll.qDateYears($BN62,$BN63,DCC_Leg2_Float),0)</f>
        <v>0</v>
      </c>
      <c r="DF62" s="332">
        <f t="shared" si="29"/>
        <v>0</v>
      </c>
      <c r="DG62" s="357">
        <f t="shared" si="30"/>
        <v>0</v>
      </c>
      <c r="DH62" s="527"/>
      <c r="DJ62" s="324">
        <f t="shared" si="34"/>
        <v>0</v>
      </c>
      <c r="DK62" s="529"/>
      <c r="DL62" s="338"/>
    </row>
    <row r="63" spans="2:116">
      <c r="O63" s="121">
        <v>0</v>
      </c>
      <c r="P63" s="755">
        <f t="shared" si="0"/>
        <v>0</v>
      </c>
      <c r="Q63" s="125">
        <v>0</v>
      </c>
      <c r="R63" s="890">
        <f>IF(O64=0,0,         IF(OR(Currency1="AUD",Currency1="NZD",Currency1="GBP"),O63,   _xll.qDateNext(O63,"-2b",,,IF(Currency1="EUR","TGT","LON"))))</f>
        <v>0</v>
      </c>
      <c r="S63" s="879" t="str">
        <v/>
      </c>
      <c r="T63" s="879" t="str">
        <v/>
      </c>
      <c r="U63" s="879" t="str">
        <v/>
      </c>
      <c r="V63" s="879" t="str">
        <v/>
      </c>
      <c r="W63" s="879" t="str">
        <v/>
      </c>
      <c r="X63" s="879" t="str">
        <v/>
      </c>
      <c r="Y63" s="879" t="str">
        <v/>
      </c>
      <c r="Z63" s="879" t="str">
        <v/>
      </c>
      <c r="AA63" s="882">
        <f>IF($O64=0,0,        _xll.qDateNext($O63,AA$17,$AH$16,TRUE,Currency1))</f>
        <v>0</v>
      </c>
      <c r="AB63" s="882">
        <f>IF($O64=0,0,        _xll.qDateNext($O63,AB$17,$AH$16,TRUE,Currency1))</f>
        <v>0</v>
      </c>
      <c r="AC63" s="882">
        <f>IF($O64=0,0,        _xll.qDateNext($O63,AC$17,$AH$16,TRUE,Currency1))</f>
        <v>0</v>
      </c>
      <c r="AD63" s="882">
        <f>IF($O64=0,0,        _xll.qDateNext($O63,AD$17,$AH$16,TRUE,Currency1))</f>
        <v>0</v>
      </c>
      <c r="AE63" s="882">
        <f>IF($O64=0,0,        _xll.qDateNext($O63,AE$17,$AH$16,TRUE,Currency1))</f>
        <v>0</v>
      </c>
      <c r="AF63" s="882">
        <f>IF($O64=0,0,        _xll.qDateNext($O63,AF$17,$AH$16,TRUE,Currency1))</f>
        <v>0</v>
      </c>
      <c r="AG63" s="882">
        <f>IF($O64=0,0,        _xll.qDateNext($O63,AG$17,$AH$16,TRUE,Currency1))</f>
        <v>0</v>
      </c>
      <c r="AH63" s="882">
        <f>IF($O64=0,0,        _xll.qDateNext($O63,AH$17,$AH$16,TRUE,Currency1))</f>
        <v>0</v>
      </c>
      <c r="AI63" s="886">
        <f>IF($O64=0,0,           IF(FRM,_xll.qGetFwdRate(AI$14,$O63,AA63,"T",DCC_Leg1_Float),_xll.qGetFwdRate(AI$14,$O63,$O64,"T",DCC_Leg1_Float)))</f>
        <v>0</v>
      </c>
      <c r="AJ63" s="886">
        <f>IF($O64=0,0,           IF(FRM,_xll.qGetFwdRate(AJ$14,$O63,AB63,"T",DCC_Leg1_Float),_xll.qGetFwdRate(AJ$14,$O63,$O64,"T",DCC_Leg1_Float)))</f>
        <v>0</v>
      </c>
      <c r="AK63" s="886">
        <f t="shared" si="1"/>
        <v>0</v>
      </c>
      <c r="AL63" s="886">
        <f>IF($O64=0,0,           IF(FRM,_xll.qGetFwdRate(AL$14,$O63,AD63,"T",DCC_Leg1_Float),_xll.qGetFwdRate(AL$14,$O63,$O64,"T",DCC_Leg1_Float)))</f>
        <v>0</v>
      </c>
      <c r="AM63" s="886">
        <f t="shared" si="16"/>
        <v>0</v>
      </c>
      <c r="AN63" s="886">
        <f t="shared" si="17"/>
        <v>0</v>
      </c>
      <c r="AO63" s="886">
        <f>IF($O64=0,0,           IF(FRM,_xll.qGetFwdRate(AO$14,$O63,AG63,"T",DCC_Leg1_Float),_xll.qGetFwdRate(AO$14,$O63,$O64,"T",DCC_Leg1_Float)))</f>
        <v>0</v>
      </c>
      <c r="AP63" s="886">
        <f>IF($O64=0,0,           IF(FRM,_xll.qGetFwdRate(AP$14,$O63,AH63,"T",DCC_Leg1_Float),_xll.qGetFwdRate(AP$14,$O63,$O64,"T",DCC_Leg1_Float)))</f>
        <v>0</v>
      </c>
      <c r="AQ63" s="648">
        <f t="shared" si="18"/>
        <v>0</v>
      </c>
      <c r="AR63" s="648">
        <f t="shared" si="19"/>
        <v>0</v>
      </c>
      <c r="AS63" s="648">
        <f t="shared" si="20"/>
        <v>0</v>
      </c>
      <c r="AT63" s="648">
        <f t="shared" si="21"/>
        <v>0</v>
      </c>
      <c r="AU63" s="648">
        <f t="shared" si="22"/>
        <v>0</v>
      </c>
      <c r="AV63" s="648">
        <f t="shared" si="23"/>
        <v>0</v>
      </c>
      <c r="AW63" s="648">
        <f t="shared" si="24"/>
        <v>0</v>
      </c>
      <c r="AX63" s="648">
        <f t="shared" si="25"/>
        <v>0</v>
      </c>
      <c r="AY63" s="634">
        <v>0</v>
      </c>
      <c r="AZ63" s="616"/>
      <c r="BA63" s="619">
        <f>IF(O64=0,0,             IF(ISNUMBER(AZ63),AZ63,             IF(ISTEXT(AZ63),INDEX(AQ63:AX63,MATCH(AZ63,$AQ$17:$AX$17,0)),           IF(AY63="INT",_xll.qInterp(O64,AA63:AH63,AQ63:AX63),       INDEX(AQ63:AX63,MATCH(AY63,$AQ$17:$AX$17,0))))))</f>
        <v>0</v>
      </c>
      <c r="BB63" s="674">
        <v>100</v>
      </c>
      <c r="BC63" s="666">
        <f t="shared" si="3"/>
        <v>0</v>
      </c>
      <c r="BD63" s="268">
        <f>IF($O64=0,0,                IF(LEFT(DCC_Leg1_Fixed,2)="1/",uEvaluate(DCC_Leg1_Fixed),        _xll.qDateYears($O63,$O64,DCC_Leg1_Fixed)))</f>
        <v>0</v>
      </c>
      <c r="BE63" s="268">
        <f>IF($O64,_xll.qDateYears($O63,$O64,DCC_Leg1_Float),0)</f>
        <v>0</v>
      </c>
      <c r="BG63" s="332">
        <f t="shared" si="26"/>
        <v>0</v>
      </c>
      <c r="BH63" s="357">
        <f t="shared" si="27"/>
        <v>0</v>
      </c>
      <c r="BI63" s="527"/>
      <c r="BK63" s="324">
        <f t="shared" si="33"/>
        <v>0</v>
      </c>
      <c r="BM63" s="338"/>
      <c r="BN63" s="121">
        <v>0</v>
      </c>
      <c r="BO63" s="755">
        <f t="shared" si="4"/>
        <v>0</v>
      </c>
      <c r="BP63" s="339">
        <v>0</v>
      </c>
      <c r="BQ63" s="890">
        <f>IF(BN64=0,0,         IF(OR(Currency2="AUD",Currency1="NZD",Currency2="GBP"),BN63,   _xll.qDateNext(BN63,"-2b",,,IF(Currency2="EUR","TGT","LON"))))</f>
        <v>0</v>
      </c>
      <c r="BR63" s="879" t="str">
        <v/>
      </c>
      <c r="BS63" s="879" t="str">
        <v/>
      </c>
      <c r="BT63" s="879" t="str">
        <v/>
      </c>
      <c r="BU63" s="879" t="str">
        <v/>
      </c>
      <c r="BV63" s="879" t="str">
        <v/>
      </c>
      <c r="BW63" s="879" t="str">
        <v/>
      </c>
      <c r="BX63" s="879" t="str">
        <v/>
      </c>
      <c r="BY63" s="879" t="str">
        <v/>
      </c>
      <c r="BZ63" s="882">
        <f>IF($BN64=0,0,        _xll.qDateNext($BN63,BZ$17,$CG$16,TRUE,Currency2))</f>
        <v>0</v>
      </c>
      <c r="CA63" s="882">
        <f>IF($BN64=0,0,        _xll.qDateNext($BN63,CA$17,$CG$16,TRUE,Currency2))</f>
        <v>0</v>
      </c>
      <c r="CB63" s="882">
        <f>IF($BN64=0,0,        _xll.qDateNext($BN63,CB$17,$CG$16,TRUE,Currency2))</f>
        <v>0</v>
      </c>
      <c r="CC63" s="882">
        <f>IF($BN64=0,0,        _xll.qDateNext($BN63,CC$17,$CG$16,TRUE,Currency2))</f>
        <v>0</v>
      </c>
      <c r="CD63" s="882">
        <f>IF($BN64=0,0,        _xll.qDateNext($BN63,CD$17,$CG$16,TRUE,Currency2))</f>
        <v>0</v>
      </c>
      <c r="CE63" s="882">
        <f>IF($BN64=0,0,        _xll.qDateNext($BN63,CE$17,$CG$16,TRUE,Currency2))</f>
        <v>0</v>
      </c>
      <c r="CF63" s="882">
        <f>IF($BN64=0,0,        _xll.qDateNext($BN63,CF$17,$CG$16,TRUE,Currency2))</f>
        <v>0</v>
      </c>
      <c r="CG63" s="882">
        <f>IF($BN64=0,0,        _xll.qDateNext($BN63,CG$17,$CG$16,TRUE,Currency2))</f>
        <v>0</v>
      </c>
      <c r="CH63" s="886">
        <v>0</v>
      </c>
      <c r="CI63" s="886">
        <v>0</v>
      </c>
      <c r="CJ63" s="886">
        <v>0</v>
      </c>
      <c r="CK63" s="886">
        <v>0</v>
      </c>
      <c r="CL63" s="886">
        <f t="shared" si="5"/>
        <v>0</v>
      </c>
      <c r="CM63" s="886">
        <f t="shared" si="28"/>
        <v>0</v>
      </c>
      <c r="CN63" s="886">
        <v>0</v>
      </c>
      <c r="CO63" s="886">
        <v>0</v>
      </c>
      <c r="CP63" s="648">
        <f t="shared" si="6"/>
        <v>0</v>
      </c>
      <c r="CQ63" s="648">
        <f t="shared" si="7"/>
        <v>0</v>
      </c>
      <c r="CR63" s="648">
        <f t="shared" si="8"/>
        <v>0</v>
      </c>
      <c r="CS63" s="648">
        <f t="shared" si="9"/>
        <v>0</v>
      </c>
      <c r="CT63" s="648">
        <f t="shared" si="10"/>
        <v>0</v>
      </c>
      <c r="CU63" s="648">
        <f t="shared" si="11"/>
        <v>0</v>
      </c>
      <c r="CV63" s="648">
        <f t="shared" si="12"/>
        <v>0</v>
      </c>
      <c r="CW63" s="648">
        <f t="shared" si="13"/>
        <v>0</v>
      </c>
      <c r="CX63" s="634">
        <v>0</v>
      </c>
      <c r="CY63" s="616"/>
      <c r="CZ63" s="619">
        <f>IF(BN64=0,0,             IF(ISNUMBER(CY63),CY63,             IF(ISTEXT(CY63),INDEX(CP63:CW63,MATCH(CY63,$CP$17:$CW$17,0)),           IF(CX63="INT",_xll.qInterp(BN64,BZ63:CG63,CP63:CW63),       INDEX(CP63:CW63,MATCH(CX63,$CP$17:$CW$17,0))))))</f>
        <v>0</v>
      </c>
      <c r="DA63" s="755">
        <f t="shared" si="14"/>
        <v>0</v>
      </c>
      <c r="DB63" s="387">
        <f t="shared" si="15"/>
        <v>0</v>
      </c>
      <c r="DC63" s="268">
        <f>IF($BN64=0,0,         IF(LEFT(DCC_Leg2_Fixed,2)="1/",uEvaluate(DCC_Leg2_Fixed),         _xll.qDateYears($BN63,$BN64,DCC_Leg2_Fixed)))</f>
        <v>0</v>
      </c>
      <c r="DD63" s="268">
        <f>IF($BN64,_xll.qDateYears($BN63,$BN64,DCC_Leg2_Float),0)</f>
        <v>0</v>
      </c>
      <c r="DF63" s="332">
        <f t="shared" si="29"/>
        <v>0</v>
      </c>
      <c r="DG63" s="357">
        <f t="shared" si="30"/>
        <v>0</v>
      </c>
      <c r="DH63" s="527"/>
      <c r="DJ63" s="324">
        <f t="shared" si="34"/>
        <v>0</v>
      </c>
      <c r="DK63" s="529"/>
      <c r="DL63" s="338"/>
    </row>
    <row r="64" spans="2:116">
      <c r="O64" s="121">
        <v>0</v>
      </c>
      <c r="P64" s="755">
        <f t="shared" si="0"/>
        <v>0</v>
      </c>
      <c r="Q64" s="125">
        <v>0</v>
      </c>
      <c r="R64" s="890">
        <f>IF(O65=0,0,         IF(OR(Currency1="AUD",Currency1="NZD",Currency1="GBP"),O64,   _xll.qDateNext(O64,"-2b",,,IF(Currency1="EUR","TGT","LON"))))</f>
        <v>0</v>
      </c>
      <c r="S64" s="879" t="str">
        <v/>
      </c>
      <c r="T64" s="879" t="str">
        <v/>
      </c>
      <c r="U64" s="879" t="str">
        <v/>
      </c>
      <c r="V64" s="879" t="str">
        <v/>
      </c>
      <c r="W64" s="879" t="str">
        <v/>
      </c>
      <c r="X64" s="879" t="str">
        <v/>
      </c>
      <c r="Y64" s="879" t="str">
        <v/>
      </c>
      <c r="Z64" s="879" t="str">
        <v/>
      </c>
      <c r="AA64" s="882">
        <f>IF($O65=0,0,        _xll.qDateNext($O64,AA$17,$AH$16,TRUE,Currency1))</f>
        <v>0</v>
      </c>
      <c r="AB64" s="882">
        <f>IF($O65=0,0,        _xll.qDateNext($O64,AB$17,$AH$16,TRUE,Currency1))</f>
        <v>0</v>
      </c>
      <c r="AC64" s="882">
        <f>IF($O65=0,0,        _xll.qDateNext($O64,AC$17,$AH$16,TRUE,Currency1))</f>
        <v>0</v>
      </c>
      <c r="AD64" s="882">
        <f>IF($O65=0,0,        _xll.qDateNext($O64,AD$17,$AH$16,TRUE,Currency1))</f>
        <v>0</v>
      </c>
      <c r="AE64" s="882">
        <f>IF($O65=0,0,        _xll.qDateNext($O64,AE$17,$AH$16,TRUE,Currency1))</f>
        <v>0</v>
      </c>
      <c r="AF64" s="882">
        <f>IF($O65=0,0,        _xll.qDateNext($O64,AF$17,$AH$16,TRUE,Currency1))</f>
        <v>0</v>
      </c>
      <c r="AG64" s="882">
        <f>IF($O65=0,0,        _xll.qDateNext($O64,AG$17,$AH$16,TRUE,Currency1))</f>
        <v>0</v>
      </c>
      <c r="AH64" s="882">
        <f>IF($O65=0,0,        _xll.qDateNext($O64,AH$17,$AH$16,TRUE,Currency1))</f>
        <v>0</v>
      </c>
      <c r="AI64" s="886">
        <f>IF($O65=0,0,           IF(FRM,_xll.qGetFwdRate(AI$14,$O64,AA64,"T",DCC_Leg1_Float),_xll.qGetFwdRate(AI$14,$O64,$O65,"T",DCC_Leg1_Float)))</f>
        <v>0</v>
      </c>
      <c r="AJ64" s="886">
        <f>IF($O65=0,0,           IF(FRM,_xll.qGetFwdRate(AJ$14,$O64,AB64,"T",DCC_Leg1_Float),_xll.qGetFwdRate(AJ$14,$O64,$O65,"T",DCC_Leg1_Float)))</f>
        <v>0</v>
      </c>
      <c r="AK64" s="886">
        <f t="shared" si="1"/>
        <v>0</v>
      </c>
      <c r="AL64" s="886">
        <f>IF($O65=0,0,           IF(FRM,_xll.qGetFwdRate(AL$14,$O64,AD64,"T",DCC_Leg1_Float),_xll.qGetFwdRate(AL$14,$O64,$O65,"T",DCC_Leg1_Float)))</f>
        <v>0</v>
      </c>
      <c r="AM64" s="886">
        <f t="shared" si="16"/>
        <v>0</v>
      </c>
      <c r="AN64" s="886">
        <f t="shared" si="17"/>
        <v>0</v>
      </c>
      <c r="AO64" s="886">
        <f>IF($O65=0,0,           IF(FRM,_xll.qGetFwdRate(AO$14,$O64,AG64,"T",DCC_Leg1_Float),_xll.qGetFwdRate(AO$14,$O64,$O65,"T",DCC_Leg1_Float)))</f>
        <v>0</v>
      </c>
      <c r="AP64" s="886">
        <f>IF($O65=0,0,           IF(FRM,_xll.qGetFwdRate(AP$14,$O64,AH64,"T",DCC_Leg1_Float),_xll.qGetFwdRate(AP$14,$O64,$O65,"T",DCC_Leg1_Float)))</f>
        <v>0</v>
      </c>
      <c r="AQ64" s="648">
        <f t="shared" si="18"/>
        <v>0</v>
      </c>
      <c r="AR64" s="648">
        <f t="shared" si="19"/>
        <v>0</v>
      </c>
      <c r="AS64" s="648">
        <f t="shared" si="20"/>
        <v>0</v>
      </c>
      <c r="AT64" s="648">
        <f t="shared" si="21"/>
        <v>0</v>
      </c>
      <c r="AU64" s="648">
        <f t="shared" si="22"/>
        <v>0</v>
      </c>
      <c r="AV64" s="648">
        <f t="shared" si="23"/>
        <v>0</v>
      </c>
      <c r="AW64" s="648">
        <f t="shared" si="24"/>
        <v>0</v>
      </c>
      <c r="AX64" s="648">
        <f t="shared" si="25"/>
        <v>0</v>
      </c>
      <c r="AY64" s="634">
        <v>0</v>
      </c>
      <c r="AZ64" s="616"/>
      <c r="BA64" s="619">
        <f>IF(O65=0,0,             IF(ISNUMBER(AZ64),AZ64,             IF(ISTEXT(AZ64),INDEX(AQ64:AX64,MATCH(AZ64,$AQ$17:$AX$17,0)),           IF(AY64="INT",_xll.qInterp(O65,AA64:AH64,AQ64:AX64),       INDEX(AQ64:AX64,MATCH(AY64,$AQ$17:$AX$17,0))))))</f>
        <v>0</v>
      </c>
      <c r="BB64" s="674">
        <v>100</v>
      </c>
      <c r="BC64" s="666">
        <f t="shared" si="3"/>
        <v>0</v>
      </c>
      <c r="BD64" s="268">
        <f>IF($O65=0,0,                IF(LEFT(DCC_Leg1_Fixed,2)="1/",uEvaluate(DCC_Leg1_Fixed),        _xll.qDateYears($O64,$O65,DCC_Leg1_Fixed)))</f>
        <v>0</v>
      </c>
      <c r="BE64" s="268">
        <f>IF($O65,_xll.qDateYears($O64,$O65,DCC_Leg1_Float),0)</f>
        <v>0</v>
      </c>
      <c r="BG64" s="332">
        <f t="shared" si="26"/>
        <v>0</v>
      </c>
      <c r="BH64" s="357">
        <f t="shared" si="27"/>
        <v>0</v>
      </c>
      <c r="BI64" s="527"/>
      <c r="BK64" s="324">
        <f t="shared" si="33"/>
        <v>0</v>
      </c>
      <c r="BM64" s="338"/>
      <c r="BN64" s="121">
        <v>0</v>
      </c>
      <c r="BO64" s="755">
        <f t="shared" si="4"/>
        <v>0</v>
      </c>
      <c r="BP64" s="339">
        <v>0</v>
      </c>
      <c r="BQ64" s="890">
        <f>IF(BN65=0,0,         IF(OR(Currency2="AUD",Currency1="NZD",Currency2="GBP"),BN64,   _xll.qDateNext(BN64,"-2b",,,IF(Currency2="EUR","TGT","LON"))))</f>
        <v>0</v>
      </c>
      <c r="BR64" s="879" t="str">
        <v/>
      </c>
      <c r="BS64" s="879" t="str">
        <v/>
      </c>
      <c r="BT64" s="879" t="str">
        <v/>
      </c>
      <c r="BU64" s="879" t="str">
        <v/>
      </c>
      <c r="BV64" s="879" t="str">
        <v/>
      </c>
      <c r="BW64" s="879" t="str">
        <v/>
      </c>
      <c r="BX64" s="879" t="str">
        <v/>
      </c>
      <c r="BY64" s="879" t="str">
        <v/>
      </c>
      <c r="BZ64" s="882">
        <f>IF($BN65=0,0,        _xll.qDateNext($BN64,BZ$17,$CG$16,TRUE,Currency2))</f>
        <v>0</v>
      </c>
      <c r="CA64" s="882">
        <f>IF($BN65=0,0,        _xll.qDateNext($BN64,CA$17,$CG$16,TRUE,Currency2))</f>
        <v>0</v>
      </c>
      <c r="CB64" s="882">
        <f>IF($BN65=0,0,        _xll.qDateNext($BN64,CB$17,$CG$16,TRUE,Currency2))</f>
        <v>0</v>
      </c>
      <c r="CC64" s="882">
        <f>IF($BN65=0,0,        _xll.qDateNext($BN64,CC$17,$CG$16,TRUE,Currency2))</f>
        <v>0</v>
      </c>
      <c r="CD64" s="882">
        <f>IF($BN65=0,0,        _xll.qDateNext($BN64,CD$17,$CG$16,TRUE,Currency2))</f>
        <v>0</v>
      </c>
      <c r="CE64" s="882">
        <f>IF($BN65=0,0,        _xll.qDateNext($BN64,CE$17,$CG$16,TRUE,Currency2))</f>
        <v>0</v>
      </c>
      <c r="CF64" s="882">
        <f>IF($BN65=0,0,        _xll.qDateNext($BN64,CF$17,$CG$16,TRUE,Currency2))</f>
        <v>0</v>
      </c>
      <c r="CG64" s="882">
        <f>IF($BN65=0,0,        _xll.qDateNext($BN64,CG$17,$CG$16,TRUE,Currency2))</f>
        <v>0</v>
      </c>
      <c r="CH64" s="886">
        <v>0</v>
      </c>
      <c r="CI64" s="886">
        <v>0</v>
      </c>
      <c r="CJ64" s="886">
        <v>0</v>
      </c>
      <c r="CK64" s="886">
        <v>0</v>
      </c>
      <c r="CL64" s="886">
        <f t="shared" si="5"/>
        <v>0</v>
      </c>
      <c r="CM64" s="886">
        <f t="shared" si="28"/>
        <v>0</v>
      </c>
      <c r="CN64" s="886">
        <v>0</v>
      </c>
      <c r="CO64" s="886">
        <v>0</v>
      </c>
      <c r="CP64" s="648">
        <f t="shared" si="6"/>
        <v>0</v>
      </c>
      <c r="CQ64" s="648">
        <f t="shared" si="7"/>
        <v>0</v>
      </c>
      <c r="CR64" s="648">
        <f t="shared" si="8"/>
        <v>0</v>
      </c>
      <c r="CS64" s="648">
        <f t="shared" si="9"/>
        <v>0</v>
      </c>
      <c r="CT64" s="648">
        <f t="shared" si="10"/>
        <v>0</v>
      </c>
      <c r="CU64" s="648">
        <f t="shared" si="11"/>
        <v>0</v>
      </c>
      <c r="CV64" s="648">
        <f t="shared" si="12"/>
        <v>0</v>
      </c>
      <c r="CW64" s="648">
        <f t="shared" si="13"/>
        <v>0</v>
      </c>
      <c r="CX64" s="634">
        <v>0</v>
      </c>
      <c r="CY64" s="616"/>
      <c r="CZ64" s="619">
        <f>IF(BN65=0,0,             IF(ISNUMBER(CY64),CY64,             IF(ISTEXT(CY64),INDEX(CP64:CW64,MATCH(CY64,$CP$17:$CW$17,0)),           IF(CX64="INT",_xll.qInterp(BN65,BZ64:CG64,CP64:CW64),       INDEX(CP64:CW64,MATCH(CX64,$CP$17:$CW$17,0))))))</f>
        <v>0</v>
      </c>
      <c r="DA64" s="755">
        <f t="shared" si="14"/>
        <v>0</v>
      </c>
      <c r="DB64" s="387">
        <f t="shared" si="15"/>
        <v>0</v>
      </c>
      <c r="DC64" s="268">
        <f>IF($BN65=0,0,         IF(LEFT(DCC_Leg2_Fixed,2)="1/",uEvaluate(DCC_Leg2_Fixed),         _xll.qDateYears($BN64,$BN65,DCC_Leg2_Fixed)))</f>
        <v>0</v>
      </c>
      <c r="DD64" s="268">
        <f>IF($BN65,_xll.qDateYears($BN64,$BN65,DCC_Leg2_Float),0)</f>
        <v>0</v>
      </c>
      <c r="DF64" s="332">
        <f t="shared" si="29"/>
        <v>0</v>
      </c>
      <c r="DG64" s="357">
        <f t="shared" si="30"/>
        <v>0</v>
      </c>
      <c r="DH64" s="527"/>
      <c r="DJ64" s="324">
        <f t="shared" si="34"/>
        <v>0</v>
      </c>
      <c r="DK64" s="529"/>
      <c r="DL64" s="338"/>
    </row>
    <row r="65" spans="15:116">
      <c r="O65" s="121">
        <v>0</v>
      </c>
      <c r="P65" s="755">
        <f t="shared" si="0"/>
        <v>0</v>
      </c>
      <c r="Q65" s="125">
        <v>0</v>
      </c>
      <c r="R65" s="890">
        <f>IF(O66=0,0,         IF(OR(Currency1="AUD",Currency1="NZD",Currency1="GBP"),O65,   _xll.qDateNext(O65,"-2b",,,IF(Currency1="EUR","TGT","LON"))))</f>
        <v>0</v>
      </c>
      <c r="S65" s="879" t="str">
        <v/>
      </c>
      <c r="T65" s="879" t="str">
        <v/>
      </c>
      <c r="U65" s="879" t="str">
        <v/>
      </c>
      <c r="V65" s="879" t="str">
        <v/>
      </c>
      <c r="W65" s="879" t="str">
        <v/>
      </c>
      <c r="X65" s="879" t="str">
        <v/>
      </c>
      <c r="Y65" s="879" t="str">
        <v/>
      </c>
      <c r="Z65" s="879" t="str">
        <v/>
      </c>
      <c r="AA65" s="882">
        <f>IF($O66=0,0,        _xll.qDateNext($O65,AA$17,$AH$16,TRUE,Currency1))</f>
        <v>0</v>
      </c>
      <c r="AB65" s="882">
        <f>IF($O66=0,0,        _xll.qDateNext($O65,AB$17,$AH$16,TRUE,Currency1))</f>
        <v>0</v>
      </c>
      <c r="AC65" s="882">
        <f>IF($O66=0,0,        _xll.qDateNext($O65,AC$17,$AH$16,TRUE,Currency1))</f>
        <v>0</v>
      </c>
      <c r="AD65" s="882">
        <f>IF($O66=0,0,        _xll.qDateNext($O65,AD$17,$AH$16,TRUE,Currency1))</f>
        <v>0</v>
      </c>
      <c r="AE65" s="882">
        <f>IF($O66=0,0,        _xll.qDateNext($O65,AE$17,$AH$16,TRUE,Currency1))</f>
        <v>0</v>
      </c>
      <c r="AF65" s="882">
        <f>IF($O66=0,0,        _xll.qDateNext($O65,AF$17,$AH$16,TRUE,Currency1))</f>
        <v>0</v>
      </c>
      <c r="AG65" s="882">
        <f>IF($O66=0,0,        _xll.qDateNext($O65,AG$17,$AH$16,TRUE,Currency1))</f>
        <v>0</v>
      </c>
      <c r="AH65" s="882">
        <f>IF($O66=0,0,        _xll.qDateNext($O65,AH$17,$AH$16,TRUE,Currency1))</f>
        <v>0</v>
      </c>
      <c r="AI65" s="886">
        <f>IF($O66=0,0,           IF(FRM,_xll.qGetFwdRate(AI$14,$O65,AA65,"T",DCC_Leg1_Float),_xll.qGetFwdRate(AI$14,$O65,$O66,"T",DCC_Leg1_Float)))</f>
        <v>0</v>
      </c>
      <c r="AJ65" s="886">
        <f>IF($O66=0,0,           IF(FRM,_xll.qGetFwdRate(AJ$14,$O65,AB65,"T",DCC_Leg1_Float),_xll.qGetFwdRate(AJ$14,$O65,$O66,"T",DCC_Leg1_Float)))</f>
        <v>0</v>
      </c>
      <c r="AK65" s="886">
        <f t="shared" si="1"/>
        <v>0</v>
      </c>
      <c r="AL65" s="886">
        <f>IF($O66=0,0,           IF(FRM,_xll.qGetFwdRate(AL$14,$O65,AD65,"T",DCC_Leg1_Float),_xll.qGetFwdRate(AL$14,$O65,$O66,"T",DCC_Leg1_Float)))</f>
        <v>0</v>
      </c>
      <c r="AM65" s="886">
        <f t="shared" si="16"/>
        <v>0</v>
      </c>
      <c r="AN65" s="886">
        <f t="shared" si="17"/>
        <v>0</v>
      </c>
      <c r="AO65" s="886">
        <f>IF($O66=0,0,           IF(FRM,_xll.qGetFwdRate(AO$14,$O65,AG65,"T",DCC_Leg1_Float),_xll.qGetFwdRate(AO$14,$O65,$O66,"T",DCC_Leg1_Float)))</f>
        <v>0</v>
      </c>
      <c r="AP65" s="886">
        <f>IF($O66=0,0,           IF(FRM,_xll.qGetFwdRate(AP$14,$O65,AH65,"T",DCC_Leg1_Float),_xll.qGetFwdRate(AP$14,$O65,$O66,"T",DCC_Leg1_Float)))</f>
        <v>0</v>
      </c>
      <c r="AQ65" s="648">
        <f t="shared" si="18"/>
        <v>0</v>
      </c>
      <c r="AR65" s="648">
        <f t="shared" si="19"/>
        <v>0</v>
      </c>
      <c r="AS65" s="648">
        <f t="shared" si="20"/>
        <v>0</v>
      </c>
      <c r="AT65" s="648">
        <f t="shared" si="21"/>
        <v>0</v>
      </c>
      <c r="AU65" s="648">
        <f t="shared" si="22"/>
        <v>0</v>
      </c>
      <c r="AV65" s="648">
        <f t="shared" si="23"/>
        <v>0</v>
      </c>
      <c r="AW65" s="648">
        <f t="shared" si="24"/>
        <v>0</v>
      </c>
      <c r="AX65" s="648">
        <f t="shared" si="25"/>
        <v>0</v>
      </c>
      <c r="AY65" s="634">
        <v>0</v>
      </c>
      <c r="AZ65" s="616"/>
      <c r="BA65" s="619">
        <f>IF(O66=0,0,             IF(ISNUMBER(AZ65),AZ65,             IF(ISTEXT(AZ65),INDEX(AQ65:AX65,MATCH(AZ65,$AQ$17:$AX$17,0)),           IF(AY65="INT",_xll.qInterp(O66,AA65:AH65,AQ65:AX65),       INDEX(AQ65:AX65,MATCH(AY65,$AQ$17:$AX$17,0))))))</f>
        <v>0</v>
      </c>
      <c r="BB65" s="674">
        <v>100</v>
      </c>
      <c r="BC65" s="666">
        <f t="shared" si="3"/>
        <v>0</v>
      </c>
      <c r="BD65" s="268">
        <f>IF($O66=0,0,                IF(LEFT(DCC_Leg1_Fixed,2)="1/",uEvaluate(DCC_Leg1_Fixed),        _xll.qDateYears($O65,$O66,DCC_Leg1_Fixed)))</f>
        <v>0</v>
      </c>
      <c r="BE65" s="268">
        <f>IF($O66,_xll.qDateYears($O65,$O66,DCC_Leg1_Float),0)</f>
        <v>0</v>
      </c>
      <c r="BG65" s="332">
        <f t="shared" si="26"/>
        <v>0</v>
      </c>
      <c r="BH65" s="357">
        <f t="shared" si="27"/>
        <v>0</v>
      </c>
      <c r="BI65" s="527"/>
      <c r="BK65" s="324">
        <f t="shared" si="33"/>
        <v>0</v>
      </c>
      <c r="BM65" s="338"/>
      <c r="BN65" s="121">
        <v>0</v>
      </c>
      <c r="BO65" s="755">
        <f t="shared" si="4"/>
        <v>0</v>
      </c>
      <c r="BP65" s="339">
        <v>0</v>
      </c>
      <c r="BQ65" s="890">
        <f>IF(BN66=0,0,         IF(OR(Currency2="AUD",Currency1="NZD",Currency2="GBP"),BN65,   _xll.qDateNext(BN65,"-2b",,,IF(Currency2="EUR","TGT","LON"))))</f>
        <v>0</v>
      </c>
      <c r="BR65" s="879" t="str">
        <v/>
      </c>
      <c r="BS65" s="879" t="str">
        <v/>
      </c>
      <c r="BT65" s="879" t="str">
        <v/>
      </c>
      <c r="BU65" s="879" t="str">
        <v/>
      </c>
      <c r="BV65" s="879" t="str">
        <v/>
      </c>
      <c r="BW65" s="879" t="str">
        <v/>
      </c>
      <c r="BX65" s="879" t="str">
        <v/>
      </c>
      <c r="BY65" s="879" t="str">
        <v/>
      </c>
      <c r="BZ65" s="882">
        <f>IF($BN66=0,0,        _xll.qDateNext($BN65,BZ$17,$CG$16,TRUE,Currency2))</f>
        <v>0</v>
      </c>
      <c r="CA65" s="882">
        <f>IF($BN66=0,0,        _xll.qDateNext($BN65,CA$17,$CG$16,TRUE,Currency2))</f>
        <v>0</v>
      </c>
      <c r="CB65" s="882">
        <f>IF($BN66=0,0,        _xll.qDateNext($BN65,CB$17,$CG$16,TRUE,Currency2))</f>
        <v>0</v>
      </c>
      <c r="CC65" s="882">
        <f>IF($BN66=0,0,        _xll.qDateNext($BN65,CC$17,$CG$16,TRUE,Currency2))</f>
        <v>0</v>
      </c>
      <c r="CD65" s="882">
        <f>IF($BN66=0,0,        _xll.qDateNext($BN65,CD$17,$CG$16,TRUE,Currency2))</f>
        <v>0</v>
      </c>
      <c r="CE65" s="882">
        <f>IF($BN66=0,0,        _xll.qDateNext($BN65,CE$17,$CG$16,TRUE,Currency2))</f>
        <v>0</v>
      </c>
      <c r="CF65" s="882">
        <f>IF($BN66=0,0,        _xll.qDateNext($BN65,CF$17,$CG$16,TRUE,Currency2))</f>
        <v>0</v>
      </c>
      <c r="CG65" s="882">
        <f>IF($BN66=0,0,        _xll.qDateNext($BN65,CG$17,$CG$16,TRUE,Currency2))</f>
        <v>0</v>
      </c>
      <c r="CH65" s="886">
        <v>0</v>
      </c>
      <c r="CI65" s="886">
        <v>0</v>
      </c>
      <c r="CJ65" s="886">
        <v>0</v>
      </c>
      <c r="CK65" s="886">
        <v>0</v>
      </c>
      <c r="CL65" s="886">
        <f t="shared" si="5"/>
        <v>0</v>
      </c>
      <c r="CM65" s="886">
        <f t="shared" si="28"/>
        <v>0</v>
      </c>
      <c r="CN65" s="886">
        <v>0</v>
      </c>
      <c r="CO65" s="886">
        <v>0</v>
      </c>
      <c r="CP65" s="648">
        <f t="shared" si="6"/>
        <v>0</v>
      </c>
      <c r="CQ65" s="648">
        <f t="shared" si="7"/>
        <v>0</v>
      </c>
      <c r="CR65" s="648">
        <f t="shared" si="8"/>
        <v>0</v>
      </c>
      <c r="CS65" s="648">
        <f t="shared" si="9"/>
        <v>0</v>
      </c>
      <c r="CT65" s="648">
        <f t="shared" si="10"/>
        <v>0</v>
      </c>
      <c r="CU65" s="648">
        <f t="shared" si="11"/>
        <v>0</v>
      </c>
      <c r="CV65" s="648">
        <f t="shared" si="12"/>
        <v>0</v>
      </c>
      <c r="CW65" s="648">
        <f t="shared" si="13"/>
        <v>0</v>
      </c>
      <c r="CX65" s="634">
        <v>0</v>
      </c>
      <c r="CY65" s="616"/>
      <c r="CZ65" s="619">
        <f>IF(BN66=0,0,             IF(ISNUMBER(CY65),CY65,             IF(ISTEXT(CY65),INDEX(CP65:CW65,MATCH(CY65,$CP$17:$CW$17,0)),           IF(CX65="INT",_xll.qInterp(BN66,BZ65:CG65,CP65:CW65),       INDEX(CP65:CW65,MATCH(CX65,$CP$17:$CW$17,0))))))</f>
        <v>0</v>
      </c>
      <c r="DA65" s="755">
        <f t="shared" si="14"/>
        <v>0</v>
      </c>
      <c r="DB65" s="387">
        <f t="shared" si="15"/>
        <v>0</v>
      </c>
      <c r="DC65" s="268">
        <f>IF($BN66=0,0,         IF(LEFT(DCC_Leg2_Fixed,2)="1/",uEvaluate(DCC_Leg2_Fixed),         _xll.qDateYears($BN65,$BN66,DCC_Leg2_Fixed)))</f>
        <v>0</v>
      </c>
      <c r="DD65" s="268">
        <f>IF($BN66,_xll.qDateYears($BN65,$BN66,DCC_Leg2_Float),0)</f>
        <v>0</v>
      </c>
      <c r="DF65" s="332">
        <f t="shared" si="29"/>
        <v>0</v>
      </c>
      <c r="DG65" s="357">
        <f t="shared" si="30"/>
        <v>0</v>
      </c>
      <c r="DH65" s="527"/>
      <c r="DJ65" s="324">
        <f t="shared" si="34"/>
        <v>0</v>
      </c>
      <c r="DK65" s="529"/>
      <c r="DL65" s="338"/>
    </row>
    <row r="66" spans="15:116">
      <c r="O66" s="121">
        <v>0</v>
      </c>
      <c r="P66" s="755">
        <f t="shared" si="0"/>
        <v>0</v>
      </c>
      <c r="Q66" s="125">
        <v>0</v>
      </c>
      <c r="R66" s="890">
        <f>IF(O67=0,0,         IF(OR(Currency1="AUD",Currency1="NZD",Currency1="GBP"),O66,   _xll.qDateNext(O66,"-2b",,,IF(Currency1="EUR","TGT","LON"))))</f>
        <v>0</v>
      </c>
      <c r="S66" s="879" t="str">
        <v/>
      </c>
      <c r="T66" s="879" t="str">
        <v/>
      </c>
      <c r="U66" s="879" t="str">
        <v/>
      </c>
      <c r="V66" s="879" t="str">
        <v/>
      </c>
      <c r="W66" s="879" t="str">
        <v/>
      </c>
      <c r="X66" s="879" t="str">
        <v/>
      </c>
      <c r="Y66" s="879" t="str">
        <v/>
      </c>
      <c r="Z66" s="879" t="str">
        <v/>
      </c>
      <c r="AA66" s="882">
        <f>IF($O67=0,0,        _xll.qDateNext($O66,AA$17,$AH$16,TRUE,Currency1))</f>
        <v>0</v>
      </c>
      <c r="AB66" s="882">
        <f>IF($O67=0,0,        _xll.qDateNext($O66,AB$17,$AH$16,TRUE,Currency1))</f>
        <v>0</v>
      </c>
      <c r="AC66" s="882">
        <f>IF($O67=0,0,        _xll.qDateNext($O66,AC$17,$AH$16,TRUE,Currency1))</f>
        <v>0</v>
      </c>
      <c r="AD66" s="882">
        <f>IF($O67=0,0,        _xll.qDateNext($O66,AD$17,$AH$16,TRUE,Currency1))</f>
        <v>0</v>
      </c>
      <c r="AE66" s="882">
        <f>IF($O67=0,0,        _xll.qDateNext($O66,AE$17,$AH$16,TRUE,Currency1))</f>
        <v>0</v>
      </c>
      <c r="AF66" s="882">
        <f>IF($O67=0,0,        _xll.qDateNext($O66,AF$17,$AH$16,TRUE,Currency1))</f>
        <v>0</v>
      </c>
      <c r="AG66" s="882">
        <f>IF($O67=0,0,        _xll.qDateNext($O66,AG$17,$AH$16,TRUE,Currency1))</f>
        <v>0</v>
      </c>
      <c r="AH66" s="882">
        <f>IF($O67=0,0,        _xll.qDateNext($O66,AH$17,$AH$16,TRUE,Currency1))</f>
        <v>0</v>
      </c>
      <c r="AI66" s="886">
        <f>IF($O67=0,0,           IF(FRM,_xll.qGetFwdRate(AI$14,$O66,AA66,"T",DCC_Leg1_Float),_xll.qGetFwdRate(AI$14,$O66,$O67,"T",DCC_Leg1_Float)))</f>
        <v>0</v>
      </c>
      <c r="AJ66" s="886">
        <f>IF($O67=0,0,           IF(FRM,_xll.qGetFwdRate(AJ$14,$O66,AB66,"T",DCC_Leg1_Float),_xll.qGetFwdRate(AJ$14,$O66,$O67,"T",DCC_Leg1_Float)))</f>
        <v>0</v>
      </c>
      <c r="AK66" s="886">
        <f t="shared" si="1"/>
        <v>0</v>
      </c>
      <c r="AL66" s="886">
        <f>IF($O67=0,0,           IF(FRM,_xll.qGetFwdRate(AL$14,$O66,AD66,"T",DCC_Leg1_Float),_xll.qGetFwdRate(AL$14,$O66,$O67,"T",DCC_Leg1_Float)))</f>
        <v>0</v>
      </c>
      <c r="AM66" s="886">
        <f t="shared" si="16"/>
        <v>0</v>
      </c>
      <c r="AN66" s="886">
        <f t="shared" si="17"/>
        <v>0</v>
      </c>
      <c r="AO66" s="886">
        <f>IF($O67=0,0,           IF(FRM,_xll.qGetFwdRate(AO$14,$O66,AG66,"T",DCC_Leg1_Float),_xll.qGetFwdRate(AO$14,$O66,$O67,"T",DCC_Leg1_Float)))</f>
        <v>0</v>
      </c>
      <c r="AP66" s="886">
        <f>IF($O67=0,0,           IF(FRM,_xll.qGetFwdRate(AP$14,$O66,AH66,"T",DCC_Leg1_Float),_xll.qGetFwdRate(AP$14,$O66,$O67,"T",DCC_Leg1_Float)))</f>
        <v>0</v>
      </c>
      <c r="AQ66" s="648">
        <f t="shared" si="18"/>
        <v>0</v>
      </c>
      <c r="AR66" s="648">
        <f t="shared" si="19"/>
        <v>0</v>
      </c>
      <c r="AS66" s="648">
        <f t="shared" si="20"/>
        <v>0</v>
      </c>
      <c r="AT66" s="648">
        <f t="shared" si="21"/>
        <v>0</v>
      </c>
      <c r="AU66" s="648">
        <f t="shared" si="22"/>
        <v>0</v>
      </c>
      <c r="AV66" s="648">
        <f t="shared" si="23"/>
        <v>0</v>
      </c>
      <c r="AW66" s="648">
        <f t="shared" si="24"/>
        <v>0</v>
      </c>
      <c r="AX66" s="648">
        <f t="shared" si="25"/>
        <v>0</v>
      </c>
      <c r="AY66" s="634">
        <v>0</v>
      </c>
      <c r="AZ66" s="616"/>
      <c r="BA66" s="619">
        <f>IF(O67=0,0,             IF(ISNUMBER(AZ66),AZ66,             IF(ISTEXT(AZ66),INDEX(AQ66:AX66,MATCH(AZ66,$AQ$17:$AX$17,0)),           IF(AY66="INT",_xll.qInterp(O67,AA66:AH66,AQ66:AX66),       INDEX(AQ66:AX66,MATCH(AY66,$AQ$17:$AX$17,0))))))</f>
        <v>0</v>
      </c>
      <c r="BB66" s="674">
        <v>100</v>
      </c>
      <c r="BC66" s="666">
        <f t="shared" si="3"/>
        <v>0</v>
      </c>
      <c r="BD66" s="268">
        <f>IF($O67=0,0,                IF(LEFT(DCC_Leg1_Fixed,2)="1/",uEvaluate(DCC_Leg1_Fixed),        _xll.qDateYears($O66,$O67,DCC_Leg1_Fixed)))</f>
        <v>0</v>
      </c>
      <c r="BE66" s="268">
        <f>IF($O67,_xll.qDateYears($O66,$O67,DCC_Leg1_Float),0)</f>
        <v>0</v>
      </c>
      <c r="BG66" s="332">
        <f t="shared" si="26"/>
        <v>0</v>
      </c>
      <c r="BH66" s="357">
        <f t="shared" si="27"/>
        <v>0</v>
      </c>
      <c r="BI66" s="527"/>
      <c r="BK66" s="324">
        <f t="shared" si="33"/>
        <v>0</v>
      </c>
      <c r="BM66" s="338"/>
      <c r="BN66" s="121">
        <v>0</v>
      </c>
      <c r="BO66" s="755">
        <f t="shared" si="4"/>
        <v>0</v>
      </c>
      <c r="BP66" s="339">
        <v>0</v>
      </c>
      <c r="BQ66" s="890">
        <f>IF(BN67=0,0,         IF(OR(Currency2="AUD",Currency1="NZD",Currency2="GBP"),BN66,   _xll.qDateNext(BN66,"-2b",,,IF(Currency2="EUR","TGT","LON"))))</f>
        <v>0</v>
      </c>
      <c r="BR66" s="879" t="str">
        <v/>
      </c>
      <c r="BS66" s="879" t="str">
        <v/>
      </c>
      <c r="BT66" s="879" t="str">
        <v/>
      </c>
      <c r="BU66" s="879" t="str">
        <v/>
      </c>
      <c r="BV66" s="879" t="str">
        <v/>
      </c>
      <c r="BW66" s="879" t="str">
        <v/>
      </c>
      <c r="BX66" s="879" t="str">
        <v/>
      </c>
      <c r="BY66" s="879" t="str">
        <v/>
      </c>
      <c r="BZ66" s="882">
        <f>IF($BN67=0,0,        _xll.qDateNext($BN66,BZ$17,$CG$16,TRUE,Currency2))</f>
        <v>0</v>
      </c>
      <c r="CA66" s="882">
        <f>IF($BN67=0,0,        _xll.qDateNext($BN66,CA$17,$CG$16,TRUE,Currency2))</f>
        <v>0</v>
      </c>
      <c r="CB66" s="882">
        <f>IF($BN67=0,0,        _xll.qDateNext($BN66,CB$17,$CG$16,TRUE,Currency2))</f>
        <v>0</v>
      </c>
      <c r="CC66" s="882">
        <f>IF($BN67=0,0,        _xll.qDateNext($BN66,CC$17,$CG$16,TRUE,Currency2))</f>
        <v>0</v>
      </c>
      <c r="CD66" s="882">
        <f>IF($BN67=0,0,        _xll.qDateNext($BN66,CD$17,$CG$16,TRUE,Currency2))</f>
        <v>0</v>
      </c>
      <c r="CE66" s="882">
        <f>IF($BN67=0,0,        _xll.qDateNext($BN66,CE$17,$CG$16,TRUE,Currency2))</f>
        <v>0</v>
      </c>
      <c r="CF66" s="882">
        <f>IF($BN67=0,0,        _xll.qDateNext($BN66,CF$17,$CG$16,TRUE,Currency2))</f>
        <v>0</v>
      </c>
      <c r="CG66" s="882">
        <f>IF($BN67=0,0,        _xll.qDateNext($BN66,CG$17,$CG$16,TRUE,Currency2))</f>
        <v>0</v>
      </c>
      <c r="CH66" s="886">
        <v>0</v>
      </c>
      <c r="CI66" s="886">
        <v>0</v>
      </c>
      <c r="CJ66" s="886">
        <v>0</v>
      </c>
      <c r="CK66" s="886">
        <v>0</v>
      </c>
      <c r="CL66" s="886">
        <f t="shared" si="5"/>
        <v>0</v>
      </c>
      <c r="CM66" s="886">
        <f t="shared" si="28"/>
        <v>0</v>
      </c>
      <c r="CN66" s="886">
        <v>0</v>
      </c>
      <c r="CO66" s="886">
        <v>0</v>
      </c>
      <c r="CP66" s="648">
        <f t="shared" si="6"/>
        <v>0</v>
      </c>
      <c r="CQ66" s="648">
        <f t="shared" si="7"/>
        <v>0</v>
      </c>
      <c r="CR66" s="648">
        <f t="shared" si="8"/>
        <v>0</v>
      </c>
      <c r="CS66" s="648">
        <f t="shared" si="9"/>
        <v>0</v>
      </c>
      <c r="CT66" s="648">
        <f t="shared" si="10"/>
        <v>0</v>
      </c>
      <c r="CU66" s="648">
        <f t="shared" si="11"/>
        <v>0</v>
      </c>
      <c r="CV66" s="648">
        <f t="shared" si="12"/>
        <v>0</v>
      </c>
      <c r="CW66" s="648">
        <f t="shared" si="13"/>
        <v>0</v>
      </c>
      <c r="CX66" s="634">
        <v>0</v>
      </c>
      <c r="CY66" s="616"/>
      <c r="CZ66" s="619">
        <f>IF(BN67=0,0,             IF(ISNUMBER(CY66),CY66,             IF(ISTEXT(CY66),INDEX(CP66:CW66,MATCH(CY66,$CP$17:$CW$17,0)),           IF(CX66="INT",_xll.qInterp(BN67,BZ66:CG66,CP66:CW66),       INDEX(CP66:CW66,MATCH(CX66,$CP$17:$CW$17,0))))))</f>
        <v>0</v>
      </c>
      <c r="DA66" s="755">
        <f t="shared" si="14"/>
        <v>0</v>
      </c>
      <c r="DB66" s="387">
        <f t="shared" si="15"/>
        <v>0</v>
      </c>
      <c r="DC66" s="268">
        <f>IF($BN67=0,0,         IF(LEFT(DCC_Leg2_Fixed,2)="1/",uEvaluate(DCC_Leg2_Fixed),         _xll.qDateYears($BN66,$BN67,DCC_Leg2_Fixed)))</f>
        <v>0</v>
      </c>
      <c r="DD66" s="268">
        <f>IF($BN67,_xll.qDateYears($BN66,$BN67,DCC_Leg2_Float),0)</f>
        <v>0</v>
      </c>
      <c r="DF66" s="332">
        <f t="shared" si="29"/>
        <v>0</v>
      </c>
      <c r="DG66" s="357">
        <f t="shared" si="30"/>
        <v>0</v>
      </c>
      <c r="DH66" s="527"/>
      <c r="DJ66" s="324">
        <f t="shared" si="34"/>
        <v>0</v>
      </c>
      <c r="DK66" s="529"/>
      <c r="DL66" s="338"/>
    </row>
    <row r="67" spans="15:116">
      <c r="O67" s="121">
        <v>0</v>
      </c>
      <c r="P67" s="755">
        <f t="shared" si="0"/>
        <v>0</v>
      </c>
      <c r="Q67" s="125">
        <v>0</v>
      </c>
      <c r="R67" s="890">
        <f>IF(O68=0,0,         IF(OR(Currency1="AUD",Currency1="NZD",Currency1="GBP"),O67,   _xll.qDateNext(O67,"-2b",,,IF(Currency1="EUR","TGT","LON"))))</f>
        <v>0</v>
      </c>
      <c r="S67" s="879" t="str">
        <v/>
      </c>
      <c r="T67" s="879" t="str">
        <v/>
      </c>
      <c r="U67" s="879" t="str">
        <v/>
      </c>
      <c r="V67" s="879" t="str">
        <v/>
      </c>
      <c r="W67" s="879" t="str">
        <v/>
      </c>
      <c r="X67" s="879" t="str">
        <v/>
      </c>
      <c r="Y67" s="879" t="str">
        <v/>
      </c>
      <c r="Z67" s="879" t="str">
        <v/>
      </c>
      <c r="AA67" s="882">
        <f>IF($O68=0,0,        _xll.qDateNext($O67,AA$17,$AH$16,TRUE,Currency1))</f>
        <v>0</v>
      </c>
      <c r="AB67" s="882">
        <f>IF($O68=0,0,        _xll.qDateNext($O67,AB$17,$AH$16,TRUE,Currency1))</f>
        <v>0</v>
      </c>
      <c r="AC67" s="882">
        <f>IF($O68=0,0,        _xll.qDateNext($O67,AC$17,$AH$16,TRUE,Currency1))</f>
        <v>0</v>
      </c>
      <c r="AD67" s="882">
        <f>IF($O68=0,0,        _xll.qDateNext($O67,AD$17,$AH$16,TRUE,Currency1))</f>
        <v>0</v>
      </c>
      <c r="AE67" s="882">
        <f>IF($O68=0,0,        _xll.qDateNext($O67,AE$17,$AH$16,TRUE,Currency1))</f>
        <v>0</v>
      </c>
      <c r="AF67" s="882">
        <f>IF($O68=0,0,        _xll.qDateNext($O67,AF$17,$AH$16,TRUE,Currency1))</f>
        <v>0</v>
      </c>
      <c r="AG67" s="882">
        <f>IF($O68=0,0,        _xll.qDateNext($O67,AG$17,$AH$16,TRUE,Currency1))</f>
        <v>0</v>
      </c>
      <c r="AH67" s="882">
        <f>IF($O68=0,0,        _xll.qDateNext($O67,AH$17,$AH$16,TRUE,Currency1))</f>
        <v>0</v>
      </c>
      <c r="AI67" s="886">
        <f>IF($O68=0,0,           IF(FRM,_xll.qGetFwdRate(AI$14,$O67,AA67,"T",DCC_Leg1_Float),_xll.qGetFwdRate(AI$14,$O67,$O68,"T",DCC_Leg1_Float)))</f>
        <v>0</v>
      </c>
      <c r="AJ67" s="886">
        <f>IF($O68=0,0,           IF(FRM,_xll.qGetFwdRate(AJ$14,$O67,AB67,"T",DCC_Leg1_Float),_xll.qGetFwdRate(AJ$14,$O67,$O68,"T",DCC_Leg1_Float)))</f>
        <v>0</v>
      </c>
      <c r="AK67" s="886">
        <f t="shared" si="1"/>
        <v>0</v>
      </c>
      <c r="AL67" s="886">
        <f>IF($O68=0,0,           IF(FRM,_xll.qGetFwdRate(AL$14,$O67,AD67,"T",DCC_Leg1_Float),_xll.qGetFwdRate(AL$14,$O67,$O68,"T",DCC_Leg1_Float)))</f>
        <v>0</v>
      </c>
      <c r="AM67" s="886">
        <f t="shared" si="16"/>
        <v>0</v>
      </c>
      <c r="AN67" s="886">
        <f t="shared" si="17"/>
        <v>0</v>
      </c>
      <c r="AO67" s="886">
        <f>IF($O68=0,0,           IF(FRM,_xll.qGetFwdRate(AO$14,$O67,AG67,"T",DCC_Leg1_Float),_xll.qGetFwdRate(AO$14,$O67,$O68,"T",DCC_Leg1_Float)))</f>
        <v>0</v>
      </c>
      <c r="AP67" s="886">
        <f>IF($O68=0,0,           IF(FRM,_xll.qGetFwdRate(AP$14,$O67,AH67,"T",DCC_Leg1_Float),_xll.qGetFwdRate(AP$14,$O67,$O68,"T",DCC_Leg1_Float)))</f>
        <v>0</v>
      </c>
      <c r="AQ67" s="648">
        <f t="shared" si="18"/>
        <v>0</v>
      </c>
      <c r="AR67" s="648">
        <f t="shared" si="19"/>
        <v>0</v>
      </c>
      <c r="AS67" s="648">
        <f t="shared" si="20"/>
        <v>0</v>
      </c>
      <c r="AT67" s="648">
        <f t="shared" si="21"/>
        <v>0</v>
      </c>
      <c r="AU67" s="648">
        <f t="shared" si="22"/>
        <v>0</v>
      </c>
      <c r="AV67" s="648">
        <f t="shared" si="23"/>
        <v>0</v>
      </c>
      <c r="AW67" s="648">
        <f t="shared" si="24"/>
        <v>0</v>
      </c>
      <c r="AX67" s="648">
        <f t="shared" si="25"/>
        <v>0</v>
      </c>
      <c r="AY67" s="634">
        <v>0</v>
      </c>
      <c r="AZ67" s="616"/>
      <c r="BA67" s="619">
        <f>IF(O68=0,0,             IF(ISNUMBER(AZ67),AZ67,             IF(ISTEXT(AZ67),INDEX(AQ67:AX67,MATCH(AZ67,$AQ$17:$AX$17,0)),           IF(AY67="INT",_xll.qInterp(O68,AA67:AH67,AQ67:AX67),       INDEX(AQ67:AX67,MATCH(AY67,$AQ$17:$AX$17,0))))))</f>
        <v>0</v>
      </c>
      <c r="BB67" s="674">
        <v>100</v>
      </c>
      <c r="BC67" s="666">
        <f t="shared" si="3"/>
        <v>0</v>
      </c>
      <c r="BD67" s="268">
        <f>IF($O68=0,0,                IF(LEFT(DCC_Leg1_Fixed,2)="1/",uEvaluate(DCC_Leg1_Fixed),        _xll.qDateYears($O67,$O68,DCC_Leg1_Fixed)))</f>
        <v>0</v>
      </c>
      <c r="BE67" s="268">
        <f>IF($O68,_xll.qDateYears($O67,$O68,DCC_Leg1_Float),0)</f>
        <v>0</v>
      </c>
      <c r="BG67" s="332">
        <f t="shared" si="26"/>
        <v>0</v>
      </c>
      <c r="BH67" s="357">
        <f t="shared" si="27"/>
        <v>0</v>
      </c>
      <c r="BI67" s="527"/>
      <c r="BK67" s="324">
        <f t="shared" si="33"/>
        <v>0</v>
      </c>
      <c r="BM67" s="338"/>
      <c r="BN67" s="121">
        <v>0</v>
      </c>
      <c r="BO67" s="755">
        <f t="shared" si="4"/>
        <v>0</v>
      </c>
      <c r="BP67" s="339">
        <v>0</v>
      </c>
      <c r="BQ67" s="890">
        <f>IF(BN68=0,0,         IF(OR(Currency2="AUD",Currency1="NZD",Currency2="GBP"),BN67,   _xll.qDateNext(BN67,"-2b",,,IF(Currency2="EUR","TGT","LON"))))</f>
        <v>0</v>
      </c>
      <c r="BR67" s="879" t="str">
        <v/>
      </c>
      <c r="BS67" s="879" t="str">
        <v/>
      </c>
      <c r="BT67" s="879" t="str">
        <v/>
      </c>
      <c r="BU67" s="879" t="str">
        <v/>
      </c>
      <c r="BV67" s="879" t="str">
        <v/>
      </c>
      <c r="BW67" s="879" t="str">
        <v/>
      </c>
      <c r="BX67" s="879" t="str">
        <v/>
      </c>
      <c r="BY67" s="879" t="str">
        <v/>
      </c>
      <c r="BZ67" s="882">
        <f>IF($BN68=0,0,        _xll.qDateNext($BN67,BZ$17,$CG$16,TRUE,Currency2))</f>
        <v>0</v>
      </c>
      <c r="CA67" s="882">
        <f>IF($BN68=0,0,        _xll.qDateNext($BN67,CA$17,$CG$16,TRUE,Currency2))</f>
        <v>0</v>
      </c>
      <c r="CB67" s="882">
        <f>IF($BN68=0,0,        _xll.qDateNext($BN67,CB$17,$CG$16,TRUE,Currency2))</f>
        <v>0</v>
      </c>
      <c r="CC67" s="882">
        <f>IF($BN68=0,0,        _xll.qDateNext($BN67,CC$17,$CG$16,TRUE,Currency2))</f>
        <v>0</v>
      </c>
      <c r="CD67" s="882">
        <f>IF($BN68=0,0,        _xll.qDateNext($BN67,CD$17,$CG$16,TRUE,Currency2))</f>
        <v>0</v>
      </c>
      <c r="CE67" s="882">
        <f>IF($BN68=0,0,        _xll.qDateNext($BN67,CE$17,$CG$16,TRUE,Currency2))</f>
        <v>0</v>
      </c>
      <c r="CF67" s="882">
        <f>IF($BN68=0,0,        _xll.qDateNext($BN67,CF$17,$CG$16,TRUE,Currency2))</f>
        <v>0</v>
      </c>
      <c r="CG67" s="882">
        <f>IF($BN68=0,0,        _xll.qDateNext($BN67,CG$17,$CG$16,TRUE,Currency2))</f>
        <v>0</v>
      </c>
      <c r="CH67" s="886">
        <v>0</v>
      </c>
      <c r="CI67" s="886">
        <v>0</v>
      </c>
      <c r="CJ67" s="886">
        <v>0</v>
      </c>
      <c r="CK67" s="886">
        <v>0</v>
      </c>
      <c r="CL67" s="886">
        <f t="shared" si="5"/>
        <v>0</v>
      </c>
      <c r="CM67" s="886">
        <f t="shared" si="28"/>
        <v>0</v>
      </c>
      <c r="CN67" s="886">
        <v>0</v>
      </c>
      <c r="CO67" s="886">
        <v>0</v>
      </c>
      <c r="CP67" s="648">
        <f t="shared" si="6"/>
        <v>0</v>
      </c>
      <c r="CQ67" s="648">
        <f t="shared" si="7"/>
        <v>0</v>
      </c>
      <c r="CR67" s="648">
        <f t="shared" si="8"/>
        <v>0</v>
      </c>
      <c r="CS67" s="648">
        <f t="shared" si="9"/>
        <v>0</v>
      </c>
      <c r="CT67" s="648">
        <f t="shared" si="10"/>
        <v>0</v>
      </c>
      <c r="CU67" s="648">
        <f t="shared" si="11"/>
        <v>0</v>
      </c>
      <c r="CV67" s="648">
        <f t="shared" si="12"/>
        <v>0</v>
      </c>
      <c r="CW67" s="648">
        <f t="shared" si="13"/>
        <v>0</v>
      </c>
      <c r="CX67" s="634">
        <v>0</v>
      </c>
      <c r="CY67" s="616"/>
      <c r="CZ67" s="619">
        <f>IF(BN68=0,0,             IF(ISNUMBER(CY67),CY67,             IF(ISTEXT(CY67),INDEX(CP67:CW67,MATCH(CY67,$CP$17:$CW$17,0)),           IF(CX67="INT",_xll.qInterp(BN68,BZ67:CG67,CP67:CW67),       INDEX(CP67:CW67,MATCH(CX67,$CP$17:$CW$17,0))))))</f>
        <v>0</v>
      </c>
      <c r="DA67" s="755">
        <f t="shared" si="14"/>
        <v>0</v>
      </c>
      <c r="DB67" s="387">
        <f t="shared" si="15"/>
        <v>0</v>
      </c>
      <c r="DC67" s="268">
        <f>IF($BN68=0,0,         IF(LEFT(DCC_Leg2_Fixed,2)="1/",uEvaluate(DCC_Leg2_Fixed),         _xll.qDateYears($BN67,$BN68,DCC_Leg2_Fixed)))</f>
        <v>0</v>
      </c>
      <c r="DD67" s="268">
        <f>IF($BN68,_xll.qDateYears($BN67,$BN68,DCC_Leg2_Float),0)</f>
        <v>0</v>
      </c>
      <c r="DF67" s="332">
        <f t="shared" si="29"/>
        <v>0</v>
      </c>
      <c r="DG67" s="357">
        <f t="shared" si="30"/>
        <v>0</v>
      </c>
      <c r="DH67" s="527"/>
      <c r="DJ67" s="324">
        <f t="shared" si="34"/>
        <v>0</v>
      </c>
      <c r="DK67" s="529"/>
      <c r="DL67" s="338"/>
    </row>
    <row r="68" spans="15:116">
      <c r="O68" s="121">
        <v>0</v>
      </c>
      <c r="P68" s="755">
        <f t="shared" si="0"/>
        <v>0</v>
      </c>
      <c r="Q68" s="125">
        <v>0</v>
      </c>
      <c r="R68" s="890">
        <f>IF(O69=0,0,         IF(OR(Currency1="AUD",Currency1="NZD",Currency1="GBP"),O68,   _xll.qDateNext(O68,"-2b",,,IF(Currency1="EUR","TGT","LON"))))</f>
        <v>0</v>
      </c>
      <c r="S68" s="879" t="str">
        <v/>
      </c>
      <c r="T68" s="879" t="str">
        <v/>
      </c>
      <c r="U68" s="879" t="str">
        <v/>
      </c>
      <c r="V68" s="879" t="str">
        <v/>
      </c>
      <c r="W68" s="879" t="str">
        <v/>
      </c>
      <c r="X68" s="879" t="str">
        <v/>
      </c>
      <c r="Y68" s="879" t="str">
        <v/>
      </c>
      <c r="Z68" s="879" t="str">
        <v/>
      </c>
      <c r="AA68" s="882">
        <f>IF($O69=0,0,        _xll.qDateNext($O68,AA$17,$AH$16,TRUE,Currency1))</f>
        <v>0</v>
      </c>
      <c r="AB68" s="882">
        <f>IF($O69=0,0,        _xll.qDateNext($O68,AB$17,$AH$16,TRUE,Currency1))</f>
        <v>0</v>
      </c>
      <c r="AC68" s="882">
        <f>IF($O69=0,0,        _xll.qDateNext($O68,AC$17,$AH$16,TRUE,Currency1))</f>
        <v>0</v>
      </c>
      <c r="AD68" s="882">
        <f>IF($O69=0,0,        _xll.qDateNext($O68,AD$17,$AH$16,TRUE,Currency1))</f>
        <v>0</v>
      </c>
      <c r="AE68" s="882">
        <f>IF($O69=0,0,        _xll.qDateNext($O68,AE$17,$AH$16,TRUE,Currency1))</f>
        <v>0</v>
      </c>
      <c r="AF68" s="882">
        <f>IF($O69=0,0,        _xll.qDateNext($O68,AF$17,$AH$16,TRUE,Currency1))</f>
        <v>0</v>
      </c>
      <c r="AG68" s="882">
        <f>IF($O69=0,0,        _xll.qDateNext($O68,AG$17,$AH$16,TRUE,Currency1))</f>
        <v>0</v>
      </c>
      <c r="AH68" s="882">
        <f>IF($O69=0,0,        _xll.qDateNext($O68,AH$17,$AH$16,TRUE,Currency1))</f>
        <v>0</v>
      </c>
      <c r="AI68" s="886">
        <f>IF($O69=0,0,           IF(FRM,_xll.qGetFwdRate(AI$14,$O68,AA68,"T",DCC_Leg1_Float),_xll.qGetFwdRate(AI$14,$O68,$O69,"T",DCC_Leg1_Float)))</f>
        <v>0</v>
      </c>
      <c r="AJ68" s="886">
        <f>IF($O69=0,0,           IF(FRM,_xll.qGetFwdRate(AJ$14,$O68,AB68,"T",DCC_Leg1_Float),_xll.qGetFwdRate(AJ$14,$O68,$O69,"T",DCC_Leg1_Float)))</f>
        <v>0</v>
      </c>
      <c r="AK68" s="886">
        <f t="shared" si="1"/>
        <v>0</v>
      </c>
      <c r="AL68" s="886">
        <f>IF($O69=0,0,           IF(FRM,_xll.qGetFwdRate(AL$14,$O68,AD68,"T",DCC_Leg1_Float),_xll.qGetFwdRate(AL$14,$O68,$O69,"T",DCC_Leg1_Float)))</f>
        <v>0</v>
      </c>
      <c r="AM68" s="886">
        <f t="shared" si="16"/>
        <v>0</v>
      </c>
      <c r="AN68" s="886">
        <f t="shared" si="17"/>
        <v>0</v>
      </c>
      <c r="AO68" s="886">
        <f>IF($O69=0,0,           IF(FRM,_xll.qGetFwdRate(AO$14,$O68,AG68,"T",DCC_Leg1_Float),_xll.qGetFwdRate(AO$14,$O68,$O69,"T",DCC_Leg1_Float)))</f>
        <v>0</v>
      </c>
      <c r="AP68" s="886">
        <f>IF($O69=0,0,           IF(FRM,_xll.qGetFwdRate(AP$14,$O68,AH68,"T",DCC_Leg1_Float),_xll.qGetFwdRate(AP$14,$O68,$O69,"T",DCC_Leg1_Float)))</f>
        <v>0</v>
      </c>
      <c r="AQ68" s="648">
        <f t="shared" si="18"/>
        <v>0</v>
      </c>
      <c r="AR68" s="648">
        <f t="shared" si="19"/>
        <v>0</v>
      </c>
      <c r="AS68" s="648">
        <f t="shared" si="20"/>
        <v>0</v>
      </c>
      <c r="AT68" s="648">
        <f t="shared" si="21"/>
        <v>0</v>
      </c>
      <c r="AU68" s="648">
        <f t="shared" si="22"/>
        <v>0</v>
      </c>
      <c r="AV68" s="648">
        <f t="shared" si="23"/>
        <v>0</v>
      </c>
      <c r="AW68" s="648">
        <f t="shared" si="24"/>
        <v>0</v>
      </c>
      <c r="AX68" s="648">
        <f t="shared" si="25"/>
        <v>0</v>
      </c>
      <c r="AY68" s="634">
        <v>0</v>
      </c>
      <c r="AZ68" s="616"/>
      <c r="BA68" s="619">
        <f>IF(O69=0,0,             IF(ISNUMBER(AZ68),AZ68,             IF(ISTEXT(AZ68),INDEX(AQ68:AX68,MATCH(AZ68,$AQ$17:$AX$17,0)),           IF(AY68="INT",_xll.qInterp(O69,AA68:AH68,AQ68:AX68),       INDEX(AQ68:AX68,MATCH(AY68,$AQ$17:$AX$17,0))))))</f>
        <v>0</v>
      </c>
      <c r="BB68" s="674">
        <v>100</v>
      </c>
      <c r="BC68" s="666">
        <f t="shared" si="3"/>
        <v>0</v>
      </c>
      <c r="BD68" s="268">
        <f>IF($O69=0,0,                IF(LEFT(DCC_Leg1_Fixed,2)="1/",uEvaluate(DCC_Leg1_Fixed),        _xll.qDateYears($O68,$O69,DCC_Leg1_Fixed)))</f>
        <v>0</v>
      </c>
      <c r="BE68" s="268">
        <f>IF($O69,_xll.qDateYears($O68,$O69,DCC_Leg1_Float),0)</f>
        <v>0</v>
      </c>
      <c r="BG68" s="332">
        <f t="shared" si="26"/>
        <v>0</v>
      </c>
      <c r="BH68" s="357">
        <f t="shared" si="27"/>
        <v>0</v>
      </c>
      <c r="BI68" s="527"/>
      <c r="BK68" s="324">
        <f t="shared" si="33"/>
        <v>0</v>
      </c>
      <c r="BM68" s="338"/>
      <c r="BN68" s="121">
        <v>0</v>
      </c>
      <c r="BO68" s="755">
        <f t="shared" si="4"/>
        <v>0</v>
      </c>
      <c r="BP68" s="339">
        <v>0</v>
      </c>
      <c r="BQ68" s="890">
        <f>IF(BN69=0,0,         IF(OR(Currency2="AUD",Currency1="NZD",Currency2="GBP"),BN68,   _xll.qDateNext(BN68,"-2b",,,IF(Currency2="EUR","TGT","LON"))))</f>
        <v>0</v>
      </c>
      <c r="BR68" s="879" t="str">
        <v/>
      </c>
      <c r="BS68" s="879" t="str">
        <v/>
      </c>
      <c r="BT68" s="879" t="str">
        <v/>
      </c>
      <c r="BU68" s="879" t="str">
        <v/>
      </c>
      <c r="BV68" s="879" t="str">
        <v/>
      </c>
      <c r="BW68" s="879" t="str">
        <v/>
      </c>
      <c r="BX68" s="879" t="str">
        <v/>
      </c>
      <c r="BY68" s="879" t="str">
        <v/>
      </c>
      <c r="BZ68" s="882">
        <f>IF($BN69=0,0,        _xll.qDateNext($BN68,BZ$17,$CG$16,TRUE,Currency2))</f>
        <v>0</v>
      </c>
      <c r="CA68" s="882">
        <f>IF($BN69=0,0,        _xll.qDateNext($BN68,CA$17,$CG$16,TRUE,Currency2))</f>
        <v>0</v>
      </c>
      <c r="CB68" s="882">
        <f>IF($BN69=0,0,        _xll.qDateNext($BN68,CB$17,$CG$16,TRUE,Currency2))</f>
        <v>0</v>
      </c>
      <c r="CC68" s="882">
        <f>IF($BN69=0,0,        _xll.qDateNext($BN68,CC$17,$CG$16,TRUE,Currency2))</f>
        <v>0</v>
      </c>
      <c r="CD68" s="882">
        <f>IF($BN69=0,0,        _xll.qDateNext($BN68,CD$17,$CG$16,TRUE,Currency2))</f>
        <v>0</v>
      </c>
      <c r="CE68" s="882">
        <f>IF($BN69=0,0,        _xll.qDateNext($BN68,CE$17,$CG$16,TRUE,Currency2))</f>
        <v>0</v>
      </c>
      <c r="CF68" s="882">
        <f>IF($BN69=0,0,        _xll.qDateNext($BN68,CF$17,$CG$16,TRUE,Currency2))</f>
        <v>0</v>
      </c>
      <c r="CG68" s="882">
        <f>IF($BN69=0,0,        _xll.qDateNext($BN68,CG$17,$CG$16,TRUE,Currency2))</f>
        <v>0</v>
      </c>
      <c r="CH68" s="886">
        <v>0</v>
      </c>
      <c r="CI68" s="886">
        <v>0</v>
      </c>
      <c r="CJ68" s="886">
        <v>0</v>
      </c>
      <c r="CK68" s="886">
        <v>0</v>
      </c>
      <c r="CL68" s="886">
        <f t="shared" si="5"/>
        <v>0</v>
      </c>
      <c r="CM68" s="886">
        <f t="shared" si="28"/>
        <v>0</v>
      </c>
      <c r="CN68" s="886">
        <v>0</v>
      </c>
      <c r="CO68" s="886">
        <v>0</v>
      </c>
      <c r="CP68" s="648">
        <f t="shared" si="6"/>
        <v>0</v>
      </c>
      <c r="CQ68" s="648">
        <f t="shared" si="7"/>
        <v>0</v>
      </c>
      <c r="CR68" s="648">
        <f t="shared" si="8"/>
        <v>0</v>
      </c>
      <c r="CS68" s="648">
        <f t="shared" si="9"/>
        <v>0</v>
      </c>
      <c r="CT68" s="648">
        <f t="shared" si="10"/>
        <v>0</v>
      </c>
      <c r="CU68" s="648">
        <f t="shared" si="11"/>
        <v>0</v>
      </c>
      <c r="CV68" s="648">
        <f t="shared" si="12"/>
        <v>0</v>
      </c>
      <c r="CW68" s="648">
        <f t="shared" si="13"/>
        <v>0</v>
      </c>
      <c r="CX68" s="634">
        <v>0</v>
      </c>
      <c r="CY68" s="616"/>
      <c r="CZ68" s="619">
        <f>IF(BN69=0,0,             IF(ISNUMBER(CY68),CY68,             IF(ISTEXT(CY68),INDEX(CP68:CW68,MATCH(CY68,$CP$17:$CW$17,0)),           IF(CX68="INT",_xll.qInterp(BN69,BZ68:CG68,CP68:CW68),       INDEX(CP68:CW68,MATCH(CX68,$CP$17:$CW$17,0))))))</f>
        <v>0</v>
      </c>
      <c r="DA68" s="755">
        <f t="shared" si="14"/>
        <v>0</v>
      </c>
      <c r="DB68" s="387">
        <f t="shared" si="15"/>
        <v>0</v>
      </c>
      <c r="DC68" s="268">
        <f>IF($BN69=0,0,         IF(LEFT(DCC_Leg2_Fixed,2)="1/",uEvaluate(DCC_Leg2_Fixed),         _xll.qDateYears($BN68,$BN69,DCC_Leg2_Fixed)))</f>
        <v>0</v>
      </c>
      <c r="DD68" s="268">
        <f>IF($BN69,_xll.qDateYears($BN68,$BN69,DCC_Leg2_Float),0)</f>
        <v>0</v>
      </c>
      <c r="DF68" s="332">
        <f t="shared" si="29"/>
        <v>0</v>
      </c>
      <c r="DG68" s="357">
        <f t="shared" si="30"/>
        <v>0</v>
      </c>
      <c r="DH68" s="527"/>
      <c r="DJ68" s="324">
        <f t="shared" si="34"/>
        <v>0</v>
      </c>
      <c r="DK68" s="529"/>
      <c r="DL68" s="338"/>
    </row>
    <row r="69" spans="15:116">
      <c r="O69" s="121">
        <v>0</v>
      </c>
      <c r="P69" s="755">
        <f t="shared" si="0"/>
        <v>0</v>
      </c>
      <c r="Q69" s="125">
        <v>0</v>
      </c>
      <c r="R69" s="890">
        <f>IF(O70=0,0,         IF(OR(Currency1="AUD",Currency1="NZD",Currency1="GBP"),O69,   _xll.qDateNext(O69,"-2b",,,IF(Currency1="EUR","TGT","LON"))))</f>
        <v>0</v>
      </c>
      <c r="S69" s="879" t="str">
        <v/>
      </c>
      <c r="T69" s="879" t="str">
        <v/>
      </c>
      <c r="U69" s="879" t="str">
        <v/>
      </c>
      <c r="V69" s="879" t="str">
        <v/>
      </c>
      <c r="W69" s="879" t="str">
        <v/>
      </c>
      <c r="X69" s="879" t="str">
        <v/>
      </c>
      <c r="Y69" s="879" t="str">
        <v/>
      </c>
      <c r="Z69" s="879" t="str">
        <v/>
      </c>
      <c r="AA69" s="882">
        <f>IF($O70=0,0,        _xll.qDateNext($O69,AA$17,$AH$16,TRUE,Currency1))</f>
        <v>0</v>
      </c>
      <c r="AB69" s="882">
        <f>IF($O70=0,0,        _xll.qDateNext($O69,AB$17,$AH$16,TRUE,Currency1))</f>
        <v>0</v>
      </c>
      <c r="AC69" s="882">
        <f>IF($O70=0,0,        _xll.qDateNext($O69,AC$17,$AH$16,TRUE,Currency1))</f>
        <v>0</v>
      </c>
      <c r="AD69" s="882">
        <f>IF($O70=0,0,        _xll.qDateNext($O69,AD$17,$AH$16,TRUE,Currency1))</f>
        <v>0</v>
      </c>
      <c r="AE69" s="882">
        <f>IF($O70=0,0,        _xll.qDateNext($O69,AE$17,$AH$16,TRUE,Currency1))</f>
        <v>0</v>
      </c>
      <c r="AF69" s="882">
        <f>IF($O70=0,0,        _xll.qDateNext($O69,AF$17,$AH$16,TRUE,Currency1))</f>
        <v>0</v>
      </c>
      <c r="AG69" s="882">
        <f>IF($O70=0,0,        _xll.qDateNext($O69,AG$17,$AH$16,TRUE,Currency1))</f>
        <v>0</v>
      </c>
      <c r="AH69" s="882">
        <f>IF($O70=0,0,        _xll.qDateNext($O69,AH$17,$AH$16,TRUE,Currency1))</f>
        <v>0</v>
      </c>
      <c r="AI69" s="886">
        <f>IF($O70=0,0,           IF(FRM,_xll.qGetFwdRate(AI$14,$O69,AA69,"T",DCC_Leg1_Float),_xll.qGetFwdRate(AI$14,$O69,$O70,"T",DCC_Leg1_Float)))</f>
        <v>0</v>
      </c>
      <c r="AJ69" s="886">
        <f>IF($O70=0,0,           IF(FRM,_xll.qGetFwdRate(AJ$14,$O69,AB69,"T",DCC_Leg1_Float),_xll.qGetFwdRate(AJ$14,$O69,$O70,"T",DCC_Leg1_Float)))</f>
        <v>0</v>
      </c>
      <c r="AK69" s="886">
        <f t="shared" si="1"/>
        <v>0</v>
      </c>
      <c r="AL69" s="886">
        <f>IF($O70=0,0,           IF(FRM,_xll.qGetFwdRate(AL$14,$O69,AD69,"T",DCC_Leg1_Float),_xll.qGetFwdRate(AL$14,$O69,$O70,"T",DCC_Leg1_Float)))</f>
        <v>0</v>
      </c>
      <c r="AM69" s="886">
        <f t="shared" si="16"/>
        <v>0</v>
      </c>
      <c r="AN69" s="886">
        <f t="shared" si="17"/>
        <v>0</v>
      </c>
      <c r="AO69" s="886">
        <f>IF($O70=0,0,           IF(FRM,_xll.qGetFwdRate(AO$14,$O69,AG69,"T",DCC_Leg1_Float),_xll.qGetFwdRate(AO$14,$O69,$O70,"T",DCC_Leg1_Float)))</f>
        <v>0</v>
      </c>
      <c r="AP69" s="886">
        <f>IF($O70=0,0,           IF(FRM,_xll.qGetFwdRate(AP$14,$O69,AH69,"T",DCC_Leg1_Float),_xll.qGetFwdRate(AP$14,$O69,$O70,"T",DCC_Leg1_Float)))</f>
        <v>0</v>
      </c>
      <c r="AQ69" s="648">
        <f t="shared" si="18"/>
        <v>0</v>
      </c>
      <c r="AR69" s="648">
        <f t="shared" si="19"/>
        <v>0</v>
      </c>
      <c r="AS69" s="648">
        <f t="shared" si="20"/>
        <v>0</v>
      </c>
      <c r="AT69" s="648">
        <f t="shared" si="21"/>
        <v>0</v>
      </c>
      <c r="AU69" s="648">
        <f t="shared" si="22"/>
        <v>0</v>
      </c>
      <c r="AV69" s="648">
        <f t="shared" si="23"/>
        <v>0</v>
      </c>
      <c r="AW69" s="648">
        <f t="shared" si="24"/>
        <v>0</v>
      </c>
      <c r="AX69" s="648">
        <f t="shared" si="25"/>
        <v>0</v>
      </c>
      <c r="AY69" s="634">
        <v>0</v>
      </c>
      <c r="AZ69" s="616"/>
      <c r="BA69" s="619">
        <f>IF(O70=0,0,             IF(ISNUMBER(AZ69),AZ69,             IF(ISTEXT(AZ69),INDEX(AQ69:AX69,MATCH(AZ69,$AQ$17:$AX$17,0)),           IF(AY69="INT",_xll.qInterp(O70,AA69:AH69,AQ69:AX69),       INDEX(AQ69:AX69,MATCH(AY69,$AQ$17:$AX$17,0))))))</f>
        <v>0</v>
      </c>
      <c r="BB69" s="674">
        <v>100</v>
      </c>
      <c r="BC69" s="666">
        <f t="shared" si="3"/>
        <v>0</v>
      </c>
      <c r="BD69" s="268">
        <f>IF($O70=0,0,                IF(LEFT(DCC_Leg1_Fixed,2)="1/",uEvaluate(DCC_Leg1_Fixed),        _xll.qDateYears($O69,$O70,DCC_Leg1_Fixed)))</f>
        <v>0</v>
      </c>
      <c r="BE69" s="268">
        <f>IF($O70,_xll.qDateYears($O69,$O70,DCC_Leg1_Float),0)</f>
        <v>0</v>
      </c>
      <c r="BG69" s="332">
        <f t="shared" si="26"/>
        <v>0</v>
      </c>
      <c r="BH69" s="357">
        <f t="shared" si="27"/>
        <v>0</v>
      </c>
      <c r="BI69" s="527"/>
      <c r="BK69" s="324">
        <f t="shared" si="33"/>
        <v>0</v>
      </c>
      <c r="BM69" s="338"/>
      <c r="BN69" s="121">
        <v>0</v>
      </c>
      <c r="BO69" s="755">
        <f t="shared" si="4"/>
        <v>0</v>
      </c>
      <c r="BP69" s="339">
        <v>0</v>
      </c>
      <c r="BQ69" s="890">
        <f>IF(BN70=0,0,         IF(OR(Currency2="AUD",Currency1="NZD",Currency2="GBP"),BN69,   _xll.qDateNext(BN69,"-2b",,,IF(Currency2="EUR","TGT","LON"))))</f>
        <v>0</v>
      </c>
      <c r="BR69" s="879" t="str">
        <v/>
      </c>
      <c r="BS69" s="879" t="str">
        <v/>
      </c>
      <c r="BT69" s="879" t="str">
        <v/>
      </c>
      <c r="BU69" s="879" t="str">
        <v/>
      </c>
      <c r="BV69" s="879" t="str">
        <v/>
      </c>
      <c r="BW69" s="879" t="str">
        <v/>
      </c>
      <c r="BX69" s="879" t="str">
        <v/>
      </c>
      <c r="BY69" s="879" t="str">
        <v/>
      </c>
      <c r="BZ69" s="882">
        <f>IF($BN70=0,0,        _xll.qDateNext($BN69,BZ$17,$CG$16,TRUE,Currency2))</f>
        <v>0</v>
      </c>
      <c r="CA69" s="882">
        <f>IF($BN70=0,0,        _xll.qDateNext($BN69,CA$17,$CG$16,TRUE,Currency2))</f>
        <v>0</v>
      </c>
      <c r="CB69" s="882">
        <f>IF($BN70=0,0,        _xll.qDateNext($BN69,CB$17,$CG$16,TRUE,Currency2))</f>
        <v>0</v>
      </c>
      <c r="CC69" s="882">
        <f>IF($BN70=0,0,        _xll.qDateNext($BN69,CC$17,$CG$16,TRUE,Currency2))</f>
        <v>0</v>
      </c>
      <c r="CD69" s="882">
        <f>IF($BN70=0,0,        _xll.qDateNext($BN69,CD$17,$CG$16,TRUE,Currency2))</f>
        <v>0</v>
      </c>
      <c r="CE69" s="882">
        <f>IF($BN70=0,0,        _xll.qDateNext($BN69,CE$17,$CG$16,TRUE,Currency2))</f>
        <v>0</v>
      </c>
      <c r="CF69" s="882">
        <f>IF($BN70=0,0,        _xll.qDateNext($BN69,CF$17,$CG$16,TRUE,Currency2))</f>
        <v>0</v>
      </c>
      <c r="CG69" s="882">
        <f>IF($BN70=0,0,        _xll.qDateNext($BN69,CG$17,$CG$16,TRUE,Currency2))</f>
        <v>0</v>
      </c>
      <c r="CH69" s="886">
        <v>0</v>
      </c>
      <c r="CI69" s="886">
        <v>0</v>
      </c>
      <c r="CJ69" s="886">
        <v>0</v>
      </c>
      <c r="CK69" s="886">
        <v>0</v>
      </c>
      <c r="CL69" s="886">
        <f t="shared" si="5"/>
        <v>0</v>
      </c>
      <c r="CM69" s="886">
        <f t="shared" si="28"/>
        <v>0</v>
      </c>
      <c r="CN69" s="886">
        <v>0</v>
      </c>
      <c r="CO69" s="886">
        <v>0</v>
      </c>
      <c r="CP69" s="648">
        <f t="shared" si="6"/>
        <v>0</v>
      </c>
      <c r="CQ69" s="648">
        <f t="shared" si="7"/>
        <v>0</v>
      </c>
      <c r="CR69" s="648">
        <f t="shared" si="8"/>
        <v>0</v>
      </c>
      <c r="CS69" s="648">
        <f t="shared" si="9"/>
        <v>0</v>
      </c>
      <c r="CT69" s="648">
        <f t="shared" si="10"/>
        <v>0</v>
      </c>
      <c r="CU69" s="648">
        <f t="shared" si="11"/>
        <v>0</v>
      </c>
      <c r="CV69" s="648">
        <f t="shared" si="12"/>
        <v>0</v>
      </c>
      <c r="CW69" s="648">
        <f t="shared" si="13"/>
        <v>0</v>
      </c>
      <c r="CX69" s="634">
        <v>0</v>
      </c>
      <c r="CY69" s="616"/>
      <c r="CZ69" s="619">
        <f>IF(BN70=0,0,             IF(ISNUMBER(CY69),CY69,             IF(ISTEXT(CY69),INDEX(CP69:CW69,MATCH(CY69,$CP$17:$CW$17,0)),           IF(CX69="INT",_xll.qInterp(BN70,BZ69:CG69,CP69:CW69),       INDEX(CP69:CW69,MATCH(CX69,$CP$17:$CW$17,0))))))</f>
        <v>0</v>
      </c>
      <c r="DA69" s="755">
        <f t="shared" si="14"/>
        <v>0</v>
      </c>
      <c r="DB69" s="387">
        <f t="shared" si="15"/>
        <v>0</v>
      </c>
      <c r="DC69" s="268">
        <f>IF($BN70=0,0,         IF(LEFT(DCC_Leg2_Fixed,2)="1/",uEvaluate(DCC_Leg2_Fixed),         _xll.qDateYears($BN69,$BN70,DCC_Leg2_Fixed)))</f>
        <v>0</v>
      </c>
      <c r="DD69" s="268">
        <f>IF($BN70,_xll.qDateYears($BN69,$BN70,DCC_Leg2_Float),0)</f>
        <v>0</v>
      </c>
      <c r="DF69" s="332">
        <f t="shared" si="29"/>
        <v>0</v>
      </c>
      <c r="DG69" s="357">
        <f t="shared" si="30"/>
        <v>0</v>
      </c>
      <c r="DH69" s="527"/>
      <c r="DJ69" s="324">
        <f t="shared" si="34"/>
        <v>0</v>
      </c>
      <c r="DK69" s="529"/>
      <c r="DL69" s="338"/>
    </row>
    <row r="70" spans="15:116">
      <c r="O70" s="121">
        <v>0</v>
      </c>
      <c r="P70" s="755">
        <f t="shared" si="0"/>
        <v>0</v>
      </c>
      <c r="Q70" s="125">
        <v>0</v>
      </c>
      <c r="R70" s="890">
        <f>IF(O71=0,0,         IF(OR(Currency1="AUD",Currency1="NZD",Currency1="GBP"),O70,   _xll.qDateNext(O70,"-2b",,,IF(Currency1="EUR","TGT","LON"))))</f>
        <v>0</v>
      </c>
      <c r="S70" s="879" t="str">
        <v/>
      </c>
      <c r="T70" s="879" t="str">
        <v/>
      </c>
      <c r="U70" s="879" t="str">
        <v/>
      </c>
      <c r="V70" s="879" t="str">
        <v/>
      </c>
      <c r="W70" s="879" t="str">
        <v/>
      </c>
      <c r="X70" s="879" t="str">
        <v/>
      </c>
      <c r="Y70" s="879" t="str">
        <v/>
      </c>
      <c r="Z70" s="879" t="str">
        <v/>
      </c>
      <c r="AA70" s="882">
        <f>IF($O71=0,0,        _xll.qDateNext($O70,AA$17,$AH$16,TRUE,Currency1))</f>
        <v>0</v>
      </c>
      <c r="AB70" s="882">
        <f>IF($O71=0,0,        _xll.qDateNext($O70,AB$17,$AH$16,TRUE,Currency1))</f>
        <v>0</v>
      </c>
      <c r="AC70" s="882">
        <f>IF($O71=0,0,        _xll.qDateNext($O70,AC$17,$AH$16,TRUE,Currency1))</f>
        <v>0</v>
      </c>
      <c r="AD70" s="882">
        <f>IF($O71=0,0,        _xll.qDateNext($O70,AD$17,$AH$16,TRUE,Currency1))</f>
        <v>0</v>
      </c>
      <c r="AE70" s="882">
        <f>IF($O71=0,0,        _xll.qDateNext($O70,AE$17,$AH$16,TRUE,Currency1))</f>
        <v>0</v>
      </c>
      <c r="AF70" s="882">
        <f>IF($O71=0,0,        _xll.qDateNext($O70,AF$17,$AH$16,TRUE,Currency1))</f>
        <v>0</v>
      </c>
      <c r="AG70" s="882">
        <f>IF($O71=0,0,        _xll.qDateNext($O70,AG$17,$AH$16,TRUE,Currency1))</f>
        <v>0</v>
      </c>
      <c r="AH70" s="882">
        <f>IF($O71=0,0,        _xll.qDateNext($O70,AH$17,$AH$16,TRUE,Currency1))</f>
        <v>0</v>
      </c>
      <c r="AI70" s="886">
        <f>IF($O71=0,0,           IF(FRM,_xll.qGetFwdRate(AI$14,$O70,AA70,"T",DCC_Leg1_Float),_xll.qGetFwdRate(AI$14,$O70,$O71,"T",DCC_Leg1_Float)))</f>
        <v>0</v>
      </c>
      <c r="AJ70" s="886">
        <f>IF($O71=0,0,           IF(FRM,_xll.qGetFwdRate(AJ$14,$O70,AB70,"T",DCC_Leg1_Float),_xll.qGetFwdRate(AJ$14,$O70,$O71,"T",DCC_Leg1_Float)))</f>
        <v>0</v>
      </c>
      <c r="AK70" s="886">
        <f t="shared" si="1"/>
        <v>0</v>
      </c>
      <c r="AL70" s="886">
        <f>IF($O71=0,0,           IF(FRM,_xll.qGetFwdRate(AL$14,$O70,AD70,"T",DCC_Leg1_Float),_xll.qGetFwdRate(AL$14,$O70,$O71,"T",DCC_Leg1_Float)))</f>
        <v>0</v>
      </c>
      <c r="AM70" s="886">
        <f t="shared" si="16"/>
        <v>0</v>
      </c>
      <c r="AN70" s="886">
        <f t="shared" si="17"/>
        <v>0</v>
      </c>
      <c r="AO70" s="886">
        <f>IF($O71=0,0,           IF(FRM,_xll.qGetFwdRate(AO$14,$O70,AG70,"T",DCC_Leg1_Float),_xll.qGetFwdRate(AO$14,$O70,$O71,"T",DCC_Leg1_Float)))</f>
        <v>0</v>
      </c>
      <c r="AP70" s="886">
        <f>IF($O71=0,0,           IF(FRM,_xll.qGetFwdRate(AP$14,$O70,AH70,"T",DCC_Leg1_Float),_xll.qGetFwdRate(AP$14,$O70,$O71,"T",DCC_Leg1_Float)))</f>
        <v>0</v>
      </c>
      <c r="AQ70" s="648">
        <f t="shared" si="18"/>
        <v>0</v>
      </c>
      <c r="AR70" s="648">
        <f t="shared" si="19"/>
        <v>0</v>
      </c>
      <c r="AS70" s="648">
        <f t="shared" si="20"/>
        <v>0</v>
      </c>
      <c r="AT70" s="648">
        <f t="shared" si="21"/>
        <v>0</v>
      </c>
      <c r="AU70" s="648">
        <f t="shared" si="22"/>
        <v>0</v>
      </c>
      <c r="AV70" s="648">
        <f t="shared" si="23"/>
        <v>0</v>
      </c>
      <c r="AW70" s="648">
        <f t="shared" si="24"/>
        <v>0</v>
      </c>
      <c r="AX70" s="648">
        <f t="shared" si="25"/>
        <v>0</v>
      </c>
      <c r="AY70" s="634">
        <v>0</v>
      </c>
      <c r="AZ70" s="616"/>
      <c r="BA70" s="619">
        <f>IF(O71=0,0,             IF(ISNUMBER(AZ70),AZ70,             IF(ISTEXT(AZ70),INDEX(AQ70:AX70,MATCH(AZ70,$AQ$17:$AX$17,0)),           IF(AY70="INT",_xll.qInterp(O71,AA70:AH70,AQ70:AX70),       INDEX(AQ70:AX70,MATCH(AY70,$AQ$17:$AX$17,0))))))</f>
        <v>0</v>
      </c>
      <c r="BB70" s="674">
        <v>100</v>
      </c>
      <c r="BC70" s="666">
        <f t="shared" si="3"/>
        <v>0</v>
      </c>
      <c r="BD70" s="268">
        <f>IF($O71=0,0,                IF(LEFT(DCC_Leg1_Fixed,2)="1/",uEvaluate(DCC_Leg1_Fixed),        _xll.qDateYears($O70,$O71,DCC_Leg1_Fixed)))</f>
        <v>0</v>
      </c>
      <c r="BE70" s="268">
        <f>IF($O71,_xll.qDateYears($O70,$O71,DCC_Leg1_Float),0)</f>
        <v>0</v>
      </c>
      <c r="BG70" s="332">
        <f t="shared" si="26"/>
        <v>0</v>
      </c>
      <c r="BH70" s="357">
        <f t="shared" si="27"/>
        <v>0</v>
      </c>
      <c r="BI70" s="527"/>
      <c r="BK70" s="324">
        <f t="shared" si="33"/>
        <v>0</v>
      </c>
      <c r="BM70" s="338"/>
      <c r="BN70" s="121">
        <v>0</v>
      </c>
      <c r="BO70" s="755">
        <f t="shared" si="4"/>
        <v>0</v>
      </c>
      <c r="BP70" s="339">
        <v>0</v>
      </c>
      <c r="BQ70" s="890">
        <f>IF(BN71=0,0,         IF(OR(Currency2="AUD",Currency1="NZD",Currency2="GBP"),BN70,   _xll.qDateNext(BN70,"-2b",,,IF(Currency2="EUR","TGT","LON"))))</f>
        <v>0</v>
      </c>
      <c r="BR70" s="879" t="str">
        <v/>
      </c>
      <c r="BS70" s="879" t="str">
        <v/>
      </c>
      <c r="BT70" s="879" t="str">
        <v/>
      </c>
      <c r="BU70" s="879" t="str">
        <v/>
      </c>
      <c r="BV70" s="879" t="str">
        <v/>
      </c>
      <c r="BW70" s="879" t="str">
        <v/>
      </c>
      <c r="BX70" s="879" t="str">
        <v/>
      </c>
      <c r="BY70" s="879" t="str">
        <v/>
      </c>
      <c r="BZ70" s="882">
        <f>IF($BN71=0,0,        _xll.qDateNext($BN70,BZ$17,$CG$16,TRUE,Currency2))</f>
        <v>0</v>
      </c>
      <c r="CA70" s="882">
        <f>IF($BN71=0,0,        _xll.qDateNext($BN70,CA$17,$CG$16,TRUE,Currency2))</f>
        <v>0</v>
      </c>
      <c r="CB70" s="882">
        <f>IF($BN71=0,0,        _xll.qDateNext($BN70,CB$17,$CG$16,TRUE,Currency2))</f>
        <v>0</v>
      </c>
      <c r="CC70" s="882">
        <f>IF($BN71=0,0,        _xll.qDateNext($BN70,CC$17,$CG$16,TRUE,Currency2))</f>
        <v>0</v>
      </c>
      <c r="CD70" s="882">
        <f>IF($BN71=0,0,        _xll.qDateNext($BN70,CD$17,$CG$16,TRUE,Currency2))</f>
        <v>0</v>
      </c>
      <c r="CE70" s="882">
        <f>IF($BN71=0,0,        _xll.qDateNext($BN70,CE$17,$CG$16,TRUE,Currency2))</f>
        <v>0</v>
      </c>
      <c r="CF70" s="882">
        <f>IF($BN71=0,0,        _xll.qDateNext($BN70,CF$17,$CG$16,TRUE,Currency2))</f>
        <v>0</v>
      </c>
      <c r="CG70" s="882">
        <f>IF($BN71=0,0,        _xll.qDateNext($BN70,CG$17,$CG$16,TRUE,Currency2))</f>
        <v>0</v>
      </c>
      <c r="CH70" s="886">
        <v>0</v>
      </c>
      <c r="CI70" s="886">
        <v>0</v>
      </c>
      <c r="CJ70" s="886">
        <v>0</v>
      </c>
      <c r="CK70" s="886">
        <v>0</v>
      </c>
      <c r="CL70" s="886">
        <f t="shared" si="5"/>
        <v>0</v>
      </c>
      <c r="CM70" s="886">
        <f t="shared" si="28"/>
        <v>0</v>
      </c>
      <c r="CN70" s="886">
        <v>0</v>
      </c>
      <c r="CO70" s="886">
        <v>0</v>
      </c>
      <c r="CP70" s="648">
        <f t="shared" si="6"/>
        <v>0</v>
      </c>
      <c r="CQ70" s="648">
        <f t="shared" si="7"/>
        <v>0</v>
      </c>
      <c r="CR70" s="648">
        <f t="shared" si="8"/>
        <v>0</v>
      </c>
      <c r="CS70" s="648">
        <f t="shared" si="9"/>
        <v>0</v>
      </c>
      <c r="CT70" s="648">
        <f t="shared" si="10"/>
        <v>0</v>
      </c>
      <c r="CU70" s="648">
        <f t="shared" si="11"/>
        <v>0</v>
      </c>
      <c r="CV70" s="648">
        <f t="shared" si="12"/>
        <v>0</v>
      </c>
      <c r="CW70" s="648">
        <f t="shared" si="13"/>
        <v>0</v>
      </c>
      <c r="CX70" s="634">
        <v>0</v>
      </c>
      <c r="CY70" s="616"/>
      <c r="CZ70" s="619">
        <f>IF(BN71=0,0,             IF(ISNUMBER(CY70),CY70,             IF(ISTEXT(CY70),INDEX(CP70:CW70,MATCH(CY70,$CP$17:$CW$17,0)),           IF(CX70="INT",_xll.qInterp(BN71,BZ70:CG70,CP70:CW70),       INDEX(CP70:CW70,MATCH(CX70,$CP$17:$CW$17,0))))))</f>
        <v>0</v>
      </c>
      <c r="DA70" s="755">
        <f t="shared" si="14"/>
        <v>0</v>
      </c>
      <c r="DB70" s="387">
        <f t="shared" si="15"/>
        <v>0</v>
      </c>
      <c r="DC70" s="268">
        <f>IF($BN71=0,0,         IF(LEFT(DCC_Leg2_Fixed,2)="1/",uEvaluate(DCC_Leg2_Fixed),         _xll.qDateYears($BN70,$BN71,DCC_Leg2_Fixed)))</f>
        <v>0</v>
      </c>
      <c r="DD70" s="268">
        <f>IF($BN71,_xll.qDateYears($BN70,$BN71,DCC_Leg2_Float),0)</f>
        <v>0</v>
      </c>
      <c r="DF70" s="332">
        <f t="shared" si="29"/>
        <v>0</v>
      </c>
      <c r="DG70" s="357">
        <f t="shared" si="30"/>
        <v>0</v>
      </c>
      <c r="DH70" s="527"/>
      <c r="DJ70" s="324">
        <f t="shared" si="34"/>
        <v>0</v>
      </c>
      <c r="DK70" s="529"/>
      <c r="DL70" s="338"/>
    </row>
    <row r="71" spans="15:116">
      <c r="O71" s="121">
        <v>0</v>
      </c>
      <c r="P71" s="755">
        <f t="shared" si="0"/>
        <v>0</v>
      </c>
      <c r="Q71" s="125">
        <v>0</v>
      </c>
      <c r="R71" s="890">
        <f>IF(O72=0,0,         IF(OR(Currency1="AUD",Currency1="NZD",Currency1="GBP"),O71,   _xll.qDateNext(O71,"-2b",,,IF(Currency1="EUR","TGT","LON"))))</f>
        <v>0</v>
      </c>
      <c r="S71" s="879" t="str">
        <v/>
      </c>
      <c r="T71" s="879" t="str">
        <v/>
      </c>
      <c r="U71" s="879" t="str">
        <v/>
      </c>
      <c r="V71" s="879" t="str">
        <v/>
      </c>
      <c r="W71" s="879" t="str">
        <v/>
      </c>
      <c r="X71" s="879" t="str">
        <v/>
      </c>
      <c r="Y71" s="879" t="str">
        <v/>
      </c>
      <c r="Z71" s="879" t="str">
        <v/>
      </c>
      <c r="AA71" s="882">
        <f>IF($O72=0,0,        _xll.qDateNext($O71,AA$17,$AH$16,TRUE,Currency1))</f>
        <v>0</v>
      </c>
      <c r="AB71" s="882">
        <f>IF($O72=0,0,        _xll.qDateNext($O71,AB$17,$AH$16,TRUE,Currency1))</f>
        <v>0</v>
      </c>
      <c r="AC71" s="882">
        <f>IF($O72=0,0,        _xll.qDateNext($O71,AC$17,$AH$16,TRUE,Currency1))</f>
        <v>0</v>
      </c>
      <c r="AD71" s="882">
        <f>IF($O72=0,0,        _xll.qDateNext($O71,AD$17,$AH$16,TRUE,Currency1))</f>
        <v>0</v>
      </c>
      <c r="AE71" s="882">
        <f>IF($O72=0,0,        _xll.qDateNext($O71,AE$17,$AH$16,TRUE,Currency1))</f>
        <v>0</v>
      </c>
      <c r="AF71" s="882">
        <f>IF($O72=0,0,        _xll.qDateNext($O71,AF$17,$AH$16,TRUE,Currency1))</f>
        <v>0</v>
      </c>
      <c r="AG71" s="882">
        <f>IF($O72=0,0,        _xll.qDateNext($O71,AG$17,$AH$16,TRUE,Currency1))</f>
        <v>0</v>
      </c>
      <c r="AH71" s="882">
        <f>IF($O72=0,0,        _xll.qDateNext($O71,AH$17,$AH$16,TRUE,Currency1))</f>
        <v>0</v>
      </c>
      <c r="AI71" s="886">
        <f>IF($O72=0,0,           IF(FRM,_xll.qGetFwdRate(AI$14,$O71,AA71,"T",DCC_Leg1_Float),_xll.qGetFwdRate(AI$14,$O71,$O72,"T",DCC_Leg1_Float)))</f>
        <v>0</v>
      </c>
      <c r="AJ71" s="886">
        <f>IF($O72=0,0,           IF(FRM,_xll.qGetFwdRate(AJ$14,$O71,AB71,"T",DCC_Leg1_Float),_xll.qGetFwdRate(AJ$14,$O71,$O72,"T",DCC_Leg1_Float)))</f>
        <v>0</v>
      </c>
      <c r="AK71" s="886">
        <f t="shared" si="1"/>
        <v>0</v>
      </c>
      <c r="AL71" s="886">
        <f>IF($O72=0,0,           IF(FRM,_xll.qGetFwdRate(AL$14,$O71,AD71,"T",DCC_Leg1_Float),_xll.qGetFwdRate(AL$14,$O71,$O72,"T",DCC_Leg1_Float)))</f>
        <v>0</v>
      </c>
      <c r="AM71" s="886">
        <f t="shared" si="16"/>
        <v>0</v>
      </c>
      <c r="AN71" s="886">
        <f t="shared" si="17"/>
        <v>0</v>
      </c>
      <c r="AO71" s="886">
        <f>IF($O72=0,0,           IF(FRM,_xll.qGetFwdRate(AO$14,$O71,AG71,"T",DCC_Leg1_Float),_xll.qGetFwdRate(AO$14,$O71,$O72,"T",DCC_Leg1_Float)))</f>
        <v>0</v>
      </c>
      <c r="AP71" s="886">
        <f>IF($O72=0,0,           IF(FRM,_xll.qGetFwdRate(AP$14,$O71,AH71,"T",DCC_Leg1_Float),_xll.qGetFwdRate(AP$14,$O71,$O72,"T",DCC_Leg1_Float)))</f>
        <v>0</v>
      </c>
      <c r="AQ71" s="648">
        <f t="shared" si="18"/>
        <v>0</v>
      </c>
      <c r="AR71" s="648">
        <f t="shared" si="19"/>
        <v>0</v>
      </c>
      <c r="AS71" s="648">
        <f t="shared" si="20"/>
        <v>0</v>
      </c>
      <c r="AT71" s="648">
        <f t="shared" si="21"/>
        <v>0</v>
      </c>
      <c r="AU71" s="648">
        <f t="shared" si="22"/>
        <v>0</v>
      </c>
      <c r="AV71" s="648">
        <f t="shared" si="23"/>
        <v>0</v>
      </c>
      <c r="AW71" s="648">
        <f t="shared" si="24"/>
        <v>0</v>
      </c>
      <c r="AX71" s="648">
        <f t="shared" si="25"/>
        <v>0</v>
      </c>
      <c r="AY71" s="634">
        <v>0</v>
      </c>
      <c r="AZ71" s="616"/>
      <c r="BA71" s="619">
        <f>IF(O72=0,0,             IF(ISNUMBER(AZ71),AZ71,             IF(ISTEXT(AZ71),INDEX(AQ71:AX71,MATCH(AZ71,$AQ$17:$AX$17,0)),           IF(AY71="INT",_xll.qInterp(O72,AA71:AH71,AQ71:AX71),       INDEX(AQ71:AX71,MATCH(AY71,$AQ$17:$AX$17,0))))))</f>
        <v>0</v>
      </c>
      <c r="BB71" s="674">
        <v>100</v>
      </c>
      <c r="BC71" s="666">
        <f t="shared" si="3"/>
        <v>0</v>
      </c>
      <c r="BD71" s="268">
        <f>IF($O72=0,0,                IF(LEFT(DCC_Leg1_Fixed,2)="1/",uEvaluate(DCC_Leg1_Fixed),        _xll.qDateYears($O71,$O72,DCC_Leg1_Fixed)))</f>
        <v>0</v>
      </c>
      <c r="BE71" s="268">
        <f>IF($O72,_xll.qDateYears($O71,$O72,DCC_Leg1_Float),0)</f>
        <v>0</v>
      </c>
      <c r="BG71" s="332">
        <f t="shared" si="26"/>
        <v>0</v>
      </c>
      <c r="BH71" s="357">
        <f t="shared" si="27"/>
        <v>0</v>
      </c>
      <c r="BI71" s="527"/>
      <c r="BK71" s="324">
        <f t="shared" si="33"/>
        <v>0</v>
      </c>
      <c r="BM71" s="338"/>
      <c r="BN71" s="121">
        <v>0</v>
      </c>
      <c r="BO71" s="755">
        <f t="shared" si="4"/>
        <v>0</v>
      </c>
      <c r="BP71" s="339">
        <v>0</v>
      </c>
      <c r="BQ71" s="890">
        <f>IF(BN72=0,0,         IF(OR(Currency2="AUD",Currency1="NZD",Currency2="GBP"),BN71,   _xll.qDateNext(BN71,"-2b",,,IF(Currency2="EUR","TGT","LON"))))</f>
        <v>0</v>
      </c>
      <c r="BR71" s="879" t="str">
        <v/>
      </c>
      <c r="BS71" s="879" t="str">
        <v/>
      </c>
      <c r="BT71" s="879" t="str">
        <v/>
      </c>
      <c r="BU71" s="879" t="str">
        <v/>
      </c>
      <c r="BV71" s="879" t="str">
        <v/>
      </c>
      <c r="BW71" s="879" t="str">
        <v/>
      </c>
      <c r="BX71" s="879" t="str">
        <v/>
      </c>
      <c r="BY71" s="879" t="str">
        <v/>
      </c>
      <c r="BZ71" s="882">
        <f>IF($BN72=0,0,        _xll.qDateNext($BN71,BZ$17,$CG$16,TRUE,Currency2))</f>
        <v>0</v>
      </c>
      <c r="CA71" s="882">
        <f>IF($BN72=0,0,        _xll.qDateNext($BN71,CA$17,$CG$16,TRUE,Currency2))</f>
        <v>0</v>
      </c>
      <c r="CB71" s="882">
        <f>IF($BN72=0,0,        _xll.qDateNext($BN71,CB$17,$CG$16,TRUE,Currency2))</f>
        <v>0</v>
      </c>
      <c r="CC71" s="882">
        <f>IF($BN72=0,0,        _xll.qDateNext($BN71,CC$17,$CG$16,TRUE,Currency2))</f>
        <v>0</v>
      </c>
      <c r="CD71" s="882">
        <f>IF($BN72=0,0,        _xll.qDateNext($BN71,CD$17,$CG$16,TRUE,Currency2))</f>
        <v>0</v>
      </c>
      <c r="CE71" s="882">
        <f>IF($BN72=0,0,        _xll.qDateNext($BN71,CE$17,$CG$16,TRUE,Currency2))</f>
        <v>0</v>
      </c>
      <c r="CF71" s="882">
        <f>IF($BN72=0,0,        _xll.qDateNext($BN71,CF$17,$CG$16,TRUE,Currency2))</f>
        <v>0</v>
      </c>
      <c r="CG71" s="882">
        <f>IF($BN72=0,0,        _xll.qDateNext($BN71,CG$17,$CG$16,TRUE,Currency2))</f>
        <v>0</v>
      </c>
      <c r="CH71" s="886">
        <v>0</v>
      </c>
      <c r="CI71" s="886">
        <v>0</v>
      </c>
      <c r="CJ71" s="886">
        <v>0</v>
      </c>
      <c r="CK71" s="886">
        <v>0</v>
      </c>
      <c r="CL71" s="886">
        <f t="shared" si="5"/>
        <v>0</v>
      </c>
      <c r="CM71" s="886">
        <f t="shared" si="28"/>
        <v>0</v>
      </c>
      <c r="CN71" s="886">
        <v>0</v>
      </c>
      <c r="CO71" s="886">
        <v>0</v>
      </c>
      <c r="CP71" s="648">
        <f t="shared" si="6"/>
        <v>0</v>
      </c>
      <c r="CQ71" s="648">
        <f t="shared" si="7"/>
        <v>0</v>
      </c>
      <c r="CR71" s="648">
        <f t="shared" si="8"/>
        <v>0</v>
      </c>
      <c r="CS71" s="648">
        <f t="shared" si="9"/>
        <v>0</v>
      </c>
      <c r="CT71" s="648">
        <f t="shared" si="10"/>
        <v>0</v>
      </c>
      <c r="CU71" s="648">
        <f t="shared" si="11"/>
        <v>0</v>
      </c>
      <c r="CV71" s="648">
        <f t="shared" si="12"/>
        <v>0</v>
      </c>
      <c r="CW71" s="648">
        <f t="shared" si="13"/>
        <v>0</v>
      </c>
      <c r="CX71" s="634">
        <v>0</v>
      </c>
      <c r="CY71" s="616"/>
      <c r="CZ71" s="619">
        <f>IF(BN72=0,0,             IF(ISNUMBER(CY71),CY71,             IF(ISTEXT(CY71),INDEX(CP71:CW71,MATCH(CY71,$CP$17:$CW$17,0)),           IF(CX71="INT",_xll.qInterp(BN72,BZ71:CG71,CP71:CW71),       INDEX(CP71:CW71,MATCH(CX71,$CP$17:$CW$17,0))))))</f>
        <v>0</v>
      </c>
      <c r="DA71" s="755">
        <f t="shared" si="14"/>
        <v>0</v>
      </c>
      <c r="DB71" s="387">
        <f t="shared" si="15"/>
        <v>0</v>
      </c>
      <c r="DC71" s="268">
        <f>IF($BN72=0,0,         IF(LEFT(DCC_Leg2_Fixed,2)="1/",uEvaluate(DCC_Leg2_Fixed),         _xll.qDateYears($BN71,$BN72,DCC_Leg2_Fixed)))</f>
        <v>0</v>
      </c>
      <c r="DD71" s="268">
        <f>IF($BN72,_xll.qDateYears($BN71,$BN72,DCC_Leg2_Float),0)</f>
        <v>0</v>
      </c>
      <c r="DF71" s="332">
        <f t="shared" si="29"/>
        <v>0</v>
      </c>
      <c r="DG71" s="357">
        <f t="shared" si="30"/>
        <v>0</v>
      </c>
      <c r="DH71" s="527"/>
      <c r="DJ71" s="324">
        <f t="shared" si="34"/>
        <v>0</v>
      </c>
      <c r="DK71" s="529"/>
      <c r="DL71" s="338"/>
    </row>
    <row r="72" spans="15:116">
      <c r="O72" s="121">
        <v>0</v>
      </c>
      <c r="P72" s="755">
        <f t="shared" si="0"/>
        <v>0</v>
      </c>
      <c r="Q72" s="125">
        <v>0</v>
      </c>
      <c r="R72" s="890">
        <f>IF(O73=0,0,         IF(OR(Currency1="AUD",Currency1="NZD",Currency1="GBP"),O72,   _xll.qDateNext(O72,"-2b",,,IF(Currency1="EUR","TGT","LON"))))</f>
        <v>0</v>
      </c>
      <c r="S72" s="879" t="str">
        <v/>
      </c>
      <c r="T72" s="879" t="str">
        <v/>
      </c>
      <c r="U72" s="879" t="str">
        <v/>
      </c>
      <c r="V72" s="879" t="str">
        <v/>
      </c>
      <c r="W72" s="879" t="str">
        <v/>
      </c>
      <c r="X72" s="879" t="str">
        <v/>
      </c>
      <c r="Y72" s="879" t="str">
        <v/>
      </c>
      <c r="Z72" s="879" t="str">
        <v/>
      </c>
      <c r="AA72" s="882">
        <f>IF($O73=0,0,        _xll.qDateNext($O72,AA$17,$AH$16,TRUE,Currency1))</f>
        <v>0</v>
      </c>
      <c r="AB72" s="882">
        <f>IF($O73=0,0,        _xll.qDateNext($O72,AB$17,$AH$16,TRUE,Currency1))</f>
        <v>0</v>
      </c>
      <c r="AC72" s="882">
        <f>IF($O73=0,0,        _xll.qDateNext($O72,AC$17,$AH$16,TRUE,Currency1))</f>
        <v>0</v>
      </c>
      <c r="AD72" s="882">
        <f>IF($O73=0,0,        _xll.qDateNext($O72,AD$17,$AH$16,TRUE,Currency1))</f>
        <v>0</v>
      </c>
      <c r="AE72" s="882">
        <f>IF($O73=0,0,        _xll.qDateNext($O72,AE$17,$AH$16,TRUE,Currency1))</f>
        <v>0</v>
      </c>
      <c r="AF72" s="882">
        <f>IF($O73=0,0,        _xll.qDateNext($O72,AF$17,$AH$16,TRUE,Currency1))</f>
        <v>0</v>
      </c>
      <c r="AG72" s="882">
        <f>IF($O73=0,0,        _xll.qDateNext($O72,AG$17,$AH$16,TRUE,Currency1))</f>
        <v>0</v>
      </c>
      <c r="AH72" s="882">
        <f>IF($O73=0,0,        _xll.qDateNext($O72,AH$17,$AH$16,TRUE,Currency1))</f>
        <v>0</v>
      </c>
      <c r="AI72" s="886">
        <f>IF($O73=0,0,           IF(FRM,_xll.qGetFwdRate(AI$14,$O72,AA72,"T",DCC_Leg1_Float),_xll.qGetFwdRate(AI$14,$O72,$O73,"T",DCC_Leg1_Float)))</f>
        <v>0</v>
      </c>
      <c r="AJ72" s="886">
        <f>IF($O73=0,0,           IF(FRM,_xll.qGetFwdRate(AJ$14,$O72,AB72,"T",DCC_Leg1_Float),_xll.qGetFwdRate(AJ$14,$O72,$O73,"T",DCC_Leg1_Float)))</f>
        <v>0</v>
      </c>
      <c r="AK72" s="886">
        <f t="shared" si="1"/>
        <v>0</v>
      </c>
      <c r="AL72" s="886">
        <f>IF($O73=0,0,           IF(FRM,_xll.qGetFwdRate(AL$14,$O72,AD72,"T",DCC_Leg1_Float),_xll.qGetFwdRate(AL$14,$O72,$O73,"T",DCC_Leg1_Float)))</f>
        <v>0</v>
      </c>
      <c r="AM72" s="886">
        <f t="shared" si="16"/>
        <v>0</v>
      </c>
      <c r="AN72" s="886">
        <f t="shared" si="17"/>
        <v>0</v>
      </c>
      <c r="AO72" s="886">
        <f>IF($O73=0,0,           IF(FRM,_xll.qGetFwdRate(AO$14,$O72,AG72,"T",DCC_Leg1_Float),_xll.qGetFwdRate(AO$14,$O72,$O73,"T",DCC_Leg1_Float)))</f>
        <v>0</v>
      </c>
      <c r="AP72" s="886">
        <f>IF($O73=0,0,           IF(FRM,_xll.qGetFwdRate(AP$14,$O72,AH72,"T",DCC_Leg1_Float),_xll.qGetFwdRate(AP$14,$O72,$O73,"T",DCC_Leg1_Float)))</f>
        <v>0</v>
      </c>
      <c r="AQ72" s="648">
        <f t="shared" si="18"/>
        <v>0</v>
      </c>
      <c r="AR72" s="648">
        <f t="shared" si="19"/>
        <v>0</v>
      </c>
      <c r="AS72" s="648">
        <f t="shared" si="20"/>
        <v>0</v>
      </c>
      <c r="AT72" s="648">
        <f t="shared" si="21"/>
        <v>0</v>
      </c>
      <c r="AU72" s="648">
        <f t="shared" si="22"/>
        <v>0</v>
      </c>
      <c r="AV72" s="648">
        <f t="shared" si="23"/>
        <v>0</v>
      </c>
      <c r="AW72" s="648">
        <f t="shared" si="24"/>
        <v>0</v>
      </c>
      <c r="AX72" s="648">
        <f t="shared" si="25"/>
        <v>0</v>
      </c>
      <c r="AY72" s="634">
        <v>0</v>
      </c>
      <c r="AZ72" s="616"/>
      <c r="BA72" s="619">
        <f>IF(O73=0,0,             IF(ISNUMBER(AZ72),AZ72,             IF(ISTEXT(AZ72),INDEX(AQ72:AX72,MATCH(AZ72,$AQ$17:$AX$17,0)),           IF(AY72="INT",_xll.qInterp(O73,AA72:AH72,AQ72:AX72),       INDEX(AQ72:AX72,MATCH(AY72,$AQ$17:$AX$17,0))))))</f>
        <v>0</v>
      </c>
      <c r="BB72" s="674">
        <v>100</v>
      </c>
      <c r="BC72" s="666">
        <f t="shared" si="3"/>
        <v>0</v>
      </c>
      <c r="BD72" s="268">
        <f>IF($O73=0,0,                IF(LEFT(DCC_Leg1_Fixed,2)="1/",uEvaluate(DCC_Leg1_Fixed),        _xll.qDateYears($O72,$O73,DCC_Leg1_Fixed)))</f>
        <v>0</v>
      </c>
      <c r="BE72" s="268">
        <f>IF($O73,_xll.qDateYears($O72,$O73,DCC_Leg1_Float),0)</f>
        <v>0</v>
      </c>
      <c r="BG72" s="332">
        <f t="shared" si="26"/>
        <v>0</v>
      </c>
      <c r="BH72" s="357">
        <f t="shared" si="27"/>
        <v>0</v>
      </c>
      <c r="BI72" s="527"/>
      <c r="BK72" s="324">
        <f t="shared" si="33"/>
        <v>0</v>
      </c>
      <c r="BM72" s="338"/>
      <c r="BN72" s="121">
        <v>0</v>
      </c>
      <c r="BO72" s="755">
        <f t="shared" si="4"/>
        <v>0</v>
      </c>
      <c r="BP72" s="339">
        <v>0</v>
      </c>
      <c r="BQ72" s="890">
        <f>IF(BN73=0,0,         IF(OR(Currency2="AUD",Currency1="NZD",Currency2="GBP"),BN72,   _xll.qDateNext(BN72,"-2b",,,IF(Currency2="EUR","TGT","LON"))))</f>
        <v>0</v>
      </c>
      <c r="BR72" s="879" t="str">
        <v/>
      </c>
      <c r="BS72" s="879" t="str">
        <v/>
      </c>
      <c r="BT72" s="879" t="str">
        <v/>
      </c>
      <c r="BU72" s="879" t="str">
        <v/>
      </c>
      <c r="BV72" s="879" t="str">
        <v/>
      </c>
      <c r="BW72" s="879" t="str">
        <v/>
      </c>
      <c r="BX72" s="879" t="str">
        <v/>
      </c>
      <c r="BY72" s="879" t="str">
        <v/>
      </c>
      <c r="BZ72" s="882">
        <f>IF($BN73=0,0,        _xll.qDateNext($BN72,BZ$17,$CG$16,TRUE,Currency2))</f>
        <v>0</v>
      </c>
      <c r="CA72" s="882">
        <f>IF($BN73=0,0,        _xll.qDateNext($BN72,CA$17,$CG$16,TRUE,Currency2))</f>
        <v>0</v>
      </c>
      <c r="CB72" s="882">
        <f>IF($BN73=0,0,        _xll.qDateNext($BN72,CB$17,$CG$16,TRUE,Currency2))</f>
        <v>0</v>
      </c>
      <c r="CC72" s="882">
        <f>IF($BN73=0,0,        _xll.qDateNext($BN72,CC$17,$CG$16,TRUE,Currency2))</f>
        <v>0</v>
      </c>
      <c r="CD72" s="882">
        <f>IF($BN73=0,0,        _xll.qDateNext($BN72,CD$17,$CG$16,TRUE,Currency2))</f>
        <v>0</v>
      </c>
      <c r="CE72" s="882">
        <f>IF($BN73=0,0,        _xll.qDateNext($BN72,CE$17,$CG$16,TRUE,Currency2))</f>
        <v>0</v>
      </c>
      <c r="CF72" s="882">
        <f>IF($BN73=0,0,        _xll.qDateNext($BN72,CF$17,$CG$16,TRUE,Currency2))</f>
        <v>0</v>
      </c>
      <c r="CG72" s="882">
        <f>IF($BN73=0,0,        _xll.qDateNext($BN72,CG$17,$CG$16,TRUE,Currency2))</f>
        <v>0</v>
      </c>
      <c r="CH72" s="886">
        <v>0</v>
      </c>
      <c r="CI72" s="886">
        <v>0</v>
      </c>
      <c r="CJ72" s="886">
        <v>0</v>
      </c>
      <c r="CK72" s="886">
        <v>0</v>
      </c>
      <c r="CL72" s="886">
        <f t="shared" si="5"/>
        <v>0</v>
      </c>
      <c r="CM72" s="886">
        <f t="shared" si="28"/>
        <v>0</v>
      </c>
      <c r="CN72" s="886">
        <v>0</v>
      </c>
      <c r="CO72" s="886">
        <v>0</v>
      </c>
      <c r="CP72" s="648">
        <f t="shared" si="6"/>
        <v>0</v>
      </c>
      <c r="CQ72" s="648">
        <f t="shared" si="7"/>
        <v>0</v>
      </c>
      <c r="CR72" s="648">
        <f t="shared" si="8"/>
        <v>0</v>
      </c>
      <c r="CS72" s="648">
        <f t="shared" si="9"/>
        <v>0</v>
      </c>
      <c r="CT72" s="648">
        <f t="shared" si="10"/>
        <v>0</v>
      </c>
      <c r="CU72" s="648">
        <f t="shared" si="11"/>
        <v>0</v>
      </c>
      <c r="CV72" s="648">
        <f t="shared" si="12"/>
        <v>0</v>
      </c>
      <c r="CW72" s="648">
        <f t="shared" si="13"/>
        <v>0</v>
      </c>
      <c r="CX72" s="634">
        <v>0</v>
      </c>
      <c r="CY72" s="616"/>
      <c r="CZ72" s="619">
        <f>IF(BN73=0,0,             IF(ISNUMBER(CY72),CY72,             IF(ISTEXT(CY72),INDEX(CP72:CW72,MATCH(CY72,$CP$17:$CW$17,0)),           IF(CX72="INT",_xll.qInterp(BN73,BZ72:CG72,CP72:CW72),       INDEX(CP72:CW72,MATCH(CX72,$CP$17:$CW$17,0))))))</f>
        <v>0</v>
      </c>
      <c r="DA72" s="755">
        <f t="shared" si="14"/>
        <v>0</v>
      </c>
      <c r="DB72" s="387">
        <f t="shared" si="15"/>
        <v>0</v>
      </c>
      <c r="DC72" s="268">
        <f>IF($BN73=0,0,         IF(LEFT(DCC_Leg2_Fixed,2)="1/",uEvaluate(DCC_Leg2_Fixed),         _xll.qDateYears($BN72,$BN73,DCC_Leg2_Fixed)))</f>
        <v>0</v>
      </c>
      <c r="DD72" s="268">
        <f>IF($BN73,_xll.qDateYears($BN72,$BN73,DCC_Leg2_Float),0)</f>
        <v>0</v>
      </c>
      <c r="DF72" s="332">
        <f t="shared" si="29"/>
        <v>0</v>
      </c>
      <c r="DG72" s="357">
        <f t="shared" si="30"/>
        <v>0</v>
      </c>
      <c r="DH72" s="527"/>
      <c r="DJ72" s="324">
        <f t="shared" si="34"/>
        <v>0</v>
      </c>
      <c r="DK72" s="529"/>
      <c r="DL72" s="338"/>
    </row>
    <row r="73" spans="15:116">
      <c r="O73" s="121">
        <v>0</v>
      </c>
      <c r="P73" s="755">
        <f t="shared" si="0"/>
        <v>0</v>
      </c>
      <c r="Q73" s="125">
        <v>0</v>
      </c>
      <c r="R73" s="890">
        <f>IF(O74=0,0,         IF(OR(Currency1="AUD",Currency1="NZD",Currency1="GBP"),O73,   _xll.qDateNext(O73,"-2b",,,IF(Currency1="EUR","TGT","LON"))))</f>
        <v>0</v>
      </c>
      <c r="S73" s="879" t="str">
        <v/>
      </c>
      <c r="T73" s="879" t="str">
        <v/>
      </c>
      <c r="U73" s="879" t="str">
        <v/>
      </c>
      <c r="V73" s="879" t="str">
        <v/>
      </c>
      <c r="W73" s="879" t="str">
        <v/>
      </c>
      <c r="X73" s="879" t="str">
        <v/>
      </c>
      <c r="Y73" s="879" t="str">
        <v/>
      </c>
      <c r="Z73" s="879" t="str">
        <v/>
      </c>
      <c r="AA73" s="882">
        <f>IF($O74=0,0,        _xll.qDateNext($O73,AA$17,$AH$16,TRUE,Currency1))</f>
        <v>0</v>
      </c>
      <c r="AB73" s="882">
        <f>IF($O74=0,0,        _xll.qDateNext($O73,AB$17,$AH$16,TRUE,Currency1))</f>
        <v>0</v>
      </c>
      <c r="AC73" s="882">
        <f>IF($O74=0,0,        _xll.qDateNext($O73,AC$17,$AH$16,TRUE,Currency1))</f>
        <v>0</v>
      </c>
      <c r="AD73" s="882">
        <f>IF($O74=0,0,        _xll.qDateNext($O73,AD$17,$AH$16,TRUE,Currency1))</f>
        <v>0</v>
      </c>
      <c r="AE73" s="882">
        <f>IF($O74=0,0,        _xll.qDateNext($O73,AE$17,$AH$16,TRUE,Currency1))</f>
        <v>0</v>
      </c>
      <c r="AF73" s="882">
        <f>IF($O74=0,0,        _xll.qDateNext($O73,AF$17,$AH$16,TRUE,Currency1))</f>
        <v>0</v>
      </c>
      <c r="AG73" s="882">
        <f>IF($O74=0,0,        _xll.qDateNext($O73,AG$17,$AH$16,TRUE,Currency1))</f>
        <v>0</v>
      </c>
      <c r="AH73" s="882">
        <f>IF($O74=0,0,        _xll.qDateNext($O73,AH$17,$AH$16,TRUE,Currency1))</f>
        <v>0</v>
      </c>
      <c r="AI73" s="886">
        <f>IF($O74=0,0,           IF(FRM,_xll.qGetFwdRate(AI$14,$O73,AA73,"T",DCC_Leg1_Float),_xll.qGetFwdRate(AI$14,$O73,$O74,"T",DCC_Leg1_Float)))</f>
        <v>0</v>
      </c>
      <c r="AJ73" s="886">
        <f>IF($O74=0,0,           IF(FRM,_xll.qGetFwdRate(AJ$14,$O73,AB73,"T",DCC_Leg1_Float),_xll.qGetFwdRate(AJ$14,$O73,$O74,"T",DCC_Leg1_Float)))</f>
        <v>0</v>
      </c>
      <c r="AK73" s="886">
        <f t="shared" si="1"/>
        <v>0</v>
      </c>
      <c r="AL73" s="886">
        <f>IF($O74=0,0,           IF(FRM,_xll.qGetFwdRate(AL$14,$O73,AD73,"T",DCC_Leg1_Float),_xll.qGetFwdRate(AL$14,$O73,$O74,"T",DCC_Leg1_Float)))</f>
        <v>0</v>
      </c>
      <c r="AM73" s="886">
        <f t="shared" si="16"/>
        <v>0</v>
      </c>
      <c r="AN73" s="886">
        <f t="shared" si="17"/>
        <v>0</v>
      </c>
      <c r="AO73" s="886">
        <f>IF($O74=0,0,           IF(FRM,_xll.qGetFwdRate(AO$14,$O73,AG73,"T",DCC_Leg1_Float),_xll.qGetFwdRate(AO$14,$O73,$O74,"T",DCC_Leg1_Float)))</f>
        <v>0</v>
      </c>
      <c r="AP73" s="886">
        <f>IF($O74=0,0,           IF(FRM,_xll.qGetFwdRate(AP$14,$O73,AH73,"T",DCC_Leg1_Float),_xll.qGetFwdRate(AP$14,$O73,$O74,"T",DCC_Leg1_Float)))</f>
        <v>0</v>
      </c>
      <c r="AQ73" s="648">
        <f t="shared" si="18"/>
        <v>0</v>
      </c>
      <c r="AR73" s="648">
        <f t="shared" si="19"/>
        <v>0</v>
      </c>
      <c r="AS73" s="648">
        <f t="shared" si="20"/>
        <v>0</v>
      </c>
      <c r="AT73" s="648">
        <f t="shared" si="21"/>
        <v>0</v>
      </c>
      <c r="AU73" s="648">
        <f t="shared" si="22"/>
        <v>0</v>
      </c>
      <c r="AV73" s="648">
        <f t="shared" si="23"/>
        <v>0</v>
      </c>
      <c r="AW73" s="648">
        <f t="shared" si="24"/>
        <v>0</v>
      </c>
      <c r="AX73" s="648">
        <f t="shared" si="25"/>
        <v>0</v>
      </c>
      <c r="AY73" s="634">
        <v>0</v>
      </c>
      <c r="AZ73" s="616"/>
      <c r="BA73" s="619">
        <f>IF(O74=0,0,             IF(ISNUMBER(AZ73),AZ73,             IF(ISTEXT(AZ73),INDEX(AQ73:AX73,MATCH(AZ73,$AQ$17:$AX$17,0)),           IF(AY73="INT",_xll.qInterp(O74,AA73:AH73,AQ73:AX73),       INDEX(AQ73:AX73,MATCH(AY73,$AQ$17:$AX$17,0))))))</f>
        <v>0</v>
      </c>
      <c r="BB73" s="674">
        <v>100</v>
      </c>
      <c r="BC73" s="666">
        <f t="shared" si="3"/>
        <v>0</v>
      </c>
      <c r="BD73" s="268">
        <f>IF($O74=0,0,                IF(LEFT(DCC_Leg1_Fixed,2)="1/",uEvaluate(DCC_Leg1_Fixed),        _xll.qDateYears($O73,$O74,DCC_Leg1_Fixed)))</f>
        <v>0</v>
      </c>
      <c r="BE73" s="268">
        <f>IF($O74,_xll.qDateYears($O73,$O74,DCC_Leg1_Float),0)</f>
        <v>0</v>
      </c>
      <c r="BG73" s="332">
        <f t="shared" si="26"/>
        <v>0</v>
      </c>
      <c r="BH73" s="357">
        <f t="shared" si="27"/>
        <v>0</v>
      </c>
      <c r="BI73" s="527"/>
      <c r="BK73" s="324">
        <f t="shared" si="33"/>
        <v>0</v>
      </c>
      <c r="BM73" s="338"/>
      <c r="BN73" s="121">
        <v>0</v>
      </c>
      <c r="BO73" s="755">
        <f t="shared" si="4"/>
        <v>0</v>
      </c>
      <c r="BP73" s="339">
        <v>0</v>
      </c>
      <c r="BQ73" s="890">
        <f>IF(BN74=0,0,         IF(OR(Currency2="AUD",Currency1="NZD",Currency2="GBP"),BN73,   _xll.qDateNext(BN73,"-2b",,,IF(Currency2="EUR","TGT","LON"))))</f>
        <v>0</v>
      </c>
      <c r="BR73" s="879" t="str">
        <v/>
      </c>
      <c r="BS73" s="879" t="str">
        <v/>
      </c>
      <c r="BT73" s="879" t="str">
        <v/>
      </c>
      <c r="BU73" s="879" t="str">
        <v/>
      </c>
      <c r="BV73" s="879" t="str">
        <v/>
      </c>
      <c r="BW73" s="879" t="str">
        <v/>
      </c>
      <c r="BX73" s="879" t="str">
        <v/>
      </c>
      <c r="BY73" s="879" t="str">
        <v/>
      </c>
      <c r="BZ73" s="882">
        <f>IF($BN74=0,0,        _xll.qDateNext($BN73,BZ$17,$CG$16,TRUE,Currency2))</f>
        <v>0</v>
      </c>
      <c r="CA73" s="882">
        <f>IF($BN74=0,0,        _xll.qDateNext($BN73,CA$17,$CG$16,TRUE,Currency2))</f>
        <v>0</v>
      </c>
      <c r="CB73" s="882">
        <f>IF($BN74=0,0,        _xll.qDateNext($BN73,CB$17,$CG$16,TRUE,Currency2))</f>
        <v>0</v>
      </c>
      <c r="CC73" s="882">
        <f>IF($BN74=0,0,        _xll.qDateNext($BN73,CC$17,$CG$16,TRUE,Currency2))</f>
        <v>0</v>
      </c>
      <c r="CD73" s="882">
        <f>IF($BN74=0,0,        _xll.qDateNext($BN73,CD$17,$CG$16,TRUE,Currency2))</f>
        <v>0</v>
      </c>
      <c r="CE73" s="882">
        <f>IF($BN74=0,0,        _xll.qDateNext($BN73,CE$17,$CG$16,TRUE,Currency2))</f>
        <v>0</v>
      </c>
      <c r="CF73" s="882">
        <f>IF($BN74=0,0,        _xll.qDateNext($BN73,CF$17,$CG$16,TRUE,Currency2))</f>
        <v>0</v>
      </c>
      <c r="CG73" s="882">
        <f>IF($BN74=0,0,        _xll.qDateNext($BN73,CG$17,$CG$16,TRUE,Currency2))</f>
        <v>0</v>
      </c>
      <c r="CH73" s="886">
        <v>0</v>
      </c>
      <c r="CI73" s="886">
        <v>0</v>
      </c>
      <c r="CJ73" s="886">
        <v>0</v>
      </c>
      <c r="CK73" s="886">
        <v>0</v>
      </c>
      <c r="CL73" s="886">
        <f t="shared" si="5"/>
        <v>0</v>
      </c>
      <c r="CM73" s="886">
        <f t="shared" si="28"/>
        <v>0</v>
      </c>
      <c r="CN73" s="886">
        <v>0</v>
      </c>
      <c r="CO73" s="886">
        <v>0</v>
      </c>
      <c r="CP73" s="648">
        <f t="shared" si="6"/>
        <v>0</v>
      </c>
      <c r="CQ73" s="648">
        <f t="shared" si="7"/>
        <v>0</v>
      </c>
      <c r="CR73" s="648">
        <f t="shared" si="8"/>
        <v>0</v>
      </c>
      <c r="CS73" s="648">
        <f t="shared" si="9"/>
        <v>0</v>
      </c>
      <c r="CT73" s="648">
        <f t="shared" si="10"/>
        <v>0</v>
      </c>
      <c r="CU73" s="648">
        <f t="shared" si="11"/>
        <v>0</v>
      </c>
      <c r="CV73" s="648">
        <f t="shared" si="12"/>
        <v>0</v>
      </c>
      <c r="CW73" s="648">
        <f t="shared" si="13"/>
        <v>0</v>
      </c>
      <c r="CX73" s="634">
        <v>0</v>
      </c>
      <c r="CY73" s="616"/>
      <c r="CZ73" s="619">
        <f>IF(BN74=0,0,             IF(ISNUMBER(CY73),CY73,             IF(ISTEXT(CY73),INDEX(CP73:CW73,MATCH(CY73,$CP$17:$CW$17,0)),           IF(CX73="INT",_xll.qInterp(BN74,BZ73:CG73,CP73:CW73),       INDEX(CP73:CW73,MATCH(CX73,$CP$17:$CW$17,0))))))</f>
        <v>0</v>
      </c>
      <c r="DA73" s="755">
        <f t="shared" si="14"/>
        <v>0</v>
      </c>
      <c r="DB73" s="387">
        <f t="shared" si="15"/>
        <v>0</v>
      </c>
      <c r="DC73" s="268">
        <f>IF($BN74=0,0,         IF(LEFT(DCC_Leg2_Fixed,2)="1/",uEvaluate(DCC_Leg2_Fixed),         _xll.qDateYears($BN73,$BN74,DCC_Leg2_Fixed)))</f>
        <v>0</v>
      </c>
      <c r="DD73" s="268">
        <f>IF($BN74,_xll.qDateYears($BN73,$BN74,DCC_Leg2_Float),0)</f>
        <v>0</v>
      </c>
      <c r="DF73" s="332">
        <f t="shared" si="29"/>
        <v>0</v>
      </c>
      <c r="DG73" s="357">
        <f t="shared" si="30"/>
        <v>0</v>
      </c>
      <c r="DH73" s="527"/>
      <c r="DJ73" s="324">
        <f t="shared" si="34"/>
        <v>0</v>
      </c>
      <c r="DK73" s="529"/>
      <c r="DL73" s="338"/>
    </row>
    <row r="74" spans="15:116">
      <c r="O74" s="121">
        <v>0</v>
      </c>
      <c r="P74" s="755">
        <f t="shared" si="0"/>
        <v>0</v>
      </c>
      <c r="Q74" s="125">
        <v>0</v>
      </c>
      <c r="R74" s="890">
        <f>IF(O75=0,0,         IF(OR(Currency1="AUD",Currency1="NZD",Currency1="GBP"),O74,   _xll.qDateNext(O74,"-2b",,,IF(Currency1="EUR","TGT","LON"))))</f>
        <v>0</v>
      </c>
      <c r="S74" s="879" t="str">
        <v/>
      </c>
      <c r="T74" s="879" t="str">
        <v/>
      </c>
      <c r="U74" s="879" t="str">
        <v/>
      </c>
      <c r="V74" s="879" t="str">
        <v/>
      </c>
      <c r="W74" s="879" t="str">
        <v/>
      </c>
      <c r="X74" s="879" t="str">
        <v/>
      </c>
      <c r="Y74" s="879" t="str">
        <v/>
      </c>
      <c r="Z74" s="879" t="str">
        <v/>
      </c>
      <c r="AA74" s="882">
        <f>IF($O75=0,0,        _xll.qDateNext($O74,AA$17,$AH$16,TRUE,Currency1))</f>
        <v>0</v>
      </c>
      <c r="AB74" s="882">
        <f>IF($O75=0,0,        _xll.qDateNext($O74,AB$17,$AH$16,TRUE,Currency1))</f>
        <v>0</v>
      </c>
      <c r="AC74" s="882">
        <f>IF($O75=0,0,        _xll.qDateNext($O74,AC$17,$AH$16,TRUE,Currency1))</f>
        <v>0</v>
      </c>
      <c r="AD74" s="882">
        <f>IF($O75=0,0,        _xll.qDateNext($O74,AD$17,$AH$16,TRUE,Currency1))</f>
        <v>0</v>
      </c>
      <c r="AE74" s="882">
        <f>IF($O75=0,0,        _xll.qDateNext($O74,AE$17,$AH$16,TRUE,Currency1))</f>
        <v>0</v>
      </c>
      <c r="AF74" s="882">
        <f>IF($O75=0,0,        _xll.qDateNext($O74,AF$17,$AH$16,TRUE,Currency1))</f>
        <v>0</v>
      </c>
      <c r="AG74" s="882">
        <f>IF($O75=0,0,        _xll.qDateNext($O74,AG$17,$AH$16,TRUE,Currency1))</f>
        <v>0</v>
      </c>
      <c r="AH74" s="882">
        <f>IF($O75=0,0,        _xll.qDateNext($O74,AH$17,$AH$16,TRUE,Currency1))</f>
        <v>0</v>
      </c>
      <c r="AI74" s="886">
        <f>IF($O75=0,0,           IF(FRM,_xll.qGetFwdRate(AI$14,$O74,AA74,"T",DCC_Leg1_Float),_xll.qGetFwdRate(AI$14,$O74,$O75,"T",DCC_Leg1_Float)))</f>
        <v>0</v>
      </c>
      <c r="AJ74" s="886">
        <f>IF($O75=0,0,           IF(FRM,_xll.qGetFwdRate(AJ$14,$O74,AB74,"T",DCC_Leg1_Float),_xll.qGetFwdRate(AJ$14,$O74,$O75,"T",DCC_Leg1_Float)))</f>
        <v>0</v>
      </c>
      <c r="AK74" s="886">
        <f t="shared" si="1"/>
        <v>0</v>
      </c>
      <c r="AL74" s="886">
        <f>IF($O75=0,0,           IF(FRM,_xll.qGetFwdRate(AL$14,$O74,AD74,"T",DCC_Leg1_Float),_xll.qGetFwdRate(AL$14,$O74,$O75,"T",DCC_Leg1_Float)))</f>
        <v>0</v>
      </c>
      <c r="AM74" s="886">
        <f t="shared" si="16"/>
        <v>0</v>
      </c>
      <c r="AN74" s="886">
        <f t="shared" si="17"/>
        <v>0</v>
      </c>
      <c r="AO74" s="886">
        <f>IF($O75=0,0,           IF(FRM,_xll.qGetFwdRate(AO$14,$O74,AG74,"T",DCC_Leg1_Float),_xll.qGetFwdRate(AO$14,$O74,$O75,"T",DCC_Leg1_Float)))</f>
        <v>0</v>
      </c>
      <c r="AP74" s="886">
        <f>IF($O75=0,0,           IF(FRM,_xll.qGetFwdRate(AP$14,$O74,AH74,"T",DCC_Leg1_Float),_xll.qGetFwdRate(AP$14,$O74,$O75,"T",DCC_Leg1_Float)))</f>
        <v>0</v>
      </c>
      <c r="AQ74" s="648">
        <f t="shared" si="18"/>
        <v>0</v>
      </c>
      <c r="AR74" s="648">
        <f t="shared" si="19"/>
        <v>0</v>
      </c>
      <c r="AS74" s="648">
        <f t="shared" si="20"/>
        <v>0</v>
      </c>
      <c r="AT74" s="648">
        <f t="shared" si="21"/>
        <v>0</v>
      </c>
      <c r="AU74" s="648">
        <f t="shared" si="22"/>
        <v>0</v>
      </c>
      <c r="AV74" s="648">
        <f t="shared" si="23"/>
        <v>0</v>
      </c>
      <c r="AW74" s="648">
        <f t="shared" si="24"/>
        <v>0</v>
      </c>
      <c r="AX74" s="648">
        <f t="shared" si="25"/>
        <v>0</v>
      </c>
      <c r="AY74" s="634">
        <v>0</v>
      </c>
      <c r="AZ74" s="616"/>
      <c r="BA74" s="619">
        <f>IF(O75=0,0,             IF(ISNUMBER(AZ74),AZ74,             IF(ISTEXT(AZ74),INDEX(AQ74:AX74,MATCH(AZ74,$AQ$17:$AX$17,0)),           IF(AY74="INT",_xll.qInterp(O75,AA74:AH74,AQ74:AX74),       INDEX(AQ74:AX74,MATCH(AY74,$AQ$17:$AX$17,0))))))</f>
        <v>0</v>
      </c>
      <c r="BB74" s="674">
        <v>100</v>
      </c>
      <c r="BC74" s="666">
        <f t="shared" si="3"/>
        <v>0</v>
      </c>
      <c r="BD74" s="268">
        <f>IF($O75=0,0,                IF(LEFT(DCC_Leg1_Fixed,2)="1/",uEvaluate(DCC_Leg1_Fixed),        _xll.qDateYears($O74,$O75,DCC_Leg1_Fixed)))</f>
        <v>0</v>
      </c>
      <c r="BE74" s="268">
        <f>IF($O75,_xll.qDateYears($O74,$O75,DCC_Leg1_Float),0)</f>
        <v>0</v>
      </c>
      <c r="BG74" s="332">
        <f t="shared" si="26"/>
        <v>0</v>
      </c>
      <c r="BH74" s="357">
        <f t="shared" si="27"/>
        <v>0</v>
      </c>
      <c r="BI74" s="527"/>
      <c r="BK74" s="324">
        <f t="shared" si="33"/>
        <v>0</v>
      </c>
      <c r="BM74" s="338"/>
      <c r="BN74" s="121">
        <v>0</v>
      </c>
      <c r="BO74" s="755">
        <f t="shared" si="4"/>
        <v>0</v>
      </c>
      <c r="BP74" s="339">
        <v>0</v>
      </c>
      <c r="BQ74" s="890">
        <f>IF(BN75=0,0,         IF(OR(Currency2="AUD",Currency1="NZD",Currency2="GBP"),BN74,   _xll.qDateNext(BN74,"-2b",,,IF(Currency2="EUR","TGT","LON"))))</f>
        <v>0</v>
      </c>
      <c r="BR74" s="879" t="str">
        <v/>
      </c>
      <c r="BS74" s="879" t="str">
        <v/>
      </c>
      <c r="BT74" s="879" t="str">
        <v/>
      </c>
      <c r="BU74" s="879" t="str">
        <v/>
      </c>
      <c r="BV74" s="879" t="str">
        <v/>
      </c>
      <c r="BW74" s="879" t="str">
        <v/>
      </c>
      <c r="BX74" s="879" t="str">
        <v/>
      </c>
      <c r="BY74" s="879" t="str">
        <v/>
      </c>
      <c r="BZ74" s="882">
        <f>IF($BN75=0,0,        _xll.qDateNext($BN74,BZ$17,$CG$16,TRUE,Currency2))</f>
        <v>0</v>
      </c>
      <c r="CA74" s="882">
        <f>IF($BN75=0,0,        _xll.qDateNext($BN74,CA$17,$CG$16,TRUE,Currency2))</f>
        <v>0</v>
      </c>
      <c r="CB74" s="882">
        <f>IF($BN75=0,0,        _xll.qDateNext($BN74,CB$17,$CG$16,TRUE,Currency2))</f>
        <v>0</v>
      </c>
      <c r="CC74" s="882">
        <f>IF($BN75=0,0,        _xll.qDateNext($BN74,CC$17,$CG$16,TRUE,Currency2))</f>
        <v>0</v>
      </c>
      <c r="CD74" s="882">
        <f>IF($BN75=0,0,        _xll.qDateNext($BN74,CD$17,$CG$16,TRUE,Currency2))</f>
        <v>0</v>
      </c>
      <c r="CE74" s="882">
        <f>IF($BN75=0,0,        _xll.qDateNext($BN74,CE$17,$CG$16,TRUE,Currency2))</f>
        <v>0</v>
      </c>
      <c r="CF74" s="882">
        <f>IF($BN75=0,0,        _xll.qDateNext($BN74,CF$17,$CG$16,TRUE,Currency2))</f>
        <v>0</v>
      </c>
      <c r="CG74" s="882">
        <f>IF($BN75=0,0,        _xll.qDateNext($BN74,CG$17,$CG$16,TRUE,Currency2))</f>
        <v>0</v>
      </c>
      <c r="CH74" s="886">
        <v>0</v>
      </c>
      <c r="CI74" s="886">
        <v>0</v>
      </c>
      <c r="CJ74" s="886">
        <v>0</v>
      </c>
      <c r="CK74" s="886">
        <v>0</v>
      </c>
      <c r="CL74" s="886">
        <f t="shared" si="5"/>
        <v>0</v>
      </c>
      <c r="CM74" s="886">
        <f t="shared" si="28"/>
        <v>0</v>
      </c>
      <c r="CN74" s="886">
        <v>0</v>
      </c>
      <c r="CO74" s="886">
        <v>0</v>
      </c>
      <c r="CP74" s="648">
        <f t="shared" si="6"/>
        <v>0</v>
      </c>
      <c r="CQ74" s="648">
        <f t="shared" si="7"/>
        <v>0</v>
      </c>
      <c r="CR74" s="648">
        <f t="shared" si="8"/>
        <v>0</v>
      </c>
      <c r="CS74" s="648">
        <f t="shared" si="9"/>
        <v>0</v>
      </c>
      <c r="CT74" s="648">
        <f t="shared" si="10"/>
        <v>0</v>
      </c>
      <c r="CU74" s="648">
        <f t="shared" si="11"/>
        <v>0</v>
      </c>
      <c r="CV74" s="648">
        <f t="shared" si="12"/>
        <v>0</v>
      </c>
      <c r="CW74" s="648">
        <f t="shared" si="13"/>
        <v>0</v>
      </c>
      <c r="CX74" s="634">
        <v>0</v>
      </c>
      <c r="CY74" s="616"/>
      <c r="CZ74" s="619">
        <f>IF(BN75=0,0,             IF(ISNUMBER(CY74),CY74,             IF(ISTEXT(CY74),INDEX(CP74:CW74,MATCH(CY74,$CP$17:$CW$17,0)),           IF(CX74="INT",_xll.qInterp(BN75,BZ74:CG74,CP74:CW74),       INDEX(CP74:CW74,MATCH(CX74,$CP$17:$CW$17,0))))))</f>
        <v>0</v>
      </c>
      <c r="DA74" s="755">
        <f t="shared" si="14"/>
        <v>0</v>
      </c>
      <c r="DB74" s="387">
        <f t="shared" si="15"/>
        <v>0</v>
      </c>
      <c r="DC74" s="268">
        <f>IF($BN75=0,0,         IF(LEFT(DCC_Leg2_Fixed,2)="1/",uEvaluate(DCC_Leg2_Fixed),         _xll.qDateYears($BN74,$BN75,DCC_Leg2_Fixed)))</f>
        <v>0</v>
      </c>
      <c r="DD74" s="268">
        <f>IF($BN75,_xll.qDateYears($BN74,$BN75,DCC_Leg2_Float),0)</f>
        <v>0</v>
      </c>
      <c r="DF74" s="332">
        <f t="shared" si="29"/>
        <v>0</v>
      </c>
      <c r="DG74" s="357">
        <f t="shared" si="30"/>
        <v>0</v>
      </c>
      <c r="DH74" s="527"/>
      <c r="DJ74" s="324">
        <f t="shared" si="34"/>
        <v>0</v>
      </c>
      <c r="DK74" s="529"/>
      <c r="DL74" s="338"/>
    </row>
    <row r="75" spans="15:116">
      <c r="O75" s="121">
        <v>0</v>
      </c>
      <c r="P75" s="755">
        <f t="shared" si="0"/>
        <v>0</v>
      </c>
      <c r="Q75" s="125">
        <v>0</v>
      </c>
      <c r="R75" s="890">
        <f>IF(O76=0,0,         IF(OR(Currency1="AUD",Currency1="NZD",Currency1="GBP"),O75,   _xll.qDateNext(O75,"-2b",,,IF(Currency1="EUR","TGT","LON"))))</f>
        <v>0</v>
      </c>
      <c r="S75" s="879" t="str">
        <v/>
      </c>
      <c r="T75" s="879" t="str">
        <v/>
      </c>
      <c r="U75" s="879" t="str">
        <v/>
      </c>
      <c r="V75" s="879" t="str">
        <v/>
      </c>
      <c r="W75" s="879" t="str">
        <v/>
      </c>
      <c r="X75" s="879" t="str">
        <v/>
      </c>
      <c r="Y75" s="879" t="str">
        <v/>
      </c>
      <c r="Z75" s="879" t="str">
        <v/>
      </c>
      <c r="AA75" s="882">
        <f>IF($O76=0,0,        _xll.qDateNext($O75,AA$17,$AH$16,TRUE,Currency1))</f>
        <v>0</v>
      </c>
      <c r="AB75" s="882">
        <f>IF($O76=0,0,        _xll.qDateNext($O75,AB$17,$AH$16,TRUE,Currency1))</f>
        <v>0</v>
      </c>
      <c r="AC75" s="882">
        <f>IF($O76=0,0,        _xll.qDateNext($O75,AC$17,$AH$16,TRUE,Currency1))</f>
        <v>0</v>
      </c>
      <c r="AD75" s="882">
        <f>IF($O76=0,0,        _xll.qDateNext($O75,AD$17,$AH$16,TRUE,Currency1))</f>
        <v>0</v>
      </c>
      <c r="AE75" s="882">
        <f>IF($O76=0,0,        _xll.qDateNext($O75,AE$17,$AH$16,TRUE,Currency1))</f>
        <v>0</v>
      </c>
      <c r="AF75" s="882">
        <f>IF($O76=0,0,        _xll.qDateNext($O75,AF$17,$AH$16,TRUE,Currency1))</f>
        <v>0</v>
      </c>
      <c r="AG75" s="882">
        <f>IF($O76=0,0,        _xll.qDateNext($O75,AG$17,$AH$16,TRUE,Currency1))</f>
        <v>0</v>
      </c>
      <c r="AH75" s="882">
        <f>IF($O76=0,0,        _xll.qDateNext($O75,AH$17,$AH$16,TRUE,Currency1))</f>
        <v>0</v>
      </c>
      <c r="AI75" s="886">
        <f>IF($O76=0,0,           IF(FRM,_xll.qGetFwdRate(AI$14,$O75,AA75,"T",DCC_Leg1_Float),_xll.qGetFwdRate(AI$14,$O75,$O76,"T",DCC_Leg1_Float)))</f>
        <v>0</v>
      </c>
      <c r="AJ75" s="886">
        <f>IF($O76=0,0,           IF(FRM,_xll.qGetFwdRate(AJ$14,$O75,AB75,"T",DCC_Leg1_Float),_xll.qGetFwdRate(AJ$14,$O75,$O76,"T",DCC_Leg1_Float)))</f>
        <v>0</v>
      </c>
      <c r="AK75" s="886">
        <f t="shared" si="1"/>
        <v>0</v>
      </c>
      <c r="AL75" s="886">
        <f>IF($O76=0,0,           IF(FRM,_xll.qGetFwdRate(AL$14,$O75,AD75,"T",DCC_Leg1_Float),_xll.qGetFwdRate(AL$14,$O75,$O76,"T",DCC_Leg1_Float)))</f>
        <v>0</v>
      </c>
      <c r="AM75" s="886">
        <f t="shared" si="16"/>
        <v>0</v>
      </c>
      <c r="AN75" s="886">
        <f t="shared" si="17"/>
        <v>0</v>
      </c>
      <c r="AO75" s="886">
        <f>IF($O76=0,0,           IF(FRM,_xll.qGetFwdRate(AO$14,$O75,AG75,"T",DCC_Leg1_Float),_xll.qGetFwdRate(AO$14,$O75,$O76,"T",DCC_Leg1_Float)))</f>
        <v>0</v>
      </c>
      <c r="AP75" s="886">
        <f>IF($O76=0,0,           IF(FRM,_xll.qGetFwdRate(AP$14,$O75,AH75,"T",DCC_Leg1_Float),_xll.qGetFwdRate(AP$14,$O75,$O76,"T",DCC_Leg1_Float)))</f>
        <v>0</v>
      </c>
      <c r="AQ75" s="648">
        <f t="shared" si="18"/>
        <v>0</v>
      </c>
      <c r="AR75" s="648">
        <f t="shared" si="19"/>
        <v>0</v>
      </c>
      <c r="AS75" s="648">
        <f t="shared" si="20"/>
        <v>0</v>
      </c>
      <c r="AT75" s="648">
        <f t="shared" si="21"/>
        <v>0</v>
      </c>
      <c r="AU75" s="648">
        <f t="shared" si="22"/>
        <v>0</v>
      </c>
      <c r="AV75" s="648">
        <f t="shared" si="23"/>
        <v>0</v>
      </c>
      <c r="AW75" s="648">
        <f t="shared" si="24"/>
        <v>0</v>
      </c>
      <c r="AX75" s="648">
        <f t="shared" si="25"/>
        <v>0</v>
      </c>
      <c r="AY75" s="634">
        <v>0</v>
      </c>
      <c r="AZ75" s="616"/>
      <c r="BA75" s="619">
        <f>IF(O76=0,0,             IF(ISNUMBER(AZ75),AZ75,             IF(ISTEXT(AZ75),INDEX(AQ75:AX75,MATCH(AZ75,$AQ$17:$AX$17,0)),           IF(AY75="INT",_xll.qInterp(O76,AA75:AH75,AQ75:AX75),       INDEX(AQ75:AX75,MATCH(AY75,$AQ$17:$AX$17,0))))))</f>
        <v>0</v>
      </c>
      <c r="BB75" s="674">
        <v>100</v>
      </c>
      <c r="BC75" s="666">
        <f t="shared" si="3"/>
        <v>0</v>
      </c>
      <c r="BD75" s="268">
        <f>IF($O76=0,0,                IF(LEFT(DCC_Leg1_Fixed,2)="1/",uEvaluate(DCC_Leg1_Fixed),        _xll.qDateYears($O75,$O76,DCC_Leg1_Fixed)))</f>
        <v>0</v>
      </c>
      <c r="BE75" s="268">
        <f>IF($O76,_xll.qDateYears($O75,$O76,DCC_Leg1_Float),0)</f>
        <v>0</v>
      </c>
      <c r="BG75" s="332">
        <f t="shared" si="26"/>
        <v>0</v>
      </c>
      <c r="BH75" s="357">
        <f t="shared" si="27"/>
        <v>0</v>
      </c>
      <c r="BI75" s="527"/>
      <c r="BK75" s="324">
        <f t="shared" si="33"/>
        <v>0</v>
      </c>
      <c r="BM75" s="338"/>
      <c r="BN75" s="121">
        <v>0</v>
      </c>
      <c r="BO75" s="755">
        <f t="shared" si="4"/>
        <v>0</v>
      </c>
      <c r="BP75" s="339">
        <v>0</v>
      </c>
      <c r="BQ75" s="890">
        <f>IF(BN76=0,0,         IF(OR(Currency2="AUD",Currency1="NZD",Currency2="GBP"),BN75,   _xll.qDateNext(BN75,"-2b",,,IF(Currency2="EUR","TGT","LON"))))</f>
        <v>0</v>
      </c>
      <c r="BR75" s="879" t="str">
        <v/>
      </c>
      <c r="BS75" s="879" t="str">
        <v/>
      </c>
      <c r="BT75" s="879" t="str">
        <v/>
      </c>
      <c r="BU75" s="879" t="str">
        <v/>
      </c>
      <c r="BV75" s="879" t="str">
        <v/>
      </c>
      <c r="BW75" s="879" t="str">
        <v/>
      </c>
      <c r="BX75" s="879" t="str">
        <v/>
      </c>
      <c r="BY75" s="879" t="str">
        <v/>
      </c>
      <c r="BZ75" s="882">
        <f>IF($BN76=0,0,        _xll.qDateNext($BN75,BZ$17,$CG$16,TRUE,Currency2))</f>
        <v>0</v>
      </c>
      <c r="CA75" s="882">
        <f>IF($BN76=0,0,        _xll.qDateNext($BN75,CA$17,$CG$16,TRUE,Currency2))</f>
        <v>0</v>
      </c>
      <c r="CB75" s="882">
        <f>IF($BN76=0,0,        _xll.qDateNext($BN75,CB$17,$CG$16,TRUE,Currency2))</f>
        <v>0</v>
      </c>
      <c r="CC75" s="882">
        <f>IF($BN76=0,0,        _xll.qDateNext($BN75,CC$17,$CG$16,TRUE,Currency2))</f>
        <v>0</v>
      </c>
      <c r="CD75" s="882">
        <f>IF($BN76=0,0,        _xll.qDateNext($BN75,CD$17,$CG$16,TRUE,Currency2))</f>
        <v>0</v>
      </c>
      <c r="CE75" s="882">
        <f>IF($BN76=0,0,        _xll.qDateNext($BN75,CE$17,$CG$16,TRUE,Currency2))</f>
        <v>0</v>
      </c>
      <c r="CF75" s="882">
        <f>IF($BN76=0,0,        _xll.qDateNext($BN75,CF$17,$CG$16,TRUE,Currency2))</f>
        <v>0</v>
      </c>
      <c r="CG75" s="882">
        <f>IF($BN76=0,0,        _xll.qDateNext($BN75,CG$17,$CG$16,TRUE,Currency2))</f>
        <v>0</v>
      </c>
      <c r="CH75" s="886">
        <v>0</v>
      </c>
      <c r="CI75" s="886">
        <v>0</v>
      </c>
      <c r="CJ75" s="886">
        <v>0</v>
      </c>
      <c r="CK75" s="886">
        <v>0</v>
      </c>
      <c r="CL75" s="886">
        <f t="shared" si="5"/>
        <v>0</v>
      </c>
      <c r="CM75" s="886">
        <f t="shared" si="28"/>
        <v>0</v>
      </c>
      <c r="CN75" s="886">
        <v>0</v>
      </c>
      <c r="CO75" s="886">
        <v>0</v>
      </c>
      <c r="CP75" s="648">
        <f t="shared" si="6"/>
        <v>0</v>
      </c>
      <c r="CQ75" s="648">
        <f t="shared" si="7"/>
        <v>0</v>
      </c>
      <c r="CR75" s="648">
        <f t="shared" si="8"/>
        <v>0</v>
      </c>
      <c r="CS75" s="648">
        <f t="shared" si="9"/>
        <v>0</v>
      </c>
      <c r="CT75" s="648">
        <f t="shared" si="10"/>
        <v>0</v>
      </c>
      <c r="CU75" s="648">
        <f t="shared" si="11"/>
        <v>0</v>
      </c>
      <c r="CV75" s="648">
        <f t="shared" si="12"/>
        <v>0</v>
      </c>
      <c r="CW75" s="648">
        <f t="shared" si="13"/>
        <v>0</v>
      </c>
      <c r="CX75" s="634">
        <v>0</v>
      </c>
      <c r="CY75" s="616"/>
      <c r="CZ75" s="619">
        <f>IF(BN76=0,0,             IF(ISNUMBER(CY75),CY75,             IF(ISTEXT(CY75),INDEX(CP75:CW75,MATCH(CY75,$CP$17:$CW$17,0)),           IF(CX75="INT",_xll.qInterp(BN76,BZ75:CG75,CP75:CW75),       INDEX(CP75:CW75,MATCH(CX75,$CP$17:$CW$17,0))))))</f>
        <v>0</v>
      </c>
      <c r="DA75" s="755">
        <f t="shared" si="14"/>
        <v>0</v>
      </c>
      <c r="DB75" s="387">
        <f t="shared" si="15"/>
        <v>0</v>
      </c>
      <c r="DC75" s="268">
        <f>IF($BN76=0,0,         IF(LEFT(DCC_Leg2_Fixed,2)="1/",uEvaluate(DCC_Leg2_Fixed),         _xll.qDateYears($BN75,$BN76,DCC_Leg2_Fixed)))</f>
        <v>0</v>
      </c>
      <c r="DD75" s="268">
        <f>IF($BN76,_xll.qDateYears($BN75,$BN76,DCC_Leg2_Float),0)</f>
        <v>0</v>
      </c>
      <c r="DF75" s="332">
        <f t="shared" si="29"/>
        <v>0</v>
      </c>
      <c r="DG75" s="357">
        <f t="shared" si="30"/>
        <v>0</v>
      </c>
      <c r="DH75" s="527"/>
      <c r="DJ75" s="324">
        <f t="shared" si="34"/>
        <v>0</v>
      </c>
      <c r="DK75" s="529"/>
      <c r="DL75" s="338"/>
    </row>
    <row r="76" spans="15:116">
      <c r="O76" s="121">
        <v>0</v>
      </c>
      <c r="P76" s="755">
        <f t="shared" si="0"/>
        <v>0</v>
      </c>
      <c r="Q76" s="125">
        <v>0</v>
      </c>
      <c r="R76" s="890">
        <f>IF(O77=0,0,         IF(OR(Currency1="AUD",Currency1="NZD",Currency1="GBP"),O76,   _xll.qDateNext(O76,"-2b",,,IF(Currency1="EUR","TGT","LON"))))</f>
        <v>0</v>
      </c>
      <c r="S76" s="879" t="str">
        <v/>
      </c>
      <c r="T76" s="879" t="str">
        <v/>
      </c>
      <c r="U76" s="879" t="str">
        <v/>
      </c>
      <c r="V76" s="879" t="str">
        <v/>
      </c>
      <c r="W76" s="879" t="str">
        <v/>
      </c>
      <c r="X76" s="879" t="str">
        <v/>
      </c>
      <c r="Y76" s="879" t="str">
        <v/>
      </c>
      <c r="Z76" s="879" t="str">
        <v/>
      </c>
      <c r="AA76" s="882">
        <f>IF($O77=0,0,        _xll.qDateNext($O76,AA$17,$AH$16,TRUE,Currency1))</f>
        <v>0</v>
      </c>
      <c r="AB76" s="882">
        <f>IF($O77=0,0,        _xll.qDateNext($O76,AB$17,$AH$16,TRUE,Currency1))</f>
        <v>0</v>
      </c>
      <c r="AC76" s="882">
        <f>IF($O77=0,0,        _xll.qDateNext($O76,AC$17,$AH$16,TRUE,Currency1))</f>
        <v>0</v>
      </c>
      <c r="AD76" s="882">
        <f>IF($O77=0,0,        _xll.qDateNext($O76,AD$17,$AH$16,TRUE,Currency1))</f>
        <v>0</v>
      </c>
      <c r="AE76" s="882">
        <f>IF($O77=0,0,        _xll.qDateNext($O76,AE$17,$AH$16,TRUE,Currency1))</f>
        <v>0</v>
      </c>
      <c r="AF76" s="882">
        <f>IF($O77=0,0,        _xll.qDateNext($O76,AF$17,$AH$16,TRUE,Currency1))</f>
        <v>0</v>
      </c>
      <c r="AG76" s="882">
        <f>IF($O77=0,0,        _xll.qDateNext($O76,AG$17,$AH$16,TRUE,Currency1))</f>
        <v>0</v>
      </c>
      <c r="AH76" s="882">
        <f>IF($O77=0,0,        _xll.qDateNext($O76,AH$17,$AH$16,TRUE,Currency1))</f>
        <v>0</v>
      </c>
      <c r="AI76" s="886">
        <f>IF($O77=0,0,           IF(FRM,_xll.qGetFwdRate(AI$14,$O76,AA76,"T",DCC_Leg1_Float),_xll.qGetFwdRate(AI$14,$O76,$O77,"T",DCC_Leg1_Float)))</f>
        <v>0</v>
      </c>
      <c r="AJ76" s="886">
        <f>IF($O77=0,0,           IF(FRM,_xll.qGetFwdRate(AJ$14,$O76,AB76,"T",DCC_Leg1_Float),_xll.qGetFwdRate(AJ$14,$O76,$O77,"T",DCC_Leg1_Float)))</f>
        <v>0</v>
      </c>
      <c r="AK76" s="886">
        <f t="shared" si="1"/>
        <v>0</v>
      </c>
      <c r="AL76" s="886">
        <f>IF($O77=0,0,           IF(FRM,_xll.qGetFwdRate(AL$14,$O76,AD76,"T",DCC_Leg1_Float),_xll.qGetFwdRate(AL$14,$O76,$O77,"T",DCC_Leg1_Float)))</f>
        <v>0</v>
      </c>
      <c r="AM76" s="886">
        <f t="shared" si="16"/>
        <v>0</v>
      </c>
      <c r="AN76" s="886">
        <f t="shared" si="17"/>
        <v>0</v>
      </c>
      <c r="AO76" s="886">
        <f>IF($O77=0,0,           IF(FRM,_xll.qGetFwdRate(AO$14,$O76,AG76,"T",DCC_Leg1_Float),_xll.qGetFwdRate(AO$14,$O76,$O77,"T",DCC_Leg1_Float)))</f>
        <v>0</v>
      </c>
      <c r="AP76" s="886">
        <f>IF($O77=0,0,           IF(FRM,_xll.qGetFwdRate(AP$14,$O76,AH76,"T",DCC_Leg1_Float),_xll.qGetFwdRate(AP$14,$O76,$O77,"T",DCC_Leg1_Float)))</f>
        <v>0</v>
      </c>
      <c r="AQ76" s="648">
        <f t="shared" si="18"/>
        <v>0</v>
      </c>
      <c r="AR76" s="648">
        <f t="shared" si="19"/>
        <v>0</v>
      </c>
      <c r="AS76" s="648">
        <f t="shared" si="20"/>
        <v>0</v>
      </c>
      <c r="AT76" s="648">
        <f t="shared" si="21"/>
        <v>0</v>
      </c>
      <c r="AU76" s="648">
        <f t="shared" si="22"/>
        <v>0</v>
      </c>
      <c r="AV76" s="648">
        <f t="shared" si="23"/>
        <v>0</v>
      </c>
      <c r="AW76" s="648">
        <f t="shared" si="24"/>
        <v>0</v>
      </c>
      <c r="AX76" s="648">
        <f t="shared" si="25"/>
        <v>0</v>
      </c>
      <c r="AY76" s="634">
        <v>0</v>
      </c>
      <c r="AZ76" s="616"/>
      <c r="BA76" s="619">
        <f>IF(O77=0,0,             IF(ISNUMBER(AZ76),AZ76,             IF(ISTEXT(AZ76),INDEX(AQ76:AX76,MATCH(AZ76,$AQ$17:$AX$17,0)),           IF(AY76="INT",_xll.qInterp(O77,AA76:AH76,AQ76:AX76),       INDEX(AQ76:AX76,MATCH(AY76,$AQ$17:$AX$17,0))))))</f>
        <v>0</v>
      </c>
      <c r="BB76" s="674">
        <v>100</v>
      </c>
      <c r="BC76" s="666">
        <f t="shared" si="3"/>
        <v>0</v>
      </c>
      <c r="BD76" s="268">
        <f>IF($O77=0,0,                IF(LEFT(DCC_Leg1_Fixed,2)="1/",uEvaluate(DCC_Leg1_Fixed),        _xll.qDateYears($O76,$O77,DCC_Leg1_Fixed)))</f>
        <v>0</v>
      </c>
      <c r="BE76" s="268">
        <f>IF($O77,_xll.qDateYears($O76,$O77,DCC_Leg1_Float),0)</f>
        <v>0</v>
      </c>
      <c r="BG76" s="332">
        <f t="shared" si="26"/>
        <v>0</v>
      </c>
      <c r="BH76" s="357">
        <f t="shared" si="27"/>
        <v>0</v>
      </c>
      <c r="BI76" s="527"/>
      <c r="BK76" s="324">
        <f t="shared" si="33"/>
        <v>0</v>
      </c>
      <c r="BM76" s="338"/>
      <c r="BN76" s="121">
        <v>0</v>
      </c>
      <c r="BO76" s="755">
        <f t="shared" si="4"/>
        <v>0</v>
      </c>
      <c r="BP76" s="339">
        <v>0</v>
      </c>
      <c r="BQ76" s="890">
        <f>IF(BN77=0,0,         IF(OR(Currency2="AUD",Currency1="NZD",Currency2="GBP"),BN76,   _xll.qDateNext(BN76,"-2b",,,IF(Currency2="EUR","TGT","LON"))))</f>
        <v>0</v>
      </c>
      <c r="BR76" s="879" t="str">
        <v/>
      </c>
      <c r="BS76" s="879" t="str">
        <v/>
      </c>
      <c r="BT76" s="879" t="str">
        <v/>
      </c>
      <c r="BU76" s="879" t="str">
        <v/>
      </c>
      <c r="BV76" s="879" t="str">
        <v/>
      </c>
      <c r="BW76" s="879" t="str">
        <v/>
      </c>
      <c r="BX76" s="879" t="str">
        <v/>
      </c>
      <c r="BY76" s="879" t="str">
        <v/>
      </c>
      <c r="BZ76" s="882">
        <f>IF($BN77=0,0,        _xll.qDateNext($BN76,BZ$17,$CG$16,TRUE,Currency2))</f>
        <v>0</v>
      </c>
      <c r="CA76" s="882">
        <f>IF($BN77=0,0,        _xll.qDateNext($BN76,CA$17,$CG$16,TRUE,Currency2))</f>
        <v>0</v>
      </c>
      <c r="CB76" s="882">
        <f>IF($BN77=0,0,        _xll.qDateNext($BN76,CB$17,$CG$16,TRUE,Currency2))</f>
        <v>0</v>
      </c>
      <c r="CC76" s="882">
        <f>IF($BN77=0,0,        _xll.qDateNext($BN76,CC$17,$CG$16,TRUE,Currency2))</f>
        <v>0</v>
      </c>
      <c r="CD76" s="882">
        <f>IF($BN77=0,0,        _xll.qDateNext($BN76,CD$17,$CG$16,TRUE,Currency2))</f>
        <v>0</v>
      </c>
      <c r="CE76" s="882">
        <f>IF($BN77=0,0,        _xll.qDateNext($BN76,CE$17,$CG$16,TRUE,Currency2))</f>
        <v>0</v>
      </c>
      <c r="CF76" s="882">
        <f>IF($BN77=0,0,        _xll.qDateNext($BN76,CF$17,$CG$16,TRUE,Currency2))</f>
        <v>0</v>
      </c>
      <c r="CG76" s="882">
        <f>IF($BN77=0,0,        _xll.qDateNext($BN76,CG$17,$CG$16,TRUE,Currency2))</f>
        <v>0</v>
      </c>
      <c r="CH76" s="886">
        <v>0</v>
      </c>
      <c r="CI76" s="886">
        <v>0</v>
      </c>
      <c r="CJ76" s="886">
        <v>0</v>
      </c>
      <c r="CK76" s="886">
        <v>0</v>
      </c>
      <c r="CL76" s="886">
        <f t="shared" si="5"/>
        <v>0</v>
      </c>
      <c r="CM76" s="886">
        <f t="shared" si="28"/>
        <v>0</v>
      </c>
      <c r="CN76" s="886">
        <v>0</v>
      </c>
      <c r="CO76" s="886">
        <v>0</v>
      </c>
      <c r="CP76" s="648">
        <f t="shared" si="6"/>
        <v>0</v>
      </c>
      <c r="CQ76" s="648">
        <f t="shared" si="7"/>
        <v>0</v>
      </c>
      <c r="CR76" s="648">
        <f t="shared" si="8"/>
        <v>0</v>
      </c>
      <c r="CS76" s="648">
        <f t="shared" si="9"/>
        <v>0</v>
      </c>
      <c r="CT76" s="648">
        <f t="shared" si="10"/>
        <v>0</v>
      </c>
      <c r="CU76" s="648">
        <f t="shared" si="11"/>
        <v>0</v>
      </c>
      <c r="CV76" s="648">
        <f t="shared" si="12"/>
        <v>0</v>
      </c>
      <c r="CW76" s="648">
        <f t="shared" si="13"/>
        <v>0</v>
      </c>
      <c r="CX76" s="634">
        <v>0</v>
      </c>
      <c r="CY76" s="616"/>
      <c r="CZ76" s="619">
        <f>IF(BN77=0,0,             IF(ISNUMBER(CY76),CY76,             IF(ISTEXT(CY76),INDEX(CP76:CW76,MATCH(CY76,$CP$17:$CW$17,0)),           IF(CX76="INT",_xll.qInterp(BN77,BZ76:CG76,CP76:CW76),       INDEX(CP76:CW76,MATCH(CX76,$CP$17:$CW$17,0))))))</f>
        <v>0</v>
      </c>
      <c r="DA76" s="755">
        <f t="shared" si="14"/>
        <v>0</v>
      </c>
      <c r="DB76" s="387">
        <f t="shared" si="15"/>
        <v>0</v>
      </c>
      <c r="DC76" s="268">
        <f>IF($BN77=0,0,         IF(LEFT(DCC_Leg2_Fixed,2)="1/",uEvaluate(DCC_Leg2_Fixed),         _xll.qDateYears($BN76,$BN77,DCC_Leg2_Fixed)))</f>
        <v>0</v>
      </c>
      <c r="DD76" s="268">
        <f>IF($BN77,_xll.qDateYears($BN76,$BN77,DCC_Leg2_Float),0)</f>
        <v>0</v>
      </c>
      <c r="DF76" s="332">
        <f t="shared" si="29"/>
        <v>0</v>
      </c>
      <c r="DG76" s="357">
        <f t="shared" si="30"/>
        <v>0</v>
      </c>
      <c r="DH76" s="527"/>
      <c r="DJ76" s="324">
        <f t="shared" si="34"/>
        <v>0</v>
      </c>
      <c r="DK76" s="529"/>
      <c r="DL76" s="338"/>
    </row>
    <row r="77" spans="15:116">
      <c r="O77" s="121">
        <v>0</v>
      </c>
      <c r="P77" s="755">
        <f t="shared" si="0"/>
        <v>0</v>
      </c>
      <c r="Q77" s="125">
        <v>0</v>
      </c>
      <c r="R77" s="890">
        <f>IF(O78=0,0,         IF(OR(Currency1="AUD",Currency1="NZD",Currency1="GBP"),O77,   _xll.qDateNext(O77,"-2b",,,IF(Currency1="EUR","TGT","LON"))))</f>
        <v>0</v>
      </c>
      <c r="S77" s="879" t="str">
        <v/>
      </c>
      <c r="T77" s="879" t="str">
        <v/>
      </c>
      <c r="U77" s="879" t="str">
        <v/>
      </c>
      <c r="V77" s="879" t="str">
        <v/>
      </c>
      <c r="W77" s="879" t="str">
        <v/>
      </c>
      <c r="X77" s="879" t="str">
        <v/>
      </c>
      <c r="Y77" s="879" t="str">
        <v/>
      </c>
      <c r="Z77" s="879" t="str">
        <v/>
      </c>
      <c r="AA77" s="882">
        <f>IF($O78=0,0,        _xll.qDateNext($O77,AA$17,$AH$16,TRUE,Currency1))</f>
        <v>0</v>
      </c>
      <c r="AB77" s="882">
        <f>IF($O78=0,0,        _xll.qDateNext($O77,AB$17,$AH$16,TRUE,Currency1))</f>
        <v>0</v>
      </c>
      <c r="AC77" s="882">
        <f>IF($O78=0,0,        _xll.qDateNext($O77,AC$17,$AH$16,TRUE,Currency1))</f>
        <v>0</v>
      </c>
      <c r="AD77" s="882">
        <f>IF($O78=0,0,        _xll.qDateNext($O77,AD$17,$AH$16,TRUE,Currency1))</f>
        <v>0</v>
      </c>
      <c r="AE77" s="882">
        <f>IF($O78=0,0,        _xll.qDateNext($O77,AE$17,$AH$16,TRUE,Currency1))</f>
        <v>0</v>
      </c>
      <c r="AF77" s="882">
        <f>IF($O78=0,0,        _xll.qDateNext($O77,AF$17,$AH$16,TRUE,Currency1))</f>
        <v>0</v>
      </c>
      <c r="AG77" s="882">
        <f>IF($O78=0,0,        _xll.qDateNext($O77,AG$17,$AH$16,TRUE,Currency1))</f>
        <v>0</v>
      </c>
      <c r="AH77" s="882">
        <f>IF($O78=0,0,        _xll.qDateNext($O77,AH$17,$AH$16,TRUE,Currency1))</f>
        <v>0</v>
      </c>
      <c r="AI77" s="886">
        <f>IF($O78=0,0,           IF(FRM,_xll.qGetFwdRate(AI$14,$O77,AA77,"T",DCC_Leg1_Float),_xll.qGetFwdRate(AI$14,$O77,$O78,"T",DCC_Leg1_Float)))</f>
        <v>0</v>
      </c>
      <c r="AJ77" s="886">
        <f>IF($O78=0,0,           IF(FRM,_xll.qGetFwdRate(AJ$14,$O77,AB77,"T",DCC_Leg1_Float),_xll.qGetFwdRate(AJ$14,$O77,$O78,"T",DCC_Leg1_Float)))</f>
        <v>0</v>
      </c>
      <c r="AK77" s="886">
        <f t="shared" si="1"/>
        <v>0</v>
      </c>
      <c r="AL77" s="886">
        <f>IF($O78=0,0,           IF(FRM,_xll.qGetFwdRate(AL$14,$O77,AD77,"T",DCC_Leg1_Float),_xll.qGetFwdRate(AL$14,$O77,$O78,"T",DCC_Leg1_Float)))</f>
        <v>0</v>
      </c>
      <c r="AM77" s="886">
        <f t="shared" si="16"/>
        <v>0</v>
      </c>
      <c r="AN77" s="886">
        <f t="shared" si="17"/>
        <v>0</v>
      </c>
      <c r="AO77" s="886">
        <f>IF($O78=0,0,           IF(FRM,_xll.qGetFwdRate(AO$14,$O77,AG77,"T",DCC_Leg1_Float),_xll.qGetFwdRate(AO$14,$O77,$O78,"T",DCC_Leg1_Float)))</f>
        <v>0</v>
      </c>
      <c r="AP77" s="886">
        <f>IF($O78=0,0,           IF(FRM,_xll.qGetFwdRate(AP$14,$O77,AH77,"T",DCC_Leg1_Float),_xll.qGetFwdRate(AP$14,$O77,$O78,"T",DCC_Leg1_Float)))</f>
        <v>0</v>
      </c>
      <c r="AQ77" s="648">
        <f t="shared" si="18"/>
        <v>0</v>
      </c>
      <c r="AR77" s="648">
        <f t="shared" si="19"/>
        <v>0</v>
      </c>
      <c r="AS77" s="648">
        <f t="shared" si="20"/>
        <v>0</v>
      </c>
      <c r="AT77" s="648">
        <f t="shared" si="21"/>
        <v>0</v>
      </c>
      <c r="AU77" s="648">
        <f t="shared" si="22"/>
        <v>0</v>
      </c>
      <c r="AV77" s="648">
        <f t="shared" si="23"/>
        <v>0</v>
      </c>
      <c r="AW77" s="648">
        <f t="shared" si="24"/>
        <v>0</v>
      </c>
      <c r="AX77" s="648">
        <f t="shared" si="25"/>
        <v>0</v>
      </c>
      <c r="AY77" s="634">
        <v>0</v>
      </c>
      <c r="AZ77" s="616"/>
      <c r="BA77" s="619">
        <f>IF(O78=0,0,             IF(ISNUMBER(AZ77),AZ77,             IF(ISTEXT(AZ77),INDEX(AQ77:AX77,MATCH(AZ77,$AQ$17:$AX$17,0)),           IF(AY77="INT",_xll.qInterp(O78,AA77:AH77,AQ77:AX77),       INDEX(AQ77:AX77,MATCH(AY77,$AQ$17:$AX$17,0))))))</f>
        <v>0</v>
      </c>
      <c r="BB77" s="674">
        <v>100</v>
      </c>
      <c r="BC77" s="666">
        <f t="shared" si="3"/>
        <v>0</v>
      </c>
      <c r="BD77" s="268">
        <f>IF($O78=0,0,                IF(LEFT(DCC_Leg1_Fixed,2)="1/",uEvaluate(DCC_Leg1_Fixed),        _xll.qDateYears($O77,$O78,DCC_Leg1_Fixed)))</f>
        <v>0</v>
      </c>
      <c r="BE77" s="268">
        <f>IF($O78,_xll.qDateYears($O77,$O78,DCC_Leg1_Float),0)</f>
        <v>0</v>
      </c>
      <c r="BG77" s="332">
        <f t="shared" si="26"/>
        <v>0</v>
      </c>
      <c r="BH77" s="357">
        <f t="shared" si="27"/>
        <v>0</v>
      </c>
      <c r="BI77" s="527"/>
      <c r="BK77" s="324">
        <f t="shared" si="33"/>
        <v>0</v>
      </c>
      <c r="BM77" s="338"/>
      <c r="BN77" s="121">
        <v>0</v>
      </c>
      <c r="BO77" s="755">
        <f t="shared" si="4"/>
        <v>0</v>
      </c>
      <c r="BP77" s="339">
        <v>0</v>
      </c>
      <c r="BQ77" s="890">
        <f>IF(BN78=0,0,         IF(OR(Currency2="AUD",Currency1="NZD",Currency2="GBP"),BN77,   _xll.qDateNext(BN77,"-2b",,,IF(Currency2="EUR","TGT","LON"))))</f>
        <v>0</v>
      </c>
      <c r="BR77" s="879" t="str">
        <v/>
      </c>
      <c r="BS77" s="879" t="str">
        <v/>
      </c>
      <c r="BT77" s="879" t="str">
        <v/>
      </c>
      <c r="BU77" s="879" t="str">
        <v/>
      </c>
      <c r="BV77" s="879" t="str">
        <v/>
      </c>
      <c r="BW77" s="879" t="str">
        <v/>
      </c>
      <c r="BX77" s="879" t="str">
        <v/>
      </c>
      <c r="BY77" s="879" t="str">
        <v/>
      </c>
      <c r="BZ77" s="882">
        <f>IF($BN78=0,0,        _xll.qDateNext($BN77,BZ$17,$CG$16,TRUE,Currency2))</f>
        <v>0</v>
      </c>
      <c r="CA77" s="882">
        <f>IF($BN78=0,0,        _xll.qDateNext($BN77,CA$17,$CG$16,TRUE,Currency2))</f>
        <v>0</v>
      </c>
      <c r="CB77" s="882">
        <f>IF($BN78=0,0,        _xll.qDateNext($BN77,CB$17,$CG$16,TRUE,Currency2))</f>
        <v>0</v>
      </c>
      <c r="CC77" s="882">
        <f>IF($BN78=0,0,        _xll.qDateNext($BN77,CC$17,$CG$16,TRUE,Currency2))</f>
        <v>0</v>
      </c>
      <c r="CD77" s="882">
        <f>IF($BN78=0,0,        _xll.qDateNext($BN77,CD$17,$CG$16,TRUE,Currency2))</f>
        <v>0</v>
      </c>
      <c r="CE77" s="882">
        <f>IF($BN78=0,0,        _xll.qDateNext($BN77,CE$17,$CG$16,TRUE,Currency2))</f>
        <v>0</v>
      </c>
      <c r="CF77" s="882">
        <f>IF($BN78=0,0,        _xll.qDateNext($BN77,CF$17,$CG$16,TRUE,Currency2))</f>
        <v>0</v>
      </c>
      <c r="CG77" s="882">
        <f>IF($BN78=0,0,        _xll.qDateNext($BN77,CG$17,$CG$16,TRUE,Currency2))</f>
        <v>0</v>
      </c>
      <c r="CH77" s="886">
        <v>0</v>
      </c>
      <c r="CI77" s="886">
        <v>0</v>
      </c>
      <c r="CJ77" s="886">
        <v>0</v>
      </c>
      <c r="CK77" s="886">
        <v>0</v>
      </c>
      <c r="CL77" s="886">
        <f t="shared" si="5"/>
        <v>0</v>
      </c>
      <c r="CM77" s="886">
        <f t="shared" si="28"/>
        <v>0</v>
      </c>
      <c r="CN77" s="886">
        <v>0</v>
      </c>
      <c r="CO77" s="886">
        <v>0</v>
      </c>
      <c r="CP77" s="648">
        <f t="shared" si="6"/>
        <v>0</v>
      </c>
      <c r="CQ77" s="648">
        <f t="shared" si="7"/>
        <v>0</v>
      </c>
      <c r="CR77" s="648">
        <f t="shared" si="8"/>
        <v>0</v>
      </c>
      <c r="CS77" s="648">
        <f t="shared" si="9"/>
        <v>0</v>
      </c>
      <c r="CT77" s="648">
        <f t="shared" si="10"/>
        <v>0</v>
      </c>
      <c r="CU77" s="648">
        <f t="shared" si="11"/>
        <v>0</v>
      </c>
      <c r="CV77" s="648">
        <f t="shared" si="12"/>
        <v>0</v>
      </c>
      <c r="CW77" s="648">
        <f t="shared" si="13"/>
        <v>0</v>
      </c>
      <c r="CX77" s="634">
        <v>0</v>
      </c>
      <c r="CY77" s="616"/>
      <c r="CZ77" s="619">
        <f>IF(BN78=0,0,             IF(ISNUMBER(CY77),CY77,             IF(ISTEXT(CY77),INDEX(CP77:CW77,MATCH(CY77,$CP$17:$CW$17,0)),           IF(CX77="INT",_xll.qInterp(BN78,BZ77:CG77,CP77:CW77),       INDEX(CP77:CW77,MATCH(CX77,$CP$17:$CW$17,0))))))</f>
        <v>0</v>
      </c>
      <c r="DA77" s="755">
        <f t="shared" si="14"/>
        <v>0</v>
      </c>
      <c r="DB77" s="387">
        <f t="shared" si="15"/>
        <v>0</v>
      </c>
      <c r="DC77" s="268">
        <f>IF($BN78=0,0,         IF(LEFT(DCC_Leg2_Fixed,2)="1/",uEvaluate(DCC_Leg2_Fixed),         _xll.qDateYears($BN77,$BN78,DCC_Leg2_Fixed)))</f>
        <v>0</v>
      </c>
      <c r="DD77" s="268">
        <f>IF($BN78,_xll.qDateYears($BN77,$BN78,DCC_Leg2_Float),0)</f>
        <v>0</v>
      </c>
      <c r="DF77" s="332">
        <f t="shared" si="29"/>
        <v>0</v>
      </c>
      <c r="DG77" s="357">
        <f t="shared" si="30"/>
        <v>0</v>
      </c>
      <c r="DH77" s="527"/>
      <c r="DJ77" s="324">
        <f t="shared" si="34"/>
        <v>0</v>
      </c>
      <c r="DK77" s="529"/>
      <c r="DL77" s="338"/>
    </row>
    <row r="78" spans="15:116">
      <c r="O78" s="121">
        <v>0</v>
      </c>
      <c r="P78" s="755">
        <f t="shared" si="0"/>
        <v>0</v>
      </c>
      <c r="Q78" s="125">
        <v>0</v>
      </c>
      <c r="R78" s="890">
        <f>IF(O79=0,0,         IF(OR(Currency1="AUD",Currency1="NZD",Currency1="GBP"),O78,   _xll.qDateNext(O78,"-2b",,,IF(Currency1="EUR","TGT","LON"))))</f>
        <v>0</v>
      </c>
      <c r="S78" s="879" t="str">
        <v/>
      </c>
      <c r="T78" s="879" t="str">
        <v/>
      </c>
      <c r="U78" s="879" t="str">
        <v/>
      </c>
      <c r="V78" s="879" t="str">
        <v/>
      </c>
      <c r="W78" s="879" t="str">
        <v/>
      </c>
      <c r="X78" s="879" t="str">
        <v/>
      </c>
      <c r="Y78" s="879" t="str">
        <v/>
      </c>
      <c r="Z78" s="879" t="str">
        <v/>
      </c>
      <c r="AA78" s="882">
        <f>IF($O79=0,0,        _xll.qDateNext($O78,AA$17,$AH$16,TRUE,Currency1))</f>
        <v>0</v>
      </c>
      <c r="AB78" s="882">
        <f>IF($O79=0,0,        _xll.qDateNext($O78,AB$17,$AH$16,TRUE,Currency1))</f>
        <v>0</v>
      </c>
      <c r="AC78" s="882">
        <f>IF($O79=0,0,        _xll.qDateNext($O78,AC$17,$AH$16,TRUE,Currency1))</f>
        <v>0</v>
      </c>
      <c r="AD78" s="882">
        <f>IF($O79=0,0,        _xll.qDateNext($O78,AD$17,$AH$16,TRUE,Currency1))</f>
        <v>0</v>
      </c>
      <c r="AE78" s="882">
        <f>IF($O79=0,0,        _xll.qDateNext($O78,AE$17,$AH$16,TRUE,Currency1))</f>
        <v>0</v>
      </c>
      <c r="AF78" s="882">
        <f>IF($O79=0,0,        _xll.qDateNext($O78,AF$17,$AH$16,TRUE,Currency1))</f>
        <v>0</v>
      </c>
      <c r="AG78" s="882">
        <f>IF($O79=0,0,        _xll.qDateNext($O78,AG$17,$AH$16,TRUE,Currency1))</f>
        <v>0</v>
      </c>
      <c r="AH78" s="882">
        <f>IF($O79=0,0,        _xll.qDateNext($O78,AH$17,$AH$16,TRUE,Currency1))</f>
        <v>0</v>
      </c>
      <c r="AI78" s="886">
        <f>IF($O79=0,0,           IF(FRM,_xll.qGetFwdRate(AI$14,$O78,AA78,"T",DCC_Leg1_Float),_xll.qGetFwdRate(AI$14,$O78,$O79,"T",DCC_Leg1_Float)))</f>
        <v>0</v>
      </c>
      <c r="AJ78" s="886">
        <f>IF($O79=0,0,           IF(FRM,_xll.qGetFwdRate(AJ$14,$O78,AB78,"T",DCC_Leg1_Float),_xll.qGetFwdRate(AJ$14,$O78,$O79,"T",DCC_Leg1_Float)))</f>
        <v>0</v>
      </c>
      <c r="AK78" s="886">
        <f t="shared" si="1"/>
        <v>0</v>
      </c>
      <c r="AL78" s="886">
        <f>IF($O79=0,0,           IF(FRM,_xll.qGetFwdRate(AL$14,$O78,AD78,"T",DCC_Leg1_Float),_xll.qGetFwdRate(AL$14,$O78,$O79,"T",DCC_Leg1_Float)))</f>
        <v>0</v>
      </c>
      <c r="AM78" s="886">
        <f t="shared" si="16"/>
        <v>0</v>
      </c>
      <c r="AN78" s="886">
        <f t="shared" si="17"/>
        <v>0</v>
      </c>
      <c r="AO78" s="886">
        <f>IF($O79=0,0,           IF(FRM,_xll.qGetFwdRate(AO$14,$O78,AG78,"T",DCC_Leg1_Float),_xll.qGetFwdRate(AO$14,$O78,$O79,"T",DCC_Leg1_Float)))</f>
        <v>0</v>
      </c>
      <c r="AP78" s="886">
        <f>IF($O79=0,0,           IF(FRM,_xll.qGetFwdRate(AP$14,$O78,AH78,"T",DCC_Leg1_Float),_xll.qGetFwdRate(AP$14,$O78,$O79,"T",DCC_Leg1_Float)))</f>
        <v>0</v>
      </c>
      <c r="AQ78" s="648">
        <f t="shared" si="18"/>
        <v>0</v>
      </c>
      <c r="AR78" s="648">
        <f t="shared" si="19"/>
        <v>0</v>
      </c>
      <c r="AS78" s="648">
        <f t="shared" si="20"/>
        <v>0</v>
      </c>
      <c r="AT78" s="648">
        <f t="shared" si="21"/>
        <v>0</v>
      </c>
      <c r="AU78" s="648">
        <f t="shared" si="22"/>
        <v>0</v>
      </c>
      <c r="AV78" s="648">
        <f t="shared" si="23"/>
        <v>0</v>
      </c>
      <c r="AW78" s="648">
        <f t="shared" si="24"/>
        <v>0</v>
      </c>
      <c r="AX78" s="648">
        <f t="shared" si="25"/>
        <v>0</v>
      </c>
      <c r="AY78" s="634">
        <v>0</v>
      </c>
      <c r="AZ78" s="616"/>
      <c r="BA78" s="619">
        <f>IF(O79=0,0,             IF(ISNUMBER(AZ78),AZ78,             IF(ISTEXT(AZ78),INDEX(AQ78:AX78,MATCH(AZ78,$AQ$17:$AX$17,0)),           IF(AY78="INT",_xll.qInterp(O79,AA78:AH78,AQ78:AX78),       INDEX(AQ78:AX78,MATCH(AY78,$AQ$17:$AX$17,0))))))</f>
        <v>0</v>
      </c>
      <c r="BB78" s="674">
        <v>100</v>
      </c>
      <c r="BC78" s="666">
        <f t="shared" si="3"/>
        <v>0</v>
      </c>
      <c r="BD78" s="268">
        <f>IF($O79=0,0,                IF(LEFT(DCC_Leg1_Fixed,2)="1/",uEvaluate(DCC_Leg1_Fixed),        _xll.qDateYears($O78,$O79,DCC_Leg1_Fixed)))</f>
        <v>0</v>
      </c>
      <c r="BE78" s="268">
        <f>IF($O79,_xll.qDateYears($O78,$O79,DCC_Leg1_Float),0)</f>
        <v>0</v>
      </c>
      <c r="BG78" s="332">
        <f t="shared" si="26"/>
        <v>0</v>
      </c>
      <c r="BH78" s="357">
        <f t="shared" si="27"/>
        <v>0</v>
      </c>
      <c r="BI78" s="527"/>
      <c r="BK78" s="324">
        <f t="shared" si="33"/>
        <v>0</v>
      </c>
      <c r="BM78" s="338"/>
      <c r="BN78" s="121">
        <v>0</v>
      </c>
      <c r="BO78" s="755">
        <f t="shared" si="4"/>
        <v>0</v>
      </c>
      <c r="BP78" s="339">
        <v>0</v>
      </c>
      <c r="BQ78" s="890">
        <f>IF(BN79=0,0,         IF(OR(Currency2="AUD",Currency1="NZD",Currency2="GBP"),BN78,   _xll.qDateNext(BN78,"-2b",,,IF(Currency2="EUR","TGT","LON"))))</f>
        <v>0</v>
      </c>
      <c r="BR78" s="879" t="str">
        <v/>
      </c>
      <c r="BS78" s="879" t="str">
        <v/>
      </c>
      <c r="BT78" s="879" t="str">
        <v/>
      </c>
      <c r="BU78" s="879" t="str">
        <v/>
      </c>
      <c r="BV78" s="879" t="str">
        <v/>
      </c>
      <c r="BW78" s="879" t="str">
        <v/>
      </c>
      <c r="BX78" s="879" t="str">
        <v/>
      </c>
      <c r="BY78" s="879" t="str">
        <v/>
      </c>
      <c r="BZ78" s="882">
        <f>IF($BN79=0,0,        _xll.qDateNext($BN78,BZ$17,$CG$16,TRUE,Currency2))</f>
        <v>0</v>
      </c>
      <c r="CA78" s="882">
        <f>IF($BN79=0,0,        _xll.qDateNext($BN78,CA$17,$CG$16,TRUE,Currency2))</f>
        <v>0</v>
      </c>
      <c r="CB78" s="882">
        <f>IF($BN79=0,0,        _xll.qDateNext($BN78,CB$17,$CG$16,TRUE,Currency2))</f>
        <v>0</v>
      </c>
      <c r="CC78" s="882">
        <f>IF($BN79=0,0,        _xll.qDateNext($BN78,CC$17,$CG$16,TRUE,Currency2))</f>
        <v>0</v>
      </c>
      <c r="CD78" s="882">
        <f>IF($BN79=0,0,        _xll.qDateNext($BN78,CD$17,$CG$16,TRUE,Currency2))</f>
        <v>0</v>
      </c>
      <c r="CE78" s="882">
        <f>IF($BN79=0,0,        _xll.qDateNext($BN78,CE$17,$CG$16,TRUE,Currency2))</f>
        <v>0</v>
      </c>
      <c r="CF78" s="882">
        <f>IF($BN79=0,0,        _xll.qDateNext($BN78,CF$17,$CG$16,TRUE,Currency2))</f>
        <v>0</v>
      </c>
      <c r="CG78" s="882">
        <f>IF($BN79=0,0,        _xll.qDateNext($BN78,CG$17,$CG$16,TRUE,Currency2))</f>
        <v>0</v>
      </c>
      <c r="CH78" s="886">
        <v>0</v>
      </c>
      <c r="CI78" s="886">
        <v>0</v>
      </c>
      <c r="CJ78" s="886">
        <v>0</v>
      </c>
      <c r="CK78" s="886">
        <v>0</v>
      </c>
      <c r="CL78" s="886">
        <f t="shared" si="5"/>
        <v>0</v>
      </c>
      <c r="CM78" s="886">
        <f t="shared" si="28"/>
        <v>0</v>
      </c>
      <c r="CN78" s="886">
        <v>0</v>
      </c>
      <c r="CO78" s="886">
        <v>0</v>
      </c>
      <c r="CP78" s="648">
        <f t="shared" si="6"/>
        <v>0</v>
      </c>
      <c r="CQ78" s="648">
        <f t="shared" si="7"/>
        <v>0</v>
      </c>
      <c r="CR78" s="648">
        <f t="shared" si="8"/>
        <v>0</v>
      </c>
      <c r="CS78" s="648">
        <f t="shared" si="9"/>
        <v>0</v>
      </c>
      <c r="CT78" s="648">
        <f t="shared" si="10"/>
        <v>0</v>
      </c>
      <c r="CU78" s="648">
        <f t="shared" si="11"/>
        <v>0</v>
      </c>
      <c r="CV78" s="648">
        <f t="shared" si="12"/>
        <v>0</v>
      </c>
      <c r="CW78" s="648">
        <f t="shared" si="13"/>
        <v>0</v>
      </c>
      <c r="CX78" s="634">
        <v>0</v>
      </c>
      <c r="CY78" s="616"/>
      <c r="CZ78" s="619">
        <f>IF(BN79=0,0,             IF(ISNUMBER(CY78),CY78,             IF(ISTEXT(CY78),INDEX(CP78:CW78,MATCH(CY78,$CP$17:$CW$17,0)),           IF(CX78="INT",_xll.qInterp(BN79,BZ78:CG78,CP78:CW78),       INDEX(CP78:CW78,MATCH(CX78,$CP$17:$CW$17,0))))))</f>
        <v>0</v>
      </c>
      <c r="DA78" s="755">
        <f t="shared" si="14"/>
        <v>0</v>
      </c>
      <c r="DB78" s="387">
        <f t="shared" si="15"/>
        <v>0</v>
      </c>
      <c r="DC78" s="268">
        <f>IF($BN79=0,0,         IF(LEFT(DCC_Leg2_Fixed,2)="1/",uEvaluate(DCC_Leg2_Fixed),         _xll.qDateYears($BN78,$BN79,DCC_Leg2_Fixed)))</f>
        <v>0</v>
      </c>
      <c r="DD78" s="268">
        <f>IF($BN79,_xll.qDateYears($BN78,$BN79,DCC_Leg2_Float),0)</f>
        <v>0</v>
      </c>
      <c r="DF78" s="332">
        <f t="shared" si="29"/>
        <v>0</v>
      </c>
      <c r="DG78" s="357">
        <f t="shared" si="30"/>
        <v>0</v>
      </c>
      <c r="DH78" s="527"/>
      <c r="DJ78" s="324">
        <f t="shared" si="34"/>
        <v>0</v>
      </c>
      <c r="DK78" s="529"/>
      <c r="DL78" s="338"/>
    </row>
    <row r="79" spans="15:116">
      <c r="O79" s="121">
        <v>0</v>
      </c>
      <c r="P79" s="755">
        <f t="shared" si="0"/>
        <v>0</v>
      </c>
      <c r="Q79" s="125">
        <v>0</v>
      </c>
      <c r="R79" s="890">
        <f>IF(O80=0,0,         IF(OR(Currency1="AUD",Currency1="NZD",Currency1="GBP"),O79,   _xll.qDateNext(O79,"-2b",,,IF(Currency1="EUR","TGT","LON"))))</f>
        <v>0</v>
      </c>
      <c r="S79" s="879" t="str">
        <v/>
      </c>
      <c r="T79" s="879" t="str">
        <v/>
      </c>
      <c r="U79" s="879" t="str">
        <v/>
      </c>
      <c r="V79" s="879" t="str">
        <v/>
      </c>
      <c r="W79" s="879" t="str">
        <v/>
      </c>
      <c r="X79" s="879" t="str">
        <v/>
      </c>
      <c r="Y79" s="879" t="str">
        <v/>
      </c>
      <c r="Z79" s="879" t="str">
        <v/>
      </c>
      <c r="AA79" s="882">
        <f>IF($O80=0,0,        _xll.qDateNext($O79,AA$17,$AH$16,TRUE,Currency1))</f>
        <v>0</v>
      </c>
      <c r="AB79" s="882">
        <f>IF($O80=0,0,        _xll.qDateNext($O79,AB$17,$AH$16,TRUE,Currency1))</f>
        <v>0</v>
      </c>
      <c r="AC79" s="882">
        <f>IF($O80=0,0,        _xll.qDateNext($O79,AC$17,$AH$16,TRUE,Currency1))</f>
        <v>0</v>
      </c>
      <c r="AD79" s="882">
        <f>IF($O80=0,0,        _xll.qDateNext($O79,AD$17,$AH$16,TRUE,Currency1))</f>
        <v>0</v>
      </c>
      <c r="AE79" s="882">
        <f>IF($O80=0,0,        _xll.qDateNext($O79,AE$17,$AH$16,TRUE,Currency1))</f>
        <v>0</v>
      </c>
      <c r="AF79" s="882">
        <f>IF($O80=0,0,        _xll.qDateNext($O79,AF$17,$AH$16,TRUE,Currency1))</f>
        <v>0</v>
      </c>
      <c r="AG79" s="882">
        <f>IF($O80=0,0,        _xll.qDateNext($O79,AG$17,$AH$16,TRUE,Currency1))</f>
        <v>0</v>
      </c>
      <c r="AH79" s="882">
        <f>IF($O80=0,0,        _xll.qDateNext($O79,AH$17,$AH$16,TRUE,Currency1))</f>
        <v>0</v>
      </c>
      <c r="AI79" s="886">
        <f>IF($O80=0,0,           IF(FRM,_xll.qGetFwdRate(AI$14,$O79,AA79,"T",DCC_Leg1_Float),_xll.qGetFwdRate(AI$14,$O79,$O80,"T",DCC_Leg1_Float)))</f>
        <v>0</v>
      </c>
      <c r="AJ79" s="886">
        <f>IF($O80=0,0,           IF(FRM,_xll.qGetFwdRate(AJ$14,$O79,AB79,"T",DCC_Leg1_Float),_xll.qGetFwdRate(AJ$14,$O79,$O80,"T",DCC_Leg1_Float)))</f>
        <v>0</v>
      </c>
      <c r="AK79" s="886">
        <f t="shared" si="1"/>
        <v>0</v>
      </c>
      <c r="AL79" s="886">
        <f>IF($O80=0,0,           IF(FRM,_xll.qGetFwdRate(AL$14,$O79,AD79,"T",DCC_Leg1_Float),_xll.qGetFwdRate(AL$14,$O79,$O80,"T",DCC_Leg1_Float)))</f>
        <v>0</v>
      </c>
      <c r="AM79" s="886">
        <f t="shared" si="16"/>
        <v>0</v>
      </c>
      <c r="AN79" s="886">
        <f t="shared" si="17"/>
        <v>0</v>
      </c>
      <c r="AO79" s="886">
        <f>IF($O80=0,0,           IF(FRM,_xll.qGetFwdRate(AO$14,$O79,AG79,"T",DCC_Leg1_Float),_xll.qGetFwdRate(AO$14,$O79,$O80,"T",DCC_Leg1_Float)))</f>
        <v>0</v>
      </c>
      <c r="AP79" s="886">
        <f>IF($O80=0,0,           IF(FRM,_xll.qGetFwdRate(AP$14,$O79,AH79,"T",DCC_Leg1_Float),_xll.qGetFwdRate(AP$14,$O79,$O80,"T",DCC_Leg1_Float)))</f>
        <v>0</v>
      </c>
      <c r="AQ79" s="648">
        <f t="shared" si="18"/>
        <v>0</v>
      </c>
      <c r="AR79" s="648">
        <f t="shared" si="19"/>
        <v>0</v>
      </c>
      <c r="AS79" s="648">
        <f t="shared" si="20"/>
        <v>0</v>
      </c>
      <c r="AT79" s="648">
        <f t="shared" si="21"/>
        <v>0</v>
      </c>
      <c r="AU79" s="648">
        <f t="shared" si="22"/>
        <v>0</v>
      </c>
      <c r="AV79" s="648">
        <f t="shared" si="23"/>
        <v>0</v>
      </c>
      <c r="AW79" s="648">
        <f t="shared" si="24"/>
        <v>0</v>
      </c>
      <c r="AX79" s="648">
        <f t="shared" si="25"/>
        <v>0</v>
      </c>
      <c r="AY79" s="634">
        <v>0</v>
      </c>
      <c r="AZ79" s="616"/>
      <c r="BA79" s="619">
        <f>IF(O80=0,0,             IF(ISNUMBER(AZ79),AZ79,             IF(ISTEXT(AZ79),INDEX(AQ79:AX79,MATCH(AZ79,$AQ$17:$AX$17,0)),           IF(AY79="INT",_xll.qInterp(O80,AA79:AH79,AQ79:AX79),       INDEX(AQ79:AX79,MATCH(AY79,$AQ$17:$AX$17,0))))))</f>
        <v>0</v>
      </c>
      <c r="BB79" s="674">
        <v>100</v>
      </c>
      <c r="BC79" s="666">
        <f t="shared" si="3"/>
        <v>0</v>
      </c>
      <c r="BD79" s="268">
        <f>IF($O80=0,0,                IF(LEFT(DCC_Leg1_Fixed,2)="1/",uEvaluate(DCC_Leg1_Fixed),        _xll.qDateYears($O79,$O80,DCC_Leg1_Fixed)))</f>
        <v>0</v>
      </c>
      <c r="BE79" s="268">
        <f>IF($O80,_xll.qDateYears($O79,$O80,DCC_Leg1_Float),0)</f>
        <v>0</v>
      </c>
      <c r="BG79" s="332">
        <f t="shared" si="26"/>
        <v>0</v>
      </c>
      <c r="BH79" s="357">
        <f t="shared" si="27"/>
        <v>0</v>
      </c>
      <c r="BI79" s="527"/>
      <c r="BK79" s="324">
        <f t="shared" si="33"/>
        <v>0</v>
      </c>
      <c r="BM79" s="338"/>
      <c r="BN79" s="121">
        <v>0</v>
      </c>
      <c r="BO79" s="755">
        <f t="shared" si="4"/>
        <v>0</v>
      </c>
      <c r="BP79" s="339">
        <v>0</v>
      </c>
      <c r="BQ79" s="890">
        <f>IF(BN80=0,0,         IF(OR(Currency2="AUD",Currency1="NZD",Currency2="GBP"),BN79,   _xll.qDateNext(BN79,"-2b",,,IF(Currency2="EUR","TGT","LON"))))</f>
        <v>0</v>
      </c>
      <c r="BR79" s="879" t="str">
        <v/>
      </c>
      <c r="BS79" s="879" t="str">
        <v/>
      </c>
      <c r="BT79" s="879" t="str">
        <v/>
      </c>
      <c r="BU79" s="879" t="str">
        <v/>
      </c>
      <c r="BV79" s="879" t="str">
        <v/>
      </c>
      <c r="BW79" s="879" t="str">
        <v/>
      </c>
      <c r="BX79" s="879" t="str">
        <v/>
      </c>
      <c r="BY79" s="879" t="str">
        <v/>
      </c>
      <c r="BZ79" s="882">
        <f>IF($BN80=0,0,        _xll.qDateNext($BN79,BZ$17,$CG$16,TRUE,Currency2))</f>
        <v>0</v>
      </c>
      <c r="CA79" s="882">
        <f>IF($BN80=0,0,        _xll.qDateNext($BN79,CA$17,$CG$16,TRUE,Currency2))</f>
        <v>0</v>
      </c>
      <c r="CB79" s="882">
        <f>IF($BN80=0,0,        _xll.qDateNext($BN79,CB$17,$CG$16,TRUE,Currency2))</f>
        <v>0</v>
      </c>
      <c r="CC79" s="882">
        <f>IF($BN80=0,0,        _xll.qDateNext($BN79,CC$17,$CG$16,TRUE,Currency2))</f>
        <v>0</v>
      </c>
      <c r="CD79" s="882">
        <f>IF($BN80=0,0,        _xll.qDateNext($BN79,CD$17,$CG$16,TRUE,Currency2))</f>
        <v>0</v>
      </c>
      <c r="CE79" s="882">
        <f>IF($BN80=0,0,        _xll.qDateNext($BN79,CE$17,$CG$16,TRUE,Currency2))</f>
        <v>0</v>
      </c>
      <c r="CF79" s="882">
        <f>IF($BN80=0,0,        _xll.qDateNext($BN79,CF$17,$CG$16,TRUE,Currency2))</f>
        <v>0</v>
      </c>
      <c r="CG79" s="882">
        <f>IF($BN80=0,0,        _xll.qDateNext($BN79,CG$17,$CG$16,TRUE,Currency2))</f>
        <v>0</v>
      </c>
      <c r="CH79" s="886">
        <v>0</v>
      </c>
      <c r="CI79" s="886">
        <v>0</v>
      </c>
      <c r="CJ79" s="886">
        <v>0</v>
      </c>
      <c r="CK79" s="886">
        <v>0</v>
      </c>
      <c r="CL79" s="886">
        <f t="shared" si="5"/>
        <v>0</v>
      </c>
      <c r="CM79" s="886">
        <f t="shared" si="28"/>
        <v>0</v>
      </c>
      <c r="CN79" s="886">
        <v>0</v>
      </c>
      <c r="CO79" s="886">
        <v>0</v>
      </c>
      <c r="CP79" s="648">
        <f t="shared" si="6"/>
        <v>0</v>
      </c>
      <c r="CQ79" s="648">
        <f t="shared" si="7"/>
        <v>0</v>
      </c>
      <c r="CR79" s="648">
        <f t="shared" si="8"/>
        <v>0</v>
      </c>
      <c r="CS79" s="648">
        <f t="shared" si="9"/>
        <v>0</v>
      </c>
      <c r="CT79" s="648">
        <f t="shared" si="10"/>
        <v>0</v>
      </c>
      <c r="CU79" s="648">
        <f t="shared" si="11"/>
        <v>0</v>
      </c>
      <c r="CV79" s="648">
        <f t="shared" si="12"/>
        <v>0</v>
      </c>
      <c r="CW79" s="648">
        <f t="shared" si="13"/>
        <v>0</v>
      </c>
      <c r="CX79" s="634">
        <v>0</v>
      </c>
      <c r="CY79" s="616"/>
      <c r="CZ79" s="619">
        <f>IF(BN80=0,0,             IF(ISNUMBER(CY79),CY79,             IF(ISTEXT(CY79),INDEX(CP79:CW79,MATCH(CY79,$CP$17:$CW$17,0)),           IF(CX79="INT",_xll.qInterp(BN80,BZ79:CG79,CP79:CW79),       INDEX(CP79:CW79,MATCH(CX79,$CP$17:$CW$17,0))))))</f>
        <v>0</v>
      </c>
      <c r="DA79" s="755">
        <f t="shared" si="14"/>
        <v>0</v>
      </c>
      <c r="DB79" s="387">
        <f t="shared" si="15"/>
        <v>0</v>
      </c>
      <c r="DC79" s="268">
        <f>IF($BN80=0,0,         IF(LEFT(DCC_Leg2_Fixed,2)="1/",uEvaluate(DCC_Leg2_Fixed),         _xll.qDateYears($BN79,$BN80,DCC_Leg2_Fixed)))</f>
        <v>0</v>
      </c>
      <c r="DD79" s="268">
        <f>IF($BN80,_xll.qDateYears($BN79,$BN80,DCC_Leg2_Float),0)</f>
        <v>0</v>
      </c>
      <c r="DF79" s="332">
        <f t="shared" si="29"/>
        <v>0</v>
      </c>
      <c r="DG79" s="357">
        <f t="shared" si="30"/>
        <v>0</v>
      </c>
      <c r="DH79" s="527"/>
      <c r="DJ79" s="324">
        <f t="shared" si="34"/>
        <v>0</v>
      </c>
      <c r="DK79" s="529"/>
      <c r="DL79" s="338"/>
    </row>
    <row r="80" spans="15:116">
      <c r="O80" s="121">
        <v>0</v>
      </c>
      <c r="P80" s="755">
        <f t="shared" si="0"/>
        <v>0</v>
      </c>
      <c r="Q80" s="125">
        <v>0</v>
      </c>
      <c r="R80" s="890">
        <f>IF(O81=0,0,         IF(OR(Currency1="AUD",Currency1="NZD",Currency1="GBP"),O80,   _xll.qDateNext(O80,"-2b",,,IF(Currency1="EUR","TGT","LON"))))</f>
        <v>0</v>
      </c>
      <c r="S80" s="879" t="str">
        <v/>
      </c>
      <c r="T80" s="879" t="str">
        <v/>
      </c>
      <c r="U80" s="879" t="str">
        <v/>
      </c>
      <c r="V80" s="879" t="str">
        <v/>
      </c>
      <c r="W80" s="879" t="str">
        <v/>
      </c>
      <c r="X80" s="879" t="str">
        <v/>
      </c>
      <c r="Y80" s="879" t="str">
        <v/>
      </c>
      <c r="Z80" s="879" t="str">
        <v/>
      </c>
      <c r="AA80" s="882">
        <f>IF($O81=0,0,        _xll.qDateNext($O80,AA$17,$AH$16,TRUE,Currency1))</f>
        <v>0</v>
      </c>
      <c r="AB80" s="882">
        <f>IF($O81=0,0,        _xll.qDateNext($O80,AB$17,$AH$16,TRUE,Currency1))</f>
        <v>0</v>
      </c>
      <c r="AC80" s="882">
        <f>IF($O81=0,0,        _xll.qDateNext($O80,AC$17,$AH$16,TRUE,Currency1))</f>
        <v>0</v>
      </c>
      <c r="AD80" s="882">
        <f>IF($O81=0,0,        _xll.qDateNext($O80,AD$17,$AH$16,TRUE,Currency1))</f>
        <v>0</v>
      </c>
      <c r="AE80" s="882">
        <f>IF($O81=0,0,        _xll.qDateNext($O80,AE$17,$AH$16,TRUE,Currency1))</f>
        <v>0</v>
      </c>
      <c r="AF80" s="882">
        <f>IF($O81=0,0,        _xll.qDateNext($O80,AF$17,$AH$16,TRUE,Currency1))</f>
        <v>0</v>
      </c>
      <c r="AG80" s="882">
        <f>IF($O81=0,0,        _xll.qDateNext($O80,AG$17,$AH$16,TRUE,Currency1))</f>
        <v>0</v>
      </c>
      <c r="AH80" s="882">
        <f>IF($O81=0,0,        _xll.qDateNext($O80,AH$17,$AH$16,TRUE,Currency1))</f>
        <v>0</v>
      </c>
      <c r="AI80" s="886">
        <f>IF($O81=0,0,           IF(FRM,_xll.qGetFwdRate(AI$14,$O80,AA80,"T",DCC_Leg1_Float),_xll.qGetFwdRate(AI$14,$O80,$O81,"T",DCC_Leg1_Float)))</f>
        <v>0</v>
      </c>
      <c r="AJ80" s="886">
        <f>IF($O81=0,0,           IF(FRM,_xll.qGetFwdRate(AJ$14,$O80,AB80,"T",DCC_Leg1_Float),_xll.qGetFwdRate(AJ$14,$O80,$O81,"T",DCC_Leg1_Float)))</f>
        <v>0</v>
      </c>
      <c r="AK80" s="886">
        <f t="shared" si="1"/>
        <v>0</v>
      </c>
      <c r="AL80" s="886">
        <f>IF($O81=0,0,           IF(FRM,_xll.qGetFwdRate(AL$14,$O80,AD80,"T",DCC_Leg1_Float),_xll.qGetFwdRate(AL$14,$O80,$O81,"T",DCC_Leg1_Float)))</f>
        <v>0</v>
      </c>
      <c r="AM80" s="886">
        <f t="shared" si="16"/>
        <v>0</v>
      </c>
      <c r="AN80" s="886">
        <f t="shared" si="17"/>
        <v>0</v>
      </c>
      <c r="AO80" s="886">
        <f>IF($O81=0,0,           IF(FRM,_xll.qGetFwdRate(AO$14,$O80,AG80,"T",DCC_Leg1_Float),_xll.qGetFwdRate(AO$14,$O80,$O81,"T",DCC_Leg1_Float)))</f>
        <v>0</v>
      </c>
      <c r="AP80" s="886">
        <f>IF($O81=0,0,           IF(FRM,_xll.qGetFwdRate(AP$14,$O80,AH80,"T",DCC_Leg1_Float),_xll.qGetFwdRate(AP$14,$O80,$O81,"T",DCC_Leg1_Float)))</f>
        <v>0</v>
      </c>
      <c r="AQ80" s="648">
        <f t="shared" si="18"/>
        <v>0</v>
      </c>
      <c r="AR80" s="648">
        <f t="shared" si="19"/>
        <v>0</v>
      </c>
      <c r="AS80" s="648">
        <f t="shared" si="20"/>
        <v>0</v>
      </c>
      <c r="AT80" s="648">
        <f t="shared" si="21"/>
        <v>0</v>
      </c>
      <c r="AU80" s="648">
        <f t="shared" si="22"/>
        <v>0</v>
      </c>
      <c r="AV80" s="648">
        <f t="shared" si="23"/>
        <v>0</v>
      </c>
      <c r="AW80" s="648">
        <f t="shared" si="24"/>
        <v>0</v>
      </c>
      <c r="AX80" s="648">
        <f t="shared" si="25"/>
        <v>0</v>
      </c>
      <c r="AY80" s="634">
        <v>0</v>
      </c>
      <c r="AZ80" s="616"/>
      <c r="BA80" s="619">
        <f>IF(O81=0,0,             IF(ISNUMBER(AZ80),AZ80,             IF(ISTEXT(AZ80),INDEX(AQ80:AX80,MATCH(AZ80,$AQ$17:$AX$17,0)),           IF(AY80="INT",_xll.qInterp(O81,AA80:AH80,AQ80:AX80),       INDEX(AQ80:AX80,MATCH(AY80,$AQ$17:$AX$17,0))))))</f>
        <v>0</v>
      </c>
      <c r="BB80" s="674">
        <v>100</v>
      </c>
      <c r="BC80" s="666">
        <f t="shared" si="3"/>
        <v>0</v>
      </c>
      <c r="BD80" s="268">
        <f>IF($O81=0,0,                IF(LEFT(DCC_Leg1_Fixed,2)="1/",uEvaluate(DCC_Leg1_Fixed),        _xll.qDateYears($O80,$O81,DCC_Leg1_Fixed)))</f>
        <v>0</v>
      </c>
      <c r="BE80" s="268">
        <f>IF($O81,_xll.qDateYears($O80,$O81,DCC_Leg1_Float),0)</f>
        <v>0</v>
      </c>
      <c r="BG80" s="332">
        <f t="shared" si="26"/>
        <v>0</v>
      </c>
      <c r="BH80" s="357">
        <f t="shared" si="27"/>
        <v>0</v>
      </c>
      <c r="BI80" s="527"/>
      <c r="BK80" s="324">
        <f t="shared" si="33"/>
        <v>0</v>
      </c>
      <c r="BM80" s="338"/>
      <c r="BN80" s="121">
        <v>0</v>
      </c>
      <c r="BO80" s="755">
        <f t="shared" si="4"/>
        <v>0</v>
      </c>
      <c r="BP80" s="339">
        <v>0</v>
      </c>
      <c r="BQ80" s="890">
        <f>IF(BN81=0,0,         IF(OR(Currency2="AUD",Currency1="NZD",Currency2="GBP"),BN80,   _xll.qDateNext(BN80,"-2b",,,IF(Currency2="EUR","TGT","LON"))))</f>
        <v>0</v>
      </c>
      <c r="BR80" s="879" t="str">
        <v/>
      </c>
      <c r="BS80" s="879" t="str">
        <v/>
      </c>
      <c r="BT80" s="879" t="str">
        <v/>
      </c>
      <c r="BU80" s="879" t="str">
        <v/>
      </c>
      <c r="BV80" s="879" t="str">
        <v/>
      </c>
      <c r="BW80" s="879" t="str">
        <v/>
      </c>
      <c r="BX80" s="879" t="str">
        <v/>
      </c>
      <c r="BY80" s="879" t="str">
        <v/>
      </c>
      <c r="BZ80" s="882">
        <f>IF($BN81=0,0,        _xll.qDateNext($BN80,BZ$17,$CG$16,TRUE,Currency2))</f>
        <v>0</v>
      </c>
      <c r="CA80" s="882">
        <f>IF($BN81=0,0,        _xll.qDateNext($BN80,CA$17,$CG$16,TRUE,Currency2))</f>
        <v>0</v>
      </c>
      <c r="CB80" s="882">
        <f>IF($BN81=0,0,        _xll.qDateNext($BN80,CB$17,$CG$16,TRUE,Currency2))</f>
        <v>0</v>
      </c>
      <c r="CC80" s="882">
        <f>IF($BN81=0,0,        _xll.qDateNext($BN80,CC$17,$CG$16,TRUE,Currency2))</f>
        <v>0</v>
      </c>
      <c r="CD80" s="882">
        <f>IF($BN81=0,0,        _xll.qDateNext($BN80,CD$17,$CG$16,TRUE,Currency2))</f>
        <v>0</v>
      </c>
      <c r="CE80" s="882">
        <f>IF($BN81=0,0,        _xll.qDateNext($BN80,CE$17,$CG$16,TRUE,Currency2))</f>
        <v>0</v>
      </c>
      <c r="CF80" s="882">
        <f>IF($BN81=0,0,        _xll.qDateNext($BN80,CF$17,$CG$16,TRUE,Currency2))</f>
        <v>0</v>
      </c>
      <c r="CG80" s="882">
        <f>IF($BN81=0,0,        _xll.qDateNext($BN80,CG$17,$CG$16,TRUE,Currency2))</f>
        <v>0</v>
      </c>
      <c r="CH80" s="886">
        <v>0</v>
      </c>
      <c r="CI80" s="886">
        <v>0</v>
      </c>
      <c r="CJ80" s="886">
        <v>0</v>
      </c>
      <c r="CK80" s="886">
        <v>0</v>
      </c>
      <c r="CL80" s="886">
        <f t="shared" si="5"/>
        <v>0</v>
      </c>
      <c r="CM80" s="886">
        <f t="shared" si="28"/>
        <v>0</v>
      </c>
      <c r="CN80" s="886">
        <v>0</v>
      </c>
      <c r="CO80" s="886">
        <v>0</v>
      </c>
      <c r="CP80" s="648">
        <f t="shared" si="6"/>
        <v>0</v>
      </c>
      <c r="CQ80" s="648">
        <f t="shared" si="7"/>
        <v>0</v>
      </c>
      <c r="CR80" s="648">
        <f t="shared" si="8"/>
        <v>0</v>
      </c>
      <c r="CS80" s="648">
        <f t="shared" si="9"/>
        <v>0</v>
      </c>
      <c r="CT80" s="648">
        <f t="shared" si="10"/>
        <v>0</v>
      </c>
      <c r="CU80" s="648">
        <f t="shared" si="11"/>
        <v>0</v>
      </c>
      <c r="CV80" s="648">
        <f t="shared" si="12"/>
        <v>0</v>
      </c>
      <c r="CW80" s="648">
        <f t="shared" si="13"/>
        <v>0</v>
      </c>
      <c r="CX80" s="634">
        <v>0</v>
      </c>
      <c r="CY80" s="616"/>
      <c r="CZ80" s="619">
        <f>IF(BN81=0,0,             IF(ISNUMBER(CY80),CY80,             IF(ISTEXT(CY80),INDEX(CP80:CW80,MATCH(CY80,$CP$17:$CW$17,0)),           IF(CX80="INT",_xll.qInterp(BN81,BZ80:CG80,CP80:CW80),       INDEX(CP80:CW80,MATCH(CX80,$CP$17:$CW$17,0))))))</f>
        <v>0</v>
      </c>
      <c r="DA80" s="755">
        <f t="shared" si="14"/>
        <v>0</v>
      </c>
      <c r="DB80" s="387">
        <f t="shared" si="15"/>
        <v>0</v>
      </c>
      <c r="DC80" s="268">
        <f>IF($BN81=0,0,         IF(LEFT(DCC_Leg2_Fixed,2)="1/",uEvaluate(DCC_Leg2_Fixed),         _xll.qDateYears($BN80,$BN81,DCC_Leg2_Fixed)))</f>
        <v>0</v>
      </c>
      <c r="DD80" s="268">
        <f>IF($BN81,_xll.qDateYears($BN80,$BN81,DCC_Leg2_Float),0)</f>
        <v>0</v>
      </c>
      <c r="DF80" s="332">
        <f t="shared" si="29"/>
        <v>0</v>
      </c>
      <c r="DG80" s="357">
        <f t="shared" si="30"/>
        <v>0</v>
      </c>
      <c r="DH80" s="527"/>
      <c r="DJ80" s="324">
        <f t="shared" si="34"/>
        <v>0</v>
      </c>
      <c r="DK80" s="529"/>
      <c r="DL80" s="338"/>
    </row>
    <row r="81" spans="15:116">
      <c r="O81" s="121">
        <v>0</v>
      </c>
      <c r="P81" s="755">
        <f t="shared" si="0"/>
        <v>0</v>
      </c>
      <c r="Q81" s="125">
        <v>0</v>
      </c>
      <c r="R81" s="890">
        <f>IF(O82=0,0,         IF(OR(Currency1="AUD",Currency1="NZD",Currency1="GBP"),O81,   _xll.qDateNext(O81,"-2b",,,IF(Currency1="EUR","TGT","LON"))))</f>
        <v>0</v>
      </c>
      <c r="S81" s="879" t="str">
        <v/>
      </c>
      <c r="T81" s="879" t="str">
        <v/>
      </c>
      <c r="U81" s="879" t="str">
        <v/>
      </c>
      <c r="V81" s="879" t="str">
        <v/>
      </c>
      <c r="W81" s="879" t="str">
        <v/>
      </c>
      <c r="X81" s="879" t="str">
        <v/>
      </c>
      <c r="Y81" s="879" t="str">
        <v/>
      </c>
      <c r="Z81" s="879" t="str">
        <v/>
      </c>
      <c r="AA81" s="882">
        <f>IF($O82=0,0,        _xll.qDateNext($O81,AA$17,$AH$16,TRUE,Currency1))</f>
        <v>0</v>
      </c>
      <c r="AB81" s="882">
        <f>IF($O82=0,0,        _xll.qDateNext($O81,AB$17,$AH$16,TRUE,Currency1))</f>
        <v>0</v>
      </c>
      <c r="AC81" s="882">
        <f>IF($O82=0,0,        _xll.qDateNext($O81,AC$17,$AH$16,TRUE,Currency1))</f>
        <v>0</v>
      </c>
      <c r="AD81" s="882">
        <f>IF($O82=0,0,        _xll.qDateNext($O81,AD$17,$AH$16,TRUE,Currency1))</f>
        <v>0</v>
      </c>
      <c r="AE81" s="882">
        <f>IF($O82=0,0,        _xll.qDateNext($O81,AE$17,$AH$16,TRUE,Currency1))</f>
        <v>0</v>
      </c>
      <c r="AF81" s="882">
        <f>IF($O82=0,0,        _xll.qDateNext($O81,AF$17,$AH$16,TRUE,Currency1))</f>
        <v>0</v>
      </c>
      <c r="AG81" s="882">
        <f>IF($O82=0,0,        _xll.qDateNext($O81,AG$17,$AH$16,TRUE,Currency1))</f>
        <v>0</v>
      </c>
      <c r="AH81" s="882">
        <f>IF($O82=0,0,        _xll.qDateNext($O81,AH$17,$AH$16,TRUE,Currency1))</f>
        <v>0</v>
      </c>
      <c r="AI81" s="886">
        <f>IF($O82=0,0,           IF(FRM,_xll.qGetFwdRate(AI$14,$O81,AA81,"T",DCC_Leg1_Float),_xll.qGetFwdRate(AI$14,$O81,$O82,"T",DCC_Leg1_Float)))</f>
        <v>0</v>
      </c>
      <c r="AJ81" s="886">
        <f>IF($O82=0,0,           IF(FRM,_xll.qGetFwdRate(AJ$14,$O81,AB81,"T",DCC_Leg1_Float),_xll.qGetFwdRate(AJ$14,$O81,$O82,"T",DCC_Leg1_Float)))</f>
        <v>0</v>
      </c>
      <c r="AK81" s="886">
        <f t="shared" si="1"/>
        <v>0</v>
      </c>
      <c r="AL81" s="886">
        <f>IF($O82=0,0,           IF(FRM,_xll.qGetFwdRate(AL$14,$O81,AD81,"T",DCC_Leg1_Float),_xll.qGetFwdRate(AL$14,$O81,$O82,"T",DCC_Leg1_Float)))</f>
        <v>0</v>
      </c>
      <c r="AM81" s="886">
        <f t="shared" si="16"/>
        <v>0</v>
      </c>
      <c r="AN81" s="886">
        <f t="shared" si="17"/>
        <v>0</v>
      </c>
      <c r="AO81" s="886">
        <f>IF($O82=0,0,           IF(FRM,_xll.qGetFwdRate(AO$14,$O81,AG81,"T",DCC_Leg1_Float),_xll.qGetFwdRate(AO$14,$O81,$O82,"T",DCC_Leg1_Float)))</f>
        <v>0</v>
      </c>
      <c r="AP81" s="886">
        <f>IF($O82=0,0,           IF(FRM,_xll.qGetFwdRate(AP$14,$O81,AH81,"T",DCC_Leg1_Float),_xll.qGetFwdRate(AP$14,$O81,$O82,"T",DCC_Leg1_Float)))</f>
        <v>0</v>
      </c>
      <c r="AQ81" s="648">
        <f t="shared" si="18"/>
        <v>0</v>
      </c>
      <c r="AR81" s="648">
        <f t="shared" si="19"/>
        <v>0</v>
      </c>
      <c r="AS81" s="648">
        <f t="shared" si="20"/>
        <v>0</v>
      </c>
      <c r="AT81" s="648">
        <f t="shared" si="21"/>
        <v>0</v>
      </c>
      <c r="AU81" s="648">
        <f t="shared" si="22"/>
        <v>0</v>
      </c>
      <c r="AV81" s="648">
        <f t="shared" si="23"/>
        <v>0</v>
      </c>
      <c r="AW81" s="648">
        <f t="shared" si="24"/>
        <v>0</v>
      </c>
      <c r="AX81" s="648">
        <f t="shared" si="25"/>
        <v>0</v>
      </c>
      <c r="AY81" s="634">
        <v>0</v>
      </c>
      <c r="AZ81" s="616"/>
      <c r="BA81" s="619">
        <f>IF(O82=0,0,             IF(ISNUMBER(AZ81),AZ81,             IF(ISTEXT(AZ81),INDEX(AQ81:AX81,MATCH(AZ81,$AQ$17:$AX$17,0)),           IF(AY81="INT",_xll.qInterp(O82,AA81:AH81,AQ81:AX81),       INDEX(AQ81:AX81,MATCH(AY81,$AQ$17:$AX$17,0))))))</f>
        <v>0</v>
      </c>
      <c r="BB81" s="674">
        <v>100</v>
      </c>
      <c r="BC81" s="666">
        <f t="shared" si="3"/>
        <v>0</v>
      </c>
      <c r="BD81" s="268">
        <f>IF($O82=0,0,                IF(LEFT(DCC_Leg1_Fixed,2)="1/",uEvaluate(DCC_Leg1_Fixed),        _xll.qDateYears($O81,$O82,DCC_Leg1_Fixed)))</f>
        <v>0</v>
      </c>
      <c r="BE81" s="268">
        <f>IF($O82,_xll.qDateYears($O81,$O82,DCC_Leg1_Float),0)</f>
        <v>0</v>
      </c>
      <c r="BG81" s="332">
        <f t="shared" si="26"/>
        <v>0</v>
      </c>
      <c r="BH81" s="357">
        <f t="shared" si="27"/>
        <v>0</v>
      </c>
      <c r="BI81" s="527"/>
      <c r="BK81" s="324">
        <f t="shared" si="33"/>
        <v>0</v>
      </c>
      <c r="BM81" s="338"/>
      <c r="BN81" s="121">
        <v>0</v>
      </c>
      <c r="BO81" s="755">
        <f t="shared" si="4"/>
        <v>0</v>
      </c>
      <c r="BP81" s="339">
        <v>0</v>
      </c>
      <c r="BQ81" s="890">
        <f>IF(BN82=0,0,         IF(OR(Currency2="AUD",Currency1="NZD",Currency2="GBP"),BN81,   _xll.qDateNext(BN81,"-2b",,,IF(Currency2="EUR","TGT","LON"))))</f>
        <v>0</v>
      </c>
      <c r="BR81" s="879" t="str">
        <v/>
      </c>
      <c r="BS81" s="879" t="str">
        <v/>
      </c>
      <c r="BT81" s="879" t="str">
        <v/>
      </c>
      <c r="BU81" s="879" t="str">
        <v/>
      </c>
      <c r="BV81" s="879" t="str">
        <v/>
      </c>
      <c r="BW81" s="879" t="str">
        <v/>
      </c>
      <c r="BX81" s="879" t="str">
        <v/>
      </c>
      <c r="BY81" s="879" t="str">
        <v/>
      </c>
      <c r="BZ81" s="882">
        <f>IF($BN82=0,0,        _xll.qDateNext($BN81,BZ$17,$CG$16,TRUE,Currency2))</f>
        <v>0</v>
      </c>
      <c r="CA81" s="882">
        <f>IF($BN82=0,0,        _xll.qDateNext($BN81,CA$17,$CG$16,TRUE,Currency2))</f>
        <v>0</v>
      </c>
      <c r="CB81" s="882">
        <f>IF($BN82=0,0,        _xll.qDateNext($BN81,CB$17,$CG$16,TRUE,Currency2))</f>
        <v>0</v>
      </c>
      <c r="CC81" s="882">
        <f>IF($BN82=0,0,        _xll.qDateNext($BN81,CC$17,$CG$16,TRUE,Currency2))</f>
        <v>0</v>
      </c>
      <c r="CD81" s="882">
        <f>IF($BN82=0,0,        _xll.qDateNext($BN81,CD$17,$CG$16,TRUE,Currency2))</f>
        <v>0</v>
      </c>
      <c r="CE81" s="882">
        <f>IF($BN82=0,0,        _xll.qDateNext($BN81,CE$17,$CG$16,TRUE,Currency2))</f>
        <v>0</v>
      </c>
      <c r="CF81" s="882">
        <f>IF($BN82=0,0,        _xll.qDateNext($BN81,CF$17,$CG$16,TRUE,Currency2))</f>
        <v>0</v>
      </c>
      <c r="CG81" s="882">
        <f>IF($BN82=0,0,        _xll.qDateNext($BN81,CG$17,$CG$16,TRUE,Currency2))</f>
        <v>0</v>
      </c>
      <c r="CH81" s="886">
        <v>0</v>
      </c>
      <c r="CI81" s="886">
        <v>0</v>
      </c>
      <c r="CJ81" s="886">
        <v>0</v>
      </c>
      <c r="CK81" s="886">
        <v>0</v>
      </c>
      <c r="CL81" s="886">
        <f t="shared" si="5"/>
        <v>0</v>
      </c>
      <c r="CM81" s="886">
        <f t="shared" si="28"/>
        <v>0</v>
      </c>
      <c r="CN81" s="886">
        <v>0</v>
      </c>
      <c r="CO81" s="886">
        <v>0</v>
      </c>
      <c r="CP81" s="648">
        <f t="shared" si="6"/>
        <v>0</v>
      </c>
      <c r="CQ81" s="648">
        <f t="shared" si="7"/>
        <v>0</v>
      </c>
      <c r="CR81" s="648">
        <f t="shared" si="8"/>
        <v>0</v>
      </c>
      <c r="CS81" s="648">
        <f t="shared" si="9"/>
        <v>0</v>
      </c>
      <c r="CT81" s="648">
        <f t="shared" si="10"/>
        <v>0</v>
      </c>
      <c r="CU81" s="648">
        <f t="shared" si="11"/>
        <v>0</v>
      </c>
      <c r="CV81" s="648">
        <f t="shared" si="12"/>
        <v>0</v>
      </c>
      <c r="CW81" s="648">
        <f t="shared" si="13"/>
        <v>0</v>
      </c>
      <c r="CX81" s="634">
        <v>0</v>
      </c>
      <c r="CY81" s="616"/>
      <c r="CZ81" s="619">
        <f>IF(BN82=0,0,             IF(ISNUMBER(CY81),CY81,             IF(ISTEXT(CY81),INDEX(CP81:CW81,MATCH(CY81,$CP$17:$CW$17,0)),           IF(CX81="INT",_xll.qInterp(BN82,BZ81:CG81,CP81:CW81),       INDEX(CP81:CW81,MATCH(CX81,$CP$17:$CW$17,0))))))</f>
        <v>0</v>
      </c>
      <c r="DA81" s="755">
        <f t="shared" si="14"/>
        <v>0</v>
      </c>
      <c r="DB81" s="387">
        <f t="shared" si="15"/>
        <v>0</v>
      </c>
      <c r="DC81" s="268">
        <f>IF($BN82=0,0,         IF(LEFT(DCC_Leg2_Fixed,2)="1/",uEvaluate(DCC_Leg2_Fixed),         _xll.qDateYears($BN81,$BN82,DCC_Leg2_Fixed)))</f>
        <v>0</v>
      </c>
      <c r="DD81" s="268">
        <f>IF($BN82,_xll.qDateYears($BN81,$BN82,DCC_Leg2_Float),0)</f>
        <v>0</v>
      </c>
      <c r="DF81" s="332">
        <f t="shared" si="29"/>
        <v>0</v>
      </c>
      <c r="DG81" s="357">
        <f t="shared" si="30"/>
        <v>0</v>
      </c>
      <c r="DH81" s="527"/>
      <c r="DJ81" s="324">
        <f t="shared" si="34"/>
        <v>0</v>
      </c>
      <c r="DK81" s="529"/>
      <c r="DL81" s="338"/>
    </row>
    <row r="82" spans="15:116">
      <c r="O82" s="121">
        <v>0</v>
      </c>
      <c r="P82" s="755">
        <f t="shared" ref="P82:P145" si="35">IF(O83,O83-O82,0)</f>
        <v>0</v>
      </c>
      <c r="Q82" s="125">
        <v>0</v>
      </c>
      <c r="R82" s="890">
        <f>IF(O83=0,0,         IF(OR(Currency1="AUD",Currency1="NZD",Currency1="GBP"),O82,   _xll.qDateNext(O82,"-2b",,,IF(Currency1="EUR","TGT","LON"))))</f>
        <v>0</v>
      </c>
      <c r="S82" s="879" t="str">
        <v/>
      </c>
      <c r="T82" s="879" t="str">
        <v/>
      </c>
      <c r="U82" s="879" t="str">
        <v/>
      </c>
      <c r="V82" s="879" t="str">
        <v/>
      </c>
      <c r="W82" s="879" t="str">
        <v/>
      </c>
      <c r="X82" s="879" t="str">
        <v/>
      </c>
      <c r="Y82" s="879" t="str">
        <v/>
      </c>
      <c r="Z82" s="879" t="str">
        <v/>
      </c>
      <c r="AA82" s="882">
        <f>IF($O83=0,0,        _xll.qDateNext($O82,AA$17,$AH$16,TRUE,Currency1))</f>
        <v>0</v>
      </c>
      <c r="AB82" s="882">
        <f>IF($O83=0,0,        _xll.qDateNext($O82,AB$17,$AH$16,TRUE,Currency1))</f>
        <v>0</v>
      </c>
      <c r="AC82" s="882">
        <f>IF($O83=0,0,        _xll.qDateNext($O82,AC$17,$AH$16,TRUE,Currency1))</f>
        <v>0</v>
      </c>
      <c r="AD82" s="882">
        <f>IF($O83=0,0,        _xll.qDateNext($O82,AD$17,$AH$16,TRUE,Currency1))</f>
        <v>0</v>
      </c>
      <c r="AE82" s="882">
        <f>IF($O83=0,0,        _xll.qDateNext($O82,AE$17,$AH$16,TRUE,Currency1))</f>
        <v>0</v>
      </c>
      <c r="AF82" s="882">
        <f>IF($O83=0,0,        _xll.qDateNext($O82,AF$17,$AH$16,TRUE,Currency1))</f>
        <v>0</v>
      </c>
      <c r="AG82" s="882">
        <f>IF($O83=0,0,        _xll.qDateNext($O82,AG$17,$AH$16,TRUE,Currency1))</f>
        <v>0</v>
      </c>
      <c r="AH82" s="882">
        <f>IF($O83=0,0,        _xll.qDateNext($O82,AH$17,$AH$16,TRUE,Currency1))</f>
        <v>0</v>
      </c>
      <c r="AI82" s="886">
        <f>IF($O83=0,0,           IF(FRM,_xll.qGetFwdRate(AI$14,$O82,AA82,"T",DCC_Leg1_Float),_xll.qGetFwdRate(AI$14,$O82,$O83,"T",DCC_Leg1_Float)))</f>
        <v>0</v>
      </c>
      <c r="AJ82" s="886">
        <f>IF($O83=0,0,           IF(FRM,_xll.qGetFwdRate(AJ$14,$O82,AB82,"T",DCC_Leg1_Float),_xll.qGetFwdRate(AJ$14,$O82,$O83,"T",DCC_Leg1_Float)))</f>
        <v>0</v>
      </c>
      <c r="AK82" s="886">
        <f t="shared" ref="AK82:AK145" si="36">AVERAGE(AJ82,AL82)</f>
        <v>0</v>
      </c>
      <c r="AL82" s="886">
        <f>IF($O83=0,0,           IF(FRM,_xll.qGetFwdRate(AL$14,$O82,AD82,"T",DCC_Leg1_Float),_xll.qGetFwdRate(AL$14,$O82,$O83,"T",DCC_Leg1_Float)))</f>
        <v>0</v>
      </c>
      <c r="AM82" s="886">
        <f t="shared" si="16"/>
        <v>0</v>
      </c>
      <c r="AN82" s="886">
        <f t="shared" si="17"/>
        <v>0</v>
      </c>
      <c r="AO82" s="886">
        <f>IF($O83=0,0,           IF(FRM,_xll.qGetFwdRate(AO$14,$O82,AG82,"T",DCC_Leg1_Float),_xll.qGetFwdRate(AO$14,$O82,$O83,"T",DCC_Leg1_Float)))</f>
        <v>0</v>
      </c>
      <c r="AP82" s="886">
        <f>IF($O83=0,0,           IF(FRM,_xll.qGetFwdRate(AP$14,$O82,AH82,"T",DCC_Leg1_Float),_xll.qGetFwdRate(AP$14,$O82,$O83,"T",DCC_Leg1_Float)))</f>
        <v>0</v>
      </c>
      <c r="AQ82" s="648">
        <f t="shared" si="18"/>
        <v>0</v>
      </c>
      <c r="AR82" s="648">
        <f t="shared" si="19"/>
        <v>0</v>
      </c>
      <c r="AS82" s="648">
        <f t="shared" si="20"/>
        <v>0</v>
      </c>
      <c r="AT82" s="648">
        <f t="shared" si="21"/>
        <v>0</v>
      </c>
      <c r="AU82" s="648">
        <f t="shared" si="22"/>
        <v>0</v>
      </c>
      <c r="AV82" s="648">
        <f t="shared" si="23"/>
        <v>0</v>
      </c>
      <c r="AW82" s="648">
        <f t="shared" si="24"/>
        <v>0</v>
      </c>
      <c r="AX82" s="648">
        <f t="shared" si="25"/>
        <v>0</v>
      </c>
      <c r="AY82" s="634">
        <v>0</v>
      </c>
      <c r="AZ82" s="616"/>
      <c r="BA82" s="619">
        <f>IF(O83=0,0,             IF(ISNUMBER(AZ82),AZ82,             IF(ISTEXT(AZ82),INDEX(AQ82:AX82,MATCH(AZ82,$AQ$17:$AX$17,0)),           IF(AY82="INT",_xll.qInterp(O83,AA82:AH82,AQ82:AX82),       INDEX(AQ82:AX82,MATCH(AY82,$AQ$17:$AX$17,0))))))</f>
        <v>0</v>
      </c>
      <c r="BB82" s="674">
        <v>100</v>
      </c>
      <c r="BC82" s="666">
        <f t="shared" ref="BC82:BC145" si="37">IF(O83,BB82*1000000*$BE$11,0)</f>
        <v>0</v>
      </c>
      <c r="BD82" s="268">
        <f>IF($O83=0,0,                IF(LEFT(DCC_Leg1_Fixed,2)="1/",uEvaluate(DCC_Leg1_Fixed),        _xll.qDateYears($O82,$O83,DCC_Leg1_Fixed)))</f>
        <v>0</v>
      </c>
      <c r="BE82" s="268">
        <f>IF($O83,_xll.qDateYears($O82,$O83,DCC_Leg1_Float),0)</f>
        <v>0</v>
      </c>
      <c r="BG82" s="332">
        <f t="shared" si="26"/>
        <v>0</v>
      </c>
      <c r="BH82" s="357">
        <f t="shared" si="27"/>
        <v>0</v>
      </c>
      <c r="BI82" s="527"/>
      <c r="BK82" s="324">
        <f t="shared" si="33"/>
        <v>0</v>
      </c>
      <c r="BM82" s="338"/>
      <c r="BN82" s="121">
        <v>0</v>
      </c>
      <c r="BO82" s="755">
        <f t="shared" ref="BO82:BO145" si="38">IF(BN83,BN83-BN82,0)</f>
        <v>0</v>
      </c>
      <c r="BP82" s="339">
        <v>0</v>
      </c>
      <c r="BQ82" s="890">
        <f>IF(BN83=0,0,         IF(OR(Currency2="AUD",Currency1="NZD",Currency2="GBP"),BN82,   _xll.qDateNext(BN82,"-2b",,,IF(Currency2="EUR","TGT","LON"))))</f>
        <v>0</v>
      </c>
      <c r="BR82" s="879" t="str">
        <v/>
      </c>
      <c r="BS82" s="879" t="str">
        <v/>
      </c>
      <c r="BT82" s="879" t="str">
        <v/>
      </c>
      <c r="BU82" s="879" t="str">
        <v/>
      </c>
      <c r="BV82" s="879" t="str">
        <v/>
      </c>
      <c r="BW82" s="879" t="str">
        <v/>
      </c>
      <c r="BX82" s="879" t="str">
        <v/>
      </c>
      <c r="BY82" s="879" t="str">
        <v/>
      </c>
      <c r="BZ82" s="882">
        <f>IF($BN83=0,0,        _xll.qDateNext($BN82,BZ$17,$CG$16,TRUE,Currency2))</f>
        <v>0</v>
      </c>
      <c r="CA82" s="882">
        <f>IF($BN83=0,0,        _xll.qDateNext($BN82,CA$17,$CG$16,TRUE,Currency2))</f>
        <v>0</v>
      </c>
      <c r="CB82" s="882">
        <f>IF($BN83=0,0,        _xll.qDateNext($BN82,CB$17,$CG$16,TRUE,Currency2))</f>
        <v>0</v>
      </c>
      <c r="CC82" s="882">
        <f>IF($BN83=0,0,        _xll.qDateNext($BN82,CC$17,$CG$16,TRUE,Currency2))</f>
        <v>0</v>
      </c>
      <c r="CD82" s="882">
        <f>IF($BN83=0,0,        _xll.qDateNext($BN82,CD$17,$CG$16,TRUE,Currency2))</f>
        <v>0</v>
      </c>
      <c r="CE82" s="882">
        <f>IF($BN83=0,0,        _xll.qDateNext($BN82,CE$17,$CG$16,TRUE,Currency2))</f>
        <v>0</v>
      </c>
      <c r="CF82" s="882">
        <f>IF($BN83=0,0,        _xll.qDateNext($BN82,CF$17,$CG$16,TRUE,Currency2))</f>
        <v>0</v>
      </c>
      <c r="CG82" s="882">
        <f>IF($BN83=0,0,        _xll.qDateNext($BN82,CG$17,$CG$16,TRUE,Currency2))</f>
        <v>0</v>
      </c>
      <c r="CH82" s="886">
        <v>0</v>
      </c>
      <c r="CI82" s="886">
        <v>0</v>
      </c>
      <c r="CJ82" s="886">
        <v>0</v>
      </c>
      <c r="CK82" s="886">
        <v>0</v>
      </c>
      <c r="CL82" s="886">
        <f t="shared" si="5"/>
        <v>0</v>
      </c>
      <c r="CM82" s="886">
        <f t="shared" si="28"/>
        <v>0</v>
      </c>
      <c r="CN82" s="886">
        <v>0</v>
      </c>
      <c r="CO82" s="886">
        <v>0</v>
      </c>
      <c r="CP82" s="648">
        <f t="shared" ref="CP82:CP145" si="39">IF($BN82=0,0,      IF(ISNUMBER(BR82),BR82,CH82))</f>
        <v>0</v>
      </c>
      <c r="CQ82" s="648">
        <f t="shared" ref="CQ82:CQ145" si="40">IF($BN82=0,0,      IF(ISNUMBER(BS82),BS82,CI82))</f>
        <v>0</v>
      </c>
      <c r="CR82" s="648">
        <f t="shared" ref="CR82:CR145" si="41">IF($BN82=0,0,      IF(ISNUMBER(BT82),BT82,CJ82))</f>
        <v>0</v>
      </c>
      <c r="CS82" s="648">
        <f t="shared" ref="CS82:CS145" si="42">IF($BN82=0,0,      IF(ISNUMBER(BU82),BU82,CK82))</f>
        <v>0</v>
      </c>
      <c r="CT82" s="648">
        <f t="shared" ref="CT82:CT145" si="43">IF($BN82=0,0,      IF(ISNUMBER(BV82),BV82,CL82))</f>
        <v>0</v>
      </c>
      <c r="CU82" s="648">
        <f t="shared" ref="CU82:CU145" si="44">IF($BN82=0,0,      IF(ISNUMBER(BW82),BW82,CM82))</f>
        <v>0</v>
      </c>
      <c r="CV82" s="648">
        <f t="shared" ref="CV82:CV145" si="45">IF($BN82=0,0,      IF(ISNUMBER(BX82),BX82,CN82))</f>
        <v>0</v>
      </c>
      <c r="CW82" s="648">
        <f t="shared" ref="CW82:CW145" si="46">IF($BN82=0,0,      IF(ISNUMBER(BY82),BY82,CO82))</f>
        <v>0</v>
      </c>
      <c r="CX82" s="634">
        <v>0</v>
      </c>
      <c r="CY82" s="616"/>
      <c r="CZ82" s="619">
        <f>IF(BN83=0,0,             IF(ISNUMBER(CY82),CY82,             IF(ISTEXT(CY82),INDEX(CP82:CW82,MATCH(CY82,$CP$17:$CW$17,0)),           IF(CX82="INT",_xll.qInterp(BN83,BZ82:CG82,CP82:CW82),       INDEX(CP82:CW82,MATCH(CX82,$CP$17:$CW$17,0))))))</f>
        <v>0</v>
      </c>
      <c r="DA82" s="755">
        <f t="shared" ref="DA82:DA145" si="47">IF(BN83,INDEX($BB$18:$BB$516,MATCH(BN82,OFFSET($O$18,0,0,$BE$12,1)))*FaceFX,0)</f>
        <v>0</v>
      </c>
      <c r="DB82" s="387">
        <f t="shared" ref="DB82:DB145" si="48">IF(BN82,DA82*1000000*$DD$11,0)</f>
        <v>0</v>
      </c>
      <c r="DC82" s="268">
        <f>IF($BN83=0,0,         IF(LEFT(DCC_Leg2_Fixed,2)="1/",uEvaluate(DCC_Leg2_Fixed),         _xll.qDateYears($BN82,$BN83,DCC_Leg2_Fixed)))</f>
        <v>0</v>
      </c>
      <c r="DD82" s="268">
        <f>IF($BN83,_xll.qDateYears($BN82,$BN83,DCC_Leg2_Float),0)</f>
        <v>0</v>
      </c>
      <c r="DF82" s="332">
        <f t="shared" si="29"/>
        <v>0</v>
      </c>
      <c r="DG82" s="357">
        <f t="shared" si="30"/>
        <v>0</v>
      </c>
      <c r="DH82" s="527"/>
      <c r="DJ82" s="324">
        <f t="shared" si="34"/>
        <v>0</v>
      </c>
      <c r="DK82" s="529"/>
      <c r="DL82" s="338"/>
    </row>
    <row r="83" spans="15:116">
      <c r="O83" s="121">
        <v>0</v>
      </c>
      <c r="P83" s="755">
        <f t="shared" si="35"/>
        <v>0</v>
      </c>
      <c r="Q83" s="125">
        <v>0</v>
      </c>
      <c r="R83" s="890">
        <f>IF(O84=0,0,         IF(OR(Currency1="AUD",Currency1="NZD",Currency1="GBP"),O83,   _xll.qDateNext(O83,"-2b",,,IF(Currency1="EUR","TGT","LON"))))</f>
        <v>0</v>
      </c>
      <c r="S83" s="879" t="str">
        <v/>
      </c>
      <c r="T83" s="879" t="str">
        <v/>
      </c>
      <c r="U83" s="879" t="str">
        <v/>
      </c>
      <c r="V83" s="879" t="str">
        <v/>
      </c>
      <c r="W83" s="879" t="str">
        <v/>
      </c>
      <c r="X83" s="879" t="str">
        <v/>
      </c>
      <c r="Y83" s="879" t="str">
        <v/>
      </c>
      <c r="Z83" s="879" t="str">
        <v/>
      </c>
      <c r="AA83" s="882">
        <f>IF($O84=0,0,        _xll.qDateNext($O83,AA$17,$AH$16,TRUE,Currency1))</f>
        <v>0</v>
      </c>
      <c r="AB83" s="882">
        <f>IF($O84=0,0,        _xll.qDateNext($O83,AB$17,$AH$16,TRUE,Currency1))</f>
        <v>0</v>
      </c>
      <c r="AC83" s="882">
        <f>IF($O84=0,0,        _xll.qDateNext($O83,AC$17,$AH$16,TRUE,Currency1))</f>
        <v>0</v>
      </c>
      <c r="AD83" s="882">
        <f>IF($O84=0,0,        _xll.qDateNext($O83,AD$17,$AH$16,TRUE,Currency1))</f>
        <v>0</v>
      </c>
      <c r="AE83" s="882">
        <f>IF($O84=0,0,        _xll.qDateNext($O83,AE$17,$AH$16,TRUE,Currency1))</f>
        <v>0</v>
      </c>
      <c r="AF83" s="882">
        <f>IF($O84=0,0,        _xll.qDateNext($O83,AF$17,$AH$16,TRUE,Currency1))</f>
        <v>0</v>
      </c>
      <c r="AG83" s="882">
        <f>IF($O84=0,0,        _xll.qDateNext($O83,AG$17,$AH$16,TRUE,Currency1))</f>
        <v>0</v>
      </c>
      <c r="AH83" s="882">
        <f>IF($O84=0,0,        _xll.qDateNext($O83,AH$17,$AH$16,TRUE,Currency1))</f>
        <v>0</v>
      </c>
      <c r="AI83" s="886">
        <f>IF($O84=0,0,           IF(FRM,_xll.qGetFwdRate(AI$14,$O83,AA83,"T",DCC_Leg1_Float),_xll.qGetFwdRate(AI$14,$O83,$O84,"T",DCC_Leg1_Float)))</f>
        <v>0</v>
      </c>
      <c r="AJ83" s="886">
        <f>IF($O84=0,0,           IF(FRM,_xll.qGetFwdRate(AJ$14,$O83,AB83,"T",DCC_Leg1_Float),_xll.qGetFwdRate(AJ$14,$O83,$O84,"T",DCC_Leg1_Float)))</f>
        <v>0</v>
      </c>
      <c r="AK83" s="886">
        <f t="shared" si="36"/>
        <v>0</v>
      </c>
      <c r="AL83" s="886">
        <f>IF($O84=0,0,           IF(FRM,_xll.qGetFwdRate(AL$14,$O83,AD83,"T",DCC_Leg1_Float),_xll.qGetFwdRate(AL$14,$O83,$O84,"T",DCC_Leg1_Float)))</f>
        <v>0</v>
      </c>
      <c r="AM83" s="886">
        <f t="shared" ref="AM83:AM146" si="49">(AO83-AL83)/3+AL83</f>
        <v>0</v>
      </c>
      <c r="AN83" s="886">
        <f t="shared" ref="AN83:AN146" si="50">AVERAGE(AM83,AO83)</f>
        <v>0</v>
      </c>
      <c r="AO83" s="886">
        <f>IF($O84=0,0,           IF(FRM,_xll.qGetFwdRate(AO$14,$O83,AG83,"T",DCC_Leg1_Float),_xll.qGetFwdRate(AO$14,$O83,$O84,"T",DCC_Leg1_Float)))</f>
        <v>0</v>
      </c>
      <c r="AP83" s="886">
        <f>IF($O84=0,0,           IF(FRM,_xll.qGetFwdRate(AP$14,$O83,AH83,"T",DCC_Leg1_Float),_xll.qGetFwdRate(AP$14,$O83,$O84,"T",DCC_Leg1_Float)))</f>
        <v>0</v>
      </c>
      <c r="AQ83" s="648">
        <f t="shared" ref="AQ83:AQ146" si="51">IF(ISNUMBER(S83),S83,AI83)</f>
        <v>0</v>
      </c>
      <c r="AR83" s="648">
        <f t="shared" ref="AR83:AR146" si="52">IF(ISNUMBER(T83),T83,AJ83)</f>
        <v>0</v>
      </c>
      <c r="AS83" s="648">
        <f t="shared" ref="AS83:AS146" si="53">IF(ISNUMBER(U83),U83,AK83)</f>
        <v>0</v>
      </c>
      <c r="AT83" s="648">
        <f t="shared" ref="AT83:AT146" si="54">IF(ISNUMBER(V83),V83,AL83)</f>
        <v>0</v>
      </c>
      <c r="AU83" s="648">
        <f t="shared" ref="AU83:AU146" si="55">IF(ISNUMBER(W83),W83,AM83)</f>
        <v>0</v>
      </c>
      <c r="AV83" s="648">
        <f t="shared" ref="AV83:AV146" si="56">IF(ISNUMBER(X83),X83,AN83)</f>
        <v>0</v>
      </c>
      <c r="AW83" s="648">
        <f t="shared" ref="AW83:AW146" si="57">IF(ISNUMBER(Y83),Y83,AO83)</f>
        <v>0</v>
      </c>
      <c r="AX83" s="648">
        <f t="shared" ref="AX83:AX146" si="58">IF(ISNUMBER(Z83),Z83,AP83)</f>
        <v>0</v>
      </c>
      <c r="AY83" s="634">
        <v>0</v>
      </c>
      <c r="AZ83" s="616"/>
      <c r="BA83" s="619">
        <f>IF(O84=0,0,             IF(ISNUMBER(AZ83),AZ83,             IF(ISTEXT(AZ83),INDEX(AQ83:AX83,MATCH(AZ83,$AQ$17:$AX$17,0)),           IF(AY83="INT",_xll.qInterp(O84,AA83:AH83,AQ83:AX83),       INDEX(AQ83:AX83,MATCH(AY83,$AQ$17:$AX$17,0))))))</f>
        <v>0</v>
      </c>
      <c r="BB83" s="674">
        <v>100</v>
      </c>
      <c r="BC83" s="666">
        <f t="shared" si="37"/>
        <v>0</v>
      </c>
      <c r="BD83" s="268">
        <f>IF($O84=0,0,                IF(LEFT(DCC_Leg1_Fixed,2)="1/",uEvaluate(DCC_Leg1_Fixed),        _xll.qDateYears($O83,$O84,DCC_Leg1_Fixed)))</f>
        <v>0</v>
      </c>
      <c r="BE83" s="268">
        <f>IF($O84,_xll.qDateYears($O83,$O84,DCC_Leg1_Float),0)</f>
        <v>0</v>
      </c>
      <c r="BG83" s="332">
        <f t="shared" ref="BG83:BG146" si="59">IF(Principal1?,$BC82-$BC83,       0)</f>
        <v>0</v>
      </c>
      <c r="BH83" s="357">
        <f t="shared" ref="BH83:BH146" si="60">IF(GenType_1a="Fixed",GenRate_1a%*$BC82*BD82,          IF(GenType_1a="Float",$BC82*(BA82%+GenRate_1a%%)*$BE82,        IF(GenType_1a="bp (Fixed)",GenRate_1a%%*$BD82*$BC82,   IF(GenType_1a="bp (Float)",GenRate_1a%%*$BC82*$BE82,0))))</f>
        <v>0</v>
      </c>
      <c r="BI83" s="527"/>
      <c r="BK83" s="324">
        <f t="shared" si="33"/>
        <v>0</v>
      </c>
      <c r="BM83" s="338"/>
      <c r="BN83" s="121">
        <v>0</v>
      </c>
      <c r="BO83" s="755">
        <f t="shared" si="38"/>
        <v>0</v>
      </c>
      <c r="BP83" s="339">
        <v>0</v>
      </c>
      <c r="BQ83" s="890">
        <f>IF(BN84=0,0,         IF(OR(Currency2="AUD",Currency1="NZD",Currency2="GBP"),BN83,   _xll.qDateNext(BN83,"-2b",,,IF(Currency2="EUR","TGT","LON"))))</f>
        <v>0</v>
      </c>
      <c r="BR83" s="879" t="str">
        <v/>
      </c>
      <c r="BS83" s="879" t="str">
        <v/>
      </c>
      <c r="BT83" s="879" t="str">
        <v/>
      </c>
      <c r="BU83" s="879" t="str">
        <v/>
      </c>
      <c r="BV83" s="879" t="str">
        <v/>
      </c>
      <c r="BW83" s="879" t="str">
        <v/>
      </c>
      <c r="BX83" s="879" t="str">
        <v/>
      </c>
      <c r="BY83" s="879" t="str">
        <v/>
      </c>
      <c r="BZ83" s="882">
        <f>IF($BN84=0,0,        _xll.qDateNext($BN83,BZ$17,$CG$16,TRUE,Currency2))</f>
        <v>0</v>
      </c>
      <c r="CA83" s="882">
        <f>IF($BN84=0,0,        _xll.qDateNext($BN83,CA$17,$CG$16,TRUE,Currency2))</f>
        <v>0</v>
      </c>
      <c r="CB83" s="882">
        <f>IF($BN84=0,0,        _xll.qDateNext($BN83,CB$17,$CG$16,TRUE,Currency2))</f>
        <v>0</v>
      </c>
      <c r="CC83" s="882">
        <f>IF($BN84=0,0,        _xll.qDateNext($BN83,CC$17,$CG$16,TRUE,Currency2))</f>
        <v>0</v>
      </c>
      <c r="CD83" s="882">
        <f>IF($BN84=0,0,        _xll.qDateNext($BN83,CD$17,$CG$16,TRUE,Currency2))</f>
        <v>0</v>
      </c>
      <c r="CE83" s="882">
        <f>IF($BN84=0,0,        _xll.qDateNext($BN83,CE$17,$CG$16,TRUE,Currency2))</f>
        <v>0</v>
      </c>
      <c r="CF83" s="882">
        <f>IF($BN84=0,0,        _xll.qDateNext($BN83,CF$17,$CG$16,TRUE,Currency2))</f>
        <v>0</v>
      </c>
      <c r="CG83" s="882">
        <f>IF($BN84=0,0,        _xll.qDateNext($BN83,CG$17,$CG$16,TRUE,Currency2))</f>
        <v>0</v>
      </c>
      <c r="CH83" s="886">
        <v>0</v>
      </c>
      <c r="CI83" s="886">
        <v>0</v>
      </c>
      <c r="CJ83" s="886">
        <v>0</v>
      </c>
      <c r="CK83" s="886">
        <v>0</v>
      </c>
      <c r="CL83" s="886">
        <f t="shared" ref="CL83:CL146" si="61">(CN83-CK83)/3+CK83</f>
        <v>0</v>
      </c>
      <c r="CM83" s="886">
        <f t="shared" ref="CM83:CM146" si="62">AVERAGE(CL83,CN83)</f>
        <v>0</v>
      </c>
      <c r="CN83" s="886">
        <v>0</v>
      </c>
      <c r="CO83" s="886">
        <v>0</v>
      </c>
      <c r="CP83" s="648">
        <f t="shared" si="39"/>
        <v>0</v>
      </c>
      <c r="CQ83" s="648">
        <f t="shared" si="40"/>
        <v>0</v>
      </c>
      <c r="CR83" s="648">
        <f t="shared" si="41"/>
        <v>0</v>
      </c>
      <c r="CS83" s="648">
        <f t="shared" si="42"/>
        <v>0</v>
      </c>
      <c r="CT83" s="648">
        <f t="shared" si="43"/>
        <v>0</v>
      </c>
      <c r="CU83" s="648">
        <f t="shared" si="44"/>
        <v>0</v>
      </c>
      <c r="CV83" s="648">
        <f t="shared" si="45"/>
        <v>0</v>
      </c>
      <c r="CW83" s="648">
        <f t="shared" si="46"/>
        <v>0</v>
      </c>
      <c r="CX83" s="634">
        <v>0</v>
      </c>
      <c r="CY83" s="616"/>
      <c r="CZ83" s="619">
        <f>IF(BN84=0,0,             IF(ISNUMBER(CY83),CY83,             IF(ISTEXT(CY83),INDEX(CP83:CW83,MATCH(CY83,$CP$17:$CW$17,0)),           IF(CX83="INT",_xll.qInterp(BN84,BZ83:CG83,CP83:CW83),       INDEX(CP83:CW83,MATCH(CX83,$CP$17:$CW$17,0))))))</f>
        <v>0</v>
      </c>
      <c r="DA83" s="755">
        <f t="shared" si="47"/>
        <v>0</v>
      </c>
      <c r="DB83" s="387">
        <f t="shared" si="48"/>
        <v>0</v>
      </c>
      <c r="DC83" s="268">
        <f>IF($BN84=0,0,         IF(LEFT(DCC_Leg2_Fixed,2)="1/",uEvaluate(DCC_Leg2_Fixed),         _xll.qDateYears($BN83,$BN84,DCC_Leg2_Fixed)))</f>
        <v>0</v>
      </c>
      <c r="DD83" s="268">
        <f>IF($BN84,_xll.qDateYears($BN83,$BN84,DCC_Leg2_Float),0)</f>
        <v>0</v>
      </c>
      <c r="DF83" s="332">
        <f t="shared" ref="DF83:DF146" si="63">IF(Principal2?,$DB82-$DB83,       0)</f>
        <v>0</v>
      </c>
      <c r="DG83" s="357">
        <f t="shared" ref="DG83:DG146" si="64">IF(GenType_2a="Fixed",GenRate_2a%*$DB82*DC82,          IF(GenType_2a="Float",$DB82*(CZ82%+GenRate_2a%%)*$DD82,        IF(GenType_2a="bp (Fixed)",GenRate_2a%%*$DC82*$DB82,   IF(GenType_2a="bp (Float)",GenRate_2a%%*$DB82*$DD82,0))))</f>
        <v>0</v>
      </c>
      <c r="DH83" s="527"/>
      <c r="DJ83" s="324">
        <f t="shared" si="34"/>
        <v>0</v>
      </c>
      <c r="DK83" s="529"/>
      <c r="DL83" s="338"/>
    </row>
    <row r="84" spans="15:116">
      <c r="O84" s="121">
        <v>0</v>
      </c>
      <c r="P84" s="755">
        <f t="shared" si="35"/>
        <v>0</v>
      </c>
      <c r="Q84" s="125">
        <v>0</v>
      </c>
      <c r="R84" s="890">
        <f>IF(O85=0,0,         IF(OR(Currency1="AUD",Currency1="NZD",Currency1="GBP"),O84,   _xll.qDateNext(O84,"-2b",,,IF(Currency1="EUR","TGT","LON"))))</f>
        <v>0</v>
      </c>
      <c r="S84" s="879" t="str">
        <v/>
      </c>
      <c r="T84" s="879" t="str">
        <v/>
      </c>
      <c r="U84" s="879" t="str">
        <v/>
      </c>
      <c r="V84" s="879" t="str">
        <v/>
      </c>
      <c r="W84" s="879" t="str">
        <v/>
      </c>
      <c r="X84" s="879" t="str">
        <v/>
      </c>
      <c r="Y84" s="879" t="str">
        <v/>
      </c>
      <c r="Z84" s="879" t="str">
        <v/>
      </c>
      <c r="AA84" s="882">
        <f>IF($O85=0,0,        _xll.qDateNext($O84,AA$17,$AH$16,TRUE,Currency1))</f>
        <v>0</v>
      </c>
      <c r="AB84" s="882">
        <f>IF($O85=0,0,        _xll.qDateNext($O84,AB$17,$AH$16,TRUE,Currency1))</f>
        <v>0</v>
      </c>
      <c r="AC84" s="882">
        <f>IF($O85=0,0,        _xll.qDateNext($O84,AC$17,$AH$16,TRUE,Currency1))</f>
        <v>0</v>
      </c>
      <c r="AD84" s="882">
        <f>IF($O85=0,0,        _xll.qDateNext($O84,AD$17,$AH$16,TRUE,Currency1))</f>
        <v>0</v>
      </c>
      <c r="AE84" s="882">
        <f>IF($O85=0,0,        _xll.qDateNext($O84,AE$17,$AH$16,TRUE,Currency1))</f>
        <v>0</v>
      </c>
      <c r="AF84" s="882">
        <f>IF($O85=0,0,        _xll.qDateNext($O84,AF$17,$AH$16,TRUE,Currency1))</f>
        <v>0</v>
      </c>
      <c r="AG84" s="882">
        <f>IF($O85=0,0,        _xll.qDateNext($O84,AG$17,$AH$16,TRUE,Currency1))</f>
        <v>0</v>
      </c>
      <c r="AH84" s="882">
        <f>IF($O85=0,0,        _xll.qDateNext($O84,AH$17,$AH$16,TRUE,Currency1))</f>
        <v>0</v>
      </c>
      <c r="AI84" s="886">
        <f>IF($O85=0,0,           IF(FRM,_xll.qGetFwdRate(AI$14,$O84,AA84,"T",DCC_Leg1_Float),_xll.qGetFwdRate(AI$14,$O84,$O85,"T",DCC_Leg1_Float)))</f>
        <v>0</v>
      </c>
      <c r="AJ84" s="886">
        <f>IF($O85=0,0,           IF(FRM,_xll.qGetFwdRate(AJ$14,$O84,AB84,"T",DCC_Leg1_Float),_xll.qGetFwdRate(AJ$14,$O84,$O85,"T",DCC_Leg1_Float)))</f>
        <v>0</v>
      </c>
      <c r="AK84" s="886">
        <f t="shared" si="36"/>
        <v>0</v>
      </c>
      <c r="AL84" s="886">
        <f>IF($O85=0,0,           IF(FRM,_xll.qGetFwdRate(AL$14,$O84,AD84,"T",DCC_Leg1_Float),_xll.qGetFwdRate(AL$14,$O84,$O85,"T",DCC_Leg1_Float)))</f>
        <v>0</v>
      </c>
      <c r="AM84" s="886">
        <f t="shared" si="49"/>
        <v>0</v>
      </c>
      <c r="AN84" s="886">
        <f t="shared" si="50"/>
        <v>0</v>
      </c>
      <c r="AO84" s="886">
        <f>IF($O85=0,0,           IF(FRM,_xll.qGetFwdRate(AO$14,$O84,AG84,"T",DCC_Leg1_Float),_xll.qGetFwdRate(AO$14,$O84,$O85,"T",DCC_Leg1_Float)))</f>
        <v>0</v>
      </c>
      <c r="AP84" s="886">
        <f>IF($O85=0,0,           IF(FRM,_xll.qGetFwdRate(AP$14,$O84,AH84,"T",DCC_Leg1_Float),_xll.qGetFwdRate(AP$14,$O84,$O85,"T",DCC_Leg1_Float)))</f>
        <v>0</v>
      </c>
      <c r="AQ84" s="648">
        <f t="shared" si="51"/>
        <v>0</v>
      </c>
      <c r="AR84" s="648">
        <f t="shared" si="52"/>
        <v>0</v>
      </c>
      <c r="AS84" s="648">
        <f t="shared" si="53"/>
        <v>0</v>
      </c>
      <c r="AT84" s="648">
        <f t="shared" si="54"/>
        <v>0</v>
      </c>
      <c r="AU84" s="648">
        <f t="shared" si="55"/>
        <v>0</v>
      </c>
      <c r="AV84" s="648">
        <f t="shared" si="56"/>
        <v>0</v>
      </c>
      <c r="AW84" s="648">
        <f t="shared" si="57"/>
        <v>0</v>
      </c>
      <c r="AX84" s="648">
        <f t="shared" si="58"/>
        <v>0</v>
      </c>
      <c r="AY84" s="634">
        <v>0</v>
      </c>
      <c r="AZ84" s="616"/>
      <c r="BA84" s="619">
        <f>IF(O85=0,0,             IF(ISNUMBER(AZ84),AZ84,             IF(ISTEXT(AZ84),INDEX(AQ84:AX84,MATCH(AZ84,$AQ$17:$AX$17,0)),           IF(AY84="INT",_xll.qInterp(O85,AA84:AH84,AQ84:AX84),       INDEX(AQ84:AX84,MATCH(AY84,$AQ$17:$AX$17,0))))))</f>
        <v>0</v>
      </c>
      <c r="BB84" s="674">
        <v>100</v>
      </c>
      <c r="BC84" s="666">
        <f t="shared" si="37"/>
        <v>0</v>
      </c>
      <c r="BD84" s="268">
        <f>IF($O85=0,0,                IF(LEFT(DCC_Leg1_Fixed,2)="1/",uEvaluate(DCC_Leg1_Fixed),        _xll.qDateYears($O84,$O85,DCC_Leg1_Fixed)))</f>
        <v>0</v>
      </c>
      <c r="BE84" s="268">
        <f>IF($O85,_xll.qDateYears($O84,$O85,DCC_Leg1_Float),0)</f>
        <v>0</v>
      </c>
      <c r="BG84" s="332">
        <f t="shared" si="59"/>
        <v>0</v>
      </c>
      <c r="BH84" s="357">
        <f t="shared" si="60"/>
        <v>0</v>
      </c>
      <c r="BI84" s="527"/>
      <c r="BK84" s="324">
        <f t="shared" si="33"/>
        <v>0</v>
      </c>
      <c r="BM84" s="338"/>
      <c r="BN84" s="121">
        <v>0</v>
      </c>
      <c r="BO84" s="755">
        <f t="shared" si="38"/>
        <v>0</v>
      </c>
      <c r="BP84" s="339">
        <v>0</v>
      </c>
      <c r="BQ84" s="890">
        <f>IF(BN85=0,0,         IF(OR(Currency2="AUD",Currency1="NZD",Currency2="GBP"),BN84,   _xll.qDateNext(BN84,"-2b",,,IF(Currency2="EUR","TGT","LON"))))</f>
        <v>0</v>
      </c>
      <c r="BR84" s="879" t="str">
        <v/>
      </c>
      <c r="BS84" s="879" t="str">
        <v/>
      </c>
      <c r="BT84" s="879" t="str">
        <v/>
      </c>
      <c r="BU84" s="879" t="str">
        <v/>
      </c>
      <c r="BV84" s="879" t="str">
        <v/>
      </c>
      <c r="BW84" s="879" t="str">
        <v/>
      </c>
      <c r="BX84" s="879" t="str">
        <v/>
      </c>
      <c r="BY84" s="879" t="str">
        <v/>
      </c>
      <c r="BZ84" s="882">
        <f>IF($BN85=0,0,        _xll.qDateNext($BN84,BZ$17,$CG$16,TRUE,Currency2))</f>
        <v>0</v>
      </c>
      <c r="CA84" s="882">
        <f>IF($BN85=0,0,        _xll.qDateNext($BN84,CA$17,$CG$16,TRUE,Currency2))</f>
        <v>0</v>
      </c>
      <c r="CB84" s="882">
        <f>IF($BN85=0,0,        _xll.qDateNext($BN84,CB$17,$CG$16,TRUE,Currency2))</f>
        <v>0</v>
      </c>
      <c r="CC84" s="882">
        <f>IF($BN85=0,0,        _xll.qDateNext($BN84,CC$17,$CG$16,TRUE,Currency2))</f>
        <v>0</v>
      </c>
      <c r="CD84" s="882">
        <f>IF($BN85=0,0,        _xll.qDateNext($BN84,CD$17,$CG$16,TRUE,Currency2))</f>
        <v>0</v>
      </c>
      <c r="CE84" s="882">
        <f>IF($BN85=0,0,        _xll.qDateNext($BN84,CE$17,$CG$16,TRUE,Currency2))</f>
        <v>0</v>
      </c>
      <c r="CF84" s="882">
        <f>IF($BN85=0,0,        _xll.qDateNext($BN84,CF$17,$CG$16,TRUE,Currency2))</f>
        <v>0</v>
      </c>
      <c r="CG84" s="882">
        <f>IF($BN85=0,0,        _xll.qDateNext($BN84,CG$17,$CG$16,TRUE,Currency2))</f>
        <v>0</v>
      </c>
      <c r="CH84" s="886">
        <v>0</v>
      </c>
      <c r="CI84" s="886">
        <v>0</v>
      </c>
      <c r="CJ84" s="886">
        <v>0</v>
      </c>
      <c r="CK84" s="886">
        <v>0</v>
      </c>
      <c r="CL84" s="886">
        <f t="shared" si="61"/>
        <v>0</v>
      </c>
      <c r="CM84" s="886">
        <f t="shared" si="62"/>
        <v>0</v>
      </c>
      <c r="CN84" s="886">
        <v>0</v>
      </c>
      <c r="CO84" s="886">
        <v>0</v>
      </c>
      <c r="CP84" s="648">
        <f t="shared" si="39"/>
        <v>0</v>
      </c>
      <c r="CQ84" s="648">
        <f t="shared" si="40"/>
        <v>0</v>
      </c>
      <c r="CR84" s="648">
        <f t="shared" si="41"/>
        <v>0</v>
      </c>
      <c r="CS84" s="648">
        <f t="shared" si="42"/>
        <v>0</v>
      </c>
      <c r="CT84" s="648">
        <f t="shared" si="43"/>
        <v>0</v>
      </c>
      <c r="CU84" s="648">
        <f t="shared" si="44"/>
        <v>0</v>
      </c>
      <c r="CV84" s="648">
        <f t="shared" si="45"/>
        <v>0</v>
      </c>
      <c r="CW84" s="648">
        <f t="shared" si="46"/>
        <v>0</v>
      </c>
      <c r="CX84" s="634">
        <v>0</v>
      </c>
      <c r="CY84" s="616"/>
      <c r="CZ84" s="619">
        <f>IF(BN85=0,0,             IF(ISNUMBER(CY84),CY84,             IF(ISTEXT(CY84),INDEX(CP84:CW84,MATCH(CY84,$CP$17:$CW$17,0)),           IF(CX84="INT",_xll.qInterp(BN85,BZ84:CG84,CP84:CW84),       INDEX(CP84:CW84,MATCH(CX84,$CP$17:$CW$17,0))))))</f>
        <v>0</v>
      </c>
      <c r="DA84" s="755">
        <f t="shared" si="47"/>
        <v>0</v>
      </c>
      <c r="DB84" s="387">
        <f t="shared" si="48"/>
        <v>0</v>
      </c>
      <c r="DC84" s="268">
        <f>IF($BN85=0,0,         IF(LEFT(DCC_Leg2_Fixed,2)="1/",uEvaluate(DCC_Leg2_Fixed),         _xll.qDateYears($BN84,$BN85,DCC_Leg2_Fixed)))</f>
        <v>0</v>
      </c>
      <c r="DD84" s="268">
        <f>IF($BN85,_xll.qDateYears($BN84,$BN85,DCC_Leg2_Float),0)</f>
        <v>0</v>
      </c>
      <c r="DF84" s="332">
        <f t="shared" si="63"/>
        <v>0</v>
      </c>
      <c r="DG84" s="357">
        <f t="shared" si="64"/>
        <v>0</v>
      </c>
      <c r="DH84" s="527"/>
      <c r="DJ84" s="324">
        <f t="shared" si="34"/>
        <v>0</v>
      </c>
      <c r="DK84" s="529"/>
      <c r="DL84" s="338"/>
    </row>
    <row r="85" spans="15:116">
      <c r="O85" s="121">
        <v>0</v>
      </c>
      <c r="P85" s="755">
        <f t="shared" si="35"/>
        <v>0</v>
      </c>
      <c r="Q85" s="125">
        <v>0</v>
      </c>
      <c r="R85" s="890">
        <f>IF(O86=0,0,         IF(OR(Currency1="AUD",Currency1="NZD",Currency1="GBP"),O85,   _xll.qDateNext(O85,"-2b",,,IF(Currency1="EUR","TGT","LON"))))</f>
        <v>0</v>
      </c>
      <c r="S85" s="879" t="str">
        <v/>
      </c>
      <c r="T85" s="879" t="str">
        <v/>
      </c>
      <c r="U85" s="879" t="str">
        <v/>
      </c>
      <c r="V85" s="879" t="str">
        <v/>
      </c>
      <c r="W85" s="879" t="str">
        <v/>
      </c>
      <c r="X85" s="879" t="str">
        <v/>
      </c>
      <c r="Y85" s="879" t="str">
        <v/>
      </c>
      <c r="Z85" s="879" t="str">
        <v/>
      </c>
      <c r="AA85" s="882">
        <f>IF($O86=0,0,        _xll.qDateNext($O85,AA$17,$AH$16,TRUE,Currency1))</f>
        <v>0</v>
      </c>
      <c r="AB85" s="882">
        <f>IF($O86=0,0,        _xll.qDateNext($O85,AB$17,$AH$16,TRUE,Currency1))</f>
        <v>0</v>
      </c>
      <c r="AC85" s="882">
        <f>IF($O86=0,0,        _xll.qDateNext($O85,AC$17,$AH$16,TRUE,Currency1))</f>
        <v>0</v>
      </c>
      <c r="AD85" s="882">
        <f>IF($O86=0,0,        _xll.qDateNext($O85,AD$17,$AH$16,TRUE,Currency1))</f>
        <v>0</v>
      </c>
      <c r="AE85" s="882">
        <f>IF($O86=0,0,        _xll.qDateNext($O85,AE$17,$AH$16,TRUE,Currency1))</f>
        <v>0</v>
      </c>
      <c r="AF85" s="882">
        <f>IF($O86=0,0,        _xll.qDateNext($O85,AF$17,$AH$16,TRUE,Currency1))</f>
        <v>0</v>
      </c>
      <c r="AG85" s="882">
        <f>IF($O86=0,0,        _xll.qDateNext($O85,AG$17,$AH$16,TRUE,Currency1))</f>
        <v>0</v>
      </c>
      <c r="AH85" s="882">
        <f>IF($O86=0,0,        _xll.qDateNext($O85,AH$17,$AH$16,TRUE,Currency1))</f>
        <v>0</v>
      </c>
      <c r="AI85" s="886">
        <f>IF($O86=0,0,           IF(FRM,_xll.qGetFwdRate(AI$14,$O85,AA85,"T",DCC_Leg1_Float),_xll.qGetFwdRate(AI$14,$O85,$O86,"T",DCC_Leg1_Float)))</f>
        <v>0</v>
      </c>
      <c r="AJ85" s="886">
        <f>IF($O86=0,0,           IF(FRM,_xll.qGetFwdRate(AJ$14,$O85,AB85,"T",DCC_Leg1_Float),_xll.qGetFwdRate(AJ$14,$O85,$O86,"T",DCC_Leg1_Float)))</f>
        <v>0</v>
      </c>
      <c r="AK85" s="886">
        <f t="shared" si="36"/>
        <v>0</v>
      </c>
      <c r="AL85" s="886">
        <f>IF($O86=0,0,           IF(FRM,_xll.qGetFwdRate(AL$14,$O85,AD85,"T",DCC_Leg1_Float),_xll.qGetFwdRate(AL$14,$O85,$O86,"T",DCC_Leg1_Float)))</f>
        <v>0</v>
      </c>
      <c r="AM85" s="886">
        <f t="shared" si="49"/>
        <v>0</v>
      </c>
      <c r="AN85" s="886">
        <f t="shared" si="50"/>
        <v>0</v>
      </c>
      <c r="AO85" s="886">
        <f>IF($O86=0,0,           IF(FRM,_xll.qGetFwdRate(AO$14,$O85,AG85,"T",DCC_Leg1_Float),_xll.qGetFwdRate(AO$14,$O85,$O86,"T",DCC_Leg1_Float)))</f>
        <v>0</v>
      </c>
      <c r="AP85" s="886">
        <f>IF($O86=0,0,           IF(FRM,_xll.qGetFwdRate(AP$14,$O85,AH85,"T",DCC_Leg1_Float),_xll.qGetFwdRate(AP$14,$O85,$O86,"T",DCC_Leg1_Float)))</f>
        <v>0</v>
      </c>
      <c r="AQ85" s="648">
        <f t="shared" si="51"/>
        <v>0</v>
      </c>
      <c r="AR85" s="648">
        <f t="shared" si="52"/>
        <v>0</v>
      </c>
      <c r="AS85" s="648">
        <f t="shared" si="53"/>
        <v>0</v>
      </c>
      <c r="AT85" s="648">
        <f t="shared" si="54"/>
        <v>0</v>
      </c>
      <c r="AU85" s="648">
        <f t="shared" si="55"/>
        <v>0</v>
      </c>
      <c r="AV85" s="648">
        <f t="shared" si="56"/>
        <v>0</v>
      </c>
      <c r="AW85" s="648">
        <f t="shared" si="57"/>
        <v>0</v>
      </c>
      <c r="AX85" s="648">
        <f t="shared" si="58"/>
        <v>0</v>
      </c>
      <c r="AY85" s="634">
        <v>0</v>
      </c>
      <c r="AZ85" s="616"/>
      <c r="BA85" s="619">
        <f>IF(O86=0,0,             IF(ISNUMBER(AZ85),AZ85,             IF(ISTEXT(AZ85),INDEX(AQ85:AX85,MATCH(AZ85,$AQ$17:$AX$17,0)),           IF(AY85="INT",_xll.qInterp(O86,AA85:AH85,AQ85:AX85),       INDEX(AQ85:AX85,MATCH(AY85,$AQ$17:$AX$17,0))))))</f>
        <v>0</v>
      </c>
      <c r="BB85" s="674">
        <v>100</v>
      </c>
      <c r="BC85" s="666">
        <f t="shared" si="37"/>
        <v>0</v>
      </c>
      <c r="BD85" s="268">
        <f>IF($O86=0,0,                IF(LEFT(DCC_Leg1_Fixed,2)="1/",uEvaluate(DCC_Leg1_Fixed),        _xll.qDateYears($O85,$O86,DCC_Leg1_Fixed)))</f>
        <v>0</v>
      </c>
      <c r="BE85" s="268">
        <f>IF($O86,_xll.qDateYears($O85,$O86,DCC_Leg1_Float),0)</f>
        <v>0</v>
      </c>
      <c r="BG85" s="332">
        <f t="shared" si="59"/>
        <v>0</v>
      </c>
      <c r="BH85" s="357">
        <f t="shared" si="60"/>
        <v>0</v>
      </c>
      <c r="BI85" s="527"/>
      <c r="BK85" s="324">
        <f t="shared" si="33"/>
        <v>0</v>
      </c>
      <c r="BM85" s="338"/>
      <c r="BN85" s="121">
        <v>0</v>
      </c>
      <c r="BO85" s="755">
        <f t="shared" si="38"/>
        <v>0</v>
      </c>
      <c r="BP85" s="339">
        <v>0</v>
      </c>
      <c r="BQ85" s="890">
        <f>IF(BN86=0,0,         IF(OR(Currency2="AUD",Currency1="NZD",Currency2="GBP"),BN85,   _xll.qDateNext(BN85,"-2b",,,IF(Currency2="EUR","TGT","LON"))))</f>
        <v>0</v>
      </c>
      <c r="BR85" s="879" t="str">
        <v/>
      </c>
      <c r="BS85" s="879" t="str">
        <v/>
      </c>
      <c r="BT85" s="879" t="str">
        <v/>
      </c>
      <c r="BU85" s="879" t="str">
        <v/>
      </c>
      <c r="BV85" s="879" t="str">
        <v/>
      </c>
      <c r="BW85" s="879" t="str">
        <v/>
      </c>
      <c r="BX85" s="879" t="str">
        <v/>
      </c>
      <c r="BY85" s="879" t="str">
        <v/>
      </c>
      <c r="BZ85" s="882">
        <f>IF($BN86=0,0,        _xll.qDateNext($BN85,BZ$17,$CG$16,TRUE,Currency2))</f>
        <v>0</v>
      </c>
      <c r="CA85" s="882">
        <f>IF($BN86=0,0,        _xll.qDateNext($BN85,CA$17,$CG$16,TRUE,Currency2))</f>
        <v>0</v>
      </c>
      <c r="CB85" s="882">
        <f>IF($BN86=0,0,        _xll.qDateNext($BN85,CB$17,$CG$16,TRUE,Currency2))</f>
        <v>0</v>
      </c>
      <c r="CC85" s="882">
        <f>IF($BN86=0,0,        _xll.qDateNext($BN85,CC$17,$CG$16,TRUE,Currency2))</f>
        <v>0</v>
      </c>
      <c r="CD85" s="882">
        <f>IF($BN86=0,0,        _xll.qDateNext($BN85,CD$17,$CG$16,TRUE,Currency2))</f>
        <v>0</v>
      </c>
      <c r="CE85" s="882">
        <f>IF($BN86=0,0,        _xll.qDateNext($BN85,CE$17,$CG$16,TRUE,Currency2))</f>
        <v>0</v>
      </c>
      <c r="CF85" s="882">
        <f>IF($BN86=0,0,        _xll.qDateNext($BN85,CF$17,$CG$16,TRUE,Currency2))</f>
        <v>0</v>
      </c>
      <c r="CG85" s="882">
        <f>IF($BN86=0,0,        _xll.qDateNext($BN85,CG$17,$CG$16,TRUE,Currency2))</f>
        <v>0</v>
      </c>
      <c r="CH85" s="886">
        <v>0</v>
      </c>
      <c r="CI85" s="886">
        <v>0</v>
      </c>
      <c r="CJ85" s="886">
        <v>0</v>
      </c>
      <c r="CK85" s="886">
        <v>0</v>
      </c>
      <c r="CL85" s="886">
        <f t="shared" si="61"/>
        <v>0</v>
      </c>
      <c r="CM85" s="886">
        <f t="shared" si="62"/>
        <v>0</v>
      </c>
      <c r="CN85" s="886">
        <v>0</v>
      </c>
      <c r="CO85" s="886">
        <v>0</v>
      </c>
      <c r="CP85" s="648">
        <f t="shared" si="39"/>
        <v>0</v>
      </c>
      <c r="CQ85" s="648">
        <f t="shared" si="40"/>
        <v>0</v>
      </c>
      <c r="CR85" s="648">
        <f t="shared" si="41"/>
        <v>0</v>
      </c>
      <c r="CS85" s="648">
        <f t="shared" si="42"/>
        <v>0</v>
      </c>
      <c r="CT85" s="648">
        <f t="shared" si="43"/>
        <v>0</v>
      </c>
      <c r="CU85" s="648">
        <f t="shared" si="44"/>
        <v>0</v>
      </c>
      <c r="CV85" s="648">
        <f t="shared" si="45"/>
        <v>0</v>
      </c>
      <c r="CW85" s="648">
        <f t="shared" si="46"/>
        <v>0</v>
      </c>
      <c r="CX85" s="634">
        <v>0</v>
      </c>
      <c r="CY85" s="616"/>
      <c r="CZ85" s="619">
        <f>IF(BN86=0,0,             IF(ISNUMBER(CY85),CY85,             IF(ISTEXT(CY85),INDEX(CP85:CW85,MATCH(CY85,$CP$17:$CW$17,0)),           IF(CX85="INT",_xll.qInterp(BN86,BZ85:CG85,CP85:CW85),       INDEX(CP85:CW85,MATCH(CX85,$CP$17:$CW$17,0))))))</f>
        <v>0</v>
      </c>
      <c r="DA85" s="755">
        <f t="shared" si="47"/>
        <v>0</v>
      </c>
      <c r="DB85" s="387">
        <f t="shared" si="48"/>
        <v>0</v>
      </c>
      <c r="DC85" s="268">
        <f>IF($BN86=0,0,         IF(LEFT(DCC_Leg2_Fixed,2)="1/",uEvaluate(DCC_Leg2_Fixed),         _xll.qDateYears($BN85,$BN86,DCC_Leg2_Fixed)))</f>
        <v>0</v>
      </c>
      <c r="DD85" s="268">
        <f>IF($BN86,_xll.qDateYears($BN85,$BN86,DCC_Leg2_Float),0)</f>
        <v>0</v>
      </c>
      <c r="DF85" s="332">
        <f t="shared" si="63"/>
        <v>0</v>
      </c>
      <c r="DG85" s="357">
        <f t="shared" si="64"/>
        <v>0</v>
      </c>
      <c r="DH85" s="527"/>
      <c r="DJ85" s="324">
        <f t="shared" si="34"/>
        <v>0</v>
      </c>
      <c r="DK85" s="529"/>
      <c r="DL85" s="338"/>
    </row>
    <row r="86" spans="15:116">
      <c r="O86" s="121">
        <v>0</v>
      </c>
      <c r="P86" s="755">
        <f t="shared" si="35"/>
        <v>0</v>
      </c>
      <c r="Q86" s="125">
        <v>0</v>
      </c>
      <c r="R86" s="890">
        <f>IF(O87=0,0,         IF(OR(Currency1="AUD",Currency1="NZD",Currency1="GBP"),O86,   _xll.qDateNext(O86,"-2b",,,IF(Currency1="EUR","TGT","LON"))))</f>
        <v>0</v>
      </c>
      <c r="S86" s="879" t="str">
        <v/>
      </c>
      <c r="T86" s="879" t="str">
        <v/>
      </c>
      <c r="U86" s="879" t="str">
        <v/>
      </c>
      <c r="V86" s="879" t="str">
        <v/>
      </c>
      <c r="W86" s="879" t="str">
        <v/>
      </c>
      <c r="X86" s="879" t="str">
        <v/>
      </c>
      <c r="Y86" s="879" t="str">
        <v/>
      </c>
      <c r="Z86" s="879" t="str">
        <v/>
      </c>
      <c r="AA86" s="882">
        <f>IF($O87=0,0,        _xll.qDateNext($O86,AA$17,$AH$16,TRUE,Currency1))</f>
        <v>0</v>
      </c>
      <c r="AB86" s="882">
        <f>IF($O87=0,0,        _xll.qDateNext($O86,AB$17,$AH$16,TRUE,Currency1))</f>
        <v>0</v>
      </c>
      <c r="AC86" s="882">
        <f>IF($O87=0,0,        _xll.qDateNext($O86,AC$17,$AH$16,TRUE,Currency1))</f>
        <v>0</v>
      </c>
      <c r="AD86" s="882">
        <f>IF($O87=0,0,        _xll.qDateNext($O86,AD$17,$AH$16,TRUE,Currency1))</f>
        <v>0</v>
      </c>
      <c r="AE86" s="882">
        <f>IF($O87=0,0,        _xll.qDateNext($O86,AE$17,$AH$16,TRUE,Currency1))</f>
        <v>0</v>
      </c>
      <c r="AF86" s="882">
        <f>IF($O87=0,0,        _xll.qDateNext($O86,AF$17,$AH$16,TRUE,Currency1))</f>
        <v>0</v>
      </c>
      <c r="AG86" s="882">
        <f>IF($O87=0,0,        _xll.qDateNext($O86,AG$17,$AH$16,TRUE,Currency1))</f>
        <v>0</v>
      </c>
      <c r="AH86" s="882">
        <f>IF($O87=0,0,        _xll.qDateNext($O86,AH$17,$AH$16,TRUE,Currency1))</f>
        <v>0</v>
      </c>
      <c r="AI86" s="886">
        <f>IF($O87=0,0,           IF(FRM,_xll.qGetFwdRate(AI$14,$O86,AA86,"T",DCC_Leg1_Float),_xll.qGetFwdRate(AI$14,$O86,$O87,"T",DCC_Leg1_Float)))</f>
        <v>0</v>
      </c>
      <c r="AJ86" s="886">
        <f>IF($O87=0,0,           IF(FRM,_xll.qGetFwdRate(AJ$14,$O86,AB86,"T",DCC_Leg1_Float),_xll.qGetFwdRate(AJ$14,$O86,$O87,"T",DCC_Leg1_Float)))</f>
        <v>0</v>
      </c>
      <c r="AK86" s="886">
        <f t="shared" si="36"/>
        <v>0</v>
      </c>
      <c r="AL86" s="886">
        <f>IF($O87=0,0,           IF(FRM,_xll.qGetFwdRate(AL$14,$O86,AD86,"T",DCC_Leg1_Float),_xll.qGetFwdRate(AL$14,$O86,$O87,"T",DCC_Leg1_Float)))</f>
        <v>0</v>
      </c>
      <c r="AM86" s="886">
        <f t="shared" si="49"/>
        <v>0</v>
      </c>
      <c r="AN86" s="886">
        <f t="shared" si="50"/>
        <v>0</v>
      </c>
      <c r="AO86" s="886">
        <f>IF($O87=0,0,           IF(FRM,_xll.qGetFwdRate(AO$14,$O86,AG86,"T",DCC_Leg1_Float),_xll.qGetFwdRate(AO$14,$O86,$O87,"T",DCC_Leg1_Float)))</f>
        <v>0</v>
      </c>
      <c r="AP86" s="886">
        <f>IF($O87=0,0,           IF(FRM,_xll.qGetFwdRate(AP$14,$O86,AH86,"T",DCC_Leg1_Float),_xll.qGetFwdRate(AP$14,$O86,$O87,"T",DCC_Leg1_Float)))</f>
        <v>0</v>
      </c>
      <c r="AQ86" s="648">
        <f t="shared" si="51"/>
        <v>0</v>
      </c>
      <c r="AR86" s="648">
        <f t="shared" si="52"/>
        <v>0</v>
      </c>
      <c r="AS86" s="648">
        <f t="shared" si="53"/>
        <v>0</v>
      </c>
      <c r="AT86" s="648">
        <f t="shared" si="54"/>
        <v>0</v>
      </c>
      <c r="AU86" s="648">
        <f t="shared" si="55"/>
        <v>0</v>
      </c>
      <c r="AV86" s="648">
        <f t="shared" si="56"/>
        <v>0</v>
      </c>
      <c r="AW86" s="648">
        <f t="shared" si="57"/>
        <v>0</v>
      </c>
      <c r="AX86" s="648">
        <f t="shared" si="58"/>
        <v>0</v>
      </c>
      <c r="AY86" s="634">
        <v>0</v>
      </c>
      <c r="AZ86" s="616"/>
      <c r="BA86" s="619">
        <f>IF(O87=0,0,             IF(ISNUMBER(AZ86),AZ86,             IF(ISTEXT(AZ86),INDEX(AQ86:AX86,MATCH(AZ86,$AQ$17:$AX$17,0)),           IF(AY86="INT",_xll.qInterp(O87,AA86:AH86,AQ86:AX86),       INDEX(AQ86:AX86,MATCH(AY86,$AQ$17:$AX$17,0))))))</f>
        <v>0</v>
      </c>
      <c r="BB86" s="674">
        <v>100</v>
      </c>
      <c r="BC86" s="666">
        <f t="shared" si="37"/>
        <v>0</v>
      </c>
      <c r="BD86" s="268">
        <f>IF($O87=0,0,                IF(LEFT(DCC_Leg1_Fixed,2)="1/",uEvaluate(DCC_Leg1_Fixed),        _xll.qDateYears($O86,$O87,DCC_Leg1_Fixed)))</f>
        <v>0</v>
      </c>
      <c r="BE86" s="268">
        <f>IF($O87,_xll.qDateYears($O86,$O87,DCC_Leg1_Float),0)</f>
        <v>0</v>
      </c>
      <c r="BG86" s="332">
        <f t="shared" si="59"/>
        <v>0</v>
      </c>
      <c r="BH86" s="357">
        <f t="shared" si="60"/>
        <v>0</v>
      </c>
      <c r="BI86" s="527"/>
      <c r="BK86" s="324">
        <f t="shared" si="33"/>
        <v>0</v>
      </c>
      <c r="BM86" s="338"/>
      <c r="BN86" s="121">
        <v>0</v>
      </c>
      <c r="BO86" s="755">
        <f t="shared" si="38"/>
        <v>0</v>
      </c>
      <c r="BP86" s="339">
        <v>0</v>
      </c>
      <c r="BQ86" s="890">
        <f>IF(BN87=0,0,         IF(OR(Currency2="AUD",Currency1="NZD",Currency2="GBP"),BN86,   _xll.qDateNext(BN86,"-2b",,,IF(Currency2="EUR","TGT","LON"))))</f>
        <v>0</v>
      </c>
      <c r="BR86" s="879" t="str">
        <v/>
      </c>
      <c r="BS86" s="879" t="str">
        <v/>
      </c>
      <c r="BT86" s="879" t="str">
        <v/>
      </c>
      <c r="BU86" s="879" t="str">
        <v/>
      </c>
      <c r="BV86" s="879" t="str">
        <v/>
      </c>
      <c r="BW86" s="879" t="str">
        <v/>
      </c>
      <c r="BX86" s="879" t="str">
        <v/>
      </c>
      <c r="BY86" s="879" t="str">
        <v/>
      </c>
      <c r="BZ86" s="882">
        <f>IF($BN87=0,0,        _xll.qDateNext($BN86,BZ$17,$CG$16,TRUE,Currency2))</f>
        <v>0</v>
      </c>
      <c r="CA86" s="882">
        <f>IF($BN87=0,0,        _xll.qDateNext($BN86,CA$17,$CG$16,TRUE,Currency2))</f>
        <v>0</v>
      </c>
      <c r="CB86" s="882">
        <f>IF($BN87=0,0,        _xll.qDateNext($BN86,CB$17,$CG$16,TRUE,Currency2))</f>
        <v>0</v>
      </c>
      <c r="CC86" s="882">
        <f>IF($BN87=0,0,        _xll.qDateNext($BN86,CC$17,$CG$16,TRUE,Currency2))</f>
        <v>0</v>
      </c>
      <c r="CD86" s="882">
        <f>IF($BN87=0,0,        _xll.qDateNext($BN86,CD$17,$CG$16,TRUE,Currency2))</f>
        <v>0</v>
      </c>
      <c r="CE86" s="882">
        <f>IF($BN87=0,0,        _xll.qDateNext($BN86,CE$17,$CG$16,TRUE,Currency2))</f>
        <v>0</v>
      </c>
      <c r="CF86" s="882">
        <f>IF($BN87=0,0,        _xll.qDateNext($BN86,CF$17,$CG$16,TRUE,Currency2))</f>
        <v>0</v>
      </c>
      <c r="CG86" s="882">
        <f>IF($BN87=0,0,        _xll.qDateNext($BN86,CG$17,$CG$16,TRUE,Currency2))</f>
        <v>0</v>
      </c>
      <c r="CH86" s="886">
        <v>0</v>
      </c>
      <c r="CI86" s="886">
        <v>0</v>
      </c>
      <c r="CJ86" s="886">
        <v>0</v>
      </c>
      <c r="CK86" s="886">
        <v>0</v>
      </c>
      <c r="CL86" s="886">
        <f t="shared" si="61"/>
        <v>0</v>
      </c>
      <c r="CM86" s="886">
        <f t="shared" si="62"/>
        <v>0</v>
      </c>
      <c r="CN86" s="886">
        <v>0</v>
      </c>
      <c r="CO86" s="886">
        <v>0</v>
      </c>
      <c r="CP86" s="648">
        <f t="shared" si="39"/>
        <v>0</v>
      </c>
      <c r="CQ86" s="648">
        <f t="shared" si="40"/>
        <v>0</v>
      </c>
      <c r="CR86" s="648">
        <f t="shared" si="41"/>
        <v>0</v>
      </c>
      <c r="CS86" s="648">
        <f t="shared" si="42"/>
        <v>0</v>
      </c>
      <c r="CT86" s="648">
        <f t="shared" si="43"/>
        <v>0</v>
      </c>
      <c r="CU86" s="648">
        <f t="shared" si="44"/>
        <v>0</v>
      </c>
      <c r="CV86" s="648">
        <f t="shared" si="45"/>
        <v>0</v>
      </c>
      <c r="CW86" s="648">
        <f t="shared" si="46"/>
        <v>0</v>
      </c>
      <c r="CX86" s="634">
        <v>0</v>
      </c>
      <c r="CY86" s="616"/>
      <c r="CZ86" s="619">
        <f>IF(BN87=0,0,             IF(ISNUMBER(CY86),CY86,             IF(ISTEXT(CY86),INDEX(CP86:CW86,MATCH(CY86,$CP$17:$CW$17,0)),           IF(CX86="INT",_xll.qInterp(BN87,BZ86:CG86,CP86:CW86),       INDEX(CP86:CW86,MATCH(CX86,$CP$17:$CW$17,0))))))</f>
        <v>0</v>
      </c>
      <c r="DA86" s="755">
        <f t="shared" si="47"/>
        <v>0</v>
      </c>
      <c r="DB86" s="387">
        <f t="shared" si="48"/>
        <v>0</v>
      </c>
      <c r="DC86" s="268">
        <f>IF($BN87=0,0,         IF(LEFT(DCC_Leg2_Fixed,2)="1/",uEvaluate(DCC_Leg2_Fixed),         _xll.qDateYears($BN86,$BN87,DCC_Leg2_Fixed)))</f>
        <v>0</v>
      </c>
      <c r="DD86" s="268">
        <f>IF($BN87,_xll.qDateYears($BN86,$BN87,DCC_Leg2_Float),0)</f>
        <v>0</v>
      </c>
      <c r="DF86" s="332">
        <f t="shared" si="63"/>
        <v>0</v>
      </c>
      <c r="DG86" s="357">
        <f t="shared" si="64"/>
        <v>0</v>
      </c>
      <c r="DH86" s="527"/>
      <c r="DJ86" s="324">
        <f t="shared" si="34"/>
        <v>0</v>
      </c>
      <c r="DK86" s="529"/>
      <c r="DL86" s="338"/>
    </row>
    <row r="87" spans="15:116">
      <c r="O87" s="121">
        <v>0</v>
      </c>
      <c r="P87" s="755">
        <f t="shared" si="35"/>
        <v>0</v>
      </c>
      <c r="Q87" s="125">
        <v>0</v>
      </c>
      <c r="R87" s="890">
        <f>IF(O88=0,0,         IF(OR(Currency1="AUD",Currency1="NZD",Currency1="GBP"),O87,   _xll.qDateNext(O87,"-2b",,,IF(Currency1="EUR","TGT","LON"))))</f>
        <v>0</v>
      </c>
      <c r="S87" s="879" t="str">
        <v/>
      </c>
      <c r="T87" s="879" t="str">
        <v/>
      </c>
      <c r="U87" s="879" t="str">
        <v/>
      </c>
      <c r="V87" s="879" t="str">
        <v/>
      </c>
      <c r="W87" s="879" t="str">
        <v/>
      </c>
      <c r="X87" s="879" t="str">
        <v/>
      </c>
      <c r="Y87" s="879" t="str">
        <v/>
      </c>
      <c r="Z87" s="879" t="str">
        <v/>
      </c>
      <c r="AA87" s="882">
        <f>IF($O88=0,0,        _xll.qDateNext($O87,AA$17,$AH$16,TRUE,Currency1))</f>
        <v>0</v>
      </c>
      <c r="AB87" s="882">
        <f>IF($O88=0,0,        _xll.qDateNext($O87,AB$17,$AH$16,TRUE,Currency1))</f>
        <v>0</v>
      </c>
      <c r="AC87" s="882">
        <f>IF($O88=0,0,        _xll.qDateNext($O87,AC$17,$AH$16,TRUE,Currency1))</f>
        <v>0</v>
      </c>
      <c r="AD87" s="882">
        <f>IF($O88=0,0,        _xll.qDateNext($O87,AD$17,$AH$16,TRUE,Currency1))</f>
        <v>0</v>
      </c>
      <c r="AE87" s="882">
        <f>IF($O88=0,0,        _xll.qDateNext($O87,AE$17,$AH$16,TRUE,Currency1))</f>
        <v>0</v>
      </c>
      <c r="AF87" s="882">
        <f>IF($O88=0,0,        _xll.qDateNext($O87,AF$17,$AH$16,TRUE,Currency1))</f>
        <v>0</v>
      </c>
      <c r="AG87" s="882">
        <f>IF($O88=0,0,        _xll.qDateNext($O87,AG$17,$AH$16,TRUE,Currency1))</f>
        <v>0</v>
      </c>
      <c r="AH87" s="882">
        <f>IF($O88=0,0,        _xll.qDateNext($O87,AH$17,$AH$16,TRUE,Currency1))</f>
        <v>0</v>
      </c>
      <c r="AI87" s="886">
        <f>IF($O88=0,0,           IF(FRM,_xll.qGetFwdRate(AI$14,$O87,AA87,"T",DCC_Leg1_Float),_xll.qGetFwdRate(AI$14,$O87,$O88,"T",DCC_Leg1_Float)))</f>
        <v>0</v>
      </c>
      <c r="AJ87" s="886">
        <f>IF($O88=0,0,           IF(FRM,_xll.qGetFwdRate(AJ$14,$O87,AB87,"T",DCC_Leg1_Float),_xll.qGetFwdRate(AJ$14,$O87,$O88,"T",DCC_Leg1_Float)))</f>
        <v>0</v>
      </c>
      <c r="AK87" s="886">
        <f t="shared" si="36"/>
        <v>0</v>
      </c>
      <c r="AL87" s="886">
        <f>IF($O88=0,0,           IF(FRM,_xll.qGetFwdRate(AL$14,$O87,AD87,"T",DCC_Leg1_Float),_xll.qGetFwdRate(AL$14,$O87,$O88,"T",DCC_Leg1_Float)))</f>
        <v>0</v>
      </c>
      <c r="AM87" s="886">
        <f t="shared" si="49"/>
        <v>0</v>
      </c>
      <c r="AN87" s="886">
        <f t="shared" si="50"/>
        <v>0</v>
      </c>
      <c r="AO87" s="886">
        <f>IF($O88=0,0,           IF(FRM,_xll.qGetFwdRate(AO$14,$O87,AG87,"T",DCC_Leg1_Float),_xll.qGetFwdRate(AO$14,$O87,$O88,"T",DCC_Leg1_Float)))</f>
        <v>0</v>
      </c>
      <c r="AP87" s="886">
        <f>IF($O88=0,0,           IF(FRM,_xll.qGetFwdRate(AP$14,$O87,AH87,"T",DCC_Leg1_Float),_xll.qGetFwdRate(AP$14,$O87,$O88,"T",DCC_Leg1_Float)))</f>
        <v>0</v>
      </c>
      <c r="AQ87" s="648">
        <f t="shared" si="51"/>
        <v>0</v>
      </c>
      <c r="AR87" s="648">
        <f t="shared" si="52"/>
        <v>0</v>
      </c>
      <c r="AS87" s="648">
        <f t="shared" si="53"/>
        <v>0</v>
      </c>
      <c r="AT87" s="648">
        <f t="shared" si="54"/>
        <v>0</v>
      </c>
      <c r="AU87" s="648">
        <f t="shared" si="55"/>
        <v>0</v>
      </c>
      <c r="AV87" s="648">
        <f t="shared" si="56"/>
        <v>0</v>
      </c>
      <c r="AW87" s="648">
        <f t="shared" si="57"/>
        <v>0</v>
      </c>
      <c r="AX87" s="648">
        <f t="shared" si="58"/>
        <v>0</v>
      </c>
      <c r="AY87" s="634">
        <v>0</v>
      </c>
      <c r="AZ87" s="616"/>
      <c r="BA87" s="619">
        <f>IF(O88=0,0,             IF(ISNUMBER(AZ87),AZ87,             IF(ISTEXT(AZ87),INDEX(AQ87:AX87,MATCH(AZ87,$AQ$17:$AX$17,0)),           IF(AY87="INT",_xll.qInterp(O88,AA87:AH87,AQ87:AX87),       INDEX(AQ87:AX87,MATCH(AY87,$AQ$17:$AX$17,0))))))</f>
        <v>0</v>
      </c>
      <c r="BB87" s="674">
        <v>100</v>
      </c>
      <c r="BC87" s="666">
        <f t="shared" si="37"/>
        <v>0</v>
      </c>
      <c r="BD87" s="268">
        <f>IF($O88=0,0,                IF(LEFT(DCC_Leg1_Fixed,2)="1/",uEvaluate(DCC_Leg1_Fixed),        _xll.qDateYears($O87,$O88,DCC_Leg1_Fixed)))</f>
        <v>0</v>
      </c>
      <c r="BE87" s="268">
        <f>IF($O88,_xll.qDateYears($O87,$O88,DCC_Leg1_Float),0)</f>
        <v>0</v>
      </c>
      <c r="BG87" s="332">
        <f t="shared" si="59"/>
        <v>0</v>
      </c>
      <c r="BH87" s="357">
        <f t="shared" si="60"/>
        <v>0</v>
      </c>
      <c r="BI87" s="527"/>
      <c r="BK87" s="324">
        <f t="shared" si="33"/>
        <v>0</v>
      </c>
      <c r="BM87" s="338"/>
      <c r="BN87" s="121">
        <v>0</v>
      </c>
      <c r="BO87" s="755">
        <f t="shared" si="38"/>
        <v>0</v>
      </c>
      <c r="BP87" s="339">
        <v>0</v>
      </c>
      <c r="BQ87" s="890">
        <f>IF(BN88=0,0,         IF(OR(Currency2="AUD",Currency1="NZD",Currency2="GBP"),BN87,   _xll.qDateNext(BN87,"-2b",,,IF(Currency2="EUR","TGT","LON"))))</f>
        <v>0</v>
      </c>
      <c r="BR87" s="879" t="str">
        <v/>
      </c>
      <c r="BS87" s="879" t="str">
        <v/>
      </c>
      <c r="BT87" s="879" t="str">
        <v/>
      </c>
      <c r="BU87" s="879" t="str">
        <v/>
      </c>
      <c r="BV87" s="879" t="str">
        <v/>
      </c>
      <c r="BW87" s="879" t="str">
        <v/>
      </c>
      <c r="BX87" s="879" t="str">
        <v/>
      </c>
      <c r="BY87" s="879" t="str">
        <v/>
      </c>
      <c r="BZ87" s="882">
        <f>IF($BN88=0,0,        _xll.qDateNext($BN87,BZ$17,$CG$16,TRUE,Currency2))</f>
        <v>0</v>
      </c>
      <c r="CA87" s="882">
        <f>IF($BN88=0,0,        _xll.qDateNext($BN87,CA$17,$CG$16,TRUE,Currency2))</f>
        <v>0</v>
      </c>
      <c r="CB87" s="882">
        <f>IF($BN88=0,0,        _xll.qDateNext($BN87,CB$17,$CG$16,TRUE,Currency2))</f>
        <v>0</v>
      </c>
      <c r="CC87" s="882">
        <f>IF($BN88=0,0,        _xll.qDateNext($BN87,CC$17,$CG$16,TRUE,Currency2))</f>
        <v>0</v>
      </c>
      <c r="CD87" s="882">
        <f>IF($BN88=0,0,        _xll.qDateNext($BN87,CD$17,$CG$16,TRUE,Currency2))</f>
        <v>0</v>
      </c>
      <c r="CE87" s="882">
        <f>IF($BN88=0,0,        _xll.qDateNext($BN87,CE$17,$CG$16,TRUE,Currency2))</f>
        <v>0</v>
      </c>
      <c r="CF87" s="882">
        <f>IF($BN88=0,0,        _xll.qDateNext($BN87,CF$17,$CG$16,TRUE,Currency2))</f>
        <v>0</v>
      </c>
      <c r="CG87" s="882">
        <f>IF($BN88=0,0,        _xll.qDateNext($BN87,CG$17,$CG$16,TRUE,Currency2))</f>
        <v>0</v>
      </c>
      <c r="CH87" s="886">
        <v>0</v>
      </c>
      <c r="CI87" s="886">
        <v>0</v>
      </c>
      <c r="CJ87" s="886">
        <v>0</v>
      </c>
      <c r="CK87" s="886">
        <v>0</v>
      </c>
      <c r="CL87" s="886">
        <f t="shared" si="61"/>
        <v>0</v>
      </c>
      <c r="CM87" s="886">
        <f t="shared" si="62"/>
        <v>0</v>
      </c>
      <c r="CN87" s="886">
        <v>0</v>
      </c>
      <c r="CO87" s="886">
        <v>0</v>
      </c>
      <c r="CP87" s="648">
        <f t="shared" si="39"/>
        <v>0</v>
      </c>
      <c r="CQ87" s="648">
        <f t="shared" si="40"/>
        <v>0</v>
      </c>
      <c r="CR87" s="648">
        <f t="shared" si="41"/>
        <v>0</v>
      </c>
      <c r="CS87" s="648">
        <f t="shared" si="42"/>
        <v>0</v>
      </c>
      <c r="CT87" s="648">
        <f t="shared" si="43"/>
        <v>0</v>
      </c>
      <c r="CU87" s="648">
        <f t="shared" si="44"/>
        <v>0</v>
      </c>
      <c r="CV87" s="648">
        <f t="shared" si="45"/>
        <v>0</v>
      </c>
      <c r="CW87" s="648">
        <f t="shared" si="46"/>
        <v>0</v>
      </c>
      <c r="CX87" s="634">
        <v>0</v>
      </c>
      <c r="CY87" s="616"/>
      <c r="CZ87" s="619">
        <f>IF(BN88=0,0,             IF(ISNUMBER(CY87),CY87,             IF(ISTEXT(CY87),INDEX(CP87:CW87,MATCH(CY87,$CP$17:$CW$17,0)),           IF(CX87="INT",_xll.qInterp(BN88,BZ87:CG87,CP87:CW87),       INDEX(CP87:CW87,MATCH(CX87,$CP$17:$CW$17,0))))))</f>
        <v>0</v>
      </c>
      <c r="DA87" s="755">
        <f t="shared" si="47"/>
        <v>0</v>
      </c>
      <c r="DB87" s="387">
        <f t="shared" si="48"/>
        <v>0</v>
      </c>
      <c r="DC87" s="268">
        <f>IF($BN88=0,0,         IF(LEFT(DCC_Leg2_Fixed,2)="1/",uEvaluate(DCC_Leg2_Fixed),         _xll.qDateYears($BN87,$BN88,DCC_Leg2_Fixed)))</f>
        <v>0</v>
      </c>
      <c r="DD87" s="268">
        <f>IF($BN88,_xll.qDateYears($BN87,$BN88,DCC_Leg2_Float),0)</f>
        <v>0</v>
      </c>
      <c r="DF87" s="332">
        <f t="shared" si="63"/>
        <v>0</v>
      </c>
      <c r="DG87" s="357">
        <f t="shared" si="64"/>
        <v>0</v>
      </c>
      <c r="DH87" s="527"/>
      <c r="DJ87" s="324">
        <f t="shared" si="34"/>
        <v>0</v>
      </c>
      <c r="DK87" s="529"/>
      <c r="DL87" s="338"/>
    </row>
    <row r="88" spans="15:116">
      <c r="O88" s="121">
        <v>0</v>
      </c>
      <c r="P88" s="755">
        <f t="shared" si="35"/>
        <v>0</v>
      </c>
      <c r="Q88" s="125">
        <v>0</v>
      </c>
      <c r="R88" s="890">
        <f>IF(O89=0,0,         IF(OR(Currency1="AUD",Currency1="NZD",Currency1="GBP"),O88,   _xll.qDateNext(O88,"-2b",,,IF(Currency1="EUR","TGT","LON"))))</f>
        <v>0</v>
      </c>
      <c r="S88" s="879" t="str">
        <v/>
      </c>
      <c r="T88" s="879" t="str">
        <v/>
      </c>
      <c r="U88" s="879" t="str">
        <v/>
      </c>
      <c r="V88" s="879" t="str">
        <v/>
      </c>
      <c r="W88" s="879" t="str">
        <v/>
      </c>
      <c r="X88" s="879" t="str">
        <v/>
      </c>
      <c r="Y88" s="879" t="str">
        <v/>
      </c>
      <c r="Z88" s="879" t="str">
        <v/>
      </c>
      <c r="AA88" s="882">
        <f>IF($O89=0,0,        _xll.qDateNext($O88,AA$17,$AH$16,TRUE,Currency1))</f>
        <v>0</v>
      </c>
      <c r="AB88" s="882">
        <f>IF($O89=0,0,        _xll.qDateNext($O88,AB$17,$AH$16,TRUE,Currency1))</f>
        <v>0</v>
      </c>
      <c r="AC88" s="882">
        <f>IF($O89=0,0,        _xll.qDateNext($O88,AC$17,$AH$16,TRUE,Currency1))</f>
        <v>0</v>
      </c>
      <c r="AD88" s="882">
        <f>IF($O89=0,0,        _xll.qDateNext($O88,AD$17,$AH$16,TRUE,Currency1))</f>
        <v>0</v>
      </c>
      <c r="AE88" s="882">
        <f>IF($O89=0,0,        _xll.qDateNext($O88,AE$17,$AH$16,TRUE,Currency1))</f>
        <v>0</v>
      </c>
      <c r="AF88" s="882">
        <f>IF($O89=0,0,        _xll.qDateNext($O88,AF$17,$AH$16,TRUE,Currency1))</f>
        <v>0</v>
      </c>
      <c r="AG88" s="882">
        <f>IF($O89=0,0,        _xll.qDateNext($O88,AG$17,$AH$16,TRUE,Currency1))</f>
        <v>0</v>
      </c>
      <c r="AH88" s="882">
        <f>IF($O89=0,0,        _xll.qDateNext($O88,AH$17,$AH$16,TRUE,Currency1))</f>
        <v>0</v>
      </c>
      <c r="AI88" s="886">
        <f>IF($O89=0,0,           IF(FRM,_xll.qGetFwdRate(AI$14,$O88,AA88,"T",DCC_Leg1_Float),_xll.qGetFwdRate(AI$14,$O88,$O89,"T",DCC_Leg1_Float)))</f>
        <v>0</v>
      </c>
      <c r="AJ88" s="886">
        <f>IF($O89=0,0,           IF(FRM,_xll.qGetFwdRate(AJ$14,$O88,AB88,"T",DCC_Leg1_Float),_xll.qGetFwdRate(AJ$14,$O88,$O89,"T",DCC_Leg1_Float)))</f>
        <v>0</v>
      </c>
      <c r="AK88" s="886">
        <f t="shared" si="36"/>
        <v>0</v>
      </c>
      <c r="AL88" s="886">
        <f>IF($O89=0,0,           IF(FRM,_xll.qGetFwdRate(AL$14,$O88,AD88,"T",DCC_Leg1_Float),_xll.qGetFwdRate(AL$14,$O88,$O89,"T",DCC_Leg1_Float)))</f>
        <v>0</v>
      </c>
      <c r="AM88" s="886">
        <f t="shared" si="49"/>
        <v>0</v>
      </c>
      <c r="AN88" s="886">
        <f t="shared" si="50"/>
        <v>0</v>
      </c>
      <c r="AO88" s="886">
        <f>IF($O89=0,0,           IF(FRM,_xll.qGetFwdRate(AO$14,$O88,AG88,"T",DCC_Leg1_Float),_xll.qGetFwdRate(AO$14,$O88,$O89,"T",DCC_Leg1_Float)))</f>
        <v>0</v>
      </c>
      <c r="AP88" s="886">
        <f>IF($O89=0,0,           IF(FRM,_xll.qGetFwdRate(AP$14,$O88,AH88,"T",DCC_Leg1_Float),_xll.qGetFwdRate(AP$14,$O88,$O89,"T",DCC_Leg1_Float)))</f>
        <v>0</v>
      </c>
      <c r="AQ88" s="648">
        <f t="shared" si="51"/>
        <v>0</v>
      </c>
      <c r="AR88" s="648">
        <f t="shared" si="52"/>
        <v>0</v>
      </c>
      <c r="AS88" s="648">
        <f t="shared" si="53"/>
        <v>0</v>
      </c>
      <c r="AT88" s="648">
        <f t="shared" si="54"/>
        <v>0</v>
      </c>
      <c r="AU88" s="648">
        <f t="shared" si="55"/>
        <v>0</v>
      </c>
      <c r="AV88" s="648">
        <f t="shared" si="56"/>
        <v>0</v>
      </c>
      <c r="AW88" s="648">
        <f t="shared" si="57"/>
        <v>0</v>
      </c>
      <c r="AX88" s="648">
        <f t="shared" si="58"/>
        <v>0</v>
      </c>
      <c r="AY88" s="634">
        <v>0</v>
      </c>
      <c r="AZ88" s="616"/>
      <c r="BA88" s="619">
        <f>IF(O89=0,0,             IF(ISNUMBER(AZ88),AZ88,             IF(ISTEXT(AZ88),INDEX(AQ88:AX88,MATCH(AZ88,$AQ$17:$AX$17,0)),           IF(AY88="INT",_xll.qInterp(O89,AA88:AH88,AQ88:AX88),       INDEX(AQ88:AX88,MATCH(AY88,$AQ$17:$AX$17,0))))))</f>
        <v>0</v>
      </c>
      <c r="BB88" s="674">
        <v>100</v>
      </c>
      <c r="BC88" s="666">
        <f t="shared" si="37"/>
        <v>0</v>
      </c>
      <c r="BD88" s="268">
        <f>IF($O89=0,0,                IF(LEFT(DCC_Leg1_Fixed,2)="1/",uEvaluate(DCC_Leg1_Fixed),        _xll.qDateYears($O88,$O89,DCC_Leg1_Fixed)))</f>
        <v>0</v>
      </c>
      <c r="BE88" s="268">
        <f>IF($O89,_xll.qDateYears($O88,$O89,DCC_Leg1_Float),0)</f>
        <v>0</v>
      </c>
      <c r="BG88" s="332">
        <f t="shared" si="59"/>
        <v>0</v>
      </c>
      <c r="BH88" s="357">
        <f t="shared" si="60"/>
        <v>0</v>
      </c>
      <c r="BI88" s="527"/>
      <c r="BK88" s="324">
        <f t="shared" si="33"/>
        <v>0</v>
      </c>
      <c r="BM88" s="338"/>
      <c r="BN88" s="121">
        <v>0</v>
      </c>
      <c r="BO88" s="755">
        <f t="shared" si="38"/>
        <v>0</v>
      </c>
      <c r="BP88" s="339">
        <v>0</v>
      </c>
      <c r="BQ88" s="890">
        <f>IF(BN89=0,0,         IF(OR(Currency2="AUD",Currency1="NZD",Currency2="GBP"),BN88,   _xll.qDateNext(BN88,"-2b",,,IF(Currency2="EUR","TGT","LON"))))</f>
        <v>0</v>
      </c>
      <c r="BR88" s="879" t="str">
        <v/>
      </c>
      <c r="BS88" s="879" t="str">
        <v/>
      </c>
      <c r="BT88" s="879" t="str">
        <v/>
      </c>
      <c r="BU88" s="879" t="str">
        <v/>
      </c>
      <c r="BV88" s="879" t="str">
        <v/>
      </c>
      <c r="BW88" s="879" t="str">
        <v/>
      </c>
      <c r="BX88" s="879" t="str">
        <v/>
      </c>
      <c r="BY88" s="879" t="str">
        <v/>
      </c>
      <c r="BZ88" s="882">
        <f>IF($BN89=0,0,        _xll.qDateNext($BN88,BZ$17,$CG$16,TRUE,Currency2))</f>
        <v>0</v>
      </c>
      <c r="CA88" s="882">
        <f>IF($BN89=0,0,        _xll.qDateNext($BN88,CA$17,$CG$16,TRUE,Currency2))</f>
        <v>0</v>
      </c>
      <c r="CB88" s="882">
        <f>IF($BN89=0,0,        _xll.qDateNext($BN88,CB$17,$CG$16,TRUE,Currency2))</f>
        <v>0</v>
      </c>
      <c r="CC88" s="882">
        <f>IF($BN89=0,0,        _xll.qDateNext($BN88,CC$17,$CG$16,TRUE,Currency2))</f>
        <v>0</v>
      </c>
      <c r="CD88" s="882">
        <f>IF($BN89=0,0,        _xll.qDateNext($BN88,CD$17,$CG$16,TRUE,Currency2))</f>
        <v>0</v>
      </c>
      <c r="CE88" s="882">
        <f>IF($BN89=0,0,        _xll.qDateNext($BN88,CE$17,$CG$16,TRUE,Currency2))</f>
        <v>0</v>
      </c>
      <c r="CF88" s="882">
        <f>IF($BN89=0,0,        _xll.qDateNext($BN88,CF$17,$CG$16,TRUE,Currency2))</f>
        <v>0</v>
      </c>
      <c r="CG88" s="882">
        <f>IF($BN89=0,0,        _xll.qDateNext($BN88,CG$17,$CG$16,TRUE,Currency2))</f>
        <v>0</v>
      </c>
      <c r="CH88" s="886">
        <v>0</v>
      </c>
      <c r="CI88" s="886">
        <v>0</v>
      </c>
      <c r="CJ88" s="886">
        <v>0</v>
      </c>
      <c r="CK88" s="886">
        <v>0</v>
      </c>
      <c r="CL88" s="886">
        <f t="shared" si="61"/>
        <v>0</v>
      </c>
      <c r="CM88" s="886">
        <f t="shared" si="62"/>
        <v>0</v>
      </c>
      <c r="CN88" s="886">
        <v>0</v>
      </c>
      <c r="CO88" s="886">
        <v>0</v>
      </c>
      <c r="CP88" s="648">
        <f t="shared" si="39"/>
        <v>0</v>
      </c>
      <c r="CQ88" s="648">
        <f t="shared" si="40"/>
        <v>0</v>
      </c>
      <c r="CR88" s="648">
        <f t="shared" si="41"/>
        <v>0</v>
      </c>
      <c r="CS88" s="648">
        <f t="shared" si="42"/>
        <v>0</v>
      </c>
      <c r="CT88" s="648">
        <f t="shared" si="43"/>
        <v>0</v>
      </c>
      <c r="CU88" s="648">
        <f t="shared" si="44"/>
        <v>0</v>
      </c>
      <c r="CV88" s="648">
        <f t="shared" si="45"/>
        <v>0</v>
      </c>
      <c r="CW88" s="648">
        <f t="shared" si="46"/>
        <v>0</v>
      </c>
      <c r="CX88" s="634">
        <v>0</v>
      </c>
      <c r="CY88" s="616"/>
      <c r="CZ88" s="619">
        <f>IF(BN89=0,0,             IF(ISNUMBER(CY88),CY88,             IF(ISTEXT(CY88),INDEX(CP88:CW88,MATCH(CY88,$CP$17:$CW$17,0)),           IF(CX88="INT",_xll.qInterp(BN89,BZ88:CG88,CP88:CW88),       INDEX(CP88:CW88,MATCH(CX88,$CP$17:$CW$17,0))))))</f>
        <v>0</v>
      </c>
      <c r="DA88" s="755">
        <f t="shared" si="47"/>
        <v>0</v>
      </c>
      <c r="DB88" s="387">
        <f t="shared" si="48"/>
        <v>0</v>
      </c>
      <c r="DC88" s="268">
        <f>IF($BN89=0,0,         IF(LEFT(DCC_Leg2_Fixed,2)="1/",uEvaluate(DCC_Leg2_Fixed),         _xll.qDateYears($BN88,$BN89,DCC_Leg2_Fixed)))</f>
        <v>0</v>
      </c>
      <c r="DD88" s="268">
        <f>IF($BN89,_xll.qDateYears($BN88,$BN89,DCC_Leg2_Float),0)</f>
        <v>0</v>
      </c>
      <c r="DF88" s="332">
        <f t="shared" si="63"/>
        <v>0</v>
      </c>
      <c r="DG88" s="357">
        <f t="shared" si="64"/>
        <v>0</v>
      </c>
      <c r="DH88" s="527"/>
      <c r="DJ88" s="324">
        <f t="shared" si="34"/>
        <v>0</v>
      </c>
      <c r="DK88" s="529"/>
      <c r="DL88" s="338"/>
    </row>
    <row r="89" spans="15:116">
      <c r="O89" s="121">
        <v>0</v>
      </c>
      <c r="P89" s="755">
        <f t="shared" si="35"/>
        <v>0</v>
      </c>
      <c r="Q89" s="125">
        <v>0</v>
      </c>
      <c r="R89" s="890">
        <f>IF(O90=0,0,         IF(OR(Currency1="AUD",Currency1="NZD",Currency1="GBP"),O89,   _xll.qDateNext(O89,"-2b",,,IF(Currency1="EUR","TGT","LON"))))</f>
        <v>0</v>
      </c>
      <c r="S89" s="879" t="str">
        <v/>
      </c>
      <c r="T89" s="879" t="str">
        <v/>
      </c>
      <c r="U89" s="879" t="str">
        <v/>
      </c>
      <c r="V89" s="879" t="str">
        <v/>
      </c>
      <c r="W89" s="879" t="str">
        <v/>
      </c>
      <c r="X89" s="879" t="str">
        <v/>
      </c>
      <c r="Y89" s="879" t="str">
        <v/>
      </c>
      <c r="Z89" s="879" t="str">
        <v/>
      </c>
      <c r="AA89" s="882">
        <f>IF($O90=0,0,        _xll.qDateNext($O89,AA$17,$AH$16,TRUE,Currency1))</f>
        <v>0</v>
      </c>
      <c r="AB89" s="882">
        <f>IF($O90=0,0,        _xll.qDateNext($O89,AB$17,$AH$16,TRUE,Currency1))</f>
        <v>0</v>
      </c>
      <c r="AC89" s="882">
        <f>IF($O90=0,0,        _xll.qDateNext($O89,AC$17,$AH$16,TRUE,Currency1))</f>
        <v>0</v>
      </c>
      <c r="AD89" s="882">
        <f>IF($O90=0,0,        _xll.qDateNext($O89,AD$17,$AH$16,TRUE,Currency1))</f>
        <v>0</v>
      </c>
      <c r="AE89" s="882">
        <f>IF($O90=0,0,        _xll.qDateNext($O89,AE$17,$AH$16,TRUE,Currency1))</f>
        <v>0</v>
      </c>
      <c r="AF89" s="882">
        <f>IF($O90=0,0,        _xll.qDateNext($O89,AF$17,$AH$16,TRUE,Currency1))</f>
        <v>0</v>
      </c>
      <c r="AG89" s="882">
        <f>IF($O90=0,0,        _xll.qDateNext($O89,AG$17,$AH$16,TRUE,Currency1))</f>
        <v>0</v>
      </c>
      <c r="AH89" s="882">
        <f>IF($O90=0,0,        _xll.qDateNext($O89,AH$17,$AH$16,TRUE,Currency1))</f>
        <v>0</v>
      </c>
      <c r="AI89" s="886">
        <f>IF($O90=0,0,           IF(FRM,_xll.qGetFwdRate(AI$14,$O89,AA89,"T",DCC_Leg1_Float),_xll.qGetFwdRate(AI$14,$O89,$O90,"T",DCC_Leg1_Float)))</f>
        <v>0</v>
      </c>
      <c r="AJ89" s="886">
        <f>IF($O90=0,0,           IF(FRM,_xll.qGetFwdRate(AJ$14,$O89,AB89,"T",DCC_Leg1_Float),_xll.qGetFwdRate(AJ$14,$O89,$O90,"T",DCC_Leg1_Float)))</f>
        <v>0</v>
      </c>
      <c r="AK89" s="886">
        <f t="shared" si="36"/>
        <v>0</v>
      </c>
      <c r="AL89" s="886">
        <f>IF($O90=0,0,           IF(FRM,_xll.qGetFwdRate(AL$14,$O89,AD89,"T",DCC_Leg1_Float),_xll.qGetFwdRate(AL$14,$O89,$O90,"T",DCC_Leg1_Float)))</f>
        <v>0</v>
      </c>
      <c r="AM89" s="886">
        <f t="shared" si="49"/>
        <v>0</v>
      </c>
      <c r="AN89" s="886">
        <f t="shared" si="50"/>
        <v>0</v>
      </c>
      <c r="AO89" s="886">
        <f>IF($O90=0,0,           IF(FRM,_xll.qGetFwdRate(AO$14,$O89,AG89,"T",DCC_Leg1_Float),_xll.qGetFwdRate(AO$14,$O89,$O90,"T",DCC_Leg1_Float)))</f>
        <v>0</v>
      </c>
      <c r="AP89" s="886">
        <f>IF($O90=0,0,           IF(FRM,_xll.qGetFwdRate(AP$14,$O89,AH89,"T",DCC_Leg1_Float),_xll.qGetFwdRate(AP$14,$O89,$O90,"T",DCC_Leg1_Float)))</f>
        <v>0</v>
      </c>
      <c r="AQ89" s="648">
        <f t="shared" si="51"/>
        <v>0</v>
      </c>
      <c r="AR89" s="648">
        <f t="shared" si="52"/>
        <v>0</v>
      </c>
      <c r="AS89" s="648">
        <f t="shared" si="53"/>
        <v>0</v>
      </c>
      <c r="AT89" s="648">
        <f t="shared" si="54"/>
        <v>0</v>
      </c>
      <c r="AU89" s="648">
        <f t="shared" si="55"/>
        <v>0</v>
      </c>
      <c r="AV89" s="648">
        <f t="shared" si="56"/>
        <v>0</v>
      </c>
      <c r="AW89" s="648">
        <f t="shared" si="57"/>
        <v>0</v>
      </c>
      <c r="AX89" s="648">
        <f t="shared" si="58"/>
        <v>0</v>
      </c>
      <c r="AY89" s="634">
        <v>0</v>
      </c>
      <c r="AZ89" s="616"/>
      <c r="BA89" s="619">
        <f>IF(O90=0,0,             IF(ISNUMBER(AZ89),AZ89,             IF(ISTEXT(AZ89),INDEX(AQ89:AX89,MATCH(AZ89,$AQ$17:$AX$17,0)),           IF(AY89="INT",_xll.qInterp(O90,AA89:AH89,AQ89:AX89),       INDEX(AQ89:AX89,MATCH(AY89,$AQ$17:$AX$17,0))))))</f>
        <v>0</v>
      </c>
      <c r="BB89" s="674">
        <v>100</v>
      </c>
      <c r="BC89" s="666">
        <f t="shared" si="37"/>
        <v>0</v>
      </c>
      <c r="BD89" s="268">
        <f>IF($O90=0,0,                IF(LEFT(DCC_Leg1_Fixed,2)="1/",uEvaluate(DCC_Leg1_Fixed),        _xll.qDateYears($O89,$O90,DCC_Leg1_Fixed)))</f>
        <v>0</v>
      </c>
      <c r="BE89" s="268">
        <f>IF($O90,_xll.qDateYears($O89,$O90,DCC_Leg1_Float),0)</f>
        <v>0</v>
      </c>
      <c r="BG89" s="332">
        <f t="shared" si="59"/>
        <v>0</v>
      </c>
      <c r="BH89" s="357">
        <f t="shared" si="60"/>
        <v>0</v>
      </c>
      <c r="BI89" s="527"/>
      <c r="BK89" s="324">
        <f t="shared" si="33"/>
        <v>0</v>
      </c>
      <c r="BM89" s="338"/>
      <c r="BN89" s="121">
        <v>0</v>
      </c>
      <c r="BO89" s="755">
        <f t="shared" si="38"/>
        <v>0</v>
      </c>
      <c r="BP89" s="339">
        <v>0</v>
      </c>
      <c r="BQ89" s="890">
        <f>IF(BN90=0,0,         IF(OR(Currency2="AUD",Currency1="NZD",Currency2="GBP"),BN89,   _xll.qDateNext(BN89,"-2b",,,IF(Currency2="EUR","TGT","LON"))))</f>
        <v>0</v>
      </c>
      <c r="BR89" s="879" t="str">
        <v/>
      </c>
      <c r="BS89" s="879" t="str">
        <v/>
      </c>
      <c r="BT89" s="879" t="str">
        <v/>
      </c>
      <c r="BU89" s="879" t="str">
        <v/>
      </c>
      <c r="BV89" s="879" t="str">
        <v/>
      </c>
      <c r="BW89" s="879" t="str">
        <v/>
      </c>
      <c r="BX89" s="879" t="str">
        <v/>
      </c>
      <c r="BY89" s="879" t="str">
        <v/>
      </c>
      <c r="BZ89" s="882">
        <f>IF($BN90=0,0,        _xll.qDateNext($BN89,BZ$17,$CG$16,TRUE,Currency2))</f>
        <v>0</v>
      </c>
      <c r="CA89" s="882">
        <f>IF($BN90=0,0,        _xll.qDateNext($BN89,CA$17,$CG$16,TRUE,Currency2))</f>
        <v>0</v>
      </c>
      <c r="CB89" s="882">
        <f>IF($BN90=0,0,        _xll.qDateNext($BN89,CB$17,$CG$16,TRUE,Currency2))</f>
        <v>0</v>
      </c>
      <c r="CC89" s="882">
        <f>IF($BN90=0,0,        _xll.qDateNext($BN89,CC$17,$CG$16,TRUE,Currency2))</f>
        <v>0</v>
      </c>
      <c r="CD89" s="882">
        <f>IF($BN90=0,0,        _xll.qDateNext($BN89,CD$17,$CG$16,TRUE,Currency2))</f>
        <v>0</v>
      </c>
      <c r="CE89" s="882">
        <f>IF($BN90=0,0,        _xll.qDateNext($BN89,CE$17,$CG$16,TRUE,Currency2))</f>
        <v>0</v>
      </c>
      <c r="CF89" s="882">
        <f>IF($BN90=0,0,        _xll.qDateNext($BN89,CF$17,$CG$16,TRUE,Currency2))</f>
        <v>0</v>
      </c>
      <c r="CG89" s="882">
        <f>IF($BN90=0,0,        _xll.qDateNext($BN89,CG$17,$CG$16,TRUE,Currency2))</f>
        <v>0</v>
      </c>
      <c r="CH89" s="886">
        <v>0</v>
      </c>
      <c r="CI89" s="886">
        <v>0</v>
      </c>
      <c r="CJ89" s="886">
        <v>0</v>
      </c>
      <c r="CK89" s="886">
        <v>0</v>
      </c>
      <c r="CL89" s="886">
        <f t="shared" si="61"/>
        <v>0</v>
      </c>
      <c r="CM89" s="886">
        <f t="shared" si="62"/>
        <v>0</v>
      </c>
      <c r="CN89" s="886">
        <v>0</v>
      </c>
      <c r="CO89" s="886">
        <v>0</v>
      </c>
      <c r="CP89" s="648">
        <f t="shared" si="39"/>
        <v>0</v>
      </c>
      <c r="CQ89" s="648">
        <f t="shared" si="40"/>
        <v>0</v>
      </c>
      <c r="CR89" s="648">
        <f t="shared" si="41"/>
        <v>0</v>
      </c>
      <c r="CS89" s="648">
        <f t="shared" si="42"/>
        <v>0</v>
      </c>
      <c r="CT89" s="648">
        <f t="shared" si="43"/>
        <v>0</v>
      </c>
      <c r="CU89" s="648">
        <f t="shared" si="44"/>
        <v>0</v>
      </c>
      <c r="CV89" s="648">
        <f t="shared" si="45"/>
        <v>0</v>
      </c>
      <c r="CW89" s="648">
        <f t="shared" si="46"/>
        <v>0</v>
      </c>
      <c r="CX89" s="634">
        <v>0</v>
      </c>
      <c r="CY89" s="616"/>
      <c r="CZ89" s="619">
        <f>IF(BN90=0,0,             IF(ISNUMBER(CY89),CY89,             IF(ISTEXT(CY89),INDEX(CP89:CW89,MATCH(CY89,$CP$17:$CW$17,0)),           IF(CX89="INT",_xll.qInterp(BN90,BZ89:CG89,CP89:CW89),       INDEX(CP89:CW89,MATCH(CX89,$CP$17:$CW$17,0))))))</f>
        <v>0</v>
      </c>
      <c r="DA89" s="755">
        <f t="shared" si="47"/>
        <v>0</v>
      </c>
      <c r="DB89" s="387">
        <f t="shared" si="48"/>
        <v>0</v>
      </c>
      <c r="DC89" s="268">
        <f>IF($BN90=0,0,         IF(LEFT(DCC_Leg2_Fixed,2)="1/",uEvaluate(DCC_Leg2_Fixed),         _xll.qDateYears($BN89,$BN90,DCC_Leg2_Fixed)))</f>
        <v>0</v>
      </c>
      <c r="DD89" s="268">
        <f>IF($BN90,_xll.qDateYears($BN89,$BN90,DCC_Leg2_Float),0)</f>
        <v>0</v>
      </c>
      <c r="DF89" s="332">
        <f t="shared" si="63"/>
        <v>0</v>
      </c>
      <c r="DG89" s="357">
        <f t="shared" si="64"/>
        <v>0</v>
      </c>
      <c r="DH89" s="527"/>
      <c r="DJ89" s="324">
        <f t="shared" si="34"/>
        <v>0</v>
      </c>
      <c r="DK89" s="529"/>
      <c r="DL89" s="338"/>
    </row>
    <row r="90" spans="15:116">
      <c r="O90" s="121">
        <v>0</v>
      </c>
      <c r="P90" s="755">
        <f t="shared" si="35"/>
        <v>0</v>
      </c>
      <c r="Q90" s="125">
        <v>0</v>
      </c>
      <c r="R90" s="890">
        <f>IF(O91=0,0,         IF(OR(Currency1="AUD",Currency1="NZD",Currency1="GBP"),O90,   _xll.qDateNext(O90,"-2b",,,IF(Currency1="EUR","TGT","LON"))))</f>
        <v>0</v>
      </c>
      <c r="S90" s="879" t="str">
        <v/>
      </c>
      <c r="T90" s="879" t="str">
        <v/>
      </c>
      <c r="U90" s="879" t="str">
        <v/>
      </c>
      <c r="V90" s="879" t="str">
        <v/>
      </c>
      <c r="W90" s="879" t="str">
        <v/>
      </c>
      <c r="X90" s="879" t="str">
        <v/>
      </c>
      <c r="Y90" s="879" t="str">
        <v/>
      </c>
      <c r="Z90" s="879" t="str">
        <v/>
      </c>
      <c r="AA90" s="882">
        <f>IF($O91=0,0,        _xll.qDateNext($O90,AA$17,$AH$16,TRUE,Currency1))</f>
        <v>0</v>
      </c>
      <c r="AB90" s="882">
        <f>IF($O91=0,0,        _xll.qDateNext($O90,AB$17,$AH$16,TRUE,Currency1))</f>
        <v>0</v>
      </c>
      <c r="AC90" s="882">
        <f>IF($O91=0,0,        _xll.qDateNext($O90,AC$17,$AH$16,TRUE,Currency1))</f>
        <v>0</v>
      </c>
      <c r="AD90" s="882">
        <f>IF($O91=0,0,        _xll.qDateNext($O90,AD$17,$AH$16,TRUE,Currency1))</f>
        <v>0</v>
      </c>
      <c r="AE90" s="882">
        <f>IF($O91=0,0,        _xll.qDateNext($O90,AE$17,$AH$16,TRUE,Currency1))</f>
        <v>0</v>
      </c>
      <c r="AF90" s="882">
        <f>IF($O91=0,0,        _xll.qDateNext($O90,AF$17,$AH$16,TRUE,Currency1))</f>
        <v>0</v>
      </c>
      <c r="AG90" s="882">
        <f>IF($O91=0,0,        _xll.qDateNext($O90,AG$17,$AH$16,TRUE,Currency1))</f>
        <v>0</v>
      </c>
      <c r="AH90" s="882">
        <f>IF($O91=0,0,        _xll.qDateNext($O90,AH$17,$AH$16,TRUE,Currency1))</f>
        <v>0</v>
      </c>
      <c r="AI90" s="886">
        <f>IF($O91=0,0,           IF(FRM,_xll.qGetFwdRate(AI$14,$O90,AA90,"T",DCC_Leg1_Float),_xll.qGetFwdRate(AI$14,$O90,$O91,"T",DCC_Leg1_Float)))</f>
        <v>0</v>
      </c>
      <c r="AJ90" s="886">
        <f>IF($O91=0,0,           IF(FRM,_xll.qGetFwdRate(AJ$14,$O90,AB90,"T",DCC_Leg1_Float),_xll.qGetFwdRate(AJ$14,$O90,$O91,"T",DCC_Leg1_Float)))</f>
        <v>0</v>
      </c>
      <c r="AK90" s="886">
        <f t="shared" si="36"/>
        <v>0</v>
      </c>
      <c r="AL90" s="886">
        <f>IF($O91=0,0,           IF(FRM,_xll.qGetFwdRate(AL$14,$O90,AD90,"T",DCC_Leg1_Float),_xll.qGetFwdRate(AL$14,$O90,$O91,"T",DCC_Leg1_Float)))</f>
        <v>0</v>
      </c>
      <c r="AM90" s="886">
        <f t="shared" si="49"/>
        <v>0</v>
      </c>
      <c r="AN90" s="886">
        <f t="shared" si="50"/>
        <v>0</v>
      </c>
      <c r="AO90" s="886">
        <f>IF($O91=0,0,           IF(FRM,_xll.qGetFwdRate(AO$14,$O90,AG90,"T",DCC_Leg1_Float),_xll.qGetFwdRate(AO$14,$O90,$O91,"T",DCC_Leg1_Float)))</f>
        <v>0</v>
      </c>
      <c r="AP90" s="886">
        <f>IF($O91=0,0,           IF(FRM,_xll.qGetFwdRate(AP$14,$O90,AH90,"T",DCC_Leg1_Float),_xll.qGetFwdRate(AP$14,$O90,$O91,"T",DCC_Leg1_Float)))</f>
        <v>0</v>
      </c>
      <c r="AQ90" s="648">
        <f t="shared" si="51"/>
        <v>0</v>
      </c>
      <c r="AR90" s="648">
        <f t="shared" si="52"/>
        <v>0</v>
      </c>
      <c r="AS90" s="648">
        <f t="shared" si="53"/>
        <v>0</v>
      </c>
      <c r="AT90" s="648">
        <f t="shared" si="54"/>
        <v>0</v>
      </c>
      <c r="AU90" s="648">
        <f t="shared" si="55"/>
        <v>0</v>
      </c>
      <c r="AV90" s="648">
        <f t="shared" si="56"/>
        <v>0</v>
      </c>
      <c r="AW90" s="648">
        <f t="shared" si="57"/>
        <v>0</v>
      </c>
      <c r="AX90" s="648">
        <f t="shared" si="58"/>
        <v>0</v>
      </c>
      <c r="AY90" s="634">
        <v>0</v>
      </c>
      <c r="AZ90" s="616"/>
      <c r="BA90" s="619">
        <f>IF(O91=0,0,             IF(ISNUMBER(AZ90),AZ90,             IF(ISTEXT(AZ90),INDEX(AQ90:AX90,MATCH(AZ90,$AQ$17:$AX$17,0)),           IF(AY90="INT",_xll.qInterp(O91,AA90:AH90,AQ90:AX90),       INDEX(AQ90:AX90,MATCH(AY90,$AQ$17:$AX$17,0))))))</f>
        <v>0</v>
      </c>
      <c r="BB90" s="674">
        <v>100</v>
      </c>
      <c r="BC90" s="666">
        <f t="shared" si="37"/>
        <v>0</v>
      </c>
      <c r="BD90" s="268">
        <f>IF($O91=0,0,                IF(LEFT(DCC_Leg1_Fixed,2)="1/",uEvaluate(DCC_Leg1_Fixed),        _xll.qDateYears($O90,$O91,DCC_Leg1_Fixed)))</f>
        <v>0</v>
      </c>
      <c r="BE90" s="268">
        <f>IF($O91,_xll.qDateYears($O90,$O91,DCC_Leg1_Float),0)</f>
        <v>0</v>
      </c>
      <c r="BG90" s="332">
        <f t="shared" si="59"/>
        <v>0</v>
      </c>
      <c r="BH90" s="357">
        <f t="shared" si="60"/>
        <v>0</v>
      </c>
      <c r="BI90" s="527"/>
      <c r="BK90" s="324">
        <f t="shared" si="33"/>
        <v>0</v>
      </c>
      <c r="BM90" s="338"/>
      <c r="BN90" s="121">
        <v>0</v>
      </c>
      <c r="BO90" s="755">
        <f t="shared" si="38"/>
        <v>0</v>
      </c>
      <c r="BP90" s="339">
        <v>0</v>
      </c>
      <c r="BQ90" s="890">
        <f>IF(BN91=0,0,         IF(OR(Currency2="AUD",Currency1="NZD",Currency2="GBP"),BN90,   _xll.qDateNext(BN90,"-2b",,,IF(Currency2="EUR","TGT","LON"))))</f>
        <v>0</v>
      </c>
      <c r="BR90" s="879" t="str">
        <v/>
      </c>
      <c r="BS90" s="879" t="str">
        <v/>
      </c>
      <c r="BT90" s="879" t="str">
        <v/>
      </c>
      <c r="BU90" s="879" t="str">
        <v/>
      </c>
      <c r="BV90" s="879" t="str">
        <v/>
      </c>
      <c r="BW90" s="879" t="str">
        <v/>
      </c>
      <c r="BX90" s="879" t="str">
        <v/>
      </c>
      <c r="BY90" s="879" t="str">
        <v/>
      </c>
      <c r="BZ90" s="882">
        <f>IF($BN91=0,0,        _xll.qDateNext($BN90,BZ$17,$CG$16,TRUE,Currency2))</f>
        <v>0</v>
      </c>
      <c r="CA90" s="882">
        <f>IF($BN91=0,0,        _xll.qDateNext($BN90,CA$17,$CG$16,TRUE,Currency2))</f>
        <v>0</v>
      </c>
      <c r="CB90" s="882">
        <f>IF($BN91=0,0,        _xll.qDateNext($BN90,CB$17,$CG$16,TRUE,Currency2))</f>
        <v>0</v>
      </c>
      <c r="CC90" s="882">
        <f>IF($BN91=0,0,        _xll.qDateNext($BN90,CC$17,$CG$16,TRUE,Currency2))</f>
        <v>0</v>
      </c>
      <c r="CD90" s="882">
        <f>IF($BN91=0,0,        _xll.qDateNext($BN90,CD$17,$CG$16,TRUE,Currency2))</f>
        <v>0</v>
      </c>
      <c r="CE90" s="882">
        <f>IF($BN91=0,0,        _xll.qDateNext($BN90,CE$17,$CG$16,TRUE,Currency2))</f>
        <v>0</v>
      </c>
      <c r="CF90" s="882">
        <f>IF($BN91=0,0,        _xll.qDateNext($BN90,CF$17,$CG$16,TRUE,Currency2))</f>
        <v>0</v>
      </c>
      <c r="CG90" s="882">
        <f>IF($BN91=0,0,        _xll.qDateNext($BN90,CG$17,$CG$16,TRUE,Currency2))</f>
        <v>0</v>
      </c>
      <c r="CH90" s="886">
        <v>0</v>
      </c>
      <c r="CI90" s="886">
        <v>0</v>
      </c>
      <c r="CJ90" s="886">
        <v>0</v>
      </c>
      <c r="CK90" s="886">
        <v>0</v>
      </c>
      <c r="CL90" s="886">
        <f t="shared" si="61"/>
        <v>0</v>
      </c>
      <c r="CM90" s="886">
        <f t="shared" si="62"/>
        <v>0</v>
      </c>
      <c r="CN90" s="886">
        <v>0</v>
      </c>
      <c r="CO90" s="886">
        <v>0</v>
      </c>
      <c r="CP90" s="648">
        <f t="shared" si="39"/>
        <v>0</v>
      </c>
      <c r="CQ90" s="648">
        <f t="shared" si="40"/>
        <v>0</v>
      </c>
      <c r="CR90" s="648">
        <f t="shared" si="41"/>
        <v>0</v>
      </c>
      <c r="CS90" s="648">
        <f t="shared" si="42"/>
        <v>0</v>
      </c>
      <c r="CT90" s="648">
        <f t="shared" si="43"/>
        <v>0</v>
      </c>
      <c r="CU90" s="648">
        <f t="shared" si="44"/>
        <v>0</v>
      </c>
      <c r="CV90" s="648">
        <f t="shared" si="45"/>
        <v>0</v>
      </c>
      <c r="CW90" s="648">
        <f t="shared" si="46"/>
        <v>0</v>
      </c>
      <c r="CX90" s="634">
        <v>0</v>
      </c>
      <c r="CY90" s="616"/>
      <c r="CZ90" s="619">
        <f>IF(BN91=0,0,             IF(ISNUMBER(CY90),CY90,             IF(ISTEXT(CY90),INDEX(CP90:CW90,MATCH(CY90,$CP$17:$CW$17,0)),           IF(CX90="INT",_xll.qInterp(BN91,BZ90:CG90,CP90:CW90),       INDEX(CP90:CW90,MATCH(CX90,$CP$17:$CW$17,0))))))</f>
        <v>0</v>
      </c>
      <c r="DA90" s="755">
        <f t="shared" si="47"/>
        <v>0</v>
      </c>
      <c r="DB90" s="387">
        <f t="shared" si="48"/>
        <v>0</v>
      </c>
      <c r="DC90" s="268">
        <f>IF($BN91=0,0,         IF(LEFT(DCC_Leg2_Fixed,2)="1/",uEvaluate(DCC_Leg2_Fixed),         _xll.qDateYears($BN90,$BN91,DCC_Leg2_Fixed)))</f>
        <v>0</v>
      </c>
      <c r="DD90" s="268">
        <f>IF($BN91,_xll.qDateYears($BN90,$BN91,DCC_Leg2_Float),0)</f>
        <v>0</v>
      </c>
      <c r="DF90" s="332">
        <f t="shared" si="63"/>
        <v>0</v>
      </c>
      <c r="DG90" s="357">
        <f t="shared" si="64"/>
        <v>0</v>
      </c>
      <c r="DH90" s="527"/>
      <c r="DJ90" s="324">
        <f t="shared" si="34"/>
        <v>0</v>
      </c>
      <c r="DK90" s="529"/>
      <c r="DL90" s="338"/>
    </row>
    <row r="91" spans="15:116">
      <c r="O91" s="121">
        <v>0</v>
      </c>
      <c r="P91" s="755">
        <f t="shared" si="35"/>
        <v>0</v>
      </c>
      <c r="Q91" s="125">
        <v>0</v>
      </c>
      <c r="R91" s="890">
        <f>IF(O92=0,0,         IF(OR(Currency1="AUD",Currency1="NZD",Currency1="GBP"),O91,   _xll.qDateNext(O91,"-2b",,,IF(Currency1="EUR","TGT","LON"))))</f>
        <v>0</v>
      </c>
      <c r="S91" s="879" t="str">
        <v/>
      </c>
      <c r="T91" s="879" t="str">
        <v/>
      </c>
      <c r="U91" s="879" t="str">
        <v/>
      </c>
      <c r="V91" s="879" t="str">
        <v/>
      </c>
      <c r="W91" s="879" t="str">
        <v/>
      </c>
      <c r="X91" s="879" t="str">
        <v/>
      </c>
      <c r="Y91" s="879" t="str">
        <v/>
      </c>
      <c r="Z91" s="879" t="str">
        <v/>
      </c>
      <c r="AA91" s="882">
        <f>IF($O92=0,0,        _xll.qDateNext($O91,AA$17,$AH$16,TRUE,Currency1))</f>
        <v>0</v>
      </c>
      <c r="AB91" s="882">
        <f>IF($O92=0,0,        _xll.qDateNext($O91,AB$17,$AH$16,TRUE,Currency1))</f>
        <v>0</v>
      </c>
      <c r="AC91" s="882">
        <f>IF($O92=0,0,        _xll.qDateNext($O91,AC$17,$AH$16,TRUE,Currency1))</f>
        <v>0</v>
      </c>
      <c r="AD91" s="882">
        <f>IF($O92=0,0,        _xll.qDateNext($O91,AD$17,$AH$16,TRUE,Currency1))</f>
        <v>0</v>
      </c>
      <c r="AE91" s="882">
        <f>IF($O92=0,0,        _xll.qDateNext($O91,AE$17,$AH$16,TRUE,Currency1))</f>
        <v>0</v>
      </c>
      <c r="AF91" s="882">
        <f>IF($O92=0,0,        _xll.qDateNext($O91,AF$17,$AH$16,TRUE,Currency1))</f>
        <v>0</v>
      </c>
      <c r="AG91" s="882">
        <f>IF($O92=0,0,        _xll.qDateNext($O91,AG$17,$AH$16,TRUE,Currency1))</f>
        <v>0</v>
      </c>
      <c r="AH91" s="882">
        <f>IF($O92=0,0,        _xll.qDateNext($O91,AH$17,$AH$16,TRUE,Currency1))</f>
        <v>0</v>
      </c>
      <c r="AI91" s="886">
        <f>IF($O92=0,0,           IF(FRM,_xll.qGetFwdRate(AI$14,$O91,AA91,"T",DCC_Leg1_Float),_xll.qGetFwdRate(AI$14,$O91,$O92,"T",DCC_Leg1_Float)))</f>
        <v>0</v>
      </c>
      <c r="AJ91" s="886">
        <f>IF($O92=0,0,           IF(FRM,_xll.qGetFwdRate(AJ$14,$O91,AB91,"T",DCC_Leg1_Float),_xll.qGetFwdRate(AJ$14,$O91,$O92,"T",DCC_Leg1_Float)))</f>
        <v>0</v>
      </c>
      <c r="AK91" s="886">
        <f t="shared" si="36"/>
        <v>0</v>
      </c>
      <c r="AL91" s="886">
        <f>IF($O92=0,0,           IF(FRM,_xll.qGetFwdRate(AL$14,$O91,AD91,"T",DCC_Leg1_Float),_xll.qGetFwdRate(AL$14,$O91,$O92,"T",DCC_Leg1_Float)))</f>
        <v>0</v>
      </c>
      <c r="AM91" s="886">
        <f t="shared" si="49"/>
        <v>0</v>
      </c>
      <c r="AN91" s="886">
        <f t="shared" si="50"/>
        <v>0</v>
      </c>
      <c r="AO91" s="886">
        <f>IF($O92=0,0,           IF(FRM,_xll.qGetFwdRate(AO$14,$O91,AG91,"T",DCC_Leg1_Float),_xll.qGetFwdRate(AO$14,$O91,$O92,"T",DCC_Leg1_Float)))</f>
        <v>0</v>
      </c>
      <c r="AP91" s="886">
        <f>IF($O92=0,0,           IF(FRM,_xll.qGetFwdRate(AP$14,$O91,AH91,"T",DCC_Leg1_Float),_xll.qGetFwdRate(AP$14,$O91,$O92,"T",DCC_Leg1_Float)))</f>
        <v>0</v>
      </c>
      <c r="AQ91" s="648">
        <f t="shared" si="51"/>
        <v>0</v>
      </c>
      <c r="AR91" s="648">
        <f t="shared" si="52"/>
        <v>0</v>
      </c>
      <c r="AS91" s="648">
        <f t="shared" si="53"/>
        <v>0</v>
      </c>
      <c r="AT91" s="648">
        <f t="shared" si="54"/>
        <v>0</v>
      </c>
      <c r="AU91" s="648">
        <f t="shared" si="55"/>
        <v>0</v>
      </c>
      <c r="AV91" s="648">
        <f t="shared" si="56"/>
        <v>0</v>
      </c>
      <c r="AW91" s="648">
        <f t="shared" si="57"/>
        <v>0</v>
      </c>
      <c r="AX91" s="648">
        <f t="shared" si="58"/>
        <v>0</v>
      </c>
      <c r="AY91" s="634">
        <v>0</v>
      </c>
      <c r="AZ91" s="616"/>
      <c r="BA91" s="619">
        <f>IF(O92=0,0,             IF(ISNUMBER(AZ91),AZ91,             IF(ISTEXT(AZ91),INDEX(AQ91:AX91,MATCH(AZ91,$AQ$17:$AX$17,0)),           IF(AY91="INT",_xll.qInterp(O92,AA91:AH91,AQ91:AX91),       INDEX(AQ91:AX91,MATCH(AY91,$AQ$17:$AX$17,0))))))</f>
        <v>0</v>
      </c>
      <c r="BB91" s="674">
        <v>100</v>
      </c>
      <c r="BC91" s="666">
        <f t="shared" si="37"/>
        <v>0</v>
      </c>
      <c r="BD91" s="268">
        <f>IF($O92=0,0,                IF(LEFT(DCC_Leg1_Fixed,2)="1/",uEvaluate(DCC_Leg1_Fixed),        _xll.qDateYears($O91,$O92,DCC_Leg1_Fixed)))</f>
        <v>0</v>
      </c>
      <c r="BE91" s="268">
        <f>IF($O92,_xll.qDateYears($O91,$O92,DCC_Leg1_Float),0)</f>
        <v>0</v>
      </c>
      <c r="BG91" s="332">
        <f t="shared" si="59"/>
        <v>0</v>
      </c>
      <c r="BH91" s="357">
        <f t="shared" si="60"/>
        <v>0</v>
      </c>
      <c r="BI91" s="527"/>
      <c r="BK91" s="324">
        <f t="shared" si="33"/>
        <v>0</v>
      </c>
      <c r="BM91" s="338"/>
      <c r="BN91" s="121">
        <v>0</v>
      </c>
      <c r="BO91" s="755">
        <f t="shared" si="38"/>
        <v>0</v>
      </c>
      <c r="BP91" s="339">
        <v>0</v>
      </c>
      <c r="BQ91" s="890">
        <f>IF(BN92=0,0,         IF(OR(Currency2="AUD",Currency1="NZD",Currency2="GBP"),BN91,   _xll.qDateNext(BN91,"-2b",,,IF(Currency2="EUR","TGT","LON"))))</f>
        <v>0</v>
      </c>
      <c r="BR91" s="879" t="str">
        <v/>
      </c>
      <c r="BS91" s="879" t="str">
        <v/>
      </c>
      <c r="BT91" s="879" t="str">
        <v/>
      </c>
      <c r="BU91" s="879" t="str">
        <v/>
      </c>
      <c r="BV91" s="879" t="str">
        <v/>
      </c>
      <c r="BW91" s="879" t="str">
        <v/>
      </c>
      <c r="BX91" s="879" t="str">
        <v/>
      </c>
      <c r="BY91" s="879" t="str">
        <v/>
      </c>
      <c r="BZ91" s="882">
        <f>IF($BN92=0,0,        _xll.qDateNext($BN91,BZ$17,$CG$16,TRUE,Currency2))</f>
        <v>0</v>
      </c>
      <c r="CA91" s="882">
        <f>IF($BN92=0,0,        _xll.qDateNext($BN91,CA$17,$CG$16,TRUE,Currency2))</f>
        <v>0</v>
      </c>
      <c r="CB91" s="882">
        <f>IF($BN92=0,0,        _xll.qDateNext($BN91,CB$17,$CG$16,TRUE,Currency2))</f>
        <v>0</v>
      </c>
      <c r="CC91" s="882">
        <f>IF($BN92=0,0,        _xll.qDateNext($BN91,CC$17,$CG$16,TRUE,Currency2))</f>
        <v>0</v>
      </c>
      <c r="CD91" s="882">
        <f>IF($BN92=0,0,        _xll.qDateNext($BN91,CD$17,$CG$16,TRUE,Currency2))</f>
        <v>0</v>
      </c>
      <c r="CE91" s="882">
        <f>IF($BN92=0,0,        _xll.qDateNext($BN91,CE$17,$CG$16,TRUE,Currency2))</f>
        <v>0</v>
      </c>
      <c r="CF91" s="882">
        <f>IF($BN92=0,0,        _xll.qDateNext($BN91,CF$17,$CG$16,TRUE,Currency2))</f>
        <v>0</v>
      </c>
      <c r="CG91" s="882">
        <f>IF($BN92=0,0,        _xll.qDateNext($BN91,CG$17,$CG$16,TRUE,Currency2))</f>
        <v>0</v>
      </c>
      <c r="CH91" s="886">
        <v>0</v>
      </c>
      <c r="CI91" s="886">
        <v>0</v>
      </c>
      <c r="CJ91" s="886">
        <v>0</v>
      </c>
      <c r="CK91" s="886">
        <v>0</v>
      </c>
      <c r="CL91" s="886">
        <f t="shared" si="61"/>
        <v>0</v>
      </c>
      <c r="CM91" s="886">
        <f t="shared" si="62"/>
        <v>0</v>
      </c>
      <c r="CN91" s="886">
        <v>0</v>
      </c>
      <c r="CO91" s="886">
        <v>0</v>
      </c>
      <c r="CP91" s="648">
        <f t="shared" si="39"/>
        <v>0</v>
      </c>
      <c r="CQ91" s="648">
        <f t="shared" si="40"/>
        <v>0</v>
      </c>
      <c r="CR91" s="648">
        <f t="shared" si="41"/>
        <v>0</v>
      </c>
      <c r="CS91" s="648">
        <f t="shared" si="42"/>
        <v>0</v>
      </c>
      <c r="CT91" s="648">
        <f t="shared" si="43"/>
        <v>0</v>
      </c>
      <c r="CU91" s="648">
        <f t="shared" si="44"/>
        <v>0</v>
      </c>
      <c r="CV91" s="648">
        <f t="shared" si="45"/>
        <v>0</v>
      </c>
      <c r="CW91" s="648">
        <f t="shared" si="46"/>
        <v>0</v>
      </c>
      <c r="CX91" s="634">
        <v>0</v>
      </c>
      <c r="CY91" s="616"/>
      <c r="CZ91" s="619">
        <f>IF(BN92=0,0,             IF(ISNUMBER(CY91),CY91,             IF(ISTEXT(CY91),INDEX(CP91:CW91,MATCH(CY91,$CP$17:$CW$17,0)),           IF(CX91="INT",_xll.qInterp(BN92,BZ91:CG91,CP91:CW91),       INDEX(CP91:CW91,MATCH(CX91,$CP$17:$CW$17,0))))))</f>
        <v>0</v>
      </c>
      <c r="DA91" s="755">
        <f t="shared" si="47"/>
        <v>0</v>
      </c>
      <c r="DB91" s="387">
        <f t="shared" si="48"/>
        <v>0</v>
      </c>
      <c r="DC91" s="268">
        <f>IF($BN92=0,0,         IF(LEFT(DCC_Leg2_Fixed,2)="1/",uEvaluate(DCC_Leg2_Fixed),         _xll.qDateYears($BN91,$BN92,DCC_Leg2_Fixed)))</f>
        <v>0</v>
      </c>
      <c r="DD91" s="268">
        <f>IF($BN92,_xll.qDateYears($BN91,$BN92,DCC_Leg2_Float),0)</f>
        <v>0</v>
      </c>
      <c r="DF91" s="332">
        <f t="shared" si="63"/>
        <v>0</v>
      </c>
      <c r="DG91" s="357">
        <f t="shared" si="64"/>
        <v>0</v>
      </c>
      <c r="DH91" s="527"/>
      <c r="DJ91" s="324">
        <f t="shared" si="34"/>
        <v>0</v>
      </c>
      <c r="DK91" s="529"/>
      <c r="DL91" s="338"/>
    </row>
    <row r="92" spans="15:116">
      <c r="O92" s="121">
        <v>0</v>
      </c>
      <c r="P92" s="755">
        <f t="shared" si="35"/>
        <v>0</v>
      </c>
      <c r="Q92" s="125">
        <v>0</v>
      </c>
      <c r="R92" s="890">
        <f>IF(O93=0,0,         IF(OR(Currency1="AUD",Currency1="NZD",Currency1="GBP"),O92,   _xll.qDateNext(O92,"-2b",,,IF(Currency1="EUR","TGT","LON"))))</f>
        <v>0</v>
      </c>
      <c r="S92" s="879" t="str">
        <v/>
      </c>
      <c r="T92" s="879" t="str">
        <v/>
      </c>
      <c r="U92" s="879" t="str">
        <v/>
      </c>
      <c r="V92" s="879" t="str">
        <v/>
      </c>
      <c r="W92" s="879" t="str">
        <v/>
      </c>
      <c r="X92" s="879" t="str">
        <v/>
      </c>
      <c r="Y92" s="879" t="str">
        <v/>
      </c>
      <c r="Z92" s="879" t="str">
        <v/>
      </c>
      <c r="AA92" s="882">
        <f>IF($O93=0,0,        _xll.qDateNext($O92,AA$17,$AH$16,TRUE,Currency1))</f>
        <v>0</v>
      </c>
      <c r="AB92" s="882">
        <f>IF($O93=0,0,        _xll.qDateNext($O92,AB$17,$AH$16,TRUE,Currency1))</f>
        <v>0</v>
      </c>
      <c r="AC92" s="882">
        <f>IF($O93=0,0,        _xll.qDateNext($O92,AC$17,$AH$16,TRUE,Currency1))</f>
        <v>0</v>
      </c>
      <c r="AD92" s="882">
        <f>IF($O93=0,0,        _xll.qDateNext($O92,AD$17,$AH$16,TRUE,Currency1))</f>
        <v>0</v>
      </c>
      <c r="AE92" s="882">
        <f>IF($O93=0,0,        _xll.qDateNext($O92,AE$17,$AH$16,TRUE,Currency1))</f>
        <v>0</v>
      </c>
      <c r="AF92" s="882">
        <f>IF($O93=0,0,        _xll.qDateNext($O92,AF$17,$AH$16,TRUE,Currency1))</f>
        <v>0</v>
      </c>
      <c r="AG92" s="882">
        <f>IF($O93=0,0,        _xll.qDateNext($O92,AG$17,$AH$16,TRUE,Currency1))</f>
        <v>0</v>
      </c>
      <c r="AH92" s="882">
        <f>IF($O93=0,0,        _xll.qDateNext($O92,AH$17,$AH$16,TRUE,Currency1))</f>
        <v>0</v>
      </c>
      <c r="AI92" s="886">
        <f>IF($O93=0,0,           IF(FRM,_xll.qGetFwdRate(AI$14,$O92,AA92,"T",DCC_Leg1_Float),_xll.qGetFwdRate(AI$14,$O92,$O93,"T",DCC_Leg1_Float)))</f>
        <v>0</v>
      </c>
      <c r="AJ92" s="886">
        <f>IF($O93=0,0,           IF(FRM,_xll.qGetFwdRate(AJ$14,$O92,AB92,"T",DCC_Leg1_Float),_xll.qGetFwdRate(AJ$14,$O92,$O93,"T",DCC_Leg1_Float)))</f>
        <v>0</v>
      </c>
      <c r="AK92" s="886">
        <f t="shared" si="36"/>
        <v>0</v>
      </c>
      <c r="AL92" s="886">
        <f>IF($O93=0,0,           IF(FRM,_xll.qGetFwdRate(AL$14,$O92,AD92,"T",DCC_Leg1_Float),_xll.qGetFwdRate(AL$14,$O92,$O93,"T",DCC_Leg1_Float)))</f>
        <v>0</v>
      </c>
      <c r="AM92" s="886">
        <f t="shared" si="49"/>
        <v>0</v>
      </c>
      <c r="AN92" s="886">
        <f t="shared" si="50"/>
        <v>0</v>
      </c>
      <c r="AO92" s="886">
        <f>IF($O93=0,0,           IF(FRM,_xll.qGetFwdRate(AO$14,$O92,AG92,"T",DCC_Leg1_Float),_xll.qGetFwdRate(AO$14,$O92,$O93,"T",DCC_Leg1_Float)))</f>
        <v>0</v>
      </c>
      <c r="AP92" s="886">
        <f>IF($O93=0,0,           IF(FRM,_xll.qGetFwdRate(AP$14,$O92,AH92,"T",DCC_Leg1_Float),_xll.qGetFwdRate(AP$14,$O92,$O93,"T",DCC_Leg1_Float)))</f>
        <v>0</v>
      </c>
      <c r="AQ92" s="648">
        <f t="shared" si="51"/>
        <v>0</v>
      </c>
      <c r="AR92" s="648">
        <f t="shared" si="52"/>
        <v>0</v>
      </c>
      <c r="AS92" s="648">
        <f t="shared" si="53"/>
        <v>0</v>
      </c>
      <c r="AT92" s="648">
        <f t="shared" si="54"/>
        <v>0</v>
      </c>
      <c r="AU92" s="648">
        <f t="shared" si="55"/>
        <v>0</v>
      </c>
      <c r="AV92" s="648">
        <f t="shared" si="56"/>
        <v>0</v>
      </c>
      <c r="AW92" s="648">
        <f t="shared" si="57"/>
        <v>0</v>
      </c>
      <c r="AX92" s="648">
        <f t="shared" si="58"/>
        <v>0</v>
      </c>
      <c r="AY92" s="634">
        <v>0</v>
      </c>
      <c r="AZ92" s="616"/>
      <c r="BA92" s="619">
        <f>IF(O93=0,0,             IF(ISNUMBER(AZ92),AZ92,             IF(ISTEXT(AZ92),INDEX(AQ92:AX92,MATCH(AZ92,$AQ$17:$AX$17,0)),           IF(AY92="INT",_xll.qInterp(O93,AA92:AH92,AQ92:AX92),       INDEX(AQ92:AX92,MATCH(AY92,$AQ$17:$AX$17,0))))))</f>
        <v>0</v>
      </c>
      <c r="BB92" s="674">
        <v>100</v>
      </c>
      <c r="BC92" s="666">
        <f t="shared" si="37"/>
        <v>0</v>
      </c>
      <c r="BD92" s="268">
        <f>IF($O93=0,0,                IF(LEFT(DCC_Leg1_Fixed,2)="1/",uEvaluate(DCC_Leg1_Fixed),        _xll.qDateYears($O92,$O93,DCC_Leg1_Fixed)))</f>
        <v>0</v>
      </c>
      <c r="BE92" s="268">
        <f>IF($O93,_xll.qDateYears($O92,$O93,DCC_Leg1_Float),0)</f>
        <v>0</v>
      </c>
      <c r="BG92" s="332">
        <f t="shared" si="59"/>
        <v>0</v>
      </c>
      <c r="BH92" s="357">
        <f t="shared" si="60"/>
        <v>0</v>
      </c>
      <c r="BI92" s="527"/>
      <c r="BK92" s="324">
        <f t="shared" si="33"/>
        <v>0</v>
      </c>
      <c r="BM92" s="338"/>
      <c r="BN92" s="121">
        <v>0</v>
      </c>
      <c r="BO92" s="755">
        <f t="shared" si="38"/>
        <v>0</v>
      </c>
      <c r="BP92" s="339">
        <v>0</v>
      </c>
      <c r="BQ92" s="890">
        <f>IF(BN93=0,0,         IF(OR(Currency2="AUD",Currency1="NZD",Currency2="GBP"),BN92,   _xll.qDateNext(BN92,"-2b",,,IF(Currency2="EUR","TGT","LON"))))</f>
        <v>0</v>
      </c>
      <c r="BR92" s="879" t="str">
        <v/>
      </c>
      <c r="BS92" s="879" t="str">
        <v/>
      </c>
      <c r="BT92" s="879" t="str">
        <v/>
      </c>
      <c r="BU92" s="879" t="str">
        <v/>
      </c>
      <c r="BV92" s="879" t="str">
        <v/>
      </c>
      <c r="BW92" s="879" t="str">
        <v/>
      </c>
      <c r="BX92" s="879" t="str">
        <v/>
      </c>
      <c r="BY92" s="879" t="str">
        <v/>
      </c>
      <c r="BZ92" s="882">
        <f>IF($BN93=0,0,        _xll.qDateNext($BN92,BZ$17,$CG$16,TRUE,Currency2))</f>
        <v>0</v>
      </c>
      <c r="CA92" s="882">
        <f>IF($BN93=0,0,        _xll.qDateNext($BN92,CA$17,$CG$16,TRUE,Currency2))</f>
        <v>0</v>
      </c>
      <c r="CB92" s="882">
        <f>IF($BN93=0,0,        _xll.qDateNext($BN92,CB$17,$CG$16,TRUE,Currency2))</f>
        <v>0</v>
      </c>
      <c r="CC92" s="882">
        <f>IF($BN93=0,0,        _xll.qDateNext($BN92,CC$17,$CG$16,TRUE,Currency2))</f>
        <v>0</v>
      </c>
      <c r="CD92" s="882">
        <f>IF($BN93=0,0,        _xll.qDateNext($BN92,CD$17,$CG$16,TRUE,Currency2))</f>
        <v>0</v>
      </c>
      <c r="CE92" s="882">
        <f>IF($BN93=0,0,        _xll.qDateNext($BN92,CE$17,$CG$16,TRUE,Currency2))</f>
        <v>0</v>
      </c>
      <c r="CF92" s="882">
        <f>IF($BN93=0,0,        _xll.qDateNext($BN92,CF$17,$CG$16,TRUE,Currency2))</f>
        <v>0</v>
      </c>
      <c r="CG92" s="882">
        <f>IF($BN93=0,0,        _xll.qDateNext($BN92,CG$17,$CG$16,TRUE,Currency2))</f>
        <v>0</v>
      </c>
      <c r="CH92" s="886">
        <v>0</v>
      </c>
      <c r="CI92" s="886">
        <v>0</v>
      </c>
      <c r="CJ92" s="886">
        <v>0</v>
      </c>
      <c r="CK92" s="886">
        <v>0</v>
      </c>
      <c r="CL92" s="886">
        <f t="shared" si="61"/>
        <v>0</v>
      </c>
      <c r="CM92" s="886">
        <f t="shared" si="62"/>
        <v>0</v>
      </c>
      <c r="CN92" s="886">
        <v>0</v>
      </c>
      <c r="CO92" s="886">
        <v>0</v>
      </c>
      <c r="CP92" s="648">
        <f t="shared" si="39"/>
        <v>0</v>
      </c>
      <c r="CQ92" s="648">
        <f t="shared" si="40"/>
        <v>0</v>
      </c>
      <c r="CR92" s="648">
        <f t="shared" si="41"/>
        <v>0</v>
      </c>
      <c r="CS92" s="648">
        <f t="shared" si="42"/>
        <v>0</v>
      </c>
      <c r="CT92" s="648">
        <f t="shared" si="43"/>
        <v>0</v>
      </c>
      <c r="CU92" s="648">
        <f t="shared" si="44"/>
        <v>0</v>
      </c>
      <c r="CV92" s="648">
        <f t="shared" si="45"/>
        <v>0</v>
      </c>
      <c r="CW92" s="648">
        <f t="shared" si="46"/>
        <v>0</v>
      </c>
      <c r="CX92" s="634">
        <v>0</v>
      </c>
      <c r="CY92" s="616"/>
      <c r="CZ92" s="619">
        <f>IF(BN93=0,0,             IF(ISNUMBER(CY92),CY92,             IF(ISTEXT(CY92),INDEX(CP92:CW92,MATCH(CY92,$CP$17:$CW$17,0)),           IF(CX92="INT",_xll.qInterp(BN93,BZ92:CG92,CP92:CW92),       INDEX(CP92:CW92,MATCH(CX92,$CP$17:$CW$17,0))))))</f>
        <v>0</v>
      </c>
      <c r="DA92" s="755">
        <f t="shared" si="47"/>
        <v>0</v>
      </c>
      <c r="DB92" s="387">
        <f t="shared" si="48"/>
        <v>0</v>
      </c>
      <c r="DC92" s="268">
        <f>IF($BN93=0,0,         IF(LEFT(DCC_Leg2_Fixed,2)="1/",uEvaluate(DCC_Leg2_Fixed),         _xll.qDateYears($BN92,$BN93,DCC_Leg2_Fixed)))</f>
        <v>0</v>
      </c>
      <c r="DD92" s="268">
        <f>IF($BN93,_xll.qDateYears($BN92,$BN93,DCC_Leg2_Float),0)</f>
        <v>0</v>
      </c>
      <c r="DF92" s="332">
        <f t="shared" si="63"/>
        <v>0</v>
      </c>
      <c r="DG92" s="357">
        <f t="shared" si="64"/>
        <v>0</v>
      </c>
      <c r="DH92" s="527"/>
      <c r="DJ92" s="324">
        <f t="shared" si="34"/>
        <v>0</v>
      </c>
      <c r="DK92" s="529"/>
      <c r="DL92" s="338"/>
    </row>
    <row r="93" spans="15:116">
      <c r="O93" s="121">
        <v>0</v>
      </c>
      <c r="P93" s="755">
        <f t="shared" si="35"/>
        <v>0</v>
      </c>
      <c r="Q93" s="125">
        <v>0</v>
      </c>
      <c r="R93" s="890">
        <f>IF(O94=0,0,         IF(OR(Currency1="AUD",Currency1="NZD",Currency1="GBP"),O93,   _xll.qDateNext(O93,"-2b",,,IF(Currency1="EUR","TGT","LON"))))</f>
        <v>0</v>
      </c>
      <c r="S93" s="879" t="str">
        <v/>
      </c>
      <c r="T93" s="879" t="str">
        <v/>
      </c>
      <c r="U93" s="879" t="str">
        <v/>
      </c>
      <c r="V93" s="879" t="str">
        <v/>
      </c>
      <c r="W93" s="879" t="str">
        <v/>
      </c>
      <c r="X93" s="879" t="str">
        <v/>
      </c>
      <c r="Y93" s="879" t="str">
        <v/>
      </c>
      <c r="Z93" s="879" t="str">
        <v/>
      </c>
      <c r="AA93" s="882">
        <f>IF($O94=0,0,        _xll.qDateNext($O93,AA$17,$AH$16,TRUE,Currency1))</f>
        <v>0</v>
      </c>
      <c r="AB93" s="882">
        <f>IF($O94=0,0,        _xll.qDateNext($O93,AB$17,$AH$16,TRUE,Currency1))</f>
        <v>0</v>
      </c>
      <c r="AC93" s="882">
        <f>IF($O94=0,0,        _xll.qDateNext($O93,AC$17,$AH$16,TRUE,Currency1))</f>
        <v>0</v>
      </c>
      <c r="AD93" s="882">
        <f>IF($O94=0,0,        _xll.qDateNext($O93,AD$17,$AH$16,TRUE,Currency1))</f>
        <v>0</v>
      </c>
      <c r="AE93" s="882">
        <f>IF($O94=0,0,        _xll.qDateNext($O93,AE$17,$AH$16,TRUE,Currency1))</f>
        <v>0</v>
      </c>
      <c r="AF93" s="882">
        <f>IF($O94=0,0,        _xll.qDateNext($O93,AF$17,$AH$16,TRUE,Currency1))</f>
        <v>0</v>
      </c>
      <c r="AG93" s="882">
        <f>IF($O94=0,0,        _xll.qDateNext($O93,AG$17,$AH$16,TRUE,Currency1))</f>
        <v>0</v>
      </c>
      <c r="AH93" s="882">
        <f>IF($O94=0,0,        _xll.qDateNext($O93,AH$17,$AH$16,TRUE,Currency1))</f>
        <v>0</v>
      </c>
      <c r="AI93" s="886">
        <f>IF($O94=0,0,           IF(FRM,_xll.qGetFwdRate(AI$14,$O93,AA93,"T",DCC_Leg1_Float),_xll.qGetFwdRate(AI$14,$O93,$O94,"T",DCC_Leg1_Float)))</f>
        <v>0</v>
      </c>
      <c r="AJ93" s="886">
        <f>IF($O94=0,0,           IF(FRM,_xll.qGetFwdRate(AJ$14,$O93,AB93,"T",DCC_Leg1_Float),_xll.qGetFwdRate(AJ$14,$O93,$O94,"T",DCC_Leg1_Float)))</f>
        <v>0</v>
      </c>
      <c r="AK93" s="886">
        <f t="shared" si="36"/>
        <v>0</v>
      </c>
      <c r="AL93" s="886">
        <f>IF($O94=0,0,           IF(FRM,_xll.qGetFwdRate(AL$14,$O93,AD93,"T",DCC_Leg1_Float),_xll.qGetFwdRate(AL$14,$O93,$O94,"T",DCC_Leg1_Float)))</f>
        <v>0</v>
      </c>
      <c r="AM93" s="886">
        <f t="shared" si="49"/>
        <v>0</v>
      </c>
      <c r="AN93" s="886">
        <f t="shared" si="50"/>
        <v>0</v>
      </c>
      <c r="AO93" s="886">
        <f>IF($O94=0,0,           IF(FRM,_xll.qGetFwdRate(AO$14,$O93,AG93,"T",DCC_Leg1_Float),_xll.qGetFwdRate(AO$14,$O93,$O94,"T",DCC_Leg1_Float)))</f>
        <v>0</v>
      </c>
      <c r="AP93" s="886">
        <f>IF($O94=0,0,           IF(FRM,_xll.qGetFwdRate(AP$14,$O93,AH93,"T",DCC_Leg1_Float),_xll.qGetFwdRate(AP$14,$O93,$O94,"T",DCC_Leg1_Float)))</f>
        <v>0</v>
      </c>
      <c r="AQ93" s="648">
        <f t="shared" si="51"/>
        <v>0</v>
      </c>
      <c r="AR93" s="648">
        <f t="shared" si="52"/>
        <v>0</v>
      </c>
      <c r="AS93" s="648">
        <f t="shared" si="53"/>
        <v>0</v>
      </c>
      <c r="AT93" s="648">
        <f t="shared" si="54"/>
        <v>0</v>
      </c>
      <c r="AU93" s="648">
        <f t="shared" si="55"/>
        <v>0</v>
      </c>
      <c r="AV93" s="648">
        <f t="shared" si="56"/>
        <v>0</v>
      </c>
      <c r="AW93" s="648">
        <f t="shared" si="57"/>
        <v>0</v>
      </c>
      <c r="AX93" s="648">
        <f t="shared" si="58"/>
        <v>0</v>
      </c>
      <c r="AY93" s="634">
        <v>0</v>
      </c>
      <c r="AZ93" s="616"/>
      <c r="BA93" s="619">
        <f>IF(O94=0,0,             IF(ISNUMBER(AZ93),AZ93,             IF(ISTEXT(AZ93),INDEX(AQ93:AX93,MATCH(AZ93,$AQ$17:$AX$17,0)),           IF(AY93="INT",_xll.qInterp(O94,AA93:AH93,AQ93:AX93),       INDEX(AQ93:AX93,MATCH(AY93,$AQ$17:$AX$17,0))))))</f>
        <v>0</v>
      </c>
      <c r="BB93" s="674">
        <v>100</v>
      </c>
      <c r="BC93" s="666">
        <f t="shared" si="37"/>
        <v>0</v>
      </c>
      <c r="BD93" s="268">
        <f>IF($O94=0,0,                IF(LEFT(DCC_Leg1_Fixed,2)="1/",uEvaluate(DCC_Leg1_Fixed),        _xll.qDateYears($O93,$O94,DCC_Leg1_Fixed)))</f>
        <v>0</v>
      </c>
      <c r="BE93" s="268">
        <f>IF($O94,_xll.qDateYears($O93,$O94,DCC_Leg1_Float),0)</f>
        <v>0</v>
      </c>
      <c r="BG93" s="332">
        <f t="shared" si="59"/>
        <v>0</v>
      </c>
      <c r="BH93" s="357">
        <f t="shared" si="60"/>
        <v>0</v>
      </c>
      <c r="BI93" s="527"/>
      <c r="BK93" s="324">
        <f t="shared" si="33"/>
        <v>0</v>
      </c>
      <c r="BM93" s="338"/>
      <c r="BN93" s="121">
        <v>0</v>
      </c>
      <c r="BO93" s="755">
        <f t="shared" si="38"/>
        <v>0</v>
      </c>
      <c r="BP93" s="339">
        <v>0</v>
      </c>
      <c r="BQ93" s="890">
        <f>IF(BN94=0,0,         IF(OR(Currency2="AUD",Currency1="NZD",Currency2="GBP"),BN93,   _xll.qDateNext(BN93,"-2b",,,IF(Currency2="EUR","TGT","LON"))))</f>
        <v>0</v>
      </c>
      <c r="BR93" s="879" t="str">
        <v/>
      </c>
      <c r="BS93" s="879" t="str">
        <v/>
      </c>
      <c r="BT93" s="879" t="str">
        <v/>
      </c>
      <c r="BU93" s="879" t="str">
        <v/>
      </c>
      <c r="BV93" s="879" t="str">
        <v/>
      </c>
      <c r="BW93" s="879" t="str">
        <v/>
      </c>
      <c r="BX93" s="879" t="str">
        <v/>
      </c>
      <c r="BY93" s="879" t="str">
        <v/>
      </c>
      <c r="BZ93" s="882">
        <f>IF($BN94=0,0,        _xll.qDateNext($BN93,BZ$17,$CG$16,TRUE,Currency2))</f>
        <v>0</v>
      </c>
      <c r="CA93" s="882">
        <f>IF($BN94=0,0,        _xll.qDateNext($BN93,CA$17,$CG$16,TRUE,Currency2))</f>
        <v>0</v>
      </c>
      <c r="CB93" s="882">
        <f>IF($BN94=0,0,        _xll.qDateNext($BN93,CB$17,$CG$16,TRUE,Currency2))</f>
        <v>0</v>
      </c>
      <c r="CC93" s="882">
        <f>IF($BN94=0,0,        _xll.qDateNext($BN93,CC$17,$CG$16,TRUE,Currency2))</f>
        <v>0</v>
      </c>
      <c r="CD93" s="882">
        <f>IF($BN94=0,0,        _xll.qDateNext($BN93,CD$17,$CG$16,TRUE,Currency2))</f>
        <v>0</v>
      </c>
      <c r="CE93" s="882">
        <f>IF($BN94=0,0,        _xll.qDateNext($BN93,CE$17,$CG$16,TRUE,Currency2))</f>
        <v>0</v>
      </c>
      <c r="CF93" s="882">
        <f>IF($BN94=0,0,        _xll.qDateNext($BN93,CF$17,$CG$16,TRUE,Currency2))</f>
        <v>0</v>
      </c>
      <c r="CG93" s="882">
        <f>IF($BN94=0,0,        _xll.qDateNext($BN93,CG$17,$CG$16,TRUE,Currency2))</f>
        <v>0</v>
      </c>
      <c r="CH93" s="886">
        <v>0</v>
      </c>
      <c r="CI93" s="886">
        <v>0</v>
      </c>
      <c r="CJ93" s="886">
        <v>0</v>
      </c>
      <c r="CK93" s="886">
        <v>0</v>
      </c>
      <c r="CL93" s="886">
        <f t="shared" si="61"/>
        <v>0</v>
      </c>
      <c r="CM93" s="886">
        <f t="shared" si="62"/>
        <v>0</v>
      </c>
      <c r="CN93" s="886">
        <v>0</v>
      </c>
      <c r="CO93" s="886">
        <v>0</v>
      </c>
      <c r="CP93" s="648">
        <f t="shared" si="39"/>
        <v>0</v>
      </c>
      <c r="CQ93" s="648">
        <f t="shared" si="40"/>
        <v>0</v>
      </c>
      <c r="CR93" s="648">
        <f t="shared" si="41"/>
        <v>0</v>
      </c>
      <c r="CS93" s="648">
        <f t="shared" si="42"/>
        <v>0</v>
      </c>
      <c r="CT93" s="648">
        <f t="shared" si="43"/>
        <v>0</v>
      </c>
      <c r="CU93" s="648">
        <f t="shared" si="44"/>
        <v>0</v>
      </c>
      <c r="CV93" s="648">
        <f t="shared" si="45"/>
        <v>0</v>
      </c>
      <c r="CW93" s="648">
        <f t="shared" si="46"/>
        <v>0</v>
      </c>
      <c r="CX93" s="634">
        <v>0</v>
      </c>
      <c r="CY93" s="616"/>
      <c r="CZ93" s="619">
        <f>IF(BN94=0,0,             IF(ISNUMBER(CY93),CY93,             IF(ISTEXT(CY93),INDEX(CP93:CW93,MATCH(CY93,$CP$17:$CW$17,0)),           IF(CX93="INT",_xll.qInterp(BN94,BZ93:CG93,CP93:CW93),       INDEX(CP93:CW93,MATCH(CX93,$CP$17:$CW$17,0))))))</f>
        <v>0</v>
      </c>
      <c r="DA93" s="755">
        <f t="shared" si="47"/>
        <v>0</v>
      </c>
      <c r="DB93" s="387">
        <f t="shared" si="48"/>
        <v>0</v>
      </c>
      <c r="DC93" s="268">
        <f>IF($BN94=0,0,         IF(LEFT(DCC_Leg2_Fixed,2)="1/",uEvaluate(DCC_Leg2_Fixed),         _xll.qDateYears($BN93,$BN94,DCC_Leg2_Fixed)))</f>
        <v>0</v>
      </c>
      <c r="DD93" s="268">
        <f>IF($BN94,_xll.qDateYears($BN93,$BN94,DCC_Leg2_Float),0)</f>
        <v>0</v>
      </c>
      <c r="DF93" s="332">
        <f t="shared" si="63"/>
        <v>0</v>
      </c>
      <c r="DG93" s="357">
        <f t="shared" si="64"/>
        <v>0</v>
      </c>
      <c r="DH93" s="527"/>
      <c r="DJ93" s="324">
        <f t="shared" si="34"/>
        <v>0</v>
      </c>
      <c r="DK93" s="529"/>
      <c r="DL93" s="338"/>
    </row>
    <row r="94" spans="15:116">
      <c r="O94" s="121">
        <v>0</v>
      </c>
      <c r="P94" s="755">
        <f t="shared" si="35"/>
        <v>0</v>
      </c>
      <c r="Q94" s="125">
        <v>0</v>
      </c>
      <c r="R94" s="890">
        <f>IF(O95=0,0,         IF(OR(Currency1="AUD",Currency1="NZD",Currency1="GBP"),O94,   _xll.qDateNext(O94,"-2b",,,IF(Currency1="EUR","TGT","LON"))))</f>
        <v>0</v>
      </c>
      <c r="S94" s="879" t="str">
        <v/>
      </c>
      <c r="T94" s="879" t="str">
        <v/>
      </c>
      <c r="U94" s="879" t="str">
        <v/>
      </c>
      <c r="V94" s="879" t="str">
        <v/>
      </c>
      <c r="W94" s="879" t="str">
        <v/>
      </c>
      <c r="X94" s="879" t="str">
        <v/>
      </c>
      <c r="Y94" s="879" t="str">
        <v/>
      </c>
      <c r="Z94" s="879" t="str">
        <v/>
      </c>
      <c r="AA94" s="882">
        <f>IF($O95=0,0,        _xll.qDateNext($O94,AA$17,$AH$16,TRUE,Currency1))</f>
        <v>0</v>
      </c>
      <c r="AB94" s="882">
        <f>IF($O95=0,0,        _xll.qDateNext($O94,AB$17,$AH$16,TRUE,Currency1))</f>
        <v>0</v>
      </c>
      <c r="AC94" s="882">
        <f>IF($O95=0,0,        _xll.qDateNext($O94,AC$17,$AH$16,TRUE,Currency1))</f>
        <v>0</v>
      </c>
      <c r="AD94" s="882">
        <f>IF($O95=0,0,        _xll.qDateNext($O94,AD$17,$AH$16,TRUE,Currency1))</f>
        <v>0</v>
      </c>
      <c r="AE94" s="882">
        <f>IF($O95=0,0,        _xll.qDateNext($O94,AE$17,$AH$16,TRUE,Currency1))</f>
        <v>0</v>
      </c>
      <c r="AF94" s="882">
        <f>IF($O95=0,0,        _xll.qDateNext($O94,AF$17,$AH$16,TRUE,Currency1))</f>
        <v>0</v>
      </c>
      <c r="AG94" s="882">
        <f>IF($O95=0,0,        _xll.qDateNext($O94,AG$17,$AH$16,TRUE,Currency1))</f>
        <v>0</v>
      </c>
      <c r="AH94" s="882">
        <f>IF($O95=0,0,        _xll.qDateNext($O94,AH$17,$AH$16,TRUE,Currency1))</f>
        <v>0</v>
      </c>
      <c r="AI94" s="886">
        <f>IF($O95=0,0,           IF(FRM,_xll.qGetFwdRate(AI$14,$O94,AA94,"T",DCC_Leg1_Float),_xll.qGetFwdRate(AI$14,$O94,$O95,"T",DCC_Leg1_Float)))</f>
        <v>0</v>
      </c>
      <c r="AJ94" s="886">
        <f>IF($O95=0,0,           IF(FRM,_xll.qGetFwdRate(AJ$14,$O94,AB94,"T",DCC_Leg1_Float),_xll.qGetFwdRate(AJ$14,$O94,$O95,"T",DCC_Leg1_Float)))</f>
        <v>0</v>
      </c>
      <c r="AK94" s="886">
        <f t="shared" si="36"/>
        <v>0</v>
      </c>
      <c r="AL94" s="886">
        <f>IF($O95=0,0,           IF(FRM,_xll.qGetFwdRate(AL$14,$O94,AD94,"T",DCC_Leg1_Float),_xll.qGetFwdRate(AL$14,$O94,$O95,"T",DCC_Leg1_Float)))</f>
        <v>0</v>
      </c>
      <c r="AM94" s="886">
        <f t="shared" si="49"/>
        <v>0</v>
      </c>
      <c r="AN94" s="886">
        <f t="shared" si="50"/>
        <v>0</v>
      </c>
      <c r="AO94" s="886">
        <f>IF($O95=0,0,           IF(FRM,_xll.qGetFwdRate(AO$14,$O94,AG94,"T",DCC_Leg1_Float),_xll.qGetFwdRate(AO$14,$O94,$O95,"T",DCC_Leg1_Float)))</f>
        <v>0</v>
      </c>
      <c r="AP94" s="886">
        <f>IF($O95=0,0,           IF(FRM,_xll.qGetFwdRate(AP$14,$O94,AH94,"T",DCC_Leg1_Float),_xll.qGetFwdRate(AP$14,$O94,$O95,"T",DCC_Leg1_Float)))</f>
        <v>0</v>
      </c>
      <c r="AQ94" s="648">
        <f t="shared" si="51"/>
        <v>0</v>
      </c>
      <c r="AR94" s="648">
        <f t="shared" si="52"/>
        <v>0</v>
      </c>
      <c r="AS94" s="648">
        <f t="shared" si="53"/>
        <v>0</v>
      </c>
      <c r="AT94" s="648">
        <f t="shared" si="54"/>
        <v>0</v>
      </c>
      <c r="AU94" s="648">
        <f t="shared" si="55"/>
        <v>0</v>
      </c>
      <c r="AV94" s="648">
        <f t="shared" si="56"/>
        <v>0</v>
      </c>
      <c r="AW94" s="648">
        <f t="shared" si="57"/>
        <v>0</v>
      </c>
      <c r="AX94" s="648">
        <f t="shared" si="58"/>
        <v>0</v>
      </c>
      <c r="AY94" s="634">
        <v>0</v>
      </c>
      <c r="AZ94" s="616"/>
      <c r="BA94" s="619">
        <f>IF(O95=0,0,             IF(ISNUMBER(AZ94),AZ94,             IF(ISTEXT(AZ94),INDEX(AQ94:AX94,MATCH(AZ94,$AQ$17:$AX$17,0)),           IF(AY94="INT",_xll.qInterp(O95,AA94:AH94,AQ94:AX94),       INDEX(AQ94:AX94,MATCH(AY94,$AQ$17:$AX$17,0))))))</f>
        <v>0</v>
      </c>
      <c r="BB94" s="674">
        <v>100</v>
      </c>
      <c r="BC94" s="666">
        <f t="shared" si="37"/>
        <v>0</v>
      </c>
      <c r="BD94" s="268">
        <f>IF($O95=0,0,                IF(LEFT(DCC_Leg1_Fixed,2)="1/",uEvaluate(DCC_Leg1_Fixed),        _xll.qDateYears($O94,$O95,DCC_Leg1_Fixed)))</f>
        <v>0</v>
      </c>
      <c r="BE94" s="268">
        <f>IF($O95,_xll.qDateYears($O94,$O95,DCC_Leg1_Float),0)</f>
        <v>0</v>
      </c>
      <c r="BG94" s="332">
        <f t="shared" si="59"/>
        <v>0</v>
      </c>
      <c r="BH94" s="357">
        <f t="shared" si="60"/>
        <v>0</v>
      </c>
      <c r="BI94" s="527"/>
      <c r="BK94" s="324">
        <f t="shared" si="33"/>
        <v>0</v>
      </c>
      <c r="BM94" s="338"/>
      <c r="BN94" s="121">
        <v>0</v>
      </c>
      <c r="BO94" s="755">
        <f t="shared" si="38"/>
        <v>0</v>
      </c>
      <c r="BP94" s="339">
        <v>0</v>
      </c>
      <c r="BQ94" s="890">
        <f>IF(BN95=0,0,         IF(OR(Currency2="AUD",Currency1="NZD",Currency2="GBP"),BN94,   _xll.qDateNext(BN94,"-2b",,,IF(Currency2="EUR","TGT","LON"))))</f>
        <v>0</v>
      </c>
      <c r="BR94" s="879" t="str">
        <v/>
      </c>
      <c r="BS94" s="879" t="str">
        <v/>
      </c>
      <c r="BT94" s="879" t="str">
        <v/>
      </c>
      <c r="BU94" s="879" t="str">
        <v/>
      </c>
      <c r="BV94" s="879" t="str">
        <v/>
      </c>
      <c r="BW94" s="879" t="str">
        <v/>
      </c>
      <c r="BX94" s="879" t="str">
        <v/>
      </c>
      <c r="BY94" s="879" t="str">
        <v/>
      </c>
      <c r="BZ94" s="882">
        <f>IF($BN95=0,0,        _xll.qDateNext($BN94,BZ$17,$CG$16,TRUE,Currency2))</f>
        <v>0</v>
      </c>
      <c r="CA94" s="882">
        <f>IF($BN95=0,0,        _xll.qDateNext($BN94,CA$17,$CG$16,TRUE,Currency2))</f>
        <v>0</v>
      </c>
      <c r="CB94" s="882">
        <f>IF($BN95=0,0,        _xll.qDateNext($BN94,CB$17,$CG$16,TRUE,Currency2))</f>
        <v>0</v>
      </c>
      <c r="CC94" s="882">
        <f>IF($BN95=0,0,        _xll.qDateNext($BN94,CC$17,$CG$16,TRUE,Currency2))</f>
        <v>0</v>
      </c>
      <c r="CD94" s="882">
        <f>IF($BN95=0,0,        _xll.qDateNext($BN94,CD$17,$CG$16,TRUE,Currency2))</f>
        <v>0</v>
      </c>
      <c r="CE94" s="882">
        <f>IF($BN95=0,0,        _xll.qDateNext($BN94,CE$17,$CG$16,TRUE,Currency2))</f>
        <v>0</v>
      </c>
      <c r="CF94" s="882">
        <f>IF($BN95=0,0,        _xll.qDateNext($BN94,CF$17,$CG$16,TRUE,Currency2))</f>
        <v>0</v>
      </c>
      <c r="CG94" s="882">
        <f>IF($BN95=0,0,        _xll.qDateNext($BN94,CG$17,$CG$16,TRUE,Currency2))</f>
        <v>0</v>
      </c>
      <c r="CH94" s="886">
        <v>0</v>
      </c>
      <c r="CI94" s="886">
        <v>0</v>
      </c>
      <c r="CJ94" s="886">
        <v>0</v>
      </c>
      <c r="CK94" s="886">
        <v>0</v>
      </c>
      <c r="CL94" s="886">
        <f t="shared" si="61"/>
        <v>0</v>
      </c>
      <c r="CM94" s="886">
        <f t="shared" si="62"/>
        <v>0</v>
      </c>
      <c r="CN94" s="886">
        <v>0</v>
      </c>
      <c r="CO94" s="886">
        <v>0</v>
      </c>
      <c r="CP94" s="648">
        <f t="shared" si="39"/>
        <v>0</v>
      </c>
      <c r="CQ94" s="648">
        <f t="shared" si="40"/>
        <v>0</v>
      </c>
      <c r="CR94" s="648">
        <f t="shared" si="41"/>
        <v>0</v>
      </c>
      <c r="CS94" s="648">
        <f t="shared" si="42"/>
        <v>0</v>
      </c>
      <c r="CT94" s="648">
        <f t="shared" si="43"/>
        <v>0</v>
      </c>
      <c r="CU94" s="648">
        <f t="shared" si="44"/>
        <v>0</v>
      </c>
      <c r="CV94" s="648">
        <f t="shared" si="45"/>
        <v>0</v>
      </c>
      <c r="CW94" s="648">
        <f t="shared" si="46"/>
        <v>0</v>
      </c>
      <c r="CX94" s="634">
        <v>0</v>
      </c>
      <c r="CY94" s="616"/>
      <c r="CZ94" s="619">
        <f>IF(BN95=0,0,             IF(ISNUMBER(CY94),CY94,             IF(ISTEXT(CY94),INDEX(CP94:CW94,MATCH(CY94,$CP$17:$CW$17,0)),           IF(CX94="INT",_xll.qInterp(BN95,BZ94:CG94,CP94:CW94),       INDEX(CP94:CW94,MATCH(CX94,$CP$17:$CW$17,0))))))</f>
        <v>0</v>
      </c>
      <c r="DA94" s="755">
        <f t="shared" si="47"/>
        <v>0</v>
      </c>
      <c r="DB94" s="387">
        <f t="shared" si="48"/>
        <v>0</v>
      </c>
      <c r="DC94" s="268">
        <f>IF($BN95=0,0,         IF(LEFT(DCC_Leg2_Fixed,2)="1/",uEvaluate(DCC_Leg2_Fixed),         _xll.qDateYears($BN94,$BN95,DCC_Leg2_Fixed)))</f>
        <v>0</v>
      </c>
      <c r="DD94" s="268">
        <f>IF($BN95,_xll.qDateYears($BN94,$BN95,DCC_Leg2_Float),0)</f>
        <v>0</v>
      </c>
      <c r="DF94" s="332">
        <f t="shared" si="63"/>
        <v>0</v>
      </c>
      <c r="DG94" s="357">
        <f t="shared" si="64"/>
        <v>0</v>
      </c>
      <c r="DH94" s="527"/>
      <c r="DJ94" s="324">
        <f t="shared" si="34"/>
        <v>0</v>
      </c>
      <c r="DK94" s="529"/>
      <c r="DL94" s="338"/>
    </row>
    <row r="95" spans="15:116">
      <c r="O95" s="121">
        <v>0</v>
      </c>
      <c r="P95" s="755">
        <f t="shared" si="35"/>
        <v>0</v>
      </c>
      <c r="Q95" s="125">
        <v>0</v>
      </c>
      <c r="R95" s="890">
        <f>IF(O96=0,0,         IF(OR(Currency1="AUD",Currency1="NZD",Currency1="GBP"),O95,   _xll.qDateNext(O95,"-2b",,,IF(Currency1="EUR","TGT","LON"))))</f>
        <v>0</v>
      </c>
      <c r="S95" s="879" t="str">
        <v/>
      </c>
      <c r="T95" s="879" t="str">
        <v/>
      </c>
      <c r="U95" s="879" t="str">
        <v/>
      </c>
      <c r="V95" s="879" t="str">
        <v/>
      </c>
      <c r="W95" s="879" t="str">
        <v/>
      </c>
      <c r="X95" s="879" t="str">
        <v/>
      </c>
      <c r="Y95" s="879" t="str">
        <v/>
      </c>
      <c r="Z95" s="879" t="str">
        <v/>
      </c>
      <c r="AA95" s="882">
        <f>IF($O96=0,0,        _xll.qDateNext($O95,AA$17,$AH$16,TRUE,Currency1))</f>
        <v>0</v>
      </c>
      <c r="AB95" s="882">
        <f>IF($O96=0,0,        _xll.qDateNext($O95,AB$17,$AH$16,TRUE,Currency1))</f>
        <v>0</v>
      </c>
      <c r="AC95" s="882">
        <f>IF($O96=0,0,        _xll.qDateNext($O95,AC$17,$AH$16,TRUE,Currency1))</f>
        <v>0</v>
      </c>
      <c r="AD95" s="882">
        <f>IF($O96=0,0,        _xll.qDateNext($O95,AD$17,$AH$16,TRUE,Currency1))</f>
        <v>0</v>
      </c>
      <c r="AE95" s="882">
        <f>IF($O96=0,0,        _xll.qDateNext($O95,AE$17,$AH$16,TRUE,Currency1))</f>
        <v>0</v>
      </c>
      <c r="AF95" s="882">
        <f>IF($O96=0,0,        _xll.qDateNext($O95,AF$17,$AH$16,TRUE,Currency1))</f>
        <v>0</v>
      </c>
      <c r="AG95" s="882">
        <f>IF($O96=0,0,        _xll.qDateNext($O95,AG$17,$AH$16,TRUE,Currency1))</f>
        <v>0</v>
      </c>
      <c r="AH95" s="882">
        <f>IF($O96=0,0,        _xll.qDateNext($O95,AH$17,$AH$16,TRUE,Currency1))</f>
        <v>0</v>
      </c>
      <c r="AI95" s="886">
        <f>IF($O96=0,0,           IF(FRM,_xll.qGetFwdRate(AI$14,$O95,AA95,"T",DCC_Leg1_Float),_xll.qGetFwdRate(AI$14,$O95,$O96,"T",DCC_Leg1_Float)))</f>
        <v>0</v>
      </c>
      <c r="AJ95" s="886">
        <f>IF($O96=0,0,           IF(FRM,_xll.qGetFwdRate(AJ$14,$O95,AB95,"T",DCC_Leg1_Float),_xll.qGetFwdRate(AJ$14,$O95,$O96,"T",DCC_Leg1_Float)))</f>
        <v>0</v>
      </c>
      <c r="AK95" s="886">
        <f t="shared" si="36"/>
        <v>0</v>
      </c>
      <c r="AL95" s="886">
        <f>IF($O96=0,0,           IF(FRM,_xll.qGetFwdRate(AL$14,$O95,AD95,"T",DCC_Leg1_Float),_xll.qGetFwdRate(AL$14,$O95,$O96,"T",DCC_Leg1_Float)))</f>
        <v>0</v>
      </c>
      <c r="AM95" s="886">
        <f t="shared" si="49"/>
        <v>0</v>
      </c>
      <c r="AN95" s="886">
        <f t="shared" si="50"/>
        <v>0</v>
      </c>
      <c r="AO95" s="886">
        <f>IF($O96=0,0,           IF(FRM,_xll.qGetFwdRate(AO$14,$O95,AG95,"T",DCC_Leg1_Float),_xll.qGetFwdRate(AO$14,$O95,$O96,"T",DCC_Leg1_Float)))</f>
        <v>0</v>
      </c>
      <c r="AP95" s="886">
        <f>IF($O96=0,0,           IF(FRM,_xll.qGetFwdRate(AP$14,$O95,AH95,"T",DCC_Leg1_Float),_xll.qGetFwdRate(AP$14,$O95,$O96,"T",DCC_Leg1_Float)))</f>
        <v>0</v>
      </c>
      <c r="AQ95" s="648">
        <f t="shared" si="51"/>
        <v>0</v>
      </c>
      <c r="AR95" s="648">
        <f t="shared" si="52"/>
        <v>0</v>
      </c>
      <c r="AS95" s="648">
        <f t="shared" si="53"/>
        <v>0</v>
      </c>
      <c r="AT95" s="648">
        <f t="shared" si="54"/>
        <v>0</v>
      </c>
      <c r="AU95" s="648">
        <f t="shared" si="55"/>
        <v>0</v>
      </c>
      <c r="AV95" s="648">
        <f t="shared" si="56"/>
        <v>0</v>
      </c>
      <c r="AW95" s="648">
        <f t="shared" si="57"/>
        <v>0</v>
      </c>
      <c r="AX95" s="648">
        <f t="shared" si="58"/>
        <v>0</v>
      </c>
      <c r="AY95" s="634">
        <v>0</v>
      </c>
      <c r="AZ95" s="616"/>
      <c r="BA95" s="619">
        <f>IF(O96=0,0,             IF(ISNUMBER(AZ95),AZ95,             IF(ISTEXT(AZ95),INDEX(AQ95:AX95,MATCH(AZ95,$AQ$17:$AX$17,0)),           IF(AY95="INT",_xll.qInterp(O96,AA95:AH95,AQ95:AX95),       INDEX(AQ95:AX95,MATCH(AY95,$AQ$17:$AX$17,0))))))</f>
        <v>0</v>
      </c>
      <c r="BB95" s="674">
        <v>100</v>
      </c>
      <c r="BC95" s="666">
        <f t="shared" si="37"/>
        <v>0</v>
      </c>
      <c r="BD95" s="268">
        <f>IF($O96=0,0,                IF(LEFT(DCC_Leg1_Fixed,2)="1/",uEvaluate(DCC_Leg1_Fixed),        _xll.qDateYears($O95,$O96,DCC_Leg1_Fixed)))</f>
        <v>0</v>
      </c>
      <c r="BE95" s="268">
        <f>IF($O96,_xll.qDateYears($O95,$O96,DCC_Leg1_Float),0)</f>
        <v>0</v>
      </c>
      <c r="BG95" s="332">
        <f t="shared" si="59"/>
        <v>0</v>
      </c>
      <c r="BH95" s="357">
        <f t="shared" si="60"/>
        <v>0</v>
      </c>
      <c r="BI95" s="527"/>
      <c r="BK95" s="324">
        <f t="shared" si="33"/>
        <v>0</v>
      </c>
      <c r="BM95" s="338"/>
      <c r="BN95" s="121">
        <v>0</v>
      </c>
      <c r="BO95" s="755">
        <f t="shared" si="38"/>
        <v>0</v>
      </c>
      <c r="BP95" s="339">
        <v>0</v>
      </c>
      <c r="BQ95" s="890">
        <f>IF(BN96=0,0,         IF(OR(Currency2="AUD",Currency1="NZD",Currency2="GBP"),BN95,   _xll.qDateNext(BN95,"-2b",,,IF(Currency2="EUR","TGT","LON"))))</f>
        <v>0</v>
      </c>
      <c r="BR95" s="879" t="str">
        <v/>
      </c>
      <c r="BS95" s="879" t="str">
        <v/>
      </c>
      <c r="BT95" s="879" t="str">
        <v/>
      </c>
      <c r="BU95" s="879" t="str">
        <v/>
      </c>
      <c r="BV95" s="879" t="str">
        <v/>
      </c>
      <c r="BW95" s="879" t="str">
        <v/>
      </c>
      <c r="BX95" s="879" t="str">
        <v/>
      </c>
      <c r="BY95" s="879" t="str">
        <v/>
      </c>
      <c r="BZ95" s="882">
        <f>IF($BN96=0,0,        _xll.qDateNext($BN95,BZ$17,$CG$16,TRUE,Currency2))</f>
        <v>0</v>
      </c>
      <c r="CA95" s="882">
        <f>IF($BN96=0,0,        _xll.qDateNext($BN95,CA$17,$CG$16,TRUE,Currency2))</f>
        <v>0</v>
      </c>
      <c r="CB95" s="882">
        <f>IF($BN96=0,0,        _xll.qDateNext($BN95,CB$17,$CG$16,TRUE,Currency2))</f>
        <v>0</v>
      </c>
      <c r="CC95" s="882">
        <f>IF($BN96=0,0,        _xll.qDateNext($BN95,CC$17,$CG$16,TRUE,Currency2))</f>
        <v>0</v>
      </c>
      <c r="CD95" s="882">
        <f>IF($BN96=0,0,        _xll.qDateNext($BN95,CD$17,$CG$16,TRUE,Currency2))</f>
        <v>0</v>
      </c>
      <c r="CE95" s="882">
        <f>IF($BN96=0,0,        _xll.qDateNext($BN95,CE$17,$CG$16,TRUE,Currency2))</f>
        <v>0</v>
      </c>
      <c r="CF95" s="882">
        <f>IF($BN96=0,0,        _xll.qDateNext($BN95,CF$17,$CG$16,TRUE,Currency2))</f>
        <v>0</v>
      </c>
      <c r="CG95" s="882">
        <f>IF($BN96=0,0,        _xll.qDateNext($BN95,CG$17,$CG$16,TRUE,Currency2))</f>
        <v>0</v>
      </c>
      <c r="CH95" s="886">
        <v>0</v>
      </c>
      <c r="CI95" s="886">
        <v>0</v>
      </c>
      <c r="CJ95" s="886">
        <v>0</v>
      </c>
      <c r="CK95" s="886">
        <v>0</v>
      </c>
      <c r="CL95" s="886">
        <f t="shared" si="61"/>
        <v>0</v>
      </c>
      <c r="CM95" s="886">
        <f t="shared" si="62"/>
        <v>0</v>
      </c>
      <c r="CN95" s="886">
        <v>0</v>
      </c>
      <c r="CO95" s="886">
        <v>0</v>
      </c>
      <c r="CP95" s="648">
        <f t="shared" si="39"/>
        <v>0</v>
      </c>
      <c r="CQ95" s="648">
        <f t="shared" si="40"/>
        <v>0</v>
      </c>
      <c r="CR95" s="648">
        <f t="shared" si="41"/>
        <v>0</v>
      </c>
      <c r="CS95" s="648">
        <f t="shared" si="42"/>
        <v>0</v>
      </c>
      <c r="CT95" s="648">
        <f t="shared" si="43"/>
        <v>0</v>
      </c>
      <c r="CU95" s="648">
        <f t="shared" si="44"/>
        <v>0</v>
      </c>
      <c r="CV95" s="648">
        <f t="shared" si="45"/>
        <v>0</v>
      </c>
      <c r="CW95" s="648">
        <f t="shared" si="46"/>
        <v>0</v>
      </c>
      <c r="CX95" s="634">
        <v>0</v>
      </c>
      <c r="CY95" s="616"/>
      <c r="CZ95" s="619">
        <f>IF(BN96=0,0,             IF(ISNUMBER(CY95),CY95,             IF(ISTEXT(CY95),INDEX(CP95:CW95,MATCH(CY95,$CP$17:$CW$17,0)),           IF(CX95="INT",_xll.qInterp(BN96,BZ95:CG95,CP95:CW95),       INDEX(CP95:CW95,MATCH(CX95,$CP$17:$CW$17,0))))))</f>
        <v>0</v>
      </c>
      <c r="DA95" s="755">
        <f t="shared" si="47"/>
        <v>0</v>
      </c>
      <c r="DB95" s="387">
        <f t="shared" si="48"/>
        <v>0</v>
      </c>
      <c r="DC95" s="268">
        <f>IF($BN96=0,0,         IF(LEFT(DCC_Leg2_Fixed,2)="1/",uEvaluate(DCC_Leg2_Fixed),         _xll.qDateYears($BN95,$BN96,DCC_Leg2_Fixed)))</f>
        <v>0</v>
      </c>
      <c r="DD95" s="268">
        <f>IF($BN96,_xll.qDateYears($BN95,$BN96,DCC_Leg2_Float),0)</f>
        <v>0</v>
      </c>
      <c r="DF95" s="332">
        <f t="shared" si="63"/>
        <v>0</v>
      </c>
      <c r="DG95" s="357">
        <f t="shared" si="64"/>
        <v>0</v>
      </c>
      <c r="DH95" s="527"/>
      <c r="DJ95" s="324">
        <f t="shared" si="34"/>
        <v>0</v>
      </c>
      <c r="DK95" s="529"/>
      <c r="DL95" s="338"/>
    </row>
    <row r="96" spans="15:116">
      <c r="O96" s="121">
        <v>0</v>
      </c>
      <c r="P96" s="755">
        <f t="shared" si="35"/>
        <v>0</v>
      </c>
      <c r="Q96" s="125">
        <v>0</v>
      </c>
      <c r="R96" s="890">
        <f>IF(O97=0,0,         IF(OR(Currency1="AUD",Currency1="NZD",Currency1="GBP"),O96,   _xll.qDateNext(O96,"-2b",,,IF(Currency1="EUR","TGT","LON"))))</f>
        <v>0</v>
      </c>
      <c r="S96" s="879" t="str">
        <v/>
      </c>
      <c r="T96" s="879" t="str">
        <v/>
      </c>
      <c r="U96" s="879" t="str">
        <v/>
      </c>
      <c r="V96" s="879" t="str">
        <v/>
      </c>
      <c r="W96" s="879" t="str">
        <v/>
      </c>
      <c r="X96" s="879" t="str">
        <v/>
      </c>
      <c r="Y96" s="879" t="str">
        <v/>
      </c>
      <c r="Z96" s="879" t="str">
        <v/>
      </c>
      <c r="AA96" s="882">
        <f>IF($O97=0,0,        _xll.qDateNext($O96,AA$17,$AH$16,TRUE,Currency1))</f>
        <v>0</v>
      </c>
      <c r="AB96" s="882">
        <f>IF($O97=0,0,        _xll.qDateNext($O96,AB$17,$AH$16,TRUE,Currency1))</f>
        <v>0</v>
      </c>
      <c r="AC96" s="882">
        <f>IF($O97=0,0,        _xll.qDateNext($O96,AC$17,$AH$16,TRUE,Currency1))</f>
        <v>0</v>
      </c>
      <c r="AD96" s="882">
        <f>IF($O97=0,0,        _xll.qDateNext($O96,AD$17,$AH$16,TRUE,Currency1))</f>
        <v>0</v>
      </c>
      <c r="AE96" s="882">
        <f>IF($O97=0,0,        _xll.qDateNext($O96,AE$17,$AH$16,TRUE,Currency1))</f>
        <v>0</v>
      </c>
      <c r="AF96" s="882">
        <f>IF($O97=0,0,        _xll.qDateNext($O96,AF$17,$AH$16,TRUE,Currency1))</f>
        <v>0</v>
      </c>
      <c r="AG96" s="882">
        <f>IF($O97=0,0,        _xll.qDateNext($O96,AG$17,$AH$16,TRUE,Currency1))</f>
        <v>0</v>
      </c>
      <c r="AH96" s="882">
        <f>IF($O97=0,0,        _xll.qDateNext($O96,AH$17,$AH$16,TRUE,Currency1))</f>
        <v>0</v>
      </c>
      <c r="AI96" s="886">
        <f>IF($O97=0,0,           IF(FRM,_xll.qGetFwdRate(AI$14,$O96,AA96,"T",DCC_Leg1_Float),_xll.qGetFwdRate(AI$14,$O96,$O97,"T",DCC_Leg1_Float)))</f>
        <v>0</v>
      </c>
      <c r="AJ96" s="886">
        <f>IF($O97=0,0,           IF(FRM,_xll.qGetFwdRate(AJ$14,$O96,AB96,"T",DCC_Leg1_Float),_xll.qGetFwdRate(AJ$14,$O96,$O97,"T",DCC_Leg1_Float)))</f>
        <v>0</v>
      </c>
      <c r="AK96" s="886">
        <f t="shared" si="36"/>
        <v>0</v>
      </c>
      <c r="AL96" s="886">
        <f>IF($O97=0,0,           IF(FRM,_xll.qGetFwdRate(AL$14,$O96,AD96,"T",DCC_Leg1_Float),_xll.qGetFwdRate(AL$14,$O96,$O97,"T",DCC_Leg1_Float)))</f>
        <v>0</v>
      </c>
      <c r="AM96" s="886">
        <f t="shared" si="49"/>
        <v>0</v>
      </c>
      <c r="AN96" s="886">
        <f t="shared" si="50"/>
        <v>0</v>
      </c>
      <c r="AO96" s="886">
        <f>IF($O97=0,0,           IF(FRM,_xll.qGetFwdRate(AO$14,$O96,AG96,"T",DCC_Leg1_Float),_xll.qGetFwdRate(AO$14,$O96,$O97,"T",DCC_Leg1_Float)))</f>
        <v>0</v>
      </c>
      <c r="AP96" s="886">
        <f>IF($O97=0,0,           IF(FRM,_xll.qGetFwdRate(AP$14,$O96,AH96,"T",DCC_Leg1_Float),_xll.qGetFwdRate(AP$14,$O96,$O97,"T",DCC_Leg1_Float)))</f>
        <v>0</v>
      </c>
      <c r="AQ96" s="648">
        <f t="shared" si="51"/>
        <v>0</v>
      </c>
      <c r="AR96" s="648">
        <f t="shared" si="52"/>
        <v>0</v>
      </c>
      <c r="AS96" s="648">
        <f t="shared" si="53"/>
        <v>0</v>
      </c>
      <c r="AT96" s="648">
        <f t="shared" si="54"/>
        <v>0</v>
      </c>
      <c r="AU96" s="648">
        <f t="shared" si="55"/>
        <v>0</v>
      </c>
      <c r="AV96" s="648">
        <f t="shared" si="56"/>
        <v>0</v>
      </c>
      <c r="AW96" s="648">
        <f t="shared" si="57"/>
        <v>0</v>
      </c>
      <c r="AX96" s="648">
        <f t="shared" si="58"/>
        <v>0</v>
      </c>
      <c r="AY96" s="634">
        <v>0</v>
      </c>
      <c r="AZ96" s="616"/>
      <c r="BA96" s="619">
        <f>IF(O97=0,0,             IF(ISNUMBER(AZ96),AZ96,             IF(ISTEXT(AZ96),INDEX(AQ96:AX96,MATCH(AZ96,$AQ$17:$AX$17,0)),           IF(AY96="INT",_xll.qInterp(O97,AA96:AH96,AQ96:AX96),       INDEX(AQ96:AX96,MATCH(AY96,$AQ$17:$AX$17,0))))))</f>
        <v>0</v>
      </c>
      <c r="BB96" s="674">
        <v>100</v>
      </c>
      <c r="BC96" s="666">
        <f t="shared" si="37"/>
        <v>0</v>
      </c>
      <c r="BD96" s="268">
        <f>IF($O97=0,0,                IF(LEFT(DCC_Leg1_Fixed,2)="1/",uEvaluate(DCC_Leg1_Fixed),        _xll.qDateYears($O96,$O97,DCC_Leg1_Fixed)))</f>
        <v>0</v>
      </c>
      <c r="BE96" s="268">
        <f>IF($O97,_xll.qDateYears($O96,$O97,DCC_Leg1_Float),0)</f>
        <v>0</v>
      </c>
      <c r="BG96" s="332">
        <f t="shared" si="59"/>
        <v>0</v>
      </c>
      <c r="BH96" s="357">
        <f t="shared" si="60"/>
        <v>0</v>
      </c>
      <c r="BI96" s="527"/>
      <c r="BK96" s="324">
        <f t="shared" si="33"/>
        <v>0</v>
      </c>
      <c r="BM96" s="338"/>
      <c r="BN96" s="121">
        <v>0</v>
      </c>
      <c r="BO96" s="755">
        <f t="shared" si="38"/>
        <v>0</v>
      </c>
      <c r="BP96" s="339">
        <v>0</v>
      </c>
      <c r="BQ96" s="890">
        <f>IF(BN97=0,0,         IF(OR(Currency2="AUD",Currency1="NZD",Currency2="GBP"),BN96,   _xll.qDateNext(BN96,"-2b",,,IF(Currency2="EUR","TGT","LON"))))</f>
        <v>0</v>
      </c>
      <c r="BR96" s="879" t="str">
        <v/>
      </c>
      <c r="BS96" s="879" t="str">
        <v/>
      </c>
      <c r="BT96" s="879" t="str">
        <v/>
      </c>
      <c r="BU96" s="879" t="str">
        <v/>
      </c>
      <c r="BV96" s="879" t="str">
        <v/>
      </c>
      <c r="BW96" s="879" t="str">
        <v/>
      </c>
      <c r="BX96" s="879" t="str">
        <v/>
      </c>
      <c r="BY96" s="879" t="str">
        <v/>
      </c>
      <c r="BZ96" s="882">
        <f>IF($BN97=0,0,        _xll.qDateNext($BN96,BZ$17,$CG$16,TRUE,Currency2))</f>
        <v>0</v>
      </c>
      <c r="CA96" s="882">
        <f>IF($BN97=0,0,        _xll.qDateNext($BN96,CA$17,$CG$16,TRUE,Currency2))</f>
        <v>0</v>
      </c>
      <c r="CB96" s="882">
        <f>IF($BN97=0,0,        _xll.qDateNext($BN96,CB$17,$CG$16,TRUE,Currency2))</f>
        <v>0</v>
      </c>
      <c r="CC96" s="882">
        <f>IF($BN97=0,0,        _xll.qDateNext($BN96,CC$17,$CG$16,TRUE,Currency2))</f>
        <v>0</v>
      </c>
      <c r="CD96" s="882">
        <f>IF($BN97=0,0,        _xll.qDateNext($BN96,CD$17,$CG$16,TRUE,Currency2))</f>
        <v>0</v>
      </c>
      <c r="CE96" s="882">
        <f>IF($BN97=0,0,        _xll.qDateNext($BN96,CE$17,$CG$16,TRUE,Currency2))</f>
        <v>0</v>
      </c>
      <c r="CF96" s="882">
        <f>IF($BN97=0,0,        _xll.qDateNext($BN96,CF$17,$CG$16,TRUE,Currency2))</f>
        <v>0</v>
      </c>
      <c r="CG96" s="882">
        <f>IF($BN97=0,0,        _xll.qDateNext($BN96,CG$17,$CG$16,TRUE,Currency2))</f>
        <v>0</v>
      </c>
      <c r="CH96" s="886">
        <v>0</v>
      </c>
      <c r="CI96" s="886">
        <v>0</v>
      </c>
      <c r="CJ96" s="886">
        <v>0</v>
      </c>
      <c r="CK96" s="886">
        <v>0</v>
      </c>
      <c r="CL96" s="886">
        <f t="shared" si="61"/>
        <v>0</v>
      </c>
      <c r="CM96" s="886">
        <f t="shared" si="62"/>
        <v>0</v>
      </c>
      <c r="CN96" s="886">
        <v>0</v>
      </c>
      <c r="CO96" s="886">
        <v>0</v>
      </c>
      <c r="CP96" s="648">
        <f t="shared" si="39"/>
        <v>0</v>
      </c>
      <c r="CQ96" s="648">
        <f t="shared" si="40"/>
        <v>0</v>
      </c>
      <c r="CR96" s="648">
        <f t="shared" si="41"/>
        <v>0</v>
      </c>
      <c r="CS96" s="648">
        <f t="shared" si="42"/>
        <v>0</v>
      </c>
      <c r="CT96" s="648">
        <f t="shared" si="43"/>
        <v>0</v>
      </c>
      <c r="CU96" s="648">
        <f t="shared" si="44"/>
        <v>0</v>
      </c>
      <c r="CV96" s="648">
        <f t="shared" si="45"/>
        <v>0</v>
      </c>
      <c r="CW96" s="648">
        <f t="shared" si="46"/>
        <v>0</v>
      </c>
      <c r="CX96" s="634">
        <v>0</v>
      </c>
      <c r="CY96" s="616"/>
      <c r="CZ96" s="619">
        <f>IF(BN97=0,0,             IF(ISNUMBER(CY96),CY96,             IF(ISTEXT(CY96),INDEX(CP96:CW96,MATCH(CY96,$CP$17:$CW$17,0)),           IF(CX96="INT",_xll.qInterp(BN97,BZ96:CG96,CP96:CW96),       INDEX(CP96:CW96,MATCH(CX96,$CP$17:$CW$17,0))))))</f>
        <v>0</v>
      </c>
      <c r="DA96" s="755">
        <f t="shared" si="47"/>
        <v>0</v>
      </c>
      <c r="DB96" s="387">
        <f t="shared" si="48"/>
        <v>0</v>
      </c>
      <c r="DC96" s="268">
        <f>IF($BN97=0,0,         IF(LEFT(DCC_Leg2_Fixed,2)="1/",uEvaluate(DCC_Leg2_Fixed),         _xll.qDateYears($BN96,$BN97,DCC_Leg2_Fixed)))</f>
        <v>0</v>
      </c>
      <c r="DD96" s="268">
        <f>IF($BN97,_xll.qDateYears($BN96,$BN97,DCC_Leg2_Float),0)</f>
        <v>0</v>
      </c>
      <c r="DF96" s="332">
        <f t="shared" si="63"/>
        <v>0</v>
      </c>
      <c r="DG96" s="357">
        <f t="shared" si="64"/>
        <v>0</v>
      </c>
      <c r="DH96" s="527"/>
      <c r="DJ96" s="324">
        <f t="shared" si="34"/>
        <v>0</v>
      </c>
      <c r="DK96" s="529"/>
      <c r="DL96" s="338"/>
    </row>
    <row r="97" spans="15:116">
      <c r="O97" s="121">
        <v>0</v>
      </c>
      <c r="P97" s="755">
        <f t="shared" si="35"/>
        <v>0</v>
      </c>
      <c r="Q97" s="125">
        <v>0</v>
      </c>
      <c r="R97" s="890">
        <f>IF(O98=0,0,         IF(OR(Currency1="AUD",Currency1="NZD",Currency1="GBP"),O97,   _xll.qDateNext(O97,"-2b",,,IF(Currency1="EUR","TGT","LON"))))</f>
        <v>0</v>
      </c>
      <c r="S97" s="879" t="str">
        <v/>
      </c>
      <c r="T97" s="879" t="str">
        <v/>
      </c>
      <c r="U97" s="879" t="str">
        <v/>
      </c>
      <c r="V97" s="879" t="str">
        <v/>
      </c>
      <c r="W97" s="879" t="str">
        <v/>
      </c>
      <c r="X97" s="879" t="str">
        <v/>
      </c>
      <c r="Y97" s="879" t="str">
        <v/>
      </c>
      <c r="Z97" s="879" t="str">
        <v/>
      </c>
      <c r="AA97" s="882">
        <f>IF($O98=0,0,        _xll.qDateNext($O97,AA$17,$AH$16,TRUE,Currency1))</f>
        <v>0</v>
      </c>
      <c r="AB97" s="882">
        <f>IF($O98=0,0,        _xll.qDateNext($O97,AB$17,$AH$16,TRUE,Currency1))</f>
        <v>0</v>
      </c>
      <c r="AC97" s="882">
        <f>IF($O98=0,0,        _xll.qDateNext($O97,AC$17,$AH$16,TRUE,Currency1))</f>
        <v>0</v>
      </c>
      <c r="AD97" s="882">
        <f>IF($O98=0,0,        _xll.qDateNext($O97,AD$17,$AH$16,TRUE,Currency1))</f>
        <v>0</v>
      </c>
      <c r="AE97" s="882">
        <f>IF($O98=0,0,        _xll.qDateNext($O97,AE$17,$AH$16,TRUE,Currency1))</f>
        <v>0</v>
      </c>
      <c r="AF97" s="882">
        <f>IF($O98=0,0,        _xll.qDateNext($O97,AF$17,$AH$16,TRUE,Currency1))</f>
        <v>0</v>
      </c>
      <c r="AG97" s="882">
        <f>IF($O98=0,0,        _xll.qDateNext($O97,AG$17,$AH$16,TRUE,Currency1))</f>
        <v>0</v>
      </c>
      <c r="AH97" s="882">
        <f>IF($O98=0,0,        _xll.qDateNext($O97,AH$17,$AH$16,TRUE,Currency1))</f>
        <v>0</v>
      </c>
      <c r="AI97" s="886">
        <f>IF($O98=0,0,           IF(FRM,_xll.qGetFwdRate(AI$14,$O97,AA97,"T",DCC_Leg1_Float),_xll.qGetFwdRate(AI$14,$O97,$O98,"T",DCC_Leg1_Float)))</f>
        <v>0</v>
      </c>
      <c r="AJ97" s="886">
        <f>IF($O98=0,0,           IF(FRM,_xll.qGetFwdRate(AJ$14,$O97,AB97,"T",DCC_Leg1_Float),_xll.qGetFwdRate(AJ$14,$O97,$O98,"T",DCC_Leg1_Float)))</f>
        <v>0</v>
      </c>
      <c r="AK97" s="886">
        <f t="shared" si="36"/>
        <v>0</v>
      </c>
      <c r="AL97" s="886">
        <f>IF($O98=0,0,           IF(FRM,_xll.qGetFwdRate(AL$14,$O97,AD97,"T",DCC_Leg1_Float),_xll.qGetFwdRate(AL$14,$O97,$O98,"T",DCC_Leg1_Float)))</f>
        <v>0</v>
      </c>
      <c r="AM97" s="886">
        <f t="shared" si="49"/>
        <v>0</v>
      </c>
      <c r="AN97" s="886">
        <f t="shared" si="50"/>
        <v>0</v>
      </c>
      <c r="AO97" s="886">
        <f>IF($O98=0,0,           IF(FRM,_xll.qGetFwdRate(AO$14,$O97,AG97,"T",DCC_Leg1_Float),_xll.qGetFwdRate(AO$14,$O97,$O98,"T",DCC_Leg1_Float)))</f>
        <v>0</v>
      </c>
      <c r="AP97" s="886">
        <f>IF($O98=0,0,           IF(FRM,_xll.qGetFwdRate(AP$14,$O97,AH97,"T",DCC_Leg1_Float),_xll.qGetFwdRate(AP$14,$O97,$O98,"T",DCC_Leg1_Float)))</f>
        <v>0</v>
      </c>
      <c r="AQ97" s="648">
        <f t="shared" si="51"/>
        <v>0</v>
      </c>
      <c r="AR97" s="648">
        <f t="shared" si="52"/>
        <v>0</v>
      </c>
      <c r="AS97" s="648">
        <f t="shared" si="53"/>
        <v>0</v>
      </c>
      <c r="AT97" s="648">
        <f t="shared" si="54"/>
        <v>0</v>
      </c>
      <c r="AU97" s="648">
        <f t="shared" si="55"/>
        <v>0</v>
      </c>
      <c r="AV97" s="648">
        <f t="shared" si="56"/>
        <v>0</v>
      </c>
      <c r="AW97" s="648">
        <f t="shared" si="57"/>
        <v>0</v>
      </c>
      <c r="AX97" s="648">
        <f t="shared" si="58"/>
        <v>0</v>
      </c>
      <c r="AY97" s="634">
        <v>0</v>
      </c>
      <c r="AZ97" s="616"/>
      <c r="BA97" s="619">
        <f>IF(O98=0,0,             IF(ISNUMBER(AZ97),AZ97,             IF(ISTEXT(AZ97),INDEX(AQ97:AX97,MATCH(AZ97,$AQ$17:$AX$17,0)),           IF(AY97="INT",_xll.qInterp(O98,AA97:AH97,AQ97:AX97),       INDEX(AQ97:AX97,MATCH(AY97,$AQ$17:$AX$17,0))))))</f>
        <v>0</v>
      </c>
      <c r="BB97" s="674">
        <v>100</v>
      </c>
      <c r="BC97" s="666">
        <f t="shared" si="37"/>
        <v>0</v>
      </c>
      <c r="BD97" s="268">
        <f>IF($O98=0,0,                IF(LEFT(DCC_Leg1_Fixed,2)="1/",uEvaluate(DCC_Leg1_Fixed),        _xll.qDateYears($O97,$O98,DCC_Leg1_Fixed)))</f>
        <v>0</v>
      </c>
      <c r="BE97" s="268">
        <f>IF($O98,_xll.qDateYears($O97,$O98,DCC_Leg1_Float),0)</f>
        <v>0</v>
      </c>
      <c r="BG97" s="332">
        <f t="shared" si="59"/>
        <v>0</v>
      </c>
      <c r="BH97" s="357">
        <f t="shared" si="60"/>
        <v>0</v>
      </c>
      <c r="BI97" s="527"/>
      <c r="BK97" s="324">
        <f t="shared" si="33"/>
        <v>0</v>
      </c>
      <c r="BM97" s="338"/>
      <c r="BN97" s="121">
        <v>0</v>
      </c>
      <c r="BO97" s="755">
        <f t="shared" si="38"/>
        <v>0</v>
      </c>
      <c r="BP97" s="339">
        <v>0</v>
      </c>
      <c r="BQ97" s="890">
        <f>IF(BN98=0,0,         IF(OR(Currency2="AUD",Currency1="NZD",Currency2="GBP"),BN97,   _xll.qDateNext(BN97,"-2b",,,IF(Currency2="EUR","TGT","LON"))))</f>
        <v>0</v>
      </c>
      <c r="BR97" s="879" t="str">
        <v/>
      </c>
      <c r="BS97" s="879" t="str">
        <v/>
      </c>
      <c r="BT97" s="879" t="str">
        <v/>
      </c>
      <c r="BU97" s="879" t="str">
        <v/>
      </c>
      <c r="BV97" s="879" t="str">
        <v/>
      </c>
      <c r="BW97" s="879" t="str">
        <v/>
      </c>
      <c r="BX97" s="879" t="str">
        <v/>
      </c>
      <c r="BY97" s="879" t="str">
        <v/>
      </c>
      <c r="BZ97" s="882">
        <f>IF($BN98=0,0,        _xll.qDateNext($BN97,BZ$17,$CG$16,TRUE,Currency2))</f>
        <v>0</v>
      </c>
      <c r="CA97" s="882">
        <f>IF($BN98=0,0,        _xll.qDateNext($BN97,CA$17,$CG$16,TRUE,Currency2))</f>
        <v>0</v>
      </c>
      <c r="CB97" s="882">
        <f>IF($BN98=0,0,        _xll.qDateNext($BN97,CB$17,$CG$16,TRUE,Currency2))</f>
        <v>0</v>
      </c>
      <c r="CC97" s="882">
        <f>IF($BN98=0,0,        _xll.qDateNext($BN97,CC$17,$CG$16,TRUE,Currency2))</f>
        <v>0</v>
      </c>
      <c r="CD97" s="882">
        <f>IF($BN98=0,0,        _xll.qDateNext($BN97,CD$17,$CG$16,TRUE,Currency2))</f>
        <v>0</v>
      </c>
      <c r="CE97" s="882">
        <f>IF($BN98=0,0,        _xll.qDateNext($BN97,CE$17,$CG$16,TRUE,Currency2))</f>
        <v>0</v>
      </c>
      <c r="CF97" s="882">
        <f>IF($BN98=0,0,        _xll.qDateNext($BN97,CF$17,$CG$16,TRUE,Currency2))</f>
        <v>0</v>
      </c>
      <c r="CG97" s="882">
        <f>IF($BN98=0,0,        _xll.qDateNext($BN97,CG$17,$CG$16,TRUE,Currency2))</f>
        <v>0</v>
      </c>
      <c r="CH97" s="886">
        <v>0</v>
      </c>
      <c r="CI97" s="886">
        <v>0</v>
      </c>
      <c r="CJ97" s="886">
        <v>0</v>
      </c>
      <c r="CK97" s="886">
        <v>0</v>
      </c>
      <c r="CL97" s="886">
        <f t="shared" si="61"/>
        <v>0</v>
      </c>
      <c r="CM97" s="886">
        <f t="shared" si="62"/>
        <v>0</v>
      </c>
      <c r="CN97" s="886">
        <v>0</v>
      </c>
      <c r="CO97" s="886">
        <v>0</v>
      </c>
      <c r="CP97" s="648">
        <f t="shared" si="39"/>
        <v>0</v>
      </c>
      <c r="CQ97" s="648">
        <f t="shared" si="40"/>
        <v>0</v>
      </c>
      <c r="CR97" s="648">
        <f t="shared" si="41"/>
        <v>0</v>
      </c>
      <c r="CS97" s="648">
        <f t="shared" si="42"/>
        <v>0</v>
      </c>
      <c r="CT97" s="648">
        <f t="shared" si="43"/>
        <v>0</v>
      </c>
      <c r="CU97" s="648">
        <f t="shared" si="44"/>
        <v>0</v>
      </c>
      <c r="CV97" s="648">
        <f t="shared" si="45"/>
        <v>0</v>
      </c>
      <c r="CW97" s="648">
        <f t="shared" si="46"/>
        <v>0</v>
      </c>
      <c r="CX97" s="634">
        <v>0</v>
      </c>
      <c r="CY97" s="616"/>
      <c r="CZ97" s="619">
        <f>IF(BN98=0,0,             IF(ISNUMBER(CY97),CY97,             IF(ISTEXT(CY97),INDEX(CP97:CW97,MATCH(CY97,$CP$17:$CW$17,0)),           IF(CX97="INT",_xll.qInterp(BN98,BZ97:CG97,CP97:CW97),       INDEX(CP97:CW97,MATCH(CX97,$CP$17:$CW$17,0))))))</f>
        <v>0</v>
      </c>
      <c r="DA97" s="755">
        <f t="shared" si="47"/>
        <v>0</v>
      </c>
      <c r="DB97" s="387">
        <f t="shared" si="48"/>
        <v>0</v>
      </c>
      <c r="DC97" s="268">
        <f>IF($BN98=0,0,         IF(LEFT(DCC_Leg2_Fixed,2)="1/",uEvaluate(DCC_Leg2_Fixed),         _xll.qDateYears($BN97,$BN98,DCC_Leg2_Fixed)))</f>
        <v>0</v>
      </c>
      <c r="DD97" s="268">
        <f>IF($BN98,_xll.qDateYears($BN97,$BN98,DCC_Leg2_Float),0)</f>
        <v>0</v>
      </c>
      <c r="DF97" s="332">
        <f t="shared" si="63"/>
        <v>0</v>
      </c>
      <c r="DG97" s="357">
        <f t="shared" si="64"/>
        <v>0</v>
      </c>
      <c r="DH97" s="527"/>
      <c r="DJ97" s="324">
        <f t="shared" si="34"/>
        <v>0</v>
      </c>
      <c r="DK97" s="529"/>
      <c r="DL97" s="338"/>
    </row>
    <row r="98" spans="15:116">
      <c r="O98" s="121">
        <v>0</v>
      </c>
      <c r="P98" s="755">
        <f t="shared" si="35"/>
        <v>0</v>
      </c>
      <c r="Q98" s="125">
        <v>0</v>
      </c>
      <c r="R98" s="890">
        <f>IF(O99=0,0,         IF(OR(Currency1="AUD",Currency1="NZD",Currency1="GBP"),O98,   _xll.qDateNext(O98,"-2b",,,IF(Currency1="EUR","TGT","LON"))))</f>
        <v>0</v>
      </c>
      <c r="S98" s="879" t="str">
        <v/>
      </c>
      <c r="T98" s="879" t="str">
        <v/>
      </c>
      <c r="U98" s="879" t="str">
        <v/>
      </c>
      <c r="V98" s="879" t="str">
        <v/>
      </c>
      <c r="W98" s="879" t="str">
        <v/>
      </c>
      <c r="X98" s="879" t="str">
        <v/>
      </c>
      <c r="Y98" s="879" t="str">
        <v/>
      </c>
      <c r="Z98" s="879" t="str">
        <v/>
      </c>
      <c r="AA98" s="882">
        <f>IF($O99=0,0,        _xll.qDateNext($O98,AA$17,$AH$16,TRUE,Currency1))</f>
        <v>0</v>
      </c>
      <c r="AB98" s="882">
        <f>IF($O99=0,0,        _xll.qDateNext($O98,AB$17,$AH$16,TRUE,Currency1))</f>
        <v>0</v>
      </c>
      <c r="AC98" s="882">
        <f>IF($O99=0,0,        _xll.qDateNext($O98,AC$17,$AH$16,TRUE,Currency1))</f>
        <v>0</v>
      </c>
      <c r="AD98" s="882">
        <f>IF($O99=0,0,        _xll.qDateNext($O98,AD$17,$AH$16,TRUE,Currency1))</f>
        <v>0</v>
      </c>
      <c r="AE98" s="882">
        <f>IF($O99=0,0,        _xll.qDateNext($O98,AE$17,$AH$16,TRUE,Currency1))</f>
        <v>0</v>
      </c>
      <c r="AF98" s="882">
        <f>IF($O99=0,0,        _xll.qDateNext($O98,AF$17,$AH$16,TRUE,Currency1))</f>
        <v>0</v>
      </c>
      <c r="AG98" s="882">
        <f>IF($O99=0,0,        _xll.qDateNext($O98,AG$17,$AH$16,TRUE,Currency1))</f>
        <v>0</v>
      </c>
      <c r="AH98" s="882">
        <f>IF($O99=0,0,        _xll.qDateNext($O98,AH$17,$AH$16,TRUE,Currency1))</f>
        <v>0</v>
      </c>
      <c r="AI98" s="886">
        <f>IF($O99=0,0,           IF(FRM,_xll.qGetFwdRate(AI$14,$O98,AA98,"T",DCC_Leg1_Float),_xll.qGetFwdRate(AI$14,$O98,$O99,"T",DCC_Leg1_Float)))</f>
        <v>0</v>
      </c>
      <c r="AJ98" s="886">
        <f>IF($O99=0,0,           IF(FRM,_xll.qGetFwdRate(AJ$14,$O98,AB98,"T",DCC_Leg1_Float),_xll.qGetFwdRate(AJ$14,$O98,$O99,"T",DCC_Leg1_Float)))</f>
        <v>0</v>
      </c>
      <c r="AK98" s="886">
        <f t="shared" si="36"/>
        <v>0</v>
      </c>
      <c r="AL98" s="886">
        <f>IF($O99=0,0,           IF(FRM,_xll.qGetFwdRate(AL$14,$O98,AD98,"T",DCC_Leg1_Float),_xll.qGetFwdRate(AL$14,$O98,$O99,"T",DCC_Leg1_Float)))</f>
        <v>0</v>
      </c>
      <c r="AM98" s="886">
        <f t="shared" si="49"/>
        <v>0</v>
      </c>
      <c r="AN98" s="886">
        <f t="shared" si="50"/>
        <v>0</v>
      </c>
      <c r="AO98" s="886">
        <f>IF($O99=0,0,           IF(FRM,_xll.qGetFwdRate(AO$14,$O98,AG98,"T",DCC_Leg1_Float),_xll.qGetFwdRate(AO$14,$O98,$O99,"T",DCC_Leg1_Float)))</f>
        <v>0</v>
      </c>
      <c r="AP98" s="886">
        <f>IF($O99=0,0,           IF(FRM,_xll.qGetFwdRate(AP$14,$O98,AH98,"T",DCC_Leg1_Float),_xll.qGetFwdRate(AP$14,$O98,$O99,"T",DCC_Leg1_Float)))</f>
        <v>0</v>
      </c>
      <c r="AQ98" s="648">
        <f t="shared" si="51"/>
        <v>0</v>
      </c>
      <c r="AR98" s="648">
        <f t="shared" si="52"/>
        <v>0</v>
      </c>
      <c r="AS98" s="648">
        <f t="shared" si="53"/>
        <v>0</v>
      </c>
      <c r="AT98" s="648">
        <f t="shared" si="54"/>
        <v>0</v>
      </c>
      <c r="AU98" s="648">
        <f t="shared" si="55"/>
        <v>0</v>
      </c>
      <c r="AV98" s="648">
        <f t="shared" si="56"/>
        <v>0</v>
      </c>
      <c r="AW98" s="648">
        <f t="shared" si="57"/>
        <v>0</v>
      </c>
      <c r="AX98" s="648">
        <f t="shared" si="58"/>
        <v>0</v>
      </c>
      <c r="AY98" s="634">
        <v>0</v>
      </c>
      <c r="AZ98" s="616"/>
      <c r="BA98" s="619">
        <f>IF(O99=0,0,             IF(ISNUMBER(AZ98),AZ98,             IF(ISTEXT(AZ98),INDEX(AQ98:AX98,MATCH(AZ98,$AQ$17:$AX$17,0)),           IF(AY98="INT",_xll.qInterp(O99,AA98:AH98,AQ98:AX98),       INDEX(AQ98:AX98,MATCH(AY98,$AQ$17:$AX$17,0))))))</f>
        <v>0</v>
      </c>
      <c r="BB98" s="674">
        <v>100</v>
      </c>
      <c r="BC98" s="666">
        <f t="shared" si="37"/>
        <v>0</v>
      </c>
      <c r="BD98" s="268">
        <f>IF($O99=0,0,                IF(LEFT(DCC_Leg1_Fixed,2)="1/",uEvaluate(DCC_Leg1_Fixed),        _xll.qDateYears($O98,$O99,DCC_Leg1_Fixed)))</f>
        <v>0</v>
      </c>
      <c r="BE98" s="268">
        <f>IF($O99,_xll.qDateYears($O98,$O99,DCC_Leg1_Float),0)</f>
        <v>0</v>
      </c>
      <c r="BG98" s="332">
        <f t="shared" si="59"/>
        <v>0</v>
      </c>
      <c r="BH98" s="357">
        <f t="shared" si="60"/>
        <v>0</v>
      </c>
      <c r="BI98" s="527"/>
      <c r="BK98" s="324">
        <f t="shared" si="33"/>
        <v>0</v>
      </c>
      <c r="BM98" s="338"/>
      <c r="BN98" s="121">
        <v>0</v>
      </c>
      <c r="BO98" s="755">
        <f t="shared" si="38"/>
        <v>0</v>
      </c>
      <c r="BP98" s="339">
        <v>0</v>
      </c>
      <c r="BQ98" s="890">
        <f>IF(BN99=0,0,         IF(OR(Currency2="AUD",Currency1="NZD",Currency2="GBP"),BN98,   _xll.qDateNext(BN98,"-2b",,,IF(Currency2="EUR","TGT","LON"))))</f>
        <v>0</v>
      </c>
      <c r="BR98" s="879" t="str">
        <v/>
      </c>
      <c r="BS98" s="879" t="str">
        <v/>
      </c>
      <c r="BT98" s="879" t="str">
        <v/>
      </c>
      <c r="BU98" s="879" t="str">
        <v/>
      </c>
      <c r="BV98" s="879" t="str">
        <v/>
      </c>
      <c r="BW98" s="879" t="str">
        <v/>
      </c>
      <c r="BX98" s="879" t="str">
        <v/>
      </c>
      <c r="BY98" s="879" t="str">
        <v/>
      </c>
      <c r="BZ98" s="882">
        <f>IF($BN99=0,0,        _xll.qDateNext($BN98,BZ$17,$CG$16,TRUE,Currency2))</f>
        <v>0</v>
      </c>
      <c r="CA98" s="882">
        <f>IF($BN99=0,0,        _xll.qDateNext($BN98,CA$17,$CG$16,TRUE,Currency2))</f>
        <v>0</v>
      </c>
      <c r="CB98" s="882">
        <f>IF($BN99=0,0,        _xll.qDateNext($BN98,CB$17,$CG$16,TRUE,Currency2))</f>
        <v>0</v>
      </c>
      <c r="CC98" s="882">
        <f>IF($BN99=0,0,        _xll.qDateNext($BN98,CC$17,$CG$16,TRUE,Currency2))</f>
        <v>0</v>
      </c>
      <c r="CD98" s="882">
        <f>IF($BN99=0,0,        _xll.qDateNext($BN98,CD$17,$CG$16,TRUE,Currency2))</f>
        <v>0</v>
      </c>
      <c r="CE98" s="882">
        <f>IF($BN99=0,0,        _xll.qDateNext($BN98,CE$17,$CG$16,TRUE,Currency2))</f>
        <v>0</v>
      </c>
      <c r="CF98" s="882">
        <f>IF($BN99=0,0,        _xll.qDateNext($BN98,CF$17,$CG$16,TRUE,Currency2))</f>
        <v>0</v>
      </c>
      <c r="CG98" s="882">
        <f>IF($BN99=0,0,        _xll.qDateNext($BN98,CG$17,$CG$16,TRUE,Currency2))</f>
        <v>0</v>
      </c>
      <c r="CH98" s="886">
        <v>0</v>
      </c>
      <c r="CI98" s="886">
        <v>0</v>
      </c>
      <c r="CJ98" s="886">
        <v>0</v>
      </c>
      <c r="CK98" s="886">
        <v>0</v>
      </c>
      <c r="CL98" s="886">
        <f t="shared" si="61"/>
        <v>0</v>
      </c>
      <c r="CM98" s="886">
        <f t="shared" si="62"/>
        <v>0</v>
      </c>
      <c r="CN98" s="886">
        <v>0</v>
      </c>
      <c r="CO98" s="886">
        <v>0</v>
      </c>
      <c r="CP98" s="648">
        <f t="shared" si="39"/>
        <v>0</v>
      </c>
      <c r="CQ98" s="648">
        <f t="shared" si="40"/>
        <v>0</v>
      </c>
      <c r="CR98" s="648">
        <f t="shared" si="41"/>
        <v>0</v>
      </c>
      <c r="CS98" s="648">
        <f t="shared" si="42"/>
        <v>0</v>
      </c>
      <c r="CT98" s="648">
        <f t="shared" si="43"/>
        <v>0</v>
      </c>
      <c r="CU98" s="648">
        <f t="shared" si="44"/>
        <v>0</v>
      </c>
      <c r="CV98" s="648">
        <f t="shared" si="45"/>
        <v>0</v>
      </c>
      <c r="CW98" s="648">
        <f t="shared" si="46"/>
        <v>0</v>
      </c>
      <c r="CX98" s="634">
        <v>0</v>
      </c>
      <c r="CY98" s="616"/>
      <c r="CZ98" s="619">
        <f>IF(BN99=0,0,             IF(ISNUMBER(CY98),CY98,             IF(ISTEXT(CY98),INDEX(CP98:CW98,MATCH(CY98,$CP$17:$CW$17,0)),           IF(CX98="INT",_xll.qInterp(BN99,BZ98:CG98,CP98:CW98),       INDEX(CP98:CW98,MATCH(CX98,$CP$17:$CW$17,0))))))</f>
        <v>0</v>
      </c>
      <c r="DA98" s="755">
        <f t="shared" si="47"/>
        <v>0</v>
      </c>
      <c r="DB98" s="387">
        <f t="shared" si="48"/>
        <v>0</v>
      </c>
      <c r="DC98" s="268">
        <f>IF($BN99=0,0,         IF(LEFT(DCC_Leg2_Fixed,2)="1/",uEvaluate(DCC_Leg2_Fixed),         _xll.qDateYears($BN98,$BN99,DCC_Leg2_Fixed)))</f>
        <v>0</v>
      </c>
      <c r="DD98" s="268">
        <f>IF($BN99,_xll.qDateYears($BN98,$BN99,DCC_Leg2_Float),0)</f>
        <v>0</v>
      </c>
      <c r="DF98" s="332">
        <f t="shared" si="63"/>
        <v>0</v>
      </c>
      <c r="DG98" s="357">
        <f t="shared" si="64"/>
        <v>0</v>
      </c>
      <c r="DH98" s="527"/>
      <c r="DJ98" s="324">
        <f t="shared" si="34"/>
        <v>0</v>
      </c>
      <c r="DK98" s="529"/>
      <c r="DL98" s="338"/>
    </row>
    <row r="99" spans="15:116">
      <c r="O99" s="121">
        <v>0</v>
      </c>
      <c r="P99" s="755">
        <f t="shared" si="35"/>
        <v>0</v>
      </c>
      <c r="Q99" s="125">
        <v>0</v>
      </c>
      <c r="R99" s="890">
        <f>IF(O100=0,0,         IF(OR(Currency1="AUD",Currency1="NZD",Currency1="GBP"),O99,   _xll.qDateNext(O99,"-2b",,,IF(Currency1="EUR","TGT","LON"))))</f>
        <v>0</v>
      </c>
      <c r="S99" s="879" t="str">
        <v/>
      </c>
      <c r="T99" s="879" t="str">
        <v/>
      </c>
      <c r="U99" s="879" t="str">
        <v/>
      </c>
      <c r="V99" s="879" t="str">
        <v/>
      </c>
      <c r="W99" s="879" t="str">
        <v/>
      </c>
      <c r="X99" s="879" t="str">
        <v/>
      </c>
      <c r="Y99" s="879" t="str">
        <v/>
      </c>
      <c r="Z99" s="879" t="str">
        <v/>
      </c>
      <c r="AA99" s="882">
        <f>IF($O100=0,0,        _xll.qDateNext($O99,AA$17,$AH$16,TRUE,Currency1))</f>
        <v>0</v>
      </c>
      <c r="AB99" s="882">
        <f>IF($O100=0,0,        _xll.qDateNext($O99,AB$17,$AH$16,TRUE,Currency1))</f>
        <v>0</v>
      </c>
      <c r="AC99" s="882">
        <f>IF($O100=0,0,        _xll.qDateNext($O99,AC$17,$AH$16,TRUE,Currency1))</f>
        <v>0</v>
      </c>
      <c r="AD99" s="882">
        <f>IF($O100=0,0,        _xll.qDateNext($O99,AD$17,$AH$16,TRUE,Currency1))</f>
        <v>0</v>
      </c>
      <c r="AE99" s="882">
        <f>IF($O100=0,0,        _xll.qDateNext($O99,AE$17,$AH$16,TRUE,Currency1))</f>
        <v>0</v>
      </c>
      <c r="AF99" s="882">
        <f>IF($O100=0,0,        _xll.qDateNext($O99,AF$17,$AH$16,TRUE,Currency1))</f>
        <v>0</v>
      </c>
      <c r="AG99" s="882">
        <f>IF($O100=0,0,        _xll.qDateNext($O99,AG$17,$AH$16,TRUE,Currency1))</f>
        <v>0</v>
      </c>
      <c r="AH99" s="882">
        <f>IF($O100=0,0,        _xll.qDateNext($O99,AH$17,$AH$16,TRUE,Currency1))</f>
        <v>0</v>
      </c>
      <c r="AI99" s="886">
        <f>IF($O100=0,0,           IF(FRM,_xll.qGetFwdRate(AI$14,$O99,AA99,"T",DCC_Leg1_Float),_xll.qGetFwdRate(AI$14,$O99,$O100,"T",DCC_Leg1_Float)))</f>
        <v>0</v>
      </c>
      <c r="AJ99" s="886">
        <f>IF($O100=0,0,           IF(FRM,_xll.qGetFwdRate(AJ$14,$O99,AB99,"T",DCC_Leg1_Float),_xll.qGetFwdRate(AJ$14,$O99,$O100,"T",DCC_Leg1_Float)))</f>
        <v>0</v>
      </c>
      <c r="AK99" s="886">
        <f t="shared" si="36"/>
        <v>0</v>
      </c>
      <c r="AL99" s="886">
        <f>IF($O100=0,0,           IF(FRM,_xll.qGetFwdRate(AL$14,$O99,AD99,"T",DCC_Leg1_Float),_xll.qGetFwdRate(AL$14,$O99,$O100,"T",DCC_Leg1_Float)))</f>
        <v>0</v>
      </c>
      <c r="AM99" s="886">
        <f t="shared" si="49"/>
        <v>0</v>
      </c>
      <c r="AN99" s="886">
        <f t="shared" si="50"/>
        <v>0</v>
      </c>
      <c r="AO99" s="886">
        <f>IF($O100=0,0,           IF(FRM,_xll.qGetFwdRate(AO$14,$O99,AG99,"T",DCC_Leg1_Float),_xll.qGetFwdRate(AO$14,$O99,$O100,"T",DCC_Leg1_Float)))</f>
        <v>0</v>
      </c>
      <c r="AP99" s="886">
        <f>IF($O100=0,0,           IF(FRM,_xll.qGetFwdRate(AP$14,$O99,AH99,"T",DCC_Leg1_Float),_xll.qGetFwdRate(AP$14,$O99,$O100,"T",DCC_Leg1_Float)))</f>
        <v>0</v>
      </c>
      <c r="AQ99" s="648">
        <f t="shared" si="51"/>
        <v>0</v>
      </c>
      <c r="AR99" s="648">
        <f t="shared" si="52"/>
        <v>0</v>
      </c>
      <c r="AS99" s="648">
        <f t="shared" si="53"/>
        <v>0</v>
      </c>
      <c r="AT99" s="648">
        <f t="shared" si="54"/>
        <v>0</v>
      </c>
      <c r="AU99" s="648">
        <f t="shared" si="55"/>
        <v>0</v>
      </c>
      <c r="AV99" s="648">
        <f t="shared" si="56"/>
        <v>0</v>
      </c>
      <c r="AW99" s="648">
        <f t="shared" si="57"/>
        <v>0</v>
      </c>
      <c r="AX99" s="648">
        <f t="shared" si="58"/>
        <v>0</v>
      </c>
      <c r="AY99" s="634">
        <v>0</v>
      </c>
      <c r="AZ99" s="616"/>
      <c r="BA99" s="619">
        <f>IF(O100=0,0,             IF(ISNUMBER(AZ99),AZ99,             IF(ISTEXT(AZ99),INDEX(AQ99:AX99,MATCH(AZ99,$AQ$17:$AX$17,0)),           IF(AY99="INT",_xll.qInterp(O100,AA99:AH99,AQ99:AX99),       INDEX(AQ99:AX99,MATCH(AY99,$AQ$17:$AX$17,0))))))</f>
        <v>0</v>
      </c>
      <c r="BB99" s="674">
        <v>100</v>
      </c>
      <c r="BC99" s="666">
        <f t="shared" si="37"/>
        <v>0</v>
      </c>
      <c r="BD99" s="268">
        <f>IF($O100=0,0,                IF(LEFT(DCC_Leg1_Fixed,2)="1/",uEvaluate(DCC_Leg1_Fixed),        _xll.qDateYears($O99,$O100,DCC_Leg1_Fixed)))</f>
        <v>0</v>
      </c>
      <c r="BE99" s="268">
        <f>IF($O100,_xll.qDateYears($O99,$O100,DCC_Leg1_Float),0)</f>
        <v>0</v>
      </c>
      <c r="BG99" s="332">
        <f t="shared" si="59"/>
        <v>0</v>
      </c>
      <c r="BH99" s="357">
        <f t="shared" si="60"/>
        <v>0</v>
      </c>
      <c r="BI99" s="527"/>
      <c r="BK99" s="324">
        <f t="shared" si="33"/>
        <v>0</v>
      </c>
      <c r="BM99" s="338"/>
      <c r="BN99" s="121">
        <v>0</v>
      </c>
      <c r="BO99" s="755">
        <f t="shared" si="38"/>
        <v>0</v>
      </c>
      <c r="BP99" s="339">
        <v>0</v>
      </c>
      <c r="BQ99" s="890">
        <f>IF(BN100=0,0,         IF(OR(Currency2="AUD",Currency1="NZD",Currency2="GBP"),BN99,   _xll.qDateNext(BN99,"-2b",,,IF(Currency2="EUR","TGT","LON"))))</f>
        <v>0</v>
      </c>
      <c r="BR99" s="879" t="str">
        <v/>
      </c>
      <c r="BS99" s="879" t="str">
        <v/>
      </c>
      <c r="BT99" s="879" t="str">
        <v/>
      </c>
      <c r="BU99" s="879" t="str">
        <v/>
      </c>
      <c r="BV99" s="879" t="str">
        <v/>
      </c>
      <c r="BW99" s="879" t="str">
        <v/>
      </c>
      <c r="BX99" s="879" t="str">
        <v/>
      </c>
      <c r="BY99" s="879" t="str">
        <v/>
      </c>
      <c r="BZ99" s="882">
        <f>IF($BN100=0,0,        _xll.qDateNext($BN99,BZ$17,$CG$16,TRUE,Currency2))</f>
        <v>0</v>
      </c>
      <c r="CA99" s="882">
        <f>IF($BN100=0,0,        _xll.qDateNext($BN99,CA$17,$CG$16,TRUE,Currency2))</f>
        <v>0</v>
      </c>
      <c r="CB99" s="882">
        <f>IF($BN100=0,0,        _xll.qDateNext($BN99,CB$17,$CG$16,TRUE,Currency2))</f>
        <v>0</v>
      </c>
      <c r="CC99" s="882">
        <f>IF($BN100=0,0,        _xll.qDateNext($BN99,CC$17,$CG$16,TRUE,Currency2))</f>
        <v>0</v>
      </c>
      <c r="CD99" s="882">
        <f>IF($BN100=0,0,        _xll.qDateNext($BN99,CD$17,$CG$16,TRUE,Currency2))</f>
        <v>0</v>
      </c>
      <c r="CE99" s="882">
        <f>IF($BN100=0,0,        _xll.qDateNext($BN99,CE$17,$CG$16,TRUE,Currency2))</f>
        <v>0</v>
      </c>
      <c r="CF99" s="882">
        <f>IF($BN100=0,0,        _xll.qDateNext($BN99,CF$17,$CG$16,TRUE,Currency2))</f>
        <v>0</v>
      </c>
      <c r="CG99" s="882">
        <f>IF($BN100=0,0,        _xll.qDateNext($BN99,CG$17,$CG$16,TRUE,Currency2))</f>
        <v>0</v>
      </c>
      <c r="CH99" s="886">
        <v>0</v>
      </c>
      <c r="CI99" s="886">
        <v>0</v>
      </c>
      <c r="CJ99" s="886">
        <v>0</v>
      </c>
      <c r="CK99" s="886">
        <v>0</v>
      </c>
      <c r="CL99" s="886">
        <f t="shared" si="61"/>
        <v>0</v>
      </c>
      <c r="CM99" s="886">
        <f t="shared" si="62"/>
        <v>0</v>
      </c>
      <c r="CN99" s="886">
        <v>0</v>
      </c>
      <c r="CO99" s="886">
        <v>0</v>
      </c>
      <c r="CP99" s="648">
        <f t="shared" si="39"/>
        <v>0</v>
      </c>
      <c r="CQ99" s="648">
        <f t="shared" si="40"/>
        <v>0</v>
      </c>
      <c r="CR99" s="648">
        <f t="shared" si="41"/>
        <v>0</v>
      </c>
      <c r="CS99" s="648">
        <f t="shared" si="42"/>
        <v>0</v>
      </c>
      <c r="CT99" s="648">
        <f t="shared" si="43"/>
        <v>0</v>
      </c>
      <c r="CU99" s="648">
        <f t="shared" si="44"/>
        <v>0</v>
      </c>
      <c r="CV99" s="648">
        <f t="shared" si="45"/>
        <v>0</v>
      </c>
      <c r="CW99" s="648">
        <f t="shared" si="46"/>
        <v>0</v>
      </c>
      <c r="CX99" s="634">
        <v>0</v>
      </c>
      <c r="CY99" s="616"/>
      <c r="CZ99" s="619">
        <f>IF(BN100=0,0,             IF(ISNUMBER(CY99),CY99,             IF(ISTEXT(CY99),INDEX(CP99:CW99,MATCH(CY99,$CP$17:$CW$17,0)),           IF(CX99="INT",_xll.qInterp(BN100,BZ99:CG99,CP99:CW99),       INDEX(CP99:CW99,MATCH(CX99,$CP$17:$CW$17,0))))))</f>
        <v>0</v>
      </c>
      <c r="DA99" s="755">
        <f t="shared" si="47"/>
        <v>0</v>
      </c>
      <c r="DB99" s="387">
        <f t="shared" si="48"/>
        <v>0</v>
      </c>
      <c r="DC99" s="268">
        <f>IF($BN100=0,0,         IF(LEFT(DCC_Leg2_Fixed,2)="1/",uEvaluate(DCC_Leg2_Fixed),         _xll.qDateYears($BN99,$BN100,DCC_Leg2_Fixed)))</f>
        <v>0</v>
      </c>
      <c r="DD99" s="268">
        <f>IF($BN100,_xll.qDateYears($BN99,$BN100,DCC_Leg2_Float),0)</f>
        <v>0</v>
      </c>
      <c r="DF99" s="332">
        <f t="shared" si="63"/>
        <v>0</v>
      </c>
      <c r="DG99" s="357">
        <f t="shared" si="64"/>
        <v>0</v>
      </c>
      <c r="DH99" s="527"/>
      <c r="DJ99" s="324">
        <f t="shared" si="34"/>
        <v>0</v>
      </c>
      <c r="DK99" s="529"/>
      <c r="DL99" s="338"/>
    </row>
    <row r="100" spans="15:116">
      <c r="O100" s="121">
        <v>0</v>
      </c>
      <c r="P100" s="755">
        <f t="shared" si="35"/>
        <v>0</v>
      </c>
      <c r="Q100" s="125">
        <v>0</v>
      </c>
      <c r="R100" s="890">
        <f>IF(O101=0,0,         IF(OR(Currency1="AUD",Currency1="NZD",Currency1="GBP"),O100,   _xll.qDateNext(O100,"-2b",,,IF(Currency1="EUR","TGT","LON"))))</f>
        <v>0</v>
      </c>
      <c r="S100" s="879" t="str">
        <v/>
      </c>
      <c r="T100" s="879" t="str">
        <v/>
      </c>
      <c r="U100" s="879" t="str">
        <v/>
      </c>
      <c r="V100" s="879" t="str">
        <v/>
      </c>
      <c r="W100" s="879" t="str">
        <v/>
      </c>
      <c r="X100" s="879" t="str">
        <v/>
      </c>
      <c r="Y100" s="879" t="str">
        <v/>
      </c>
      <c r="Z100" s="879" t="str">
        <v/>
      </c>
      <c r="AA100" s="882">
        <f>IF($O101=0,0,        _xll.qDateNext($O100,AA$17,$AH$16,TRUE,Currency1))</f>
        <v>0</v>
      </c>
      <c r="AB100" s="882">
        <f>IF($O101=0,0,        _xll.qDateNext($O100,AB$17,$AH$16,TRUE,Currency1))</f>
        <v>0</v>
      </c>
      <c r="AC100" s="882">
        <f>IF($O101=0,0,        _xll.qDateNext($O100,AC$17,$AH$16,TRUE,Currency1))</f>
        <v>0</v>
      </c>
      <c r="AD100" s="882">
        <f>IF($O101=0,0,        _xll.qDateNext($O100,AD$17,$AH$16,TRUE,Currency1))</f>
        <v>0</v>
      </c>
      <c r="AE100" s="882">
        <f>IF($O101=0,0,        _xll.qDateNext($O100,AE$17,$AH$16,TRUE,Currency1))</f>
        <v>0</v>
      </c>
      <c r="AF100" s="882">
        <f>IF($O101=0,0,        _xll.qDateNext($O100,AF$17,$AH$16,TRUE,Currency1))</f>
        <v>0</v>
      </c>
      <c r="AG100" s="882">
        <f>IF($O101=0,0,        _xll.qDateNext($O100,AG$17,$AH$16,TRUE,Currency1))</f>
        <v>0</v>
      </c>
      <c r="AH100" s="882">
        <f>IF($O101=0,0,        _xll.qDateNext($O100,AH$17,$AH$16,TRUE,Currency1))</f>
        <v>0</v>
      </c>
      <c r="AI100" s="886">
        <f>IF($O101=0,0,           IF(FRM,_xll.qGetFwdRate(AI$14,$O100,AA100,"T",DCC_Leg1_Float),_xll.qGetFwdRate(AI$14,$O100,$O101,"T",DCC_Leg1_Float)))</f>
        <v>0</v>
      </c>
      <c r="AJ100" s="886">
        <f>IF($O101=0,0,           IF(FRM,_xll.qGetFwdRate(AJ$14,$O100,AB100,"T",DCC_Leg1_Float),_xll.qGetFwdRate(AJ$14,$O100,$O101,"T",DCC_Leg1_Float)))</f>
        <v>0</v>
      </c>
      <c r="AK100" s="886">
        <f t="shared" si="36"/>
        <v>0</v>
      </c>
      <c r="AL100" s="886">
        <f>IF($O101=0,0,           IF(FRM,_xll.qGetFwdRate(AL$14,$O100,AD100,"T",DCC_Leg1_Float),_xll.qGetFwdRate(AL$14,$O100,$O101,"T",DCC_Leg1_Float)))</f>
        <v>0</v>
      </c>
      <c r="AM100" s="886">
        <f t="shared" si="49"/>
        <v>0</v>
      </c>
      <c r="AN100" s="886">
        <f t="shared" si="50"/>
        <v>0</v>
      </c>
      <c r="AO100" s="886">
        <f>IF($O101=0,0,           IF(FRM,_xll.qGetFwdRate(AO$14,$O100,AG100,"T",DCC_Leg1_Float),_xll.qGetFwdRate(AO$14,$O100,$O101,"T",DCC_Leg1_Float)))</f>
        <v>0</v>
      </c>
      <c r="AP100" s="886">
        <f>IF($O101=0,0,           IF(FRM,_xll.qGetFwdRate(AP$14,$O100,AH100,"T",DCC_Leg1_Float),_xll.qGetFwdRate(AP$14,$O100,$O101,"T",DCC_Leg1_Float)))</f>
        <v>0</v>
      </c>
      <c r="AQ100" s="648">
        <f t="shared" si="51"/>
        <v>0</v>
      </c>
      <c r="AR100" s="648">
        <f t="shared" si="52"/>
        <v>0</v>
      </c>
      <c r="AS100" s="648">
        <f t="shared" si="53"/>
        <v>0</v>
      </c>
      <c r="AT100" s="648">
        <f t="shared" si="54"/>
        <v>0</v>
      </c>
      <c r="AU100" s="648">
        <f t="shared" si="55"/>
        <v>0</v>
      </c>
      <c r="AV100" s="648">
        <f t="shared" si="56"/>
        <v>0</v>
      </c>
      <c r="AW100" s="648">
        <f t="shared" si="57"/>
        <v>0</v>
      </c>
      <c r="AX100" s="648">
        <f t="shared" si="58"/>
        <v>0</v>
      </c>
      <c r="AY100" s="634">
        <v>0</v>
      </c>
      <c r="AZ100" s="616"/>
      <c r="BA100" s="619">
        <f>IF(O101=0,0,             IF(ISNUMBER(AZ100),AZ100,             IF(ISTEXT(AZ100),INDEX(AQ100:AX100,MATCH(AZ100,$AQ$17:$AX$17,0)),           IF(AY100="INT",_xll.qInterp(O101,AA100:AH100,AQ100:AX100),       INDEX(AQ100:AX100,MATCH(AY100,$AQ$17:$AX$17,0))))))</f>
        <v>0</v>
      </c>
      <c r="BB100" s="674">
        <v>100</v>
      </c>
      <c r="BC100" s="666">
        <f t="shared" si="37"/>
        <v>0</v>
      </c>
      <c r="BD100" s="268">
        <f>IF($O101=0,0,                IF(LEFT(DCC_Leg1_Fixed,2)="1/",uEvaluate(DCC_Leg1_Fixed),        _xll.qDateYears($O100,$O101,DCC_Leg1_Fixed)))</f>
        <v>0</v>
      </c>
      <c r="BE100" s="268">
        <f>IF($O101,_xll.qDateYears($O100,$O101,DCC_Leg1_Float),0)</f>
        <v>0</v>
      </c>
      <c r="BG100" s="332">
        <f t="shared" si="59"/>
        <v>0</v>
      </c>
      <c r="BH100" s="357">
        <f t="shared" si="60"/>
        <v>0</v>
      </c>
      <c r="BI100" s="527"/>
      <c r="BK100" s="324">
        <f t="shared" si="33"/>
        <v>0</v>
      </c>
      <c r="BM100" s="338"/>
      <c r="BN100" s="121">
        <v>0</v>
      </c>
      <c r="BO100" s="755">
        <f t="shared" si="38"/>
        <v>0</v>
      </c>
      <c r="BP100" s="339">
        <v>0</v>
      </c>
      <c r="BQ100" s="890">
        <f>IF(BN101=0,0,         IF(OR(Currency2="AUD",Currency1="NZD",Currency2="GBP"),BN100,   _xll.qDateNext(BN100,"-2b",,,IF(Currency2="EUR","TGT","LON"))))</f>
        <v>0</v>
      </c>
      <c r="BR100" s="879" t="str">
        <v/>
      </c>
      <c r="BS100" s="879" t="str">
        <v/>
      </c>
      <c r="BT100" s="879" t="str">
        <v/>
      </c>
      <c r="BU100" s="879" t="str">
        <v/>
      </c>
      <c r="BV100" s="879" t="str">
        <v/>
      </c>
      <c r="BW100" s="879" t="str">
        <v/>
      </c>
      <c r="BX100" s="879" t="str">
        <v/>
      </c>
      <c r="BY100" s="879" t="str">
        <v/>
      </c>
      <c r="BZ100" s="882">
        <f>IF($BN101=0,0,        _xll.qDateNext($BN100,BZ$17,$CG$16,TRUE,Currency2))</f>
        <v>0</v>
      </c>
      <c r="CA100" s="882">
        <f>IF($BN101=0,0,        _xll.qDateNext($BN100,CA$17,$CG$16,TRUE,Currency2))</f>
        <v>0</v>
      </c>
      <c r="CB100" s="882">
        <f>IF($BN101=0,0,        _xll.qDateNext($BN100,CB$17,$CG$16,TRUE,Currency2))</f>
        <v>0</v>
      </c>
      <c r="CC100" s="882">
        <f>IF($BN101=0,0,        _xll.qDateNext($BN100,CC$17,$CG$16,TRUE,Currency2))</f>
        <v>0</v>
      </c>
      <c r="CD100" s="882">
        <f>IF($BN101=0,0,        _xll.qDateNext($BN100,CD$17,$CG$16,TRUE,Currency2))</f>
        <v>0</v>
      </c>
      <c r="CE100" s="882">
        <f>IF($BN101=0,0,        _xll.qDateNext($BN100,CE$17,$CG$16,TRUE,Currency2))</f>
        <v>0</v>
      </c>
      <c r="CF100" s="882">
        <f>IF($BN101=0,0,        _xll.qDateNext($BN100,CF$17,$CG$16,TRUE,Currency2))</f>
        <v>0</v>
      </c>
      <c r="CG100" s="882">
        <f>IF($BN101=0,0,        _xll.qDateNext($BN100,CG$17,$CG$16,TRUE,Currency2))</f>
        <v>0</v>
      </c>
      <c r="CH100" s="886">
        <v>0</v>
      </c>
      <c r="CI100" s="886">
        <v>0</v>
      </c>
      <c r="CJ100" s="886">
        <v>0</v>
      </c>
      <c r="CK100" s="886">
        <v>0</v>
      </c>
      <c r="CL100" s="886">
        <f t="shared" si="61"/>
        <v>0</v>
      </c>
      <c r="CM100" s="886">
        <f t="shared" si="62"/>
        <v>0</v>
      </c>
      <c r="CN100" s="886">
        <v>0</v>
      </c>
      <c r="CO100" s="886">
        <v>0</v>
      </c>
      <c r="CP100" s="648">
        <f t="shared" si="39"/>
        <v>0</v>
      </c>
      <c r="CQ100" s="648">
        <f t="shared" si="40"/>
        <v>0</v>
      </c>
      <c r="CR100" s="648">
        <f t="shared" si="41"/>
        <v>0</v>
      </c>
      <c r="CS100" s="648">
        <f t="shared" si="42"/>
        <v>0</v>
      </c>
      <c r="CT100" s="648">
        <f t="shared" si="43"/>
        <v>0</v>
      </c>
      <c r="CU100" s="648">
        <f t="shared" si="44"/>
        <v>0</v>
      </c>
      <c r="CV100" s="648">
        <f t="shared" si="45"/>
        <v>0</v>
      </c>
      <c r="CW100" s="648">
        <f t="shared" si="46"/>
        <v>0</v>
      </c>
      <c r="CX100" s="634">
        <v>0</v>
      </c>
      <c r="CY100" s="616"/>
      <c r="CZ100" s="619">
        <f>IF(BN101=0,0,             IF(ISNUMBER(CY100),CY100,             IF(ISTEXT(CY100),INDEX(CP100:CW100,MATCH(CY100,$CP$17:$CW$17,0)),           IF(CX100="INT",_xll.qInterp(BN101,BZ100:CG100,CP100:CW100),       INDEX(CP100:CW100,MATCH(CX100,$CP$17:$CW$17,0))))))</f>
        <v>0</v>
      </c>
      <c r="DA100" s="755">
        <f t="shared" si="47"/>
        <v>0</v>
      </c>
      <c r="DB100" s="387">
        <f t="shared" si="48"/>
        <v>0</v>
      </c>
      <c r="DC100" s="268">
        <f>IF($BN101=0,0,         IF(LEFT(DCC_Leg2_Fixed,2)="1/",uEvaluate(DCC_Leg2_Fixed),         _xll.qDateYears($BN100,$BN101,DCC_Leg2_Fixed)))</f>
        <v>0</v>
      </c>
      <c r="DD100" s="268">
        <f>IF($BN101,_xll.qDateYears($BN100,$BN101,DCC_Leg2_Float),0)</f>
        <v>0</v>
      </c>
      <c r="DF100" s="332">
        <f t="shared" si="63"/>
        <v>0</v>
      </c>
      <c r="DG100" s="357">
        <f t="shared" si="64"/>
        <v>0</v>
      </c>
      <c r="DH100" s="527"/>
      <c r="DJ100" s="324">
        <f t="shared" si="34"/>
        <v>0</v>
      </c>
      <c r="DK100" s="529"/>
      <c r="DL100" s="338"/>
    </row>
    <row r="101" spans="15:116">
      <c r="O101" s="121">
        <v>0</v>
      </c>
      <c r="P101" s="755">
        <f t="shared" si="35"/>
        <v>0</v>
      </c>
      <c r="Q101" s="125">
        <v>0</v>
      </c>
      <c r="R101" s="890">
        <f>IF(O102=0,0,         IF(OR(Currency1="AUD",Currency1="NZD",Currency1="GBP"),O101,   _xll.qDateNext(O101,"-2b",,,IF(Currency1="EUR","TGT","LON"))))</f>
        <v>0</v>
      </c>
      <c r="S101" s="879" t="str">
        <v/>
      </c>
      <c r="T101" s="879" t="str">
        <v/>
      </c>
      <c r="U101" s="879" t="str">
        <v/>
      </c>
      <c r="V101" s="879" t="str">
        <v/>
      </c>
      <c r="W101" s="879" t="str">
        <v/>
      </c>
      <c r="X101" s="879" t="str">
        <v/>
      </c>
      <c r="Y101" s="879" t="str">
        <v/>
      </c>
      <c r="Z101" s="879" t="str">
        <v/>
      </c>
      <c r="AA101" s="882">
        <f>IF($O102=0,0,        _xll.qDateNext($O101,AA$17,$AH$16,TRUE,Currency1))</f>
        <v>0</v>
      </c>
      <c r="AB101" s="882">
        <f>IF($O102=0,0,        _xll.qDateNext($O101,AB$17,$AH$16,TRUE,Currency1))</f>
        <v>0</v>
      </c>
      <c r="AC101" s="882">
        <f>IF($O102=0,0,        _xll.qDateNext($O101,AC$17,$AH$16,TRUE,Currency1))</f>
        <v>0</v>
      </c>
      <c r="AD101" s="882">
        <f>IF($O102=0,0,        _xll.qDateNext($O101,AD$17,$AH$16,TRUE,Currency1))</f>
        <v>0</v>
      </c>
      <c r="AE101" s="882">
        <f>IF($O102=0,0,        _xll.qDateNext($O101,AE$17,$AH$16,TRUE,Currency1))</f>
        <v>0</v>
      </c>
      <c r="AF101" s="882">
        <f>IF($O102=0,0,        _xll.qDateNext($O101,AF$17,$AH$16,TRUE,Currency1))</f>
        <v>0</v>
      </c>
      <c r="AG101" s="882">
        <f>IF($O102=0,0,        _xll.qDateNext($O101,AG$17,$AH$16,TRUE,Currency1))</f>
        <v>0</v>
      </c>
      <c r="AH101" s="882">
        <f>IF($O102=0,0,        _xll.qDateNext($O101,AH$17,$AH$16,TRUE,Currency1))</f>
        <v>0</v>
      </c>
      <c r="AI101" s="886">
        <f>IF($O102=0,0,           IF(FRM,_xll.qGetFwdRate(AI$14,$O101,AA101,"T",DCC_Leg1_Float),_xll.qGetFwdRate(AI$14,$O101,$O102,"T",DCC_Leg1_Float)))</f>
        <v>0</v>
      </c>
      <c r="AJ101" s="886">
        <f>IF($O102=0,0,           IF(FRM,_xll.qGetFwdRate(AJ$14,$O101,AB101,"T",DCC_Leg1_Float),_xll.qGetFwdRate(AJ$14,$O101,$O102,"T",DCC_Leg1_Float)))</f>
        <v>0</v>
      </c>
      <c r="AK101" s="886">
        <f t="shared" si="36"/>
        <v>0</v>
      </c>
      <c r="AL101" s="886">
        <f>IF($O102=0,0,           IF(FRM,_xll.qGetFwdRate(AL$14,$O101,AD101,"T",DCC_Leg1_Float),_xll.qGetFwdRate(AL$14,$O101,$O102,"T",DCC_Leg1_Float)))</f>
        <v>0</v>
      </c>
      <c r="AM101" s="886">
        <f t="shared" si="49"/>
        <v>0</v>
      </c>
      <c r="AN101" s="886">
        <f t="shared" si="50"/>
        <v>0</v>
      </c>
      <c r="AO101" s="886">
        <f>IF($O102=0,0,           IF(FRM,_xll.qGetFwdRate(AO$14,$O101,AG101,"T",DCC_Leg1_Float),_xll.qGetFwdRate(AO$14,$O101,$O102,"T",DCC_Leg1_Float)))</f>
        <v>0</v>
      </c>
      <c r="AP101" s="886">
        <f>IF($O102=0,0,           IF(FRM,_xll.qGetFwdRate(AP$14,$O101,AH101,"T",DCC_Leg1_Float),_xll.qGetFwdRate(AP$14,$O101,$O102,"T",DCC_Leg1_Float)))</f>
        <v>0</v>
      </c>
      <c r="AQ101" s="648">
        <f t="shared" si="51"/>
        <v>0</v>
      </c>
      <c r="AR101" s="648">
        <f t="shared" si="52"/>
        <v>0</v>
      </c>
      <c r="AS101" s="648">
        <f t="shared" si="53"/>
        <v>0</v>
      </c>
      <c r="AT101" s="648">
        <f t="shared" si="54"/>
        <v>0</v>
      </c>
      <c r="AU101" s="648">
        <f t="shared" si="55"/>
        <v>0</v>
      </c>
      <c r="AV101" s="648">
        <f t="shared" si="56"/>
        <v>0</v>
      </c>
      <c r="AW101" s="648">
        <f t="shared" si="57"/>
        <v>0</v>
      </c>
      <c r="AX101" s="648">
        <f t="shared" si="58"/>
        <v>0</v>
      </c>
      <c r="AY101" s="634">
        <v>0</v>
      </c>
      <c r="AZ101" s="616"/>
      <c r="BA101" s="619">
        <f>IF(O102=0,0,             IF(ISNUMBER(AZ101),AZ101,             IF(ISTEXT(AZ101),INDEX(AQ101:AX101,MATCH(AZ101,$AQ$17:$AX$17,0)),           IF(AY101="INT",_xll.qInterp(O102,AA101:AH101,AQ101:AX101),       INDEX(AQ101:AX101,MATCH(AY101,$AQ$17:$AX$17,0))))))</f>
        <v>0</v>
      </c>
      <c r="BB101" s="674">
        <v>100</v>
      </c>
      <c r="BC101" s="666">
        <f t="shared" si="37"/>
        <v>0</v>
      </c>
      <c r="BD101" s="268">
        <f>IF($O102=0,0,                IF(LEFT(DCC_Leg1_Fixed,2)="1/",uEvaluate(DCC_Leg1_Fixed),        _xll.qDateYears($O101,$O102,DCC_Leg1_Fixed)))</f>
        <v>0</v>
      </c>
      <c r="BE101" s="268">
        <f>IF($O102,_xll.qDateYears($O101,$O102,DCC_Leg1_Float),0)</f>
        <v>0</v>
      </c>
      <c r="BG101" s="332">
        <f t="shared" si="59"/>
        <v>0</v>
      </c>
      <c r="BH101" s="357">
        <f t="shared" si="60"/>
        <v>0</v>
      </c>
      <c r="BI101" s="527"/>
      <c r="BK101" s="324">
        <f t="shared" si="33"/>
        <v>0</v>
      </c>
      <c r="BM101" s="338"/>
      <c r="BN101" s="121">
        <v>0</v>
      </c>
      <c r="BO101" s="755">
        <f t="shared" si="38"/>
        <v>0</v>
      </c>
      <c r="BP101" s="339">
        <v>0</v>
      </c>
      <c r="BQ101" s="890">
        <f>IF(BN102=0,0,         IF(OR(Currency2="AUD",Currency1="NZD",Currency2="GBP"),BN101,   _xll.qDateNext(BN101,"-2b",,,IF(Currency2="EUR","TGT","LON"))))</f>
        <v>0</v>
      </c>
      <c r="BR101" s="879" t="str">
        <v/>
      </c>
      <c r="BS101" s="879" t="str">
        <v/>
      </c>
      <c r="BT101" s="879" t="str">
        <v/>
      </c>
      <c r="BU101" s="879" t="str">
        <v/>
      </c>
      <c r="BV101" s="879" t="str">
        <v/>
      </c>
      <c r="BW101" s="879" t="str">
        <v/>
      </c>
      <c r="BX101" s="879" t="str">
        <v/>
      </c>
      <c r="BY101" s="879" t="str">
        <v/>
      </c>
      <c r="BZ101" s="882">
        <f>IF($BN102=0,0,        _xll.qDateNext($BN101,BZ$17,$CG$16,TRUE,Currency2))</f>
        <v>0</v>
      </c>
      <c r="CA101" s="882">
        <f>IF($BN102=0,0,        _xll.qDateNext($BN101,CA$17,$CG$16,TRUE,Currency2))</f>
        <v>0</v>
      </c>
      <c r="CB101" s="882">
        <f>IF($BN102=0,0,        _xll.qDateNext($BN101,CB$17,$CG$16,TRUE,Currency2))</f>
        <v>0</v>
      </c>
      <c r="CC101" s="882">
        <f>IF($BN102=0,0,        _xll.qDateNext($BN101,CC$17,$CG$16,TRUE,Currency2))</f>
        <v>0</v>
      </c>
      <c r="CD101" s="882">
        <f>IF($BN102=0,0,        _xll.qDateNext($BN101,CD$17,$CG$16,TRUE,Currency2))</f>
        <v>0</v>
      </c>
      <c r="CE101" s="882">
        <f>IF($BN102=0,0,        _xll.qDateNext($BN101,CE$17,$CG$16,TRUE,Currency2))</f>
        <v>0</v>
      </c>
      <c r="CF101" s="882">
        <f>IF($BN102=0,0,        _xll.qDateNext($BN101,CF$17,$CG$16,TRUE,Currency2))</f>
        <v>0</v>
      </c>
      <c r="CG101" s="882">
        <f>IF($BN102=0,0,        _xll.qDateNext($BN101,CG$17,$CG$16,TRUE,Currency2))</f>
        <v>0</v>
      </c>
      <c r="CH101" s="886">
        <v>0</v>
      </c>
      <c r="CI101" s="886">
        <v>0</v>
      </c>
      <c r="CJ101" s="886">
        <v>0</v>
      </c>
      <c r="CK101" s="886">
        <v>0</v>
      </c>
      <c r="CL101" s="886">
        <f t="shared" si="61"/>
        <v>0</v>
      </c>
      <c r="CM101" s="886">
        <f t="shared" si="62"/>
        <v>0</v>
      </c>
      <c r="CN101" s="886">
        <v>0</v>
      </c>
      <c r="CO101" s="886">
        <v>0</v>
      </c>
      <c r="CP101" s="648">
        <f t="shared" si="39"/>
        <v>0</v>
      </c>
      <c r="CQ101" s="648">
        <f t="shared" si="40"/>
        <v>0</v>
      </c>
      <c r="CR101" s="648">
        <f t="shared" si="41"/>
        <v>0</v>
      </c>
      <c r="CS101" s="648">
        <f t="shared" si="42"/>
        <v>0</v>
      </c>
      <c r="CT101" s="648">
        <f t="shared" si="43"/>
        <v>0</v>
      </c>
      <c r="CU101" s="648">
        <f t="shared" si="44"/>
        <v>0</v>
      </c>
      <c r="CV101" s="648">
        <f t="shared" si="45"/>
        <v>0</v>
      </c>
      <c r="CW101" s="648">
        <f t="shared" si="46"/>
        <v>0</v>
      </c>
      <c r="CX101" s="634">
        <v>0</v>
      </c>
      <c r="CY101" s="616"/>
      <c r="CZ101" s="619">
        <f>IF(BN102=0,0,             IF(ISNUMBER(CY101),CY101,             IF(ISTEXT(CY101),INDEX(CP101:CW101,MATCH(CY101,$CP$17:$CW$17,0)),           IF(CX101="INT",_xll.qInterp(BN102,BZ101:CG101,CP101:CW101),       INDEX(CP101:CW101,MATCH(CX101,$CP$17:$CW$17,0))))))</f>
        <v>0</v>
      </c>
      <c r="DA101" s="755">
        <f t="shared" si="47"/>
        <v>0</v>
      </c>
      <c r="DB101" s="387">
        <f t="shared" si="48"/>
        <v>0</v>
      </c>
      <c r="DC101" s="268">
        <f>IF($BN102=0,0,         IF(LEFT(DCC_Leg2_Fixed,2)="1/",uEvaluate(DCC_Leg2_Fixed),         _xll.qDateYears($BN101,$BN102,DCC_Leg2_Fixed)))</f>
        <v>0</v>
      </c>
      <c r="DD101" s="268">
        <f>IF($BN102,_xll.qDateYears($BN101,$BN102,DCC_Leg2_Float),0)</f>
        <v>0</v>
      </c>
      <c r="DF101" s="332">
        <f t="shared" si="63"/>
        <v>0</v>
      </c>
      <c r="DG101" s="357">
        <f t="shared" si="64"/>
        <v>0</v>
      </c>
      <c r="DH101" s="527"/>
      <c r="DJ101" s="324">
        <f t="shared" si="34"/>
        <v>0</v>
      </c>
      <c r="DK101" s="529"/>
      <c r="DL101" s="338"/>
    </row>
    <row r="102" spans="15:116">
      <c r="O102" s="121">
        <v>0</v>
      </c>
      <c r="P102" s="755">
        <f t="shared" si="35"/>
        <v>0</v>
      </c>
      <c r="Q102" s="125">
        <v>0</v>
      </c>
      <c r="R102" s="890">
        <f>IF(O103=0,0,         IF(OR(Currency1="AUD",Currency1="NZD",Currency1="GBP"),O102,   _xll.qDateNext(O102,"-2b",,,IF(Currency1="EUR","TGT","LON"))))</f>
        <v>0</v>
      </c>
      <c r="S102" s="879" t="str">
        <v/>
      </c>
      <c r="T102" s="879" t="str">
        <v/>
      </c>
      <c r="U102" s="879" t="str">
        <v/>
      </c>
      <c r="V102" s="879" t="str">
        <v/>
      </c>
      <c r="W102" s="879" t="str">
        <v/>
      </c>
      <c r="X102" s="879" t="str">
        <v/>
      </c>
      <c r="Y102" s="879" t="str">
        <v/>
      </c>
      <c r="Z102" s="879" t="str">
        <v/>
      </c>
      <c r="AA102" s="882">
        <f>IF($O103=0,0,        _xll.qDateNext($O102,AA$17,$AH$16,TRUE,Currency1))</f>
        <v>0</v>
      </c>
      <c r="AB102" s="882">
        <f>IF($O103=0,0,        _xll.qDateNext($O102,AB$17,$AH$16,TRUE,Currency1))</f>
        <v>0</v>
      </c>
      <c r="AC102" s="882">
        <f>IF($O103=0,0,        _xll.qDateNext($O102,AC$17,$AH$16,TRUE,Currency1))</f>
        <v>0</v>
      </c>
      <c r="AD102" s="882">
        <f>IF($O103=0,0,        _xll.qDateNext($O102,AD$17,$AH$16,TRUE,Currency1))</f>
        <v>0</v>
      </c>
      <c r="AE102" s="882">
        <f>IF($O103=0,0,        _xll.qDateNext($O102,AE$17,$AH$16,TRUE,Currency1))</f>
        <v>0</v>
      </c>
      <c r="AF102" s="882">
        <f>IF($O103=0,0,        _xll.qDateNext($O102,AF$17,$AH$16,TRUE,Currency1))</f>
        <v>0</v>
      </c>
      <c r="AG102" s="882">
        <f>IF($O103=0,0,        _xll.qDateNext($O102,AG$17,$AH$16,TRUE,Currency1))</f>
        <v>0</v>
      </c>
      <c r="AH102" s="882">
        <f>IF($O103=0,0,        _xll.qDateNext($O102,AH$17,$AH$16,TRUE,Currency1))</f>
        <v>0</v>
      </c>
      <c r="AI102" s="886">
        <f>IF($O103=0,0,           IF(FRM,_xll.qGetFwdRate(AI$14,$O102,AA102,"T",DCC_Leg1_Float),_xll.qGetFwdRate(AI$14,$O102,$O103,"T",DCC_Leg1_Float)))</f>
        <v>0</v>
      </c>
      <c r="AJ102" s="886">
        <f>IF($O103=0,0,           IF(FRM,_xll.qGetFwdRate(AJ$14,$O102,AB102,"T",DCC_Leg1_Float),_xll.qGetFwdRate(AJ$14,$O102,$O103,"T",DCC_Leg1_Float)))</f>
        <v>0</v>
      </c>
      <c r="AK102" s="886">
        <f t="shared" si="36"/>
        <v>0</v>
      </c>
      <c r="AL102" s="886">
        <f>IF($O103=0,0,           IF(FRM,_xll.qGetFwdRate(AL$14,$O102,AD102,"T",DCC_Leg1_Float),_xll.qGetFwdRate(AL$14,$O102,$O103,"T",DCC_Leg1_Float)))</f>
        <v>0</v>
      </c>
      <c r="AM102" s="886">
        <f t="shared" si="49"/>
        <v>0</v>
      </c>
      <c r="AN102" s="886">
        <f t="shared" si="50"/>
        <v>0</v>
      </c>
      <c r="AO102" s="886">
        <f>IF($O103=0,0,           IF(FRM,_xll.qGetFwdRate(AO$14,$O102,AG102,"T",DCC_Leg1_Float),_xll.qGetFwdRate(AO$14,$O102,$O103,"T",DCC_Leg1_Float)))</f>
        <v>0</v>
      </c>
      <c r="AP102" s="886">
        <f>IF($O103=0,0,           IF(FRM,_xll.qGetFwdRate(AP$14,$O102,AH102,"T",DCC_Leg1_Float),_xll.qGetFwdRate(AP$14,$O102,$O103,"T",DCC_Leg1_Float)))</f>
        <v>0</v>
      </c>
      <c r="AQ102" s="648">
        <f t="shared" si="51"/>
        <v>0</v>
      </c>
      <c r="AR102" s="648">
        <f t="shared" si="52"/>
        <v>0</v>
      </c>
      <c r="AS102" s="648">
        <f t="shared" si="53"/>
        <v>0</v>
      </c>
      <c r="AT102" s="648">
        <f t="shared" si="54"/>
        <v>0</v>
      </c>
      <c r="AU102" s="648">
        <f t="shared" si="55"/>
        <v>0</v>
      </c>
      <c r="AV102" s="648">
        <f t="shared" si="56"/>
        <v>0</v>
      </c>
      <c r="AW102" s="648">
        <f t="shared" si="57"/>
        <v>0</v>
      </c>
      <c r="AX102" s="648">
        <f t="shared" si="58"/>
        <v>0</v>
      </c>
      <c r="AY102" s="634">
        <v>0</v>
      </c>
      <c r="AZ102" s="616"/>
      <c r="BA102" s="619">
        <f>IF(O103=0,0,             IF(ISNUMBER(AZ102),AZ102,             IF(ISTEXT(AZ102),INDEX(AQ102:AX102,MATCH(AZ102,$AQ$17:$AX$17,0)),           IF(AY102="INT",_xll.qInterp(O103,AA102:AH102,AQ102:AX102),       INDEX(AQ102:AX102,MATCH(AY102,$AQ$17:$AX$17,0))))))</f>
        <v>0</v>
      </c>
      <c r="BB102" s="674">
        <v>100</v>
      </c>
      <c r="BC102" s="666">
        <f t="shared" si="37"/>
        <v>0</v>
      </c>
      <c r="BD102" s="268">
        <f>IF($O103=0,0,                IF(LEFT(DCC_Leg1_Fixed,2)="1/",uEvaluate(DCC_Leg1_Fixed),        _xll.qDateYears($O102,$O103,DCC_Leg1_Fixed)))</f>
        <v>0</v>
      </c>
      <c r="BE102" s="268">
        <f>IF($O103,_xll.qDateYears($O102,$O103,DCC_Leg1_Float),0)</f>
        <v>0</v>
      </c>
      <c r="BG102" s="332">
        <f t="shared" si="59"/>
        <v>0</v>
      </c>
      <c r="BH102" s="357">
        <f t="shared" si="60"/>
        <v>0</v>
      </c>
      <c r="BI102" s="527"/>
      <c r="BK102" s="324">
        <f t="shared" si="33"/>
        <v>0</v>
      </c>
      <c r="BM102" s="338"/>
      <c r="BN102" s="121">
        <v>0</v>
      </c>
      <c r="BO102" s="755">
        <f t="shared" si="38"/>
        <v>0</v>
      </c>
      <c r="BP102" s="339">
        <v>0</v>
      </c>
      <c r="BQ102" s="890">
        <f>IF(BN103=0,0,         IF(OR(Currency2="AUD",Currency1="NZD",Currency2="GBP"),BN102,   _xll.qDateNext(BN102,"-2b",,,IF(Currency2="EUR","TGT","LON"))))</f>
        <v>0</v>
      </c>
      <c r="BR102" s="879" t="str">
        <v/>
      </c>
      <c r="BS102" s="879" t="str">
        <v/>
      </c>
      <c r="BT102" s="879" t="str">
        <v/>
      </c>
      <c r="BU102" s="879" t="str">
        <v/>
      </c>
      <c r="BV102" s="879" t="str">
        <v/>
      </c>
      <c r="BW102" s="879" t="str">
        <v/>
      </c>
      <c r="BX102" s="879" t="str">
        <v/>
      </c>
      <c r="BY102" s="879" t="str">
        <v/>
      </c>
      <c r="BZ102" s="882">
        <f>IF($BN103=0,0,        _xll.qDateNext($BN102,BZ$17,$CG$16,TRUE,Currency2))</f>
        <v>0</v>
      </c>
      <c r="CA102" s="882">
        <f>IF($BN103=0,0,        _xll.qDateNext($BN102,CA$17,$CG$16,TRUE,Currency2))</f>
        <v>0</v>
      </c>
      <c r="CB102" s="882">
        <f>IF($BN103=0,0,        _xll.qDateNext($BN102,CB$17,$CG$16,TRUE,Currency2))</f>
        <v>0</v>
      </c>
      <c r="CC102" s="882">
        <f>IF($BN103=0,0,        _xll.qDateNext($BN102,CC$17,$CG$16,TRUE,Currency2))</f>
        <v>0</v>
      </c>
      <c r="CD102" s="882">
        <f>IF($BN103=0,0,        _xll.qDateNext($BN102,CD$17,$CG$16,TRUE,Currency2))</f>
        <v>0</v>
      </c>
      <c r="CE102" s="882">
        <f>IF($BN103=0,0,        _xll.qDateNext($BN102,CE$17,$CG$16,TRUE,Currency2))</f>
        <v>0</v>
      </c>
      <c r="CF102" s="882">
        <f>IF($BN103=0,0,        _xll.qDateNext($BN102,CF$17,$CG$16,TRUE,Currency2))</f>
        <v>0</v>
      </c>
      <c r="CG102" s="882">
        <f>IF($BN103=0,0,        _xll.qDateNext($BN102,CG$17,$CG$16,TRUE,Currency2))</f>
        <v>0</v>
      </c>
      <c r="CH102" s="886">
        <v>0</v>
      </c>
      <c r="CI102" s="886">
        <v>0</v>
      </c>
      <c r="CJ102" s="886">
        <v>0</v>
      </c>
      <c r="CK102" s="886">
        <v>0</v>
      </c>
      <c r="CL102" s="886">
        <f t="shared" si="61"/>
        <v>0</v>
      </c>
      <c r="CM102" s="886">
        <f t="shared" si="62"/>
        <v>0</v>
      </c>
      <c r="CN102" s="886">
        <v>0</v>
      </c>
      <c r="CO102" s="886">
        <v>0</v>
      </c>
      <c r="CP102" s="648">
        <f t="shared" si="39"/>
        <v>0</v>
      </c>
      <c r="CQ102" s="648">
        <f t="shared" si="40"/>
        <v>0</v>
      </c>
      <c r="CR102" s="648">
        <f t="shared" si="41"/>
        <v>0</v>
      </c>
      <c r="CS102" s="648">
        <f t="shared" si="42"/>
        <v>0</v>
      </c>
      <c r="CT102" s="648">
        <f t="shared" si="43"/>
        <v>0</v>
      </c>
      <c r="CU102" s="648">
        <f t="shared" si="44"/>
        <v>0</v>
      </c>
      <c r="CV102" s="648">
        <f t="shared" si="45"/>
        <v>0</v>
      </c>
      <c r="CW102" s="648">
        <f t="shared" si="46"/>
        <v>0</v>
      </c>
      <c r="CX102" s="634">
        <v>0</v>
      </c>
      <c r="CY102" s="616"/>
      <c r="CZ102" s="619">
        <f>IF(BN103=0,0,             IF(ISNUMBER(CY102),CY102,             IF(ISTEXT(CY102),INDEX(CP102:CW102,MATCH(CY102,$CP$17:$CW$17,0)),           IF(CX102="INT",_xll.qInterp(BN103,BZ102:CG102,CP102:CW102),       INDEX(CP102:CW102,MATCH(CX102,$CP$17:$CW$17,0))))))</f>
        <v>0</v>
      </c>
      <c r="DA102" s="755">
        <f t="shared" si="47"/>
        <v>0</v>
      </c>
      <c r="DB102" s="387">
        <f t="shared" si="48"/>
        <v>0</v>
      </c>
      <c r="DC102" s="268">
        <f>IF($BN103=0,0,         IF(LEFT(DCC_Leg2_Fixed,2)="1/",uEvaluate(DCC_Leg2_Fixed),         _xll.qDateYears($BN102,$BN103,DCC_Leg2_Fixed)))</f>
        <v>0</v>
      </c>
      <c r="DD102" s="268">
        <f>IF($BN103,_xll.qDateYears($BN102,$BN103,DCC_Leg2_Float),0)</f>
        <v>0</v>
      </c>
      <c r="DF102" s="332">
        <f t="shared" si="63"/>
        <v>0</v>
      </c>
      <c r="DG102" s="357">
        <f t="shared" si="64"/>
        <v>0</v>
      </c>
      <c r="DH102" s="527"/>
      <c r="DJ102" s="324">
        <f t="shared" si="34"/>
        <v>0</v>
      </c>
      <c r="DK102" s="529"/>
      <c r="DL102" s="338"/>
    </row>
    <row r="103" spans="15:116">
      <c r="O103" s="121">
        <v>0</v>
      </c>
      <c r="P103" s="755">
        <f t="shared" si="35"/>
        <v>0</v>
      </c>
      <c r="Q103" s="125">
        <v>0</v>
      </c>
      <c r="R103" s="890">
        <f>IF(O104=0,0,         IF(OR(Currency1="AUD",Currency1="NZD",Currency1="GBP"),O103,   _xll.qDateNext(O103,"-2b",,,IF(Currency1="EUR","TGT","LON"))))</f>
        <v>0</v>
      </c>
      <c r="S103" s="879" t="str">
        <v/>
      </c>
      <c r="T103" s="879" t="str">
        <v/>
      </c>
      <c r="U103" s="879" t="str">
        <v/>
      </c>
      <c r="V103" s="879" t="str">
        <v/>
      </c>
      <c r="W103" s="879" t="str">
        <v/>
      </c>
      <c r="X103" s="879" t="str">
        <v/>
      </c>
      <c r="Y103" s="879" t="str">
        <v/>
      </c>
      <c r="Z103" s="879" t="str">
        <v/>
      </c>
      <c r="AA103" s="882">
        <f>IF($O104=0,0,        _xll.qDateNext($O103,AA$17,$AH$16,TRUE,Currency1))</f>
        <v>0</v>
      </c>
      <c r="AB103" s="882">
        <f>IF($O104=0,0,        _xll.qDateNext($O103,AB$17,$AH$16,TRUE,Currency1))</f>
        <v>0</v>
      </c>
      <c r="AC103" s="882">
        <f>IF($O104=0,0,        _xll.qDateNext($O103,AC$17,$AH$16,TRUE,Currency1))</f>
        <v>0</v>
      </c>
      <c r="AD103" s="882">
        <f>IF($O104=0,0,        _xll.qDateNext($O103,AD$17,$AH$16,TRUE,Currency1))</f>
        <v>0</v>
      </c>
      <c r="AE103" s="882">
        <f>IF($O104=0,0,        _xll.qDateNext($O103,AE$17,$AH$16,TRUE,Currency1))</f>
        <v>0</v>
      </c>
      <c r="AF103" s="882">
        <f>IF($O104=0,0,        _xll.qDateNext($O103,AF$17,$AH$16,TRUE,Currency1))</f>
        <v>0</v>
      </c>
      <c r="AG103" s="882">
        <f>IF($O104=0,0,        _xll.qDateNext($O103,AG$17,$AH$16,TRUE,Currency1))</f>
        <v>0</v>
      </c>
      <c r="AH103" s="882">
        <f>IF($O104=0,0,        _xll.qDateNext($O103,AH$17,$AH$16,TRUE,Currency1))</f>
        <v>0</v>
      </c>
      <c r="AI103" s="886">
        <f>IF($O104=0,0,           IF(FRM,_xll.qGetFwdRate(AI$14,$O103,AA103,"T",DCC_Leg1_Float),_xll.qGetFwdRate(AI$14,$O103,$O104,"T",DCC_Leg1_Float)))</f>
        <v>0</v>
      </c>
      <c r="AJ103" s="886">
        <f>IF($O104=0,0,           IF(FRM,_xll.qGetFwdRate(AJ$14,$O103,AB103,"T",DCC_Leg1_Float),_xll.qGetFwdRate(AJ$14,$O103,$O104,"T",DCC_Leg1_Float)))</f>
        <v>0</v>
      </c>
      <c r="AK103" s="886">
        <f t="shared" si="36"/>
        <v>0</v>
      </c>
      <c r="AL103" s="886">
        <f>IF($O104=0,0,           IF(FRM,_xll.qGetFwdRate(AL$14,$O103,AD103,"T",DCC_Leg1_Float),_xll.qGetFwdRate(AL$14,$O103,$O104,"T",DCC_Leg1_Float)))</f>
        <v>0</v>
      </c>
      <c r="AM103" s="886">
        <f t="shared" si="49"/>
        <v>0</v>
      </c>
      <c r="AN103" s="886">
        <f t="shared" si="50"/>
        <v>0</v>
      </c>
      <c r="AO103" s="886">
        <f>IF($O104=0,0,           IF(FRM,_xll.qGetFwdRate(AO$14,$O103,AG103,"T",DCC_Leg1_Float),_xll.qGetFwdRate(AO$14,$O103,$O104,"T",DCC_Leg1_Float)))</f>
        <v>0</v>
      </c>
      <c r="AP103" s="886">
        <f>IF($O104=0,0,           IF(FRM,_xll.qGetFwdRate(AP$14,$O103,AH103,"T",DCC_Leg1_Float),_xll.qGetFwdRate(AP$14,$O103,$O104,"T",DCC_Leg1_Float)))</f>
        <v>0</v>
      </c>
      <c r="AQ103" s="648">
        <f t="shared" si="51"/>
        <v>0</v>
      </c>
      <c r="AR103" s="648">
        <f t="shared" si="52"/>
        <v>0</v>
      </c>
      <c r="AS103" s="648">
        <f t="shared" si="53"/>
        <v>0</v>
      </c>
      <c r="AT103" s="648">
        <f t="shared" si="54"/>
        <v>0</v>
      </c>
      <c r="AU103" s="648">
        <f t="shared" si="55"/>
        <v>0</v>
      </c>
      <c r="AV103" s="648">
        <f t="shared" si="56"/>
        <v>0</v>
      </c>
      <c r="AW103" s="648">
        <f t="shared" si="57"/>
        <v>0</v>
      </c>
      <c r="AX103" s="648">
        <f t="shared" si="58"/>
        <v>0</v>
      </c>
      <c r="AY103" s="634">
        <v>0</v>
      </c>
      <c r="AZ103" s="616"/>
      <c r="BA103" s="619">
        <f>IF(O104=0,0,             IF(ISNUMBER(AZ103),AZ103,             IF(ISTEXT(AZ103),INDEX(AQ103:AX103,MATCH(AZ103,$AQ$17:$AX$17,0)),           IF(AY103="INT",_xll.qInterp(O104,AA103:AH103,AQ103:AX103),       INDEX(AQ103:AX103,MATCH(AY103,$AQ$17:$AX$17,0))))))</f>
        <v>0</v>
      </c>
      <c r="BB103" s="674">
        <v>100</v>
      </c>
      <c r="BC103" s="666">
        <f t="shared" si="37"/>
        <v>0</v>
      </c>
      <c r="BD103" s="268">
        <f>IF($O104=0,0,                IF(LEFT(DCC_Leg1_Fixed,2)="1/",uEvaluate(DCC_Leg1_Fixed),        _xll.qDateYears($O103,$O104,DCC_Leg1_Fixed)))</f>
        <v>0</v>
      </c>
      <c r="BE103" s="268">
        <f>IF($O104,_xll.qDateYears($O103,$O104,DCC_Leg1_Float),0)</f>
        <v>0</v>
      </c>
      <c r="BG103" s="332">
        <f t="shared" si="59"/>
        <v>0</v>
      </c>
      <c r="BH103" s="357">
        <f t="shared" si="60"/>
        <v>0</v>
      </c>
      <c r="BI103" s="527"/>
      <c r="BK103" s="324">
        <f t="shared" si="33"/>
        <v>0</v>
      </c>
      <c r="BM103" s="338"/>
      <c r="BN103" s="121">
        <v>0</v>
      </c>
      <c r="BO103" s="755">
        <f t="shared" si="38"/>
        <v>0</v>
      </c>
      <c r="BP103" s="339">
        <v>0</v>
      </c>
      <c r="BQ103" s="890">
        <f>IF(BN104=0,0,         IF(OR(Currency2="AUD",Currency1="NZD",Currency2="GBP"),BN103,   _xll.qDateNext(BN103,"-2b",,,IF(Currency2="EUR","TGT","LON"))))</f>
        <v>0</v>
      </c>
      <c r="BR103" s="879" t="str">
        <v/>
      </c>
      <c r="BS103" s="879" t="str">
        <v/>
      </c>
      <c r="BT103" s="879" t="str">
        <v/>
      </c>
      <c r="BU103" s="879" t="str">
        <v/>
      </c>
      <c r="BV103" s="879" t="str">
        <v/>
      </c>
      <c r="BW103" s="879" t="str">
        <v/>
      </c>
      <c r="BX103" s="879" t="str">
        <v/>
      </c>
      <c r="BY103" s="879" t="str">
        <v/>
      </c>
      <c r="BZ103" s="882">
        <f>IF($BN104=0,0,        _xll.qDateNext($BN103,BZ$17,$CG$16,TRUE,Currency2))</f>
        <v>0</v>
      </c>
      <c r="CA103" s="882">
        <f>IF($BN104=0,0,        _xll.qDateNext($BN103,CA$17,$CG$16,TRUE,Currency2))</f>
        <v>0</v>
      </c>
      <c r="CB103" s="882">
        <f>IF($BN104=0,0,        _xll.qDateNext($BN103,CB$17,$CG$16,TRUE,Currency2))</f>
        <v>0</v>
      </c>
      <c r="CC103" s="882">
        <f>IF($BN104=0,0,        _xll.qDateNext($BN103,CC$17,$CG$16,TRUE,Currency2))</f>
        <v>0</v>
      </c>
      <c r="CD103" s="882">
        <f>IF($BN104=0,0,        _xll.qDateNext($BN103,CD$17,$CG$16,TRUE,Currency2))</f>
        <v>0</v>
      </c>
      <c r="CE103" s="882">
        <f>IF($BN104=0,0,        _xll.qDateNext($BN103,CE$17,$CG$16,TRUE,Currency2))</f>
        <v>0</v>
      </c>
      <c r="CF103" s="882">
        <f>IF($BN104=0,0,        _xll.qDateNext($BN103,CF$17,$CG$16,TRUE,Currency2))</f>
        <v>0</v>
      </c>
      <c r="CG103" s="882">
        <f>IF($BN104=0,0,        _xll.qDateNext($BN103,CG$17,$CG$16,TRUE,Currency2))</f>
        <v>0</v>
      </c>
      <c r="CH103" s="886">
        <v>0</v>
      </c>
      <c r="CI103" s="886">
        <v>0</v>
      </c>
      <c r="CJ103" s="886">
        <v>0</v>
      </c>
      <c r="CK103" s="886">
        <v>0</v>
      </c>
      <c r="CL103" s="886">
        <f t="shared" si="61"/>
        <v>0</v>
      </c>
      <c r="CM103" s="886">
        <f t="shared" si="62"/>
        <v>0</v>
      </c>
      <c r="CN103" s="886">
        <v>0</v>
      </c>
      <c r="CO103" s="886">
        <v>0</v>
      </c>
      <c r="CP103" s="648">
        <f t="shared" si="39"/>
        <v>0</v>
      </c>
      <c r="CQ103" s="648">
        <f t="shared" si="40"/>
        <v>0</v>
      </c>
      <c r="CR103" s="648">
        <f t="shared" si="41"/>
        <v>0</v>
      </c>
      <c r="CS103" s="648">
        <f t="shared" si="42"/>
        <v>0</v>
      </c>
      <c r="CT103" s="648">
        <f t="shared" si="43"/>
        <v>0</v>
      </c>
      <c r="CU103" s="648">
        <f t="shared" si="44"/>
        <v>0</v>
      </c>
      <c r="CV103" s="648">
        <f t="shared" si="45"/>
        <v>0</v>
      </c>
      <c r="CW103" s="648">
        <f t="shared" si="46"/>
        <v>0</v>
      </c>
      <c r="CX103" s="634">
        <v>0</v>
      </c>
      <c r="CY103" s="616"/>
      <c r="CZ103" s="619">
        <f>IF(BN104=0,0,             IF(ISNUMBER(CY103),CY103,             IF(ISTEXT(CY103),INDEX(CP103:CW103,MATCH(CY103,$CP$17:$CW$17,0)),           IF(CX103="INT",_xll.qInterp(BN104,BZ103:CG103,CP103:CW103),       INDEX(CP103:CW103,MATCH(CX103,$CP$17:$CW$17,0))))))</f>
        <v>0</v>
      </c>
      <c r="DA103" s="755">
        <f t="shared" si="47"/>
        <v>0</v>
      </c>
      <c r="DB103" s="387">
        <f t="shared" si="48"/>
        <v>0</v>
      </c>
      <c r="DC103" s="268">
        <f>IF($BN104=0,0,         IF(LEFT(DCC_Leg2_Fixed,2)="1/",uEvaluate(DCC_Leg2_Fixed),         _xll.qDateYears($BN103,$BN104,DCC_Leg2_Fixed)))</f>
        <v>0</v>
      </c>
      <c r="DD103" s="268">
        <f>IF($BN104,_xll.qDateYears($BN103,$BN104,DCC_Leg2_Float),0)</f>
        <v>0</v>
      </c>
      <c r="DF103" s="332">
        <f t="shared" si="63"/>
        <v>0</v>
      </c>
      <c r="DG103" s="357">
        <f t="shared" si="64"/>
        <v>0</v>
      </c>
      <c r="DH103" s="527"/>
      <c r="DJ103" s="324">
        <f t="shared" si="34"/>
        <v>0</v>
      </c>
      <c r="DK103" s="529"/>
      <c r="DL103" s="338"/>
    </row>
    <row r="104" spans="15:116">
      <c r="O104" s="121">
        <v>0</v>
      </c>
      <c r="P104" s="755">
        <f t="shared" si="35"/>
        <v>0</v>
      </c>
      <c r="Q104" s="125">
        <v>0</v>
      </c>
      <c r="R104" s="890">
        <f>IF(O105=0,0,         IF(OR(Currency1="AUD",Currency1="NZD",Currency1="GBP"),O104,   _xll.qDateNext(O104,"-2b",,,IF(Currency1="EUR","TGT","LON"))))</f>
        <v>0</v>
      </c>
      <c r="S104" s="879" t="str">
        <v/>
      </c>
      <c r="T104" s="879" t="str">
        <v/>
      </c>
      <c r="U104" s="879" t="str">
        <v/>
      </c>
      <c r="V104" s="879" t="str">
        <v/>
      </c>
      <c r="W104" s="879" t="str">
        <v/>
      </c>
      <c r="X104" s="879" t="str">
        <v/>
      </c>
      <c r="Y104" s="879" t="str">
        <v/>
      </c>
      <c r="Z104" s="879" t="str">
        <v/>
      </c>
      <c r="AA104" s="882">
        <f>IF($O105=0,0,        _xll.qDateNext($O104,AA$17,$AH$16,TRUE,Currency1))</f>
        <v>0</v>
      </c>
      <c r="AB104" s="882">
        <f>IF($O105=0,0,        _xll.qDateNext($O104,AB$17,$AH$16,TRUE,Currency1))</f>
        <v>0</v>
      </c>
      <c r="AC104" s="882">
        <f>IF($O105=0,0,        _xll.qDateNext($O104,AC$17,$AH$16,TRUE,Currency1))</f>
        <v>0</v>
      </c>
      <c r="AD104" s="882">
        <f>IF($O105=0,0,        _xll.qDateNext($O104,AD$17,$AH$16,TRUE,Currency1))</f>
        <v>0</v>
      </c>
      <c r="AE104" s="882">
        <f>IF($O105=0,0,        _xll.qDateNext($O104,AE$17,$AH$16,TRUE,Currency1))</f>
        <v>0</v>
      </c>
      <c r="AF104" s="882">
        <f>IF($O105=0,0,        _xll.qDateNext($O104,AF$17,$AH$16,TRUE,Currency1))</f>
        <v>0</v>
      </c>
      <c r="AG104" s="882">
        <f>IF($O105=0,0,        _xll.qDateNext($O104,AG$17,$AH$16,TRUE,Currency1))</f>
        <v>0</v>
      </c>
      <c r="AH104" s="882">
        <f>IF($O105=0,0,        _xll.qDateNext($O104,AH$17,$AH$16,TRUE,Currency1))</f>
        <v>0</v>
      </c>
      <c r="AI104" s="886">
        <f>IF($O105=0,0,           IF(FRM,_xll.qGetFwdRate(AI$14,$O104,AA104,"T",DCC_Leg1_Float),_xll.qGetFwdRate(AI$14,$O104,$O105,"T",DCC_Leg1_Float)))</f>
        <v>0</v>
      </c>
      <c r="AJ104" s="886">
        <f>IF($O105=0,0,           IF(FRM,_xll.qGetFwdRate(AJ$14,$O104,AB104,"T",DCC_Leg1_Float),_xll.qGetFwdRate(AJ$14,$O104,$O105,"T",DCC_Leg1_Float)))</f>
        <v>0</v>
      </c>
      <c r="AK104" s="886">
        <f t="shared" si="36"/>
        <v>0</v>
      </c>
      <c r="AL104" s="886">
        <f>IF($O105=0,0,           IF(FRM,_xll.qGetFwdRate(AL$14,$O104,AD104,"T",DCC_Leg1_Float),_xll.qGetFwdRate(AL$14,$O104,$O105,"T",DCC_Leg1_Float)))</f>
        <v>0</v>
      </c>
      <c r="AM104" s="886">
        <f t="shared" si="49"/>
        <v>0</v>
      </c>
      <c r="AN104" s="886">
        <f t="shared" si="50"/>
        <v>0</v>
      </c>
      <c r="AO104" s="886">
        <f>IF($O105=0,0,           IF(FRM,_xll.qGetFwdRate(AO$14,$O104,AG104,"T",DCC_Leg1_Float),_xll.qGetFwdRate(AO$14,$O104,$O105,"T",DCC_Leg1_Float)))</f>
        <v>0</v>
      </c>
      <c r="AP104" s="886">
        <f>IF($O105=0,0,           IF(FRM,_xll.qGetFwdRate(AP$14,$O104,AH104,"T",DCC_Leg1_Float),_xll.qGetFwdRate(AP$14,$O104,$O105,"T",DCC_Leg1_Float)))</f>
        <v>0</v>
      </c>
      <c r="AQ104" s="648">
        <f t="shared" si="51"/>
        <v>0</v>
      </c>
      <c r="AR104" s="648">
        <f t="shared" si="52"/>
        <v>0</v>
      </c>
      <c r="AS104" s="648">
        <f t="shared" si="53"/>
        <v>0</v>
      </c>
      <c r="AT104" s="648">
        <f t="shared" si="54"/>
        <v>0</v>
      </c>
      <c r="AU104" s="648">
        <f t="shared" si="55"/>
        <v>0</v>
      </c>
      <c r="AV104" s="648">
        <f t="shared" si="56"/>
        <v>0</v>
      </c>
      <c r="AW104" s="648">
        <f t="shared" si="57"/>
        <v>0</v>
      </c>
      <c r="AX104" s="648">
        <f t="shared" si="58"/>
        <v>0</v>
      </c>
      <c r="AY104" s="634">
        <v>0</v>
      </c>
      <c r="AZ104" s="616"/>
      <c r="BA104" s="619">
        <f>IF(O105=0,0,             IF(ISNUMBER(AZ104),AZ104,             IF(ISTEXT(AZ104),INDEX(AQ104:AX104,MATCH(AZ104,$AQ$17:$AX$17,0)),           IF(AY104="INT",_xll.qInterp(O105,AA104:AH104,AQ104:AX104),       INDEX(AQ104:AX104,MATCH(AY104,$AQ$17:$AX$17,0))))))</f>
        <v>0</v>
      </c>
      <c r="BB104" s="674">
        <v>100</v>
      </c>
      <c r="BC104" s="666">
        <f t="shared" si="37"/>
        <v>0</v>
      </c>
      <c r="BD104" s="268">
        <f>IF($O105=0,0,                IF(LEFT(DCC_Leg1_Fixed,2)="1/",uEvaluate(DCC_Leg1_Fixed),        _xll.qDateYears($O104,$O105,DCC_Leg1_Fixed)))</f>
        <v>0</v>
      </c>
      <c r="BE104" s="268">
        <f>IF($O105,_xll.qDateYears($O104,$O105,DCC_Leg1_Float),0)</f>
        <v>0</v>
      </c>
      <c r="BG104" s="332">
        <f t="shared" si="59"/>
        <v>0</v>
      </c>
      <c r="BH104" s="357">
        <f t="shared" si="60"/>
        <v>0</v>
      </c>
      <c r="BI104" s="527"/>
      <c r="BK104" s="324">
        <f t="shared" ref="BK104:BK167" si="65">SUM(BG104:BI104)</f>
        <v>0</v>
      </c>
      <c r="BM104" s="338"/>
      <c r="BN104" s="121">
        <v>0</v>
      </c>
      <c r="BO104" s="755">
        <f t="shared" si="38"/>
        <v>0</v>
      </c>
      <c r="BP104" s="339">
        <v>0</v>
      </c>
      <c r="BQ104" s="890">
        <f>IF(BN105=0,0,         IF(OR(Currency2="AUD",Currency1="NZD",Currency2="GBP"),BN104,   _xll.qDateNext(BN104,"-2b",,,IF(Currency2="EUR","TGT","LON"))))</f>
        <v>0</v>
      </c>
      <c r="BR104" s="879" t="str">
        <v/>
      </c>
      <c r="BS104" s="879" t="str">
        <v/>
      </c>
      <c r="BT104" s="879" t="str">
        <v/>
      </c>
      <c r="BU104" s="879" t="str">
        <v/>
      </c>
      <c r="BV104" s="879" t="str">
        <v/>
      </c>
      <c r="BW104" s="879" t="str">
        <v/>
      </c>
      <c r="BX104" s="879" t="str">
        <v/>
      </c>
      <c r="BY104" s="879" t="str">
        <v/>
      </c>
      <c r="BZ104" s="882">
        <f>IF($BN105=0,0,        _xll.qDateNext($BN104,BZ$17,$CG$16,TRUE,Currency2))</f>
        <v>0</v>
      </c>
      <c r="CA104" s="882">
        <f>IF($BN105=0,0,        _xll.qDateNext($BN104,CA$17,$CG$16,TRUE,Currency2))</f>
        <v>0</v>
      </c>
      <c r="CB104" s="882">
        <f>IF($BN105=0,0,        _xll.qDateNext($BN104,CB$17,$CG$16,TRUE,Currency2))</f>
        <v>0</v>
      </c>
      <c r="CC104" s="882">
        <f>IF($BN105=0,0,        _xll.qDateNext($BN104,CC$17,$CG$16,TRUE,Currency2))</f>
        <v>0</v>
      </c>
      <c r="CD104" s="882">
        <f>IF($BN105=0,0,        _xll.qDateNext($BN104,CD$17,$CG$16,TRUE,Currency2))</f>
        <v>0</v>
      </c>
      <c r="CE104" s="882">
        <f>IF($BN105=0,0,        _xll.qDateNext($BN104,CE$17,$CG$16,TRUE,Currency2))</f>
        <v>0</v>
      </c>
      <c r="CF104" s="882">
        <f>IF($BN105=0,0,        _xll.qDateNext($BN104,CF$17,$CG$16,TRUE,Currency2))</f>
        <v>0</v>
      </c>
      <c r="CG104" s="882">
        <f>IF($BN105=0,0,        _xll.qDateNext($BN104,CG$17,$CG$16,TRUE,Currency2))</f>
        <v>0</v>
      </c>
      <c r="CH104" s="886">
        <v>0</v>
      </c>
      <c r="CI104" s="886">
        <v>0</v>
      </c>
      <c r="CJ104" s="886">
        <v>0</v>
      </c>
      <c r="CK104" s="886">
        <v>0</v>
      </c>
      <c r="CL104" s="886">
        <f t="shared" si="61"/>
        <v>0</v>
      </c>
      <c r="CM104" s="886">
        <f t="shared" si="62"/>
        <v>0</v>
      </c>
      <c r="CN104" s="886">
        <v>0</v>
      </c>
      <c r="CO104" s="886">
        <v>0</v>
      </c>
      <c r="CP104" s="648">
        <f t="shared" si="39"/>
        <v>0</v>
      </c>
      <c r="CQ104" s="648">
        <f t="shared" si="40"/>
        <v>0</v>
      </c>
      <c r="CR104" s="648">
        <f t="shared" si="41"/>
        <v>0</v>
      </c>
      <c r="CS104" s="648">
        <f t="shared" si="42"/>
        <v>0</v>
      </c>
      <c r="CT104" s="648">
        <f t="shared" si="43"/>
        <v>0</v>
      </c>
      <c r="CU104" s="648">
        <f t="shared" si="44"/>
        <v>0</v>
      </c>
      <c r="CV104" s="648">
        <f t="shared" si="45"/>
        <v>0</v>
      </c>
      <c r="CW104" s="648">
        <f t="shared" si="46"/>
        <v>0</v>
      </c>
      <c r="CX104" s="634">
        <v>0</v>
      </c>
      <c r="CY104" s="616"/>
      <c r="CZ104" s="619">
        <f>IF(BN105=0,0,             IF(ISNUMBER(CY104),CY104,             IF(ISTEXT(CY104),INDEX(CP104:CW104,MATCH(CY104,$CP$17:$CW$17,0)),           IF(CX104="INT",_xll.qInterp(BN105,BZ104:CG104,CP104:CW104),       INDEX(CP104:CW104,MATCH(CX104,$CP$17:$CW$17,0))))))</f>
        <v>0</v>
      </c>
      <c r="DA104" s="755">
        <f t="shared" si="47"/>
        <v>0</v>
      </c>
      <c r="DB104" s="387">
        <f t="shared" si="48"/>
        <v>0</v>
      </c>
      <c r="DC104" s="268">
        <f>IF($BN105=0,0,         IF(LEFT(DCC_Leg2_Fixed,2)="1/",uEvaluate(DCC_Leg2_Fixed),         _xll.qDateYears($BN104,$BN105,DCC_Leg2_Fixed)))</f>
        <v>0</v>
      </c>
      <c r="DD104" s="268">
        <f>IF($BN105,_xll.qDateYears($BN104,$BN105,DCC_Leg2_Float),0)</f>
        <v>0</v>
      </c>
      <c r="DF104" s="332">
        <f t="shared" si="63"/>
        <v>0</v>
      </c>
      <c r="DG104" s="357">
        <f t="shared" si="64"/>
        <v>0</v>
      </c>
      <c r="DH104" s="527"/>
      <c r="DJ104" s="324">
        <f t="shared" si="34"/>
        <v>0</v>
      </c>
      <c r="DK104" s="529"/>
      <c r="DL104" s="338"/>
    </row>
    <row r="105" spans="15:116">
      <c r="O105" s="121">
        <v>0</v>
      </c>
      <c r="P105" s="755">
        <f t="shared" si="35"/>
        <v>0</v>
      </c>
      <c r="Q105" s="125">
        <v>0</v>
      </c>
      <c r="R105" s="890">
        <f>IF(O106=0,0,         IF(OR(Currency1="AUD",Currency1="NZD",Currency1="GBP"),O105,   _xll.qDateNext(O105,"-2b",,,IF(Currency1="EUR","TGT","LON"))))</f>
        <v>0</v>
      </c>
      <c r="S105" s="879" t="str">
        <v/>
      </c>
      <c r="T105" s="879" t="str">
        <v/>
      </c>
      <c r="U105" s="879" t="str">
        <v/>
      </c>
      <c r="V105" s="879" t="str">
        <v/>
      </c>
      <c r="W105" s="879" t="str">
        <v/>
      </c>
      <c r="X105" s="879" t="str">
        <v/>
      </c>
      <c r="Y105" s="879" t="str">
        <v/>
      </c>
      <c r="Z105" s="879" t="str">
        <v/>
      </c>
      <c r="AA105" s="882">
        <f>IF($O106=0,0,        _xll.qDateNext($O105,AA$17,$AH$16,TRUE,Currency1))</f>
        <v>0</v>
      </c>
      <c r="AB105" s="882">
        <f>IF($O106=0,0,        _xll.qDateNext($O105,AB$17,$AH$16,TRUE,Currency1))</f>
        <v>0</v>
      </c>
      <c r="AC105" s="882">
        <f>IF($O106=0,0,        _xll.qDateNext($O105,AC$17,$AH$16,TRUE,Currency1))</f>
        <v>0</v>
      </c>
      <c r="AD105" s="882">
        <f>IF($O106=0,0,        _xll.qDateNext($O105,AD$17,$AH$16,TRUE,Currency1))</f>
        <v>0</v>
      </c>
      <c r="AE105" s="882">
        <f>IF($O106=0,0,        _xll.qDateNext($O105,AE$17,$AH$16,TRUE,Currency1))</f>
        <v>0</v>
      </c>
      <c r="AF105" s="882">
        <f>IF($O106=0,0,        _xll.qDateNext($O105,AF$17,$AH$16,TRUE,Currency1))</f>
        <v>0</v>
      </c>
      <c r="AG105" s="882">
        <f>IF($O106=0,0,        _xll.qDateNext($O105,AG$17,$AH$16,TRUE,Currency1))</f>
        <v>0</v>
      </c>
      <c r="AH105" s="882">
        <f>IF($O106=0,0,        _xll.qDateNext($O105,AH$17,$AH$16,TRUE,Currency1))</f>
        <v>0</v>
      </c>
      <c r="AI105" s="886">
        <f>IF($O106=0,0,           IF(FRM,_xll.qGetFwdRate(AI$14,$O105,AA105,"T",DCC_Leg1_Float),_xll.qGetFwdRate(AI$14,$O105,$O106,"T",DCC_Leg1_Float)))</f>
        <v>0</v>
      </c>
      <c r="AJ105" s="886">
        <f>IF($O106=0,0,           IF(FRM,_xll.qGetFwdRate(AJ$14,$O105,AB105,"T",DCC_Leg1_Float),_xll.qGetFwdRate(AJ$14,$O105,$O106,"T",DCC_Leg1_Float)))</f>
        <v>0</v>
      </c>
      <c r="AK105" s="886">
        <f t="shared" si="36"/>
        <v>0</v>
      </c>
      <c r="AL105" s="886">
        <f>IF($O106=0,0,           IF(FRM,_xll.qGetFwdRate(AL$14,$O105,AD105,"T",DCC_Leg1_Float),_xll.qGetFwdRate(AL$14,$O105,$O106,"T",DCC_Leg1_Float)))</f>
        <v>0</v>
      </c>
      <c r="AM105" s="886">
        <f t="shared" si="49"/>
        <v>0</v>
      </c>
      <c r="AN105" s="886">
        <f t="shared" si="50"/>
        <v>0</v>
      </c>
      <c r="AO105" s="886">
        <f>IF($O106=0,0,           IF(FRM,_xll.qGetFwdRate(AO$14,$O105,AG105,"T",DCC_Leg1_Float),_xll.qGetFwdRate(AO$14,$O105,$O106,"T",DCC_Leg1_Float)))</f>
        <v>0</v>
      </c>
      <c r="AP105" s="886">
        <f>IF($O106=0,0,           IF(FRM,_xll.qGetFwdRate(AP$14,$O105,AH105,"T",DCC_Leg1_Float),_xll.qGetFwdRate(AP$14,$O105,$O106,"T",DCC_Leg1_Float)))</f>
        <v>0</v>
      </c>
      <c r="AQ105" s="648">
        <f t="shared" si="51"/>
        <v>0</v>
      </c>
      <c r="AR105" s="648">
        <f t="shared" si="52"/>
        <v>0</v>
      </c>
      <c r="AS105" s="648">
        <f t="shared" si="53"/>
        <v>0</v>
      </c>
      <c r="AT105" s="648">
        <f t="shared" si="54"/>
        <v>0</v>
      </c>
      <c r="AU105" s="648">
        <f t="shared" si="55"/>
        <v>0</v>
      </c>
      <c r="AV105" s="648">
        <f t="shared" si="56"/>
        <v>0</v>
      </c>
      <c r="AW105" s="648">
        <f t="shared" si="57"/>
        <v>0</v>
      </c>
      <c r="AX105" s="648">
        <f t="shared" si="58"/>
        <v>0</v>
      </c>
      <c r="AY105" s="634">
        <v>0</v>
      </c>
      <c r="AZ105" s="616"/>
      <c r="BA105" s="619">
        <f>IF(O106=0,0,             IF(ISNUMBER(AZ105),AZ105,             IF(ISTEXT(AZ105),INDEX(AQ105:AX105,MATCH(AZ105,$AQ$17:$AX$17,0)),           IF(AY105="INT",_xll.qInterp(O106,AA105:AH105,AQ105:AX105),       INDEX(AQ105:AX105,MATCH(AY105,$AQ$17:$AX$17,0))))))</f>
        <v>0</v>
      </c>
      <c r="BB105" s="674">
        <v>100</v>
      </c>
      <c r="BC105" s="666">
        <f t="shared" si="37"/>
        <v>0</v>
      </c>
      <c r="BD105" s="268">
        <f>IF($O106=0,0,                IF(LEFT(DCC_Leg1_Fixed,2)="1/",uEvaluate(DCC_Leg1_Fixed),        _xll.qDateYears($O105,$O106,DCC_Leg1_Fixed)))</f>
        <v>0</v>
      </c>
      <c r="BE105" s="268">
        <f>IF($O106,_xll.qDateYears($O105,$O106,DCC_Leg1_Float),0)</f>
        <v>0</v>
      </c>
      <c r="BG105" s="332">
        <f t="shared" si="59"/>
        <v>0</v>
      </c>
      <c r="BH105" s="357">
        <f t="shared" si="60"/>
        <v>0</v>
      </c>
      <c r="BI105" s="527"/>
      <c r="BK105" s="324">
        <f t="shared" si="65"/>
        <v>0</v>
      </c>
      <c r="BM105" s="338"/>
      <c r="BN105" s="121">
        <v>0</v>
      </c>
      <c r="BO105" s="755">
        <f t="shared" si="38"/>
        <v>0</v>
      </c>
      <c r="BP105" s="339">
        <v>0</v>
      </c>
      <c r="BQ105" s="890">
        <f>IF(BN106=0,0,         IF(OR(Currency2="AUD",Currency1="NZD",Currency2="GBP"),BN105,   _xll.qDateNext(BN105,"-2b",,,IF(Currency2="EUR","TGT","LON"))))</f>
        <v>0</v>
      </c>
      <c r="BR105" s="879" t="str">
        <v/>
      </c>
      <c r="BS105" s="879" t="str">
        <v/>
      </c>
      <c r="BT105" s="879" t="str">
        <v/>
      </c>
      <c r="BU105" s="879" t="str">
        <v/>
      </c>
      <c r="BV105" s="879" t="str">
        <v/>
      </c>
      <c r="BW105" s="879" t="str">
        <v/>
      </c>
      <c r="BX105" s="879" t="str">
        <v/>
      </c>
      <c r="BY105" s="879" t="str">
        <v/>
      </c>
      <c r="BZ105" s="882">
        <f>IF($BN106=0,0,        _xll.qDateNext($BN105,BZ$17,$CG$16,TRUE,Currency2))</f>
        <v>0</v>
      </c>
      <c r="CA105" s="882">
        <f>IF($BN106=0,0,        _xll.qDateNext($BN105,CA$17,$CG$16,TRUE,Currency2))</f>
        <v>0</v>
      </c>
      <c r="CB105" s="882">
        <f>IF($BN106=0,0,        _xll.qDateNext($BN105,CB$17,$CG$16,TRUE,Currency2))</f>
        <v>0</v>
      </c>
      <c r="CC105" s="882">
        <f>IF($BN106=0,0,        _xll.qDateNext($BN105,CC$17,$CG$16,TRUE,Currency2))</f>
        <v>0</v>
      </c>
      <c r="CD105" s="882">
        <f>IF($BN106=0,0,        _xll.qDateNext($BN105,CD$17,$CG$16,TRUE,Currency2))</f>
        <v>0</v>
      </c>
      <c r="CE105" s="882">
        <f>IF($BN106=0,0,        _xll.qDateNext($BN105,CE$17,$CG$16,TRUE,Currency2))</f>
        <v>0</v>
      </c>
      <c r="CF105" s="882">
        <f>IF($BN106=0,0,        _xll.qDateNext($BN105,CF$17,$CG$16,TRUE,Currency2))</f>
        <v>0</v>
      </c>
      <c r="CG105" s="882">
        <f>IF($BN106=0,0,        _xll.qDateNext($BN105,CG$17,$CG$16,TRUE,Currency2))</f>
        <v>0</v>
      </c>
      <c r="CH105" s="886">
        <v>0</v>
      </c>
      <c r="CI105" s="886">
        <v>0</v>
      </c>
      <c r="CJ105" s="886">
        <v>0</v>
      </c>
      <c r="CK105" s="886">
        <v>0</v>
      </c>
      <c r="CL105" s="886">
        <f t="shared" si="61"/>
        <v>0</v>
      </c>
      <c r="CM105" s="886">
        <f t="shared" si="62"/>
        <v>0</v>
      </c>
      <c r="CN105" s="886">
        <v>0</v>
      </c>
      <c r="CO105" s="886">
        <v>0</v>
      </c>
      <c r="CP105" s="648">
        <f t="shared" si="39"/>
        <v>0</v>
      </c>
      <c r="CQ105" s="648">
        <f t="shared" si="40"/>
        <v>0</v>
      </c>
      <c r="CR105" s="648">
        <f t="shared" si="41"/>
        <v>0</v>
      </c>
      <c r="CS105" s="648">
        <f t="shared" si="42"/>
        <v>0</v>
      </c>
      <c r="CT105" s="648">
        <f t="shared" si="43"/>
        <v>0</v>
      </c>
      <c r="CU105" s="648">
        <f t="shared" si="44"/>
        <v>0</v>
      </c>
      <c r="CV105" s="648">
        <f t="shared" si="45"/>
        <v>0</v>
      </c>
      <c r="CW105" s="648">
        <f t="shared" si="46"/>
        <v>0</v>
      </c>
      <c r="CX105" s="634">
        <v>0</v>
      </c>
      <c r="CY105" s="616"/>
      <c r="CZ105" s="619">
        <f>IF(BN106=0,0,             IF(ISNUMBER(CY105),CY105,             IF(ISTEXT(CY105),INDEX(CP105:CW105,MATCH(CY105,$CP$17:$CW$17,0)),           IF(CX105="INT",_xll.qInterp(BN106,BZ105:CG105,CP105:CW105),       INDEX(CP105:CW105,MATCH(CX105,$CP$17:$CW$17,0))))))</f>
        <v>0</v>
      </c>
      <c r="DA105" s="755">
        <f t="shared" si="47"/>
        <v>0</v>
      </c>
      <c r="DB105" s="387">
        <f t="shared" si="48"/>
        <v>0</v>
      </c>
      <c r="DC105" s="268">
        <f>IF($BN106=0,0,         IF(LEFT(DCC_Leg2_Fixed,2)="1/",uEvaluate(DCC_Leg2_Fixed),         _xll.qDateYears($BN105,$BN106,DCC_Leg2_Fixed)))</f>
        <v>0</v>
      </c>
      <c r="DD105" s="268">
        <f>IF($BN106,_xll.qDateYears($BN105,$BN106,DCC_Leg2_Float),0)</f>
        <v>0</v>
      </c>
      <c r="DF105" s="332">
        <f t="shared" si="63"/>
        <v>0</v>
      </c>
      <c r="DG105" s="357">
        <f t="shared" si="64"/>
        <v>0</v>
      </c>
      <c r="DH105" s="527"/>
      <c r="DJ105" s="324">
        <f t="shared" ref="DJ105:DJ168" si="66">SUM(DF105:DH105)</f>
        <v>0</v>
      </c>
      <c r="DK105" s="529"/>
      <c r="DL105" s="338"/>
    </row>
    <row r="106" spans="15:116">
      <c r="O106" s="121">
        <v>0</v>
      </c>
      <c r="P106" s="755">
        <f t="shared" si="35"/>
        <v>0</v>
      </c>
      <c r="Q106" s="125">
        <v>0</v>
      </c>
      <c r="R106" s="890">
        <f>IF(O107=0,0,         IF(OR(Currency1="AUD",Currency1="NZD",Currency1="GBP"),O106,   _xll.qDateNext(O106,"-2b",,,IF(Currency1="EUR","TGT","LON"))))</f>
        <v>0</v>
      </c>
      <c r="S106" s="879" t="str">
        <v/>
      </c>
      <c r="T106" s="879" t="str">
        <v/>
      </c>
      <c r="U106" s="879" t="str">
        <v/>
      </c>
      <c r="V106" s="879" t="str">
        <v/>
      </c>
      <c r="W106" s="879" t="str">
        <v/>
      </c>
      <c r="X106" s="879" t="str">
        <v/>
      </c>
      <c r="Y106" s="879" t="str">
        <v/>
      </c>
      <c r="Z106" s="879" t="str">
        <v/>
      </c>
      <c r="AA106" s="882">
        <f>IF($O107=0,0,        _xll.qDateNext($O106,AA$17,$AH$16,TRUE,Currency1))</f>
        <v>0</v>
      </c>
      <c r="AB106" s="882">
        <f>IF($O107=0,0,        _xll.qDateNext($O106,AB$17,$AH$16,TRUE,Currency1))</f>
        <v>0</v>
      </c>
      <c r="AC106" s="882">
        <f>IF($O107=0,0,        _xll.qDateNext($O106,AC$17,$AH$16,TRUE,Currency1))</f>
        <v>0</v>
      </c>
      <c r="AD106" s="882">
        <f>IF($O107=0,0,        _xll.qDateNext($O106,AD$17,$AH$16,TRUE,Currency1))</f>
        <v>0</v>
      </c>
      <c r="AE106" s="882">
        <f>IF($O107=0,0,        _xll.qDateNext($O106,AE$17,$AH$16,TRUE,Currency1))</f>
        <v>0</v>
      </c>
      <c r="AF106" s="882">
        <f>IF($O107=0,0,        _xll.qDateNext($O106,AF$17,$AH$16,TRUE,Currency1))</f>
        <v>0</v>
      </c>
      <c r="AG106" s="882">
        <f>IF($O107=0,0,        _xll.qDateNext($O106,AG$17,$AH$16,TRUE,Currency1))</f>
        <v>0</v>
      </c>
      <c r="AH106" s="882">
        <f>IF($O107=0,0,        _xll.qDateNext($O106,AH$17,$AH$16,TRUE,Currency1))</f>
        <v>0</v>
      </c>
      <c r="AI106" s="886">
        <f>IF($O107=0,0,           IF(FRM,_xll.qGetFwdRate(AI$14,$O106,AA106,"T",DCC_Leg1_Float),_xll.qGetFwdRate(AI$14,$O106,$O107,"T",DCC_Leg1_Float)))</f>
        <v>0</v>
      </c>
      <c r="AJ106" s="886">
        <f>IF($O107=0,0,           IF(FRM,_xll.qGetFwdRate(AJ$14,$O106,AB106,"T",DCC_Leg1_Float),_xll.qGetFwdRate(AJ$14,$O106,$O107,"T",DCC_Leg1_Float)))</f>
        <v>0</v>
      </c>
      <c r="AK106" s="886">
        <f t="shared" si="36"/>
        <v>0</v>
      </c>
      <c r="AL106" s="886">
        <f>IF($O107=0,0,           IF(FRM,_xll.qGetFwdRate(AL$14,$O106,AD106,"T",DCC_Leg1_Float),_xll.qGetFwdRate(AL$14,$O106,$O107,"T",DCC_Leg1_Float)))</f>
        <v>0</v>
      </c>
      <c r="AM106" s="886">
        <f t="shared" si="49"/>
        <v>0</v>
      </c>
      <c r="AN106" s="886">
        <f t="shared" si="50"/>
        <v>0</v>
      </c>
      <c r="AO106" s="886">
        <f>IF($O107=0,0,           IF(FRM,_xll.qGetFwdRate(AO$14,$O106,AG106,"T",DCC_Leg1_Float),_xll.qGetFwdRate(AO$14,$O106,$O107,"T",DCC_Leg1_Float)))</f>
        <v>0</v>
      </c>
      <c r="AP106" s="886">
        <f>IF($O107=0,0,           IF(FRM,_xll.qGetFwdRate(AP$14,$O106,AH106,"T",DCC_Leg1_Float),_xll.qGetFwdRate(AP$14,$O106,$O107,"T",DCC_Leg1_Float)))</f>
        <v>0</v>
      </c>
      <c r="AQ106" s="648">
        <f t="shared" si="51"/>
        <v>0</v>
      </c>
      <c r="AR106" s="648">
        <f t="shared" si="52"/>
        <v>0</v>
      </c>
      <c r="AS106" s="648">
        <f t="shared" si="53"/>
        <v>0</v>
      </c>
      <c r="AT106" s="648">
        <f t="shared" si="54"/>
        <v>0</v>
      </c>
      <c r="AU106" s="648">
        <f t="shared" si="55"/>
        <v>0</v>
      </c>
      <c r="AV106" s="648">
        <f t="shared" si="56"/>
        <v>0</v>
      </c>
      <c r="AW106" s="648">
        <f t="shared" si="57"/>
        <v>0</v>
      </c>
      <c r="AX106" s="648">
        <f t="shared" si="58"/>
        <v>0</v>
      </c>
      <c r="AY106" s="634">
        <v>0</v>
      </c>
      <c r="AZ106" s="616"/>
      <c r="BA106" s="619">
        <f>IF(O107=0,0,             IF(ISNUMBER(AZ106),AZ106,             IF(ISTEXT(AZ106),INDEX(AQ106:AX106,MATCH(AZ106,$AQ$17:$AX$17,0)),           IF(AY106="INT",_xll.qInterp(O107,AA106:AH106,AQ106:AX106),       INDEX(AQ106:AX106,MATCH(AY106,$AQ$17:$AX$17,0))))))</f>
        <v>0</v>
      </c>
      <c r="BB106" s="674">
        <v>100</v>
      </c>
      <c r="BC106" s="666">
        <f t="shared" si="37"/>
        <v>0</v>
      </c>
      <c r="BD106" s="268">
        <f>IF($O107=0,0,                IF(LEFT(DCC_Leg1_Fixed,2)="1/",uEvaluate(DCC_Leg1_Fixed),        _xll.qDateYears($O106,$O107,DCC_Leg1_Fixed)))</f>
        <v>0</v>
      </c>
      <c r="BE106" s="268">
        <f>IF($O107,_xll.qDateYears($O106,$O107,DCC_Leg1_Float),0)</f>
        <v>0</v>
      </c>
      <c r="BG106" s="332">
        <f t="shared" si="59"/>
        <v>0</v>
      </c>
      <c r="BH106" s="357">
        <f t="shared" si="60"/>
        <v>0</v>
      </c>
      <c r="BI106" s="527"/>
      <c r="BK106" s="324">
        <f t="shared" si="65"/>
        <v>0</v>
      </c>
      <c r="BM106" s="338"/>
      <c r="BN106" s="121">
        <v>0</v>
      </c>
      <c r="BO106" s="755">
        <f t="shared" si="38"/>
        <v>0</v>
      </c>
      <c r="BP106" s="339">
        <v>0</v>
      </c>
      <c r="BQ106" s="890">
        <f>IF(BN107=0,0,         IF(OR(Currency2="AUD",Currency1="NZD",Currency2="GBP"),BN106,   _xll.qDateNext(BN106,"-2b",,,IF(Currency2="EUR","TGT","LON"))))</f>
        <v>0</v>
      </c>
      <c r="BR106" s="879" t="str">
        <v/>
      </c>
      <c r="BS106" s="879" t="str">
        <v/>
      </c>
      <c r="BT106" s="879" t="str">
        <v/>
      </c>
      <c r="BU106" s="879" t="str">
        <v/>
      </c>
      <c r="BV106" s="879" t="str">
        <v/>
      </c>
      <c r="BW106" s="879" t="str">
        <v/>
      </c>
      <c r="BX106" s="879" t="str">
        <v/>
      </c>
      <c r="BY106" s="879" t="str">
        <v/>
      </c>
      <c r="BZ106" s="882">
        <f>IF($BN107=0,0,        _xll.qDateNext($BN106,BZ$17,$CG$16,TRUE,Currency2))</f>
        <v>0</v>
      </c>
      <c r="CA106" s="882">
        <f>IF($BN107=0,0,        _xll.qDateNext($BN106,CA$17,$CG$16,TRUE,Currency2))</f>
        <v>0</v>
      </c>
      <c r="CB106" s="882">
        <f>IF($BN107=0,0,        _xll.qDateNext($BN106,CB$17,$CG$16,TRUE,Currency2))</f>
        <v>0</v>
      </c>
      <c r="CC106" s="882">
        <f>IF($BN107=0,0,        _xll.qDateNext($BN106,CC$17,$CG$16,TRUE,Currency2))</f>
        <v>0</v>
      </c>
      <c r="CD106" s="882">
        <f>IF($BN107=0,0,        _xll.qDateNext($BN106,CD$17,$CG$16,TRUE,Currency2))</f>
        <v>0</v>
      </c>
      <c r="CE106" s="882">
        <f>IF($BN107=0,0,        _xll.qDateNext($BN106,CE$17,$CG$16,TRUE,Currency2))</f>
        <v>0</v>
      </c>
      <c r="CF106" s="882">
        <f>IF($BN107=0,0,        _xll.qDateNext($BN106,CF$17,$CG$16,TRUE,Currency2))</f>
        <v>0</v>
      </c>
      <c r="CG106" s="882">
        <f>IF($BN107=0,0,        _xll.qDateNext($BN106,CG$17,$CG$16,TRUE,Currency2))</f>
        <v>0</v>
      </c>
      <c r="CH106" s="886">
        <v>0</v>
      </c>
      <c r="CI106" s="886">
        <v>0</v>
      </c>
      <c r="CJ106" s="886">
        <v>0</v>
      </c>
      <c r="CK106" s="886">
        <v>0</v>
      </c>
      <c r="CL106" s="886">
        <f t="shared" si="61"/>
        <v>0</v>
      </c>
      <c r="CM106" s="886">
        <f t="shared" si="62"/>
        <v>0</v>
      </c>
      <c r="CN106" s="886">
        <v>0</v>
      </c>
      <c r="CO106" s="886">
        <v>0</v>
      </c>
      <c r="CP106" s="648">
        <f t="shared" si="39"/>
        <v>0</v>
      </c>
      <c r="CQ106" s="648">
        <f t="shared" si="40"/>
        <v>0</v>
      </c>
      <c r="CR106" s="648">
        <f t="shared" si="41"/>
        <v>0</v>
      </c>
      <c r="CS106" s="648">
        <f t="shared" si="42"/>
        <v>0</v>
      </c>
      <c r="CT106" s="648">
        <f t="shared" si="43"/>
        <v>0</v>
      </c>
      <c r="CU106" s="648">
        <f t="shared" si="44"/>
        <v>0</v>
      </c>
      <c r="CV106" s="648">
        <f t="shared" si="45"/>
        <v>0</v>
      </c>
      <c r="CW106" s="648">
        <f t="shared" si="46"/>
        <v>0</v>
      </c>
      <c r="CX106" s="634">
        <v>0</v>
      </c>
      <c r="CY106" s="616"/>
      <c r="CZ106" s="619">
        <f>IF(BN107=0,0,             IF(ISNUMBER(CY106),CY106,             IF(ISTEXT(CY106),INDEX(CP106:CW106,MATCH(CY106,$CP$17:$CW$17,0)),           IF(CX106="INT",_xll.qInterp(BN107,BZ106:CG106,CP106:CW106),       INDEX(CP106:CW106,MATCH(CX106,$CP$17:$CW$17,0))))))</f>
        <v>0</v>
      </c>
      <c r="DA106" s="755">
        <f t="shared" si="47"/>
        <v>0</v>
      </c>
      <c r="DB106" s="387">
        <f t="shared" si="48"/>
        <v>0</v>
      </c>
      <c r="DC106" s="268">
        <f>IF($BN107=0,0,         IF(LEFT(DCC_Leg2_Fixed,2)="1/",uEvaluate(DCC_Leg2_Fixed),         _xll.qDateYears($BN106,$BN107,DCC_Leg2_Fixed)))</f>
        <v>0</v>
      </c>
      <c r="DD106" s="268">
        <f>IF($BN107,_xll.qDateYears($BN106,$BN107,DCC_Leg2_Float),0)</f>
        <v>0</v>
      </c>
      <c r="DF106" s="332">
        <f t="shared" si="63"/>
        <v>0</v>
      </c>
      <c r="DG106" s="357">
        <f t="shared" si="64"/>
        <v>0</v>
      </c>
      <c r="DH106" s="527"/>
      <c r="DJ106" s="324">
        <f t="shared" si="66"/>
        <v>0</v>
      </c>
      <c r="DK106" s="529"/>
      <c r="DL106" s="338"/>
    </row>
    <row r="107" spans="15:116">
      <c r="O107" s="121">
        <v>0</v>
      </c>
      <c r="P107" s="755">
        <f t="shared" si="35"/>
        <v>0</v>
      </c>
      <c r="Q107" s="125">
        <v>0</v>
      </c>
      <c r="R107" s="890">
        <f>IF(O108=0,0,         IF(OR(Currency1="AUD",Currency1="NZD",Currency1="GBP"),O107,   _xll.qDateNext(O107,"-2b",,,IF(Currency1="EUR","TGT","LON"))))</f>
        <v>0</v>
      </c>
      <c r="S107" s="879" t="str">
        <v/>
      </c>
      <c r="T107" s="879" t="str">
        <v/>
      </c>
      <c r="U107" s="879" t="str">
        <v/>
      </c>
      <c r="V107" s="879" t="str">
        <v/>
      </c>
      <c r="W107" s="879" t="str">
        <v/>
      </c>
      <c r="X107" s="879" t="str">
        <v/>
      </c>
      <c r="Y107" s="879" t="str">
        <v/>
      </c>
      <c r="Z107" s="879" t="str">
        <v/>
      </c>
      <c r="AA107" s="882">
        <f>IF($O108=0,0,        _xll.qDateNext($O107,AA$17,$AH$16,TRUE,Currency1))</f>
        <v>0</v>
      </c>
      <c r="AB107" s="882">
        <f>IF($O108=0,0,        _xll.qDateNext($O107,AB$17,$AH$16,TRUE,Currency1))</f>
        <v>0</v>
      </c>
      <c r="AC107" s="882">
        <f>IF($O108=0,0,        _xll.qDateNext($O107,AC$17,$AH$16,TRUE,Currency1))</f>
        <v>0</v>
      </c>
      <c r="AD107" s="882">
        <f>IF($O108=0,0,        _xll.qDateNext($O107,AD$17,$AH$16,TRUE,Currency1))</f>
        <v>0</v>
      </c>
      <c r="AE107" s="882">
        <f>IF($O108=0,0,        _xll.qDateNext($O107,AE$17,$AH$16,TRUE,Currency1))</f>
        <v>0</v>
      </c>
      <c r="AF107" s="882">
        <f>IF($O108=0,0,        _xll.qDateNext($O107,AF$17,$AH$16,TRUE,Currency1))</f>
        <v>0</v>
      </c>
      <c r="AG107" s="882">
        <f>IF($O108=0,0,        _xll.qDateNext($O107,AG$17,$AH$16,TRUE,Currency1))</f>
        <v>0</v>
      </c>
      <c r="AH107" s="882">
        <f>IF($O108=0,0,        _xll.qDateNext($O107,AH$17,$AH$16,TRUE,Currency1))</f>
        <v>0</v>
      </c>
      <c r="AI107" s="886">
        <f>IF($O108=0,0,           IF(FRM,_xll.qGetFwdRate(AI$14,$O107,AA107,"T",DCC_Leg1_Float),_xll.qGetFwdRate(AI$14,$O107,$O108,"T",DCC_Leg1_Float)))</f>
        <v>0</v>
      </c>
      <c r="AJ107" s="886">
        <f>IF($O108=0,0,           IF(FRM,_xll.qGetFwdRate(AJ$14,$O107,AB107,"T",DCC_Leg1_Float),_xll.qGetFwdRate(AJ$14,$O107,$O108,"T",DCC_Leg1_Float)))</f>
        <v>0</v>
      </c>
      <c r="AK107" s="886">
        <f t="shared" si="36"/>
        <v>0</v>
      </c>
      <c r="AL107" s="886">
        <f>IF($O108=0,0,           IF(FRM,_xll.qGetFwdRate(AL$14,$O107,AD107,"T",DCC_Leg1_Float),_xll.qGetFwdRate(AL$14,$O107,$O108,"T",DCC_Leg1_Float)))</f>
        <v>0</v>
      </c>
      <c r="AM107" s="886">
        <f t="shared" si="49"/>
        <v>0</v>
      </c>
      <c r="AN107" s="886">
        <f t="shared" si="50"/>
        <v>0</v>
      </c>
      <c r="AO107" s="886">
        <f>IF($O108=0,0,           IF(FRM,_xll.qGetFwdRate(AO$14,$O107,AG107,"T",DCC_Leg1_Float),_xll.qGetFwdRate(AO$14,$O107,$O108,"T",DCC_Leg1_Float)))</f>
        <v>0</v>
      </c>
      <c r="AP107" s="886">
        <f>IF($O108=0,0,           IF(FRM,_xll.qGetFwdRate(AP$14,$O107,AH107,"T",DCC_Leg1_Float),_xll.qGetFwdRate(AP$14,$O107,$O108,"T",DCC_Leg1_Float)))</f>
        <v>0</v>
      </c>
      <c r="AQ107" s="648">
        <f t="shared" si="51"/>
        <v>0</v>
      </c>
      <c r="AR107" s="648">
        <f t="shared" si="52"/>
        <v>0</v>
      </c>
      <c r="AS107" s="648">
        <f t="shared" si="53"/>
        <v>0</v>
      </c>
      <c r="AT107" s="648">
        <f t="shared" si="54"/>
        <v>0</v>
      </c>
      <c r="AU107" s="648">
        <f t="shared" si="55"/>
        <v>0</v>
      </c>
      <c r="AV107" s="648">
        <f t="shared" si="56"/>
        <v>0</v>
      </c>
      <c r="AW107" s="648">
        <f t="shared" si="57"/>
        <v>0</v>
      </c>
      <c r="AX107" s="648">
        <f t="shared" si="58"/>
        <v>0</v>
      </c>
      <c r="AY107" s="634">
        <v>0</v>
      </c>
      <c r="AZ107" s="616"/>
      <c r="BA107" s="619">
        <f>IF(O108=0,0,             IF(ISNUMBER(AZ107),AZ107,             IF(ISTEXT(AZ107),INDEX(AQ107:AX107,MATCH(AZ107,$AQ$17:$AX$17,0)),           IF(AY107="INT",_xll.qInterp(O108,AA107:AH107,AQ107:AX107),       INDEX(AQ107:AX107,MATCH(AY107,$AQ$17:$AX$17,0))))))</f>
        <v>0</v>
      </c>
      <c r="BB107" s="674">
        <v>100</v>
      </c>
      <c r="BC107" s="666">
        <f t="shared" si="37"/>
        <v>0</v>
      </c>
      <c r="BD107" s="268">
        <f>IF($O108=0,0,                IF(LEFT(DCC_Leg1_Fixed,2)="1/",uEvaluate(DCC_Leg1_Fixed),        _xll.qDateYears($O107,$O108,DCC_Leg1_Fixed)))</f>
        <v>0</v>
      </c>
      <c r="BE107" s="268">
        <f>IF($O108,_xll.qDateYears($O107,$O108,DCC_Leg1_Float),0)</f>
        <v>0</v>
      </c>
      <c r="BG107" s="332">
        <f t="shared" si="59"/>
        <v>0</v>
      </c>
      <c r="BH107" s="357">
        <f t="shared" si="60"/>
        <v>0</v>
      </c>
      <c r="BI107" s="527"/>
      <c r="BK107" s="324">
        <f t="shared" si="65"/>
        <v>0</v>
      </c>
      <c r="BM107" s="338"/>
      <c r="BN107" s="121">
        <v>0</v>
      </c>
      <c r="BO107" s="755">
        <f t="shared" si="38"/>
        <v>0</v>
      </c>
      <c r="BP107" s="339">
        <v>0</v>
      </c>
      <c r="BQ107" s="890">
        <f>IF(BN108=0,0,         IF(OR(Currency2="AUD",Currency1="NZD",Currency2="GBP"),BN107,   _xll.qDateNext(BN107,"-2b",,,IF(Currency2="EUR","TGT","LON"))))</f>
        <v>0</v>
      </c>
      <c r="BR107" s="879" t="str">
        <v/>
      </c>
      <c r="BS107" s="879" t="str">
        <v/>
      </c>
      <c r="BT107" s="879" t="str">
        <v/>
      </c>
      <c r="BU107" s="879" t="str">
        <v/>
      </c>
      <c r="BV107" s="879" t="str">
        <v/>
      </c>
      <c r="BW107" s="879" t="str">
        <v/>
      </c>
      <c r="BX107" s="879" t="str">
        <v/>
      </c>
      <c r="BY107" s="879" t="str">
        <v/>
      </c>
      <c r="BZ107" s="882">
        <f>IF($BN108=0,0,        _xll.qDateNext($BN107,BZ$17,$CG$16,TRUE,Currency2))</f>
        <v>0</v>
      </c>
      <c r="CA107" s="882">
        <f>IF($BN108=0,0,        _xll.qDateNext($BN107,CA$17,$CG$16,TRUE,Currency2))</f>
        <v>0</v>
      </c>
      <c r="CB107" s="882">
        <f>IF($BN108=0,0,        _xll.qDateNext($BN107,CB$17,$CG$16,TRUE,Currency2))</f>
        <v>0</v>
      </c>
      <c r="CC107" s="882">
        <f>IF($BN108=0,0,        _xll.qDateNext($BN107,CC$17,$CG$16,TRUE,Currency2))</f>
        <v>0</v>
      </c>
      <c r="CD107" s="882">
        <f>IF($BN108=0,0,        _xll.qDateNext($BN107,CD$17,$CG$16,TRUE,Currency2))</f>
        <v>0</v>
      </c>
      <c r="CE107" s="882">
        <f>IF($BN108=0,0,        _xll.qDateNext($BN107,CE$17,$CG$16,TRUE,Currency2))</f>
        <v>0</v>
      </c>
      <c r="CF107" s="882">
        <f>IF($BN108=0,0,        _xll.qDateNext($BN107,CF$17,$CG$16,TRUE,Currency2))</f>
        <v>0</v>
      </c>
      <c r="CG107" s="882">
        <f>IF($BN108=0,0,        _xll.qDateNext($BN107,CG$17,$CG$16,TRUE,Currency2))</f>
        <v>0</v>
      </c>
      <c r="CH107" s="886">
        <v>0</v>
      </c>
      <c r="CI107" s="886">
        <v>0</v>
      </c>
      <c r="CJ107" s="886">
        <v>0</v>
      </c>
      <c r="CK107" s="886">
        <v>0</v>
      </c>
      <c r="CL107" s="886">
        <f t="shared" si="61"/>
        <v>0</v>
      </c>
      <c r="CM107" s="886">
        <f t="shared" si="62"/>
        <v>0</v>
      </c>
      <c r="CN107" s="886">
        <v>0</v>
      </c>
      <c r="CO107" s="886">
        <v>0</v>
      </c>
      <c r="CP107" s="648">
        <f t="shared" si="39"/>
        <v>0</v>
      </c>
      <c r="CQ107" s="648">
        <f t="shared" si="40"/>
        <v>0</v>
      </c>
      <c r="CR107" s="648">
        <f t="shared" si="41"/>
        <v>0</v>
      </c>
      <c r="CS107" s="648">
        <f t="shared" si="42"/>
        <v>0</v>
      </c>
      <c r="CT107" s="648">
        <f t="shared" si="43"/>
        <v>0</v>
      </c>
      <c r="CU107" s="648">
        <f t="shared" si="44"/>
        <v>0</v>
      </c>
      <c r="CV107" s="648">
        <f t="shared" si="45"/>
        <v>0</v>
      </c>
      <c r="CW107" s="648">
        <f t="shared" si="46"/>
        <v>0</v>
      </c>
      <c r="CX107" s="634">
        <v>0</v>
      </c>
      <c r="CY107" s="616"/>
      <c r="CZ107" s="619">
        <f>IF(BN108=0,0,             IF(ISNUMBER(CY107),CY107,             IF(ISTEXT(CY107),INDEX(CP107:CW107,MATCH(CY107,$CP$17:$CW$17,0)),           IF(CX107="INT",_xll.qInterp(BN108,BZ107:CG107,CP107:CW107),       INDEX(CP107:CW107,MATCH(CX107,$CP$17:$CW$17,0))))))</f>
        <v>0</v>
      </c>
      <c r="DA107" s="755">
        <f t="shared" si="47"/>
        <v>0</v>
      </c>
      <c r="DB107" s="387">
        <f t="shared" si="48"/>
        <v>0</v>
      </c>
      <c r="DC107" s="268">
        <f>IF($BN108=0,0,         IF(LEFT(DCC_Leg2_Fixed,2)="1/",uEvaluate(DCC_Leg2_Fixed),         _xll.qDateYears($BN107,$BN108,DCC_Leg2_Fixed)))</f>
        <v>0</v>
      </c>
      <c r="DD107" s="268">
        <f>IF($BN108,_xll.qDateYears($BN107,$BN108,DCC_Leg2_Float),0)</f>
        <v>0</v>
      </c>
      <c r="DF107" s="332">
        <f t="shared" si="63"/>
        <v>0</v>
      </c>
      <c r="DG107" s="357">
        <f t="shared" si="64"/>
        <v>0</v>
      </c>
      <c r="DH107" s="527"/>
      <c r="DJ107" s="324">
        <f t="shared" si="66"/>
        <v>0</v>
      </c>
      <c r="DK107" s="529"/>
      <c r="DL107" s="338"/>
    </row>
    <row r="108" spans="15:116">
      <c r="O108" s="121">
        <v>0</v>
      </c>
      <c r="P108" s="755">
        <f t="shared" si="35"/>
        <v>0</v>
      </c>
      <c r="Q108" s="125">
        <v>0</v>
      </c>
      <c r="R108" s="890">
        <f>IF(O109=0,0,         IF(OR(Currency1="AUD",Currency1="NZD",Currency1="GBP"),O108,   _xll.qDateNext(O108,"-2b",,,IF(Currency1="EUR","TGT","LON"))))</f>
        <v>0</v>
      </c>
      <c r="S108" s="879" t="str">
        <v/>
      </c>
      <c r="T108" s="879" t="str">
        <v/>
      </c>
      <c r="U108" s="879" t="str">
        <v/>
      </c>
      <c r="V108" s="879" t="str">
        <v/>
      </c>
      <c r="W108" s="879" t="str">
        <v/>
      </c>
      <c r="X108" s="879" t="str">
        <v/>
      </c>
      <c r="Y108" s="879" t="str">
        <v/>
      </c>
      <c r="Z108" s="879" t="str">
        <v/>
      </c>
      <c r="AA108" s="882">
        <f>IF($O109=0,0,        _xll.qDateNext($O108,AA$17,$AH$16,TRUE,Currency1))</f>
        <v>0</v>
      </c>
      <c r="AB108" s="882">
        <f>IF($O109=0,0,        _xll.qDateNext($O108,AB$17,$AH$16,TRUE,Currency1))</f>
        <v>0</v>
      </c>
      <c r="AC108" s="882">
        <f>IF($O109=0,0,        _xll.qDateNext($O108,AC$17,$AH$16,TRUE,Currency1))</f>
        <v>0</v>
      </c>
      <c r="AD108" s="882">
        <f>IF($O109=0,0,        _xll.qDateNext($O108,AD$17,$AH$16,TRUE,Currency1))</f>
        <v>0</v>
      </c>
      <c r="AE108" s="882">
        <f>IF($O109=0,0,        _xll.qDateNext($O108,AE$17,$AH$16,TRUE,Currency1))</f>
        <v>0</v>
      </c>
      <c r="AF108" s="882">
        <f>IF($O109=0,0,        _xll.qDateNext($O108,AF$17,$AH$16,TRUE,Currency1))</f>
        <v>0</v>
      </c>
      <c r="AG108" s="882">
        <f>IF($O109=0,0,        _xll.qDateNext($O108,AG$17,$AH$16,TRUE,Currency1))</f>
        <v>0</v>
      </c>
      <c r="AH108" s="882">
        <f>IF($O109=0,0,        _xll.qDateNext($O108,AH$17,$AH$16,TRUE,Currency1))</f>
        <v>0</v>
      </c>
      <c r="AI108" s="886">
        <f>IF($O109=0,0,           IF(FRM,_xll.qGetFwdRate(AI$14,$O108,AA108,"T",DCC_Leg1_Float),_xll.qGetFwdRate(AI$14,$O108,$O109,"T",DCC_Leg1_Float)))</f>
        <v>0</v>
      </c>
      <c r="AJ108" s="886">
        <f>IF($O109=0,0,           IF(FRM,_xll.qGetFwdRate(AJ$14,$O108,AB108,"T",DCC_Leg1_Float),_xll.qGetFwdRate(AJ$14,$O108,$O109,"T",DCC_Leg1_Float)))</f>
        <v>0</v>
      </c>
      <c r="AK108" s="886">
        <f t="shared" si="36"/>
        <v>0</v>
      </c>
      <c r="AL108" s="886">
        <f>IF($O109=0,0,           IF(FRM,_xll.qGetFwdRate(AL$14,$O108,AD108,"T",DCC_Leg1_Float),_xll.qGetFwdRate(AL$14,$O108,$O109,"T",DCC_Leg1_Float)))</f>
        <v>0</v>
      </c>
      <c r="AM108" s="886">
        <f t="shared" si="49"/>
        <v>0</v>
      </c>
      <c r="AN108" s="886">
        <f t="shared" si="50"/>
        <v>0</v>
      </c>
      <c r="AO108" s="886">
        <f>IF($O109=0,0,           IF(FRM,_xll.qGetFwdRate(AO$14,$O108,AG108,"T",DCC_Leg1_Float),_xll.qGetFwdRate(AO$14,$O108,$O109,"T",DCC_Leg1_Float)))</f>
        <v>0</v>
      </c>
      <c r="AP108" s="886">
        <f>IF($O109=0,0,           IF(FRM,_xll.qGetFwdRate(AP$14,$O108,AH108,"T",DCC_Leg1_Float),_xll.qGetFwdRate(AP$14,$O108,$O109,"T",DCC_Leg1_Float)))</f>
        <v>0</v>
      </c>
      <c r="AQ108" s="648">
        <f t="shared" si="51"/>
        <v>0</v>
      </c>
      <c r="AR108" s="648">
        <f t="shared" si="52"/>
        <v>0</v>
      </c>
      <c r="AS108" s="648">
        <f t="shared" si="53"/>
        <v>0</v>
      </c>
      <c r="AT108" s="648">
        <f t="shared" si="54"/>
        <v>0</v>
      </c>
      <c r="AU108" s="648">
        <f t="shared" si="55"/>
        <v>0</v>
      </c>
      <c r="AV108" s="648">
        <f t="shared" si="56"/>
        <v>0</v>
      </c>
      <c r="AW108" s="648">
        <f t="shared" si="57"/>
        <v>0</v>
      </c>
      <c r="AX108" s="648">
        <f t="shared" si="58"/>
        <v>0</v>
      </c>
      <c r="AY108" s="634">
        <v>0</v>
      </c>
      <c r="AZ108" s="616"/>
      <c r="BA108" s="619">
        <f>IF(O109=0,0,             IF(ISNUMBER(AZ108),AZ108,             IF(ISTEXT(AZ108),INDEX(AQ108:AX108,MATCH(AZ108,$AQ$17:$AX$17,0)),           IF(AY108="INT",_xll.qInterp(O109,AA108:AH108,AQ108:AX108),       INDEX(AQ108:AX108,MATCH(AY108,$AQ$17:$AX$17,0))))))</f>
        <v>0</v>
      </c>
      <c r="BB108" s="674">
        <v>100</v>
      </c>
      <c r="BC108" s="666">
        <f t="shared" si="37"/>
        <v>0</v>
      </c>
      <c r="BD108" s="268">
        <f>IF($O109=0,0,                IF(LEFT(DCC_Leg1_Fixed,2)="1/",uEvaluate(DCC_Leg1_Fixed),        _xll.qDateYears($O108,$O109,DCC_Leg1_Fixed)))</f>
        <v>0</v>
      </c>
      <c r="BE108" s="268">
        <f>IF($O109,_xll.qDateYears($O108,$O109,DCC_Leg1_Float),0)</f>
        <v>0</v>
      </c>
      <c r="BG108" s="332">
        <f t="shared" si="59"/>
        <v>0</v>
      </c>
      <c r="BH108" s="357">
        <f t="shared" si="60"/>
        <v>0</v>
      </c>
      <c r="BI108" s="527"/>
      <c r="BK108" s="324">
        <f t="shared" si="65"/>
        <v>0</v>
      </c>
      <c r="BM108" s="338"/>
      <c r="BN108" s="121">
        <v>0</v>
      </c>
      <c r="BO108" s="755">
        <f t="shared" si="38"/>
        <v>0</v>
      </c>
      <c r="BP108" s="339">
        <v>0</v>
      </c>
      <c r="BQ108" s="890">
        <f>IF(BN109=0,0,         IF(OR(Currency2="AUD",Currency1="NZD",Currency2="GBP"),BN108,   _xll.qDateNext(BN108,"-2b",,,IF(Currency2="EUR","TGT","LON"))))</f>
        <v>0</v>
      </c>
      <c r="BR108" s="879" t="str">
        <v/>
      </c>
      <c r="BS108" s="879" t="str">
        <v/>
      </c>
      <c r="BT108" s="879" t="str">
        <v/>
      </c>
      <c r="BU108" s="879" t="str">
        <v/>
      </c>
      <c r="BV108" s="879" t="str">
        <v/>
      </c>
      <c r="BW108" s="879" t="str">
        <v/>
      </c>
      <c r="BX108" s="879" t="str">
        <v/>
      </c>
      <c r="BY108" s="879" t="str">
        <v/>
      </c>
      <c r="BZ108" s="882">
        <f>IF($BN109=0,0,        _xll.qDateNext($BN108,BZ$17,$CG$16,TRUE,Currency2))</f>
        <v>0</v>
      </c>
      <c r="CA108" s="882">
        <f>IF($BN109=0,0,        _xll.qDateNext($BN108,CA$17,$CG$16,TRUE,Currency2))</f>
        <v>0</v>
      </c>
      <c r="CB108" s="882">
        <f>IF($BN109=0,0,        _xll.qDateNext($BN108,CB$17,$CG$16,TRUE,Currency2))</f>
        <v>0</v>
      </c>
      <c r="CC108" s="882">
        <f>IF($BN109=0,0,        _xll.qDateNext($BN108,CC$17,$CG$16,TRUE,Currency2))</f>
        <v>0</v>
      </c>
      <c r="CD108" s="882">
        <f>IF($BN109=0,0,        _xll.qDateNext($BN108,CD$17,$CG$16,TRUE,Currency2))</f>
        <v>0</v>
      </c>
      <c r="CE108" s="882">
        <f>IF($BN109=0,0,        _xll.qDateNext($BN108,CE$17,$CG$16,TRUE,Currency2))</f>
        <v>0</v>
      </c>
      <c r="CF108" s="882">
        <f>IF($BN109=0,0,        _xll.qDateNext($BN108,CF$17,$CG$16,TRUE,Currency2))</f>
        <v>0</v>
      </c>
      <c r="CG108" s="882">
        <f>IF($BN109=0,0,        _xll.qDateNext($BN108,CG$17,$CG$16,TRUE,Currency2))</f>
        <v>0</v>
      </c>
      <c r="CH108" s="886">
        <v>0</v>
      </c>
      <c r="CI108" s="886">
        <v>0</v>
      </c>
      <c r="CJ108" s="886">
        <v>0</v>
      </c>
      <c r="CK108" s="886">
        <v>0</v>
      </c>
      <c r="CL108" s="886">
        <f t="shared" si="61"/>
        <v>0</v>
      </c>
      <c r="CM108" s="886">
        <f t="shared" si="62"/>
        <v>0</v>
      </c>
      <c r="CN108" s="886">
        <v>0</v>
      </c>
      <c r="CO108" s="886">
        <v>0</v>
      </c>
      <c r="CP108" s="648">
        <f t="shared" si="39"/>
        <v>0</v>
      </c>
      <c r="CQ108" s="648">
        <f t="shared" si="40"/>
        <v>0</v>
      </c>
      <c r="CR108" s="648">
        <f t="shared" si="41"/>
        <v>0</v>
      </c>
      <c r="CS108" s="648">
        <f t="shared" si="42"/>
        <v>0</v>
      </c>
      <c r="CT108" s="648">
        <f t="shared" si="43"/>
        <v>0</v>
      </c>
      <c r="CU108" s="648">
        <f t="shared" si="44"/>
        <v>0</v>
      </c>
      <c r="CV108" s="648">
        <f t="shared" si="45"/>
        <v>0</v>
      </c>
      <c r="CW108" s="648">
        <f t="shared" si="46"/>
        <v>0</v>
      </c>
      <c r="CX108" s="634">
        <v>0</v>
      </c>
      <c r="CY108" s="616"/>
      <c r="CZ108" s="619">
        <f>IF(BN109=0,0,             IF(ISNUMBER(CY108),CY108,             IF(ISTEXT(CY108),INDEX(CP108:CW108,MATCH(CY108,$CP$17:$CW$17,0)),           IF(CX108="INT",_xll.qInterp(BN109,BZ108:CG108,CP108:CW108),       INDEX(CP108:CW108,MATCH(CX108,$CP$17:$CW$17,0))))))</f>
        <v>0</v>
      </c>
      <c r="DA108" s="755">
        <f t="shared" si="47"/>
        <v>0</v>
      </c>
      <c r="DB108" s="387">
        <f t="shared" si="48"/>
        <v>0</v>
      </c>
      <c r="DC108" s="268">
        <f>IF($BN109=0,0,         IF(LEFT(DCC_Leg2_Fixed,2)="1/",uEvaluate(DCC_Leg2_Fixed),         _xll.qDateYears($BN108,$BN109,DCC_Leg2_Fixed)))</f>
        <v>0</v>
      </c>
      <c r="DD108" s="268">
        <f>IF($BN109,_xll.qDateYears($BN108,$BN109,DCC_Leg2_Float),0)</f>
        <v>0</v>
      </c>
      <c r="DF108" s="332">
        <f t="shared" si="63"/>
        <v>0</v>
      </c>
      <c r="DG108" s="357">
        <f t="shared" si="64"/>
        <v>0</v>
      </c>
      <c r="DH108" s="527"/>
      <c r="DJ108" s="324">
        <f t="shared" si="66"/>
        <v>0</v>
      </c>
      <c r="DK108" s="529"/>
      <c r="DL108" s="338"/>
    </row>
    <row r="109" spans="15:116">
      <c r="O109" s="121">
        <v>0</v>
      </c>
      <c r="P109" s="755">
        <f t="shared" si="35"/>
        <v>0</v>
      </c>
      <c r="Q109" s="125">
        <v>0</v>
      </c>
      <c r="R109" s="890">
        <f>IF(O110=0,0,         IF(OR(Currency1="AUD",Currency1="NZD",Currency1="GBP"),O109,   _xll.qDateNext(O109,"-2b",,,IF(Currency1="EUR","TGT","LON"))))</f>
        <v>0</v>
      </c>
      <c r="S109" s="879" t="str">
        <v/>
      </c>
      <c r="T109" s="879" t="str">
        <v/>
      </c>
      <c r="U109" s="879" t="str">
        <v/>
      </c>
      <c r="V109" s="879" t="str">
        <v/>
      </c>
      <c r="W109" s="879" t="str">
        <v/>
      </c>
      <c r="X109" s="879" t="str">
        <v/>
      </c>
      <c r="Y109" s="879" t="str">
        <v/>
      </c>
      <c r="Z109" s="879" t="str">
        <v/>
      </c>
      <c r="AA109" s="882">
        <f>IF($O110=0,0,        _xll.qDateNext($O109,AA$17,$AH$16,TRUE,Currency1))</f>
        <v>0</v>
      </c>
      <c r="AB109" s="882">
        <f>IF($O110=0,0,        _xll.qDateNext($O109,AB$17,$AH$16,TRUE,Currency1))</f>
        <v>0</v>
      </c>
      <c r="AC109" s="882">
        <f>IF($O110=0,0,        _xll.qDateNext($O109,AC$17,$AH$16,TRUE,Currency1))</f>
        <v>0</v>
      </c>
      <c r="AD109" s="882">
        <f>IF($O110=0,0,        _xll.qDateNext($O109,AD$17,$AH$16,TRUE,Currency1))</f>
        <v>0</v>
      </c>
      <c r="AE109" s="882">
        <f>IF($O110=0,0,        _xll.qDateNext($O109,AE$17,$AH$16,TRUE,Currency1))</f>
        <v>0</v>
      </c>
      <c r="AF109" s="882">
        <f>IF($O110=0,0,        _xll.qDateNext($O109,AF$17,$AH$16,TRUE,Currency1))</f>
        <v>0</v>
      </c>
      <c r="AG109" s="882">
        <f>IF($O110=0,0,        _xll.qDateNext($O109,AG$17,$AH$16,TRUE,Currency1))</f>
        <v>0</v>
      </c>
      <c r="AH109" s="882">
        <f>IF($O110=0,0,        _xll.qDateNext($O109,AH$17,$AH$16,TRUE,Currency1))</f>
        <v>0</v>
      </c>
      <c r="AI109" s="886">
        <f>IF($O110=0,0,           IF(FRM,_xll.qGetFwdRate(AI$14,$O109,AA109,"T",DCC_Leg1_Float),_xll.qGetFwdRate(AI$14,$O109,$O110,"T",DCC_Leg1_Float)))</f>
        <v>0</v>
      </c>
      <c r="AJ109" s="886">
        <f>IF($O110=0,0,           IF(FRM,_xll.qGetFwdRate(AJ$14,$O109,AB109,"T",DCC_Leg1_Float),_xll.qGetFwdRate(AJ$14,$O109,$O110,"T",DCC_Leg1_Float)))</f>
        <v>0</v>
      </c>
      <c r="AK109" s="886">
        <f t="shared" si="36"/>
        <v>0</v>
      </c>
      <c r="AL109" s="886">
        <f>IF($O110=0,0,           IF(FRM,_xll.qGetFwdRate(AL$14,$O109,AD109,"T",DCC_Leg1_Float),_xll.qGetFwdRate(AL$14,$O109,$O110,"T",DCC_Leg1_Float)))</f>
        <v>0</v>
      </c>
      <c r="AM109" s="886">
        <f t="shared" si="49"/>
        <v>0</v>
      </c>
      <c r="AN109" s="886">
        <f t="shared" si="50"/>
        <v>0</v>
      </c>
      <c r="AO109" s="886">
        <f>IF($O110=0,0,           IF(FRM,_xll.qGetFwdRate(AO$14,$O109,AG109,"T",DCC_Leg1_Float),_xll.qGetFwdRate(AO$14,$O109,$O110,"T",DCC_Leg1_Float)))</f>
        <v>0</v>
      </c>
      <c r="AP109" s="886">
        <f>IF($O110=0,0,           IF(FRM,_xll.qGetFwdRate(AP$14,$O109,AH109,"T",DCC_Leg1_Float),_xll.qGetFwdRate(AP$14,$O109,$O110,"T",DCC_Leg1_Float)))</f>
        <v>0</v>
      </c>
      <c r="AQ109" s="648">
        <f t="shared" si="51"/>
        <v>0</v>
      </c>
      <c r="AR109" s="648">
        <f t="shared" si="52"/>
        <v>0</v>
      </c>
      <c r="AS109" s="648">
        <f t="shared" si="53"/>
        <v>0</v>
      </c>
      <c r="AT109" s="648">
        <f t="shared" si="54"/>
        <v>0</v>
      </c>
      <c r="AU109" s="648">
        <f t="shared" si="55"/>
        <v>0</v>
      </c>
      <c r="AV109" s="648">
        <f t="shared" si="56"/>
        <v>0</v>
      </c>
      <c r="AW109" s="648">
        <f t="shared" si="57"/>
        <v>0</v>
      </c>
      <c r="AX109" s="648">
        <f t="shared" si="58"/>
        <v>0</v>
      </c>
      <c r="AY109" s="634">
        <v>0</v>
      </c>
      <c r="AZ109" s="616"/>
      <c r="BA109" s="619">
        <f>IF(O110=0,0,             IF(ISNUMBER(AZ109),AZ109,             IF(ISTEXT(AZ109),INDEX(AQ109:AX109,MATCH(AZ109,$AQ$17:$AX$17,0)),           IF(AY109="INT",_xll.qInterp(O110,AA109:AH109,AQ109:AX109),       INDEX(AQ109:AX109,MATCH(AY109,$AQ$17:$AX$17,0))))))</f>
        <v>0</v>
      </c>
      <c r="BB109" s="674">
        <v>100</v>
      </c>
      <c r="BC109" s="666">
        <f t="shared" si="37"/>
        <v>0</v>
      </c>
      <c r="BD109" s="268">
        <f>IF($O110=0,0,                IF(LEFT(DCC_Leg1_Fixed,2)="1/",uEvaluate(DCC_Leg1_Fixed),        _xll.qDateYears($O109,$O110,DCC_Leg1_Fixed)))</f>
        <v>0</v>
      </c>
      <c r="BE109" s="268">
        <f>IF($O110,_xll.qDateYears($O109,$O110,DCC_Leg1_Float),0)</f>
        <v>0</v>
      </c>
      <c r="BG109" s="332">
        <f t="shared" si="59"/>
        <v>0</v>
      </c>
      <c r="BH109" s="357">
        <f t="shared" si="60"/>
        <v>0</v>
      </c>
      <c r="BI109" s="527"/>
      <c r="BK109" s="324">
        <f t="shared" si="65"/>
        <v>0</v>
      </c>
      <c r="BM109" s="338"/>
      <c r="BN109" s="121">
        <v>0</v>
      </c>
      <c r="BO109" s="755">
        <f t="shared" si="38"/>
        <v>0</v>
      </c>
      <c r="BP109" s="339">
        <v>0</v>
      </c>
      <c r="BQ109" s="890">
        <f>IF(BN110=0,0,         IF(OR(Currency2="AUD",Currency1="NZD",Currency2="GBP"),BN109,   _xll.qDateNext(BN109,"-2b",,,IF(Currency2="EUR","TGT","LON"))))</f>
        <v>0</v>
      </c>
      <c r="BR109" s="879" t="str">
        <v/>
      </c>
      <c r="BS109" s="879" t="str">
        <v/>
      </c>
      <c r="BT109" s="879" t="str">
        <v/>
      </c>
      <c r="BU109" s="879" t="str">
        <v/>
      </c>
      <c r="BV109" s="879" t="str">
        <v/>
      </c>
      <c r="BW109" s="879" t="str">
        <v/>
      </c>
      <c r="BX109" s="879" t="str">
        <v/>
      </c>
      <c r="BY109" s="879" t="str">
        <v/>
      </c>
      <c r="BZ109" s="882">
        <f>IF($BN110=0,0,        _xll.qDateNext($BN109,BZ$17,$CG$16,TRUE,Currency2))</f>
        <v>0</v>
      </c>
      <c r="CA109" s="882">
        <f>IF($BN110=0,0,        _xll.qDateNext($BN109,CA$17,$CG$16,TRUE,Currency2))</f>
        <v>0</v>
      </c>
      <c r="CB109" s="882">
        <f>IF($BN110=0,0,        _xll.qDateNext($BN109,CB$17,$CG$16,TRUE,Currency2))</f>
        <v>0</v>
      </c>
      <c r="CC109" s="882">
        <f>IF($BN110=0,0,        _xll.qDateNext($BN109,CC$17,$CG$16,TRUE,Currency2))</f>
        <v>0</v>
      </c>
      <c r="CD109" s="882">
        <f>IF($BN110=0,0,        _xll.qDateNext($BN109,CD$17,$CG$16,TRUE,Currency2))</f>
        <v>0</v>
      </c>
      <c r="CE109" s="882">
        <f>IF($BN110=0,0,        _xll.qDateNext($BN109,CE$17,$CG$16,TRUE,Currency2))</f>
        <v>0</v>
      </c>
      <c r="CF109" s="882">
        <f>IF($BN110=0,0,        _xll.qDateNext($BN109,CF$17,$CG$16,TRUE,Currency2))</f>
        <v>0</v>
      </c>
      <c r="CG109" s="882">
        <f>IF($BN110=0,0,        _xll.qDateNext($BN109,CG$17,$CG$16,TRUE,Currency2))</f>
        <v>0</v>
      </c>
      <c r="CH109" s="886">
        <v>0</v>
      </c>
      <c r="CI109" s="886">
        <v>0</v>
      </c>
      <c r="CJ109" s="886">
        <v>0</v>
      </c>
      <c r="CK109" s="886">
        <v>0</v>
      </c>
      <c r="CL109" s="886">
        <f t="shared" si="61"/>
        <v>0</v>
      </c>
      <c r="CM109" s="886">
        <f t="shared" si="62"/>
        <v>0</v>
      </c>
      <c r="CN109" s="886">
        <v>0</v>
      </c>
      <c r="CO109" s="886">
        <v>0</v>
      </c>
      <c r="CP109" s="648">
        <f t="shared" si="39"/>
        <v>0</v>
      </c>
      <c r="CQ109" s="648">
        <f t="shared" si="40"/>
        <v>0</v>
      </c>
      <c r="CR109" s="648">
        <f t="shared" si="41"/>
        <v>0</v>
      </c>
      <c r="CS109" s="648">
        <f t="shared" si="42"/>
        <v>0</v>
      </c>
      <c r="CT109" s="648">
        <f t="shared" si="43"/>
        <v>0</v>
      </c>
      <c r="CU109" s="648">
        <f t="shared" si="44"/>
        <v>0</v>
      </c>
      <c r="CV109" s="648">
        <f t="shared" si="45"/>
        <v>0</v>
      </c>
      <c r="CW109" s="648">
        <f t="shared" si="46"/>
        <v>0</v>
      </c>
      <c r="CX109" s="634">
        <v>0</v>
      </c>
      <c r="CY109" s="616"/>
      <c r="CZ109" s="619">
        <f>IF(BN110=0,0,             IF(ISNUMBER(CY109),CY109,             IF(ISTEXT(CY109),INDEX(CP109:CW109,MATCH(CY109,$CP$17:$CW$17,0)),           IF(CX109="INT",_xll.qInterp(BN110,BZ109:CG109,CP109:CW109),       INDEX(CP109:CW109,MATCH(CX109,$CP$17:$CW$17,0))))))</f>
        <v>0</v>
      </c>
      <c r="DA109" s="755">
        <f t="shared" si="47"/>
        <v>0</v>
      </c>
      <c r="DB109" s="387">
        <f t="shared" si="48"/>
        <v>0</v>
      </c>
      <c r="DC109" s="268">
        <f>IF($BN110=0,0,         IF(LEFT(DCC_Leg2_Fixed,2)="1/",uEvaluate(DCC_Leg2_Fixed),         _xll.qDateYears($BN109,$BN110,DCC_Leg2_Fixed)))</f>
        <v>0</v>
      </c>
      <c r="DD109" s="268">
        <f>IF($BN110,_xll.qDateYears($BN109,$BN110,DCC_Leg2_Float),0)</f>
        <v>0</v>
      </c>
      <c r="DF109" s="332">
        <f t="shared" si="63"/>
        <v>0</v>
      </c>
      <c r="DG109" s="357">
        <f t="shared" si="64"/>
        <v>0</v>
      </c>
      <c r="DH109" s="527"/>
      <c r="DJ109" s="324">
        <f t="shared" si="66"/>
        <v>0</v>
      </c>
      <c r="DK109" s="529"/>
      <c r="DL109" s="338"/>
    </row>
    <row r="110" spans="15:116">
      <c r="O110" s="121">
        <v>0</v>
      </c>
      <c r="P110" s="755">
        <f t="shared" si="35"/>
        <v>0</v>
      </c>
      <c r="Q110" s="125">
        <v>0</v>
      </c>
      <c r="R110" s="890">
        <f>IF(O111=0,0,         IF(OR(Currency1="AUD",Currency1="NZD",Currency1="GBP"),O110,   _xll.qDateNext(O110,"-2b",,,IF(Currency1="EUR","TGT","LON"))))</f>
        <v>0</v>
      </c>
      <c r="S110" s="879" t="str">
        <v/>
      </c>
      <c r="T110" s="879" t="str">
        <v/>
      </c>
      <c r="U110" s="879" t="str">
        <v/>
      </c>
      <c r="V110" s="879" t="str">
        <v/>
      </c>
      <c r="W110" s="879" t="str">
        <v/>
      </c>
      <c r="X110" s="879" t="str">
        <v/>
      </c>
      <c r="Y110" s="879" t="str">
        <v/>
      </c>
      <c r="Z110" s="879" t="str">
        <v/>
      </c>
      <c r="AA110" s="882">
        <f>IF($O111=0,0,        _xll.qDateNext($O110,AA$17,$AH$16,TRUE,Currency1))</f>
        <v>0</v>
      </c>
      <c r="AB110" s="882">
        <f>IF($O111=0,0,        _xll.qDateNext($O110,AB$17,$AH$16,TRUE,Currency1))</f>
        <v>0</v>
      </c>
      <c r="AC110" s="882">
        <f>IF($O111=0,0,        _xll.qDateNext($O110,AC$17,$AH$16,TRUE,Currency1))</f>
        <v>0</v>
      </c>
      <c r="AD110" s="882">
        <f>IF($O111=0,0,        _xll.qDateNext($O110,AD$17,$AH$16,TRUE,Currency1))</f>
        <v>0</v>
      </c>
      <c r="AE110" s="882">
        <f>IF($O111=0,0,        _xll.qDateNext($O110,AE$17,$AH$16,TRUE,Currency1))</f>
        <v>0</v>
      </c>
      <c r="AF110" s="882">
        <f>IF($O111=0,0,        _xll.qDateNext($O110,AF$17,$AH$16,TRUE,Currency1))</f>
        <v>0</v>
      </c>
      <c r="AG110" s="882">
        <f>IF($O111=0,0,        _xll.qDateNext($O110,AG$17,$AH$16,TRUE,Currency1))</f>
        <v>0</v>
      </c>
      <c r="AH110" s="882">
        <f>IF($O111=0,0,        _xll.qDateNext($O110,AH$17,$AH$16,TRUE,Currency1))</f>
        <v>0</v>
      </c>
      <c r="AI110" s="886">
        <f>IF($O111=0,0,           IF(FRM,_xll.qGetFwdRate(AI$14,$O110,AA110,"T",DCC_Leg1_Float),_xll.qGetFwdRate(AI$14,$O110,$O111,"T",DCC_Leg1_Float)))</f>
        <v>0</v>
      </c>
      <c r="AJ110" s="886">
        <f>IF($O111=0,0,           IF(FRM,_xll.qGetFwdRate(AJ$14,$O110,AB110,"T",DCC_Leg1_Float),_xll.qGetFwdRate(AJ$14,$O110,$O111,"T",DCC_Leg1_Float)))</f>
        <v>0</v>
      </c>
      <c r="AK110" s="886">
        <f t="shared" si="36"/>
        <v>0</v>
      </c>
      <c r="AL110" s="886">
        <f>IF($O111=0,0,           IF(FRM,_xll.qGetFwdRate(AL$14,$O110,AD110,"T",DCC_Leg1_Float),_xll.qGetFwdRate(AL$14,$O110,$O111,"T",DCC_Leg1_Float)))</f>
        <v>0</v>
      </c>
      <c r="AM110" s="886">
        <f t="shared" si="49"/>
        <v>0</v>
      </c>
      <c r="AN110" s="886">
        <f t="shared" si="50"/>
        <v>0</v>
      </c>
      <c r="AO110" s="886">
        <f>IF($O111=0,0,           IF(FRM,_xll.qGetFwdRate(AO$14,$O110,AG110,"T",DCC_Leg1_Float),_xll.qGetFwdRate(AO$14,$O110,$O111,"T",DCC_Leg1_Float)))</f>
        <v>0</v>
      </c>
      <c r="AP110" s="886">
        <f>IF($O111=0,0,           IF(FRM,_xll.qGetFwdRate(AP$14,$O110,AH110,"T",DCC_Leg1_Float),_xll.qGetFwdRate(AP$14,$O110,$O111,"T",DCC_Leg1_Float)))</f>
        <v>0</v>
      </c>
      <c r="AQ110" s="648">
        <f t="shared" si="51"/>
        <v>0</v>
      </c>
      <c r="AR110" s="648">
        <f t="shared" si="52"/>
        <v>0</v>
      </c>
      <c r="AS110" s="648">
        <f t="shared" si="53"/>
        <v>0</v>
      </c>
      <c r="AT110" s="648">
        <f t="shared" si="54"/>
        <v>0</v>
      </c>
      <c r="AU110" s="648">
        <f t="shared" si="55"/>
        <v>0</v>
      </c>
      <c r="AV110" s="648">
        <f t="shared" si="56"/>
        <v>0</v>
      </c>
      <c r="AW110" s="648">
        <f t="shared" si="57"/>
        <v>0</v>
      </c>
      <c r="AX110" s="648">
        <f t="shared" si="58"/>
        <v>0</v>
      </c>
      <c r="AY110" s="634">
        <v>0</v>
      </c>
      <c r="AZ110" s="616"/>
      <c r="BA110" s="619">
        <f>IF(O111=0,0,             IF(ISNUMBER(AZ110),AZ110,             IF(ISTEXT(AZ110),INDEX(AQ110:AX110,MATCH(AZ110,$AQ$17:$AX$17,0)),           IF(AY110="INT",_xll.qInterp(O111,AA110:AH110,AQ110:AX110),       INDEX(AQ110:AX110,MATCH(AY110,$AQ$17:$AX$17,0))))))</f>
        <v>0</v>
      </c>
      <c r="BB110" s="674">
        <v>100</v>
      </c>
      <c r="BC110" s="666">
        <f t="shared" si="37"/>
        <v>0</v>
      </c>
      <c r="BD110" s="268">
        <f>IF($O111=0,0,                IF(LEFT(DCC_Leg1_Fixed,2)="1/",uEvaluate(DCC_Leg1_Fixed),        _xll.qDateYears($O110,$O111,DCC_Leg1_Fixed)))</f>
        <v>0</v>
      </c>
      <c r="BE110" s="268">
        <f>IF($O111,_xll.qDateYears($O110,$O111,DCC_Leg1_Float),0)</f>
        <v>0</v>
      </c>
      <c r="BG110" s="332">
        <f t="shared" si="59"/>
        <v>0</v>
      </c>
      <c r="BH110" s="357">
        <f t="shared" si="60"/>
        <v>0</v>
      </c>
      <c r="BI110" s="527"/>
      <c r="BK110" s="324">
        <f t="shared" si="65"/>
        <v>0</v>
      </c>
      <c r="BM110" s="338"/>
      <c r="BN110" s="121">
        <v>0</v>
      </c>
      <c r="BO110" s="755">
        <f t="shared" si="38"/>
        <v>0</v>
      </c>
      <c r="BP110" s="339">
        <v>0</v>
      </c>
      <c r="BQ110" s="890">
        <f>IF(BN111=0,0,         IF(OR(Currency2="AUD",Currency1="NZD",Currency2="GBP"),BN110,   _xll.qDateNext(BN110,"-2b",,,IF(Currency2="EUR","TGT","LON"))))</f>
        <v>0</v>
      </c>
      <c r="BR110" s="879" t="str">
        <v/>
      </c>
      <c r="BS110" s="879" t="str">
        <v/>
      </c>
      <c r="BT110" s="879" t="str">
        <v/>
      </c>
      <c r="BU110" s="879" t="str">
        <v/>
      </c>
      <c r="BV110" s="879" t="str">
        <v/>
      </c>
      <c r="BW110" s="879" t="str">
        <v/>
      </c>
      <c r="BX110" s="879" t="str">
        <v/>
      </c>
      <c r="BY110" s="879" t="str">
        <v/>
      </c>
      <c r="BZ110" s="882">
        <f>IF($BN111=0,0,        _xll.qDateNext($BN110,BZ$17,$CG$16,TRUE,Currency2))</f>
        <v>0</v>
      </c>
      <c r="CA110" s="882">
        <f>IF($BN111=0,0,        _xll.qDateNext($BN110,CA$17,$CG$16,TRUE,Currency2))</f>
        <v>0</v>
      </c>
      <c r="CB110" s="882">
        <f>IF($BN111=0,0,        _xll.qDateNext($BN110,CB$17,$CG$16,TRUE,Currency2))</f>
        <v>0</v>
      </c>
      <c r="CC110" s="882">
        <f>IF($BN111=0,0,        _xll.qDateNext($BN110,CC$17,$CG$16,TRUE,Currency2))</f>
        <v>0</v>
      </c>
      <c r="CD110" s="882">
        <f>IF($BN111=0,0,        _xll.qDateNext($BN110,CD$17,$CG$16,TRUE,Currency2))</f>
        <v>0</v>
      </c>
      <c r="CE110" s="882">
        <f>IF($BN111=0,0,        _xll.qDateNext($BN110,CE$17,$CG$16,TRUE,Currency2))</f>
        <v>0</v>
      </c>
      <c r="CF110" s="882">
        <f>IF($BN111=0,0,        _xll.qDateNext($BN110,CF$17,$CG$16,TRUE,Currency2))</f>
        <v>0</v>
      </c>
      <c r="CG110" s="882">
        <f>IF($BN111=0,0,        _xll.qDateNext($BN110,CG$17,$CG$16,TRUE,Currency2))</f>
        <v>0</v>
      </c>
      <c r="CH110" s="886">
        <v>0</v>
      </c>
      <c r="CI110" s="886">
        <v>0</v>
      </c>
      <c r="CJ110" s="886">
        <v>0</v>
      </c>
      <c r="CK110" s="886">
        <v>0</v>
      </c>
      <c r="CL110" s="886">
        <f t="shared" si="61"/>
        <v>0</v>
      </c>
      <c r="CM110" s="886">
        <f t="shared" si="62"/>
        <v>0</v>
      </c>
      <c r="CN110" s="886">
        <v>0</v>
      </c>
      <c r="CO110" s="886">
        <v>0</v>
      </c>
      <c r="CP110" s="648">
        <f t="shared" si="39"/>
        <v>0</v>
      </c>
      <c r="CQ110" s="648">
        <f t="shared" si="40"/>
        <v>0</v>
      </c>
      <c r="CR110" s="648">
        <f t="shared" si="41"/>
        <v>0</v>
      </c>
      <c r="CS110" s="648">
        <f t="shared" si="42"/>
        <v>0</v>
      </c>
      <c r="CT110" s="648">
        <f t="shared" si="43"/>
        <v>0</v>
      </c>
      <c r="CU110" s="648">
        <f t="shared" si="44"/>
        <v>0</v>
      </c>
      <c r="CV110" s="648">
        <f t="shared" si="45"/>
        <v>0</v>
      </c>
      <c r="CW110" s="648">
        <f t="shared" si="46"/>
        <v>0</v>
      </c>
      <c r="CX110" s="634">
        <v>0</v>
      </c>
      <c r="CY110" s="616"/>
      <c r="CZ110" s="619">
        <f>IF(BN111=0,0,             IF(ISNUMBER(CY110),CY110,             IF(ISTEXT(CY110),INDEX(CP110:CW110,MATCH(CY110,$CP$17:$CW$17,0)),           IF(CX110="INT",_xll.qInterp(BN111,BZ110:CG110,CP110:CW110),       INDEX(CP110:CW110,MATCH(CX110,$CP$17:$CW$17,0))))))</f>
        <v>0</v>
      </c>
      <c r="DA110" s="755">
        <f t="shared" si="47"/>
        <v>0</v>
      </c>
      <c r="DB110" s="387">
        <f t="shared" si="48"/>
        <v>0</v>
      </c>
      <c r="DC110" s="268">
        <f>IF($BN111=0,0,         IF(LEFT(DCC_Leg2_Fixed,2)="1/",uEvaluate(DCC_Leg2_Fixed),         _xll.qDateYears($BN110,$BN111,DCC_Leg2_Fixed)))</f>
        <v>0</v>
      </c>
      <c r="DD110" s="268">
        <f>IF($BN111,_xll.qDateYears($BN110,$BN111,DCC_Leg2_Float),0)</f>
        <v>0</v>
      </c>
      <c r="DF110" s="332">
        <f t="shared" si="63"/>
        <v>0</v>
      </c>
      <c r="DG110" s="357">
        <f t="shared" si="64"/>
        <v>0</v>
      </c>
      <c r="DH110" s="527"/>
      <c r="DJ110" s="324">
        <f t="shared" si="66"/>
        <v>0</v>
      </c>
      <c r="DK110" s="529"/>
      <c r="DL110" s="338"/>
    </row>
    <row r="111" spans="15:116">
      <c r="O111" s="121">
        <v>0</v>
      </c>
      <c r="P111" s="755">
        <f t="shared" si="35"/>
        <v>0</v>
      </c>
      <c r="Q111" s="125">
        <v>0</v>
      </c>
      <c r="R111" s="890">
        <f>IF(O112=0,0,         IF(OR(Currency1="AUD",Currency1="NZD",Currency1="GBP"),O111,   _xll.qDateNext(O111,"-2b",,,IF(Currency1="EUR","TGT","LON"))))</f>
        <v>0</v>
      </c>
      <c r="S111" s="879" t="str">
        <v/>
      </c>
      <c r="T111" s="879" t="str">
        <v/>
      </c>
      <c r="U111" s="879" t="str">
        <v/>
      </c>
      <c r="V111" s="879" t="str">
        <v/>
      </c>
      <c r="W111" s="879" t="str">
        <v/>
      </c>
      <c r="X111" s="879" t="str">
        <v/>
      </c>
      <c r="Y111" s="879" t="str">
        <v/>
      </c>
      <c r="Z111" s="879" t="str">
        <v/>
      </c>
      <c r="AA111" s="882">
        <f>IF($O112=0,0,        _xll.qDateNext($O111,AA$17,$AH$16,TRUE,Currency1))</f>
        <v>0</v>
      </c>
      <c r="AB111" s="882">
        <f>IF($O112=0,0,        _xll.qDateNext($O111,AB$17,$AH$16,TRUE,Currency1))</f>
        <v>0</v>
      </c>
      <c r="AC111" s="882">
        <f>IF($O112=0,0,        _xll.qDateNext($O111,AC$17,$AH$16,TRUE,Currency1))</f>
        <v>0</v>
      </c>
      <c r="AD111" s="882">
        <f>IF($O112=0,0,        _xll.qDateNext($O111,AD$17,$AH$16,TRUE,Currency1))</f>
        <v>0</v>
      </c>
      <c r="AE111" s="882">
        <f>IF($O112=0,0,        _xll.qDateNext($O111,AE$17,$AH$16,TRUE,Currency1))</f>
        <v>0</v>
      </c>
      <c r="AF111" s="882">
        <f>IF($O112=0,0,        _xll.qDateNext($O111,AF$17,$AH$16,TRUE,Currency1))</f>
        <v>0</v>
      </c>
      <c r="AG111" s="882">
        <f>IF($O112=0,0,        _xll.qDateNext($O111,AG$17,$AH$16,TRUE,Currency1))</f>
        <v>0</v>
      </c>
      <c r="AH111" s="882">
        <f>IF($O112=0,0,        _xll.qDateNext($O111,AH$17,$AH$16,TRUE,Currency1))</f>
        <v>0</v>
      </c>
      <c r="AI111" s="886">
        <f>IF($O112=0,0,           IF(FRM,_xll.qGetFwdRate(AI$14,$O111,AA111,"T",DCC_Leg1_Float),_xll.qGetFwdRate(AI$14,$O111,$O112,"T",DCC_Leg1_Float)))</f>
        <v>0</v>
      </c>
      <c r="AJ111" s="886">
        <f>IF($O112=0,0,           IF(FRM,_xll.qGetFwdRate(AJ$14,$O111,AB111,"T",DCC_Leg1_Float),_xll.qGetFwdRate(AJ$14,$O111,$O112,"T",DCC_Leg1_Float)))</f>
        <v>0</v>
      </c>
      <c r="AK111" s="886">
        <f t="shared" si="36"/>
        <v>0</v>
      </c>
      <c r="AL111" s="886">
        <f>IF($O112=0,0,           IF(FRM,_xll.qGetFwdRate(AL$14,$O111,AD111,"T",DCC_Leg1_Float),_xll.qGetFwdRate(AL$14,$O111,$O112,"T",DCC_Leg1_Float)))</f>
        <v>0</v>
      </c>
      <c r="AM111" s="886">
        <f t="shared" si="49"/>
        <v>0</v>
      </c>
      <c r="AN111" s="886">
        <f t="shared" si="50"/>
        <v>0</v>
      </c>
      <c r="AO111" s="886">
        <f>IF($O112=0,0,           IF(FRM,_xll.qGetFwdRate(AO$14,$O111,AG111,"T",DCC_Leg1_Float),_xll.qGetFwdRate(AO$14,$O111,$O112,"T",DCC_Leg1_Float)))</f>
        <v>0</v>
      </c>
      <c r="AP111" s="886">
        <f>IF($O112=0,0,           IF(FRM,_xll.qGetFwdRate(AP$14,$O111,AH111,"T",DCC_Leg1_Float),_xll.qGetFwdRate(AP$14,$O111,$O112,"T",DCC_Leg1_Float)))</f>
        <v>0</v>
      </c>
      <c r="AQ111" s="648">
        <f t="shared" si="51"/>
        <v>0</v>
      </c>
      <c r="AR111" s="648">
        <f t="shared" si="52"/>
        <v>0</v>
      </c>
      <c r="AS111" s="648">
        <f t="shared" si="53"/>
        <v>0</v>
      </c>
      <c r="AT111" s="648">
        <f t="shared" si="54"/>
        <v>0</v>
      </c>
      <c r="AU111" s="648">
        <f t="shared" si="55"/>
        <v>0</v>
      </c>
      <c r="AV111" s="648">
        <f t="shared" si="56"/>
        <v>0</v>
      </c>
      <c r="AW111" s="648">
        <f t="shared" si="57"/>
        <v>0</v>
      </c>
      <c r="AX111" s="648">
        <f t="shared" si="58"/>
        <v>0</v>
      </c>
      <c r="AY111" s="634">
        <v>0</v>
      </c>
      <c r="AZ111" s="616"/>
      <c r="BA111" s="619">
        <f>IF(O112=0,0,             IF(ISNUMBER(AZ111),AZ111,             IF(ISTEXT(AZ111),INDEX(AQ111:AX111,MATCH(AZ111,$AQ$17:$AX$17,0)),           IF(AY111="INT",_xll.qInterp(O112,AA111:AH111,AQ111:AX111),       INDEX(AQ111:AX111,MATCH(AY111,$AQ$17:$AX$17,0))))))</f>
        <v>0</v>
      </c>
      <c r="BB111" s="674">
        <v>100</v>
      </c>
      <c r="BC111" s="666">
        <f t="shared" si="37"/>
        <v>0</v>
      </c>
      <c r="BD111" s="268">
        <f>IF($O112=0,0,                IF(LEFT(DCC_Leg1_Fixed,2)="1/",uEvaluate(DCC_Leg1_Fixed),        _xll.qDateYears($O111,$O112,DCC_Leg1_Fixed)))</f>
        <v>0</v>
      </c>
      <c r="BE111" s="268">
        <f>IF($O112,_xll.qDateYears($O111,$O112,DCC_Leg1_Float),0)</f>
        <v>0</v>
      </c>
      <c r="BG111" s="332">
        <f t="shared" si="59"/>
        <v>0</v>
      </c>
      <c r="BH111" s="357">
        <f t="shared" si="60"/>
        <v>0</v>
      </c>
      <c r="BI111" s="527"/>
      <c r="BK111" s="324">
        <f t="shared" si="65"/>
        <v>0</v>
      </c>
      <c r="BM111" s="338"/>
      <c r="BN111" s="121">
        <v>0</v>
      </c>
      <c r="BO111" s="755">
        <f t="shared" si="38"/>
        <v>0</v>
      </c>
      <c r="BP111" s="339">
        <v>0</v>
      </c>
      <c r="BQ111" s="890">
        <f>IF(BN112=0,0,         IF(OR(Currency2="AUD",Currency1="NZD",Currency2="GBP"),BN111,   _xll.qDateNext(BN111,"-2b",,,IF(Currency2="EUR","TGT","LON"))))</f>
        <v>0</v>
      </c>
      <c r="BR111" s="879" t="str">
        <v/>
      </c>
      <c r="BS111" s="879" t="str">
        <v/>
      </c>
      <c r="BT111" s="879" t="str">
        <v/>
      </c>
      <c r="BU111" s="879" t="str">
        <v/>
      </c>
      <c r="BV111" s="879" t="str">
        <v/>
      </c>
      <c r="BW111" s="879" t="str">
        <v/>
      </c>
      <c r="BX111" s="879" t="str">
        <v/>
      </c>
      <c r="BY111" s="879" t="str">
        <v/>
      </c>
      <c r="BZ111" s="882">
        <f>IF($BN112=0,0,        _xll.qDateNext($BN111,BZ$17,$CG$16,TRUE,Currency2))</f>
        <v>0</v>
      </c>
      <c r="CA111" s="882">
        <f>IF($BN112=0,0,        _xll.qDateNext($BN111,CA$17,$CG$16,TRUE,Currency2))</f>
        <v>0</v>
      </c>
      <c r="CB111" s="882">
        <f>IF($BN112=0,0,        _xll.qDateNext($BN111,CB$17,$CG$16,TRUE,Currency2))</f>
        <v>0</v>
      </c>
      <c r="CC111" s="882">
        <f>IF($BN112=0,0,        _xll.qDateNext($BN111,CC$17,$CG$16,TRUE,Currency2))</f>
        <v>0</v>
      </c>
      <c r="CD111" s="882">
        <f>IF($BN112=0,0,        _xll.qDateNext($BN111,CD$17,$CG$16,TRUE,Currency2))</f>
        <v>0</v>
      </c>
      <c r="CE111" s="882">
        <f>IF($BN112=0,0,        _xll.qDateNext($BN111,CE$17,$CG$16,TRUE,Currency2))</f>
        <v>0</v>
      </c>
      <c r="CF111" s="882">
        <f>IF($BN112=0,0,        _xll.qDateNext($BN111,CF$17,$CG$16,TRUE,Currency2))</f>
        <v>0</v>
      </c>
      <c r="CG111" s="882">
        <f>IF($BN112=0,0,        _xll.qDateNext($BN111,CG$17,$CG$16,TRUE,Currency2))</f>
        <v>0</v>
      </c>
      <c r="CH111" s="886">
        <v>0</v>
      </c>
      <c r="CI111" s="886">
        <v>0</v>
      </c>
      <c r="CJ111" s="886">
        <v>0</v>
      </c>
      <c r="CK111" s="886">
        <v>0</v>
      </c>
      <c r="CL111" s="886">
        <f t="shared" si="61"/>
        <v>0</v>
      </c>
      <c r="CM111" s="886">
        <f t="shared" si="62"/>
        <v>0</v>
      </c>
      <c r="CN111" s="886">
        <v>0</v>
      </c>
      <c r="CO111" s="886">
        <v>0</v>
      </c>
      <c r="CP111" s="648">
        <f t="shared" si="39"/>
        <v>0</v>
      </c>
      <c r="CQ111" s="648">
        <f t="shared" si="40"/>
        <v>0</v>
      </c>
      <c r="CR111" s="648">
        <f t="shared" si="41"/>
        <v>0</v>
      </c>
      <c r="CS111" s="648">
        <f t="shared" si="42"/>
        <v>0</v>
      </c>
      <c r="CT111" s="648">
        <f t="shared" si="43"/>
        <v>0</v>
      </c>
      <c r="CU111" s="648">
        <f t="shared" si="44"/>
        <v>0</v>
      </c>
      <c r="CV111" s="648">
        <f t="shared" si="45"/>
        <v>0</v>
      </c>
      <c r="CW111" s="648">
        <f t="shared" si="46"/>
        <v>0</v>
      </c>
      <c r="CX111" s="634">
        <v>0</v>
      </c>
      <c r="CY111" s="616"/>
      <c r="CZ111" s="619">
        <f>IF(BN112=0,0,             IF(ISNUMBER(CY111),CY111,             IF(ISTEXT(CY111),INDEX(CP111:CW111,MATCH(CY111,$CP$17:$CW$17,0)),           IF(CX111="INT",_xll.qInterp(BN112,BZ111:CG111,CP111:CW111),       INDEX(CP111:CW111,MATCH(CX111,$CP$17:$CW$17,0))))))</f>
        <v>0</v>
      </c>
      <c r="DA111" s="755">
        <f t="shared" si="47"/>
        <v>0</v>
      </c>
      <c r="DB111" s="387">
        <f t="shared" si="48"/>
        <v>0</v>
      </c>
      <c r="DC111" s="268">
        <f>IF($BN112=0,0,         IF(LEFT(DCC_Leg2_Fixed,2)="1/",uEvaluate(DCC_Leg2_Fixed),         _xll.qDateYears($BN111,$BN112,DCC_Leg2_Fixed)))</f>
        <v>0</v>
      </c>
      <c r="DD111" s="268">
        <f>IF($BN112,_xll.qDateYears($BN111,$BN112,DCC_Leg2_Float),0)</f>
        <v>0</v>
      </c>
      <c r="DF111" s="332">
        <f t="shared" si="63"/>
        <v>0</v>
      </c>
      <c r="DG111" s="357">
        <f t="shared" si="64"/>
        <v>0</v>
      </c>
      <c r="DH111" s="527"/>
      <c r="DJ111" s="324">
        <f t="shared" si="66"/>
        <v>0</v>
      </c>
      <c r="DK111" s="529"/>
      <c r="DL111" s="338"/>
    </row>
    <row r="112" spans="15:116">
      <c r="O112" s="121">
        <v>0</v>
      </c>
      <c r="P112" s="755">
        <f t="shared" si="35"/>
        <v>0</v>
      </c>
      <c r="Q112" s="125">
        <v>0</v>
      </c>
      <c r="R112" s="890">
        <f>IF(O113=0,0,         IF(OR(Currency1="AUD",Currency1="NZD",Currency1="GBP"),O112,   _xll.qDateNext(O112,"-2b",,,IF(Currency1="EUR","TGT","LON"))))</f>
        <v>0</v>
      </c>
      <c r="S112" s="879" t="str">
        <v/>
      </c>
      <c r="T112" s="879" t="str">
        <v/>
      </c>
      <c r="U112" s="879" t="str">
        <v/>
      </c>
      <c r="V112" s="879" t="str">
        <v/>
      </c>
      <c r="W112" s="879" t="str">
        <v/>
      </c>
      <c r="X112" s="879" t="str">
        <v/>
      </c>
      <c r="Y112" s="879" t="str">
        <v/>
      </c>
      <c r="Z112" s="879" t="str">
        <v/>
      </c>
      <c r="AA112" s="882">
        <f>IF($O113=0,0,        _xll.qDateNext($O112,AA$17,$AH$16,TRUE,Currency1))</f>
        <v>0</v>
      </c>
      <c r="AB112" s="882">
        <f>IF($O113=0,0,        _xll.qDateNext($O112,AB$17,$AH$16,TRUE,Currency1))</f>
        <v>0</v>
      </c>
      <c r="AC112" s="882">
        <f>IF($O113=0,0,        _xll.qDateNext($O112,AC$17,$AH$16,TRUE,Currency1))</f>
        <v>0</v>
      </c>
      <c r="AD112" s="882">
        <f>IF($O113=0,0,        _xll.qDateNext($O112,AD$17,$AH$16,TRUE,Currency1))</f>
        <v>0</v>
      </c>
      <c r="AE112" s="882">
        <f>IF($O113=0,0,        _xll.qDateNext($O112,AE$17,$AH$16,TRUE,Currency1))</f>
        <v>0</v>
      </c>
      <c r="AF112" s="882">
        <f>IF($O113=0,0,        _xll.qDateNext($O112,AF$17,$AH$16,TRUE,Currency1))</f>
        <v>0</v>
      </c>
      <c r="AG112" s="882">
        <f>IF($O113=0,0,        _xll.qDateNext($O112,AG$17,$AH$16,TRUE,Currency1))</f>
        <v>0</v>
      </c>
      <c r="AH112" s="882">
        <f>IF($O113=0,0,        _xll.qDateNext($O112,AH$17,$AH$16,TRUE,Currency1))</f>
        <v>0</v>
      </c>
      <c r="AI112" s="886">
        <f>IF($O113=0,0,           IF(FRM,_xll.qGetFwdRate(AI$14,$O112,AA112,"T",DCC_Leg1_Float),_xll.qGetFwdRate(AI$14,$O112,$O113,"T",DCC_Leg1_Float)))</f>
        <v>0</v>
      </c>
      <c r="AJ112" s="886">
        <f>IF($O113=0,0,           IF(FRM,_xll.qGetFwdRate(AJ$14,$O112,AB112,"T",DCC_Leg1_Float),_xll.qGetFwdRate(AJ$14,$O112,$O113,"T",DCC_Leg1_Float)))</f>
        <v>0</v>
      </c>
      <c r="AK112" s="886">
        <f t="shared" si="36"/>
        <v>0</v>
      </c>
      <c r="AL112" s="886">
        <f>IF($O113=0,0,           IF(FRM,_xll.qGetFwdRate(AL$14,$O112,AD112,"T",DCC_Leg1_Float),_xll.qGetFwdRate(AL$14,$O112,$O113,"T",DCC_Leg1_Float)))</f>
        <v>0</v>
      </c>
      <c r="AM112" s="886">
        <f t="shared" si="49"/>
        <v>0</v>
      </c>
      <c r="AN112" s="886">
        <f t="shared" si="50"/>
        <v>0</v>
      </c>
      <c r="AO112" s="886">
        <f>IF($O113=0,0,           IF(FRM,_xll.qGetFwdRate(AO$14,$O112,AG112,"T",DCC_Leg1_Float),_xll.qGetFwdRate(AO$14,$O112,$O113,"T",DCC_Leg1_Float)))</f>
        <v>0</v>
      </c>
      <c r="AP112" s="886">
        <f>IF($O113=0,0,           IF(FRM,_xll.qGetFwdRate(AP$14,$O112,AH112,"T",DCC_Leg1_Float),_xll.qGetFwdRate(AP$14,$O112,$O113,"T",DCC_Leg1_Float)))</f>
        <v>0</v>
      </c>
      <c r="AQ112" s="648">
        <f t="shared" si="51"/>
        <v>0</v>
      </c>
      <c r="AR112" s="648">
        <f t="shared" si="52"/>
        <v>0</v>
      </c>
      <c r="AS112" s="648">
        <f t="shared" si="53"/>
        <v>0</v>
      </c>
      <c r="AT112" s="648">
        <f t="shared" si="54"/>
        <v>0</v>
      </c>
      <c r="AU112" s="648">
        <f t="shared" si="55"/>
        <v>0</v>
      </c>
      <c r="AV112" s="648">
        <f t="shared" si="56"/>
        <v>0</v>
      </c>
      <c r="AW112" s="648">
        <f t="shared" si="57"/>
        <v>0</v>
      </c>
      <c r="AX112" s="648">
        <f t="shared" si="58"/>
        <v>0</v>
      </c>
      <c r="AY112" s="634">
        <v>0</v>
      </c>
      <c r="AZ112" s="616"/>
      <c r="BA112" s="619">
        <f>IF(O113=0,0,             IF(ISNUMBER(AZ112),AZ112,             IF(ISTEXT(AZ112),INDEX(AQ112:AX112,MATCH(AZ112,$AQ$17:$AX$17,0)),           IF(AY112="INT",_xll.qInterp(O113,AA112:AH112,AQ112:AX112),       INDEX(AQ112:AX112,MATCH(AY112,$AQ$17:$AX$17,0))))))</f>
        <v>0</v>
      </c>
      <c r="BB112" s="674">
        <v>100</v>
      </c>
      <c r="BC112" s="666">
        <f t="shared" si="37"/>
        <v>0</v>
      </c>
      <c r="BD112" s="268">
        <f>IF($O113=0,0,                IF(LEFT(DCC_Leg1_Fixed,2)="1/",uEvaluate(DCC_Leg1_Fixed),        _xll.qDateYears($O112,$O113,DCC_Leg1_Fixed)))</f>
        <v>0</v>
      </c>
      <c r="BE112" s="268">
        <f>IF($O113,_xll.qDateYears($O112,$O113,DCC_Leg1_Float),0)</f>
        <v>0</v>
      </c>
      <c r="BG112" s="332">
        <f t="shared" si="59"/>
        <v>0</v>
      </c>
      <c r="BH112" s="357">
        <f t="shared" si="60"/>
        <v>0</v>
      </c>
      <c r="BI112" s="527"/>
      <c r="BK112" s="324">
        <f t="shared" si="65"/>
        <v>0</v>
      </c>
      <c r="BM112" s="338"/>
      <c r="BN112" s="121">
        <v>0</v>
      </c>
      <c r="BO112" s="755">
        <f t="shared" si="38"/>
        <v>0</v>
      </c>
      <c r="BP112" s="339">
        <v>0</v>
      </c>
      <c r="BQ112" s="890">
        <f>IF(BN113=0,0,         IF(OR(Currency2="AUD",Currency1="NZD",Currency2="GBP"),BN112,   _xll.qDateNext(BN112,"-2b",,,IF(Currency2="EUR","TGT","LON"))))</f>
        <v>0</v>
      </c>
      <c r="BR112" s="879" t="str">
        <v/>
      </c>
      <c r="BS112" s="879" t="str">
        <v/>
      </c>
      <c r="BT112" s="879" t="str">
        <v/>
      </c>
      <c r="BU112" s="879" t="str">
        <v/>
      </c>
      <c r="BV112" s="879" t="str">
        <v/>
      </c>
      <c r="BW112" s="879" t="str">
        <v/>
      </c>
      <c r="BX112" s="879" t="str">
        <v/>
      </c>
      <c r="BY112" s="879" t="str">
        <v/>
      </c>
      <c r="BZ112" s="882">
        <f>IF($BN113=0,0,        _xll.qDateNext($BN112,BZ$17,$CG$16,TRUE,Currency2))</f>
        <v>0</v>
      </c>
      <c r="CA112" s="882">
        <f>IF($BN113=0,0,        _xll.qDateNext($BN112,CA$17,$CG$16,TRUE,Currency2))</f>
        <v>0</v>
      </c>
      <c r="CB112" s="882">
        <f>IF($BN113=0,0,        _xll.qDateNext($BN112,CB$17,$CG$16,TRUE,Currency2))</f>
        <v>0</v>
      </c>
      <c r="CC112" s="882">
        <f>IF($BN113=0,0,        _xll.qDateNext($BN112,CC$17,$CG$16,TRUE,Currency2))</f>
        <v>0</v>
      </c>
      <c r="CD112" s="882">
        <f>IF($BN113=0,0,        _xll.qDateNext($BN112,CD$17,$CG$16,TRUE,Currency2))</f>
        <v>0</v>
      </c>
      <c r="CE112" s="882">
        <f>IF($BN113=0,0,        _xll.qDateNext($BN112,CE$17,$CG$16,TRUE,Currency2))</f>
        <v>0</v>
      </c>
      <c r="CF112" s="882">
        <f>IF($BN113=0,0,        _xll.qDateNext($BN112,CF$17,$CG$16,TRUE,Currency2))</f>
        <v>0</v>
      </c>
      <c r="CG112" s="882">
        <f>IF($BN113=0,0,        _xll.qDateNext($BN112,CG$17,$CG$16,TRUE,Currency2))</f>
        <v>0</v>
      </c>
      <c r="CH112" s="886">
        <v>0</v>
      </c>
      <c r="CI112" s="886">
        <v>0</v>
      </c>
      <c r="CJ112" s="886">
        <v>0</v>
      </c>
      <c r="CK112" s="886">
        <v>0</v>
      </c>
      <c r="CL112" s="886">
        <f t="shared" si="61"/>
        <v>0</v>
      </c>
      <c r="CM112" s="886">
        <f t="shared" si="62"/>
        <v>0</v>
      </c>
      <c r="CN112" s="886">
        <v>0</v>
      </c>
      <c r="CO112" s="886">
        <v>0</v>
      </c>
      <c r="CP112" s="648">
        <f t="shared" si="39"/>
        <v>0</v>
      </c>
      <c r="CQ112" s="648">
        <f t="shared" si="40"/>
        <v>0</v>
      </c>
      <c r="CR112" s="648">
        <f t="shared" si="41"/>
        <v>0</v>
      </c>
      <c r="CS112" s="648">
        <f t="shared" si="42"/>
        <v>0</v>
      </c>
      <c r="CT112" s="648">
        <f t="shared" si="43"/>
        <v>0</v>
      </c>
      <c r="CU112" s="648">
        <f t="shared" si="44"/>
        <v>0</v>
      </c>
      <c r="CV112" s="648">
        <f t="shared" si="45"/>
        <v>0</v>
      </c>
      <c r="CW112" s="648">
        <f t="shared" si="46"/>
        <v>0</v>
      </c>
      <c r="CX112" s="634">
        <v>0</v>
      </c>
      <c r="CY112" s="616"/>
      <c r="CZ112" s="619">
        <f>IF(BN113=0,0,             IF(ISNUMBER(CY112),CY112,             IF(ISTEXT(CY112),INDEX(CP112:CW112,MATCH(CY112,$CP$17:$CW$17,0)),           IF(CX112="INT",_xll.qInterp(BN113,BZ112:CG112,CP112:CW112),       INDEX(CP112:CW112,MATCH(CX112,$CP$17:$CW$17,0))))))</f>
        <v>0</v>
      </c>
      <c r="DA112" s="755">
        <f t="shared" si="47"/>
        <v>0</v>
      </c>
      <c r="DB112" s="387">
        <f t="shared" si="48"/>
        <v>0</v>
      </c>
      <c r="DC112" s="268">
        <f>IF($BN113=0,0,         IF(LEFT(DCC_Leg2_Fixed,2)="1/",uEvaluate(DCC_Leg2_Fixed),         _xll.qDateYears($BN112,$BN113,DCC_Leg2_Fixed)))</f>
        <v>0</v>
      </c>
      <c r="DD112" s="268">
        <f>IF($BN113,_xll.qDateYears($BN112,$BN113,DCC_Leg2_Float),0)</f>
        <v>0</v>
      </c>
      <c r="DF112" s="332">
        <f t="shared" si="63"/>
        <v>0</v>
      </c>
      <c r="DG112" s="357">
        <f t="shared" si="64"/>
        <v>0</v>
      </c>
      <c r="DH112" s="527"/>
      <c r="DJ112" s="324">
        <f t="shared" si="66"/>
        <v>0</v>
      </c>
      <c r="DK112" s="529"/>
      <c r="DL112" s="338"/>
    </row>
    <row r="113" spans="15:116">
      <c r="O113" s="121">
        <v>0</v>
      </c>
      <c r="P113" s="755">
        <f t="shared" si="35"/>
        <v>0</v>
      </c>
      <c r="Q113" s="125">
        <v>0</v>
      </c>
      <c r="R113" s="890">
        <f>IF(O114=0,0,         IF(OR(Currency1="AUD",Currency1="NZD",Currency1="GBP"),O113,   _xll.qDateNext(O113,"-2b",,,IF(Currency1="EUR","TGT","LON"))))</f>
        <v>0</v>
      </c>
      <c r="S113" s="879" t="str">
        <v/>
      </c>
      <c r="T113" s="879" t="str">
        <v/>
      </c>
      <c r="U113" s="879" t="str">
        <v/>
      </c>
      <c r="V113" s="879" t="str">
        <v/>
      </c>
      <c r="W113" s="879" t="str">
        <v/>
      </c>
      <c r="X113" s="879" t="str">
        <v/>
      </c>
      <c r="Y113" s="879" t="str">
        <v/>
      </c>
      <c r="Z113" s="879" t="str">
        <v/>
      </c>
      <c r="AA113" s="882">
        <f>IF($O114=0,0,        _xll.qDateNext($O113,AA$17,$AH$16,TRUE,Currency1))</f>
        <v>0</v>
      </c>
      <c r="AB113" s="882">
        <f>IF($O114=0,0,        _xll.qDateNext($O113,AB$17,$AH$16,TRUE,Currency1))</f>
        <v>0</v>
      </c>
      <c r="AC113" s="882">
        <f>IF($O114=0,0,        _xll.qDateNext($O113,AC$17,$AH$16,TRUE,Currency1))</f>
        <v>0</v>
      </c>
      <c r="AD113" s="882">
        <f>IF($O114=0,0,        _xll.qDateNext($O113,AD$17,$AH$16,TRUE,Currency1))</f>
        <v>0</v>
      </c>
      <c r="AE113" s="882">
        <f>IF($O114=0,0,        _xll.qDateNext($O113,AE$17,$AH$16,TRUE,Currency1))</f>
        <v>0</v>
      </c>
      <c r="AF113" s="882">
        <f>IF($O114=0,0,        _xll.qDateNext($O113,AF$17,$AH$16,TRUE,Currency1))</f>
        <v>0</v>
      </c>
      <c r="AG113" s="882">
        <f>IF($O114=0,0,        _xll.qDateNext($O113,AG$17,$AH$16,TRUE,Currency1))</f>
        <v>0</v>
      </c>
      <c r="AH113" s="882">
        <f>IF($O114=0,0,        _xll.qDateNext($O113,AH$17,$AH$16,TRUE,Currency1))</f>
        <v>0</v>
      </c>
      <c r="AI113" s="886">
        <f>IF($O114=0,0,           IF(FRM,_xll.qGetFwdRate(AI$14,$O113,AA113,"T",DCC_Leg1_Float),_xll.qGetFwdRate(AI$14,$O113,$O114,"T",DCC_Leg1_Float)))</f>
        <v>0</v>
      </c>
      <c r="AJ113" s="886">
        <f>IF($O114=0,0,           IF(FRM,_xll.qGetFwdRate(AJ$14,$O113,AB113,"T",DCC_Leg1_Float),_xll.qGetFwdRate(AJ$14,$O113,$O114,"T",DCC_Leg1_Float)))</f>
        <v>0</v>
      </c>
      <c r="AK113" s="886">
        <f t="shared" si="36"/>
        <v>0</v>
      </c>
      <c r="AL113" s="886">
        <f>IF($O114=0,0,           IF(FRM,_xll.qGetFwdRate(AL$14,$O113,AD113,"T",DCC_Leg1_Float),_xll.qGetFwdRate(AL$14,$O113,$O114,"T",DCC_Leg1_Float)))</f>
        <v>0</v>
      </c>
      <c r="AM113" s="886">
        <f t="shared" si="49"/>
        <v>0</v>
      </c>
      <c r="AN113" s="886">
        <f t="shared" si="50"/>
        <v>0</v>
      </c>
      <c r="AO113" s="886">
        <f>IF($O114=0,0,           IF(FRM,_xll.qGetFwdRate(AO$14,$O113,AG113,"T",DCC_Leg1_Float),_xll.qGetFwdRate(AO$14,$O113,$O114,"T",DCC_Leg1_Float)))</f>
        <v>0</v>
      </c>
      <c r="AP113" s="886">
        <f>IF($O114=0,0,           IF(FRM,_xll.qGetFwdRate(AP$14,$O113,AH113,"T",DCC_Leg1_Float),_xll.qGetFwdRate(AP$14,$O113,$O114,"T",DCC_Leg1_Float)))</f>
        <v>0</v>
      </c>
      <c r="AQ113" s="648">
        <f t="shared" si="51"/>
        <v>0</v>
      </c>
      <c r="AR113" s="648">
        <f t="shared" si="52"/>
        <v>0</v>
      </c>
      <c r="AS113" s="648">
        <f t="shared" si="53"/>
        <v>0</v>
      </c>
      <c r="AT113" s="648">
        <f t="shared" si="54"/>
        <v>0</v>
      </c>
      <c r="AU113" s="648">
        <f t="shared" si="55"/>
        <v>0</v>
      </c>
      <c r="AV113" s="648">
        <f t="shared" si="56"/>
        <v>0</v>
      </c>
      <c r="AW113" s="648">
        <f t="shared" si="57"/>
        <v>0</v>
      </c>
      <c r="AX113" s="648">
        <f t="shared" si="58"/>
        <v>0</v>
      </c>
      <c r="AY113" s="634">
        <v>0</v>
      </c>
      <c r="AZ113" s="616"/>
      <c r="BA113" s="619">
        <f>IF(O114=0,0,             IF(ISNUMBER(AZ113),AZ113,             IF(ISTEXT(AZ113),INDEX(AQ113:AX113,MATCH(AZ113,$AQ$17:$AX$17,0)),           IF(AY113="INT",_xll.qInterp(O114,AA113:AH113,AQ113:AX113),       INDEX(AQ113:AX113,MATCH(AY113,$AQ$17:$AX$17,0))))))</f>
        <v>0</v>
      </c>
      <c r="BB113" s="674">
        <v>100</v>
      </c>
      <c r="BC113" s="666">
        <f t="shared" si="37"/>
        <v>0</v>
      </c>
      <c r="BD113" s="268">
        <f>IF($O114=0,0,                IF(LEFT(DCC_Leg1_Fixed,2)="1/",uEvaluate(DCC_Leg1_Fixed),        _xll.qDateYears($O113,$O114,DCC_Leg1_Fixed)))</f>
        <v>0</v>
      </c>
      <c r="BE113" s="268">
        <f>IF($O114,_xll.qDateYears($O113,$O114,DCC_Leg1_Float),0)</f>
        <v>0</v>
      </c>
      <c r="BG113" s="332">
        <f t="shared" si="59"/>
        <v>0</v>
      </c>
      <c r="BH113" s="357">
        <f t="shared" si="60"/>
        <v>0</v>
      </c>
      <c r="BI113" s="527"/>
      <c r="BK113" s="324">
        <f t="shared" si="65"/>
        <v>0</v>
      </c>
      <c r="BM113" s="338"/>
      <c r="BN113" s="121">
        <v>0</v>
      </c>
      <c r="BO113" s="755">
        <f t="shared" si="38"/>
        <v>0</v>
      </c>
      <c r="BP113" s="339">
        <v>0</v>
      </c>
      <c r="BQ113" s="890">
        <f>IF(BN114=0,0,         IF(OR(Currency2="AUD",Currency1="NZD",Currency2="GBP"),BN113,   _xll.qDateNext(BN113,"-2b",,,IF(Currency2="EUR","TGT","LON"))))</f>
        <v>0</v>
      </c>
      <c r="BR113" s="879" t="str">
        <v/>
      </c>
      <c r="BS113" s="879" t="str">
        <v/>
      </c>
      <c r="BT113" s="879" t="str">
        <v/>
      </c>
      <c r="BU113" s="879" t="str">
        <v/>
      </c>
      <c r="BV113" s="879" t="str">
        <v/>
      </c>
      <c r="BW113" s="879" t="str">
        <v/>
      </c>
      <c r="BX113" s="879" t="str">
        <v/>
      </c>
      <c r="BY113" s="879" t="str">
        <v/>
      </c>
      <c r="BZ113" s="882">
        <f>IF($BN114=0,0,        _xll.qDateNext($BN113,BZ$17,$CG$16,TRUE,Currency2))</f>
        <v>0</v>
      </c>
      <c r="CA113" s="882">
        <f>IF($BN114=0,0,        _xll.qDateNext($BN113,CA$17,$CG$16,TRUE,Currency2))</f>
        <v>0</v>
      </c>
      <c r="CB113" s="882">
        <f>IF($BN114=0,0,        _xll.qDateNext($BN113,CB$17,$CG$16,TRUE,Currency2))</f>
        <v>0</v>
      </c>
      <c r="CC113" s="882">
        <f>IF($BN114=0,0,        _xll.qDateNext($BN113,CC$17,$CG$16,TRUE,Currency2))</f>
        <v>0</v>
      </c>
      <c r="CD113" s="882">
        <f>IF($BN114=0,0,        _xll.qDateNext($BN113,CD$17,$CG$16,TRUE,Currency2))</f>
        <v>0</v>
      </c>
      <c r="CE113" s="882">
        <f>IF($BN114=0,0,        _xll.qDateNext($BN113,CE$17,$CG$16,TRUE,Currency2))</f>
        <v>0</v>
      </c>
      <c r="CF113" s="882">
        <f>IF($BN114=0,0,        _xll.qDateNext($BN113,CF$17,$CG$16,TRUE,Currency2))</f>
        <v>0</v>
      </c>
      <c r="CG113" s="882">
        <f>IF($BN114=0,0,        _xll.qDateNext($BN113,CG$17,$CG$16,TRUE,Currency2))</f>
        <v>0</v>
      </c>
      <c r="CH113" s="886">
        <v>0</v>
      </c>
      <c r="CI113" s="886">
        <v>0</v>
      </c>
      <c r="CJ113" s="886">
        <v>0</v>
      </c>
      <c r="CK113" s="886">
        <v>0</v>
      </c>
      <c r="CL113" s="886">
        <f t="shared" si="61"/>
        <v>0</v>
      </c>
      <c r="CM113" s="886">
        <f t="shared" si="62"/>
        <v>0</v>
      </c>
      <c r="CN113" s="886">
        <v>0</v>
      </c>
      <c r="CO113" s="886">
        <v>0</v>
      </c>
      <c r="CP113" s="648">
        <f t="shared" si="39"/>
        <v>0</v>
      </c>
      <c r="CQ113" s="648">
        <f t="shared" si="40"/>
        <v>0</v>
      </c>
      <c r="CR113" s="648">
        <f t="shared" si="41"/>
        <v>0</v>
      </c>
      <c r="CS113" s="648">
        <f t="shared" si="42"/>
        <v>0</v>
      </c>
      <c r="CT113" s="648">
        <f t="shared" si="43"/>
        <v>0</v>
      </c>
      <c r="CU113" s="648">
        <f t="shared" si="44"/>
        <v>0</v>
      </c>
      <c r="CV113" s="648">
        <f t="shared" si="45"/>
        <v>0</v>
      </c>
      <c r="CW113" s="648">
        <f t="shared" si="46"/>
        <v>0</v>
      </c>
      <c r="CX113" s="634">
        <v>0</v>
      </c>
      <c r="CY113" s="616"/>
      <c r="CZ113" s="619">
        <f>IF(BN114=0,0,             IF(ISNUMBER(CY113),CY113,             IF(ISTEXT(CY113),INDEX(CP113:CW113,MATCH(CY113,$CP$17:$CW$17,0)),           IF(CX113="INT",_xll.qInterp(BN114,BZ113:CG113,CP113:CW113),       INDEX(CP113:CW113,MATCH(CX113,$CP$17:$CW$17,0))))))</f>
        <v>0</v>
      </c>
      <c r="DA113" s="755">
        <f t="shared" si="47"/>
        <v>0</v>
      </c>
      <c r="DB113" s="387">
        <f t="shared" si="48"/>
        <v>0</v>
      </c>
      <c r="DC113" s="268">
        <f>IF($BN114=0,0,         IF(LEFT(DCC_Leg2_Fixed,2)="1/",uEvaluate(DCC_Leg2_Fixed),         _xll.qDateYears($BN113,$BN114,DCC_Leg2_Fixed)))</f>
        <v>0</v>
      </c>
      <c r="DD113" s="268">
        <f>IF($BN114,_xll.qDateYears($BN113,$BN114,DCC_Leg2_Float),0)</f>
        <v>0</v>
      </c>
      <c r="DF113" s="332">
        <f t="shared" si="63"/>
        <v>0</v>
      </c>
      <c r="DG113" s="357">
        <f t="shared" si="64"/>
        <v>0</v>
      </c>
      <c r="DH113" s="527"/>
      <c r="DJ113" s="324">
        <f t="shared" si="66"/>
        <v>0</v>
      </c>
      <c r="DK113" s="529"/>
      <c r="DL113" s="338"/>
    </row>
    <row r="114" spans="15:116">
      <c r="O114" s="121">
        <v>0</v>
      </c>
      <c r="P114" s="755">
        <f t="shared" si="35"/>
        <v>0</v>
      </c>
      <c r="Q114" s="125">
        <v>0</v>
      </c>
      <c r="R114" s="890">
        <f>IF(O115=0,0,         IF(OR(Currency1="AUD",Currency1="NZD",Currency1="GBP"),O114,   _xll.qDateNext(O114,"-2b",,,IF(Currency1="EUR","TGT","LON"))))</f>
        <v>0</v>
      </c>
      <c r="S114" s="879" t="str">
        <v/>
      </c>
      <c r="T114" s="879" t="str">
        <v/>
      </c>
      <c r="U114" s="879" t="str">
        <v/>
      </c>
      <c r="V114" s="879" t="str">
        <v/>
      </c>
      <c r="W114" s="879" t="str">
        <v/>
      </c>
      <c r="X114" s="879" t="str">
        <v/>
      </c>
      <c r="Y114" s="879" t="str">
        <v/>
      </c>
      <c r="Z114" s="879" t="str">
        <v/>
      </c>
      <c r="AA114" s="882">
        <f>IF($O115=0,0,        _xll.qDateNext($O114,AA$17,$AH$16,TRUE,Currency1))</f>
        <v>0</v>
      </c>
      <c r="AB114" s="882">
        <f>IF($O115=0,0,        _xll.qDateNext($O114,AB$17,$AH$16,TRUE,Currency1))</f>
        <v>0</v>
      </c>
      <c r="AC114" s="882">
        <f>IF($O115=0,0,        _xll.qDateNext($O114,AC$17,$AH$16,TRUE,Currency1))</f>
        <v>0</v>
      </c>
      <c r="AD114" s="882">
        <f>IF($O115=0,0,        _xll.qDateNext($O114,AD$17,$AH$16,TRUE,Currency1))</f>
        <v>0</v>
      </c>
      <c r="AE114" s="882">
        <f>IF($O115=0,0,        _xll.qDateNext($O114,AE$17,$AH$16,TRUE,Currency1))</f>
        <v>0</v>
      </c>
      <c r="AF114" s="882">
        <f>IF($O115=0,0,        _xll.qDateNext($O114,AF$17,$AH$16,TRUE,Currency1))</f>
        <v>0</v>
      </c>
      <c r="AG114" s="882">
        <f>IF($O115=0,0,        _xll.qDateNext($O114,AG$17,$AH$16,TRUE,Currency1))</f>
        <v>0</v>
      </c>
      <c r="AH114" s="882">
        <f>IF($O115=0,0,        _xll.qDateNext($O114,AH$17,$AH$16,TRUE,Currency1))</f>
        <v>0</v>
      </c>
      <c r="AI114" s="886">
        <f>IF($O115=0,0,           IF(FRM,_xll.qGetFwdRate(AI$14,$O114,AA114,"T",DCC_Leg1_Float),_xll.qGetFwdRate(AI$14,$O114,$O115,"T",DCC_Leg1_Float)))</f>
        <v>0</v>
      </c>
      <c r="AJ114" s="886">
        <f>IF($O115=0,0,           IF(FRM,_xll.qGetFwdRate(AJ$14,$O114,AB114,"T",DCC_Leg1_Float),_xll.qGetFwdRate(AJ$14,$O114,$O115,"T",DCC_Leg1_Float)))</f>
        <v>0</v>
      </c>
      <c r="AK114" s="886">
        <f t="shared" si="36"/>
        <v>0</v>
      </c>
      <c r="AL114" s="886">
        <f>IF($O115=0,0,           IF(FRM,_xll.qGetFwdRate(AL$14,$O114,AD114,"T",DCC_Leg1_Float),_xll.qGetFwdRate(AL$14,$O114,$O115,"T",DCC_Leg1_Float)))</f>
        <v>0</v>
      </c>
      <c r="AM114" s="886">
        <f t="shared" si="49"/>
        <v>0</v>
      </c>
      <c r="AN114" s="886">
        <f t="shared" si="50"/>
        <v>0</v>
      </c>
      <c r="AO114" s="886">
        <f>IF($O115=0,0,           IF(FRM,_xll.qGetFwdRate(AO$14,$O114,AG114,"T",DCC_Leg1_Float),_xll.qGetFwdRate(AO$14,$O114,$O115,"T",DCC_Leg1_Float)))</f>
        <v>0</v>
      </c>
      <c r="AP114" s="886">
        <f>IF($O115=0,0,           IF(FRM,_xll.qGetFwdRate(AP$14,$O114,AH114,"T",DCC_Leg1_Float),_xll.qGetFwdRate(AP$14,$O114,$O115,"T",DCC_Leg1_Float)))</f>
        <v>0</v>
      </c>
      <c r="AQ114" s="648">
        <f t="shared" si="51"/>
        <v>0</v>
      </c>
      <c r="AR114" s="648">
        <f t="shared" si="52"/>
        <v>0</v>
      </c>
      <c r="AS114" s="648">
        <f t="shared" si="53"/>
        <v>0</v>
      </c>
      <c r="AT114" s="648">
        <f t="shared" si="54"/>
        <v>0</v>
      </c>
      <c r="AU114" s="648">
        <f t="shared" si="55"/>
        <v>0</v>
      </c>
      <c r="AV114" s="648">
        <f t="shared" si="56"/>
        <v>0</v>
      </c>
      <c r="AW114" s="648">
        <f t="shared" si="57"/>
        <v>0</v>
      </c>
      <c r="AX114" s="648">
        <f t="shared" si="58"/>
        <v>0</v>
      </c>
      <c r="AY114" s="634">
        <v>0</v>
      </c>
      <c r="AZ114" s="616"/>
      <c r="BA114" s="619">
        <f>IF(O115=0,0,             IF(ISNUMBER(AZ114),AZ114,             IF(ISTEXT(AZ114),INDEX(AQ114:AX114,MATCH(AZ114,$AQ$17:$AX$17,0)),           IF(AY114="INT",_xll.qInterp(O115,AA114:AH114,AQ114:AX114),       INDEX(AQ114:AX114,MATCH(AY114,$AQ$17:$AX$17,0))))))</f>
        <v>0</v>
      </c>
      <c r="BB114" s="674">
        <v>100</v>
      </c>
      <c r="BC114" s="666">
        <f t="shared" si="37"/>
        <v>0</v>
      </c>
      <c r="BD114" s="268">
        <f>IF($O115=0,0,                IF(LEFT(DCC_Leg1_Fixed,2)="1/",uEvaluate(DCC_Leg1_Fixed),        _xll.qDateYears($O114,$O115,DCC_Leg1_Fixed)))</f>
        <v>0</v>
      </c>
      <c r="BE114" s="268">
        <f>IF($O115,_xll.qDateYears($O114,$O115,DCC_Leg1_Float),0)</f>
        <v>0</v>
      </c>
      <c r="BG114" s="332">
        <f t="shared" si="59"/>
        <v>0</v>
      </c>
      <c r="BH114" s="357">
        <f t="shared" si="60"/>
        <v>0</v>
      </c>
      <c r="BI114" s="527"/>
      <c r="BK114" s="324">
        <f t="shared" si="65"/>
        <v>0</v>
      </c>
      <c r="BM114" s="338"/>
      <c r="BN114" s="121">
        <v>0</v>
      </c>
      <c r="BO114" s="755">
        <f t="shared" si="38"/>
        <v>0</v>
      </c>
      <c r="BP114" s="339">
        <v>0</v>
      </c>
      <c r="BQ114" s="890">
        <f>IF(BN115=0,0,         IF(OR(Currency2="AUD",Currency1="NZD",Currency2="GBP"),BN114,   _xll.qDateNext(BN114,"-2b",,,IF(Currency2="EUR","TGT","LON"))))</f>
        <v>0</v>
      </c>
      <c r="BR114" s="879" t="str">
        <v/>
      </c>
      <c r="BS114" s="879" t="str">
        <v/>
      </c>
      <c r="BT114" s="879" t="str">
        <v/>
      </c>
      <c r="BU114" s="879" t="str">
        <v/>
      </c>
      <c r="BV114" s="879" t="str">
        <v/>
      </c>
      <c r="BW114" s="879" t="str">
        <v/>
      </c>
      <c r="BX114" s="879" t="str">
        <v/>
      </c>
      <c r="BY114" s="879" t="str">
        <v/>
      </c>
      <c r="BZ114" s="882">
        <f>IF($BN115=0,0,        _xll.qDateNext($BN114,BZ$17,$CG$16,TRUE,Currency2))</f>
        <v>0</v>
      </c>
      <c r="CA114" s="882">
        <f>IF($BN115=0,0,        _xll.qDateNext($BN114,CA$17,$CG$16,TRUE,Currency2))</f>
        <v>0</v>
      </c>
      <c r="CB114" s="882">
        <f>IF($BN115=0,0,        _xll.qDateNext($BN114,CB$17,$CG$16,TRUE,Currency2))</f>
        <v>0</v>
      </c>
      <c r="CC114" s="882">
        <f>IF($BN115=0,0,        _xll.qDateNext($BN114,CC$17,$CG$16,TRUE,Currency2))</f>
        <v>0</v>
      </c>
      <c r="CD114" s="882">
        <f>IF($BN115=0,0,        _xll.qDateNext($BN114,CD$17,$CG$16,TRUE,Currency2))</f>
        <v>0</v>
      </c>
      <c r="CE114" s="882">
        <f>IF($BN115=0,0,        _xll.qDateNext($BN114,CE$17,$CG$16,TRUE,Currency2))</f>
        <v>0</v>
      </c>
      <c r="CF114" s="882">
        <f>IF($BN115=0,0,        _xll.qDateNext($BN114,CF$17,$CG$16,TRUE,Currency2))</f>
        <v>0</v>
      </c>
      <c r="CG114" s="882">
        <f>IF($BN115=0,0,        _xll.qDateNext($BN114,CG$17,$CG$16,TRUE,Currency2))</f>
        <v>0</v>
      </c>
      <c r="CH114" s="886">
        <v>0</v>
      </c>
      <c r="CI114" s="886">
        <v>0</v>
      </c>
      <c r="CJ114" s="886">
        <v>0</v>
      </c>
      <c r="CK114" s="886">
        <v>0</v>
      </c>
      <c r="CL114" s="886">
        <f t="shared" si="61"/>
        <v>0</v>
      </c>
      <c r="CM114" s="886">
        <f t="shared" si="62"/>
        <v>0</v>
      </c>
      <c r="CN114" s="886">
        <v>0</v>
      </c>
      <c r="CO114" s="886">
        <v>0</v>
      </c>
      <c r="CP114" s="648">
        <f t="shared" si="39"/>
        <v>0</v>
      </c>
      <c r="CQ114" s="648">
        <f t="shared" si="40"/>
        <v>0</v>
      </c>
      <c r="CR114" s="648">
        <f t="shared" si="41"/>
        <v>0</v>
      </c>
      <c r="CS114" s="648">
        <f t="shared" si="42"/>
        <v>0</v>
      </c>
      <c r="CT114" s="648">
        <f t="shared" si="43"/>
        <v>0</v>
      </c>
      <c r="CU114" s="648">
        <f t="shared" si="44"/>
        <v>0</v>
      </c>
      <c r="CV114" s="648">
        <f t="shared" si="45"/>
        <v>0</v>
      </c>
      <c r="CW114" s="648">
        <f t="shared" si="46"/>
        <v>0</v>
      </c>
      <c r="CX114" s="634">
        <v>0</v>
      </c>
      <c r="CY114" s="616"/>
      <c r="CZ114" s="619">
        <f>IF(BN115=0,0,             IF(ISNUMBER(CY114),CY114,             IF(ISTEXT(CY114),INDEX(CP114:CW114,MATCH(CY114,$CP$17:$CW$17,0)),           IF(CX114="INT",_xll.qInterp(BN115,BZ114:CG114,CP114:CW114),       INDEX(CP114:CW114,MATCH(CX114,$CP$17:$CW$17,0))))))</f>
        <v>0</v>
      </c>
      <c r="DA114" s="755">
        <f t="shared" si="47"/>
        <v>0</v>
      </c>
      <c r="DB114" s="387">
        <f t="shared" si="48"/>
        <v>0</v>
      </c>
      <c r="DC114" s="268">
        <f>IF($BN115=0,0,         IF(LEFT(DCC_Leg2_Fixed,2)="1/",uEvaluate(DCC_Leg2_Fixed),         _xll.qDateYears($BN114,$BN115,DCC_Leg2_Fixed)))</f>
        <v>0</v>
      </c>
      <c r="DD114" s="268">
        <f>IF($BN115,_xll.qDateYears($BN114,$BN115,DCC_Leg2_Float),0)</f>
        <v>0</v>
      </c>
      <c r="DF114" s="332">
        <f t="shared" si="63"/>
        <v>0</v>
      </c>
      <c r="DG114" s="357">
        <f t="shared" si="64"/>
        <v>0</v>
      </c>
      <c r="DH114" s="527"/>
      <c r="DJ114" s="324">
        <f t="shared" si="66"/>
        <v>0</v>
      </c>
      <c r="DK114" s="529"/>
      <c r="DL114" s="338"/>
    </row>
    <row r="115" spans="15:116">
      <c r="O115" s="121">
        <v>0</v>
      </c>
      <c r="P115" s="755">
        <f t="shared" si="35"/>
        <v>0</v>
      </c>
      <c r="Q115" s="125">
        <v>0</v>
      </c>
      <c r="R115" s="890">
        <f>IF(O116=0,0,         IF(OR(Currency1="AUD",Currency1="NZD",Currency1="GBP"),O115,   _xll.qDateNext(O115,"-2b",,,IF(Currency1="EUR","TGT","LON"))))</f>
        <v>0</v>
      </c>
      <c r="S115" s="879" t="str">
        <v/>
      </c>
      <c r="T115" s="879" t="str">
        <v/>
      </c>
      <c r="U115" s="879" t="str">
        <v/>
      </c>
      <c r="V115" s="879" t="str">
        <v/>
      </c>
      <c r="W115" s="879" t="str">
        <v/>
      </c>
      <c r="X115" s="879" t="str">
        <v/>
      </c>
      <c r="Y115" s="879" t="str">
        <v/>
      </c>
      <c r="Z115" s="879" t="str">
        <v/>
      </c>
      <c r="AA115" s="882">
        <f>IF($O116=0,0,        _xll.qDateNext($O115,AA$17,$AH$16,TRUE,Currency1))</f>
        <v>0</v>
      </c>
      <c r="AB115" s="882">
        <f>IF($O116=0,0,        _xll.qDateNext($O115,AB$17,$AH$16,TRUE,Currency1))</f>
        <v>0</v>
      </c>
      <c r="AC115" s="882">
        <f>IF($O116=0,0,        _xll.qDateNext($O115,AC$17,$AH$16,TRUE,Currency1))</f>
        <v>0</v>
      </c>
      <c r="AD115" s="882">
        <f>IF($O116=0,0,        _xll.qDateNext($O115,AD$17,$AH$16,TRUE,Currency1))</f>
        <v>0</v>
      </c>
      <c r="AE115" s="882">
        <f>IF($O116=0,0,        _xll.qDateNext($O115,AE$17,$AH$16,TRUE,Currency1))</f>
        <v>0</v>
      </c>
      <c r="AF115" s="882">
        <f>IF($O116=0,0,        _xll.qDateNext($O115,AF$17,$AH$16,TRUE,Currency1))</f>
        <v>0</v>
      </c>
      <c r="AG115" s="882">
        <f>IF($O116=0,0,        _xll.qDateNext($O115,AG$17,$AH$16,TRUE,Currency1))</f>
        <v>0</v>
      </c>
      <c r="AH115" s="882">
        <f>IF($O116=0,0,        _xll.qDateNext($O115,AH$17,$AH$16,TRUE,Currency1))</f>
        <v>0</v>
      </c>
      <c r="AI115" s="886">
        <f>IF($O116=0,0,           IF(FRM,_xll.qGetFwdRate(AI$14,$O115,AA115,"T",DCC_Leg1_Float),_xll.qGetFwdRate(AI$14,$O115,$O116,"T",DCC_Leg1_Float)))</f>
        <v>0</v>
      </c>
      <c r="AJ115" s="886">
        <f>IF($O116=0,0,           IF(FRM,_xll.qGetFwdRate(AJ$14,$O115,AB115,"T",DCC_Leg1_Float),_xll.qGetFwdRate(AJ$14,$O115,$O116,"T",DCC_Leg1_Float)))</f>
        <v>0</v>
      </c>
      <c r="AK115" s="886">
        <f t="shared" si="36"/>
        <v>0</v>
      </c>
      <c r="AL115" s="886">
        <f>IF($O116=0,0,           IF(FRM,_xll.qGetFwdRate(AL$14,$O115,AD115,"T",DCC_Leg1_Float),_xll.qGetFwdRate(AL$14,$O115,$O116,"T",DCC_Leg1_Float)))</f>
        <v>0</v>
      </c>
      <c r="AM115" s="886">
        <f t="shared" si="49"/>
        <v>0</v>
      </c>
      <c r="AN115" s="886">
        <f t="shared" si="50"/>
        <v>0</v>
      </c>
      <c r="AO115" s="886">
        <f>IF($O116=0,0,           IF(FRM,_xll.qGetFwdRate(AO$14,$O115,AG115,"T",DCC_Leg1_Float),_xll.qGetFwdRate(AO$14,$O115,$O116,"T",DCC_Leg1_Float)))</f>
        <v>0</v>
      </c>
      <c r="AP115" s="886">
        <f>IF($O116=0,0,           IF(FRM,_xll.qGetFwdRate(AP$14,$O115,AH115,"T",DCC_Leg1_Float),_xll.qGetFwdRate(AP$14,$O115,$O116,"T",DCC_Leg1_Float)))</f>
        <v>0</v>
      </c>
      <c r="AQ115" s="648">
        <f t="shared" si="51"/>
        <v>0</v>
      </c>
      <c r="AR115" s="648">
        <f t="shared" si="52"/>
        <v>0</v>
      </c>
      <c r="AS115" s="648">
        <f t="shared" si="53"/>
        <v>0</v>
      </c>
      <c r="AT115" s="648">
        <f t="shared" si="54"/>
        <v>0</v>
      </c>
      <c r="AU115" s="648">
        <f t="shared" si="55"/>
        <v>0</v>
      </c>
      <c r="AV115" s="648">
        <f t="shared" si="56"/>
        <v>0</v>
      </c>
      <c r="AW115" s="648">
        <f t="shared" si="57"/>
        <v>0</v>
      </c>
      <c r="AX115" s="648">
        <f t="shared" si="58"/>
        <v>0</v>
      </c>
      <c r="AY115" s="634">
        <v>0</v>
      </c>
      <c r="AZ115" s="616"/>
      <c r="BA115" s="619">
        <f>IF(O116=0,0,             IF(ISNUMBER(AZ115),AZ115,             IF(ISTEXT(AZ115),INDEX(AQ115:AX115,MATCH(AZ115,$AQ$17:$AX$17,0)),           IF(AY115="INT",_xll.qInterp(O116,AA115:AH115,AQ115:AX115),       INDEX(AQ115:AX115,MATCH(AY115,$AQ$17:$AX$17,0))))))</f>
        <v>0</v>
      </c>
      <c r="BB115" s="674">
        <v>100</v>
      </c>
      <c r="BC115" s="666">
        <f t="shared" si="37"/>
        <v>0</v>
      </c>
      <c r="BD115" s="268">
        <f>IF($O116=0,0,                IF(LEFT(DCC_Leg1_Fixed,2)="1/",uEvaluate(DCC_Leg1_Fixed),        _xll.qDateYears($O115,$O116,DCC_Leg1_Fixed)))</f>
        <v>0</v>
      </c>
      <c r="BE115" s="268">
        <f>IF($O116,_xll.qDateYears($O115,$O116,DCC_Leg1_Float),0)</f>
        <v>0</v>
      </c>
      <c r="BG115" s="332">
        <f t="shared" si="59"/>
        <v>0</v>
      </c>
      <c r="BH115" s="357">
        <f t="shared" si="60"/>
        <v>0</v>
      </c>
      <c r="BI115" s="527"/>
      <c r="BK115" s="324">
        <f t="shared" si="65"/>
        <v>0</v>
      </c>
      <c r="BM115" s="338"/>
      <c r="BN115" s="121">
        <v>0</v>
      </c>
      <c r="BO115" s="755">
        <f t="shared" si="38"/>
        <v>0</v>
      </c>
      <c r="BP115" s="339">
        <v>0</v>
      </c>
      <c r="BQ115" s="890">
        <f>IF(BN116=0,0,         IF(OR(Currency2="AUD",Currency1="NZD",Currency2="GBP"),BN115,   _xll.qDateNext(BN115,"-2b",,,IF(Currency2="EUR","TGT","LON"))))</f>
        <v>0</v>
      </c>
      <c r="BR115" s="879" t="str">
        <v/>
      </c>
      <c r="BS115" s="879" t="str">
        <v/>
      </c>
      <c r="BT115" s="879" t="str">
        <v/>
      </c>
      <c r="BU115" s="879" t="str">
        <v/>
      </c>
      <c r="BV115" s="879" t="str">
        <v/>
      </c>
      <c r="BW115" s="879" t="str">
        <v/>
      </c>
      <c r="BX115" s="879" t="str">
        <v/>
      </c>
      <c r="BY115" s="879" t="str">
        <v/>
      </c>
      <c r="BZ115" s="882">
        <f>IF($BN116=0,0,        _xll.qDateNext($BN115,BZ$17,$CG$16,TRUE,Currency2))</f>
        <v>0</v>
      </c>
      <c r="CA115" s="882">
        <f>IF($BN116=0,0,        _xll.qDateNext($BN115,CA$17,$CG$16,TRUE,Currency2))</f>
        <v>0</v>
      </c>
      <c r="CB115" s="882">
        <f>IF($BN116=0,0,        _xll.qDateNext($BN115,CB$17,$CG$16,TRUE,Currency2))</f>
        <v>0</v>
      </c>
      <c r="CC115" s="882">
        <f>IF($BN116=0,0,        _xll.qDateNext($BN115,CC$17,$CG$16,TRUE,Currency2))</f>
        <v>0</v>
      </c>
      <c r="CD115" s="882">
        <f>IF($BN116=0,0,        _xll.qDateNext($BN115,CD$17,$CG$16,TRUE,Currency2))</f>
        <v>0</v>
      </c>
      <c r="CE115" s="882">
        <f>IF($BN116=0,0,        _xll.qDateNext($BN115,CE$17,$CG$16,TRUE,Currency2))</f>
        <v>0</v>
      </c>
      <c r="CF115" s="882">
        <f>IF($BN116=0,0,        _xll.qDateNext($BN115,CF$17,$CG$16,TRUE,Currency2))</f>
        <v>0</v>
      </c>
      <c r="CG115" s="882">
        <f>IF($BN116=0,0,        _xll.qDateNext($BN115,CG$17,$CG$16,TRUE,Currency2))</f>
        <v>0</v>
      </c>
      <c r="CH115" s="886">
        <v>0</v>
      </c>
      <c r="CI115" s="886">
        <v>0</v>
      </c>
      <c r="CJ115" s="886">
        <v>0</v>
      </c>
      <c r="CK115" s="886">
        <v>0</v>
      </c>
      <c r="CL115" s="886">
        <f t="shared" si="61"/>
        <v>0</v>
      </c>
      <c r="CM115" s="886">
        <f t="shared" si="62"/>
        <v>0</v>
      </c>
      <c r="CN115" s="886">
        <v>0</v>
      </c>
      <c r="CO115" s="886">
        <v>0</v>
      </c>
      <c r="CP115" s="648">
        <f t="shared" si="39"/>
        <v>0</v>
      </c>
      <c r="CQ115" s="648">
        <f t="shared" si="40"/>
        <v>0</v>
      </c>
      <c r="CR115" s="648">
        <f t="shared" si="41"/>
        <v>0</v>
      </c>
      <c r="CS115" s="648">
        <f t="shared" si="42"/>
        <v>0</v>
      </c>
      <c r="CT115" s="648">
        <f t="shared" si="43"/>
        <v>0</v>
      </c>
      <c r="CU115" s="648">
        <f t="shared" si="44"/>
        <v>0</v>
      </c>
      <c r="CV115" s="648">
        <f t="shared" si="45"/>
        <v>0</v>
      </c>
      <c r="CW115" s="648">
        <f t="shared" si="46"/>
        <v>0</v>
      </c>
      <c r="CX115" s="634">
        <v>0</v>
      </c>
      <c r="CY115" s="616"/>
      <c r="CZ115" s="619">
        <f>IF(BN116=0,0,             IF(ISNUMBER(CY115),CY115,             IF(ISTEXT(CY115),INDEX(CP115:CW115,MATCH(CY115,$CP$17:$CW$17,0)),           IF(CX115="INT",_xll.qInterp(BN116,BZ115:CG115,CP115:CW115),       INDEX(CP115:CW115,MATCH(CX115,$CP$17:$CW$17,0))))))</f>
        <v>0</v>
      </c>
      <c r="DA115" s="755">
        <f t="shared" si="47"/>
        <v>0</v>
      </c>
      <c r="DB115" s="387">
        <f t="shared" si="48"/>
        <v>0</v>
      </c>
      <c r="DC115" s="268">
        <f>IF($BN116=0,0,         IF(LEFT(DCC_Leg2_Fixed,2)="1/",uEvaluate(DCC_Leg2_Fixed),         _xll.qDateYears($BN115,$BN116,DCC_Leg2_Fixed)))</f>
        <v>0</v>
      </c>
      <c r="DD115" s="268">
        <f>IF($BN116,_xll.qDateYears($BN115,$BN116,DCC_Leg2_Float),0)</f>
        <v>0</v>
      </c>
      <c r="DF115" s="332">
        <f t="shared" si="63"/>
        <v>0</v>
      </c>
      <c r="DG115" s="357">
        <f t="shared" si="64"/>
        <v>0</v>
      </c>
      <c r="DH115" s="527"/>
      <c r="DJ115" s="324">
        <f t="shared" si="66"/>
        <v>0</v>
      </c>
      <c r="DK115" s="529"/>
      <c r="DL115" s="338"/>
    </row>
    <row r="116" spans="15:116">
      <c r="O116" s="121">
        <v>0</v>
      </c>
      <c r="P116" s="755">
        <f t="shared" si="35"/>
        <v>0</v>
      </c>
      <c r="Q116" s="125">
        <v>0</v>
      </c>
      <c r="R116" s="890">
        <f>IF(O117=0,0,         IF(OR(Currency1="AUD",Currency1="NZD",Currency1="GBP"),O116,   _xll.qDateNext(O116,"-2b",,,IF(Currency1="EUR","TGT","LON"))))</f>
        <v>0</v>
      </c>
      <c r="S116" s="879" t="str">
        <v/>
      </c>
      <c r="T116" s="879" t="str">
        <v/>
      </c>
      <c r="U116" s="879" t="str">
        <v/>
      </c>
      <c r="V116" s="879" t="str">
        <v/>
      </c>
      <c r="W116" s="879" t="str">
        <v/>
      </c>
      <c r="X116" s="879" t="str">
        <v/>
      </c>
      <c r="Y116" s="879" t="str">
        <v/>
      </c>
      <c r="Z116" s="879" t="str">
        <v/>
      </c>
      <c r="AA116" s="882">
        <f>IF($O117=0,0,        _xll.qDateNext($O116,AA$17,$AH$16,TRUE,Currency1))</f>
        <v>0</v>
      </c>
      <c r="AB116" s="882">
        <f>IF($O117=0,0,        _xll.qDateNext($O116,AB$17,$AH$16,TRUE,Currency1))</f>
        <v>0</v>
      </c>
      <c r="AC116" s="882">
        <f>IF($O117=0,0,        _xll.qDateNext($O116,AC$17,$AH$16,TRUE,Currency1))</f>
        <v>0</v>
      </c>
      <c r="AD116" s="882">
        <f>IF($O117=0,0,        _xll.qDateNext($O116,AD$17,$AH$16,TRUE,Currency1))</f>
        <v>0</v>
      </c>
      <c r="AE116" s="882">
        <f>IF($O117=0,0,        _xll.qDateNext($O116,AE$17,$AH$16,TRUE,Currency1))</f>
        <v>0</v>
      </c>
      <c r="AF116" s="882">
        <f>IF($O117=0,0,        _xll.qDateNext($O116,AF$17,$AH$16,TRUE,Currency1))</f>
        <v>0</v>
      </c>
      <c r="AG116" s="882">
        <f>IF($O117=0,0,        _xll.qDateNext($O116,AG$17,$AH$16,TRUE,Currency1))</f>
        <v>0</v>
      </c>
      <c r="AH116" s="882">
        <f>IF($O117=0,0,        _xll.qDateNext($O116,AH$17,$AH$16,TRUE,Currency1))</f>
        <v>0</v>
      </c>
      <c r="AI116" s="886">
        <f>IF($O117=0,0,           IF(FRM,_xll.qGetFwdRate(AI$14,$O116,AA116,"T",DCC_Leg1_Float),_xll.qGetFwdRate(AI$14,$O116,$O117,"T",DCC_Leg1_Float)))</f>
        <v>0</v>
      </c>
      <c r="AJ116" s="886">
        <f>IF($O117=0,0,           IF(FRM,_xll.qGetFwdRate(AJ$14,$O116,AB116,"T",DCC_Leg1_Float),_xll.qGetFwdRate(AJ$14,$O116,$O117,"T",DCC_Leg1_Float)))</f>
        <v>0</v>
      </c>
      <c r="AK116" s="886">
        <f t="shared" si="36"/>
        <v>0</v>
      </c>
      <c r="AL116" s="886">
        <f>IF($O117=0,0,           IF(FRM,_xll.qGetFwdRate(AL$14,$O116,AD116,"T",DCC_Leg1_Float),_xll.qGetFwdRate(AL$14,$O116,$O117,"T",DCC_Leg1_Float)))</f>
        <v>0</v>
      </c>
      <c r="AM116" s="886">
        <f t="shared" si="49"/>
        <v>0</v>
      </c>
      <c r="AN116" s="886">
        <f t="shared" si="50"/>
        <v>0</v>
      </c>
      <c r="AO116" s="886">
        <f>IF($O117=0,0,           IF(FRM,_xll.qGetFwdRate(AO$14,$O116,AG116,"T",DCC_Leg1_Float),_xll.qGetFwdRate(AO$14,$O116,$O117,"T",DCC_Leg1_Float)))</f>
        <v>0</v>
      </c>
      <c r="AP116" s="886">
        <f>IF($O117=0,0,           IF(FRM,_xll.qGetFwdRate(AP$14,$O116,AH116,"T",DCC_Leg1_Float),_xll.qGetFwdRate(AP$14,$O116,$O117,"T",DCC_Leg1_Float)))</f>
        <v>0</v>
      </c>
      <c r="AQ116" s="648">
        <f t="shared" si="51"/>
        <v>0</v>
      </c>
      <c r="AR116" s="648">
        <f t="shared" si="52"/>
        <v>0</v>
      </c>
      <c r="AS116" s="648">
        <f t="shared" si="53"/>
        <v>0</v>
      </c>
      <c r="AT116" s="648">
        <f t="shared" si="54"/>
        <v>0</v>
      </c>
      <c r="AU116" s="648">
        <f t="shared" si="55"/>
        <v>0</v>
      </c>
      <c r="AV116" s="648">
        <f t="shared" si="56"/>
        <v>0</v>
      </c>
      <c r="AW116" s="648">
        <f t="shared" si="57"/>
        <v>0</v>
      </c>
      <c r="AX116" s="648">
        <f t="shared" si="58"/>
        <v>0</v>
      </c>
      <c r="AY116" s="634">
        <v>0</v>
      </c>
      <c r="AZ116" s="616"/>
      <c r="BA116" s="619">
        <f>IF(O117=0,0,             IF(ISNUMBER(AZ116),AZ116,             IF(ISTEXT(AZ116),INDEX(AQ116:AX116,MATCH(AZ116,$AQ$17:$AX$17,0)),           IF(AY116="INT",_xll.qInterp(O117,AA116:AH116,AQ116:AX116),       INDEX(AQ116:AX116,MATCH(AY116,$AQ$17:$AX$17,0))))))</f>
        <v>0</v>
      </c>
      <c r="BB116" s="674">
        <v>100</v>
      </c>
      <c r="BC116" s="666">
        <f t="shared" si="37"/>
        <v>0</v>
      </c>
      <c r="BD116" s="268">
        <f>IF($O117=0,0,                IF(LEFT(DCC_Leg1_Fixed,2)="1/",uEvaluate(DCC_Leg1_Fixed),        _xll.qDateYears($O116,$O117,DCC_Leg1_Fixed)))</f>
        <v>0</v>
      </c>
      <c r="BE116" s="268">
        <f>IF($O117,_xll.qDateYears($O116,$O117,DCC_Leg1_Float),0)</f>
        <v>0</v>
      </c>
      <c r="BG116" s="332">
        <f t="shared" si="59"/>
        <v>0</v>
      </c>
      <c r="BH116" s="357">
        <f t="shared" si="60"/>
        <v>0</v>
      </c>
      <c r="BI116" s="527"/>
      <c r="BK116" s="324">
        <f t="shared" si="65"/>
        <v>0</v>
      </c>
      <c r="BM116" s="338"/>
      <c r="BN116" s="121">
        <v>0</v>
      </c>
      <c r="BO116" s="755">
        <f t="shared" si="38"/>
        <v>0</v>
      </c>
      <c r="BP116" s="339">
        <v>0</v>
      </c>
      <c r="BQ116" s="890">
        <f>IF(BN117=0,0,         IF(OR(Currency2="AUD",Currency1="NZD",Currency2="GBP"),BN116,   _xll.qDateNext(BN116,"-2b",,,IF(Currency2="EUR","TGT","LON"))))</f>
        <v>0</v>
      </c>
      <c r="BR116" s="879" t="str">
        <v/>
      </c>
      <c r="BS116" s="879" t="str">
        <v/>
      </c>
      <c r="BT116" s="879" t="str">
        <v/>
      </c>
      <c r="BU116" s="879" t="str">
        <v/>
      </c>
      <c r="BV116" s="879" t="str">
        <v/>
      </c>
      <c r="BW116" s="879" t="str">
        <v/>
      </c>
      <c r="BX116" s="879" t="str">
        <v/>
      </c>
      <c r="BY116" s="879" t="str">
        <v/>
      </c>
      <c r="BZ116" s="882">
        <f>IF($BN117=0,0,        _xll.qDateNext($BN116,BZ$17,$CG$16,TRUE,Currency2))</f>
        <v>0</v>
      </c>
      <c r="CA116" s="882">
        <f>IF($BN117=0,0,        _xll.qDateNext($BN116,CA$17,$CG$16,TRUE,Currency2))</f>
        <v>0</v>
      </c>
      <c r="CB116" s="882">
        <f>IF($BN117=0,0,        _xll.qDateNext($BN116,CB$17,$CG$16,TRUE,Currency2))</f>
        <v>0</v>
      </c>
      <c r="CC116" s="882">
        <f>IF($BN117=0,0,        _xll.qDateNext($BN116,CC$17,$CG$16,TRUE,Currency2))</f>
        <v>0</v>
      </c>
      <c r="CD116" s="882">
        <f>IF($BN117=0,0,        _xll.qDateNext($BN116,CD$17,$CG$16,TRUE,Currency2))</f>
        <v>0</v>
      </c>
      <c r="CE116" s="882">
        <f>IF($BN117=0,0,        _xll.qDateNext($BN116,CE$17,$CG$16,TRUE,Currency2))</f>
        <v>0</v>
      </c>
      <c r="CF116" s="882">
        <f>IF($BN117=0,0,        _xll.qDateNext($BN116,CF$17,$CG$16,TRUE,Currency2))</f>
        <v>0</v>
      </c>
      <c r="CG116" s="882">
        <f>IF($BN117=0,0,        _xll.qDateNext($BN116,CG$17,$CG$16,TRUE,Currency2))</f>
        <v>0</v>
      </c>
      <c r="CH116" s="886">
        <v>0</v>
      </c>
      <c r="CI116" s="886">
        <v>0</v>
      </c>
      <c r="CJ116" s="886">
        <v>0</v>
      </c>
      <c r="CK116" s="886">
        <v>0</v>
      </c>
      <c r="CL116" s="886">
        <f t="shared" si="61"/>
        <v>0</v>
      </c>
      <c r="CM116" s="886">
        <f t="shared" si="62"/>
        <v>0</v>
      </c>
      <c r="CN116" s="886">
        <v>0</v>
      </c>
      <c r="CO116" s="886">
        <v>0</v>
      </c>
      <c r="CP116" s="648">
        <f t="shared" si="39"/>
        <v>0</v>
      </c>
      <c r="CQ116" s="648">
        <f t="shared" si="40"/>
        <v>0</v>
      </c>
      <c r="CR116" s="648">
        <f t="shared" si="41"/>
        <v>0</v>
      </c>
      <c r="CS116" s="648">
        <f t="shared" si="42"/>
        <v>0</v>
      </c>
      <c r="CT116" s="648">
        <f t="shared" si="43"/>
        <v>0</v>
      </c>
      <c r="CU116" s="648">
        <f t="shared" si="44"/>
        <v>0</v>
      </c>
      <c r="CV116" s="648">
        <f t="shared" si="45"/>
        <v>0</v>
      </c>
      <c r="CW116" s="648">
        <f t="shared" si="46"/>
        <v>0</v>
      </c>
      <c r="CX116" s="634">
        <v>0</v>
      </c>
      <c r="CY116" s="616"/>
      <c r="CZ116" s="619">
        <f>IF(BN117=0,0,             IF(ISNUMBER(CY116),CY116,             IF(ISTEXT(CY116),INDEX(CP116:CW116,MATCH(CY116,$CP$17:$CW$17,0)),           IF(CX116="INT",_xll.qInterp(BN117,BZ116:CG116,CP116:CW116),       INDEX(CP116:CW116,MATCH(CX116,$CP$17:$CW$17,0))))))</f>
        <v>0</v>
      </c>
      <c r="DA116" s="755">
        <f t="shared" si="47"/>
        <v>0</v>
      </c>
      <c r="DB116" s="387">
        <f t="shared" si="48"/>
        <v>0</v>
      </c>
      <c r="DC116" s="268">
        <f>IF($BN117=0,0,         IF(LEFT(DCC_Leg2_Fixed,2)="1/",uEvaluate(DCC_Leg2_Fixed),         _xll.qDateYears($BN116,$BN117,DCC_Leg2_Fixed)))</f>
        <v>0</v>
      </c>
      <c r="DD116" s="268">
        <f>IF($BN117,_xll.qDateYears($BN116,$BN117,DCC_Leg2_Float),0)</f>
        <v>0</v>
      </c>
      <c r="DF116" s="332">
        <f t="shared" si="63"/>
        <v>0</v>
      </c>
      <c r="DG116" s="357">
        <f t="shared" si="64"/>
        <v>0</v>
      </c>
      <c r="DH116" s="527"/>
      <c r="DJ116" s="324">
        <f t="shared" si="66"/>
        <v>0</v>
      </c>
      <c r="DK116" s="529"/>
      <c r="DL116" s="338"/>
    </row>
    <row r="117" spans="15:116">
      <c r="O117" s="121">
        <v>0</v>
      </c>
      <c r="P117" s="755">
        <f t="shared" si="35"/>
        <v>0</v>
      </c>
      <c r="Q117" s="125">
        <v>0</v>
      </c>
      <c r="R117" s="890">
        <f>IF(O118=0,0,         IF(OR(Currency1="AUD",Currency1="NZD",Currency1="GBP"),O117,   _xll.qDateNext(O117,"-2b",,,IF(Currency1="EUR","TGT","LON"))))</f>
        <v>0</v>
      </c>
      <c r="S117" s="879" t="str">
        <v/>
      </c>
      <c r="T117" s="879" t="str">
        <v/>
      </c>
      <c r="U117" s="879" t="str">
        <v/>
      </c>
      <c r="V117" s="879" t="str">
        <v/>
      </c>
      <c r="W117" s="879" t="str">
        <v/>
      </c>
      <c r="X117" s="879" t="str">
        <v/>
      </c>
      <c r="Y117" s="879" t="str">
        <v/>
      </c>
      <c r="Z117" s="879" t="str">
        <v/>
      </c>
      <c r="AA117" s="882">
        <f>IF($O118=0,0,        _xll.qDateNext($O117,AA$17,$AH$16,TRUE,Currency1))</f>
        <v>0</v>
      </c>
      <c r="AB117" s="882">
        <f>IF($O118=0,0,        _xll.qDateNext($O117,AB$17,$AH$16,TRUE,Currency1))</f>
        <v>0</v>
      </c>
      <c r="AC117" s="882">
        <f>IF($O118=0,0,        _xll.qDateNext($O117,AC$17,$AH$16,TRUE,Currency1))</f>
        <v>0</v>
      </c>
      <c r="AD117" s="882">
        <f>IF($O118=0,0,        _xll.qDateNext($O117,AD$17,$AH$16,TRUE,Currency1))</f>
        <v>0</v>
      </c>
      <c r="AE117" s="882">
        <f>IF($O118=0,0,        _xll.qDateNext($O117,AE$17,$AH$16,TRUE,Currency1))</f>
        <v>0</v>
      </c>
      <c r="AF117" s="882">
        <f>IF($O118=0,0,        _xll.qDateNext($O117,AF$17,$AH$16,TRUE,Currency1))</f>
        <v>0</v>
      </c>
      <c r="AG117" s="882">
        <f>IF($O118=0,0,        _xll.qDateNext($O117,AG$17,$AH$16,TRUE,Currency1))</f>
        <v>0</v>
      </c>
      <c r="AH117" s="882">
        <f>IF($O118=0,0,        _xll.qDateNext($O117,AH$17,$AH$16,TRUE,Currency1))</f>
        <v>0</v>
      </c>
      <c r="AI117" s="886">
        <f>IF($O118=0,0,           IF(FRM,_xll.qGetFwdRate(AI$14,$O117,AA117,"T",DCC_Leg1_Float),_xll.qGetFwdRate(AI$14,$O117,$O118,"T",DCC_Leg1_Float)))</f>
        <v>0</v>
      </c>
      <c r="AJ117" s="886">
        <f>IF($O118=0,0,           IF(FRM,_xll.qGetFwdRate(AJ$14,$O117,AB117,"T",DCC_Leg1_Float),_xll.qGetFwdRate(AJ$14,$O117,$O118,"T",DCC_Leg1_Float)))</f>
        <v>0</v>
      </c>
      <c r="AK117" s="886">
        <f t="shared" si="36"/>
        <v>0</v>
      </c>
      <c r="AL117" s="886">
        <f>IF($O118=0,0,           IF(FRM,_xll.qGetFwdRate(AL$14,$O117,AD117,"T",DCC_Leg1_Float),_xll.qGetFwdRate(AL$14,$O117,$O118,"T",DCC_Leg1_Float)))</f>
        <v>0</v>
      </c>
      <c r="AM117" s="886">
        <f t="shared" si="49"/>
        <v>0</v>
      </c>
      <c r="AN117" s="886">
        <f t="shared" si="50"/>
        <v>0</v>
      </c>
      <c r="AO117" s="886">
        <f>IF($O118=0,0,           IF(FRM,_xll.qGetFwdRate(AO$14,$O117,AG117,"T",DCC_Leg1_Float),_xll.qGetFwdRate(AO$14,$O117,$O118,"T",DCC_Leg1_Float)))</f>
        <v>0</v>
      </c>
      <c r="AP117" s="886">
        <f>IF($O118=0,0,           IF(FRM,_xll.qGetFwdRate(AP$14,$O117,AH117,"T",DCC_Leg1_Float),_xll.qGetFwdRate(AP$14,$O117,$O118,"T",DCC_Leg1_Float)))</f>
        <v>0</v>
      </c>
      <c r="AQ117" s="648">
        <f t="shared" si="51"/>
        <v>0</v>
      </c>
      <c r="AR117" s="648">
        <f t="shared" si="52"/>
        <v>0</v>
      </c>
      <c r="AS117" s="648">
        <f t="shared" si="53"/>
        <v>0</v>
      </c>
      <c r="AT117" s="648">
        <f t="shared" si="54"/>
        <v>0</v>
      </c>
      <c r="AU117" s="648">
        <f t="shared" si="55"/>
        <v>0</v>
      </c>
      <c r="AV117" s="648">
        <f t="shared" si="56"/>
        <v>0</v>
      </c>
      <c r="AW117" s="648">
        <f t="shared" si="57"/>
        <v>0</v>
      </c>
      <c r="AX117" s="648">
        <f t="shared" si="58"/>
        <v>0</v>
      </c>
      <c r="AY117" s="634">
        <v>0</v>
      </c>
      <c r="AZ117" s="616"/>
      <c r="BA117" s="619">
        <f>IF(O118=0,0,             IF(ISNUMBER(AZ117),AZ117,             IF(ISTEXT(AZ117),INDEX(AQ117:AX117,MATCH(AZ117,$AQ$17:$AX$17,0)),           IF(AY117="INT",_xll.qInterp(O118,AA117:AH117,AQ117:AX117),       INDEX(AQ117:AX117,MATCH(AY117,$AQ$17:$AX$17,0))))))</f>
        <v>0</v>
      </c>
      <c r="BB117" s="674">
        <v>100</v>
      </c>
      <c r="BC117" s="666">
        <f t="shared" si="37"/>
        <v>0</v>
      </c>
      <c r="BD117" s="268">
        <f>IF($O118=0,0,                IF(LEFT(DCC_Leg1_Fixed,2)="1/",uEvaluate(DCC_Leg1_Fixed),        _xll.qDateYears($O117,$O118,DCC_Leg1_Fixed)))</f>
        <v>0</v>
      </c>
      <c r="BE117" s="268">
        <f>IF($O118,_xll.qDateYears($O117,$O118,DCC_Leg1_Float),0)</f>
        <v>0</v>
      </c>
      <c r="BG117" s="332">
        <f t="shared" si="59"/>
        <v>0</v>
      </c>
      <c r="BH117" s="357">
        <f t="shared" si="60"/>
        <v>0</v>
      </c>
      <c r="BI117" s="527"/>
      <c r="BK117" s="324">
        <f t="shared" si="65"/>
        <v>0</v>
      </c>
      <c r="BM117" s="338"/>
      <c r="BN117" s="121">
        <v>0</v>
      </c>
      <c r="BO117" s="755">
        <f t="shared" si="38"/>
        <v>0</v>
      </c>
      <c r="BP117" s="339">
        <v>0</v>
      </c>
      <c r="BQ117" s="890">
        <f>IF(BN118=0,0,         IF(OR(Currency2="AUD",Currency1="NZD",Currency2="GBP"),BN117,   _xll.qDateNext(BN117,"-2b",,,IF(Currency2="EUR","TGT","LON"))))</f>
        <v>0</v>
      </c>
      <c r="BR117" s="879" t="str">
        <v/>
      </c>
      <c r="BS117" s="879" t="str">
        <v/>
      </c>
      <c r="BT117" s="879" t="str">
        <v/>
      </c>
      <c r="BU117" s="879" t="str">
        <v/>
      </c>
      <c r="BV117" s="879" t="str">
        <v/>
      </c>
      <c r="BW117" s="879" t="str">
        <v/>
      </c>
      <c r="BX117" s="879" t="str">
        <v/>
      </c>
      <c r="BY117" s="879" t="str">
        <v/>
      </c>
      <c r="BZ117" s="882">
        <f>IF($BN118=0,0,        _xll.qDateNext($BN117,BZ$17,$CG$16,TRUE,Currency2))</f>
        <v>0</v>
      </c>
      <c r="CA117" s="882">
        <f>IF($BN118=0,0,        _xll.qDateNext($BN117,CA$17,$CG$16,TRUE,Currency2))</f>
        <v>0</v>
      </c>
      <c r="CB117" s="882">
        <f>IF($BN118=0,0,        _xll.qDateNext($BN117,CB$17,$CG$16,TRUE,Currency2))</f>
        <v>0</v>
      </c>
      <c r="CC117" s="882">
        <f>IF($BN118=0,0,        _xll.qDateNext($BN117,CC$17,$CG$16,TRUE,Currency2))</f>
        <v>0</v>
      </c>
      <c r="CD117" s="882">
        <f>IF($BN118=0,0,        _xll.qDateNext($BN117,CD$17,$CG$16,TRUE,Currency2))</f>
        <v>0</v>
      </c>
      <c r="CE117" s="882">
        <f>IF($BN118=0,0,        _xll.qDateNext($BN117,CE$17,$CG$16,TRUE,Currency2))</f>
        <v>0</v>
      </c>
      <c r="CF117" s="882">
        <f>IF($BN118=0,0,        _xll.qDateNext($BN117,CF$17,$CG$16,TRUE,Currency2))</f>
        <v>0</v>
      </c>
      <c r="CG117" s="882">
        <f>IF($BN118=0,0,        _xll.qDateNext($BN117,CG$17,$CG$16,TRUE,Currency2))</f>
        <v>0</v>
      </c>
      <c r="CH117" s="886">
        <v>0</v>
      </c>
      <c r="CI117" s="886">
        <v>0</v>
      </c>
      <c r="CJ117" s="886">
        <v>0</v>
      </c>
      <c r="CK117" s="886">
        <v>0</v>
      </c>
      <c r="CL117" s="886">
        <f t="shared" si="61"/>
        <v>0</v>
      </c>
      <c r="CM117" s="886">
        <f t="shared" si="62"/>
        <v>0</v>
      </c>
      <c r="CN117" s="886">
        <v>0</v>
      </c>
      <c r="CO117" s="886">
        <v>0</v>
      </c>
      <c r="CP117" s="648">
        <f t="shared" si="39"/>
        <v>0</v>
      </c>
      <c r="CQ117" s="648">
        <f t="shared" si="40"/>
        <v>0</v>
      </c>
      <c r="CR117" s="648">
        <f t="shared" si="41"/>
        <v>0</v>
      </c>
      <c r="CS117" s="648">
        <f t="shared" si="42"/>
        <v>0</v>
      </c>
      <c r="CT117" s="648">
        <f t="shared" si="43"/>
        <v>0</v>
      </c>
      <c r="CU117" s="648">
        <f t="shared" si="44"/>
        <v>0</v>
      </c>
      <c r="CV117" s="648">
        <f t="shared" si="45"/>
        <v>0</v>
      </c>
      <c r="CW117" s="648">
        <f t="shared" si="46"/>
        <v>0</v>
      </c>
      <c r="CX117" s="634">
        <v>0</v>
      </c>
      <c r="CY117" s="616"/>
      <c r="CZ117" s="619">
        <f>IF(BN118=0,0,             IF(ISNUMBER(CY117),CY117,             IF(ISTEXT(CY117),INDEX(CP117:CW117,MATCH(CY117,$CP$17:$CW$17,0)),           IF(CX117="INT",_xll.qInterp(BN118,BZ117:CG117,CP117:CW117),       INDEX(CP117:CW117,MATCH(CX117,$CP$17:$CW$17,0))))))</f>
        <v>0</v>
      </c>
      <c r="DA117" s="755">
        <f t="shared" si="47"/>
        <v>0</v>
      </c>
      <c r="DB117" s="387">
        <f t="shared" si="48"/>
        <v>0</v>
      </c>
      <c r="DC117" s="268">
        <f>IF($BN118=0,0,         IF(LEFT(DCC_Leg2_Fixed,2)="1/",uEvaluate(DCC_Leg2_Fixed),         _xll.qDateYears($BN117,$BN118,DCC_Leg2_Fixed)))</f>
        <v>0</v>
      </c>
      <c r="DD117" s="268">
        <f>IF($BN118,_xll.qDateYears($BN117,$BN118,DCC_Leg2_Float),0)</f>
        <v>0</v>
      </c>
      <c r="DF117" s="332">
        <f t="shared" si="63"/>
        <v>0</v>
      </c>
      <c r="DG117" s="357">
        <f t="shared" si="64"/>
        <v>0</v>
      </c>
      <c r="DH117" s="527"/>
      <c r="DJ117" s="324">
        <f t="shared" si="66"/>
        <v>0</v>
      </c>
      <c r="DK117" s="529"/>
      <c r="DL117" s="338"/>
    </row>
    <row r="118" spans="15:116">
      <c r="O118" s="121">
        <v>0</v>
      </c>
      <c r="P118" s="755">
        <f t="shared" si="35"/>
        <v>0</v>
      </c>
      <c r="Q118" s="125">
        <v>0</v>
      </c>
      <c r="R118" s="890">
        <f>IF(O119=0,0,         IF(OR(Currency1="AUD",Currency1="NZD",Currency1="GBP"),O118,   _xll.qDateNext(O118,"-2b",,,IF(Currency1="EUR","TGT","LON"))))</f>
        <v>0</v>
      </c>
      <c r="S118" s="879" t="str">
        <v/>
      </c>
      <c r="T118" s="879" t="str">
        <v/>
      </c>
      <c r="U118" s="879" t="str">
        <v/>
      </c>
      <c r="V118" s="879" t="str">
        <v/>
      </c>
      <c r="W118" s="879" t="str">
        <v/>
      </c>
      <c r="X118" s="879" t="str">
        <v/>
      </c>
      <c r="Y118" s="879" t="str">
        <v/>
      </c>
      <c r="Z118" s="879" t="str">
        <v/>
      </c>
      <c r="AA118" s="882">
        <f>IF($O119=0,0,        _xll.qDateNext($O118,AA$17,$AH$16,TRUE,Currency1))</f>
        <v>0</v>
      </c>
      <c r="AB118" s="882">
        <f>IF($O119=0,0,        _xll.qDateNext($O118,AB$17,$AH$16,TRUE,Currency1))</f>
        <v>0</v>
      </c>
      <c r="AC118" s="882">
        <f>IF($O119=0,0,        _xll.qDateNext($O118,AC$17,$AH$16,TRUE,Currency1))</f>
        <v>0</v>
      </c>
      <c r="AD118" s="882">
        <f>IF($O119=0,0,        _xll.qDateNext($O118,AD$17,$AH$16,TRUE,Currency1))</f>
        <v>0</v>
      </c>
      <c r="AE118" s="882">
        <f>IF($O119=0,0,        _xll.qDateNext($O118,AE$17,$AH$16,TRUE,Currency1))</f>
        <v>0</v>
      </c>
      <c r="AF118" s="882">
        <f>IF($O119=0,0,        _xll.qDateNext($O118,AF$17,$AH$16,TRUE,Currency1))</f>
        <v>0</v>
      </c>
      <c r="AG118" s="882">
        <f>IF($O119=0,0,        _xll.qDateNext($O118,AG$17,$AH$16,TRUE,Currency1))</f>
        <v>0</v>
      </c>
      <c r="AH118" s="882">
        <f>IF($O119=0,0,        _xll.qDateNext($O118,AH$17,$AH$16,TRUE,Currency1))</f>
        <v>0</v>
      </c>
      <c r="AI118" s="886">
        <f>IF($O119=0,0,           IF(FRM,_xll.qGetFwdRate(AI$14,$O118,AA118,"T",DCC_Leg1_Float),_xll.qGetFwdRate(AI$14,$O118,$O119,"T",DCC_Leg1_Float)))</f>
        <v>0</v>
      </c>
      <c r="AJ118" s="886">
        <f>IF($O119=0,0,           IF(FRM,_xll.qGetFwdRate(AJ$14,$O118,AB118,"T",DCC_Leg1_Float),_xll.qGetFwdRate(AJ$14,$O118,$O119,"T",DCC_Leg1_Float)))</f>
        <v>0</v>
      </c>
      <c r="AK118" s="886">
        <f t="shared" si="36"/>
        <v>0</v>
      </c>
      <c r="AL118" s="886">
        <f>IF($O119=0,0,           IF(FRM,_xll.qGetFwdRate(AL$14,$O118,AD118,"T",DCC_Leg1_Float),_xll.qGetFwdRate(AL$14,$O118,$O119,"T",DCC_Leg1_Float)))</f>
        <v>0</v>
      </c>
      <c r="AM118" s="886">
        <f t="shared" si="49"/>
        <v>0</v>
      </c>
      <c r="AN118" s="886">
        <f t="shared" si="50"/>
        <v>0</v>
      </c>
      <c r="AO118" s="886">
        <f>IF($O119=0,0,           IF(FRM,_xll.qGetFwdRate(AO$14,$O118,AG118,"T",DCC_Leg1_Float),_xll.qGetFwdRate(AO$14,$O118,$O119,"T",DCC_Leg1_Float)))</f>
        <v>0</v>
      </c>
      <c r="AP118" s="886">
        <f>IF($O119=0,0,           IF(FRM,_xll.qGetFwdRate(AP$14,$O118,AH118,"T",DCC_Leg1_Float),_xll.qGetFwdRate(AP$14,$O118,$O119,"T",DCC_Leg1_Float)))</f>
        <v>0</v>
      </c>
      <c r="AQ118" s="648">
        <f t="shared" si="51"/>
        <v>0</v>
      </c>
      <c r="AR118" s="648">
        <f t="shared" si="52"/>
        <v>0</v>
      </c>
      <c r="AS118" s="648">
        <f t="shared" si="53"/>
        <v>0</v>
      </c>
      <c r="AT118" s="648">
        <f t="shared" si="54"/>
        <v>0</v>
      </c>
      <c r="AU118" s="648">
        <f t="shared" si="55"/>
        <v>0</v>
      </c>
      <c r="AV118" s="648">
        <f t="shared" si="56"/>
        <v>0</v>
      </c>
      <c r="AW118" s="648">
        <f t="shared" si="57"/>
        <v>0</v>
      </c>
      <c r="AX118" s="648">
        <f t="shared" si="58"/>
        <v>0</v>
      </c>
      <c r="AY118" s="634">
        <v>0</v>
      </c>
      <c r="AZ118" s="616"/>
      <c r="BA118" s="619">
        <f>IF(O119=0,0,             IF(ISNUMBER(AZ118),AZ118,             IF(ISTEXT(AZ118),INDEX(AQ118:AX118,MATCH(AZ118,$AQ$17:$AX$17,0)),           IF(AY118="INT",_xll.qInterp(O119,AA118:AH118,AQ118:AX118),       INDEX(AQ118:AX118,MATCH(AY118,$AQ$17:$AX$17,0))))))</f>
        <v>0</v>
      </c>
      <c r="BB118" s="674">
        <v>100</v>
      </c>
      <c r="BC118" s="666">
        <f t="shared" si="37"/>
        <v>0</v>
      </c>
      <c r="BD118" s="268">
        <f>IF($O119=0,0,                IF(LEFT(DCC_Leg1_Fixed,2)="1/",uEvaluate(DCC_Leg1_Fixed),        _xll.qDateYears($O118,$O119,DCC_Leg1_Fixed)))</f>
        <v>0</v>
      </c>
      <c r="BE118" s="268">
        <f>IF($O119,_xll.qDateYears($O118,$O119,DCC_Leg1_Float),0)</f>
        <v>0</v>
      </c>
      <c r="BG118" s="332">
        <f t="shared" si="59"/>
        <v>0</v>
      </c>
      <c r="BH118" s="357">
        <f t="shared" si="60"/>
        <v>0</v>
      </c>
      <c r="BI118" s="527"/>
      <c r="BK118" s="324">
        <f t="shared" si="65"/>
        <v>0</v>
      </c>
      <c r="BM118" s="338"/>
      <c r="BN118" s="121">
        <v>0</v>
      </c>
      <c r="BO118" s="755">
        <f t="shared" si="38"/>
        <v>0</v>
      </c>
      <c r="BP118" s="339">
        <v>0</v>
      </c>
      <c r="BQ118" s="890">
        <f>IF(BN119=0,0,         IF(OR(Currency2="AUD",Currency1="NZD",Currency2="GBP"),BN118,   _xll.qDateNext(BN118,"-2b",,,IF(Currency2="EUR","TGT","LON"))))</f>
        <v>0</v>
      </c>
      <c r="BR118" s="879" t="str">
        <v/>
      </c>
      <c r="BS118" s="879" t="str">
        <v/>
      </c>
      <c r="BT118" s="879" t="str">
        <v/>
      </c>
      <c r="BU118" s="879" t="str">
        <v/>
      </c>
      <c r="BV118" s="879" t="str">
        <v/>
      </c>
      <c r="BW118" s="879" t="str">
        <v/>
      </c>
      <c r="BX118" s="879" t="str">
        <v/>
      </c>
      <c r="BY118" s="879" t="str">
        <v/>
      </c>
      <c r="BZ118" s="882">
        <f>IF($BN119=0,0,        _xll.qDateNext($BN118,BZ$17,$CG$16,TRUE,Currency2))</f>
        <v>0</v>
      </c>
      <c r="CA118" s="882">
        <f>IF($BN119=0,0,        _xll.qDateNext($BN118,CA$17,$CG$16,TRUE,Currency2))</f>
        <v>0</v>
      </c>
      <c r="CB118" s="882">
        <f>IF($BN119=0,0,        _xll.qDateNext($BN118,CB$17,$CG$16,TRUE,Currency2))</f>
        <v>0</v>
      </c>
      <c r="CC118" s="882">
        <f>IF($BN119=0,0,        _xll.qDateNext($BN118,CC$17,$CG$16,TRUE,Currency2))</f>
        <v>0</v>
      </c>
      <c r="CD118" s="882">
        <f>IF($BN119=0,0,        _xll.qDateNext($BN118,CD$17,$CG$16,TRUE,Currency2))</f>
        <v>0</v>
      </c>
      <c r="CE118" s="882">
        <f>IF($BN119=0,0,        _xll.qDateNext($BN118,CE$17,$CG$16,TRUE,Currency2))</f>
        <v>0</v>
      </c>
      <c r="CF118" s="882">
        <f>IF($BN119=0,0,        _xll.qDateNext($BN118,CF$17,$CG$16,TRUE,Currency2))</f>
        <v>0</v>
      </c>
      <c r="CG118" s="882">
        <f>IF($BN119=0,0,        _xll.qDateNext($BN118,CG$17,$CG$16,TRUE,Currency2))</f>
        <v>0</v>
      </c>
      <c r="CH118" s="886">
        <v>0</v>
      </c>
      <c r="CI118" s="886">
        <v>0</v>
      </c>
      <c r="CJ118" s="886">
        <v>0</v>
      </c>
      <c r="CK118" s="886">
        <v>0</v>
      </c>
      <c r="CL118" s="886">
        <f t="shared" si="61"/>
        <v>0</v>
      </c>
      <c r="CM118" s="886">
        <f t="shared" si="62"/>
        <v>0</v>
      </c>
      <c r="CN118" s="886">
        <v>0</v>
      </c>
      <c r="CO118" s="886">
        <v>0</v>
      </c>
      <c r="CP118" s="648">
        <f t="shared" si="39"/>
        <v>0</v>
      </c>
      <c r="CQ118" s="648">
        <f t="shared" si="40"/>
        <v>0</v>
      </c>
      <c r="CR118" s="648">
        <f t="shared" si="41"/>
        <v>0</v>
      </c>
      <c r="CS118" s="648">
        <f t="shared" si="42"/>
        <v>0</v>
      </c>
      <c r="CT118" s="648">
        <f t="shared" si="43"/>
        <v>0</v>
      </c>
      <c r="CU118" s="648">
        <f t="shared" si="44"/>
        <v>0</v>
      </c>
      <c r="CV118" s="648">
        <f t="shared" si="45"/>
        <v>0</v>
      </c>
      <c r="CW118" s="648">
        <f t="shared" si="46"/>
        <v>0</v>
      </c>
      <c r="CX118" s="634">
        <v>0</v>
      </c>
      <c r="CY118" s="616"/>
      <c r="CZ118" s="619">
        <f>IF(BN119=0,0,             IF(ISNUMBER(CY118),CY118,             IF(ISTEXT(CY118),INDEX(CP118:CW118,MATCH(CY118,$CP$17:$CW$17,0)),           IF(CX118="INT",_xll.qInterp(BN119,BZ118:CG118,CP118:CW118),       INDEX(CP118:CW118,MATCH(CX118,$CP$17:$CW$17,0))))))</f>
        <v>0</v>
      </c>
      <c r="DA118" s="755">
        <f t="shared" si="47"/>
        <v>0</v>
      </c>
      <c r="DB118" s="387">
        <f t="shared" si="48"/>
        <v>0</v>
      </c>
      <c r="DC118" s="268">
        <f>IF($BN119=0,0,         IF(LEFT(DCC_Leg2_Fixed,2)="1/",uEvaluate(DCC_Leg2_Fixed),         _xll.qDateYears($BN118,$BN119,DCC_Leg2_Fixed)))</f>
        <v>0</v>
      </c>
      <c r="DD118" s="268">
        <f>IF($BN119,_xll.qDateYears($BN118,$BN119,DCC_Leg2_Float),0)</f>
        <v>0</v>
      </c>
      <c r="DF118" s="332">
        <f t="shared" si="63"/>
        <v>0</v>
      </c>
      <c r="DG118" s="357">
        <f t="shared" si="64"/>
        <v>0</v>
      </c>
      <c r="DH118" s="527"/>
      <c r="DJ118" s="324">
        <f t="shared" si="66"/>
        <v>0</v>
      </c>
      <c r="DK118" s="529"/>
      <c r="DL118" s="338"/>
    </row>
    <row r="119" spans="15:116">
      <c r="O119" s="121">
        <v>0</v>
      </c>
      <c r="P119" s="755">
        <f t="shared" si="35"/>
        <v>0</v>
      </c>
      <c r="Q119" s="125">
        <v>0</v>
      </c>
      <c r="R119" s="890">
        <f>IF(O120=0,0,         IF(OR(Currency1="AUD",Currency1="NZD",Currency1="GBP"),O119,   _xll.qDateNext(O119,"-2b",,,IF(Currency1="EUR","TGT","LON"))))</f>
        <v>0</v>
      </c>
      <c r="S119" s="879" t="str">
        <v/>
      </c>
      <c r="T119" s="879" t="str">
        <v/>
      </c>
      <c r="U119" s="879" t="str">
        <v/>
      </c>
      <c r="V119" s="879" t="str">
        <v/>
      </c>
      <c r="W119" s="879" t="str">
        <v/>
      </c>
      <c r="X119" s="879" t="str">
        <v/>
      </c>
      <c r="Y119" s="879" t="str">
        <v/>
      </c>
      <c r="Z119" s="879" t="str">
        <v/>
      </c>
      <c r="AA119" s="882">
        <f>IF($O120=0,0,        _xll.qDateNext($O119,AA$17,$AH$16,TRUE,Currency1))</f>
        <v>0</v>
      </c>
      <c r="AB119" s="882">
        <f>IF($O120=0,0,        _xll.qDateNext($O119,AB$17,$AH$16,TRUE,Currency1))</f>
        <v>0</v>
      </c>
      <c r="AC119" s="882">
        <f>IF($O120=0,0,        _xll.qDateNext($O119,AC$17,$AH$16,TRUE,Currency1))</f>
        <v>0</v>
      </c>
      <c r="AD119" s="882">
        <f>IF($O120=0,0,        _xll.qDateNext($O119,AD$17,$AH$16,TRUE,Currency1))</f>
        <v>0</v>
      </c>
      <c r="AE119" s="882">
        <f>IF($O120=0,0,        _xll.qDateNext($O119,AE$17,$AH$16,TRUE,Currency1))</f>
        <v>0</v>
      </c>
      <c r="AF119" s="882">
        <f>IF($O120=0,0,        _xll.qDateNext($O119,AF$17,$AH$16,TRUE,Currency1))</f>
        <v>0</v>
      </c>
      <c r="AG119" s="882">
        <f>IF($O120=0,0,        _xll.qDateNext($O119,AG$17,$AH$16,TRUE,Currency1))</f>
        <v>0</v>
      </c>
      <c r="AH119" s="882">
        <f>IF($O120=0,0,        _xll.qDateNext($O119,AH$17,$AH$16,TRUE,Currency1))</f>
        <v>0</v>
      </c>
      <c r="AI119" s="886">
        <f>IF($O120=0,0,           IF(FRM,_xll.qGetFwdRate(AI$14,$O119,AA119,"T",DCC_Leg1_Float),_xll.qGetFwdRate(AI$14,$O119,$O120,"T",DCC_Leg1_Float)))</f>
        <v>0</v>
      </c>
      <c r="AJ119" s="886">
        <f>IF($O120=0,0,           IF(FRM,_xll.qGetFwdRate(AJ$14,$O119,AB119,"T",DCC_Leg1_Float),_xll.qGetFwdRate(AJ$14,$O119,$O120,"T",DCC_Leg1_Float)))</f>
        <v>0</v>
      </c>
      <c r="AK119" s="886">
        <f t="shared" si="36"/>
        <v>0</v>
      </c>
      <c r="AL119" s="886">
        <f>IF($O120=0,0,           IF(FRM,_xll.qGetFwdRate(AL$14,$O119,AD119,"T",DCC_Leg1_Float),_xll.qGetFwdRate(AL$14,$O119,$O120,"T",DCC_Leg1_Float)))</f>
        <v>0</v>
      </c>
      <c r="AM119" s="886">
        <f t="shared" si="49"/>
        <v>0</v>
      </c>
      <c r="AN119" s="886">
        <f t="shared" si="50"/>
        <v>0</v>
      </c>
      <c r="AO119" s="886">
        <f>IF($O120=0,0,           IF(FRM,_xll.qGetFwdRate(AO$14,$O119,AG119,"T",DCC_Leg1_Float),_xll.qGetFwdRate(AO$14,$O119,$O120,"T",DCC_Leg1_Float)))</f>
        <v>0</v>
      </c>
      <c r="AP119" s="886">
        <f>IF($O120=0,0,           IF(FRM,_xll.qGetFwdRate(AP$14,$O119,AH119,"T",DCC_Leg1_Float),_xll.qGetFwdRate(AP$14,$O119,$O120,"T",DCC_Leg1_Float)))</f>
        <v>0</v>
      </c>
      <c r="AQ119" s="648">
        <f t="shared" si="51"/>
        <v>0</v>
      </c>
      <c r="AR119" s="648">
        <f t="shared" si="52"/>
        <v>0</v>
      </c>
      <c r="AS119" s="648">
        <f t="shared" si="53"/>
        <v>0</v>
      </c>
      <c r="AT119" s="648">
        <f t="shared" si="54"/>
        <v>0</v>
      </c>
      <c r="AU119" s="648">
        <f t="shared" si="55"/>
        <v>0</v>
      </c>
      <c r="AV119" s="648">
        <f t="shared" si="56"/>
        <v>0</v>
      </c>
      <c r="AW119" s="648">
        <f t="shared" si="57"/>
        <v>0</v>
      </c>
      <c r="AX119" s="648">
        <f t="shared" si="58"/>
        <v>0</v>
      </c>
      <c r="AY119" s="634">
        <v>0</v>
      </c>
      <c r="AZ119" s="616"/>
      <c r="BA119" s="619">
        <f>IF(O120=0,0,             IF(ISNUMBER(AZ119),AZ119,             IF(ISTEXT(AZ119),INDEX(AQ119:AX119,MATCH(AZ119,$AQ$17:$AX$17,0)),           IF(AY119="INT",_xll.qInterp(O120,AA119:AH119,AQ119:AX119),       INDEX(AQ119:AX119,MATCH(AY119,$AQ$17:$AX$17,0))))))</f>
        <v>0</v>
      </c>
      <c r="BB119" s="674">
        <v>100</v>
      </c>
      <c r="BC119" s="666">
        <f t="shared" si="37"/>
        <v>0</v>
      </c>
      <c r="BD119" s="268">
        <f>IF($O120=0,0,                IF(LEFT(DCC_Leg1_Fixed,2)="1/",uEvaluate(DCC_Leg1_Fixed),        _xll.qDateYears($O119,$O120,DCC_Leg1_Fixed)))</f>
        <v>0</v>
      </c>
      <c r="BE119" s="268">
        <f>IF($O120,_xll.qDateYears($O119,$O120,DCC_Leg1_Float),0)</f>
        <v>0</v>
      </c>
      <c r="BG119" s="332">
        <f t="shared" si="59"/>
        <v>0</v>
      </c>
      <c r="BH119" s="357">
        <f t="shared" si="60"/>
        <v>0</v>
      </c>
      <c r="BI119" s="527"/>
      <c r="BK119" s="324">
        <f t="shared" si="65"/>
        <v>0</v>
      </c>
      <c r="BM119" s="338"/>
      <c r="BN119" s="121">
        <v>0</v>
      </c>
      <c r="BO119" s="755">
        <f t="shared" si="38"/>
        <v>0</v>
      </c>
      <c r="BP119" s="339">
        <v>0</v>
      </c>
      <c r="BQ119" s="890">
        <f>IF(BN120=0,0,         IF(OR(Currency2="AUD",Currency1="NZD",Currency2="GBP"),BN119,   _xll.qDateNext(BN119,"-2b",,,IF(Currency2="EUR","TGT","LON"))))</f>
        <v>0</v>
      </c>
      <c r="BR119" s="879" t="str">
        <v/>
      </c>
      <c r="BS119" s="879" t="str">
        <v/>
      </c>
      <c r="BT119" s="879" t="str">
        <v/>
      </c>
      <c r="BU119" s="879" t="str">
        <v/>
      </c>
      <c r="BV119" s="879" t="str">
        <v/>
      </c>
      <c r="BW119" s="879" t="str">
        <v/>
      </c>
      <c r="BX119" s="879" t="str">
        <v/>
      </c>
      <c r="BY119" s="879" t="str">
        <v/>
      </c>
      <c r="BZ119" s="882">
        <f>IF($BN120=0,0,        _xll.qDateNext($BN119,BZ$17,$CG$16,TRUE,Currency2))</f>
        <v>0</v>
      </c>
      <c r="CA119" s="882">
        <f>IF($BN120=0,0,        _xll.qDateNext($BN119,CA$17,$CG$16,TRUE,Currency2))</f>
        <v>0</v>
      </c>
      <c r="CB119" s="882">
        <f>IF($BN120=0,0,        _xll.qDateNext($BN119,CB$17,$CG$16,TRUE,Currency2))</f>
        <v>0</v>
      </c>
      <c r="CC119" s="882">
        <f>IF($BN120=0,0,        _xll.qDateNext($BN119,CC$17,$CG$16,TRUE,Currency2))</f>
        <v>0</v>
      </c>
      <c r="CD119" s="882">
        <f>IF($BN120=0,0,        _xll.qDateNext($BN119,CD$17,$CG$16,TRUE,Currency2))</f>
        <v>0</v>
      </c>
      <c r="CE119" s="882">
        <f>IF($BN120=0,0,        _xll.qDateNext($BN119,CE$17,$CG$16,TRUE,Currency2))</f>
        <v>0</v>
      </c>
      <c r="CF119" s="882">
        <f>IF($BN120=0,0,        _xll.qDateNext($BN119,CF$17,$CG$16,TRUE,Currency2))</f>
        <v>0</v>
      </c>
      <c r="CG119" s="882">
        <f>IF($BN120=0,0,        _xll.qDateNext($BN119,CG$17,$CG$16,TRUE,Currency2))</f>
        <v>0</v>
      </c>
      <c r="CH119" s="886">
        <v>0</v>
      </c>
      <c r="CI119" s="886">
        <v>0</v>
      </c>
      <c r="CJ119" s="886">
        <v>0</v>
      </c>
      <c r="CK119" s="886">
        <v>0</v>
      </c>
      <c r="CL119" s="886">
        <f t="shared" si="61"/>
        <v>0</v>
      </c>
      <c r="CM119" s="886">
        <f t="shared" si="62"/>
        <v>0</v>
      </c>
      <c r="CN119" s="886">
        <v>0</v>
      </c>
      <c r="CO119" s="886">
        <v>0</v>
      </c>
      <c r="CP119" s="648">
        <f t="shared" si="39"/>
        <v>0</v>
      </c>
      <c r="CQ119" s="648">
        <f t="shared" si="40"/>
        <v>0</v>
      </c>
      <c r="CR119" s="648">
        <f t="shared" si="41"/>
        <v>0</v>
      </c>
      <c r="CS119" s="648">
        <f t="shared" si="42"/>
        <v>0</v>
      </c>
      <c r="CT119" s="648">
        <f t="shared" si="43"/>
        <v>0</v>
      </c>
      <c r="CU119" s="648">
        <f t="shared" si="44"/>
        <v>0</v>
      </c>
      <c r="CV119" s="648">
        <f t="shared" si="45"/>
        <v>0</v>
      </c>
      <c r="CW119" s="648">
        <f t="shared" si="46"/>
        <v>0</v>
      </c>
      <c r="CX119" s="634">
        <v>0</v>
      </c>
      <c r="CY119" s="616"/>
      <c r="CZ119" s="619">
        <f>IF(BN120=0,0,             IF(ISNUMBER(CY119),CY119,             IF(ISTEXT(CY119),INDEX(CP119:CW119,MATCH(CY119,$CP$17:$CW$17,0)),           IF(CX119="INT",_xll.qInterp(BN120,BZ119:CG119,CP119:CW119),       INDEX(CP119:CW119,MATCH(CX119,$CP$17:$CW$17,0))))))</f>
        <v>0</v>
      </c>
      <c r="DA119" s="755">
        <f t="shared" si="47"/>
        <v>0</v>
      </c>
      <c r="DB119" s="387">
        <f t="shared" si="48"/>
        <v>0</v>
      </c>
      <c r="DC119" s="268">
        <f>IF($BN120=0,0,         IF(LEFT(DCC_Leg2_Fixed,2)="1/",uEvaluate(DCC_Leg2_Fixed),         _xll.qDateYears($BN119,$BN120,DCC_Leg2_Fixed)))</f>
        <v>0</v>
      </c>
      <c r="DD119" s="268">
        <f>IF($BN120,_xll.qDateYears($BN119,$BN120,DCC_Leg2_Float),0)</f>
        <v>0</v>
      </c>
      <c r="DF119" s="332">
        <f t="shared" si="63"/>
        <v>0</v>
      </c>
      <c r="DG119" s="357">
        <f t="shared" si="64"/>
        <v>0</v>
      </c>
      <c r="DH119" s="527"/>
      <c r="DJ119" s="324">
        <f t="shared" si="66"/>
        <v>0</v>
      </c>
      <c r="DK119" s="529"/>
      <c r="DL119" s="338"/>
    </row>
    <row r="120" spans="15:116">
      <c r="O120" s="121">
        <v>0</v>
      </c>
      <c r="P120" s="755">
        <f t="shared" si="35"/>
        <v>0</v>
      </c>
      <c r="Q120" s="125">
        <v>0</v>
      </c>
      <c r="R120" s="890">
        <f>IF(O121=0,0,         IF(OR(Currency1="AUD",Currency1="NZD",Currency1="GBP"),O120,   _xll.qDateNext(O120,"-2b",,,IF(Currency1="EUR","TGT","LON"))))</f>
        <v>0</v>
      </c>
      <c r="S120" s="879" t="str">
        <v/>
      </c>
      <c r="T120" s="879" t="str">
        <v/>
      </c>
      <c r="U120" s="879" t="str">
        <v/>
      </c>
      <c r="V120" s="879" t="str">
        <v/>
      </c>
      <c r="W120" s="879" t="str">
        <v/>
      </c>
      <c r="X120" s="879" t="str">
        <v/>
      </c>
      <c r="Y120" s="879" t="str">
        <v/>
      </c>
      <c r="Z120" s="879" t="str">
        <v/>
      </c>
      <c r="AA120" s="882">
        <f>IF($O121=0,0,        _xll.qDateNext($O120,AA$17,$AH$16,TRUE,Currency1))</f>
        <v>0</v>
      </c>
      <c r="AB120" s="882">
        <f>IF($O121=0,0,        _xll.qDateNext($O120,AB$17,$AH$16,TRUE,Currency1))</f>
        <v>0</v>
      </c>
      <c r="AC120" s="882">
        <f>IF($O121=0,0,        _xll.qDateNext($O120,AC$17,$AH$16,TRUE,Currency1))</f>
        <v>0</v>
      </c>
      <c r="AD120" s="882">
        <f>IF($O121=0,0,        _xll.qDateNext($O120,AD$17,$AH$16,TRUE,Currency1))</f>
        <v>0</v>
      </c>
      <c r="AE120" s="882">
        <f>IF($O121=0,0,        _xll.qDateNext($O120,AE$17,$AH$16,TRUE,Currency1))</f>
        <v>0</v>
      </c>
      <c r="AF120" s="882">
        <f>IF($O121=0,0,        _xll.qDateNext($O120,AF$17,$AH$16,TRUE,Currency1))</f>
        <v>0</v>
      </c>
      <c r="AG120" s="882">
        <f>IF($O121=0,0,        _xll.qDateNext($O120,AG$17,$AH$16,TRUE,Currency1))</f>
        <v>0</v>
      </c>
      <c r="AH120" s="882">
        <f>IF($O121=0,0,        _xll.qDateNext($O120,AH$17,$AH$16,TRUE,Currency1))</f>
        <v>0</v>
      </c>
      <c r="AI120" s="886">
        <f>IF($O121=0,0,           IF(FRM,_xll.qGetFwdRate(AI$14,$O120,AA120,"T",DCC_Leg1_Float),_xll.qGetFwdRate(AI$14,$O120,$O121,"T",DCC_Leg1_Float)))</f>
        <v>0</v>
      </c>
      <c r="AJ120" s="886">
        <f>IF($O121=0,0,           IF(FRM,_xll.qGetFwdRate(AJ$14,$O120,AB120,"T",DCC_Leg1_Float),_xll.qGetFwdRate(AJ$14,$O120,$O121,"T",DCC_Leg1_Float)))</f>
        <v>0</v>
      </c>
      <c r="AK120" s="886">
        <f t="shared" si="36"/>
        <v>0</v>
      </c>
      <c r="AL120" s="886">
        <f>IF($O121=0,0,           IF(FRM,_xll.qGetFwdRate(AL$14,$O120,AD120,"T",DCC_Leg1_Float),_xll.qGetFwdRate(AL$14,$O120,$O121,"T",DCC_Leg1_Float)))</f>
        <v>0</v>
      </c>
      <c r="AM120" s="886">
        <f t="shared" si="49"/>
        <v>0</v>
      </c>
      <c r="AN120" s="886">
        <f t="shared" si="50"/>
        <v>0</v>
      </c>
      <c r="AO120" s="886">
        <f>IF($O121=0,0,           IF(FRM,_xll.qGetFwdRate(AO$14,$O120,AG120,"T",DCC_Leg1_Float),_xll.qGetFwdRate(AO$14,$O120,$O121,"T",DCC_Leg1_Float)))</f>
        <v>0</v>
      </c>
      <c r="AP120" s="886">
        <f>IF($O121=0,0,           IF(FRM,_xll.qGetFwdRate(AP$14,$O120,AH120,"T",DCC_Leg1_Float),_xll.qGetFwdRate(AP$14,$O120,$O121,"T",DCC_Leg1_Float)))</f>
        <v>0</v>
      </c>
      <c r="AQ120" s="648">
        <f t="shared" si="51"/>
        <v>0</v>
      </c>
      <c r="AR120" s="648">
        <f t="shared" si="52"/>
        <v>0</v>
      </c>
      <c r="AS120" s="648">
        <f t="shared" si="53"/>
        <v>0</v>
      </c>
      <c r="AT120" s="648">
        <f t="shared" si="54"/>
        <v>0</v>
      </c>
      <c r="AU120" s="648">
        <f t="shared" si="55"/>
        <v>0</v>
      </c>
      <c r="AV120" s="648">
        <f t="shared" si="56"/>
        <v>0</v>
      </c>
      <c r="AW120" s="648">
        <f t="shared" si="57"/>
        <v>0</v>
      </c>
      <c r="AX120" s="648">
        <f t="shared" si="58"/>
        <v>0</v>
      </c>
      <c r="AY120" s="634">
        <v>0</v>
      </c>
      <c r="AZ120" s="616"/>
      <c r="BA120" s="619">
        <f>IF(O121=0,0,             IF(ISNUMBER(AZ120),AZ120,             IF(ISTEXT(AZ120),INDEX(AQ120:AX120,MATCH(AZ120,$AQ$17:$AX$17,0)),           IF(AY120="INT",_xll.qInterp(O121,AA120:AH120,AQ120:AX120),       INDEX(AQ120:AX120,MATCH(AY120,$AQ$17:$AX$17,0))))))</f>
        <v>0</v>
      </c>
      <c r="BB120" s="674">
        <v>100</v>
      </c>
      <c r="BC120" s="666">
        <f t="shared" si="37"/>
        <v>0</v>
      </c>
      <c r="BD120" s="268">
        <f>IF($O121=0,0,                IF(LEFT(DCC_Leg1_Fixed,2)="1/",uEvaluate(DCC_Leg1_Fixed),        _xll.qDateYears($O120,$O121,DCC_Leg1_Fixed)))</f>
        <v>0</v>
      </c>
      <c r="BE120" s="268">
        <f>IF($O121,_xll.qDateYears($O120,$O121,DCC_Leg1_Float),0)</f>
        <v>0</v>
      </c>
      <c r="BG120" s="332">
        <f t="shared" si="59"/>
        <v>0</v>
      </c>
      <c r="BH120" s="357">
        <f t="shared" si="60"/>
        <v>0</v>
      </c>
      <c r="BI120" s="527"/>
      <c r="BK120" s="324">
        <f t="shared" si="65"/>
        <v>0</v>
      </c>
      <c r="BM120" s="338"/>
      <c r="BN120" s="121">
        <v>0</v>
      </c>
      <c r="BO120" s="755">
        <f t="shared" si="38"/>
        <v>0</v>
      </c>
      <c r="BP120" s="339">
        <v>0</v>
      </c>
      <c r="BQ120" s="890">
        <f>IF(BN121=0,0,         IF(OR(Currency2="AUD",Currency1="NZD",Currency2="GBP"),BN120,   _xll.qDateNext(BN120,"-2b",,,IF(Currency2="EUR","TGT","LON"))))</f>
        <v>0</v>
      </c>
      <c r="BR120" s="879" t="str">
        <v/>
      </c>
      <c r="BS120" s="879" t="str">
        <v/>
      </c>
      <c r="BT120" s="879" t="str">
        <v/>
      </c>
      <c r="BU120" s="879" t="str">
        <v/>
      </c>
      <c r="BV120" s="879" t="str">
        <v/>
      </c>
      <c r="BW120" s="879" t="str">
        <v/>
      </c>
      <c r="BX120" s="879" t="str">
        <v/>
      </c>
      <c r="BY120" s="879" t="str">
        <v/>
      </c>
      <c r="BZ120" s="882">
        <f>IF($BN121=0,0,        _xll.qDateNext($BN120,BZ$17,$CG$16,TRUE,Currency2))</f>
        <v>0</v>
      </c>
      <c r="CA120" s="882">
        <f>IF($BN121=0,0,        _xll.qDateNext($BN120,CA$17,$CG$16,TRUE,Currency2))</f>
        <v>0</v>
      </c>
      <c r="CB120" s="882">
        <f>IF($BN121=0,0,        _xll.qDateNext($BN120,CB$17,$CG$16,TRUE,Currency2))</f>
        <v>0</v>
      </c>
      <c r="CC120" s="882">
        <f>IF($BN121=0,0,        _xll.qDateNext($BN120,CC$17,$CG$16,TRUE,Currency2))</f>
        <v>0</v>
      </c>
      <c r="CD120" s="882">
        <f>IF($BN121=0,0,        _xll.qDateNext($BN120,CD$17,$CG$16,TRUE,Currency2))</f>
        <v>0</v>
      </c>
      <c r="CE120" s="882">
        <f>IF($BN121=0,0,        _xll.qDateNext($BN120,CE$17,$CG$16,TRUE,Currency2))</f>
        <v>0</v>
      </c>
      <c r="CF120" s="882">
        <f>IF($BN121=0,0,        _xll.qDateNext($BN120,CF$17,$CG$16,TRUE,Currency2))</f>
        <v>0</v>
      </c>
      <c r="CG120" s="882">
        <f>IF($BN121=0,0,        _xll.qDateNext($BN120,CG$17,$CG$16,TRUE,Currency2))</f>
        <v>0</v>
      </c>
      <c r="CH120" s="886">
        <v>0</v>
      </c>
      <c r="CI120" s="886">
        <v>0</v>
      </c>
      <c r="CJ120" s="886">
        <v>0</v>
      </c>
      <c r="CK120" s="886">
        <v>0</v>
      </c>
      <c r="CL120" s="886">
        <f t="shared" si="61"/>
        <v>0</v>
      </c>
      <c r="CM120" s="886">
        <f t="shared" si="62"/>
        <v>0</v>
      </c>
      <c r="CN120" s="886">
        <v>0</v>
      </c>
      <c r="CO120" s="886">
        <v>0</v>
      </c>
      <c r="CP120" s="648">
        <f t="shared" si="39"/>
        <v>0</v>
      </c>
      <c r="CQ120" s="648">
        <f t="shared" si="40"/>
        <v>0</v>
      </c>
      <c r="CR120" s="648">
        <f t="shared" si="41"/>
        <v>0</v>
      </c>
      <c r="CS120" s="648">
        <f t="shared" si="42"/>
        <v>0</v>
      </c>
      <c r="CT120" s="648">
        <f t="shared" si="43"/>
        <v>0</v>
      </c>
      <c r="CU120" s="648">
        <f t="shared" si="44"/>
        <v>0</v>
      </c>
      <c r="CV120" s="648">
        <f t="shared" si="45"/>
        <v>0</v>
      </c>
      <c r="CW120" s="648">
        <f t="shared" si="46"/>
        <v>0</v>
      </c>
      <c r="CX120" s="634">
        <v>0</v>
      </c>
      <c r="CY120" s="616"/>
      <c r="CZ120" s="619">
        <f>IF(BN121=0,0,             IF(ISNUMBER(CY120),CY120,             IF(ISTEXT(CY120),INDEX(CP120:CW120,MATCH(CY120,$CP$17:$CW$17,0)),           IF(CX120="INT",_xll.qInterp(BN121,BZ120:CG120,CP120:CW120),       INDEX(CP120:CW120,MATCH(CX120,$CP$17:$CW$17,0))))))</f>
        <v>0</v>
      </c>
      <c r="DA120" s="755">
        <f t="shared" si="47"/>
        <v>0</v>
      </c>
      <c r="DB120" s="387">
        <f t="shared" si="48"/>
        <v>0</v>
      </c>
      <c r="DC120" s="268">
        <f>IF($BN121=0,0,         IF(LEFT(DCC_Leg2_Fixed,2)="1/",uEvaluate(DCC_Leg2_Fixed),         _xll.qDateYears($BN120,$BN121,DCC_Leg2_Fixed)))</f>
        <v>0</v>
      </c>
      <c r="DD120" s="268">
        <f>IF($BN121,_xll.qDateYears($BN120,$BN121,DCC_Leg2_Float),0)</f>
        <v>0</v>
      </c>
      <c r="DF120" s="332">
        <f t="shared" si="63"/>
        <v>0</v>
      </c>
      <c r="DG120" s="357">
        <f t="shared" si="64"/>
        <v>0</v>
      </c>
      <c r="DH120" s="527"/>
      <c r="DJ120" s="324">
        <f t="shared" si="66"/>
        <v>0</v>
      </c>
      <c r="DK120" s="529"/>
      <c r="DL120" s="338"/>
    </row>
    <row r="121" spans="15:116">
      <c r="O121" s="121">
        <v>0</v>
      </c>
      <c r="P121" s="755">
        <f t="shared" si="35"/>
        <v>0</v>
      </c>
      <c r="Q121" s="125">
        <v>0</v>
      </c>
      <c r="R121" s="890">
        <f>IF(O122=0,0,         IF(OR(Currency1="AUD",Currency1="NZD",Currency1="GBP"),O121,   _xll.qDateNext(O121,"-2b",,,IF(Currency1="EUR","TGT","LON"))))</f>
        <v>0</v>
      </c>
      <c r="S121" s="879" t="str">
        <v/>
      </c>
      <c r="T121" s="879" t="str">
        <v/>
      </c>
      <c r="U121" s="879" t="str">
        <v/>
      </c>
      <c r="V121" s="879" t="str">
        <v/>
      </c>
      <c r="W121" s="879" t="str">
        <v/>
      </c>
      <c r="X121" s="879" t="str">
        <v/>
      </c>
      <c r="Y121" s="879" t="str">
        <v/>
      </c>
      <c r="Z121" s="879" t="str">
        <v/>
      </c>
      <c r="AA121" s="882">
        <f>IF($O122=0,0,        _xll.qDateNext($O121,AA$17,$AH$16,TRUE,Currency1))</f>
        <v>0</v>
      </c>
      <c r="AB121" s="882">
        <f>IF($O122=0,0,        _xll.qDateNext($O121,AB$17,$AH$16,TRUE,Currency1))</f>
        <v>0</v>
      </c>
      <c r="AC121" s="882">
        <f>IF($O122=0,0,        _xll.qDateNext($O121,AC$17,$AH$16,TRUE,Currency1))</f>
        <v>0</v>
      </c>
      <c r="AD121" s="882">
        <f>IF($O122=0,0,        _xll.qDateNext($O121,AD$17,$AH$16,TRUE,Currency1))</f>
        <v>0</v>
      </c>
      <c r="AE121" s="882">
        <f>IF($O122=0,0,        _xll.qDateNext($O121,AE$17,$AH$16,TRUE,Currency1))</f>
        <v>0</v>
      </c>
      <c r="AF121" s="882">
        <f>IF($O122=0,0,        _xll.qDateNext($O121,AF$17,$AH$16,TRUE,Currency1))</f>
        <v>0</v>
      </c>
      <c r="AG121" s="882">
        <f>IF($O122=0,0,        _xll.qDateNext($O121,AG$17,$AH$16,TRUE,Currency1))</f>
        <v>0</v>
      </c>
      <c r="AH121" s="882">
        <f>IF($O122=0,0,        _xll.qDateNext($O121,AH$17,$AH$16,TRUE,Currency1))</f>
        <v>0</v>
      </c>
      <c r="AI121" s="886">
        <f>IF($O122=0,0,           IF(FRM,_xll.qGetFwdRate(AI$14,$O121,AA121,"T",DCC_Leg1_Float),_xll.qGetFwdRate(AI$14,$O121,$O122,"T",DCC_Leg1_Float)))</f>
        <v>0</v>
      </c>
      <c r="AJ121" s="886">
        <f>IF($O122=0,0,           IF(FRM,_xll.qGetFwdRate(AJ$14,$O121,AB121,"T",DCC_Leg1_Float),_xll.qGetFwdRate(AJ$14,$O121,$O122,"T",DCC_Leg1_Float)))</f>
        <v>0</v>
      </c>
      <c r="AK121" s="886">
        <f t="shared" si="36"/>
        <v>0</v>
      </c>
      <c r="AL121" s="886">
        <f>IF($O122=0,0,           IF(FRM,_xll.qGetFwdRate(AL$14,$O121,AD121,"T",DCC_Leg1_Float),_xll.qGetFwdRate(AL$14,$O121,$O122,"T",DCC_Leg1_Float)))</f>
        <v>0</v>
      </c>
      <c r="AM121" s="886">
        <f t="shared" si="49"/>
        <v>0</v>
      </c>
      <c r="AN121" s="886">
        <f t="shared" si="50"/>
        <v>0</v>
      </c>
      <c r="AO121" s="886">
        <f>IF($O122=0,0,           IF(FRM,_xll.qGetFwdRate(AO$14,$O121,AG121,"T",DCC_Leg1_Float),_xll.qGetFwdRate(AO$14,$O121,$O122,"T",DCC_Leg1_Float)))</f>
        <v>0</v>
      </c>
      <c r="AP121" s="886">
        <f>IF($O122=0,0,           IF(FRM,_xll.qGetFwdRate(AP$14,$O121,AH121,"T",DCC_Leg1_Float),_xll.qGetFwdRate(AP$14,$O121,$O122,"T",DCC_Leg1_Float)))</f>
        <v>0</v>
      </c>
      <c r="AQ121" s="648">
        <f t="shared" si="51"/>
        <v>0</v>
      </c>
      <c r="AR121" s="648">
        <f t="shared" si="52"/>
        <v>0</v>
      </c>
      <c r="AS121" s="648">
        <f t="shared" si="53"/>
        <v>0</v>
      </c>
      <c r="AT121" s="648">
        <f t="shared" si="54"/>
        <v>0</v>
      </c>
      <c r="AU121" s="648">
        <f t="shared" si="55"/>
        <v>0</v>
      </c>
      <c r="AV121" s="648">
        <f t="shared" si="56"/>
        <v>0</v>
      </c>
      <c r="AW121" s="648">
        <f t="shared" si="57"/>
        <v>0</v>
      </c>
      <c r="AX121" s="648">
        <f t="shared" si="58"/>
        <v>0</v>
      </c>
      <c r="AY121" s="634">
        <v>0</v>
      </c>
      <c r="AZ121" s="616"/>
      <c r="BA121" s="619">
        <f>IF(O122=0,0,             IF(ISNUMBER(AZ121),AZ121,             IF(ISTEXT(AZ121),INDEX(AQ121:AX121,MATCH(AZ121,$AQ$17:$AX$17,0)),           IF(AY121="INT",_xll.qInterp(O122,AA121:AH121,AQ121:AX121),       INDEX(AQ121:AX121,MATCH(AY121,$AQ$17:$AX$17,0))))))</f>
        <v>0</v>
      </c>
      <c r="BB121" s="674">
        <v>100</v>
      </c>
      <c r="BC121" s="666">
        <f t="shared" si="37"/>
        <v>0</v>
      </c>
      <c r="BD121" s="268">
        <f>IF($O122=0,0,                IF(LEFT(DCC_Leg1_Fixed,2)="1/",uEvaluate(DCC_Leg1_Fixed),        _xll.qDateYears($O121,$O122,DCC_Leg1_Fixed)))</f>
        <v>0</v>
      </c>
      <c r="BE121" s="268">
        <f>IF($O122,_xll.qDateYears($O121,$O122,DCC_Leg1_Float),0)</f>
        <v>0</v>
      </c>
      <c r="BG121" s="332">
        <f t="shared" si="59"/>
        <v>0</v>
      </c>
      <c r="BH121" s="357">
        <f t="shared" si="60"/>
        <v>0</v>
      </c>
      <c r="BI121" s="527"/>
      <c r="BK121" s="324">
        <f t="shared" si="65"/>
        <v>0</v>
      </c>
      <c r="BM121" s="338"/>
      <c r="BN121" s="121">
        <v>0</v>
      </c>
      <c r="BO121" s="755">
        <f t="shared" si="38"/>
        <v>0</v>
      </c>
      <c r="BP121" s="339">
        <v>0</v>
      </c>
      <c r="BQ121" s="890">
        <f>IF(BN122=0,0,         IF(OR(Currency2="AUD",Currency1="NZD",Currency2="GBP"),BN121,   _xll.qDateNext(BN121,"-2b",,,IF(Currency2="EUR","TGT","LON"))))</f>
        <v>0</v>
      </c>
      <c r="BR121" s="879" t="str">
        <v/>
      </c>
      <c r="BS121" s="879" t="str">
        <v/>
      </c>
      <c r="BT121" s="879" t="str">
        <v/>
      </c>
      <c r="BU121" s="879" t="str">
        <v/>
      </c>
      <c r="BV121" s="879" t="str">
        <v/>
      </c>
      <c r="BW121" s="879" t="str">
        <v/>
      </c>
      <c r="BX121" s="879" t="str">
        <v/>
      </c>
      <c r="BY121" s="879" t="str">
        <v/>
      </c>
      <c r="BZ121" s="882">
        <f>IF($BN122=0,0,        _xll.qDateNext($BN121,BZ$17,$CG$16,TRUE,Currency2))</f>
        <v>0</v>
      </c>
      <c r="CA121" s="882">
        <f>IF($BN122=0,0,        _xll.qDateNext($BN121,CA$17,$CG$16,TRUE,Currency2))</f>
        <v>0</v>
      </c>
      <c r="CB121" s="882">
        <f>IF($BN122=0,0,        _xll.qDateNext($BN121,CB$17,$CG$16,TRUE,Currency2))</f>
        <v>0</v>
      </c>
      <c r="CC121" s="882">
        <f>IF($BN122=0,0,        _xll.qDateNext($BN121,CC$17,$CG$16,TRUE,Currency2))</f>
        <v>0</v>
      </c>
      <c r="CD121" s="882">
        <f>IF($BN122=0,0,        _xll.qDateNext($BN121,CD$17,$CG$16,TRUE,Currency2))</f>
        <v>0</v>
      </c>
      <c r="CE121" s="882">
        <f>IF($BN122=0,0,        _xll.qDateNext($BN121,CE$17,$CG$16,TRUE,Currency2))</f>
        <v>0</v>
      </c>
      <c r="CF121" s="882">
        <f>IF($BN122=0,0,        _xll.qDateNext($BN121,CF$17,$CG$16,TRUE,Currency2))</f>
        <v>0</v>
      </c>
      <c r="CG121" s="882">
        <f>IF($BN122=0,0,        _xll.qDateNext($BN121,CG$17,$CG$16,TRUE,Currency2))</f>
        <v>0</v>
      </c>
      <c r="CH121" s="886">
        <v>0</v>
      </c>
      <c r="CI121" s="886">
        <v>0</v>
      </c>
      <c r="CJ121" s="886">
        <v>0</v>
      </c>
      <c r="CK121" s="886">
        <v>0</v>
      </c>
      <c r="CL121" s="886">
        <f t="shared" si="61"/>
        <v>0</v>
      </c>
      <c r="CM121" s="886">
        <f t="shared" si="62"/>
        <v>0</v>
      </c>
      <c r="CN121" s="886">
        <v>0</v>
      </c>
      <c r="CO121" s="886">
        <v>0</v>
      </c>
      <c r="CP121" s="648">
        <f t="shared" si="39"/>
        <v>0</v>
      </c>
      <c r="CQ121" s="648">
        <f t="shared" si="40"/>
        <v>0</v>
      </c>
      <c r="CR121" s="648">
        <f t="shared" si="41"/>
        <v>0</v>
      </c>
      <c r="CS121" s="648">
        <f t="shared" si="42"/>
        <v>0</v>
      </c>
      <c r="CT121" s="648">
        <f t="shared" si="43"/>
        <v>0</v>
      </c>
      <c r="CU121" s="648">
        <f t="shared" si="44"/>
        <v>0</v>
      </c>
      <c r="CV121" s="648">
        <f t="shared" si="45"/>
        <v>0</v>
      </c>
      <c r="CW121" s="648">
        <f t="shared" si="46"/>
        <v>0</v>
      </c>
      <c r="CX121" s="634">
        <v>0</v>
      </c>
      <c r="CY121" s="616"/>
      <c r="CZ121" s="619">
        <f>IF(BN122=0,0,             IF(ISNUMBER(CY121),CY121,             IF(ISTEXT(CY121),INDEX(CP121:CW121,MATCH(CY121,$CP$17:$CW$17,0)),           IF(CX121="INT",_xll.qInterp(BN122,BZ121:CG121,CP121:CW121),       INDEX(CP121:CW121,MATCH(CX121,$CP$17:$CW$17,0))))))</f>
        <v>0</v>
      </c>
      <c r="DA121" s="755">
        <f t="shared" si="47"/>
        <v>0</v>
      </c>
      <c r="DB121" s="387">
        <f t="shared" si="48"/>
        <v>0</v>
      </c>
      <c r="DC121" s="268">
        <f>IF($BN122=0,0,         IF(LEFT(DCC_Leg2_Fixed,2)="1/",uEvaluate(DCC_Leg2_Fixed),         _xll.qDateYears($BN121,$BN122,DCC_Leg2_Fixed)))</f>
        <v>0</v>
      </c>
      <c r="DD121" s="268">
        <f>IF($BN122,_xll.qDateYears($BN121,$BN122,DCC_Leg2_Float),0)</f>
        <v>0</v>
      </c>
      <c r="DF121" s="332">
        <f t="shared" si="63"/>
        <v>0</v>
      </c>
      <c r="DG121" s="357">
        <f t="shared" si="64"/>
        <v>0</v>
      </c>
      <c r="DH121" s="527"/>
      <c r="DJ121" s="324">
        <f t="shared" si="66"/>
        <v>0</v>
      </c>
      <c r="DK121" s="529"/>
      <c r="DL121" s="338"/>
    </row>
    <row r="122" spans="15:116">
      <c r="O122" s="121">
        <v>0</v>
      </c>
      <c r="P122" s="755">
        <f t="shared" si="35"/>
        <v>0</v>
      </c>
      <c r="Q122" s="125">
        <v>0</v>
      </c>
      <c r="R122" s="890">
        <f>IF(O123=0,0,         IF(OR(Currency1="AUD",Currency1="NZD",Currency1="GBP"),O122,   _xll.qDateNext(O122,"-2b",,,IF(Currency1="EUR","TGT","LON"))))</f>
        <v>0</v>
      </c>
      <c r="S122" s="879" t="str">
        <v/>
      </c>
      <c r="T122" s="879" t="str">
        <v/>
      </c>
      <c r="U122" s="879" t="str">
        <v/>
      </c>
      <c r="V122" s="879" t="str">
        <v/>
      </c>
      <c r="W122" s="879" t="str">
        <v/>
      </c>
      <c r="X122" s="879" t="str">
        <v/>
      </c>
      <c r="Y122" s="879" t="str">
        <v/>
      </c>
      <c r="Z122" s="879" t="str">
        <v/>
      </c>
      <c r="AA122" s="882">
        <f>IF($O123=0,0,        _xll.qDateNext($O122,AA$17,$AH$16,TRUE,Currency1))</f>
        <v>0</v>
      </c>
      <c r="AB122" s="882">
        <f>IF($O123=0,0,        _xll.qDateNext($O122,AB$17,$AH$16,TRUE,Currency1))</f>
        <v>0</v>
      </c>
      <c r="AC122" s="882">
        <f>IF($O123=0,0,        _xll.qDateNext($O122,AC$17,$AH$16,TRUE,Currency1))</f>
        <v>0</v>
      </c>
      <c r="AD122" s="882">
        <f>IF($O123=0,0,        _xll.qDateNext($O122,AD$17,$AH$16,TRUE,Currency1))</f>
        <v>0</v>
      </c>
      <c r="AE122" s="882">
        <f>IF($O123=0,0,        _xll.qDateNext($O122,AE$17,$AH$16,TRUE,Currency1))</f>
        <v>0</v>
      </c>
      <c r="AF122" s="882">
        <f>IF($O123=0,0,        _xll.qDateNext($O122,AF$17,$AH$16,TRUE,Currency1))</f>
        <v>0</v>
      </c>
      <c r="AG122" s="882">
        <f>IF($O123=0,0,        _xll.qDateNext($O122,AG$17,$AH$16,TRUE,Currency1))</f>
        <v>0</v>
      </c>
      <c r="AH122" s="882">
        <f>IF($O123=0,0,        _xll.qDateNext($O122,AH$17,$AH$16,TRUE,Currency1))</f>
        <v>0</v>
      </c>
      <c r="AI122" s="886">
        <f>IF($O123=0,0,           IF(FRM,_xll.qGetFwdRate(AI$14,$O122,AA122,"T",DCC_Leg1_Float),_xll.qGetFwdRate(AI$14,$O122,$O123,"T",DCC_Leg1_Float)))</f>
        <v>0</v>
      </c>
      <c r="AJ122" s="886">
        <f>IF($O123=0,0,           IF(FRM,_xll.qGetFwdRate(AJ$14,$O122,AB122,"T",DCC_Leg1_Float),_xll.qGetFwdRate(AJ$14,$O122,$O123,"T",DCC_Leg1_Float)))</f>
        <v>0</v>
      </c>
      <c r="AK122" s="886">
        <f t="shared" si="36"/>
        <v>0</v>
      </c>
      <c r="AL122" s="886">
        <f>IF($O123=0,0,           IF(FRM,_xll.qGetFwdRate(AL$14,$O122,AD122,"T",DCC_Leg1_Float),_xll.qGetFwdRate(AL$14,$O122,$O123,"T",DCC_Leg1_Float)))</f>
        <v>0</v>
      </c>
      <c r="AM122" s="886">
        <f t="shared" si="49"/>
        <v>0</v>
      </c>
      <c r="AN122" s="886">
        <f t="shared" si="50"/>
        <v>0</v>
      </c>
      <c r="AO122" s="886">
        <f>IF($O123=0,0,           IF(FRM,_xll.qGetFwdRate(AO$14,$O122,AG122,"T",DCC_Leg1_Float),_xll.qGetFwdRate(AO$14,$O122,$O123,"T",DCC_Leg1_Float)))</f>
        <v>0</v>
      </c>
      <c r="AP122" s="886">
        <f>IF($O123=0,0,           IF(FRM,_xll.qGetFwdRate(AP$14,$O122,AH122,"T",DCC_Leg1_Float),_xll.qGetFwdRate(AP$14,$O122,$O123,"T",DCC_Leg1_Float)))</f>
        <v>0</v>
      </c>
      <c r="AQ122" s="648">
        <f t="shared" si="51"/>
        <v>0</v>
      </c>
      <c r="AR122" s="648">
        <f t="shared" si="52"/>
        <v>0</v>
      </c>
      <c r="AS122" s="648">
        <f t="shared" si="53"/>
        <v>0</v>
      </c>
      <c r="AT122" s="648">
        <f t="shared" si="54"/>
        <v>0</v>
      </c>
      <c r="AU122" s="648">
        <f t="shared" si="55"/>
        <v>0</v>
      </c>
      <c r="AV122" s="648">
        <f t="shared" si="56"/>
        <v>0</v>
      </c>
      <c r="AW122" s="648">
        <f t="shared" si="57"/>
        <v>0</v>
      </c>
      <c r="AX122" s="648">
        <f t="shared" si="58"/>
        <v>0</v>
      </c>
      <c r="AY122" s="634">
        <v>0</v>
      </c>
      <c r="AZ122" s="616"/>
      <c r="BA122" s="619">
        <f>IF(O123=0,0,             IF(ISNUMBER(AZ122),AZ122,             IF(ISTEXT(AZ122),INDEX(AQ122:AX122,MATCH(AZ122,$AQ$17:$AX$17,0)),           IF(AY122="INT",_xll.qInterp(O123,AA122:AH122,AQ122:AX122),       INDEX(AQ122:AX122,MATCH(AY122,$AQ$17:$AX$17,0))))))</f>
        <v>0</v>
      </c>
      <c r="BB122" s="674">
        <v>100</v>
      </c>
      <c r="BC122" s="666">
        <f t="shared" si="37"/>
        <v>0</v>
      </c>
      <c r="BD122" s="268">
        <f>IF($O123=0,0,                IF(LEFT(DCC_Leg1_Fixed,2)="1/",uEvaluate(DCC_Leg1_Fixed),        _xll.qDateYears($O122,$O123,DCC_Leg1_Fixed)))</f>
        <v>0</v>
      </c>
      <c r="BE122" s="268">
        <f>IF($O123,_xll.qDateYears($O122,$O123,DCC_Leg1_Float),0)</f>
        <v>0</v>
      </c>
      <c r="BG122" s="332">
        <f t="shared" si="59"/>
        <v>0</v>
      </c>
      <c r="BH122" s="357">
        <f t="shared" si="60"/>
        <v>0</v>
      </c>
      <c r="BI122" s="527"/>
      <c r="BK122" s="324">
        <f t="shared" si="65"/>
        <v>0</v>
      </c>
      <c r="BM122" s="338"/>
      <c r="BN122" s="121">
        <v>0</v>
      </c>
      <c r="BO122" s="755">
        <f t="shared" si="38"/>
        <v>0</v>
      </c>
      <c r="BP122" s="339">
        <v>0</v>
      </c>
      <c r="BQ122" s="890">
        <f>IF(BN123=0,0,         IF(OR(Currency2="AUD",Currency1="NZD",Currency2="GBP"),BN122,   _xll.qDateNext(BN122,"-2b",,,IF(Currency2="EUR","TGT","LON"))))</f>
        <v>0</v>
      </c>
      <c r="BR122" s="879" t="str">
        <v/>
      </c>
      <c r="BS122" s="879" t="str">
        <v/>
      </c>
      <c r="BT122" s="879" t="str">
        <v/>
      </c>
      <c r="BU122" s="879" t="str">
        <v/>
      </c>
      <c r="BV122" s="879" t="str">
        <v/>
      </c>
      <c r="BW122" s="879" t="str">
        <v/>
      </c>
      <c r="BX122" s="879" t="str">
        <v/>
      </c>
      <c r="BY122" s="879" t="str">
        <v/>
      </c>
      <c r="BZ122" s="882">
        <f>IF($BN123=0,0,        _xll.qDateNext($BN122,BZ$17,$CG$16,TRUE,Currency2))</f>
        <v>0</v>
      </c>
      <c r="CA122" s="882">
        <f>IF($BN123=0,0,        _xll.qDateNext($BN122,CA$17,$CG$16,TRUE,Currency2))</f>
        <v>0</v>
      </c>
      <c r="CB122" s="882">
        <f>IF($BN123=0,0,        _xll.qDateNext($BN122,CB$17,$CG$16,TRUE,Currency2))</f>
        <v>0</v>
      </c>
      <c r="CC122" s="882">
        <f>IF($BN123=0,0,        _xll.qDateNext($BN122,CC$17,$CG$16,TRUE,Currency2))</f>
        <v>0</v>
      </c>
      <c r="CD122" s="882">
        <f>IF($BN123=0,0,        _xll.qDateNext($BN122,CD$17,$CG$16,TRUE,Currency2))</f>
        <v>0</v>
      </c>
      <c r="CE122" s="882">
        <f>IF($BN123=0,0,        _xll.qDateNext($BN122,CE$17,$CG$16,TRUE,Currency2))</f>
        <v>0</v>
      </c>
      <c r="CF122" s="882">
        <f>IF($BN123=0,0,        _xll.qDateNext($BN122,CF$17,$CG$16,TRUE,Currency2))</f>
        <v>0</v>
      </c>
      <c r="CG122" s="882">
        <f>IF($BN123=0,0,        _xll.qDateNext($BN122,CG$17,$CG$16,TRUE,Currency2))</f>
        <v>0</v>
      </c>
      <c r="CH122" s="886">
        <v>0</v>
      </c>
      <c r="CI122" s="886">
        <v>0</v>
      </c>
      <c r="CJ122" s="886">
        <v>0</v>
      </c>
      <c r="CK122" s="886">
        <v>0</v>
      </c>
      <c r="CL122" s="886">
        <f t="shared" si="61"/>
        <v>0</v>
      </c>
      <c r="CM122" s="886">
        <f t="shared" si="62"/>
        <v>0</v>
      </c>
      <c r="CN122" s="886">
        <v>0</v>
      </c>
      <c r="CO122" s="886">
        <v>0</v>
      </c>
      <c r="CP122" s="648">
        <f t="shared" si="39"/>
        <v>0</v>
      </c>
      <c r="CQ122" s="648">
        <f t="shared" si="40"/>
        <v>0</v>
      </c>
      <c r="CR122" s="648">
        <f t="shared" si="41"/>
        <v>0</v>
      </c>
      <c r="CS122" s="648">
        <f t="shared" si="42"/>
        <v>0</v>
      </c>
      <c r="CT122" s="648">
        <f t="shared" si="43"/>
        <v>0</v>
      </c>
      <c r="CU122" s="648">
        <f t="shared" si="44"/>
        <v>0</v>
      </c>
      <c r="CV122" s="648">
        <f t="shared" si="45"/>
        <v>0</v>
      </c>
      <c r="CW122" s="648">
        <f t="shared" si="46"/>
        <v>0</v>
      </c>
      <c r="CX122" s="634">
        <v>0</v>
      </c>
      <c r="CY122" s="616"/>
      <c r="CZ122" s="619">
        <f>IF(BN123=0,0,             IF(ISNUMBER(CY122),CY122,             IF(ISTEXT(CY122),INDEX(CP122:CW122,MATCH(CY122,$CP$17:$CW$17,0)),           IF(CX122="INT",_xll.qInterp(BN123,BZ122:CG122,CP122:CW122),       INDEX(CP122:CW122,MATCH(CX122,$CP$17:$CW$17,0))))))</f>
        <v>0</v>
      </c>
      <c r="DA122" s="755">
        <f t="shared" si="47"/>
        <v>0</v>
      </c>
      <c r="DB122" s="387">
        <f t="shared" si="48"/>
        <v>0</v>
      </c>
      <c r="DC122" s="268">
        <f>IF($BN123=0,0,         IF(LEFT(DCC_Leg2_Fixed,2)="1/",uEvaluate(DCC_Leg2_Fixed),         _xll.qDateYears($BN122,$BN123,DCC_Leg2_Fixed)))</f>
        <v>0</v>
      </c>
      <c r="DD122" s="268">
        <f>IF($BN123,_xll.qDateYears($BN122,$BN123,DCC_Leg2_Float),0)</f>
        <v>0</v>
      </c>
      <c r="DF122" s="332">
        <f t="shared" si="63"/>
        <v>0</v>
      </c>
      <c r="DG122" s="357">
        <f t="shared" si="64"/>
        <v>0</v>
      </c>
      <c r="DH122" s="527"/>
      <c r="DJ122" s="324">
        <f t="shared" si="66"/>
        <v>0</v>
      </c>
      <c r="DK122" s="529"/>
      <c r="DL122" s="338"/>
    </row>
    <row r="123" spans="15:116">
      <c r="O123" s="121">
        <v>0</v>
      </c>
      <c r="P123" s="755">
        <f t="shared" si="35"/>
        <v>0</v>
      </c>
      <c r="Q123" s="125">
        <v>0</v>
      </c>
      <c r="R123" s="890">
        <f>IF(O124=0,0,         IF(OR(Currency1="AUD",Currency1="NZD",Currency1="GBP"),O123,   _xll.qDateNext(O123,"-2b",,,IF(Currency1="EUR","TGT","LON"))))</f>
        <v>0</v>
      </c>
      <c r="S123" s="879" t="str">
        <v/>
      </c>
      <c r="T123" s="879" t="str">
        <v/>
      </c>
      <c r="U123" s="879" t="str">
        <v/>
      </c>
      <c r="V123" s="879" t="str">
        <v/>
      </c>
      <c r="W123" s="879" t="str">
        <v/>
      </c>
      <c r="X123" s="879" t="str">
        <v/>
      </c>
      <c r="Y123" s="879" t="str">
        <v/>
      </c>
      <c r="Z123" s="879" t="str">
        <v/>
      </c>
      <c r="AA123" s="882">
        <f>IF($O124=0,0,        _xll.qDateNext($O123,AA$17,$AH$16,TRUE,Currency1))</f>
        <v>0</v>
      </c>
      <c r="AB123" s="882">
        <f>IF($O124=0,0,        _xll.qDateNext($O123,AB$17,$AH$16,TRUE,Currency1))</f>
        <v>0</v>
      </c>
      <c r="AC123" s="882">
        <f>IF($O124=0,0,        _xll.qDateNext($O123,AC$17,$AH$16,TRUE,Currency1))</f>
        <v>0</v>
      </c>
      <c r="AD123" s="882">
        <f>IF($O124=0,0,        _xll.qDateNext($O123,AD$17,$AH$16,TRUE,Currency1))</f>
        <v>0</v>
      </c>
      <c r="AE123" s="882">
        <f>IF($O124=0,0,        _xll.qDateNext($O123,AE$17,$AH$16,TRUE,Currency1))</f>
        <v>0</v>
      </c>
      <c r="AF123" s="882">
        <f>IF($O124=0,0,        _xll.qDateNext($O123,AF$17,$AH$16,TRUE,Currency1))</f>
        <v>0</v>
      </c>
      <c r="AG123" s="882">
        <f>IF($O124=0,0,        _xll.qDateNext($O123,AG$17,$AH$16,TRUE,Currency1))</f>
        <v>0</v>
      </c>
      <c r="AH123" s="882">
        <f>IF($O124=0,0,        _xll.qDateNext($O123,AH$17,$AH$16,TRUE,Currency1))</f>
        <v>0</v>
      </c>
      <c r="AI123" s="886">
        <f>IF($O124=0,0,           IF(FRM,_xll.qGetFwdRate(AI$14,$O123,AA123,"T",DCC_Leg1_Float),_xll.qGetFwdRate(AI$14,$O123,$O124,"T",DCC_Leg1_Float)))</f>
        <v>0</v>
      </c>
      <c r="AJ123" s="886">
        <f>IF($O124=0,0,           IF(FRM,_xll.qGetFwdRate(AJ$14,$O123,AB123,"T",DCC_Leg1_Float),_xll.qGetFwdRate(AJ$14,$O123,$O124,"T",DCC_Leg1_Float)))</f>
        <v>0</v>
      </c>
      <c r="AK123" s="886">
        <f t="shared" si="36"/>
        <v>0</v>
      </c>
      <c r="AL123" s="886">
        <f>IF($O124=0,0,           IF(FRM,_xll.qGetFwdRate(AL$14,$O123,AD123,"T",DCC_Leg1_Float),_xll.qGetFwdRate(AL$14,$O123,$O124,"T",DCC_Leg1_Float)))</f>
        <v>0</v>
      </c>
      <c r="AM123" s="886">
        <f t="shared" si="49"/>
        <v>0</v>
      </c>
      <c r="AN123" s="886">
        <f t="shared" si="50"/>
        <v>0</v>
      </c>
      <c r="AO123" s="886">
        <f>IF($O124=0,0,           IF(FRM,_xll.qGetFwdRate(AO$14,$O123,AG123,"T",DCC_Leg1_Float),_xll.qGetFwdRate(AO$14,$O123,$O124,"T",DCC_Leg1_Float)))</f>
        <v>0</v>
      </c>
      <c r="AP123" s="886">
        <f>IF($O124=0,0,           IF(FRM,_xll.qGetFwdRate(AP$14,$O123,AH123,"T",DCC_Leg1_Float),_xll.qGetFwdRate(AP$14,$O123,$O124,"T",DCC_Leg1_Float)))</f>
        <v>0</v>
      </c>
      <c r="AQ123" s="648">
        <f t="shared" si="51"/>
        <v>0</v>
      </c>
      <c r="AR123" s="648">
        <f t="shared" si="52"/>
        <v>0</v>
      </c>
      <c r="AS123" s="648">
        <f t="shared" si="53"/>
        <v>0</v>
      </c>
      <c r="AT123" s="648">
        <f t="shared" si="54"/>
        <v>0</v>
      </c>
      <c r="AU123" s="648">
        <f t="shared" si="55"/>
        <v>0</v>
      </c>
      <c r="AV123" s="648">
        <f t="shared" si="56"/>
        <v>0</v>
      </c>
      <c r="AW123" s="648">
        <f t="shared" si="57"/>
        <v>0</v>
      </c>
      <c r="AX123" s="648">
        <f t="shared" si="58"/>
        <v>0</v>
      </c>
      <c r="AY123" s="634">
        <v>0</v>
      </c>
      <c r="AZ123" s="616"/>
      <c r="BA123" s="619">
        <f>IF(O124=0,0,             IF(ISNUMBER(AZ123),AZ123,             IF(ISTEXT(AZ123),INDEX(AQ123:AX123,MATCH(AZ123,$AQ$17:$AX$17,0)),           IF(AY123="INT",_xll.qInterp(O124,AA123:AH123,AQ123:AX123),       INDEX(AQ123:AX123,MATCH(AY123,$AQ$17:$AX$17,0))))))</f>
        <v>0</v>
      </c>
      <c r="BB123" s="674">
        <v>100</v>
      </c>
      <c r="BC123" s="666">
        <f t="shared" si="37"/>
        <v>0</v>
      </c>
      <c r="BD123" s="268">
        <f>IF($O124=0,0,                IF(LEFT(DCC_Leg1_Fixed,2)="1/",uEvaluate(DCC_Leg1_Fixed),        _xll.qDateYears($O123,$O124,DCC_Leg1_Fixed)))</f>
        <v>0</v>
      </c>
      <c r="BE123" s="268">
        <f>IF($O124,_xll.qDateYears($O123,$O124,DCC_Leg1_Float),0)</f>
        <v>0</v>
      </c>
      <c r="BG123" s="332">
        <f t="shared" si="59"/>
        <v>0</v>
      </c>
      <c r="BH123" s="357">
        <f t="shared" si="60"/>
        <v>0</v>
      </c>
      <c r="BI123" s="527"/>
      <c r="BK123" s="324">
        <f t="shared" si="65"/>
        <v>0</v>
      </c>
      <c r="BM123" s="338"/>
      <c r="BN123" s="121">
        <v>0</v>
      </c>
      <c r="BO123" s="755">
        <f t="shared" si="38"/>
        <v>0</v>
      </c>
      <c r="BP123" s="339">
        <v>0</v>
      </c>
      <c r="BQ123" s="890">
        <f>IF(BN124=0,0,         IF(OR(Currency2="AUD",Currency1="NZD",Currency2="GBP"),BN123,   _xll.qDateNext(BN123,"-2b",,,IF(Currency2="EUR","TGT","LON"))))</f>
        <v>0</v>
      </c>
      <c r="BR123" s="879" t="str">
        <v/>
      </c>
      <c r="BS123" s="879" t="str">
        <v/>
      </c>
      <c r="BT123" s="879" t="str">
        <v/>
      </c>
      <c r="BU123" s="879" t="str">
        <v/>
      </c>
      <c r="BV123" s="879" t="str">
        <v/>
      </c>
      <c r="BW123" s="879" t="str">
        <v/>
      </c>
      <c r="BX123" s="879" t="str">
        <v/>
      </c>
      <c r="BY123" s="879" t="str">
        <v/>
      </c>
      <c r="BZ123" s="882">
        <f>IF($BN124=0,0,        _xll.qDateNext($BN123,BZ$17,$CG$16,TRUE,Currency2))</f>
        <v>0</v>
      </c>
      <c r="CA123" s="882">
        <f>IF($BN124=0,0,        _xll.qDateNext($BN123,CA$17,$CG$16,TRUE,Currency2))</f>
        <v>0</v>
      </c>
      <c r="CB123" s="882">
        <f>IF($BN124=0,0,        _xll.qDateNext($BN123,CB$17,$CG$16,TRUE,Currency2))</f>
        <v>0</v>
      </c>
      <c r="CC123" s="882">
        <f>IF($BN124=0,0,        _xll.qDateNext($BN123,CC$17,$CG$16,TRUE,Currency2))</f>
        <v>0</v>
      </c>
      <c r="CD123" s="882">
        <f>IF($BN124=0,0,        _xll.qDateNext($BN123,CD$17,$CG$16,TRUE,Currency2))</f>
        <v>0</v>
      </c>
      <c r="CE123" s="882">
        <f>IF($BN124=0,0,        _xll.qDateNext($BN123,CE$17,$CG$16,TRUE,Currency2))</f>
        <v>0</v>
      </c>
      <c r="CF123" s="882">
        <f>IF($BN124=0,0,        _xll.qDateNext($BN123,CF$17,$CG$16,TRUE,Currency2))</f>
        <v>0</v>
      </c>
      <c r="CG123" s="882">
        <f>IF($BN124=0,0,        _xll.qDateNext($BN123,CG$17,$CG$16,TRUE,Currency2))</f>
        <v>0</v>
      </c>
      <c r="CH123" s="886">
        <v>0</v>
      </c>
      <c r="CI123" s="886">
        <v>0</v>
      </c>
      <c r="CJ123" s="886">
        <v>0</v>
      </c>
      <c r="CK123" s="886">
        <v>0</v>
      </c>
      <c r="CL123" s="886">
        <f t="shared" si="61"/>
        <v>0</v>
      </c>
      <c r="CM123" s="886">
        <f t="shared" si="62"/>
        <v>0</v>
      </c>
      <c r="CN123" s="886">
        <v>0</v>
      </c>
      <c r="CO123" s="886">
        <v>0</v>
      </c>
      <c r="CP123" s="648">
        <f t="shared" si="39"/>
        <v>0</v>
      </c>
      <c r="CQ123" s="648">
        <f t="shared" si="40"/>
        <v>0</v>
      </c>
      <c r="CR123" s="648">
        <f t="shared" si="41"/>
        <v>0</v>
      </c>
      <c r="CS123" s="648">
        <f t="shared" si="42"/>
        <v>0</v>
      </c>
      <c r="CT123" s="648">
        <f t="shared" si="43"/>
        <v>0</v>
      </c>
      <c r="CU123" s="648">
        <f t="shared" si="44"/>
        <v>0</v>
      </c>
      <c r="CV123" s="648">
        <f t="shared" si="45"/>
        <v>0</v>
      </c>
      <c r="CW123" s="648">
        <f t="shared" si="46"/>
        <v>0</v>
      </c>
      <c r="CX123" s="634">
        <v>0</v>
      </c>
      <c r="CY123" s="616"/>
      <c r="CZ123" s="619">
        <f>IF(BN124=0,0,             IF(ISNUMBER(CY123),CY123,             IF(ISTEXT(CY123),INDEX(CP123:CW123,MATCH(CY123,$CP$17:$CW$17,0)),           IF(CX123="INT",_xll.qInterp(BN124,BZ123:CG123,CP123:CW123),       INDEX(CP123:CW123,MATCH(CX123,$CP$17:$CW$17,0))))))</f>
        <v>0</v>
      </c>
      <c r="DA123" s="755">
        <f t="shared" si="47"/>
        <v>0</v>
      </c>
      <c r="DB123" s="387">
        <f t="shared" si="48"/>
        <v>0</v>
      </c>
      <c r="DC123" s="268">
        <f>IF($BN124=0,0,         IF(LEFT(DCC_Leg2_Fixed,2)="1/",uEvaluate(DCC_Leg2_Fixed),         _xll.qDateYears($BN123,$BN124,DCC_Leg2_Fixed)))</f>
        <v>0</v>
      </c>
      <c r="DD123" s="268">
        <f>IF($BN124,_xll.qDateYears($BN123,$BN124,DCC_Leg2_Float),0)</f>
        <v>0</v>
      </c>
      <c r="DF123" s="332">
        <f t="shared" si="63"/>
        <v>0</v>
      </c>
      <c r="DG123" s="357">
        <f t="shared" si="64"/>
        <v>0</v>
      </c>
      <c r="DH123" s="527"/>
      <c r="DJ123" s="324">
        <f t="shared" si="66"/>
        <v>0</v>
      </c>
      <c r="DK123" s="529"/>
      <c r="DL123" s="338"/>
    </row>
    <row r="124" spans="15:116">
      <c r="O124" s="121">
        <v>0</v>
      </c>
      <c r="P124" s="755">
        <f t="shared" si="35"/>
        <v>0</v>
      </c>
      <c r="Q124" s="125">
        <v>0</v>
      </c>
      <c r="R124" s="890">
        <f>IF(O125=0,0,         IF(OR(Currency1="AUD",Currency1="NZD",Currency1="GBP"),O124,   _xll.qDateNext(O124,"-2b",,,IF(Currency1="EUR","TGT","LON"))))</f>
        <v>0</v>
      </c>
      <c r="S124" s="879" t="str">
        <v/>
      </c>
      <c r="T124" s="879" t="str">
        <v/>
      </c>
      <c r="U124" s="879" t="str">
        <v/>
      </c>
      <c r="V124" s="879" t="str">
        <v/>
      </c>
      <c r="W124" s="879" t="str">
        <v/>
      </c>
      <c r="X124" s="879" t="str">
        <v/>
      </c>
      <c r="Y124" s="879" t="str">
        <v/>
      </c>
      <c r="Z124" s="879" t="str">
        <v/>
      </c>
      <c r="AA124" s="882">
        <f>IF($O125=0,0,        _xll.qDateNext($O124,AA$17,$AH$16,TRUE,Currency1))</f>
        <v>0</v>
      </c>
      <c r="AB124" s="882">
        <f>IF($O125=0,0,        _xll.qDateNext($O124,AB$17,$AH$16,TRUE,Currency1))</f>
        <v>0</v>
      </c>
      <c r="AC124" s="882">
        <f>IF($O125=0,0,        _xll.qDateNext($O124,AC$17,$AH$16,TRUE,Currency1))</f>
        <v>0</v>
      </c>
      <c r="AD124" s="882">
        <f>IF($O125=0,0,        _xll.qDateNext($O124,AD$17,$AH$16,TRUE,Currency1))</f>
        <v>0</v>
      </c>
      <c r="AE124" s="882">
        <f>IF($O125=0,0,        _xll.qDateNext($O124,AE$17,$AH$16,TRUE,Currency1))</f>
        <v>0</v>
      </c>
      <c r="AF124" s="882">
        <f>IF($O125=0,0,        _xll.qDateNext($O124,AF$17,$AH$16,TRUE,Currency1))</f>
        <v>0</v>
      </c>
      <c r="AG124" s="882">
        <f>IF($O125=0,0,        _xll.qDateNext($O124,AG$17,$AH$16,TRUE,Currency1))</f>
        <v>0</v>
      </c>
      <c r="AH124" s="882">
        <f>IF($O125=0,0,        _xll.qDateNext($O124,AH$17,$AH$16,TRUE,Currency1))</f>
        <v>0</v>
      </c>
      <c r="AI124" s="886">
        <f>IF($O125=0,0,           IF(FRM,_xll.qGetFwdRate(AI$14,$O124,AA124,"T",DCC_Leg1_Float),_xll.qGetFwdRate(AI$14,$O124,$O125,"T",DCC_Leg1_Float)))</f>
        <v>0</v>
      </c>
      <c r="AJ124" s="886">
        <f>IF($O125=0,0,           IF(FRM,_xll.qGetFwdRate(AJ$14,$O124,AB124,"T",DCC_Leg1_Float),_xll.qGetFwdRate(AJ$14,$O124,$O125,"T",DCC_Leg1_Float)))</f>
        <v>0</v>
      </c>
      <c r="AK124" s="886">
        <f t="shared" si="36"/>
        <v>0</v>
      </c>
      <c r="AL124" s="886">
        <f>IF($O125=0,0,           IF(FRM,_xll.qGetFwdRate(AL$14,$O124,AD124,"T",DCC_Leg1_Float),_xll.qGetFwdRate(AL$14,$O124,$O125,"T",DCC_Leg1_Float)))</f>
        <v>0</v>
      </c>
      <c r="AM124" s="886">
        <f t="shared" si="49"/>
        <v>0</v>
      </c>
      <c r="AN124" s="886">
        <f t="shared" si="50"/>
        <v>0</v>
      </c>
      <c r="AO124" s="886">
        <f>IF($O125=0,0,           IF(FRM,_xll.qGetFwdRate(AO$14,$O124,AG124,"T",DCC_Leg1_Float),_xll.qGetFwdRate(AO$14,$O124,$O125,"T",DCC_Leg1_Float)))</f>
        <v>0</v>
      </c>
      <c r="AP124" s="886">
        <f>IF($O125=0,0,           IF(FRM,_xll.qGetFwdRate(AP$14,$O124,AH124,"T",DCC_Leg1_Float),_xll.qGetFwdRate(AP$14,$O124,$O125,"T",DCC_Leg1_Float)))</f>
        <v>0</v>
      </c>
      <c r="AQ124" s="648">
        <f t="shared" si="51"/>
        <v>0</v>
      </c>
      <c r="AR124" s="648">
        <f t="shared" si="52"/>
        <v>0</v>
      </c>
      <c r="AS124" s="648">
        <f t="shared" si="53"/>
        <v>0</v>
      </c>
      <c r="AT124" s="648">
        <f t="shared" si="54"/>
        <v>0</v>
      </c>
      <c r="AU124" s="648">
        <f t="shared" si="55"/>
        <v>0</v>
      </c>
      <c r="AV124" s="648">
        <f t="shared" si="56"/>
        <v>0</v>
      </c>
      <c r="AW124" s="648">
        <f t="shared" si="57"/>
        <v>0</v>
      </c>
      <c r="AX124" s="648">
        <f t="shared" si="58"/>
        <v>0</v>
      </c>
      <c r="AY124" s="634">
        <v>0</v>
      </c>
      <c r="AZ124" s="616"/>
      <c r="BA124" s="619">
        <f>IF(O125=0,0,             IF(ISNUMBER(AZ124),AZ124,             IF(ISTEXT(AZ124),INDEX(AQ124:AX124,MATCH(AZ124,$AQ$17:$AX$17,0)),           IF(AY124="INT",_xll.qInterp(O125,AA124:AH124,AQ124:AX124),       INDEX(AQ124:AX124,MATCH(AY124,$AQ$17:$AX$17,0))))))</f>
        <v>0</v>
      </c>
      <c r="BB124" s="674">
        <v>100</v>
      </c>
      <c r="BC124" s="666">
        <f t="shared" si="37"/>
        <v>0</v>
      </c>
      <c r="BD124" s="268">
        <f>IF($O125=0,0,                IF(LEFT(DCC_Leg1_Fixed,2)="1/",uEvaluate(DCC_Leg1_Fixed),        _xll.qDateYears($O124,$O125,DCC_Leg1_Fixed)))</f>
        <v>0</v>
      </c>
      <c r="BE124" s="268">
        <f>IF($O125,_xll.qDateYears($O124,$O125,DCC_Leg1_Float),0)</f>
        <v>0</v>
      </c>
      <c r="BG124" s="332">
        <f t="shared" si="59"/>
        <v>0</v>
      </c>
      <c r="BH124" s="357">
        <f t="shared" si="60"/>
        <v>0</v>
      </c>
      <c r="BI124" s="527"/>
      <c r="BK124" s="324">
        <f t="shared" si="65"/>
        <v>0</v>
      </c>
      <c r="BM124" s="338"/>
      <c r="BN124" s="121">
        <v>0</v>
      </c>
      <c r="BO124" s="755">
        <f t="shared" si="38"/>
        <v>0</v>
      </c>
      <c r="BP124" s="339">
        <v>0</v>
      </c>
      <c r="BQ124" s="890">
        <f>IF(BN125=0,0,         IF(OR(Currency2="AUD",Currency1="NZD",Currency2="GBP"),BN124,   _xll.qDateNext(BN124,"-2b",,,IF(Currency2="EUR","TGT","LON"))))</f>
        <v>0</v>
      </c>
      <c r="BR124" s="879" t="str">
        <v/>
      </c>
      <c r="BS124" s="879" t="str">
        <v/>
      </c>
      <c r="BT124" s="879" t="str">
        <v/>
      </c>
      <c r="BU124" s="879" t="str">
        <v/>
      </c>
      <c r="BV124" s="879" t="str">
        <v/>
      </c>
      <c r="BW124" s="879" t="str">
        <v/>
      </c>
      <c r="BX124" s="879" t="str">
        <v/>
      </c>
      <c r="BY124" s="879" t="str">
        <v/>
      </c>
      <c r="BZ124" s="882">
        <f>IF($BN125=0,0,        _xll.qDateNext($BN124,BZ$17,$CG$16,TRUE,Currency2))</f>
        <v>0</v>
      </c>
      <c r="CA124" s="882">
        <f>IF($BN125=0,0,        _xll.qDateNext($BN124,CA$17,$CG$16,TRUE,Currency2))</f>
        <v>0</v>
      </c>
      <c r="CB124" s="882">
        <f>IF($BN125=0,0,        _xll.qDateNext($BN124,CB$17,$CG$16,TRUE,Currency2))</f>
        <v>0</v>
      </c>
      <c r="CC124" s="882">
        <f>IF($BN125=0,0,        _xll.qDateNext($BN124,CC$17,$CG$16,TRUE,Currency2))</f>
        <v>0</v>
      </c>
      <c r="CD124" s="882">
        <f>IF($BN125=0,0,        _xll.qDateNext($BN124,CD$17,$CG$16,TRUE,Currency2))</f>
        <v>0</v>
      </c>
      <c r="CE124" s="882">
        <f>IF($BN125=0,0,        _xll.qDateNext($BN124,CE$17,$CG$16,TRUE,Currency2))</f>
        <v>0</v>
      </c>
      <c r="CF124" s="882">
        <f>IF($BN125=0,0,        _xll.qDateNext($BN124,CF$17,$CG$16,TRUE,Currency2))</f>
        <v>0</v>
      </c>
      <c r="CG124" s="882">
        <f>IF($BN125=0,0,        _xll.qDateNext($BN124,CG$17,$CG$16,TRUE,Currency2))</f>
        <v>0</v>
      </c>
      <c r="CH124" s="886">
        <v>0</v>
      </c>
      <c r="CI124" s="886">
        <v>0</v>
      </c>
      <c r="CJ124" s="886">
        <v>0</v>
      </c>
      <c r="CK124" s="886">
        <v>0</v>
      </c>
      <c r="CL124" s="886">
        <f t="shared" si="61"/>
        <v>0</v>
      </c>
      <c r="CM124" s="886">
        <f t="shared" si="62"/>
        <v>0</v>
      </c>
      <c r="CN124" s="886">
        <v>0</v>
      </c>
      <c r="CO124" s="886">
        <v>0</v>
      </c>
      <c r="CP124" s="648">
        <f t="shared" si="39"/>
        <v>0</v>
      </c>
      <c r="CQ124" s="648">
        <f t="shared" si="40"/>
        <v>0</v>
      </c>
      <c r="CR124" s="648">
        <f t="shared" si="41"/>
        <v>0</v>
      </c>
      <c r="CS124" s="648">
        <f t="shared" si="42"/>
        <v>0</v>
      </c>
      <c r="CT124" s="648">
        <f t="shared" si="43"/>
        <v>0</v>
      </c>
      <c r="CU124" s="648">
        <f t="shared" si="44"/>
        <v>0</v>
      </c>
      <c r="CV124" s="648">
        <f t="shared" si="45"/>
        <v>0</v>
      </c>
      <c r="CW124" s="648">
        <f t="shared" si="46"/>
        <v>0</v>
      </c>
      <c r="CX124" s="634">
        <v>0</v>
      </c>
      <c r="CY124" s="616"/>
      <c r="CZ124" s="619">
        <f>IF(BN125=0,0,             IF(ISNUMBER(CY124),CY124,             IF(ISTEXT(CY124),INDEX(CP124:CW124,MATCH(CY124,$CP$17:$CW$17,0)),           IF(CX124="INT",_xll.qInterp(BN125,BZ124:CG124,CP124:CW124),       INDEX(CP124:CW124,MATCH(CX124,$CP$17:$CW$17,0))))))</f>
        <v>0</v>
      </c>
      <c r="DA124" s="755">
        <f t="shared" si="47"/>
        <v>0</v>
      </c>
      <c r="DB124" s="387">
        <f t="shared" si="48"/>
        <v>0</v>
      </c>
      <c r="DC124" s="268">
        <f>IF($BN125=0,0,         IF(LEFT(DCC_Leg2_Fixed,2)="1/",uEvaluate(DCC_Leg2_Fixed),         _xll.qDateYears($BN124,$BN125,DCC_Leg2_Fixed)))</f>
        <v>0</v>
      </c>
      <c r="DD124" s="268">
        <f>IF($BN125,_xll.qDateYears($BN124,$BN125,DCC_Leg2_Float),0)</f>
        <v>0</v>
      </c>
      <c r="DF124" s="332">
        <f t="shared" si="63"/>
        <v>0</v>
      </c>
      <c r="DG124" s="357">
        <f t="shared" si="64"/>
        <v>0</v>
      </c>
      <c r="DH124" s="527"/>
      <c r="DJ124" s="324">
        <f t="shared" si="66"/>
        <v>0</v>
      </c>
      <c r="DK124" s="529"/>
      <c r="DL124" s="338"/>
    </row>
    <row r="125" spans="15:116">
      <c r="O125" s="121">
        <v>0</v>
      </c>
      <c r="P125" s="755">
        <f t="shared" si="35"/>
        <v>0</v>
      </c>
      <c r="Q125" s="125">
        <v>0</v>
      </c>
      <c r="R125" s="890">
        <f>IF(O126=0,0,         IF(OR(Currency1="AUD",Currency1="NZD",Currency1="GBP"),O125,   _xll.qDateNext(O125,"-2b",,,IF(Currency1="EUR","TGT","LON"))))</f>
        <v>0</v>
      </c>
      <c r="S125" s="879" t="str">
        <v/>
      </c>
      <c r="T125" s="879" t="str">
        <v/>
      </c>
      <c r="U125" s="879" t="str">
        <v/>
      </c>
      <c r="V125" s="879" t="str">
        <v/>
      </c>
      <c r="W125" s="879" t="str">
        <v/>
      </c>
      <c r="X125" s="879" t="str">
        <v/>
      </c>
      <c r="Y125" s="879" t="str">
        <v/>
      </c>
      <c r="Z125" s="879" t="str">
        <v/>
      </c>
      <c r="AA125" s="882">
        <f>IF($O126=0,0,        _xll.qDateNext($O125,AA$17,$AH$16,TRUE,Currency1))</f>
        <v>0</v>
      </c>
      <c r="AB125" s="882">
        <f>IF($O126=0,0,        _xll.qDateNext($O125,AB$17,$AH$16,TRUE,Currency1))</f>
        <v>0</v>
      </c>
      <c r="AC125" s="882">
        <f>IF($O126=0,0,        _xll.qDateNext($O125,AC$17,$AH$16,TRUE,Currency1))</f>
        <v>0</v>
      </c>
      <c r="AD125" s="882">
        <f>IF($O126=0,0,        _xll.qDateNext($O125,AD$17,$AH$16,TRUE,Currency1))</f>
        <v>0</v>
      </c>
      <c r="AE125" s="882">
        <f>IF($O126=0,0,        _xll.qDateNext($O125,AE$17,$AH$16,TRUE,Currency1))</f>
        <v>0</v>
      </c>
      <c r="AF125" s="882">
        <f>IF($O126=0,0,        _xll.qDateNext($O125,AF$17,$AH$16,TRUE,Currency1))</f>
        <v>0</v>
      </c>
      <c r="AG125" s="882">
        <f>IF($O126=0,0,        _xll.qDateNext($O125,AG$17,$AH$16,TRUE,Currency1))</f>
        <v>0</v>
      </c>
      <c r="AH125" s="882">
        <f>IF($O126=0,0,        _xll.qDateNext($O125,AH$17,$AH$16,TRUE,Currency1))</f>
        <v>0</v>
      </c>
      <c r="AI125" s="886">
        <f>IF($O126=0,0,           IF(FRM,_xll.qGetFwdRate(AI$14,$O125,AA125,"T",DCC_Leg1_Float),_xll.qGetFwdRate(AI$14,$O125,$O126,"T",DCC_Leg1_Float)))</f>
        <v>0</v>
      </c>
      <c r="AJ125" s="886">
        <f>IF($O126=0,0,           IF(FRM,_xll.qGetFwdRate(AJ$14,$O125,AB125,"T",DCC_Leg1_Float),_xll.qGetFwdRate(AJ$14,$O125,$O126,"T",DCC_Leg1_Float)))</f>
        <v>0</v>
      </c>
      <c r="AK125" s="886">
        <f t="shared" si="36"/>
        <v>0</v>
      </c>
      <c r="AL125" s="886">
        <f>IF($O126=0,0,           IF(FRM,_xll.qGetFwdRate(AL$14,$O125,AD125,"T",DCC_Leg1_Float),_xll.qGetFwdRate(AL$14,$O125,$O126,"T",DCC_Leg1_Float)))</f>
        <v>0</v>
      </c>
      <c r="AM125" s="886">
        <f t="shared" si="49"/>
        <v>0</v>
      </c>
      <c r="AN125" s="886">
        <f t="shared" si="50"/>
        <v>0</v>
      </c>
      <c r="AO125" s="886">
        <f>IF($O126=0,0,           IF(FRM,_xll.qGetFwdRate(AO$14,$O125,AG125,"T",DCC_Leg1_Float),_xll.qGetFwdRate(AO$14,$O125,$O126,"T",DCC_Leg1_Float)))</f>
        <v>0</v>
      </c>
      <c r="AP125" s="886">
        <f>IF($O126=0,0,           IF(FRM,_xll.qGetFwdRate(AP$14,$O125,AH125,"T",DCC_Leg1_Float),_xll.qGetFwdRate(AP$14,$O125,$O126,"T",DCC_Leg1_Float)))</f>
        <v>0</v>
      </c>
      <c r="AQ125" s="648">
        <f t="shared" si="51"/>
        <v>0</v>
      </c>
      <c r="AR125" s="648">
        <f t="shared" si="52"/>
        <v>0</v>
      </c>
      <c r="AS125" s="648">
        <f t="shared" si="53"/>
        <v>0</v>
      </c>
      <c r="AT125" s="648">
        <f t="shared" si="54"/>
        <v>0</v>
      </c>
      <c r="AU125" s="648">
        <f t="shared" si="55"/>
        <v>0</v>
      </c>
      <c r="AV125" s="648">
        <f t="shared" si="56"/>
        <v>0</v>
      </c>
      <c r="AW125" s="648">
        <f t="shared" si="57"/>
        <v>0</v>
      </c>
      <c r="AX125" s="648">
        <f t="shared" si="58"/>
        <v>0</v>
      </c>
      <c r="AY125" s="634">
        <v>0</v>
      </c>
      <c r="AZ125" s="616"/>
      <c r="BA125" s="619">
        <f>IF(O126=0,0,             IF(ISNUMBER(AZ125),AZ125,             IF(ISTEXT(AZ125),INDEX(AQ125:AX125,MATCH(AZ125,$AQ$17:$AX$17,0)),           IF(AY125="INT",_xll.qInterp(O126,AA125:AH125,AQ125:AX125),       INDEX(AQ125:AX125,MATCH(AY125,$AQ$17:$AX$17,0))))))</f>
        <v>0</v>
      </c>
      <c r="BB125" s="674">
        <v>100</v>
      </c>
      <c r="BC125" s="666">
        <f t="shared" si="37"/>
        <v>0</v>
      </c>
      <c r="BD125" s="268">
        <f>IF($O126=0,0,                IF(LEFT(DCC_Leg1_Fixed,2)="1/",uEvaluate(DCC_Leg1_Fixed),        _xll.qDateYears($O125,$O126,DCC_Leg1_Fixed)))</f>
        <v>0</v>
      </c>
      <c r="BE125" s="268">
        <f>IF($O126,_xll.qDateYears($O125,$O126,DCC_Leg1_Float),0)</f>
        <v>0</v>
      </c>
      <c r="BG125" s="332">
        <f t="shared" si="59"/>
        <v>0</v>
      </c>
      <c r="BH125" s="357">
        <f t="shared" si="60"/>
        <v>0</v>
      </c>
      <c r="BI125" s="527"/>
      <c r="BK125" s="324">
        <f t="shared" si="65"/>
        <v>0</v>
      </c>
      <c r="BM125" s="338"/>
      <c r="BN125" s="121">
        <v>0</v>
      </c>
      <c r="BO125" s="755">
        <f t="shared" si="38"/>
        <v>0</v>
      </c>
      <c r="BP125" s="339">
        <v>0</v>
      </c>
      <c r="BQ125" s="890">
        <f>IF(BN126=0,0,         IF(OR(Currency2="AUD",Currency1="NZD",Currency2="GBP"),BN125,   _xll.qDateNext(BN125,"-2b",,,IF(Currency2="EUR","TGT","LON"))))</f>
        <v>0</v>
      </c>
      <c r="BR125" s="879" t="str">
        <v/>
      </c>
      <c r="BS125" s="879" t="str">
        <v/>
      </c>
      <c r="BT125" s="879" t="str">
        <v/>
      </c>
      <c r="BU125" s="879" t="str">
        <v/>
      </c>
      <c r="BV125" s="879" t="str">
        <v/>
      </c>
      <c r="BW125" s="879" t="str">
        <v/>
      </c>
      <c r="BX125" s="879" t="str">
        <v/>
      </c>
      <c r="BY125" s="879" t="str">
        <v/>
      </c>
      <c r="BZ125" s="882">
        <f>IF($BN126=0,0,        _xll.qDateNext($BN125,BZ$17,$CG$16,TRUE,Currency2))</f>
        <v>0</v>
      </c>
      <c r="CA125" s="882">
        <f>IF($BN126=0,0,        _xll.qDateNext($BN125,CA$17,$CG$16,TRUE,Currency2))</f>
        <v>0</v>
      </c>
      <c r="CB125" s="882">
        <f>IF($BN126=0,0,        _xll.qDateNext($BN125,CB$17,$CG$16,TRUE,Currency2))</f>
        <v>0</v>
      </c>
      <c r="CC125" s="882">
        <f>IF($BN126=0,0,        _xll.qDateNext($BN125,CC$17,$CG$16,TRUE,Currency2))</f>
        <v>0</v>
      </c>
      <c r="CD125" s="882">
        <f>IF($BN126=0,0,        _xll.qDateNext($BN125,CD$17,$CG$16,TRUE,Currency2))</f>
        <v>0</v>
      </c>
      <c r="CE125" s="882">
        <f>IF($BN126=0,0,        _xll.qDateNext($BN125,CE$17,$CG$16,TRUE,Currency2))</f>
        <v>0</v>
      </c>
      <c r="CF125" s="882">
        <f>IF($BN126=0,0,        _xll.qDateNext($BN125,CF$17,$CG$16,TRUE,Currency2))</f>
        <v>0</v>
      </c>
      <c r="CG125" s="882">
        <f>IF($BN126=0,0,        _xll.qDateNext($BN125,CG$17,$CG$16,TRUE,Currency2))</f>
        <v>0</v>
      </c>
      <c r="CH125" s="886">
        <v>0</v>
      </c>
      <c r="CI125" s="886">
        <v>0</v>
      </c>
      <c r="CJ125" s="886">
        <v>0</v>
      </c>
      <c r="CK125" s="886">
        <v>0</v>
      </c>
      <c r="CL125" s="886">
        <f t="shared" si="61"/>
        <v>0</v>
      </c>
      <c r="CM125" s="886">
        <f t="shared" si="62"/>
        <v>0</v>
      </c>
      <c r="CN125" s="886">
        <v>0</v>
      </c>
      <c r="CO125" s="886">
        <v>0</v>
      </c>
      <c r="CP125" s="648">
        <f t="shared" si="39"/>
        <v>0</v>
      </c>
      <c r="CQ125" s="648">
        <f t="shared" si="40"/>
        <v>0</v>
      </c>
      <c r="CR125" s="648">
        <f t="shared" si="41"/>
        <v>0</v>
      </c>
      <c r="CS125" s="648">
        <f t="shared" si="42"/>
        <v>0</v>
      </c>
      <c r="CT125" s="648">
        <f t="shared" si="43"/>
        <v>0</v>
      </c>
      <c r="CU125" s="648">
        <f t="shared" si="44"/>
        <v>0</v>
      </c>
      <c r="CV125" s="648">
        <f t="shared" si="45"/>
        <v>0</v>
      </c>
      <c r="CW125" s="648">
        <f t="shared" si="46"/>
        <v>0</v>
      </c>
      <c r="CX125" s="634">
        <v>0</v>
      </c>
      <c r="CY125" s="616"/>
      <c r="CZ125" s="619">
        <f>IF(BN126=0,0,             IF(ISNUMBER(CY125),CY125,             IF(ISTEXT(CY125),INDEX(CP125:CW125,MATCH(CY125,$CP$17:$CW$17,0)),           IF(CX125="INT",_xll.qInterp(BN126,BZ125:CG125,CP125:CW125),       INDEX(CP125:CW125,MATCH(CX125,$CP$17:$CW$17,0))))))</f>
        <v>0</v>
      </c>
      <c r="DA125" s="755">
        <f t="shared" si="47"/>
        <v>0</v>
      </c>
      <c r="DB125" s="387">
        <f t="shared" si="48"/>
        <v>0</v>
      </c>
      <c r="DC125" s="268">
        <f>IF($BN126=0,0,         IF(LEFT(DCC_Leg2_Fixed,2)="1/",uEvaluate(DCC_Leg2_Fixed),         _xll.qDateYears($BN125,$BN126,DCC_Leg2_Fixed)))</f>
        <v>0</v>
      </c>
      <c r="DD125" s="268">
        <f>IF($BN126,_xll.qDateYears($BN125,$BN126,DCC_Leg2_Float),0)</f>
        <v>0</v>
      </c>
      <c r="DF125" s="332">
        <f t="shared" si="63"/>
        <v>0</v>
      </c>
      <c r="DG125" s="357">
        <f t="shared" si="64"/>
        <v>0</v>
      </c>
      <c r="DH125" s="527"/>
      <c r="DJ125" s="324">
        <f t="shared" si="66"/>
        <v>0</v>
      </c>
      <c r="DK125" s="529"/>
      <c r="DL125" s="338"/>
    </row>
    <row r="126" spans="15:116">
      <c r="O126" s="121">
        <v>0</v>
      </c>
      <c r="P126" s="755">
        <f t="shared" si="35"/>
        <v>0</v>
      </c>
      <c r="Q126" s="125">
        <v>0</v>
      </c>
      <c r="R126" s="890">
        <f>IF(O127=0,0,         IF(OR(Currency1="AUD",Currency1="NZD",Currency1="GBP"),O126,   _xll.qDateNext(O126,"-2b",,,IF(Currency1="EUR","TGT","LON"))))</f>
        <v>0</v>
      </c>
      <c r="S126" s="879" t="str">
        <v/>
      </c>
      <c r="T126" s="879" t="str">
        <v/>
      </c>
      <c r="U126" s="879" t="str">
        <v/>
      </c>
      <c r="V126" s="879" t="str">
        <v/>
      </c>
      <c r="W126" s="879" t="str">
        <v/>
      </c>
      <c r="X126" s="879" t="str">
        <v/>
      </c>
      <c r="Y126" s="879" t="str">
        <v/>
      </c>
      <c r="Z126" s="879" t="str">
        <v/>
      </c>
      <c r="AA126" s="882">
        <f>IF($O127=0,0,        _xll.qDateNext($O126,AA$17,$AH$16,TRUE,Currency1))</f>
        <v>0</v>
      </c>
      <c r="AB126" s="882">
        <f>IF($O127=0,0,        _xll.qDateNext($O126,AB$17,$AH$16,TRUE,Currency1))</f>
        <v>0</v>
      </c>
      <c r="AC126" s="882">
        <f>IF($O127=0,0,        _xll.qDateNext($O126,AC$17,$AH$16,TRUE,Currency1))</f>
        <v>0</v>
      </c>
      <c r="AD126" s="882">
        <f>IF($O127=0,0,        _xll.qDateNext($O126,AD$17,$AH$16,TRUE,Currency1))</f>
        <v>0</v>
      </c>
      <c r="AE126" s="882">
        <f>IF($O127=0,0,        _xll.qDateNext($O126,AE$17,$AH$16,TRUE,Currency1))</f>
        <v>0</v>
      </c>
      <c r="AF126" s="882">
        <f>IF($O127=0,0,        _xll.qDateNext($O126,AF$17,$AH$16,TRUE,Currency1))</f>
        <v>0</v>
      </c>
      <c r="AG126" s="882">
        <f>IF($O127=0,0,        _xll.qDateNext($O126,AG$17,$AH$16,TRUE,Currency1))</f>
        <v>0</v>
      </c>
      <c r="AH126" s="882">
        <f>IF($O127=0,0,        _xll.qDateNext($O126,AH$17,$AH$16,TRUE,Currency1))</f>
        <v>0</v>
      </c>
      <c r="AI126" s="886">
        <f>IF($O127=0,0,           IF(FRM,_xll.qGetFwdRate(AI$14,$O126,AA126,"T",DCC_Leg1_Float),_xll.qGetFwdRate(AI$14,$O126,$O127,"T",DCC_Leg1_Float)))</f>
        <v>0</v>
      </c>
      <c r="AJ126" s="886">
        <f>IF($O127=0,0,           IF(FRM,_xll.qGetFwdRate(AJ$14,$O126,AB126,"T",DCC_Leg1_Float),_xll.qGetFwdRate(AJ$14,$O126,$O127,"T",DCC_Leg1_Float)))</f>
        <v>0</v>
      </c>
      <c r="AK126" s="886">
        <f t="shared" si="36"/>
        <v>0</v>
      </c>
      <c r="AL126" s="886">
        <f>IF($O127=0,0,           IF(FRM,_xll.qGetFwdRate(AL$14,$O126,AD126,"T",DCC_Leg1_Float),_xll.qGetFwdRate(AL$14,$O126,$O127,"T",DCC_Leg1_Float)))</f>
        <v>0</v>
      </c>
      <c r="AM126" s="886">
        <f t="shared" si="49"/>
        <v>0</v>
      </c>
      <c r="AN126" s="886">
        <f t="shared" si="50"/>
        <v>0</v>
      </c>
      <c r="AO126" s="886">
        <f>IF($O127=0,0,           IF(FRM,_xll.qGetFwdRate(AO$14,$O126,AG126,"T",DCC_Leg1_Float),_xll.qGetFwdRate(AO$14,$O126,$O127,"T",DCC_Leg1_Float)))</f>
        <v>0</v>
      </c>
      <c r="AP126" s="886">
        <f>IF($O127=0,0,           IF(FRM,_xll.qGetFwdRate(AP$14,$O126,AH126,"T",DCC_Leg1_Float),_xll.qGetFwdRate(AP$14,$O126,$O127,"T",DCC_Leg1_Float)))</f>
        <v>0</v>
      </c>
      <c r="AQ126" s="648">
        <f t="shared" si="51"/>
        <v>0</v>
      </c>
      <c r="AR126" s="648">
        <f t="shared" si="52"/>
        <v>0</v>
      </c>
      <c r="AS126" s="648">
        <f t="shared" si="53"/>
        <v>0</v>
      </c>
      <c r="AT126" s="648">
        <f t="shared" si="54"/>
        <v>0</v>
      </c>
      <c r="AU126" s="648">
        <f t="shared" si="55"/>
        <v>0</v>
      </c>
      <c r="AV126" s="648">
        <f t="shared" si="56"/>
        <v>0</v>
      </c>
      <c r="AW126" s="648">
        <f t="shared" si="57"/>
        <v>0</v>
      </c>
      <c r="AX126" s="648">
        <f t="shared" si="58"/>
        <v>0</v>
      </c>
      <c r="AY126" s="634">
        <v>0</v>
      </c>
      <c r="AZ126" s="616"/>
      <c r="BA126" s="619">
        <f>IF(O127=0,0,             IF(ISNUMBER(AZ126),AZ126,             IF(ISTEXT(AZ126),INDEX(AQ126:AX126,MATCH(AZ126,$AQ$17:$AX$17,0)),           IF(AY126="INT",_xll.qInterp(O127,AA126:AH126,AQ126:AX126),       INDEX(AQ126:AX126,MATCH(AY126,$AQ$17:$AX$17,0))))))</f>
        <v>0</v>
      </c>
      <c r="BB126" s="674">
        <v>100</v>
      </c>
      <c r="BC126" s="666">
        <f t="shared" si="37"/>
        <v>0</v>
      </c>
      <c r="BD126" s="268">
        <f>IF($O127=0,0,                IF(LEFT(DCC_Leg1_Fixed,2)="1/",uEvaluate(DCC_Leg1_Fixed),        _xll.qDateYears($O126,$O127,DCC_Leg1_Fixed)))</f>
        <v>0</v>
      </c>
      <c r="BE126" s="268">
        <f>IF($O127,_xll.qDateYears($O126,$O127,DCC_Leg1_Float),0)</f>
        <v>0</v>
      </c>
      <c r="BG126" s="332">
        <f t="shared" si="59"/>
        <v>0</v>
      </c>
      <c r="BH126" s="357">
        <f t="shared" si="60"/>
        <v>0</v>
      </c>
      <c r="BI126" s="527"/>
      <c r="BK126" s="324">
        <f t="shared" si="65"/>
        <v>0</v>
      </c>
      <c r="BM126" s="338"/>
      <c r="BN126" s="121">
        <v>0</v>
      </c>
      <c r="BO126" s="755">
        <f t="shared" si="38"/>
        <v>0</v>
      </c>
      <c r="BP126" s="339">
        <v>0</v>
      </c>
      <c r="BQ126" s="890">
        <f>IF(BN127=0,0,         IF(OR(Currency2="AUD",Currency1="NZD",Currency2="GBP"),BN126,   _xll.qDateNext(BN126,"-2b",,,IF(Currency2="EUR","TGT","LON"))))</f>
        <v>0</v>
      </c>
      <c r="BR126" s="879" t="str">
        <v/>
      </c>
      <c r="BS126" s="879" t="str">
        <v/>
      </c>
      <c r="BT126" s="879" t="str">
        <v/>
      </c>
      <c r="BU126" s="879" t="str">
        <v/>
      </c>
      <c r="BV126" s="879" t="str">
        <v/>
      </c>
      <c r="BW126" s="879" t="str">
        <v/>
      </c>
      <c r="BX126" s="879" t="str">
        <v/>
      </c>
      <c r="BY126" s="879" t="str">
        <v/>
      </c>
      <c r="BZ126" s="882">
        <f>IF($BN127=0,0,        _xll.qDateNext($BN126,BZ$17,$CG$16,TRUE,Currency2))</f>
        <v>0</v>
      </c>
      <c r="CA126" s="882">
        <f>IF($BN127=0,0,        _xll.qDateNext($BN126,CA$17,$CG$16,TRUE,Currency2))</f>
        <v>0</v>
      </c>
      <c r="CB126" s="882">
        <f>IF($BN127=0,0,        _xll.qDateNext($BN126,CB$17,$CG$16,TRUE,Currency2))</f>
        <v>0</v>
      </c>
      <c r="CC126" s="882">
        <f>IF($BN127=0,0,        _xll.qDateNext($BN126,CC$17,$CG$16,TRUE,Currency2))</f>
        <v>0</v>
      </c>
      <c r="CD126" s="882">
        <f>IF($BN127=0,0,        _xll.qDateNext($BN126,CD$17,$CG$16,TRUE,Currency2))</f>
        <v>0</v>
      </c>
      <c r="CE126" s="882">
        <f>IF($BN127=0,0,        _xll.qDateNext($BN126,CE$17,$CG$16,TRUE,Currency2))</f>
        <v>0</v>
      </c>
      <c r="CF126" s="882">
        <f>IF($BN127=0,0,        _xll.qDateNext($BN126,CF$17,$CG$16,TRUE,Currency2))</f>
        <v>0</v>
      </c>
      <c r="CG126" s="882">
        <f>IF($BN127=0,0,        _xll.qDateNext($BN126,CG$17,$CG$16,TRUE,Currency2))</f>
        <v>0</v>
      </c>
      <c r="CH126" s="886">
        <v>0</v>
      </c>
      <c r="CI126" s="886">
        <v>0</v>
      </c>
      <c r="CJ126" s="886">
        <v>0</v>
      </c>
      <c r="CK126" s="886">
        <v>0</v>
      </c>
      <c r="CL126" s="886">
        <f t="shared" si="61"/>
        <v>0</v>
      </c>
      <c r="CM126" s="886">
        <f t="shared" si="62"/>
        <v>0</v>
      </c>
      <c r="CN126" s="886">
        <v>0</v>
      </c>
      <c r="CO126" s="886">
        <v>0</v>
      </c>
      <c r="CP126" s="648">
        <f t="shared" si="39"/>
        <v>0</v>
      </c>
      <c r="CQ126" s="648">
        <f t="shared" si="40"/>
        <v>0</v>
      </c>
      <c r="CR126" s="648">
        <f t="shared" si="41"/>
        <v>0</v>
      </c>
      <c r="CS126" s="648">
        <f t="shared" si="42"/>
        <v>0</v>
      </c>
      <c r="CT126" s="648">
        <f t="shared" si="43"/>
        <v>0</v>
      </c>
      <c r="CU126" s="648">
        <f t="shared" si="44"/>
        <v>0</v>
      </c>
      <c r="CV126" s="648">
        <f t="shared" si="45"/>
        <v>0</v>
      </c>
      <c r="CW126" s="648">
        <f t="shared" si="46"/>
        <v>0</v>
      </c>
      <c r="CX126" s="634">
        <v>0</v>
      </c>
      <c r="CY126" s="616"/>
      <c r="CZ126" s="619">
        <f>IF(BN127=0,0,             IF(ISNUMBER(CY126),CY126,             IF(ISTEXT(CY126),INDEX(CP126:CW126,MATCH(CY126,$CP$17:$CW$17,0)),           IF(CX126="INT",_xll.qInterp(BN127,BZ126:CG126,CP126:CW126),       INDEX(CP126:CW126,MATCH(CX126,$CP$17:$CW$17,0))))))</f>
        <v>0</v>
      </c>
      <c r="DA126" s="755">
        <f t="shared" si="47"/>
        <v>0</v>
      </c>
      <c r="DB126" s="387">
        <f t="shared" si="48"/>
        <v>0</v>
      </c>
      <c r="DC126" s="268">
        <f>IF($BN127=0,0,         IF(LEFT(DCC_Leg2_Fixed,2)="1/",uEvaluate(DCC_Leg2_Fixed),         _xll.qDateYears($BN126,$BN127,DCC_Leg2_Fixed)))</f>
        <v>0</v>
      </c>
      <c r="DD126" s="268">
        <f>IF($BN127,_xll.qDateYears($BN126,$BN127,DCC_Leg2_Float),0)</f>
        <v>0</v>
      </c>
      <c r="DF126" s="332">
        <f t="shared" si="63"/>
        <v>0</v>
      </c>
      <c r="DG126" s="357">
        <f t="shared" si="64"/>
        <v>0</v>
      </c>
      <c r="DH126" s="527"/>
      <c r="DJ126" s="324">
        <f t="shared" si="66"/>
        <v>0</v>
      </c>
      <c r="DK126" s="529"/>
      <c r="DL126" s="338"/>
    </row>
    <row r="127" spans="15:116">
      <c r="O127" s="121">
        <v>0</v>
      </c>
      <c r="P127" s="755">
        <f t="shared" si="35"/>
        <v>0</v>
      </c>
      <c r="Q127" s="125">
        <v>0</v>
      </c>
      <c r="R127" s="890">
        <f>IF(O128=0,0,         IF(OR(Currency1="AUD",Currency1="NZD",Currency1="GBP"),O127,   _xll.qDateNext(O127,"-2b",,,IF(Currency1="EUR","TGT","LON"))))</f>
        <v>0</v>
      </c>
      <c r="S127" s="879" t="str">
        <v/>
      </c>
      <c r="T127" s="879" t="str">
        <v/>
      </c>
      <c r="U127" s="879" t="str">
        <v/>
      </c>
      <c r="V127" s="879" t="str">
        <v/>
      </c>
      <c r="W127" s="879" t="str">
        <v/>
      </c>
      <c r="X127" s="879" t="str">
        <v/>
      </c>
      <c r="Y127" s="879" t="str">
        <v/>
      </c>
      <c r="Z127" s="879" t="str">
        <v/>
      </c>
      <c r="AA127" s="882">
        <f>IF($O128=0,0,        _xll.qDateNext($O127,AA$17,$AH$16,TRUE,Currency1))</f>
        <v>0</v>
      </c>
      <c r="AB127" s="882">
        <f>IF($O128=0,0,        _xll.qDateNext($O127,AB$17,$AH$16,TRUE,Currency1))</f>
        <v>0</v>
      </c>
      <c r="AC127" s="882">
        <f>IF($O128=0,0,        _xll.qDateNext($O127,AC$17,$AH$16,TRUE,Currency1))</f>
        <v>0</v>
      </c>
      <c r="AD127" s="882">
        <f>IF($O128=0,0,        _xll.qDateNext($O127,AD$17,$AH$16,TRUE,Currency1))</f>
        <v>0</v>
      </c>
      <c r="AE127" s="882">
        <f>IF($O128=0,0,        _xll.qDateNext($O127,AE$17,$AH$16,TRUE,Currency1))</f>
        <v>0</v>
      </c>
      <c r="AF127" s="882">
        <f>IF($O128=0,0,        _xll.qDateNext($O127,AF$17,$AH$16,TRUE,Currency1))</f>
        <v>0</v>
      </c>
      <c r="AG127" s="882">
        <f>IF($O128=0,0,        _xll.qDateNext($O127,AG$17,$AH$16,TRUE,Currency1))</f>
        <v>0</v>
      </c>
      <c r="AH127" s="882">
        <f>IF($O128=0,0,        _xll.qDateNext($O127,AH$17,$AH$16,TRUE,Currency1))</f>
        <v>0</v>
      </c>
      <c r="AI127" s="886">
        <f>IF($O128=0,0,           IF(FRM,_xll.qGetFwdRate(AI$14,$O127,AA127,"T",DCC_Leg1_Float),_xll.qGetFwdRate(AI$14,$O127,$O128,"T",DCC_Leg1_Float)))</f>
        <v>0</v>
      </c>
      <c r="AJ127" s="886">
        <f>IF($O128=0,0,           IF(FRM,_xll.qGetFwdRate(AJ$14,$O127,AB127,"T",DCC_Leg1_Float),_xll.qGetFwdRate(AJ$14,$O127,$O128,"T",DCC_Leg1_Float)))</f>
        <v>0</v>
      </c>
      <c r="AK127" s="886">
        <f t="shared" si="36"/>
        <v>0</v>
      </c>
      <c r="AL127" s="886">
        <f>IF($O128=0,0,           IF(FRM,_xll.qGetFwdRate(AL$14,$O127,AD127,"T",DCC_Leg1_Float),_xll.qGetFwdRate(AL$14,$O127,$O128,"T",DCC_Leg1_Float)))</f>
        <v>0</v>
      </c>
      <c r="AM127" s="886">
        <f t="shared" si="49"/>
        <v>0</v>
      </c>
      <c r="AN127" s="886">
        <f t="shared" si="50"/>
        <v>0</v>
      </c>
      <c r="AO127" s="886">
        <f>IF($O128=0,0,           IF(FRM,_xll.qGetFwdRate(AO$14,$O127,AG127,"T",DCC_Leg1_Float),_xll.qGetFwdRate(AO$14,$O127,$O128,"T",DCC_Leg1_Float)))</f>
        <v>0</v>
      </c>
      <c r="AP127" s="886">
        <f>IF($O128=0,0,           IF(FRM,_xll.qGetFwdRate(AP$14,$O127,AH127,"T",DCC_Leg1_Float),_xll.qGetFwdRate(AP$14,$O127,$O128,"T",DCC_Leg1_Float)))</f>
        <v>0</v>
      </c>
      <c r="AQ127" s="648">
        <f t="shared" si="51"/>
        <v>0</v>
      </c>
      <c r="AR127" s="648">
        <f t="shared" si="52"/>
        <v>0</v>
      </c>
      <c r="AS127" s="648">
        <f t="shared" si="53"/>
        <v>0</v>
      </c>
      <c r="AT127" s="648">
        <f t="shared" si="54"/>
        <v>0</v>
      </c>
      <c r="AU127" s="648">
        <f t="shared" si="55"/>
        <v>0</v>
      </c>
      <c r="AV127" s="648">
        <f t="shared" si="56"/>
        <v>0</v>
      </c>
      <c r="AW127" s="648">
        <f t="shared" si="57"/>
        <v>0</v>
      </c>
      <c r="AX127" s="648">
        <f t="shared" si="58"/>
        <v>0</v>
      </c>
      <c r="AY127" s="634">
        <v>0</v>
      </c>
      <c r="AZ127" s="616"/>
      <c r="BA127" s="619">
        <f>IF(O128=0,0,             IF(ISNUMBER(AZ127),AZ127,             IF(ISTEXT(AZ127),INDEX(AQ127:AX127,MATCH(AZ127,$AQ$17:$AX$17,0)),           IF(AY127="INT",_xll.qInterp(O128,AA127:AH127,AQ127:AX127),       INDEX(AQ127:AX127,MATCH(AY127,$AQ$17:$AX$17,0))))))</f>
        <v>0</v>
      </c>
      <c r="BB127" s="674">
        <v>100</v>
      </c>
      <c r="BC127" s="666">
        <f t="shared" si="37"/>
        <v>0</v>
      </c>
      <c r="BD127" s="268">
        <f>IF($O128=0,0,                IF(LEFT(DCC_Leg1_Fixed,2)="1/",uEvaluate(DCC_Leg1_Fixed),        _xll.qDateYears($O127,$O128,DCC_Leg1_Fixed)))</f>
        <v>0</v>
      </c>
      <c r="BE127" s="268">
        <f>IF($O128,_xll.qDateYears($O127,$O128,DCC_Leg1_Float),0)</f>
        <v>0</v>
      </c>
      <c r="BG127" s="332">
        <f t="shared" si="59"/>
        <v>0</v>
      </c>
      <c r="BH127" s="357">
        <f t="shared" si="60"/>
        <v>0</v>
      </c>
      <c r="BI127" s="527"/>
      <c r="BK127" s="324">
        <f t="shared" si="65"/>
        <v>0</v>
      </c>
      <c r="BM127" s="338"/>
      <c r="BN127" s="121">
        <v>0</v>
      </c>
      <c r="BO127" s="755">
        <f t="shared" si="38"/>
        <v>0</v>
      </c>
      <c r="BP127" s="339">
        <v>0</v>
      </c>
      <c r="BQ127" s="890">
        <f>IF(BN128=0,0,         IF(OR(Currency2="AUD",Currency1="NZD",Currency2="GBP"),BN127,   _xll.qDateNext(BN127,"-2b",,,IF(Currency2="EUR","TGT","LON"))))</f>
        <v>0</v>
      </c>
      <c r="BR127" s="879" t="str">
        <v/>
      </c>
      <c r="BS127" s="879" t="str">
        <v/>
      </c>
      <c r="BT127" s="879" t="str">
        <v/>
      </c>
      <c r="BU127" s="879" t="str">
        <v/>
      </c>
      <c r="BV127" s="879" t="str">
        <v/>
      </c>
      <c r="BW127" s="879" t="str">
        <v/>
      </c>
      <c r="BX127" s="879" t="str">
        <v/>
      </c>
      <c r="BY127" s="879" t="str">
        <v/>
      </c>
      <c r="BZ127" s="882">
        <f>IF($BN128=0,0,        _xll.qDateNext($BN127,BZ$17,$CG$16,TRUE,Currency2))</f>
        <v>0</v>
      </c>
      <c r="CA127" s="882">
        <f>IF($BN128=0,0,        _xll.qDateNext($BN127,CA$17,$CG$16,TRUE,Currency2))</f>
        <v>0</v>
      </c>
      <c r="CB127" s="882">
        <f>IF($BN128=0,0,        _xll.qDateNext($BN127,CB$17,$CG$16,TRUE,Currency2))</f>
        <v>0</v>
      </c>
      <c r="CC127" s="882">
        <f>IF($BN128=0,0,        _xll.qDateNext($BN127,CC$17,$CG$16,TRUE,Currency2))</f>
        <v>0</v>
      </c>
      <c r="CD127" s="882">
        <f>IF($BN128=0,0,        _xll.qDateNext($BN127,CD$17,$CG$16,TRUE,Currency2))</f>
        <v>0</v>
      </c>
      <c r="CE127" s="882">
        <f>IF($BN128=0,0,        _xll.qDateNext($BN127,CE$17,$CG$16,TRUE,Currency2))</f>
        <v>0</v>
      </c>
      <c r="CF127" s="882">
        <f>IF($BN128=0,0,        _xll.qDateNext($BN127,CF$17,$CG$16,TRUE,Currency2))</f>
        <v>0</v>
      </c>
      <c r="CG127" s="882">
        <f>IF($BN128=0,0,        _xll.qDateNext($BN127,CG$17,$CG$16,TRUE,Currency2))</f>
        <v>0</v>
      </c>
      <c r="CH127" s="886">
        <v>0</v>
      </c>
      <c r="CI127" s="886">
        <v>0</v>
      </c>
      <c r="CJ127" s="886">
        <v>0</v>
      </c>
      <c r="CK127" s="886">
        <v>0</v>
      </c>
      <c r="CL127" s="886">
        <f t="shared" si="61"/>
        <v>0</v>
      </c>
      <c r="CM127" s="886">
        <f t="shared" si="62"/>
        <v>0</v>
      </c>
      <c r="CN127" s="886">
        <v>0</v>
      </c>
      <c r="CO127" s="886">
        <v>0</v>
      </c>
      <c r="CP127" s="648">
        <f t="shared" si="39"/>
        <v>0</v>
      </c>
      <c r="CQ127" s="648">
        <f t="shared" si="40"/>
        <v>0</v>
      </c>
      <c r="CR127" s="648">
        <f t="shared" si="41"/>
        <v>0</v>
      </c>
      <c r="CS127" s="648">
        <f t="shared" si="42"/>
        <v>0</v>
      </c>
      <c r="CT127" s="648">
        <f t="shared" si="43"/>
        <v>0</v>
      </c>
      <c r="CU127" s="648">
        <f t="shared" si="44"/>
        <v>0</v>
      </c>
      <c r="CV127" s="648">
        <f t="shared" si="45"/>
        <v>0</v>
      </c>
      <c r="CW127" s="648">
        <f t="shared" si="46"/>
        <v>0</v>
      </c>
      <c r="CX127" s="634">
        <v>0</v>
      </c>
      <c r="CY127" s="616"/>
      <c r="CZ127" s="619">
        <f>IF(BN128=0,0,             IF(ISNUMBER(CY127),CY127,             IF(ISTEXT(CY127),INDEX(CP127:CW127,MATCH(CY127,$CP$17:$CW$17,0)),           IF(CX127="INT",_xll.qInterp(BN128,BZ127:CG127,CP127:CW127),       INDEX(CP127:CW127,MATCH(CX127,$CP$17:$CW$17,0))))))</f>
        <v>0</v>
      </c>
      <c r="DA127" s="755">
        <f t="shared" si="47"/>
        <v>0</v>
      </c>
      <c r="DB127" s="387">
        <f t="shared" si="48"/>
        <v>0</v>
      </c>
      <c r="DC127" s="268">
        <f>IF($BN128=0,0,         IF(LEFT(DCC_Leg2_Fixed,2)="1/",uEvaluate(DCC_Leg2_Fixed),         _xll.qDateYears($BN127,$BN128,DCC_Leg2_Fixed)))</f>
        <v>0</v>
      </c>
      <c r="DD127" s="268">
        <f>IF($BN128,_xll.qDateYears($BN127,$BN128,DCC_Leg2_Float),0)</f>
        <v>0</v>
      </c>
      <c r="DF127" s="332">
        <f t="shared" si="63"/>
        <v>0</v>
      </c>
      <c r="DG127" s="357">
        <f t="shared" si="64"/>
        <v>0</v>
      </c>
      <c r="DH127" s="527"/>
      <c r="DJ127" s="324">
        <f t="shared" si="66"/>
        <v>0</v>
      </c>
      <c r="DK127" s="529"/>
      <c r="DL127" s="338"/>
    </row>
    <row r="128" spans="15:116">
      <c r="O128" s="121">
        <v>0</v>
      </c>
      <c r="P128" s="755">
        <f t="shared" si="35"/>
        <v>0</v>
      </c>
      <c r="Q128" s="125">
        <v>0</v>
      </c>
      <c r="R128" s="890">
        <f>IF(O129=0,0,         IF(OR(Currency1="AUD",Currency1="NZD",Currency1="GBP"),O128,   _xll.qDateNext(O128,"-2b",,,IF(Currency1="EUR","TGT","LON"))))</f>
        <v>0</v>
      </c>
      <c r="S128" s="879" t="str">
        <v/>
      </c>
      <c r="T128" s="879" t="str">
        <v/>
      </c>
      <c r="U128" s="879" t="str">
        <v/>
      </c>
      <c r="V128" s="879" t="str">
        <v/>
      </c>
      <c r="W128" s="879" t="str">
        <v/>
      </c>
      <c r="X128" s="879" t="str">
        <v/>
      </c>
      <c r="Y128" s="879" t="str">
        <v/>
      </c>
      <c r="Z128" s="879" t="str">
        <v/>
      </c>
      <c r="AA128" s="882">
        <f>IF($O129=0,0,        _xll.qDateNext($O128,AA$17,$AH$16,TRUE,Currency1))</f>
        <v>0</v>
      </c>
      <c r="AB128" s="882">
        <f>IF($O129=0,0,        _xll.qDateNext($O128,AB$17,$AH$16,TRUE,Currency1))</f>
        <v>0</v>
      </c>
      <c r="AC128" s="882">
        <f>IF($O129=0,0,        _xll.qDateNext($O128,AC$17,$AH$16,TRUE,Currency1))</f>
        <v>0</v>
      </c>
      <c r="AD128" s="882">
        <f>IF($O129=0,0,        _xll.qDateNext($O128,AD$17,$AH$16,TRUE,Currency1))</f>
        <v>0</v>
      </c>
      <c r="AE128" s="882">
        <f>IF($O129=0,0,        _xll.qDateNext($O128,AE$17,$AH$16,TRUE,Currency1))</f>
        <v>0</v>
      </c>
      <c r="AF128" s="882">
        <f>IF($O129=0,0,        _xll.qDateNext($O128,AF$17,$AH$16,TRUE,Currency1))</f>
        <v>0</v>
      </c>
      <c r="AG128" s="882">
        <f>IF($O129=0,0,        _xll.qDateNext($O128,AG$17,$AH$16,TRUE,Currency1))</f>
        <v>0</v>
      </c>
      <c r="AH128" s="882">
        <f>IF($O129=0,0,        _xll.qDateNext($O128,AH$17,$AH$16,TRUE,Currency1))</f>
        <v>0</v>
      </c>
      <c r="AI128" s="886">
        <f>IF($O129=0,0,           IF(FRM,_xll.qGetFwdRate(AI$14,$O128,AA128,"T",DCC_Leg1_Float),_xll.qGetFwdRate(AI$14,$O128,$O129,"T",DCC_Leg1_Float)))</f>
        <v>0</v>
      </c>
      <c r="AJ128" s="886">
        <f>IF($O129=0,0,           IF(FRM,_xll.qGetFwdRate(AJ$14,$O128,AB128,"T",DCC_Leg1_Float),_xll.qGetFwdRate(AJ$14,$O128,$O129,"T",DCC_Leg1_Float)))</f>
        <v>0</v>
      </c>
      <c r="AK128" s="886">
        <f t="shared" si="36"/>
        <v>0</v>
      </c>
      <c r="AL128" s="886">
        <f>IF($O129=0,0,           IF(FRM,_xll.qGetFwdRate(AL$14,$O128,AD128,"T",DCC_Leg1_Float),_xll.qGetFwdRate(AL$14,$O128,$O129,"T",DCC_Leg1_Float)))</f>
        <v>0</v>
      </c>
      <c r="AM128" s="886">
        <f t="shared" si="49"/>
        <v>0</v>
      </c>
      <c r="AN128" s="886">
        <f t="shared" si="50"/>
        <v>0</v>
      </c>
      <c r="AO128" s="886">
        <f>IF($O129=0,0,           IF(FRM,_xll.qGetFwdRate(AO$14,$O128,AG128,"T",DCC_Leg1_Float),_xll.qGetFwdRate(AO$14,$O128,$O129,"T",DCC_Leg1_Float)))</f>
        <v>0</v>
      </c>
      <c r="AP128" s="886">
        <f>IF($O129=0,0,           IF(FRM,_xll.qGetFwdRate(AP$14,$O128,AH128,"T",DCC_Leg1_Float),_xll.qGetFwdRate(AP$14,$O128,$O129,"T",DCC_Leg1_Float)))</f>
        <v>0</v>
      </c>
      <c r="AQ128" s="648">
        <f t="shared" si="51"/>
        <v>0</v>
      </c>
      <c r="AR128" s="648">
        <f t="shared" si="52"/>
        <v>0</v>
      </c>
      <c r="AS128" s="648">
        <f t="shared" si="53"/>
        <v>0</v>
      </c>
      <c r="AT128" s="648">
        <f t="shared" si="54"/>
        <v>0</v>
      </c>
      <c r="AU128" s="648">
        <f t="shared" si="55"/>
        <v>0</v>
      </c>
      <c r="AV128" s="648">
        <f t="shared" si="56"/>
        <v>0</v>
      </c>
      <c r="AW128" s="648">
        <f t="shared" si="57"/>
        <v>0</v>
      </c>
      <c r="AX128" s="648">
        <f t="shared" si="58"/>
        <v>0</v>
      </c>
      <c r="AY128" s="634">
        <v>0</v>
      </c>
      <c r="AZ128" s="616"/>
      <c r="BA128" s="619">
        <f>IF(O129=0,0,             IF(ISNUMBER(AZ128),AZ128,             IF(ISTEXT(AZ128),INDEX(AQ128:AX128,MATCH(AZ128,$AQ$17:$AX$17,0)),           IF(AY128="INT",_xll.qInterp(O129,AA128:AH128,AQ128:AX128),       INDEX(AQ128:AX128,MATCH(AY128,$AQ$17:$AX$17,0))))))</f>
        <v>0</v>
      </c>
      <c r="BB128" s="674">
        <v>100</v>
      </c>
      <c r="BC128" s="666">
        <f t="shared" si="37"/>
        <v>0</v>
      </c>
      <c r="BD128" s="268">
        <f>IF($O129=0,0,                IF(LEFT(DCC_Leg1_Fixed,2)="1/",uEvaluate(DCC_Leg1_Fixed),        _xll.qDateYears($O128,$O129,DCC_Leg1_Fixed)))</f>
        <v>0</v>
      </c>
      <c r="BE128" s="268">
        <f>IF($O129,_xll.qDateYears($O128,$O129,DCC_Leg1_Float),0)</f>
        <v>0</v>
      </c>
      <c r="BG128" s="332">
        <f t="shared" si="59"/>
        <v>0</v>
      </c>
      <c r="BH128" s="357">
        <f t="shared" si="60"/>
        <v>0</v>
      </c>
      <c r="BI128" s="527"/>
      <c r="BK128" s="324">
        <f t="shared" si="65"/>
        <v>0</v>
      </c>
      <c r="BM128" s="338"/>
      <c r="BN128" s="121">
        <v>0</v>
      </c>
      <c r="BO128" s="755">
        <f t="shared" si="38"/>
        <v>0</v>
      </c>
      <c r="BP128" s="339">
        <v>0</v>
      </c>
      <c r="BQ128" s="890">
        <f>IF(BN129=0,0,         IF(OR(Currency2="AUD",Currency1="NZD",Currency2="GBP"),BN128,   _xll.qDateNext(BN128,"-2b",,,IF(Currency2="EUR","TGT","LON"))))</f>
        <v>0</v>
      </c>
      <c r="BR128" s="879" t="str">
        <v/>
      </c>
      <c r="BS128" s="879" t="str">
        <v/>
      </c>
      <c r="BT128" s="879" t="str">
        <v/>
      </c>
      <c r="BU128" s="879" t="str">
        <v/>
      </c>
      <c r="BV128" s="879" t="str">
        <v/>
      </c>
      <c r="BW128" s="879" t="str">
        <v/>
      </c>
      <c r="BX128" s="879" t="str">
        <v/>
      </c>
      <c r="BY128" s="879" t="str">
        <v/>
      </c>
      <c r="BZ128" s="882">
        <f>IF($BN129=0,0,        _xll.qDateNext($BN128,BZ$17,$CG$16,TRUE,Currency2))</f>
        <v>0</v>
      </c>
      <c r="CA128" s="882">
        <f>IF($BN129=0,0,        _xll.qDateNext($BN128,CA$17,$CG$16,TRUE,Currency2))</f>
        <v>0</v>
      </c>
      <c r="CB128" s="882">
        <f>IF($BN129=0,0,        _xll.qDateNext($BN128,CB$17,$CG$16,TRUE,Currency2))</f>
        <v>0</v>
      </c>
      <c r="CC128" s="882">
        <f>IF($BN129=0,0,        _xll.qDateNext($BN128,CC$17,$CG$16,TRUE,Currency2))</f>
        <v>0</v>
      </c>
      <c r="CD128" s="882">
        <f>IF($BN129=0,0,        _xll.qDateNext($BN128,CD$17,$CG$16,TRUE,Currency2))</f>
        <v>0</v>
      </c>
      <c r="CE128" s="882">
        <f>IF($BN129=0,0,        _xll.qDateNext($BN128,CE$17,$CG$16,TRUE,Currency2))</f>
        <v>0</v>
      </c>
      <c r="CF128" s="882">
        <f>IF($BN129=0,0,        _xll.qDateNext($BN128,CF$17,$CG$16,TRUE,Currency2))</f>
        <v>0</v>
      </c>
      <c r="CG128" s="882">
        <f>IF($BN129=0,0,        _xll.qDateNext($BN128,CG$17,$CG$16,TRUE,Currency2))</f>
        <v>0</v>
      </c>
      <c r="CH128" s="886">
        <v>0</v>
      </c>
      <c r="CI128" s="886">
        <v>0</v>
      </c>
      <c r="CJ128" s="886">
        <v>0</v>
      </c>
      <c r="CK128" s="886">
        <v>0</v>
      </c>
      <c r="CL128" s="886">
        <f t="shared" si="61"/>
        <v>0</v>
      </c>
      <c r="CM128" s="886">
        <f t="shared" si="62"/>
        <v>0</v>
      </c>
      <c r="CN128" s="886">
        <v>0</v>
      </c>
      <c r="CO128" s="886">
        <v>0</v>
      </c>
      <c r="CP128" s="648">
        <f t="shared" si="39"/>
        <v>0</v>
      </c>
      <c r="CQ128" s="648">
        <f t="shared" si="40"/>
        <v>0</v>
      </c>
      <c r="CR128" s="648">
        <f t="shared" si="41"/>
        <v>0</v>
      </c>
      <c r="CS128" s="648">
        <f t="shared" si="42"/>
        <v>0</v>
      </c>
      <c r="CT128" s="648">
        <f t="shared" si="43"/>
        <v>0</v>
      </c>
      <c r="CU128" s="648">
        <f t="shared" si="44"/>
        <v>0</v>
      </c>
      <c r="CV128" s="648">
        <f t="shared" si="45"/>
        <v>0</v>
      </c>
      <c r="CW128" s="648">
        <f t="shared" si="46"/>
        <v>0</v>
      </c>
      <c r="CX128" s="634">
        <v>0</v>
      </c>
      <c r="CY128" s="616"/>
      <c r="CZ128" s="619">
        <f>IF(BN129=0,0,             IF(ISNUMBER(CY128),CY128,             IF(ISTEXT(CY128),INDEX(CP128:CW128,MATCH(CY128,$CP$17:$CW$17,0)),           IF(CX128="INT",_xll.qInterp(BN129,BZ128:CG128,CP128:CW128),       INDEX(CP128:CW128,MATCH(CX128,$CP$17:$CW$17,0))))))</f>
        <v>0</v>
      </c>
      <c r="DA128" s="755">
        <f t="shared" si="47"/>
        <v>0</v>
      </c>
      <c r="DB128" s="387">
        <f t="shared" si="48"/>
        <v>0</v>
      </c>
      <c r="DC128" s="268">
        <f>IF($BN129=0,0,         IF(LEFT(DCC_Leg2_Fixed,2)="1/",uEvaluate(DCC_Leg2_Fixed),         _xll.qDateYears($BN128,$BN129,DCC_Leg2_Fixed)))</f>
        <v>0</v>
      </c>
      <c r="DD128" s="268">
        <f>IF($BN129,_xll.qDateYears($BN128,$BN129,DCC_Leg2_Float),0)</f>
        <v>0</v>
      </c>
      <c r="DF128" s="332">
        <f t="shared" si="63"/>
        <v>0</v>
      </c>
      <c r="DG128" s="357">
        <f t="shared" si="64"/>
        <v>0</v>
      </c>
      <c r="DH128" s="527"/>
      <c r="DJ128" s="324">
        <f t="shared" si="66"/>
        <v>0</v>
      </c>
      <c r="DK128" s="529"/>
      <c r="DL128" s="338"/>
    </row>
    <row r="129" spans="15:116">
      <c r="O129" s="121">
        <v>0</v>
      </c>
      <c r="P129" s="755">
        <f t="shared" si="35"/>
        <v>0</v>
      </c>
      <c r="Q129" s="125">
        <v>0</v>
      </c>
      <c r="R129" s="890">
        <f>IF(O130=0,0,         IF(OR(Currency1="AUD",Currency1="NZD",Currency1="GBP"),O129,   _xll.qDateNext(O129,"-2b",,,IF(Currency1="EUR","TGT","LON"))))</f>
        <v>0</v>
      </c>
      <c r="S129" s="879" t="str">
        <v/>
      </c>
      <c r="T129" s="879" t="str">
        <v/>
      </c>
      <c r="U129" s="879" t="str">
        <v/>
      </c>
      <c r="V129" s="879" t="str">
        <v/>
      </c>
      <c r="W129" s="879" t="str">
        <v/>
      </c>
      <c r="X129" s="879" t="str">
        <v/>
      </c>
      <c r="Y129" s="879" t="str">
        <v/>
      </c>
      <c r="Z129" s="879" t="str">
        <v/>
      </c>
      <c r="AA129" s="882">
        <f>IF($O130=0,0,        _xll.qDateNext($O129,AA$17,$AH$16,TRUE,Currency1))</f>
        <v>0</v>
      </c>
      <c r="AB129" s="882">
        <f>IF($O130=0,0,        _xll.qDateNext($O129,AB$17,$AH$16,TRUE,Currency1))</f>
        <v>0</v>
      </c>
      <c r="AC129" s="882">
        <f>IF($O130=0,0,        _xll.qDateNext($O129,AC$17,$AH$16,TRUE,Currency1))</f>
        <v>0</v>
      </c>
      <c r="AD129" s="882">
        <f>IF($O130=0,0,        _xll.qDateNext($O129,AD$17,$AH$16,TRUE,Currency1))</f>
        <v>0</v>
      </c>
      <c r="AE129" s="882">
        <f>IF($O130=0,0,        _xll.qDateNext($O129,AE$17,$AH$16,TRUE,Currency1))</f>
        <v>0</v>
      </c>
      <c r="AF129" s="882">
        <f>IF($O130=0,0,        _xll.qDateNext($O129,AF$17,$AH$16,TRUE,Currency1))</f>
        <v>0</v>
      </c>
      <c r="AG129" s="882">
        <f>IF($O130=0,0,        _xll.qDateNext($O129,AG$17,$AH$16,TRUE,Currency1))</f>
        <v>0</v>
      </c>
      <c r="AH129" s="882">
        <f>IF($O130=0,0,        _xll.qDateNext($O129,AH$17,$AH$16,TRUE,Currency1))</f>
        <v>0</v>
      </c>
      <c r="AI129" s="886">
        <f>IF($O130=0,0,           IF(FRM,_xll.qGetFwdRate(AI$14,$O129,AA129,"T",DCC_Leg1_Float),_xll.qGetFwdRate(AI$14,$O129,$O130,"T",DCC_Leg1_Float)))</f>
        <v>0</v>
      </c>
      <c r="AJ129" s="886">
        <f>IF($O130=0,0,           IF(FRM,_xll.qGetFwdRate(AJ$14,$O129,AB129,"T",DCC_Leg1_Float),_xll.qGetFwdRate(AJ$14,$O129,$O130,"T",DCC_Leg1_Float)))</f>
        <v>0</v>
      </c>
      <c r="AK129" s="886">
        <f t="shared" si="36"/>
        <v>0</v>
      </c>
      <c r="AL129" s="886">
        <f>IF($O130=0,0,           IF(FRM,_xll.qGetFwdRate(AL$14,$O129,AD129,"T",DCC_Leg1_Float),_xll.qGetFwdRate(AL$14,$O129,$O130,"T",DCC_Leg1_Float)))</f>
        <v>0</v>
      </c>
      <c r="AM129" s="886">
        <f t="shared" si="49"/>
        <v>0</v>
      </c>
      <c r="AN129" s="886">
        <f t="shared" si="50"/>
        <v>0</v>
      </c>
      <c r="AO129" s="886">
        <f>IF($O130=0,0,           IF(FRM,_xll.qGetFwdRate(AO$14,$O129,AG129,"T",DCC_Leg1_Float),_xll.qGetFwdRate(AO$14,$O129,$O130,"T",DCC_Leg1_Float)))</f>
        <v>0</v>
      </c>
      <c r="AP129" s="886">
        <f>IF($O130=0,0,           IF(FRM,_xll.qGetFwdRate(AP$14,$O129,AH129,"T",DCC_Leg1_Float),_xll.qGetFwdRate(AP$14,$O129,$O130,"T",DCC_Leg1_Float)))</f>
        <v>0</v>
      </c>
      <c r="AQ129" s="648">
        <f t="shared" si="51"/>
        <v>0</v>
      </c>
      <c r="AR129" s="648">
        <f t="shared" si="52"/>
        <v>0</v>
      </c>
      <c r="AS129" s="648">
        <f t="shared" si="53"/>
        <v>0</v>
      </c>
      <c r="AT129" s="648">
        <f t="shared" si="54"/>
        <v>0</v>
      </c>
      <c r="AU129" s="648">
        <f t="shared" si="55"/>
        <v>0</v>
      </c>
      <c r="AV129" s="648">
        <f t="shared" si="56"/>
        <v>0</v>
      </c>
      <c r="AW129" s="648">
        <f t="shared" si="57"/>
        <v>0</v>
      </c>
      <c r="AX129" s="648">
        <f t="shared" si="58"/>
        <v>0</v>
      </c>
      <c r="AY129" s="634">
        <v>0</v>
      </c>
      <c r="AZ129" s="616"/>
      <c r="BA129" s="619">
        <f>IF(O130=0,0,             IF(ISNUMBER(AZ129),AZ129,             IF(ISTEXT(AZ129),INDEX(AQ129:AX129,MATCH(AZ129,$AQ$17:$AX$17,0)),           IF(AY129="INT",_xll.qInterp(O130,AA129:AH129,AQ129:AX129),       INDEX(AQ129:AX129,MATCH(AY129,$AQ$17:$AX$17,0))))))</f>
        <v>0</v>
      </c>
      <c r="BB129" s="674">
        <v>100</v>
      </c>
      <c r="BC129" s="666">
        <f t="shared" si="37"/>
        <v>0</v>
      </c>
      <c r="BD129" s="268">
        <f>IF($O130=0,0,                IF(LEFT(DCC_Leg1_Fixed,2)="1/",uEvaluate(DCC_Leg1_Fixed),        _xll.qDateYears($O129,$O130,DCC_Leg1_Fixed)))</f>
        <v>0</v>
      </c>
      <c r="BE129" s="268">
        <f>IF($O130,_xll.qDateYears($O129,$O130,DCC_Leg1_Float),0)</f>
        <v>0</v>
      </c>
      <c r="BG129" s="332">
        <f t="shared" si="59"/>
        <v>0</v>
      </c>
      <c r="BH129" s="357">
        <f t="shared" si="60"/>
        <v>0</v>
      </c>
      <c r="BI129" s="527"/>
      <c r="BK129" s="324">
        <f t="shared" si="65"/>
        <v>0</v>
      </c>
      <c r="BM129" s="338"/>
      <c r="BN129" s="121">
        <v>0</v>
      </c>
      <c r="BO129" s="755">
        <f t="shared" si="38"/>
        <v>0</v>
      </c>
      <c r="BP129" s="339">
        <v>0</v>
      </c>
      <c r="BQ129" s="890">
        <f>IF(BN130=0,0,         IF(OR(Currency2="AUD",Currency1="NZD",Currency2="GBP"),BN129,   _xll.qDateNext(BN129,"-2b",,,IF(Currency2="EUR","TGT","LON"))))</f>
        <v>0</v>
      </c>
      <c r="BR129" s="879" t="str">
        <v/>
      </c>
      <c r="BS129" s="879" t="str">
        <v/>
      </c>
      <c r="BT129" s="879" t="str">
        <v/>
      </c>
      <c r="BU129" s="879" t="str">
        <v/>
      </c>
      <c r="BV129" s="879" t="str">
        <v/>
      </c>
      <c r="BW129" s="879" t="str">
        <v/>
      </c>
      <c r="BX129" s="879" t="str">
        <v/>
      </c>
      <c r="BY129" s="879" t="str">
        <v/>
      </c>
      <c r="BZ129" s="882">
        <f>IF($BN130=0,0,        _xll.qDateNext($BN129,BZ$17,$CG$16,TRUE,Currency2))</f>
        <v>0</v>
      </c>
      <c r="CA129" s="882">
        <f>IF($BN130=0,0,        _xll.qDateNext($BN129,CA$17,$CG$16,TRUE,Currency2))</f>
        <v>0</v>
      </c>
      <c r="CB129" s="882">
        <f>IF($BN130=0,0,        _xll.qDateNext($BN129,CB$17,$CG$16,TRUE,Currency2))</f>
        <v>0</v>
      </c>
      <c r="CC129" s="882">
        <f>IF($BN130=0,0,        _xll.qDateNext($BN129,CC$17,$CG$16,TRUE,Currency2))</f>
        <v>0</v>
      </c>
      <c r="CD129" s="882">
        <f>IF($BN130=0,0,        _xll.qDateNext($BN129,CD$17,$CG$16,TRUE,Currency2))</f>
        <v>0</v>
      </c>
      <c r="CE129" s="882">
        <f>IF($BN130=0,0,        _xll.qDateNext($BN129,CE$17,$CG$16,TRUE,Currency2))</f>
        <v>0</v>
      </c>
      <c r="CF129" s="882">
        <f>IF($BN130=0,0,        _xll.qDateNext($BN129,CF$17,$CG$16,TRUE,Currency2))</f>
        <v>0</v>
      </c>
      <c r="CG129" s="882">
        <f>IF($BN130=0,0,        _xll.qDateNext($BN129,CG$17,$CG$16,TRUE,Currency2))</f>
        <v>0</v>
      </c>
      <c r="CH129" s="886">
        <v>0</v>
      </c>
      <c r="CI129" s="886">
        <v>0</v>
      </c>
      <c r="CJ129" s="886">
        <v>0</v>
      </c>
      <c r="CK129" s="886">
        <v>0</v>
      </c>
      <c r="CL129" s="886">
        <f t="shared" si="61"/>
        <v>0</v>
      </c>
      <c r="CM129" s="886">
        <f t="shared" si="62"/>
        <v>0</v>
      </c>
      <c r="CN129" s="886">
        <v>0</v>
      </c>
      <c r="CO129" s="886">
        <v>0</v>
      </c>
      <c r="CP129" s="648">
        <f t="shared" si="39"/>
        <v>0</v>
      </c>
      <c r="CQ129" s="648">
        <f t="shared" si="40"/>
        <v>0</v>
      </c>
      <c r="CR129" s="648">
        <f t="shared" si="41"/>
        <v>0</v>
      </c>
      <c r="CS129" s="648">
        <f t="shared" si="42"/>
        <v>0</v>
      </c>
      <c r="CT129" s="648">
        <f t="shared" si="43"/>
        <v>0</v>
      </c>
      <c r="CU129" s="648">
        <f t="shared" si="44"/>
        <v>0</v>
      </c>
      <c r="CV129" s="648">
        <f t="shared" si="45"/>
        <v>0</v>
      </c>
      <c r="CW129" s="648">
        <f t="shared" si="46"/>
        <v>0</v>
      </c>
      <c r="CX129" s="634">
        <v>0</v>
      </c>
      <c r="CY129" s="616"/>
      <c r="CZ129" s="619">
        <f>IF(BN130=0,0,             IF(ISNUMBER(CY129),CY129,             IF(ISTEXT(CY129),INDEX(CP129:CW129,MATCH(CY129,$CP$17:$CW$17,0)),           IF(CX129="INT",_xll.qInterp(BN130,BZ129:CG129,CP129:CW129),       INDEX(CP129:CW129,MATCH(CX129,$CP$17:$CW$17,0))))))</f>
        <v>0</v>
      </c>
      <c r="DA129" s="755">
        <f t="shared" si="47"/>
        <v>0</v>
      </c>
      <c r="DB129" s="387">
        <f t="shared" si="48"/>
        <v>0</v>
      </c>
      <c r="DC129" s="268">
        <f>IF($BN130=0,0,         IF(LEFT(DCC_Leg2_Fixed,2)="1/",uEvaluate(DCC_Leg2_Fixed),         _xll.qDateYears($BN129,$BN130,DCC_Leg2_Fixed)))</f>
        <v>0</v>
      </c>
      <c r="DD129" s="268">
        <f>IF($BN130,_xll.qDateYears($BN129,$BN130,DCC_Leg2_Float),0)</f>
        <v>0</v>
      </c>
      <c r="DF129" s="332">
        <f t="shared" si="63"/>
        <v>0</v>
      </c>
      <c r="DG129" s="357">
        <f t="shared" si="64"/>
        <v>0</v>
      </c>
      <c r="DH129" s="527"/>
      <c r="DJ129" s="324">
        <f t="shared" si="66"/>
        <v>0</v>
      </c>
      <c r="DK129" s="529"/>
      <c r="DL129" s="338"/>
    </row>
    <row r="130" spans="15:116">
      <c r="O130" s="121">
        <v>0</v>
      </c>
      <c r="P130" s="755">
        <f t="shared" si="35"/>
        <v>0</v>
      </c>
      <c r="Q130" s="125">
        <v>0</v>
      </c>
      <c r="R130" s="890">
        <f>IF(O131=0,0,         IF(OR(Currency1="AUD",Currency1="NZD",Currency1="GBP"),O130,   _xll.qDateNext(O130,"-2b",,,IF(Currency1="EUR","TGT","LON"))))</f>
        <v>0</v>
      </c>
      <c r="S130" s="879" t="str">
        <v/>
      </c>
      <c r="T130" s="879" t="str">
        <v/>
      </c>
      <c r="U130" s="879" t="str">
        <v/>
      </c>
      <c r="V130" s="879" t="str">
        <v/>
      </c>
      <c r="W130" s="879" t="str">
        <v/>
      </c>
      <c r="X130" s="879" t="str">
        <v/>
      </c>
      <c r="Y130" s="879" t="str">
        <v/>
      </c>
      <c r="Z130" s="879" t="str">
        <v/>
      </c>
      <c r="AA130" s="882">
        <f>IF($O131=0,0,        _xll.qDateNext($O130,AA$17,$AH$16,TRUE,Currency1))</f>
        <v>0</v>
      </c>
      <c r="AB130" s="882">
        <f>IF($O131=0,0,        _xll.qDateNext($O130,AB$17,$AH$16,TRUE,Currency1))</f>
        <v>0</v>
      </c>
      <c r="AC130" s="882">
        <f>IF($O131=0,0,        _xll.qDateNext($O130,AC$17,$AH$16,TRUE,Currency1))</f>
        <v>0</v>
      </c>
      <c r="AD130" s="882">
        <f>IF($O131=0,0,        _xll.qDateNext($O130,AD$17,$AH$16,TRUE,Currency1))</f>
        <v>0</v>
      </c>
      <c r="AE130" s="882">
        <f>IF($O131=0,0,        _xll.qDateNext($O130,AE$17,$AH$16,TRUE,Currency1))</f>
        <v>0</v>
      </c>
      <c r="AF130" s="882">
        <f>IF($O131=0,0,        _xll.qDateNext($O130,AF$17,$AH$16,TRUE,Currency1))</f>
        <v>0</v>
      </c>
      <c r="AG130" s="882">
        <f>IF($O131=0,0,        _xll.qDateNext($O130,AG$17,$AH$16,TRUE,Currency1))</f>
        <v>0</v>
      </c>
      <c r="AH130" s="882">
        <f>IF($O131=0,0,        _xll.qDateNext($O130,AH$17,$AH$16,TRUE,Currency1))</f>
        <v>0</v>
      </c>
      <c r="AI130" s="886">
        <f>IF($O131=0,0,           IF(FRM,_xll.qGetFwdRate(AI$14,$O130,AA130,"T",DCC_Leg1_Float),_xll.qGetFwdRate(AI$14,$O130,$O131,"T",DCC_Leg1_Float)))</f>
        <v>0</v>
      </c>
      <c r="AJ130" s="886">
        <f>IF($O131=0,0,           IF(FRM,_xll.qGetFwdRate(AJ$14,$O130,AB130,"T",DCC_Leg1_Float),_xll.qGetFwdRate(AJ$14,$O130,$O131,"T",DCC_Leg1_Float)))</f>
        <v>0</v>
      </c>
      <c r="AK130" s="886">
        <f t="shared" si="36"/>
        <v>0</v>
      </c>
      <c r="AL130" s="886">
        <f>IF($O131=0,0,           IF(FRM,_xll.qGetFwdRate(AL$14,$O130,AD130,"T",DCC_Leg1_Float),_xll.qGetFwdRate(AL$14,$O130,$O131,"T",DCC_Leg1_Float)))</f>
        <v>0</v>
      </c>
      <c r="AM130" s="886">
        <f t="shared" si="49"/>
        <v>0</v>
      </c>
      <c r="AN130" s="886">
        <f t="shared" si="50"/>
        <v>0</v>
      </c>
      <c r="AO130" s="886">
        <f>IF($O131=0,0,           IF(FRM,_xll.qGetFwdRate(AO$14,$O130,AG130,"T",DCC_Leg1_Float),_xll.qGetFwdRate(AO$14,$O130,$O131,"T",DCC_Leg1_Float)))</f>
        <v>0</v>
      </c>
      <c r="AP130" s="886">
        <f>IF($O131=0,0,           IF(FRM,_xll.qGetFwdRate(AP$14,$O130,AH130,"T",DCC_Leg1_Float),_xll.qGetFwdRate(AP$14,$O130,$O131,"T",DCC_Leg1_Float)))</f>
        <v>0</v>
      </c>
      <c r="AQ130" s="648">
        <f t="shared" si="51"/>
        <v>0</v>
      </c>
      <c r="AR130" s="648">
        <f t="shared" si="52"/>
        <v>0</v>
      </c>
      <c r="AS130" s="648">
        <f t="shared" si="53"/>
        <v>0</v>
      </c>
      <c r="AT130" s="648">
        <f t="shared" si="54"/>
        <v>0</v>
      </c>
      <c r="AU130" s="648">
        <f t="shared" si="55"/>
        <v>0</v>
      </c>
      <c r="AV130" s="648">
        <f t="shared" si="56"/>
        <v>0</v>
      </c>
      <c r="AW130" s="648">
        <f t="shared" si="57"/>
        <v>0</v>
      </c>
      <c r="AX130" s="648">
        <f t="shared" si="58"/>
        <v>0</v>
      </c>
      <c r="AY130" s="634">
        <v>0</v>
      </c>
      <c r="AZ130" s="616"/>
      <c r="BA130" s="619">
        <f>IF(O131=0,0,             IF(ISNUMBER(AZ130),AZ130,             IF(ISTEXT(AZ130),INDEX(AQ130:AX130,MATCH(AZ130,$AQ$17:$AX$17,0)),           IF(AY130="INT",_xll.qInterp(O131,AA130:AH130,AQ130:AX130),       INDEX(AQ130:AX130,MATCH(AY130,$AQ$17:$AX$17,0))))))</f>
        <v>0</v>
      </c>
      <c r="BB130" s="674">
        <v>100</v>
      </c>
      <c r="BC130" s="666">
        <f t="shared" si="37"/>
        <v>0</v>
      </c>
      <c r="BD130" s="268">
        <f>IF($O131=0,0,                IF(LEFT(DCC_Leg1_Fixed,2)="1/",uEvaluate(DCC_Leg1_Fixed),        _xll.qDateYears($O130,$O131,DCC_Leg1_Fixed)))</f>
        <v>0</v>
      </c>
      <c r="BE130" s="268">
        <f>IF($O131,_xll.qDateYears($O130,$O131,DCC_Leg1_Float),0)</f>
        <v>0</v>
      </c>
      <c r="BG130" s="332">
        <f t="shared" si="59"/>
        <v>0</v>
      </c>
      <c r="BH130" s="357">
        <f t="shared" si="60"/>
        <v>0</v>
      </c>
      <c r="BI130" s="527"/>
      <c r="BK130" s="324">
        <f t="shared" si="65"/>
        <v>0</v>
      </c>
      <c r="BM130" s="338"/>
      <c r="BN130" s="121">
        <v>0</v>
      </c>
      <c r="BO130" s="755">
        <f t="shared" si="38"/>
        <v>0</v>
      </c>
      <c r="BP130" s="339">
        <v>0</v>
      </c>
      <c r="BQ130" s="890">
        <f>IF(BN131=0,0,         IF(OR(Currency2="AUD",Currency1="NZD",Currency2="GBP"),BN130,   _xll.qDateNext(BN130,"-2b",,,IF(Currency2="EUR","TGT","LON"))))</f>
        <v>0</v>
      </c>
      <c r="BR130" s="879" t="str">
        <v/>
      </c>
      <c r="BS130" s="879" t="str">
        <v/>
      </c>
      <c r="BT130" s="879" t="str">
        <v/>
      </c>
      <c r="BU130" s="879" t="str">
        <v/>
      </c>
      <c r="BV130" s="879" t="str">
        <v/>
      </c>
      <c r="BW130" s="879" t="str">
        <v/>
      </c>
      <c r="BX130" s="879" t="str">
        <v/>
      </c>
      <c r="BY130" s="879" t="str">
        <v/>
      </c>
      <c r="BZ130" s="882">
        <f>IF($BN131=0,0,        _xll.qDateNext($BN130,BZ$17,$CG$16,TRUE,Currency2))</f>
        <v>0</v>
      </c>
      <c r="CA130" s="882">
        <f>IF($BN131=0,0,        _xll.qDateNext($BN130,CA$17,$CG$16,TRUE,Currency2))</f>
        <v>0</v>
      </c>
      <c r="CB130" s="882">
        <f>IF($BN131=0,0,        _xll.qDateNext($BN130,CB$17,$CG$16,TRUE,Currency2))</f>
        <v>0</v>
      </c>
      <c r="CC130" s="882">
        <f>IF($BN131=0,0,        _xll.qDateNext($BN130,CC$17,$CG$16,TRUE,Currency2))</f>
        <v>0</v>
      </c>
      <c r="CD130" s="882">
        <f>IF($BN131=0,0,        _xll.qDateNext($BN130,CD$17,$CG$16,TRUE,Currency2))</f>
        <v>0</v>
      </c>
      <c r="CE130" s="882">
        <f>IF($BN131=0,0,        _xll.qDateNext($BN130,CE$17,$CG$16,TRUE,Currency2))</f>
        <v>0</v>
      </c>
      <c r="CF130" s="882">
        <f>IF($BN131=0,0,        _xll.qDateNext($BN130,CF$17,$CG$16,TRUE,Currency2))</f>
        <v>0</v>
      </c>
      <c r="CG130" s="882">
        <f>IF($BN131=0,0,        _xll.qDateNext($BN130,CG$17,$CG$16,TRUE,Currency2))</f>
        <v>0</v>
      </c>
      <c r="CH130" s="886">
        <v>0</v>
      </c>
      <c r="CI130" s="886">
        <v>0</v>
      </c>
      <c r="CJ130" s="886">
        <v>0</v>
      </c>
      <c r="CK130" s="886">
        <v>0</v>
      </c>
      <c r="CL130" s="886">
        <f t="shared" si="61"/>
        <v>0</v>
      </c>
      <c r="CM130" s="886">
        <f t="shared" si="62"/>
        <v>0</v>
      </c>
      <c r="CN130" s="886">
        <v>0</v>
      </c>
      <c r="CO130" s="886">
        <v>0</v>
      </c>
      <c r="CP130" s="648">
        <f t="shared" si="39"/>
        <v>0</v>
      </c>
      <c r="CQ130" s="648">
        <f t="shared" si="40"/>
        <v>0</v>
      </c>
      <c r="CR130" s="648">
        <f t="shared" si="41"/>
        <v>0</v>
      </c>
      <c r="CS130" s="648">
        <f t="shared" si="42"/>
        <v>0</v>
      </c>
      <c r="CT130" s="648">
        <f t="shared" si="43"/>
        <v>0</v>
      </c>
      <c r="CU130" s="648">
        <f t="shared" si="44"/>
        <v>0</v>
      </c>
      <c r="CV130" s="648">
        <f t="shared" si="45"/>
        <v>0</v>
      </c>
      <c r="CW130" s="648">
        <f t="shared" si="46"/>
        <v>0</v>
      </c>
      <c r="CX130" s="634">
        <v>0</v>
      </c>
      <c r="CY130" s="616"/>
      <c r="CZ130" s="619">
        <f>IF(BN131=0,0,             IF(ISNUMBER(CY130),CY130,             IF(ISTEXT(CY130),INDEX(CP130:CW130,MATCH(CY130,$CP$17:$CW$17,0)),           IF(CX130="INT",_xll.qInterp(BN131,BZ130:CG130,CP130:CW130),       INDEX(CP130:CW130,MATCH(CX130,$CP$17:$CW$17,0))))))</f>
        <v>0</v>
      </c>
      <c r="DA130" s="755">
        <f t="shared" si="47"/>
        <v>0</v>
      </c>
      <c r="DB130" s="387">
        <f t="shared" si="48"/>
        <v>0</v>
      </c>
      <c r="DC130" s="268">
        <f>IF($BN131=0,0,         IF(LEFT(DCC_Leg2_Fixed,2)="1/",uEvaluate(DCC_Leg2_Fixed),         _xll.qDateYears($BN130,$BN131,DCC_Leg2_Fixed)))</f>
        <v>0</v>
      </c>
      <c r="DD130" s="268">
        <f>IF($BN131,_xll.qDateYears($BN130,$BN131,DCC_Leg2_Float),0)</f>
        <v>0</v>
      </c>
      <c r="DF130" s="332">
        <f t="shared" si="63"/>
        <v>0</v>
      </c>
      <c r="DG130" s="357">
        <f t="shared" si="64"/>
        <v>0</v>
      </c>
      <c r="DH130" s="527"/>
      <c r="DJ130" s="324">
        <f t="shared" si="66"/>
        <v>0</v>
      </c>
      <c r="DK130" s="529"/>
      <c r="DL130" s="338"/>
    </row>
    <row r="131" spans="15:116">
      <c r="O131" s="121">
        <v>0</v>
      </c>
      <c r="P131" s="755">
        <f t="shared" si="35"/>
        <v>0</v>
      </c>
      <c r="Q131" s="125">
        <v>0</v>
      </c>
      <c r="R131" s="890">
        <f>IF(O132=0,0,         IF(OR(Currency1="AUD",Currency1="NZD",Currency1="GBP"),O131,   _xll.qDateNext(O131,"-2b",,,IF(Currency1="EUR","TGT","LON"))))</f>
        <v>0</v>
      </c>
      <c r="S131" s="879" t="str">
        <v/>
      </c>
      <c r="T131" s="879" t="str">
        <v/>
      </c>
      <c r="U131" s="879" t="str">
        <v/>
      </c>
      <c r="V131" s="879" t="str">
        <v/>
      </c>
      <c r="W131" s="879" t="str">
        <v/>
      </c>
      <c r="X131" s="879" t="str">
        <v/>
      </c>
      <c r="Y131" s="879" t="str">
        <v/>
      </c>
      <c r="Z131" s="879" t="str">
        <v/>
      </c>
      <c r="AA131" s="882">
        <f>IF($O132=0,0,        _xll.qDateNext($O131,AA$17,$AH$16,TRUE,Currency1))</f>
        <v>0</v>
      </c>
      <c r="AB131" s="882">
        <f>IF($O132=0,0,        _xll.qDateNext($O131,AB$17,$AH$16,TRUE,Currency1))</f>
        <v>0</v>
      </c>
      <c r="AC131" s="882">
        <f>IF($O132=0,0,        _xll.qDateNext($O131,AC$17,$AH$16,TRUE,Currency1))</f>
        <v>0</v>
      </c>
      <c r="AD131" s="882">
        <f>IF($O132=0,0,        _xll.qDateNext($O131,AD$17,$AH$16,TRUE,Currency1))</f>
        <v>0</v>
      </c>
      <c r="AE131" s="882">
        <f>IF($O132=0,0,        _xll.qDateNext($O131,AE$17,$AH$16,TRUE,Currency1))</f>
        <v>0</v>
      </c>
      <c r="AF131" s="882">
        <f>IF($O132=0,0,        _xll.qDateNext($O131,AF$17,$AH$16,TRUE,Currency1))</f>
        <v>0</v>
      </c>
      <c r="AG131" s="882">
        <f>IF($O132=0,0,        _xll.qDateNext($O131,AG$17,$AH$16,TRUE,Currency1))</f>
        <v>0</v>
      </c>
      <c r="AH131" s="882">
        <f>IF($O132=0,0,        _xll.qDateNext($O131,AH$17,$AH$16,TRUE,Currency1))</f>
        <v>0</v>
      </c>
      <c r="AI131" s="886">
        <f>IF($O132=0,0,           IF(FRM,_xll.qGetFwdRate(AI$14,$O131,AA131,"T",DCC_Leg1_Float),_xll.qGetFwdRate(AI$14,$O131,$O132,"T",DCC_Leg1_Float)))</f>
        <v>0</v>
      </c>
      <c r="AJ131" s="886">
        <f>IF($O132=0,0,           IF(FRM,_xll.qGetFwdRate(AJ$14,$O131,AB131,"T",DCC_Leg1_Float),_xll.qGetFwdRate(AJ$14,$O131,$O132,"T",DCC_Leg1_Float)))</f>
        <v>0</v>
      </c>
      <c r="AK131" s="886">
        <f t="shared" si="36"/>
        <v>0</v>
      </c>
      <c r="AL131" s="886">
        <f>IF($O132=0,0,           IF(FRM,_xll.qGetFwdRate(AL$14,$O131,AD131,"T",DCC_Leg1_Float),_xll.qGetFwdRate(AL$14,$O131,$O132,"T",DCC_Leg1_Float)))</f>
        <v>0</v>
      </c>
      <c r="AM131" s="886">
        <f t="shared" si="49"/>
        <v>0</v>
      </c>
      <c r="AN131" s="886">
        <f t="shared" si="50"/>
        <v>0</v>
      </c>
      <c r="AO131" s="886">
        <f>IF($O132=0,0,           IF(FRM,_xll.qGetFwdRate(AO$14,$O131,AG131,"T",DCC_Leg1_Float),_xll.qGetFwdRate(AO$14,$O131,$O132,"T",DCC_Leg1_Float)))</f>
        <v>0</v>
      </c>
      <c r="AP131" s="886">
        <f>IF($O132=0,0,           IF(FRM,_xll.qGetFwdRate(AP$14,$O131,AH131,"T",DCC_Leg1_Float),_xll.qGetFwdRate(AP$14,$O131,$O132,"T",DCC_Leg1_Float)))</f>
        <v>0</v>
      </c>
      <c r="AQ131" s="648">
        <f t="shared" si="51"/>
        <v>0</v>
      </c>
      <c r="AR131" s="648">
        <f t="shared" si="52"/>
        <v>0</v>
      </c>
      <c r="AS131" s="648">
        <f t="shared" si="53"/>
        <v>0</v>
      </c>
      <c r="AT131" s="648">
        <f t="shared" si="54"/>
        <v>0</v>
      </c>
      <c r="AU131" s="648">
        <f t="shared" si="55"/>
        <v>0</v>
      </c>
      <c r="AV131" s="648">
        <f t="shared" si="56"/>
        <v>0</v>
      </c>
      <c r="AW131" s="648">
        <f t="shared" si="57"/>
        <v>0</v>
      </c>
      <c r="AX131" s="648">
        <f t="shared" si="58"/>
        <v>0</v>
      </c>
      <c r="AY131" s="634">
        <v>0</v>
      </c>
      <c r="AZ131" s="616"/>
      <c r="BA131" s="619">
        <f>IF(O132=0,0,             IF(ISNUMBER(AZ131),AZ131,             IF(ISTEXT(AZ131),INDEX(AQ131:AX131,MATCH(AZ131,$AQ$17:$AX$17,0)),           IF(AY131="INT",_xll.qInterp(O132,AA131:AH131,AQ131:AX131),       INDEX(AQ131:AX131,MATCH(AY131,$AQ$17:$AX$17,0))))))</f>
        <v>0</v>
      </c>
      <c r="BB131" s="674">
        <v>100</v>
      </c>
      <c r="BC131" s="666">
        <f t="shared" si="37"/>
        <v>0</v>
      </c>
      <c r="BD131" s="268">
        <f>IF($O132=0,0,                IF(LEFT(DCC_Leg1_Fixed,2)="1/",uEvaluate(DCC_Leg1_Fixed),        _xll.qDateYears($O131,$O132,DCC_Leg1_Fixed)))</f>
        <v>0</v>
      </c>
      <c r="BE131" s="268">
        <f>IF($O132,_xll.qDateYears($O131,$O132,DCC_Leg1_Float),0)</f>
        <v>0</v>
      </c>
      <c r="BG131" s="332">
        <f t="shared" si="59"/>
        <v>0</v>
      </c>
      <c r="BH131" s="357">
        <f t="shared" si="60"/>
        <v>0</v>
      </c>
      <c r="BI131" s="527"/>
      <c r="BK131" s="324">
        <f t="shared" si="65"/>
        <v>0</v>
      </c>
      <c r="BM131" s="338"/>
      <c r="BN131" s="121">
        <v>0</v>
      </c>
      <c r="BO131" s="755">
        <f t="shared" si="38"/>
        <v>0</v>
      </c>
      <c r="BP131" s="339">
        <v>0</v>
      </c>
      <c r="BQ131" s="890">
        <f>IF(BN132=0,0,         IF(OR(Currency2="AUD",Currency1="NZD",Currency2="GBP"),BN131,   _xll.qDateNext(BN131,"-2b",,,IF(Currency2="EUR","TGT","LON"))))</f>
        <v>0</v>
      </c>
      <c r="BR131" s="879" t="str">
        <v/>
      </c>
      <c r="BS131" s="879" t="str">
        <v/>
      </c>
      <c r="BT131" s="879" t="str">
        <v/>
      </c>
      <c r="BU131" s="879" t="str">
        <v/>
      </c>
      <c r="BV131" s="879" t="str">
        <v/>
      </c>
      <c r="BW131" s="879" t="str">
        <v/>
      </c>
      <c r="BX131" s="879" t="str">
        <v/>
      </c>
      <c r="BY131" s="879" t="str">
        <v/>
      </c>
      <c r="BZ131" s="882">
        <f>IF($BN132=0,0,        _xll.qDateNext($BN131,BZ$17,$CG$16,TRUE,Currency2))</f>
        <v>0</v>
      </c>
      <c r="CA131" s="882">
        <f>IF($BN132=0,0,        _xll.qDateNext($BN131,CA$17,$CG$16,TRUE,Currency2))</f>
        <v>0</v>
      </c>
      <c r="CB131" s="882">
        <f>IF($BN132=0,0,        _xll.qDateNext($BN131,CB$17,$CG$16,TRUE,Currency2))</f>
        <v>0</v>
      </c>
      <c r="CC131" s="882">
        <f>IF($BN132=0,0,        _xll.qDateNext($BN131,CC$17,$CG$16,TRUE,Currency2))</f>
        <v>0</v>
      </c>
      <c r="CD131" s="882">
        <f>IF($BN132=0,0,        _xll.qDateNext($BN131,CD$17,$CG$16,TRUE,Currency2))</f>
        <v>0</v>
      </c>
      <c r="CE131" s="882">
        <f>IF($BN132=0,0,        _xll.qDateNext($BN131,CE$17,$CG$16,TRUE,Currency2))</f>
        <v>0</v>
      </c>
      <c r="CF131" s="882">
        <f>IF($BN132=0,0,        _xll.qDateNext($BN131,CF$17,$CG$16,TRUE,Currency2))</f>
        <v>0</v>
      </c>
      <c r="CG131" s="882">
        <f>IF($BN132=0,0,        _xll.qDateNext($BN131,CG$17,$CG$16,TRUE,Currency2))</f>
        <v>0</v>
      </c>
      <c r="CH131" s="886">
        <v>0</v>
      </c>
      <c r="CI131" s="886">
        <v>0</v>
      </c>
      <c r="CJ131" s="886">
        <v>0</v>
      </c>
      <c r="CK131" s="886">
        <v>0</v>
      </c>
      <c r="CL131" s="886">
        <f t="shared" si="61"/>
        <v>0</v>
      </c>
      <c r="CM131" s="886">
        <f t="shared" si="62"/>
        <v>0</v>
      </c>
      <c r="CN131" s="886">
        <v>0</v>
      </c>
      <c r="CO131" s="886">
        <v>0</v>
      </c>
      <c r="CP131" s="648">
        <f t="shared" si="39"/>
        <v>0</v>
      </c>
      <c r="CQ131" s="648">
        <f t="shared" si="40"/>
        <v>0</v>
      </c>
      <c r="CR131" s="648">
        <f t="shared" si="41"/>
        <v>0</v>
      </c>
      <c r="CS131" s="648">
        <f t="shared" si="42"/>
        <v>0</v>
      </c>
      <c r="CT131" s="648">
        <f t="shared" si="43"/>
        <v>0</v>
      </c>
      <c r="CU131" s="648">
        <f t="shared" si="44"/>
        <v>0</v>
      </c>
      <c r="CV131" s="648">
        <f t="shared" si="45"/>
        <v>0</v>
      </c>
      <c r="CW131" s="648">
        <f t="shared" si="46"/>
        <v>0</v>
      </c>
      <c r="CX131" s="634">
        <v>0</v>
      </c>
      <c r="CY131" s="616"/>
      <c r="CZ131" s="619">
        <f>IF(BN132=0,0,             IF(ISNUMBER(CY131),CY131,             IF(ISTEXT(CY131),INDEX(CP131:CW131,MATCH(CY131,$CP$17:$CW$17,0)),           IF(CX131="INT",_xll.qInterp(BN132,BZ131:CG131,CP131:CW131),       INDEX(CP131:CW131,MATCH(CX131,$CP$17:$CW$17,0))))))</f>
        <v>0</v>
      </c>
      <c r="DA131" s="755">
        <f t="shared" si="47"/>
        <v>0</v>
      </c>
      <c r="DB131" s="387">
        <f t="shared" si="48"/>
        <v>0</v>
      </c>
      <c r="DC131" s="268">
        <f>IF($BN132=0,0,         IF(LEFT(DCC_Leg2_Fixed,2)="1/",uEvaluate(DCC_Leg2_Fixed),         _xll.qDateYears($BN131,$BN132,DCC_Leg2_Fixed)))</f>
        <v>0</v>
      </c>
      <c r="DD131" s="268">
        <f>IF($BN132,_xll.qDateYears($BN131,$BN132,DCC_Leg2_Float),0)</f>
        <v>0</v>
      </c>
      <c r="DF131" s="332">
        <f t="shared" si="63"/>
        <v>0</v>
      </c>
      <c r="DG131" s="357">
        <f t="shared" si="64"/>
        <v>0</v>
      </c>
      <c r="DH131" s="527"/>
      <c r="DJ131" s="324">
        <f t="shared" si="66"/>
        <v>0</v>
      </c>
      <c r="DK131" s="529"/>
      <c r="DL131" s="338"/>
    </row>
    <row r="132" spans="15:116">
      <c r="O132" s="121">
        <v>0</v>
      </c>
      <c r="P132" s="755">
        <f t="shared" si="35"/>
        <v>0</v>
      </c>
      <c r="Q132" s="125">
        <v>0</v>
      </c>
      <c r="R132" s="890">
        <f>IF(O133=0,0,         IF(OR(Currency1="AUD",Currency1="NZD",Currency1="GBP"),O132,   _xll.qDateNext(O132,"-2b",,,IF(Currency1="EUR","TGT","LON"))))</f>
        <v>0</v>
      </c>
      <c r="S132" s="879" t="str">
        <v/>
      </c>
      <c r="T132" s="879" t="str">
        <v/>
      </c>
      <c r="U132" s="879" t="str">
        <v/>
      </c>
      <c r="V132" s="879" t="str">
        <v/>
      </c>
      <c r="W132" s="879" t="str">
        <v/>
      </c>
      <c r="X132" s="879" t="str">
        <v/>
      </c>
      <c r="Y132" s="879" t="str">
        <v/>
      </c>
      <c r="Z132" s="879" t="str">
        <v/>
      </c>
      <c r="AA132" s="882">
        <f>IF($O133=0,0,        _xll.qDateNext($O132,AA$17,$AH$16,TRUE,Currency1))</f>
        <v>0</v>
      </c>
      <c r="AB132" s="882">
        <f>IF($O133=0,0,        _xll.qDateNext($O132,AB$17,$AH$16,TRUE,Currency1))</f>
        <v>0</v>
      </c>
      <c r="AC132" s="882">
        <f>IF($O133=0,0,        _xll.qDateNext($O132,AC$17,$AH$16,TRUE,Currency1))</f>
        <v>0</v>
      </c>
      <c r="AD132" s="882">
        <f>IF($O133=0,0,        _xll.qDateNext($O132,AD$17,$AH$16,TRUE,Currency1))</f>
        <v>0</v>
      </c>
      <c r="AE132" s="882">
        <f>IF($O133=0,0,        _xll.qDateNext($O132,AE$17,$AH$16,TRUE,Currency1))</f>
        <v>0</v>
      </c>
      <c r="AF132" s="882">
        <f>IF($O133=0,0,        _xll.qDateNext($O132,AF$17,$AH$16,TRUE,Currency1))</f>
        <v>0</v>
      </c>
      <c r="AG132" s="882">
        <f>IF($O133=0,0,        _xll.qDateNext($O132,AG$17,$AH$16,TRUE,Currency1))</f>
        <v>0</v>
      </c>
      <c r="AH132" s="882">
        <f>IF($O133=0,0,        _xll.qDateNext($O132,AH$17,$AH$16,TRUE,Currency1))</f>
        <v>0</v>
      </c>
      <c r="AI132" s="886">
        <f>IF($O133=0,0,           IF(FRM,_xll.qGetFwdRate(AI$14,$O132,AA132,"T",DCC_Leg1_Float),_xll.qGetFwdRate(AI$14,$O132,$O133,"T",DCC_Leg1_Float)))</f>
        <v>0</v>
      </c>
      <c r="AJ132" s="886">
        <f>IF($O133=0,0,           IF(FRM,_xll.qGetFwdRate(AJ$14,$O132,AB132,"T",DCC_Leg1_Float),_xll.qGetFwdRate(AJ$14,$O132,$O133,"T",DCC_Leg1_Float)))</f>
        <v>0</v>
      </c>
      <c r="AK132" s="886">
        <f t="shared" si="36"/>
        <v>0</v>
      </c>
      <c r="AL132" s="886">
        <f>IF($O133=0,0,           IF(FRM,_xll.qGetFwdRate(AL$14,$O132,AD132,"T",DCC_Leg1_Float),_xll.qGetFwdRate(AL$14,$O132,$O133,"T",DCC_Leg1_Float)))</f>
        <v>0</v>
      </c>
      <c r="AM132" s="886">
        <f t="shared" si="49"/>
        <v>0</v>
      </c>
      <c r="AN132" s="886">
        <f t="shared" si="50"/>
        <v>0</v>
      </c>
      <c r="AO132" s="886">
        <f>IF($O133=0,0,           IF(FRM,_xll.qGetFwdRate(AO$14,$O132,AG132,"T",DCC_Leg1_Float),_xll.qGetFwdRate(AO$14,$O132,$O133,"T",DCC_Leg1_Float)))</f>
        <v>0</v>
      </c>
      <c r="AP132" s="886">
        <f>IF($O133=0,0,           IF(FRM,_xll.qGetFwdRate(AP$14,$O132,AH132,"T",DCC_Leg1_Float),_xll.qGetFwdRate(AP$14,$O132,$O133,"T",DCC_Leg1_Float)))</f>
        <v>0</v>
      </c>
      <c r="AQ132" s="648">
        <f t="shared" si="51"/>
        <v>0</v>
      </c>
      <c r="AR132" s="648">
        <f t="shared" si="52"/>
        <v>0</v>
      </c>
      <c r="AS132" s="648">
        <f t="shared" si="53"/>
        <v>0</v>
      </c>
      <c r="AT132" s="648">
        <f t="shared" si="54"/>
        <v>0</v>
      </c>
      <c r="AU132" s="648">
        <f t="shared" si="55"/>
        <v>0</v>
      </c>
      <c r="AV132" s="648">
        <f t="shared" si="56"/>
        <v>0</v>
      </c>
      <c r="AW132" s="648">
        <f t="shared" si="57"/>
        <v>0</v>
      </c>
      <c r="AX132" s="648">
        <f t="shared" si="58"/>
        <v>0</v>
      </c>
      <c r="AY132" s="634">
        <v>0</v>
      </c>
      <c r="AZ132" s="616"/>
      <c r="BA132" s="619">
        <f>IF(O133=0,0,             IF(ISNUMBER(AZ132),AZ132,             IF(ISTEXT(AZ132),INDEX(AQ132:AX132,MATCH(AZ132,$AQ$17:$AX$17,0)),           IF(AY132="INT",_xll.qInterp(O133,AA132:AH132,AQ132:AX132),       INDEX(AQ132:AX132,MATCH(AY132,$AQ$17:$AX$17,0))))))</f>
        <v>0</v>
      </c>
      <c r="BB132" s="674">
        <v>100</v>
      </c>
      <c r="BC132" s="666">
        <f t="shared" si="37"/>
        <v>0</v>
      </c>
      <c r="BD132" s="268">
        <f>IF($O133=0,0,                IF(LEFT(DCC_Leg1_Fixed,2)="1/",uEvaluate(DCC_Leg1_Fixed),        _xll.qDateYears($O132,$O133,DCC_Leg1_Fixed)))</f>
        <v>0</v>
      </c>
      <c r="BE132" s="268">
        <f>IF($O133,_xll.qDateYears($O132,$O133,DCC_Leg1_Float),0)</f>
        <v>0</v>
      </c>
      <c r="BG132" s="332">
        <f t="shared" si="59"/>
        <v>0</v>
      </c>
      <c r="BH132" s="357">
        <f t="shared" si="60"/>
        <v>0</v>
      </c>
      <c r="BI132" s="527"/>
      <c r="BK132" s="324">
        <f t="shared" si="65"/>
        <v>0</v>
      </c>
      <c r="BM132" s="338"/>
      <c r="BN132" s="121">
        <v>0</v>
      </c>
      <c r="BO132" s="755">
        <f t="shared" si="38"/>
        <v>0</v>
      </c>
      <c r="BP132" s="339">
        <v>0</v>
      </c>
      <c r="BQ132" s="890">
        <f>IF(BN133=0,0,         IF(OR(Currency2="AUD",Currency1="NZD",Currency2="GBP"),BN132,   _xll.qDateNext(BN132,"-2b",,,IF(Currency2="EUR","TGT","LON"))))</f>
        <v>0</v>
      </c>
      <c r="BR132" s="879" t="str">
        <v/>
      </c>
      <c r="BS132" s="879" t="str">
        <v/>
      </c>
      <c r="BT132" s="879" t="str">
        <v/>
      </c>
      <c r="BU132" s="879" t="str">
        <v/>
      </c>
      <c r="BV132" s="879" t="str">
        <v/>
      </c>
      <c r="BW132" s="879" t="str">
        <v/>
      </c>
      <c r="BX132" s="879" t="str">
        <v/>
      </c>
      <c r="BY132" s="879" t="str">
        <v/>
      </c>
      <c r="BZ132" s="882">
        <f>IF($BN133=0,0,        _xll.qDateNext($BN132,BZ$17,$CG$16,TRUE,Currency2))</f>
        <v>0</v>
      </c>
      <c r="CA132" s="882">
        <f>IF($BN133=0,0,        _xll.qDateNext($BN132,CA$17,$CG$16,TRUE,Currency2))</f>
        <v>0</v>
      </c>
      <c r="CB132" s="882">
        <f>IF($BN133=0,0,        _xll.qDateNext($BN132,CB$17,$CG$16,TRUE,Currency2))</f>
        <v>0</v>
      </c>
      <c r="CC132" s="882">
        <f>IF($BN133=0,0,        _xll.qDateNext($BN132,CC$17,$CG$16,TRUE,Currency2))</f>
        <v>0</v>
      </c>
      <c r="CD132" s="882">
        <f>IF($BN133=0,0,        _xll.qDateNext($BN132,CD$17,$CG$16,TRUE,Currency2))</f>
        <v>0</v>
      </c>
      <c r="CE132" s="882">
        <f>IF($BN133=0,0,        _xll.qDateNext($BN132,CE$17,$CG$16,TRUE,Currency2))</f>
        <v>0</v>
      </c>
      <c r="CF132" s="882">
        <f>IF($BN133=0,0,        _xll.qDateNext($BN132,CF$17,$CG$16,TRUE,Currency2))</f>
        <v>0</v>
      </c>
      <c r="CG132" s="882">
        <f>IF($BN133=0,0,        _xll.qDateNext($BN132,CG$17,$CG$16,TRUE,Currency2))</f>
        <v>0</v>
      </c>
      <c r="CH132" s="886">
        <v>0</v>
      </c>
      <c r="CI132" s="886">
        <v>0</v>
      </c>
      <c r="CJ132" s="886">
        <v>0</v>
      </c>
      <c r="CK132" s="886">
        <v>0</v>
      </c>
      <c r="CL132" s="886">
        <f t="shared" si="61"/>
        <v>0</v>
      </c>
      <c r="CM132" s="886">
        <f t="shared" si="62"/>
        <v>0</v>
      </c>
      <c r="CN132" s="886">
        <v>0</v>
      </c>
      <c r="CO132" s="886">
        <v>0</v>
      </c>
      <c r="CP132" s="648">
        <f t="shared" si="39"/>
        <v>0</v>
      </c>
      <c r="CQ132" s="648">
        <f t="shared" si="40"/>
        <v>0</v>
      </c>
      <c r="CR132" s="648">
        <f t="shared" si="41"/>
        <v>0</v>
      </c>
      <c r="CS132" s="648">
        <f t="shared" si="42"/>
        <v>0</v>
      </c>
      <c r="CT132" s="648">
        <f t="shared" si="43"/>
        <v>0</v>
      </c>
      <c r="CU132" s="648">
        <f t="shared" si="44"/>
        <v>0</v>
      </c>
      <c r="CV132" s="648">
        <f t="shared" si="45"/>
        <v>0</v>
      </c>
      <c r="CW132" s="648">
        <f t="shared" si="46"/>
        <v>0</v>
      </c>
      <c r="CX132" s="634">
        <v>0</v>
      </c>
      <c r="CY132" s="616"/>
      <c r="CZ132" s="619">
        <f>IF(BN133=0,0,             IF(ISNUMBER(CY132),CY132,             IF(ISTEXT(CY132),INDEX(CP132:CW132,MATCH(CY132,$CP$17:$CW$17,0)),           IF(CX132="INT",_xll.qInterp(BN133,BZ132:CG132,CP132:CW132),       INDEX(CP132:CW132,MATCH(CX132,$CP$17:$CW$17,0))))))</f>
        <v>0</v>
      </c>
      <c r="DA132" s="755">
        <f t="shared" si="47"/>
        <v>0</v>
      </c>
      <c r="DB132" s="387">
        <f t="shared" si="48"/>
        <v>0</v>
      </c>
      <c r="DC132" s="268">
        <f>IF($BN133=0,0,         IF(LEFT(DCC_Leg2_Fixed,2)="1/",uEvaluate(DCC_Leg2_Fixed),         _xll.qDateYears($BN132,$BN133,DCC_Leg2_Fixed)))</f>
        <v>0</v>
      </c>
      <c r="DD132" s="268">
        <f>IF($BN133,_xll.qDateYears($BN132,$BN133,DCC_Leg2_Float),0)</f>
        <v>0</v>
      </c>
      <c r="DF132" s="332">
        <f t="shared" si="63"/>
        <v>0</v>
      </c>
      <c r="DG132" s="357">
        <f t="shared" si="64"/>
        <v>0</v>
      </c>
      <c r="DH132" s="527"/>
      <c r="DJ132" s="324">
        <f t="shared" si="66"/>
        <v>0</v>
      </c>
      <c r="DK132" s="529"/>
      <c r="DL132" s="338"/>
    </row>
    <row r="133" spans="15:116">
      <c r="O133" s="121">
        <v>0</v>
      </c>
      <c r="P133" s="755">
        <f t="shared" si="35"/>
        <v>0</v>
      </c>
      <c r="Q133" s="125">
        <v>0</v>
      </c>
      <c r="R133" s="890">
        <f>IF(O134=0,0,         IF(OR(Currency1="AUD",Currency1="NZD",Currency1="GBP"),O133,   _xll.qDateNext(O133,"-2b",,,IF(Currency1="EUR","TGT","LON"))))</f>
        <v>0</v>
      </c>
      <c r="S133" s="879" t="str">
        <v/>
      </c>
      <c r="T133" s="879" t="str">
        <v/>
      </c>
      <c r="U133" s="879" t="str">
        <v/>
      </c>
      <c r="V133" s="879" t="str">
        <v/>
      </c>
      <c r="W133" s="879" t="str">
        <v/>
      </c>
      <c r="X133" s="879" t="str">
        <v/>
      </c>
      <c r="Y133" s="879" t="str">
        <v/>
      </c>
      <c r="Z133" s="879" t="str">
        <v/>
      </c>
      <c r="AA133" s="882">
        <f>IF($O134=0,0,        _xll.qDateNext($O133,AA$17,$AH$16,TRUE,Currency1))</f>
        <v>0</v>
      </c>
      <c r="AB133" s="882">
        <f>IF($O134=0,0,        _xll.qDateNext($O133,AB$17,$AH$16,TRUE,Currency1))</f>
        <v>0</v>
      </c>
      <c r="AC133" s="882">
        <f>IF($O134=0,0,        _xll.qDateNext($O133,AC$17,$AH$16,TRUE,Currency1))</f>
        <v>0</v>
      </c>
      <c r="AD133" s="882">
        <f>IF($O134=0,0,        _xll.qDateNext($O133,AD$17,$AH$16,TRUE,Currency1))</f>
        <v>0</v>
      </c>
      <c r="AE133" s="882">
        <f>IF($O134=0,0,        _xll.qDateNext($O133,AE$17,$AH$16,TRUE,Currency1))</f>
        <v>0</v>
      </c>
      <c r="AF133" s="882">
        <f>IF($O134=0,0,        _xll.qDateNext($O133,AF$17,$AH$16,TRUE,Currency1))</f>
        <v>0</v>
      </c>
      <c r="AG133" s="882">
        <f>IF($O134=0,0,        _xll.qDateNext($O133,AG$17,$AH$16,TRUE,Currency1))</f>
        <v>0</v>
      </c>
      <c r="AH133" s="882">
        <f>IF($O134=0,0,        _xll.qDateNext($O133,AH$17,$AH$16,TRUE,Currency1))</f>
        <v>0</v>
      </c>
      <c r="AI133" s="886">
        <f>IF($O134=0,0,           IF(FRM,_xll.qGetFwdRate(AI$14,$O133,AA133,"T",DCC_Leg1_Float),_xll.qGetFwdRate(AI$14,$O133,$O134,"T",DCC_Leg1_Float)))</f>
        <v>0</v>
      </c>
      <c r="AJ133" s="886">
        <f>IF($O134=0,0,           IF(FRM,_xll.qGetFwdRate(AJ$14,$O133,AB133,"T",DCC_Leg1_Float),_xll.qGetFwdRate(AJ$14,$O133,$O134,"T",DCC_Leg1_Float)))</f>
        <v>0</v>
      </c>
      <c r="AK133" s="886">
        <f t="shared" si="36"/>
        <v>0</v>
      </c>
      <c r="AL133" s="886">
        <f>IF($O134=0,0,           IF(FRM,_xll.qGetFwdRate(AL$14,$O133,AD133,"T",DCC_Leg1_Float),_xll.qGetFwdRate(AL$14,$O133,$O134,"T",DCC_Leg1_Float)))</f>
        <v>0</v>
      </c>
      <c r="AM133" s="886">
        <f t="shared" si="49"/>
        <v>0</v>
      </c>
      <c r="AN133" s="886">
        <f t="shared" si="50"/>
        <v>0</v>
      </c>
      <c r="AO133" s="886">
        <f>IF($O134=0,0,           IF(FRM,_xll.qGetFwdRate(AO$14,$O133,AG133,"T",DCC_Leg1_Float),_xll.qGetFwdRate(AO$14,$O133,$O134,"T",DCC_Leg1_Float)))</f>
        <v>0</v>
      </c>
      <c r="AP133" s="886">
        <f>IF($O134=0,0,           IF(FRM,_xll.qGetFwdRate(AP$14,$O133,AH133,"T",DCC_Leg1_Float),_xll.qGetFwdRate(AP$14,$O133,$O134,"T",DCC_Leg1_Float)))</f>
        <v>0</v>
      </c>
      <c r="AQ133" s="648">
        <f t="shared" si="51"/>
        <v>0</v>
      </c>
      <c r="AR133" s="648">
        <f t="shared" si="52"/>
        <v>0</v>
      </c>
      <c r="AS133" s="648">
        <f t="shared" si="53"/>
        <v>0</v>
      </c>
      <c r="AT133" s="648">
        <f t="shared" si="54"/>
        <v>0</v>
      </c>
      <c r="AU133" s="648">
        <f t="shared" si="55"/>
        <v>0</v>
      </c>
      <c r="AV133" s="648">
        <f t="shared" si="56"/>
        <v>0</v>
      </c>
      <c r="AW133" s="648">
        <f t="shared" si="57"/>
        <v>0</v>
      </c>
      <c r="AX133" s="648">
        <f t="shared" si="58"/>
        <v>0</v>
      </c>
      <c r="AY133" s="634">
        <v>0</v>
      </c>
      <c r="AZ133" s="616"/>
      <c r="BA133" s="619">
        <f>IF(O134=0,0,             IF(ISNUMBER(AZ133),AZ133,             IF(ISTEXT(AZ133),INDEX(AQ133:AX133,MATCH(AZ133,$AQ$17:$AX$17,0)),           IF(AY133="INT",_xll.qInterp(O134,AA133:AH133,AQ133:AX133),       INDEX(AQ133:AX133,MATCH(AY133,$AQ$17:$AX$17,0))))))</f>
        <v>0</v>
      </c>
      <c r="BB133" s="674">
        <v>100</v>
      </c>
      <c r="BC133" s="666">
        <f t="shared" si="37"/>
        <v>0</v>
      </c>
      <c r="BD133" s="268">
        <f>IF($O134=0,0,                IF(LEFT(DCC_Leg1_Fixed,2)="1/",uEvaluate(DCC_Leg1_Fixed),        _xll.qDateYears($O133,$O134,DCC_Leg1_Fixed)))</f>
        <v>0</v>
      </c>
      <c r="BE133" s="268">
        <f>IF($O134,_xll.qDateYears($O133,$O134,DCC_Leg1_Float),0)</f>
        <v>0</v>
      </c>
      <c r="BG133" s="332">
        <f t="shared" si="59"/>
        <v>0</v>
      </c>
      <c r="BH133" s="357">
        <f t="shared" si="60"/>
        <v>0</v>
      </c>
      <c r="BI133" s="527"/>
      <c r="BK133" s="324">
        <f t="shared" si="65"/>
        <v>0</v>
      </c>
      <c r="BM133" s="338"/>
      <c r="BN133" s="121">
        <v>0</v>
      </c>
      <c r="BO133" s="755">
        <f t="shared" si="38"/>
        <v>0</v>
      </c>
      <c r="BP133" s="339">
        <v>0</v>
      </c>
      <c r="BQ133" s="890">
        <f>IF(BN134=0,0,         IF(OR(Currency2="AUD",Currency1="NZD",Currency2="GBP"),BN133,   _xll.qDateNext(BN133,"-2b",,,IF(Currency2="EUR","TGT","LON"))))</f>
        <v>0</v>
      </c>
      <c r="BR133" s="879" t="str">
        <v/>
      </c>
      <c r="BS133" s="879" t="str">
        <v/>
      </c>
      <c r="BT133" s="879" t="str">
        <v/>
      </c>
      <c r="BU133" s="879" t="str">
        <v/>
      </c>
      <c r="BV133" s="879" t="str">
        <v/>
      </c>
      <c r="BW133" s="879" t="str">
        <v/>
      </c>
      <c r="BX133" s="879" t="str">
        <v/>
      </c>
      <c r="BY133" s="879" t="str">
        <v/>
      </c>
      <c r="BZ133" s="882">
        <f>IF($BN134=0,0,        _xll.qDateNext($BN133,BZ$17,$CG$16,TRUE,Currency2))</f>
        <v>0</v>
      </c>
      <c r="CA133" s="882">
        <f>IF($BN134=0,0,        _xll.qDateNext($BN133,CA$17,$CG$16,TRUE,Currency2))</f>
        <v>0</v>
      </c>
      <c r="CB133" s="882">
        <f>IF($BN134=0,0,        _xll.qDateNext($BN133,CB$17,$CG$16,TRUE,Currency2))</f>
        <v>0</v>
      </c>
      <c r="CC133" s="882">
        <f>IF($BN134=0,0,        _xll.qDateNext($BN133,CC$17,$CG$16,TRUE,Currency2))</f>
        <v>0</v>
      </c>
      <c r="CD133" s="882">
        <f>IF($BN134=0,0,        _xll.qDateNext($BN133,CD$17,$CG$16,TRUE,Currency2))</f>
        <v>0</v>
      </c>
      <c r="CE133" s="882">
        <f>IF($BN134=0,0,        _xll.qDateNext($BN133,CE$17,$CG$16,TRUE,Currency2))</f>
        <v>0</v>
      </c>
      <c r="CF133" s="882">
        <f>IF($BN134=0,0,        _xll.qDateNext($BN133,CF$17,$CG$16,TRUE,Currency2))</f>
        <v>0</v>
      </c>
      <c r="CG133" s="882">
        <f>IF($BN134=0,0,        _xll.qDateNext($BN133,CG$17,$CG$16,TRUE,Currency2))</f>
        <v>0</v>
      </c>
      <c r="CH133" s="886">
        <v>0</v>
      </c>
      <c r="CI133" s="886">
        <v>0</v>
      </c>
      <c r="CJ133" s="886">
        <v>0</v>
      </c>
      <c r="CK133" s="886">
        <v>0</v>
      </c>
      <c r="CL133" s="886">
        <f t="shared" si="61"/>
        <v>0</v>
      </c>
      <c r="CM133" s="886">
        <f t="shared" si="62"/>
        <v>0</v>
      </c>
      <c r="CN133" s="886">
        <v>0</v>
      </c>
      <c r="CO133" s="886">
        <v>0</v>
      </c>
      <c r="CP133" s="648">
        <f t="shared" si="39"/>
        <v>0</v>
      </c>
      <c r="CQ133" s="648">
        <f t="shared" si="40"/>
        <v>0</v>
      </c>
      <c r="CR133" s="648">
        <f t="shared" si="41"/>
        <v>0</v>
      </c>
      <c r="CS133" s="648">
        <f t="shared" si="42"/>
        <v>0</v>
      </c>
      <c r="CT133" s="648">
        <f t="shared" si="43"/>
        <v>0</v>
      </c>
      <c r="CU133" s="648">
        <f t="shared" si="44"/>
        <v>0</v>
      </c>
      <c r="CV133" s="648">
        <f t="shared" si="45"/>
        <v>0</v>
      </c>
      <c r="CW133" s="648">
        <f t="shared" si="46"/>
        <v>0</v>
      </c>
      <c r="CX133" s="634">
        <v>0</v>
      </c>
      <c r="CY133" s="616"/>
      <c r="CZ133" s="619">
        <f>IF(BN134=0,0,             IF(ISNUMBER(CY133),CY133,             IF(ISTEXT(CY133),INDEX(CP133:CW133,MATCH(CY133,$CP$17:$CW$17,0)),           IF(CX133="INT",_xll.qInterp(BN134,BZ133:CG133,CP133:CW133),       INDEX(CP133:CW133,MATCH(CX133,$CP$17:$CW$17,0))))))</f>
        <v>0</v>
      </c>
      <c r="DA133" s="755">
        <f t="shared" si="47"/>
        <v>0</v>
      </c>
      <c r="DB133" s="387">
        <f t="shared" si="48"/>
        <v>0</v>
      </c>
      <c r="DC133" s="268">
        <f>IF($BN134=0,0,         IF(LEFT(DCC_Leg2_Fixed,2)="1/",uEvaluate(DCC_Leg2_Fixed),         _xll.qDateYears($BN133,$BN134,DCC_Leg2_Fixed)))</f>
        <v>0</v>
      </c>
      <c r="DD133" s="268">
        <f>IF($BN134,_xll.qDateYears($BN133,$BN134,DCC_Leg2_Float),0)</f>
        <v>0</v>
      </c>
      <c r="DF133" s="332">
        <f t="shared" si="63"/>
        <v>0</v>
      </c>
      <c r="DG133" s="357">
        <f t="shared" si="64"/>
        <v>0</v>
      </c>
      <c r="DH133" s="527"/>
      <c r="DJ133" s="324">
        <f t="shared" si="66"/>
        <v>0</v>
      </c>
      <c r="DK133" s="529"/>
      <c r="DL133" s="338"/>
    </row>
    <row r="134" spans="15:116">
      <c r="O134" s="121">
        <v>0</v>
      </c>
      <c r="P134" s="755">
        <f t="shared" si="35"/>
        <v>0</v>
      </c>
      <c r="Q134" s="125">
        <v>0</v>
      </c>
      <c r="R134" s="890">
        <f>IF(O135=0,0,         IF(OR(Currency1="AUD",Currency1="NZD",Currency1="GBP"),O134,   _xll.qDateNext(O134,"-2b",,,IF(Currency1="EUR","TGT","LON"))))</f>
        <v>0</v>
      </c>
      <c r="S134" s="879" t="str">
        <v/>
      </c>
      <c r="T134" s="879" t="str">
        <v/>
      </c>
      <c r="U134" s="879" t="str">
        <v/>
      </c>
      <c r="V134" s="879" t="str">
        <v/>
      </c>
      <c r="W134" s="879" t="str">
        <v/>
      </c>
      <c r="X134" s="879" t="str">
        <v/>
      </c>
      <c r="Y134" s="879" t="str">
        <v/>
      </c>
      <c r="Z134" s="879" t="str">
        <v/>
      </c>
      <c r="AA134" s="882">
        <f>IF($O135=0,0,        _xll.qDateNext($O134,AA$17,$AH$16,TRUE,Currency1))</f>
        <v>0</v>
      </c>
      <c r="AB134" s="882">
        <f>IF($O135=0,0,        _xll.qDateNext($O134,AB$17,$AH$16,TRUE,Currency1))</f>
        <v>0</v>
      </c>
      <c r="AC134" s="882">
        <f>IF($O135=0,0,        _xll.qDateNext($O134,AC$17,$AH$16,TRUE,Currency1))</f>
        <v>0</v>
      </c>
      <c r="AD134" s="882">
        <f>IF($O135=0,0,        _xll.qDateNext($O134,AD$17,$AH$16,TRUE,Currency1))</f>
        <v>0</v>
      </c>
      <c r="AE134" s="882">
        <f>IF($O135=0,0,        _xll.qDateNext($O134,AE$17,$AH$16,TRUE,Currency1))</f>
        <v>0</v>
      </c>
      <c r="AF134" s="882">
        <f>IF($O135=0,0,        _xll.qDateNext($O134,AF$17,$AH$16,TRUE,Currency1))</f>
        <v>0</v>
      </c>
      <c r="AG134" s="882">
        <f>IF($O135=0,0,        _xll.qDateNext($O134,AG$17,$AH$16,TRUE,Currency1))</f>
        <v>0</v>
      </c>
      <c r="AH134" s="882">
        <f>IF($O135=0,0,        _xll.qDateNext($O134,AH$17,$AH$16,TRUE,Currency1))</f>
        <v>0</v>
      </c>
      <c r="AI134" s="886">
        <f>IF($O135=0,0,           IF(FRM,_xll.qGetFwdRate(AI$14,$O134,AA134,"T",DCC_Leg1_Float),_xll.qGetFwdRate(AI$14,$O134,$O135,"T",DCC_Leg1_Float)))</f>
        <v>0</v>
      </c>
      <c r="AJ134" s="886">
        <f>IF($O135=0,0,           IF(FRM,_xll.qGetFwdRate(AJ$14,$O134,AB134,"T",DCC_Leg1_Float),_xll.qGetFwdRate(AJ$14,$O134,$O135,"T",DCC_Leg1_Float)))</f>
        <v>0</v>
      </c>
      <c r="AK134" s="886">
        <f t="shared" si="36"/>
        <v>0</v>
      </c>
      <c r="AL134" s="886">
        <f>IF($O135=0,0,           IF(FRM,_xll.qGetFwdRate(AL$14,$O134,AD134,"T",DCC_Leg1_Float),_xll.qGetFwdRate(AL$14,$O134,$O135,"T",DCC_Leg1_Float)))</f>
        <v>0</v>
      </c>
      <c r="AM134" s="886">
        <f t="shared" si="49"/>
        <v>0</v>
      </c>
      <c r="AN134" s="886">
        <f t="shared" si="50"/>
        <v>0</v>
      </c>
      <c r="AO134" s="886">
        <f>IF($O135=0,0,           IF(FRM,_xll.qGetFwdRate(AO$14,$O134,AG134,"T",DCC_Leg1_Float),_xll.qGetFwdRate(AO$14,$O134,$O135,"T",DCC_Leg1_Float)))</f>
        <v>0</v>
      </c>
      <c r="AP134" s="886">
        <f>IF($O135=0,0,           IF(FRM,_xll.qGetFwdRate(AP$14,$O134,AH134,"T",DCC_Leg1_Float),_xll.qGetFwdRate(AP$14,$O134,$O135,"T",DCC_Leg1_Float)))</f>
        <v>0</v>
      </c>
      <c r="AQ134" s="648">
        <f t="shared" si="51"/>
        <v>0</v>
      </c>
      <c r="AR134" s="648">
        <f t="shared" si="52"/>
        <v>0</v>
      </c>
      <c r="AS134" s="648">
        <f t="shared" si="53"/>
        <v>0</v>
      </c>
      <c r="AT134" s="648">
        <f t="shared" si="54"/>
        <v>0</v>
      </c>
      <c r="AU134" s="648">
        <f t="shared" si="55"/>
        <v>0</v>
      </c>
      <c r="AV134" s="648">
        <f t="shared" si="56"/>
        <v>0</v>
      </c>
      <c r="AW134" s="648">
        <f t="shared" si="57"/>
        <v>0</v>
      </c>
      <c r="AX134" s="648">
        <f t="shared" si="58"/>
        <v>0</v>
      </c>
      <c r="AY134" s="634">
        <v>0</v>
      </c>
      <c r="AZ134" s="616"/>
      <c r="BA134" s="619">
        <f>IF(O135=0,0,             IF(ISNUMBER(AZ134),AZ134,             IF(ISTEXT(AZ134),INDEX(AQ134:AX134,MATCH(AZ134,$AQ$17:$AX$17,0)),           IF(AY134="INT",_xll.qInterp(O135,AA134:AH134,AQ134:AX134),       INDEX(AQ134:AX134,MATCH(AY134,$AQ$17:$AX$17,0))))))</f>
        <v>0</v>
      </c>
      <c r="BB134" s="674">
        <v>100</v>
      </c>
      <c r="BC134" s="666">
        <f t="shared" si="37"/>
        <v>0</v>
      </c>
      <c r="BD134" s="268">
        <f>IF($O135=0,0,                IF(LEFT(DCC_Leg1_Fixed,2)="1/",uEvaluate(DCC_Leg1_Fixed),        _xll.qDateYears($O134,$O135,DCC_Leg1_Fixed)))</f>
        <v>0</v>
      </c>
      <c r="BE134" s="268">
        <f>IF($O135,_xll.qDateYears($O134,$O135,DCC_Leg1_Float),0)</f>
        <v>0</v>
      </c>
      <c r="BG134" s="332">
        <f t="shared" si="59"/>
        <v>0</v>
      </c>
      <c r="BH134" s="357">
        <f t="shared" si="60"/>
        <v>0</v>
      </c>
      <c r="BI134" s="527"/>
      <c r="BK134" s="324">
        <f t="shared" si="65"/>
        <v>0</v>
      </c>
      <c r="BM134" s="338"/>
      <c r="BN134" s="121">
        <v>0</v>
      </c>
      <c r="BO134" s="755">
        <f t="shared" si="38"/>
        <v>0</v>
      </c>
      <c r="BP134" s="339">
        <v>0</v>
      </c>
      <c r="BQ134" s="890">
        <f>IF(BN135=0,0,         IF(OR(Currency2="AUD",Currency1="NZD",Currency2="GBP"),BN134,   _xll.qDateNext(BN134,"-2b",,,IF(Currency2="EUR","TGT","LON"))))</f>
        <v>0</v>
      </c>
      <c r="BR134" s="879" t="str">
        <v/>
      </c>
      <c r="BS134" s="879" t="str">
        <v/>
      </c>
      <c r="BT134" s="879" t="str">
        <v/>
      </c>
      <c r="BU134" s="879" t="str">
        <v/>
      </c>
      <c r="BV134" s="879" t="str">
        <v/>
      </c>
      <c r="BW134" s="879" t="str">
        <v/>
      </c>
      <c r="BX134" s="879" t="str">
        <v/>
      </c>
      <c r="BY134" s="879" t="str">
        <v/>
      </c>
      <c r="BZ134" s="882">
        <f>IF($BN135=0,0,        _xll.qDateNext($BN134,BZ$17,$CG$16,TRUE,Currency2))</f>
        <v>0</v>
      </c>
      <c r="CA134" s="882">
        <f>IF($BN135=0,0,        _xll.qDateNext($BN134,CA$17,$CG$16,TRUE,Currency2))</f>
        <v>0</v>
      </c>
      <c r="CB134" s="882">
        <f>IF($BN135=0,0,        _xll.qDateNext($BN134,CB$17,$CG$16,TRUE,Currency2))</f>
        <v>0</v>
      </c>
      <c r="CC134" s="882">
        <f>IF($BN135=0,0,        _xll.qDateNext($BN134,CC$17,$CG$16,TRUE,Currency2))</f>
        <v>0</v>
      </c>
      <c r="CD134" s="882">
        <f>IF($BN135=0,0,        _xll.qDateNext($BN134,CD$17,$CG$16,TRUE,Currency2))</f>
        <v>0</v>
      </c>
      <c r="CE134" s="882">
        <f>IF($BN135=0,0,        _xll.qDateNext($BN134,CE$17,$CG$16,TRUE,Currency2))</f>
        <v>0</v>
      </c>
      <c r="CF134" s="882">
        <f>IF($BN135=0,0,        _xll.qDateNext($BN134,CF$17,$CG$16,TRUE,Currency2))</f>
        <v>0</v>
      </c>
      <c r="CG134" s="882">
        <f>IF($BN135=0,0,        _xll.qDateNext($BN134,CG$17,$CG$16,TRUE,Currency2))</f>
        <v>0</v>
      </c>
      <c r="CH134" s="886">
        <v>0</v>
      </c>
      <c r="CI134" s="886">
        <v>0</v>
      </c>
      <c r="CJ134" s="886">
        <v>0</v>
      </c>
      <c r="CK134" s="886">
        <v>0</v>
      </c>
      <c r="CL134" s="886">
        <f t="shared" si="61"/>
        <v>0</v>
      </c>
      <c r="CM134" s="886">
        <f t="shared" si="62"/>
        <v>0</v>
      </c>
      <c r="CN134" s="886">
        <v>0</v>
      </c>
      <c r="CO134" s="886">
        <v>0</v>
      </c>
      <c r="CP134" s="648">
        <f t="shared" si="39"/>
        <v>0</v>
      </c>
      <c r="CQ134" s="648">
        <f t="shared" si="40"/>
        <v>0</v>
      </c>
      <c r="CR134" s="648">
        <f t="shared" si="41"/>
        <v>0</v>
      </c>
      <c r="CS134" s="648">
        <f t="shared" si="42"/>
        <v>0</v>
      </c>
      <c r="CT134" s="648">
        <f t="shared" si="43"/>
        <v>0</v>
      </c>
      <c r="CU134" s="648">
        <f t="shared" si="44"/>
        <v>0</v>
      </c>
      <c r="CV134" s="648">
        <f t="shared" si="45"/>
        <v>0</v>
      </c>
      <c r="CW134" s="648">
        <f t="shared" si="46"/>
        <v>0</v>
      </c>
      <c r="CX134" s="634">
        <v>0</v>
      </c>
      <c r="CY134" s="616"/>
      <c r="CZ134" s="619">
        <f>IF(BN135=0,0,             IF(ISNUMBER(CY134),CY134,             IF(ISTEXT(CY134),INDEX(CP134:CW134,MATCH(CY134,$CP$17:$CW$17,0)),           IF(CX134="INT",_xll.qInterp(BN135,BZ134:CG134,CP134:CW134),       INDEX(CP134:CW134,MATCH(CX134,$CP$17:$CW$17,0))))))</f>
        <v>0</v>
      </c>
      <c r="DA134" s="755">
        <f t="shared" si="47"/>
        <v>0</v>
      </c>
      <c r="DB134" s="387">
        <f t="shared" si="48"/>
        <v>0</v>
      </c>
      <c r="DC134" s="268">
        <f>IF($BN135=0,0,         IF(LEFT(DCC_Leg2_Fixed,2)="1/",uEvaluate(DCC_Leg2_Fixed),         _xll.qDateYears($BN134,$BN135,DCC_Leg2_Fixed)))</f>
        <v>0</v>
      </c>
      <c r="DD134" s="268">
        <f>IF($BN135,_xll.qDateYears($BN134,$BN135,DCC_Leg2_Float),0)</f>
        <v>0</v>
      </c>
      <c r="DF134" s="332">
        <f t="shared" si="63"/>
        <v>0</v>
      </c>
      <c r="DG134" s="357">
        <f t="shared" si="64"/>
        <v>0</v>
      </c>
      <c r="DH134" s="527"/>
      <c r="DJ134" s="324">
        <f t="shared" si="66"/>
        <v>0</v>
      </c>
      <c r="DK134" s="529"/>
      <c r="DL134" s="338"/>
    </row>
    <row r="135" spans="15:116">
      <c r="O135" s="121">
        <v>0</v>
      </c>
      <c r="P135" s="755">
        <f t="shared" si="35"/>
        <v>0</v>
      </c>
      <c r="Q135" s="125">
        <v>0</v>
      </c>
      <c r="R135" s="890">
        <f>IF(O136=0,0,         IF(OR(Currency1="AUD",Currency1="NZD",Currency1="GBP"),O135,   _xll.qDateNext(O135,"-2b",,,IF(Currency1="EUR","TGT","LON"))))</f>
        <v>0</v>
      </c>
      <c r="S135" s="879" t="str">
        <v/>
      </c>
      <c r="T135" s="879" t="str">
        <v/>
      </c>
      <c r="U135" s="879" t="str">
        <v/>
      </c>
      <c r="V135" s="879" t="str">
        <v/>
      </c>
      <c r="W135" s="879" t="str">
        <v/>
      </c>
      <c r="X135" s="879" t="str">
        <v/>
      </c>
      <c r="Y135" s="879" t="str">
        <v/>
      </c>
      <c r="Z135" s="879" t="str">
        <v/>
      </c>
      <c r="AA135" s="882">
        <f>IF($O136=0,0,        _xll.qDateNext($O135,AA$17,$AH$16,TRUE,Currency1))</f>
        <v>0</v>
      </c>
      <c r="AB135" s="882">
        <f>IF($O136=0,0,        _xll.qDateNext($O135,AB$17,$AH$16,TRUE,Currency1))</f>
        <v>0</v>
      </c>
      <c r="AC135" s="882">
        <f>IF($O136=0,0,        _xll.qDateNext($O135,AC$17,$AH$16,TRUE,Currency1))</f>
        <v>0</v>
      </c>
      <c r="AD135" s="882">
        <f>IF($O136=0,0,        _xll.qDateNext($O135,AD$17,$AH$16,TRUE,Currency1))</f>
        <v>0</v>
      </c>
      <c r="AE135" s="882">
        <f>IF($O136=0,0,        _xll.qDateNext($O135,AE$17,$AH$16,TRUE,Currency1))</f>
        <v>0</v>
      </c>
      <c r="AF135" s="882">
        <f>IF($O136=0,0,        _xll.qDateNext($O135,AF$17,$AH$16,TRUE,Currency1))</f>
        <v>0</v>
      </c>
      <c r="AG135" s="882">
        <f>IF($O136=0,0,        _xll.qDateNext($O135,AG$17,$AH$16,TRUE,Currency1))</f>
        <v>0</v>
      </c>
      <c r="AH135" s="882">
        <f>IF($O136=0,0,        _xll.qDateNext($O135,AH$17,$AH$16,TRUE,Currency1))</f>
        <v>0</v>
      </c>
      <c r="AI135" s="886">
        <f>IF($O136=0,0,           IF(FRM,_xll.qGetFwdRate(AI$14,$O135,AA135,"T",DCC_Leg1_Float),_xll.qGetFwdRate(AI$14,$O135,$O136,"T",DCC_Leg1_Float)))</f>
        <v>0</v>
      </c>
      <c r="AJ135" s="886">
        <f>IF($O136=0,0,           IF(FRM,_xll.qGetFwdRate(AJ$14,$O135,AB135,"T",DCC_Leg1_Float),_xll.qGetFwdRate(AJ$14,$O135,$O136,"T",DCC_Leg1_Float)))</f>
        <v>0</v>
      </c>
      <c r="AK135" s="886">
        <f t="shared" si="36"/>
        <v>0</v>
      </c>
      <c r="AL135" s="886">
        <f>IF($O136=0,0,           IF(FRM,_xll.qGetFwdRate(AL$14,$O135,AD135,"T",DCC_Leg1_Float),_xll.qGetFwdRate(AL$14,$O135,$O136,"T",DCC_Leg1_Float)))</f>
        <v>0</v>
      </c>
      <c r="AM135" s="886">
        <f t="shared" si="49"/>
        <v>0</v>
      </c>
      <c r="AN135" s="886">
        <f t="shared" si="50"/>
        <v>0</v>
      </c>
      <c r="AO135" s="886">
        <f>IF($O136=0,0,           IF(FRM,_xll.qGetFwdRate(AO$14,$O135,AG135,"T",DCC_Leg1_Float),_xll.qGetFwdRate(AO$14,$O135,$O136,"T",DCC_Leg1_Float)))</f>
        <v>0</v>
      </c>
      <c r="AP135" s="886">
        <f>IF($O136=0,0,           IF(FRM,_xll.qGetFwdRate(AP$14,$O135,AH135,"T",DCC_Leg1_Float),_xll.qGetFwdRate(AP$14,$O135,$O136,"T",DCC_Leg1_Float)))</f>
        <v>0</v>
      </c>
      <c r="AQ135" s="648">
        <f t="shared" si="51"/>
        <v>0</v>
      </c>
      <c r="AR135" s="648">
        <f t="shared" si="52"/>
        <v>0</v>
      </c>
      <c r="AS135" s="648">
        <f t="shared" si="53"/>
        <v>0</v>
      </c>
      <c r="AT135" s="648">
        <f t="shared" si="54"/>
        <v>0</v>
      </c>
      <c r="AU135" s="648">
        <f t="shared" si="55"/>
        <v>0</v>
      </c>
      <c r="AV135" s="648">
        <f t="shared" si="56"/>
        <v>0</v>
      </c>
      <c r="AW135" s="648">
        <f t="shared" si="57"/>
        <v>0</v>
      </c>
      <c r="AX135" s="648">
        <f t="shared" si="58"/>
        <v>0</v>
      </c>
      <c r="AY135" s="634">
        <v>0</v>
      </c>
      <c r="AZ135" s="616"/>
      <c r="BA135" s="619">
        <f>IF(O136=0,0,             IF(ISNUMBER(AZ135),AZ135,             IF(ISTEXT(AZ135),INDEX(AQ135:AX135,MATCH(AZ135,$AQ$17:$AX$17,0)),           IF(AY135="INT",_xll.qInterp(O136,AA135:AH135,AQ135:AX135),       INDEX(AQ135:AX135,MATCH(AY135,$AQ$17:$AX$17,0))))))</f>
        <v>0</v>
      </c>
      <c r="BB135" s="674">
        <v>100</v>
      </c>
      <c r="BC135" s="666">
        <f t="shared" si="37"/>
        <v>0</v>
      </c>
      <c r="BD135" s="268">
        <f>IF($O136=0,0,                IF(LEFT(DCC_Leg1_Fixed,2)="1/",uEvaluate(DCC_Leg1_Fixed),        _xll.qDateYears($O135,$O136,DCC_Leg1_Fixed)))</f>
        <v>0</v>
      </c>
      <c r="BE135" s="268">
        <f>IF($O136,_xll.qDateYears($O135,$O136,DCC_Leg1_Float),0)</f>
        <v>0</v>
      </c>
      <c r="BG135" s="332">
        <f t="shared" si="59"/>
        <v>0</v>
      </c>
      <c r="BH135" s="357">
        <f t="shared" si="60"/>
        <v>0</v>
      </c>
      <c r="BI135" s="527"/>
      <c r="BK135" s="324">
        <f t="shared" si="65"/>
        <v>0</v>
      </c>
      <c r="BM135" s="338"/>
      <c r="BN135" s="121">
        <v>0</v>
      </c>
      <c r="BO135" s="755">
        <f t="shared" si="38"/>
        <v>0</v>
      </c>
      <c r="BP135" s="339">
        <v>0</v>
      </c>
      <c r="BQ135" s="890">
        <f>IF(BN136=0,0,         IF(OR(Currency2="AUD",Currency1="NZD",Currency2="GBP"),BN135,   _xll.qDateNext(BN135,"-2b",,,IF(Currency2="EUR","TGT","LON"))))</f>
        <v>0</v>
      </c>
      <c r="BR135" s="879" t="str">
        <v/>
      </c>
      <c r="BS135" s="879" t="str">
        <v/>
      </c>
      <c r="BT135" s="879" t="str">
        <v/>
      </c>
      <c r="BU135" s="879" t="str">
        <v/>
      </c>
      <c r="BV135" s="879" t="str">
        <v/>
      </c>
      <c r="BW135" s="879" t="str">
        <v/>
      </c>
      <c r="BX135" s="879" t="str">
        <v/>
      </c>
      <c r="BY135" s="879" t="str">
        <v/>
      </c>
      <c r="BZ135" s="882">
        <f>IF($BN136=0,0,        _xll.qDateNext($BN135,BZ$17,$CG$16,TRUE,Currency2))</f>
        <v>0</v>
      </c>
      <c r="CA135" s="882">
        <f>IF($BN136=0,0,        _xll.qDateNext($BN135,CA$17,$CG$16,TRUE,Currency2))</f>
        <v>0</v>
      </c>
      <c r="CB135" s="882">
        <f>IF($BN136=0,0,        _xll.qDateNext($BN135,CB$17,$CG$16,TRUE,Currency2))</f>
        <v>0</v>
      </c>
      <c r="CC135" s="882">
        <f>IF($BN136=0,0,        _xll.qDateNext($BN135,CC$17,$CG$16,TRUE,Currency2))</f>
        <v>0</v>
      </c>
      <c r="CD135" s="882">
        <f>IF($BN136=0,0,        _xll.qDateNext($BN135,CD$17,$CG$16,TRUE,Currency2))</f>
        <v>0</v>
      </c>
      <c r="CE135" s="882">
        <f>IF($BN136=0,0,        _xll.qDateNext($BN135,CE$17,$CG$16,TRUE,Currency2))</f>
        <v>0</v>
      </c>
      <c r="CF135" s="882">
        <f>IF($BN136=0,0,        _xll.qDateNext($BN135,CF$17,$CG$16,TRUE,Currency2))</f>
        <v>0</v>
      </c>
      <c r="CG135" s="882">
        <f>IF($BN136=0,0,        _xll.qDateNext($BN135,CG$17,$CG$16,TRUE,Currency2))</f>
        <v>0</v>
      </c>
      <c r="CH135" s="886">
        <v>0</v>
      </c>
      <c r="CI135" s="886">
        <v>0</v>
      </c>
      <c r="CJ135" s="886">
        <v>0</v>
      </c>
      <c r="CK135" s="886">
        <v>0</v>
      </c>
      <c r="CL135" s="886">
        <f t="shared" si="61"/>
        <v>0</v>
      </c>
      <c r="CM135" s="886">
        <f t="shared" si="62"/>
        <v>0</v>
      </c>
      <c r="CN135" s="886">
        <v>0</v>
      </c>
      <c r="CO135" s="886">
        <v>0</v>
      </c>
      <c r="CP135" s="648">
        <f t="shared" si="39"/>
        <v>0</v>
      </c>
      <c r="CQ135" s="648">
        <f t="shared" si="40"/>
        <v>0</v>
      </c>
      <c r="CR135" s="648">
        <f t="shared" si="41"/>
        <v>0</v>
      </c>
      <c r="CS135" s="648">
        <f t="shared" si="42"/>
        <v>0</v>
      </c>
      <c r="CT135" s="648">
        <f t="shared" si="43"/>
        <v>0</v>
      </c>
      <c r="CU135" s="648">
        <f t="shared" si="44"/>
        <v>0</v>
      </c>
      <c r="CV135" s="648">
        <f t="shared" si="45"/>
        <v>0</v>
      </c>
      <c r="CW135" s="648">
        <f t="shared" si="46"/>
        <v>0</v>
      </c>
      <c r="CX135" s="634">
        <v>0</v>
      </c>
      <c r="CY135" s="616"/>
      <c r="CZ135" s="619">
        <f>IF(BN136=0,0,             IF(ISNUMBER(CY135),CY135,             IF(ISTEXT(CY135),INDEX(CP135:CW135,MATCH(CY135,$CP$17:$CW$17,0)),           IF(CX135="INT",_xll.qInterp(BN136,BZ135:CG135,CP135:CW135),       INDEX(CP135:CW135,MATCH(CX135,$CP$17:$CW$17,0))))))</f>
        <v>0</v>
      </c>
      <c r="DA135" s="755">
        <f t="shared" si="47"/>
        <v>0</v>
      </c>
      <c r="DB135" s="387">
        <f t="shared" si="48"/>
        <v>0</v>
      </c>
      <c r="DC135" s="268">
        <f>IF($BN136=0,0,         IF(LEFT(DCC_Leg2_Fixed,2)="1/",uEvaluate(DCC_Leg2_Fixed),         _xll.qDateYears($BN135,$BN136,DCC_Leg2_Fixed)))</f>
        <v>0</v>
      </c>
      <c r="DD135" s="268">
        <f>IF($BN136,_xll.qDateYears($BN135,$BN136,DCC_Leg2_Float),0)</f>
        <v>0</v>
      </c>
      <c r="DF135" s="332">
        <f t="shared" si="63"/>
        <v>0</v>
      </c>
      <c r="DG135" s="357">
        <f t="shared" si="64"/>
        <v>0</v>
      </c>
      <c r="DH135" s="527"/>
      <c r="DJ135" s="324">
        <f t="shared" si="66"/>
        <v>0</v>
      </c>
      <c r="DK135" s="529"/>
      <c r="DL135" s="338"/>
    </row>
    <row r="136" spans="15:116">
      <c r="O136" s="121">
        <v>0</v>
      </c>
      <c r="P136" s="755">
        <f t="shared" si="35"/>
        <v>0</v>
      </c>
      <c r="Q136" s="125">
        <v>0</v>
      </c>
      <c r="R136" s="890">
        <f>IF(O137=0,0,         IF(OR(Currency1="AUD",Currency1="NZD",Currency1="GBP"),O136,   _xll.qDateNext(O136,"-2b",,,IF(Currency1="EUR","TGT","LON"))))</f>
        <v>0</v>
      </c>
      <c r="S136" s="879" t="str">
        <v/>
      </c>
      <c r="T136" s="879" t="str">
        <v/>
      </c>
      <c r="U136" s="879" t="str">
        <v/>
      </c>
      <c r="V136" s="879" t="str">
        <v/>
      </c>
      <c r="W136" s="879" t="str">
        <v/>
      </c>
      <c r="X136" s="879" t="str">
        <v/>
      </c>
      <c r="Y136" s="879" t="str">
        <v/>
      </c>
      <c r="Z136" s="879" t="str">
        <v/>
      </c>
      <c r="AA136" s="882">
        <f>IF($O137=0,0,        _xll.qDateNext($O136,AA$17,$AH$16,TRUE,Currency1))</f>
        <v>0</v>
      </c>
      <c r="AB136" s="882">
        <f>IF($O137=0,0,        _xll.qDateNext($O136,AB$17,$AH$16,TRUE,Currency1))</f>
        <v>0</v>
      </c>
      <c r="AC136" s="882">
        <f>IF($O137=0,0,        _xll.qDateNext($O136,AC$17,$AH$16,TRUE,Currency1))</f>
        <v>0</v>
      </c>
      <c r="AD136" s="882">
        <f>IF($O137=0,0,        _xll.qDateNext($O136,AD$17,$AH$16,TRUE,Currency1))</f>
        <v>0</v>
      </c>
      <c r="AE136" s="882">
        <f>IF($O137=0,0,        _xll.qDateNext($O136,AE$17,$AH$16,TRUE,Currency1))</f>
        <v>0</v>
      </c>
      <c r="AF136" s="882">
        <f>IF($O137=0,0,        _xll.qDateNext($O136,AF$17,$AH$16,TRUE,Currency1))</f>
        <v>0</v>
      </c>
      <c r="AG136" s="882">
        <f>IF($O137=0,0,        _xll.qDateNext($O136,AG$17,$AH$16,TRUE,Currency1))</f>
        <v>0</v>
      </c>
      <c r="AH136" s="882">
        <f>IF($O137=0,0,        _xll.qDateNext($O136,AH$17,$AH$16,TRUE,Currency1))</f>
        <v>0</v>
      </c>
      <c r="AI136" s="886">
        <f>IF($O137=0,0,           IF(FRM,_xll.qGetFwdRate(AI$14,$O136,AA136,"T",DCC_Leg1_Float),_xll.qGetFwdRate(AI$14,$O136,$O137,"T",DCC_Leg1_Float)))</f>
        <v>0</v>
      </c>
      <c r="AJ136" s="886">
        <f>IF($O137=0,0,           IF(FRM,_xll.qGetFwdRate(AJ$14,$O136,AB136,"T",DCC_Leg1_Float),_xll.qGetFwdRate(AJ$14,$O136,$O137,"T",DCC_Leg1_Float)))</f>
        <v>0</v>
      </c>
      <c r="AK136" s="886">
        <f t="shared" si="36"/>
        <v>0</v>
      </c>
      <c r="AL136" s="886">
        <f>IF($O137=0,0,           IF(FRM,_xll.qGetFwdRate(AL$14,$O136,AD136,"T",DCC_Leg1_Float),_xll.qGetFwdRate(AL$14,$O136,$O137,"T",DCC_Leg1_Float)))</f>
        <v>0</v>
      </c>
      <c r="AM136" s="886">
        <f t="shared" si="49"/>
        <v>0</v>
      </c>
      <c r="AN136" s="886">
        <f t="shared" si="50"/>
        <v>0</v>
      </c>
      <c r="AO136" s="886">
        <f>IF($O137=0,0,           IF(FRM,_xll.qGetFwdRate(AO$14,$O136,AG136,"T",DCC_Leg1_Float),_xll.qGetFwdRate(AO$14,$O136,$O137,"T",DCC_Leg1_Float)))</f>
        <v>0</v>
      </c>
      <c r="AP136" s="886">
        <f>IF($O137=0,0,           IF(FRM,_xll.qGetFwdRate(AP$14,$O136,AH136,"T",DCC_Leg1_Float),_xll.qGetFwdRate(AP$14,$O136,$O137,"T",DCC_Leg1_Float)))</f>
        <v>0</v>
      </c>
      <c r="AQ136" s="648">
        <f t="shared" si="51"/>
        <v>0</v>
      </c>
      <c r="AR136" s="648">
        <f t="shared" si="52"/>
        <v>0</v>
      </c>
      <c r="AS136" s="648">
        <f t="shared" si="53"/>
        <v>0</v>
      </c>
      <c r="AT136" s="648">
        <f t="shared" si="54"/>
        <v>0</v>
      </c>
      <c r="AU136" s="648">
        <f t="shared" si="55"/>
        <v>0</v>
      </c>
      <c r="AV136" s="648">
        <f t="shared" si="56"/>
        <v>0</v>
      </c>
      <c r="AW136" s="648">
        <f t="shared" si="57"/>
        <v>0</v>
      </c>
      <c r="AX136" s="648">
        <f t="shared" si="58"/>
        <v>0</v>
      </c>
      <c r="AY136" s="634">
        <v>0</v>
      </c>
      <c r="AZ136" s="616"/>
      <c r="BA136" s="619">
        <f>IF(O137=0,0,             IF(ISNUMBER(AZ136),AZ136,             IF(ISTEXT(AZ136),INDEX(AQ136:AX136,MATCH(AZ136,$AQ$17:$AX$17,0)),           IF(AY136="INT",_xll.qInterp(O137,AA136:AH136,AQ136:AX136),       INDEX(AQ136:AX136,MATCH(AY136,$AQ$17:$AX$17,0))))))</f>
        <v>0</v>
      </c>
      <c r="BB136" s="674">
        <v>100</v>
      </c>
      <c r="BC136" s="666">
        <f t="shared" si="37"/>
        <v>0</v>
      </c>
      <c r="BD136" s="268">
        <f>IF($O137=0,0,                IF(LEFT(DCC_Leg1_Fixed,2)="1/",uEvaluate(DCC_Leg1_Fixed),        _xll.qDateYears($O136,$O137,DCC_Leg1_Fixed)))</f>
        <v>0</v>
      </c>
      <c r="BE136" s="268">
        <f>IF($O137,_xll.qDateYears($O136,$O137,DCC_Leg1_Float),0)</f>
        <v>0</v>
      </c>
      <c r="BG136" s="332">
        <f t="shared" si="59"/>
        <v>0</v>
      </c>
      <c r="BH136" s="357">
        <f t="shared" si="60"/>
        <v>0</v>
      </c>
      <c r="BI136" s="527"/>
      <c r="BK136" s="324">
        <f t="shared" si="65"/>
        <v>0</v>
      </c>
      <c r="BM136" s="338"/>
      <c r="BN136" s="121">
        <v>0</v>
      </c>
      <c r="BO136" s="755">
        <f t="shared" si="38"/>
        <v>0</v>
      </c>
      <c r="BP136" s="339">
        <v>0</v>
      </c>
      <c r="BQ136" s="890">
        <f>IF(BN137=0,0,         IF(OR(Currency2="AUD",Currency1="NZD",Currency2="GBP"),BN136,   _xll.qDateNext(BN136,"-2b",,,IF(Currency2="EUR","TGT","LON"))))</f>
        <v>0</v>
      </c>
      <c r="BR136" s="879" t="str">
        <v/>
      </c>
      <c r="BS136" s="879" t="str">
        <v/>
      </c>
      <c r="BT136" s="879" t="str">
        <v/>
      </c>
      <c r="BU136" s="879" t="str">
        <v/>
      </c>
      <c r="BV136" s="879" t="str">
        <v/>
      </c>
      <c r="BW136" s="879" t="str">
        <v/>
      </c>
      <c r="BX136" s="879" t="str">
        <v/>
      </c>
      <c r="BY136" s="879" t="str">
        <v/>
      </c>
      <c r="BZ136" s="882">
        <f>IF($BN137=0,0,        _xll.qDateNext($BN136,BZ$17,$CG$16,TRUE,Currency2))</f>
        <v>0</v>
      </c>
      <c r="CA136" s="882">
        <f>IF($BN137=0,0,        _xll.qDateNext($BN136,CA$17,$CG$16,TRUE,Currency2))</f>
        <v>0</v>
      </c>
      <c r="CB136" s="882">
        <f>IF($BN137=0,0,        _xll.qDateNext($BN136,CB$17,$CG$16,TRUE,Currency2))</f>
        <v>0</v>
      </c>
      <c r="CC136" s="882">
        <f>IF($BN137=0,0,        _xll.qDateNext($BN136,CC$17,$CG$16,TRUE,Currency2))</f>
        <v>0</v>
      </c>
      <c r="CD136" s="882">
        <f>IF($BN137=0,0,        _xll.qDateNext($BN136,CD$17,$CG$16,TRUE,Currency2))</f>
        <v>0</v>
      </c>
      <c r="CE136" s="882">
        <f>IF($BN137=0,0,        _xll.qDateNext($BN136,CE$17,$CG$16,TRUE,Currency2))</f>
        <v>0</v>
      </c>
      <c r="CF136" s="882">
        <f>IF($BN137=0,0,        _xll.qDateNext($BN136,CF$17,$CG$16,TRUE,Currency2))</f>
        <v>0</v>
      </c>
      <c r="CG136" s="882">
        <f>IF($BN137=0,0,        _xll.qDateNext($BN136,CG$17,$CG$16,TRUE,Currency2))</f>
        <v>0</v>
      </c>
      <c r="CH136" s="886">
        <v>0</v>
      </c>
      <c r="CI136" s="886">
        <v>0</v>
      </c>
      <c r="CJ136" s="886">
        <v>0</v>
      </c>
      <c r="CK136" s="886">
        <v>0</v>
      </c>
      <c r="CL136" s="886">
        <f t="shared" si="61"/>
        <v>0</v>
      </c>
      <c r="CM136" s="886">
        <f t="shared" si="62"/>
        <v>0</v>
      </c>
      <c r="CN136" s="886">
        <v>0</v>
      </c>
      <c r="CO136" s="886">
        <v>0</v>
      </c>
      <c r="CP136" s="648">
        <f t="shared" si="39"/>
        <v>0</v>
      </c>
      <c r="CQ136" s="648">
        <f t="shared" si="40"/>
        <v>0</v>
      </c>
      <c r="CR136" s="648">
        <f t="shared" si="41"/>
        <v>0</v>
      </c>
      <c r="CS136" s="648">
        <f t="shared" si="42"/>
        <v>0</v>
      </c>
      <c r="CT136" s="648">
        <f t="shared" si="43"/>
        <v>0</v>
      </c>
      <c r="CU136" s="648">
        <f t="shared" si="44"/>
        <v>0</v>
      </c>
      <c r="CV136" s="648">
        <f t="shared" si="45"/>
        <v>0</v>
      </c>
      <c r="CW136" s="648">
        <f t="shared" si="46"/>
        <v>0</v>
      </c>
      <c r="CX136" s="634">
        <v>0</v>
      </c>
      <c r="CY136" s="616"/>
      <c r="CZ136" s="619">
        <f>IF(BN137=0,0,             IF(ISNUMBER(CY136),CY136,             IF(ISTEXT(CY136),INDEX(CP136:CW136,MATCH(CY136,$CP$17:$CW$17,0)),           IF(CX136="INT",_xll.qInterp(BN137,BZ136:CG136,CP136:CW136),       INDEX(CP136:CW136,MATCH(CX136,$CP$17:$CW$17,0))))))</f>
        <v>0</v>
      </c>
      <c r="DA136" s="755">
        <f t="shared" si="47"/>
        <v>0</v>
      </c>
      <c r="DB136" s="387">
        <f t="shared" si="48"/>
        <v>0</v>
      </c>
      <c r="DC136" s="268">
        <f>IF($BN137=0,0,         IF(LEFT(DCC_Leg2_Fixed,2)="1/",uEvaluate(DCC_Leg2_Fixed),         _xll.qDateYears($BN136,$BN137,DCC_Leg2_Fixed)))</f>
        <v>0</v>
      </c>
      <c r="DD136" s="268">
        <f>IF($BN137,_xll.qDateYears($BN136,$BN137,DCC_Leg2_Float),0)</f>
        <v>0</v>
      </c>
      <c r="DF136" s="332">
        <f t="shared" si="63"/>
        <v>0</v>
      </c>
      <c r="DG136" s="357">
        <f t="shared" si="64"/>
        <v>0</v>
      </c>
      <c r="DH136" s="527"/>
      <c r="DJ136" s="324">
        <f t="shared" si="66"/>
        <v>0</v>
      </c>
      <c r="DK136" s="529"/>
      <c r="DL136" s="338"/>
    </row>
    <row r="137" spans="15:116">
      <c r="O137" s="121">
        <v>0</v>
      </c>
      <c r="P137" s="755">
        <f t="shared" si="35"/>
        <v>0</v>
      </c>
      <c r="Q137" s="125">
        <v>0</v>
      </c>
      <c r="R137" s="890">
        <f>IF(O138=0,0,         IF(OR(Currency1="AUD",Currency1="NZD",Currency1="GBP"),O137,   _xll.qDateNext(O137,"-2b",,,IF(Currency1="EUR","TGT","LON"))))</f>
        <v>0</v>
      </c>
      <c r="S137" s="879" t="str">
        <v/>
      </c>
      <c r="T137" s="879" t="str">
        <v/>
      </c>
      <c r="U137" s="879" t="str">
        <v/>
      </c>
      <c r="V137" s="879" t="str">
        <v/>
      </c>
      <c r="W137" s="879" t="str">
        <v/>
      </c>
      <c r="X137" s="879" t="str">
        <v/>
      </c>
      <c r="Y137" s="879" t="str">
        <v/>
      </c>
      <c r="Z137" s="879" t="str">
        <v/>
      </c>
      <c r="AA137" s="882">
        <f>IF($O138=0,0,        _xll.qDateNext($O137,AA$17,$AH$16,TRUE,Currency1))</f>
        <v>0</v>
      </c>
      <c r="AB137" s="882">
        <f>IF($O138=0,0,        _xll.qDateNext($O137,AB$17,$AH$16,TRUE,Currency1))</f>
        <v>0</v>
      </c>
      <c r="AC137" s="882">
        <f>IF($O138=0,0,        _xll.qDateNext($O137,AC$17,$AH$16,TRUE,Currency1))</f>
        <v>0</v>
      </c>
      <c r="AD137" s="882">
        <f>IF($O138=0,0,        _xll.qDateNext($O137,AD$17,$AH$16,TRUE,Currency1))</f>
        <v>0</v>
      </c>
      <c r="AE137" s="882">
        <f>IF($O138=0,0,        _xll.qDateNext($O137,AE$17,$AH$16,TRUE,Currency1))</f>
        <v>0</v>
      </c>
      <c r="AF137" s="882">
        <f>IF($O138=0,0,        _xll.qDateNext($O137,AF$17,$AH$16,TRUE,Currency1))</f>
        <v>0</v>
      </c>
      <c r="AG137" s="882">
        <f>IF($O138=0,0,        _xll.qDateNext($O137,AG$17,$AH$16,TRUE,Currency1))</f>
        <v>0</v>
      </c>
      <c r="AH137" s="882">
        <f>IF($O138=0,0,        _xll.qDateNext($O137,AH$17,$AH$16,TRUE,Currency1))</f>
        <v>0</v>
      </c>
      <c r="AI137" s="886">
        <f>IF($O138=0,0,           IF(FRM,_xll.qGetFwdRate(AI$14,$O137,AA137,"T",DCC_Leg1_Float),_xll.qGetFwdRate(AI$14,$O137,$O138,"T",DCC_Leg1_Float)))</f>
        <v>0</v>
      </c>
      <c r="AJ137" s="886">
        <f>IF($O138=0,0,           IF(FRM,_xll.qGetFwdRate(AJ$14,$O137,AB137,"T",DCC_Leg1_Float),_xll.qGetFwdRate(AJ$14,$O137,$O138,"T",DCC_Leg1_Float)))</f>
        <v>0</v>
      </c>
      <c r="AK137" s="886">
        <f t="shared" si="36"/>
        <v>0</v>
      </c>
      <c r="AL137" s="886">
        <f>IF($O138=0,0,           IF(FRM,_xll.qGetFwdRate(AL$14,$O137,AD137,"T",DCC_Leg1_Float),_xll.qGetFwdRate(AL$14,$O137,$O138,"T",DCC_Leg1_Float)))</f>
        <v>0</v>
      </c>
      <c r="AM137" s="886">
        <f t="shared" si="49"/>
        <v>0</v>
      </c>
      <c r="AN137" s="886">
        <f t="shared" si="50"/>
        <v>0</v>
      </c>
      <c r="AO137" s="886">
        <f>IF($O138=0,0,           IF(FRM,_xll.qGetFwdRate(AO$14,$O137,AG137,"T",DCC_Leg1_Float),_xll.qGetFwdRate(AO$14,$O137,$O138,"T",DCC_Leg1_Float)))</f>
        <v>0</v>
      </c>
      <c r="AP137" s="886">
        <f>IF($O138=0,0,           IF(FRM,_xll.qGetFwdRate(AP$14,$O137,AH137,"T",DCC_Leg1_Float),_xll.qGetFwdRate(AP$14,$O137,$O138,"T",DCC_Leg1_Float)))</f>
        <v>0</v>
      </c>
      <c r="AQ137" s="648">
        <f t="shared" si="51"/>
        <v>0</v>
      </c>
      <c r="AR137" s="648">
        <f t="shared" si="52"/>
        <v>0</v>
      </c>
      <c r="AS137" s="648">
        <f t="shared" si="53"/>
        <v>0</v>
      </c>
      <c r="AT137" s="648">
        <f t="shared" si="54"/>
        <v>0</v>
      </c>
      <c r="AU137" s="648">
        <f t="shared" si="55"/>
        <v>0</v>
      </c>
      <c r="AV137" s="648">
        <f t="shared" si="56"/>
        <v>0</v>
      </c>
      <c r="AW137" s="648">
        <f t="shared" si="57"/>
        <v>0</v>
      </c>
      <c r="AX137" s="648">
        <f t="shared" si="58"/>
        <v>0</v>
      </c>
      <c r="AY137" s="634">
        <v>0</v>
      </c>
      <c r="AZ137" s="616"/>
      <c r="BA137" s="619">
        <f>IF(O138=0,0,             IF(ISNUMBER(AZ137),AZ137,             IF(ISTEXT(AZ137),INDEX(AQ137:AX137,MATCH(AZ137,$AQ$17:$AX$17,0)),           IF(AY137="INT",_xll.qInterp(O138,AA137:AH137,AQ137:AX137),       INDEX(AQ137:AX137,MATCH(AY137,$AQ$17:$AX$17,0))))))</f>
        <v>0</v>
      </c>
      <c r="BB137" s="674">
        <v>100</v>
      </c>
      <c r="BC137" s="666">
        <f t="shared" si="37"/>
        <v>0</v>
      </c>
      <c r="BD137" s="268">
        <f>IF($O138=0,0,                IF(LEFT(DCC_Leg1_Fixed,2)="1/",uEvaluate(DCC_Leg1_Fixed),        _xll.qDateYears($O137,$O138,DCC_Leg1_Fixed)))</f>
        <v>0</v>
      </c>
      <c r="BE137" s="268">
        <f>IF($O138,_xll.qDateYears($O137,$O138,DCC_Leg1_Float),0)</f>
        <v>0</v>
      </c>
      <c r="BG137" s="332">
        <f t="shared" si="59"/>
        <v>0</v>
      </c>
      <c r="BH137" s="357">
        <f t="shared" si="60"/>
        <v>0</v>
      </c>
      <c r="BI137" s="527"/>
      <c r="BK137" s="324">
        <f t="shared" si="65"/>
        <v>0</v>
      </c>
      <c r="BM137" s="338"/>
      <c r="BN137" s="121">
        <v>0</v>
      </c>
      <c r="BO137" s="755">
        <f t="shared" si="38"/>
        <v>0</v>
      </c>
      <c r="BP137" s="339">
        <v>0</v>
      </c>
      <c r="BQ137" s="890">
        <f>IF(BN138=0,0,         IF(OR(Currency2="AUD",Currency1="NZD",Currency2="GBP"),BN137,   _xll.qDateNext(BN137,"-2b",,,IF(Currency2="EUR","TGT","LON"))))</f>
        <v>0</v>
      </c>
      <c r="BR137" s="879" t="str">
        <v/>
      </c>
      <c r="BS137" s="879" t="str">
        <v/>
      </c>
      <c r="BT137" s="879" t="str">
        <v/>
      </c>
      <c r="BU137" s="879" t="str">
        <v/>
      </c>
      <c r="BV137" s="879" t="str">
        <v/>
      </c>
      <c r="BW137" s="879" t="str">
        <v/>
      </c>
      <c r="BX137" s="879" t="str">
        <v/>
      </c>
      <c r="BY137" s="879" t="str">
        <v/>
      </c>
      <c r="BZ137" s="882">
        <f>IF($BN138=0,0,        _xll.qDateNext($BN137,BZ$17,$CG$16,TRUE,Currency2))</f>
        <v>0</v>
      </c>
      <c r="CA137" s="882">
        <f>IF($BN138=0,0,        _xll.qDateNext($BN137,CA$17,$CG$16,TRUE,Currency2))</f>
        <v>0</v>
      </c>
      <c r="CB137" s="882">
        <f>IF($BN138=0,0,        _xll.qDateNext($BN137,CB$17,$CG$16,TRUE,Currency2))</f>
        <v>0</v>
      </c>
      <c r="CC137" s="882">
        <f>IF($BN138=0,0,        _xll.qDateNext($BN137,CC$17,$CG$16,TRUE,Currency2))</f>
        <v>0</v>
      </c>
      <c r="CD137" s="882">
        <f>IF($BN138=0,0,        _xll.qDateNext($BN137,CD$17,$CG$16,TRUE,Currency2))</f>
        <v>0</v>
      </c>
      <c r="CE137" s="882">
        <f>IF($BN138=0,0,        _xll.qDateNext($BN137,CE$17,$CG$16,TRUE,Currency2))</f>
        <v>0</v>
      </c>
      <c r="CF137" s="882">
        <f>IF($BN138=0,0,        _xll.qDateNext($BN137,CF$17,$CG$16,TRUE,Currency2))</f>
        <v>0</v>
      </c>
      <c r="CG137" s="882">
        <f>IF($BN138=0,0,        _xll.qDateNext($BN137,CG$17,$CG$16,TRUE,Currency2))</f>
        <v>0</v>
      </c>
      <c r="CH137" s="886">
        <v>0</v>
      </c>
      <c r="CI137" s="886">
        <v>0</v>
      </c>
      <c r="CJ137" s="886">
        <v>0</v>
      </c>
      <c r="CK137" s="886">
        <v>0</v>
      </c>
      <c r="CL137" s="886">
        <f t="shared" si="61"/>
        <v>0</v>
      </c>
      <c r="CM137" s="886">
        <f t="shared" si="62"/>
        <v>0</v>
      </c>
      <c r="CN137" s="886">
        <v>0</v>
      </c>
      <c r="CO137" s="886">
        <v>0</v>
      </c>
      <c r="CP137" s="648">
        <f t="shared" si="39"/>
        <v>0</v>
      </c>
      <c r="CQ137" s="648">
        <f t="shared" si="40"/>
        <v>0</v>
      </c>
      <c r="CR137" s="648">
        <f t="shared" si="41"/>
        <v>0</v>
      </c>
      <c r="CS137" s="648">
        <f t="shared" si="42"/>
        <v>0</v>
      </c>
      <c r="CT137" s="648">
        <f t="shared" si="43"/>
        <v>0</v>
      </c>
      <c r="CU137" s="648">
        <f t="shared" si="44"/>
        <v>0</v>
      </c>
      <c r="CV137" s="648">
        <f t="shared" si="45"/>
        <v>0</v>
      </c>
      <c r="CW137" s="648">
        <f t="shared" si="46"/>
        <v>0</v>
      </c>
      <c r="CX137" s="634">
        <v>0</v>
      </c>
      <c r="CY137" s="616"/>
      <c r="CZ137" s="619">
        <f>IF(BN138=0,0,             IF(ISNUMBER(CY137),CY137,             IF(ISTEXT(CY137),INDEX(CP137:CW137,MATCH(CY137,$CP$17:$CW$17,0)),           IF(CX137="INT",_xll.qInterp(BN138,BZ137:CG137,CP137:CW137),       INDEX(CP137:CW137,MATCH(CX137,$CP$17:$CW$17,0))))))</f>
        <v>0</v>
      </c>
      <c r="DA137" s="755">
        <f t="shared" si="47"/>
        <v>0</v>
      </c>
      <c r="DB137" s="387">
        <f t="shared" si="48"/>
        <v>0</v>
      </c>
      <c r="DC137" s="268">
        <f>IF($BN138=0,0,         IF(LEFT(DCC_Leg2_Fixed,2)="1/",uEvaluate(DCC_Leg2_Fixed),         _xll.qDateYears($BN137,$BN138,DCC_Leg2_Fixed)))</f>
        <v>0</v>
      </c>
      <c r="DD137" s="268">
        <f>IF($BN138,_xll.qDateYears($BN137,$BN138,DCC_Leg2_Float),0)</f>
        <v>0</v>
      </c>
      <c r="DF137" s="332">
        <f t="shared" si="63"/>
        <v>0</v>
      </c>
      <c r="DG137" s="357">
        <f t="shared" si="64"/>
        <v>0</v>
      </c>
      <c r="DH137" s="527"/>
      <c r="DJ137" s="324">
        <f t="shared" si="66"/>
        <v>0</v>
      </c>
      <c r="DK137" s="529"/>
      <c r="DL137" s="338"/>
    </row>
    <row r="138" spans="15:116">
      <c r="O138" s="121">
        <v>0</v>
      </c>
      <c r="P138" s="755">
        <f t="shared" si="35"/>
        <v>0</v>
      </c>
      <c r="Q138" s="125">
        <v>0</v>
      </c>
      <c r="R138" s="890">
        <f>IF(O139=0,0,         IF(OR(Currency1="AUD",Currency1="NZD",Currency1="GBP"),O138,   _xll.qDateNext(O138,"-2b",,,IF(Currency1="EUR","TGT","LON"))))</f>
        <v>0</v>
      </c>
      <c r="S138" s="879" t="str">
        <v/>
      </c>
      <c r="T138" s="879" t="str">
        <v/>
      </c>
      <c r="U138" s="879" t="str">
        <v/>
      </c>
      <c r="V138" s="879" t="str">
        <v/>
      </c>
      <c r="W138" s="879" t="str">
        <v/>
      </c>
      <c r="X138" s="879" t="str">
        <v/>
      </c>
      <c r="Y138" s="879" t="str">
        <v/>
      </c>
      <c r="Z138" s="879" t="str">
        <v/>
      </c>
      <c r="AA138" s="882">
        <f>IF($O139=0,0,        _xll.qDateNext($O138,AA$17,$AH$16,TRUE,Currency1))</f>
        <v>0</v>
      </c>
      <c r="AB138" s="882">
        <f>IF($O139=0,0,        _xll.qDateNext($O138,AB$17,$AH$16,TRUE,Currency1))</f>
        <v>0</v>
      </c>
      <c r="AC138" s="882">
        <f>IF($O139=0,0,        _xll.qDateNext($O138,AC$17,$AH$16,TRUE,Currency1))</f>
        <v>0</v>
      </c>
      <c r="AD138" s="882">
        <f>IF($O139=0,0,        _xll.qDateNext($O138,AD$17,$AH$16,TRUE,Currency1))</f>
        <v>0</v>
      </c>
      <c r="AE138" s="882">
        <f>IF($O139=0,0,        _xll.qDateNext($O138,AE$17,$AH$16,TRUE,Currency1))</f>
        <v>0</v>
      </c>
      <c r="AF138" s="882">
        <f>IF($O139=0,0,        _xll.qDateNext($O138,AF$17,$AH$16,TRUE,Currency1))</f>
        <v>0</v>
      </c>
      <c r="AG138" s="882">
        <f>IF($O139=0,0,        _xll.qDateNext($O138,AG$17,$AH$16,TRUE,Currency1))</f>
        <v>0</v>
      </c>
      <c r="AH138" s="882">
        <f>IF($O139=0,0,        _xll.qDateNext($O138,AH$17,$AH$16,TRUE,Currency1))</f>
        <v>0</v>
      </c>
      <c r="AI138" s="886">
        <f>IF($O139=0,0,           IF(FRM,_xll.qGetFwdRate(AI$14,$O138,AA138,"T",DCC_Leg1_Float),_xll.qGetFwdRate(AI$14,$O138,$O139,"T",DCC_Leg1_Float)))</f>
        <v>0</v>
      </c>
      <c r="AJ138" s="886">
        <f>IF($O139=0,0,           IF(FRM,_xll.qGetFwdRate(AJ$14,$O138,AB138,"T",DCC_Leg1_Float),_xll.qGetFwdRate(AJ$14,$O138,$O139,"T",DCC_Leg1_Float)))</f>
        <v>0</v>
      </c>
      <c r="AK138" s="886">
        <f t="shared" si="36"/>
        <v>0</v>
      </c>
      <c r="AL138" s="886">
        <f>IF($O139=0,0,           IF(FRM,_xll.qGetFwdRate(AL$14,$O138,AD138,"T",DCC_Leg1_Float),_xll.qGetFwdRate(AL$14,$O138,$O139,"T",DCC_Leg1_Float)))</f>
        <v>0</v>
      </c>
      <c r="AM138" s="886">
        <f t="shared" si="49"/>
        <v>0</v>
      </c>
      <c r="AN138" s="886">
        <f t="shared" si="50"/>
        <v>0</v>
      </c>
      <c r="AO138" s="886">
        <f>IF($O139=0,0,           IF(FRM,_xll.qGetFwdRate(AO$14,$O138,AG138,"T",DCC_Leg1_Float),_xll.qGetFwdRate(AO$14,$O138,$O139,"T",DCC_Leg1_Float)))</f>
        <v>0</v>
      </c>
      <c r="AP138" s="886">
        <f>IF($O139=0,0,           IF(FRM,_xll.qGetFwdRate(AP$14,$O138,AH138,"T",DCC_Leg1_Float),_xll.qGetFwdRate(AP$14,$O138,$O139,"T",DCC_Leg1_Float)))</f>
        <v>0</v>
      </c>
      <c r="AQ138" s="648">
        <f t="shared" si="51"/>
        <v>0</v>
      </c>
      <c r="AR138" s="648">
        <f t="shared" si="52"/>
        <v>0</v>
      </c>
      <c r="AS138" s="648">
        <f t="shared" si="53"/>
        <v>0</v>
      </c>
      <c r="AT138" s="648">
        <f t="shared" si="54"/>
        <v>0</v>
      </c>
      <c r="AU138" s="648">
        <f t="shared" si="55"/>
        <v>0</v>
      </c>
      <c r="AV138" s="648">
        <f t="shared" si="56"/>
        <v>0</v>
      </c>
      <c r="AW138" s="648">
        <f t="shared" si="57"/>
        <v>0</v>
      </c>
      <c r="AX138" s="648">
        <f t="shared" si="58"/>
        <v>0</v>
      </c>
      <c r="AY138" s="634">
        <v>0</v>
      </c>
      <c r="AZ138" s="616"/>
      <c r="BA138" s="619">
        <f>IF(O139=0,0,             IF(ISNUMBER(AZ138),AZ138,             IF(ISTEXT(AZ138),INDEX(AQ138:AX138,MATCH(AZ138,$AQ$17:$AX$17,0)),           IF(AY138="INT",_xll.qInterp(O139,AA138:AH138,AQ138:AX138),       INDEX(AQ138:AX138,MATCH(AY138,$AQ$17:$AX$17,0))))))</f>
        <v>0</v>
      </c>
      <c r="BB138" s="674">
        <v>100</v>
      </c>
      <c r="BC138" s="666">
        <f t="shared" si="37"/>
        <v>0</v>
      </c>
      <c r="BD138" s="268">
        <f>IF($O139=0,0,                IF(LEFT(DCC_Leg1_Fixed,2)="1/",uEvaluate(DCC_Leg1_Fixed),        _xll.qDateYears($O138,$O139,DCC_Leg1_Fixed)))</f>
        <v>0</v>
      </c>
      <c r="BE138" s="268">
        <f>IF($O139,_xll.qDateYears($O138,$O139,DCC_Leg1_Float),0)</f>
        <v>0</v>
      </c>
      <c r="BG138" s="332">
        <f t="shared" si="59"/>
        <v>0</v>
      </c>
      <c r="BH138" s="357">
        <f t="shared" si="60"/>
        <v>0</v>
      </c>
      <c r="BI138" s="527"/>
      <c r="BK138" s="324">
        <f t="shared" si="65"/>
        <v>0</v>
      </c>
      <c r="BM138" s="338"/>
      <c r="BN138" s="121">
        <v>0</v>
      </c>
      <c r="BO138" s="755">
        <f t="shared" si="38"/>
        <v>0</v>
      </c>
      <c r="BP138" s="339">
        <v>0</v>
      </c>
      <c r="BQ138" s="890">
        <f>IF(BN139=0,0,         IF(OR(Currency2="AUD",Currency1="NZD",Currency2="GBP"),BN138,   _xll.qDateNext(BN138,"-2b",,,IF(Currency2="EUR","TGT","LON"))))</f>
        <v>0</v>
      </c>
      <c r="BR138" s="879" t="str">
        <v/>
      </c>
      <c r="BS138" s="879" t="str">
        <v/>
      </c>
      <c r="BT138" s="879" t="str">
        <v/>
      </c>
      <c r="BU138" s="879" t="str">
        <v/>
      </c>
      <c r="BV138" s="879" t="str">
        <v/>
      </c>
      <c r="BW138" s="879" t="str">
        <v/>
      </c>
      <c r="BX138" s="879" t="str">
        <v/>
      </c>
      <c r="BY138" s="879" t="str">
        <v/>
      </c>
      <c r="BZ138" s="882">
        <f>IF($BN139=0,0,        _xll.qDateNext($BN138,BZ$17,$CG$16,TRUE,Currency2))</f>
        <v>0</v>
      </c>
      <c r="CA138" s="882">
        <f>IF($BN139=0,0,        _xll.qDateNext($BN138,CA$17,$CG$16,TRUE,Currency2))</f>
        <v>0</v>
      </c>
      <c r="CB138" s="882">
        <f>IF($BN139=0,0,        _xll.qDateNext($BN138,CB$17,$CG$16,TRUE,Currency2))</f>
        <v>0</v>
      </c>
      <c r="CC138" s="882">
        <f>IF($BN139=0,0,        _xll.qDateNext($BN138,CC$17,$CG$16,TRUE,Currency2))</f>
        <v>0</v>
      </c>
      <c r="CD138" s="882">
        <f>IF($BN139=0,0,        _xll.qDateNext($BN138,CD$17,$CG$16,TRUE,Currency2))</f>
        <v>0</v>
      </c>
      <c r="CE138" s="882">
        <f>IF($BN139=0,0,        _xll.qDateNext($BN138,CE$17,$CG$16,TRUE,Currency2))</f>
        <v>0</v>
      </c>
      <c r="CF138" s="882">
        <f>IF($BN139=0,0,        _xll.qDateNext($BN138,CF$17,$CG$16,TRUE,Currency2))</f>
        <v>0</v>
      </c>
      <c r="CG138" s="882">
        <f>IF($BN139=0,0,        _xll.qDateNext($BN138,CG$17,$CG$16,TRUE,Currency2))</f>
        <v>0</v>
      </c>
      <c r="CH138" s="886">
        <v>0</v>
      </c>
      <c r="CI138" s="886">
        <v>0</v>
      </c>
      <c r="CJ138" s="886">
        <v>0</v>
      </c>
      <c r="CK138" s="886">
        <v>0</v>
      </c>
      <c r="CL138" s="886">
        <f t="shared" si="61"/>
        <v>0</v>
      </c>
      <c r="CM138" s="886">
        <f t="shared" si="62"/>
        <v>0</v>
      </c>
      <c r="CN138" s="886">
        <v>0</v>
      </c>
      <c r="CO138" s="886">
        <v>0</v>
      </c>
      <c r="CP138" s="648">
        <f t="shared" si="39"/>
        <v>0</v>
      </c>
      <c r="CQ138" s="648">
        <f t="shared" si="40"/>
        <v>0</v>
      </c>
      <c r="CR138" s="648">
        <f t="shared" si="41"/>
        <v>0</v>
      </c>
      <c r="CS138" s="648">
        <f t="shared" si="42"/>
        <v>0</v>
      </c>
      <c r="CT138" s="648">
        <f t="shared" si="43"/>
        <v>0</v>
      </c>
      <c r="CU138" s="648">
        <f t="shared" si="44"/>
        <v>0</v>
      </c>
      <c r="CV138" s="648">
        <f t="shared" si="45"/>
        <v>0</v>
      </c>
      <c r="CW138" s="648">
        <f t="shared" si="46"/>
        <v>0</v>
      </c>
      <c r="CX138" s="634">
        <v>0</v>
      </c>
      <c r="CY138" s="616"/>
      <c r="CZ138" s="619">
        <f>IF(BN139=0,0,             IF(ISNUMBER(CY138),CY138,             IF(ISTEXT(CY138),INDEX(CP138:CW138,MATCH(CY138,$CP$17:$CW$17,0)),           IF(CX138="INT",_xll.qInterp(BN139,BZ138:CG138,CP138:CW138),       INDEX(CP138:CW138,MATCH(CX138,$CP$17:$CW$17,0))))))</f>
        <v>0</v>
      </c>
      <c r="DA138" s="755">
        <f t="shared" si="47"/>
        <v>0</v>
      </c>
      <c r="DB138" s="387">
        <f t="shared" si="48"/>
        <v>0</v>
      </c>
      <c r="DC138" s="268">
        <f>IF($BN139=0,0,         IF(LEFT(DCC_Leg2_Fixed,2)="1/",uEvaluate(DCC_Leg2_Fixed),         _xll.qDateYears($BN138,$BN139,DCC_Leg2_Fixed)))</f>
        <v>0</v>
      </c>
      <c r="DD138" s="268">
        <f>IF($BN139,_xll.qDateYears($BN138,$BN139,DCC_Leg2_Float),0)</f>
        <v>0</v>
      </c>
      <c r="DF138" s="332">
        <f t="shared" si="63"/>
        <v>0</v>
      </c>
      <c r="DG138" s="357">
        <f t="shared" si="64"/>
        <v>0</v>
      </c>
      <c r="DH138" s="527"/>
      <c r="DJ138" s="324">
        <f t="shared" si="66"/>
        <v>0</v>
      </c>
      <c r="DK138" s="529"/>
      <c r="DL138" s="338"/>
    </row>
    <row r="139" spans="15:116">
      <c r="O139" s="121">
        <v>0</v>
      </c>
      <c r="P139" s="755">
        <f t="shared" si="35"/>
        <v>0</v>
      </c>
      <c r="Q139" s="125">
        <v>0</v>
      </c>
      <c r="R139" s="890">
        <f>IF(O140=0,0,         IF(OR(Currency1="AUD",Currency1="NZD",Currency1="GBP"),O139,   _xll.qDateNext(O139,"-2b",,,IF(Currency1="EUR","TGT","LON"))))</f>
        <v>0</v>
      </c>
      <c r="S139" s="879" t="str">
        <v/>
      </c>
      <c r="T139" s="879" t="str">
        <v/>
      </c>
      <c r="U139" s="879" t="str">
        <v/>
      </c>
      <c r="V139" s="879" t="str">
        <v/>
      </c>
      <c r="W139" s="879" t="str">
        <v/>
      </c>
      <c r="X139" s="879" t="str">
        <v/>
      </c>
      <c r="Y139" s="879" t="str">
        <v/>
      </c>
      <c r="Z139" s="879" t="str">
        <v/>
      </c>
      <c r="AA139" s="882">
        <f>IF($O140=0,0,        _xll.qDateNext($O139,AA$17,$AH$16,TRUE,Currency1))</f>
        <v>0</v>
      </c>
      <c r="AB139" s="882">
        <f>IF($O140=0,0,        _xll.qDateNext($O139,AB$17,$AH$16,TRUE,Currency1))</f>
        <v>0</v>
      </c>
      <c r="AC139" s="882">
        <f>IF($O140=0,0,        _xll.qDateNext($O139,AC$17,$AH$16,TRUE,Currency1))</f>
        <v>0</v>
      </c>
      <c r="AD139" s="882">
        <f>IF($O140=0,0,        _xll.qDateNext($O139,AD$17,$AH$16,TRUE,Currency1))</f>
        <v>0</v>
      </c>
      <c r="AE139" s="882">
        <f>IF($O140=0,0,        _xll.qDateNext($O139,AE$17,$AH$16,TRUE,Currency1))</f>
        <v>0</v>
      </c>
      <c r="AF139" s="882">
        <f>IF($O140=0,0,        _xll.qDateNext($O139,AF$17,$AH$16,TRUE,Currency1))</f>
        <v>0</v>
      </c>
      <c r="AG139" s="882">
        <f>IF($O140=0,0,        _xll.qDateNext($O139,AG$17,$AH$16,TRUE,Currency1))</f>
        <v>0</v>
      </c>
      <c r="AH139" s="882">
        <f>IF($O140=0,0,        _xll.qDateNext($O139,AH$17,$AH$16,TRUE,Currency1))</f>
        <v>0</v>
      </c>
      <c r="AI139" s="886">
        <f>IF($O140=0,0,           IF(FRM,_xll.qGetFwdRate(AI$14,$O139,AA139,"T",DCC_Leg1_Float),_xll.qGetFwdRate(AI$14,$O139,$O140,"T",DCC_Leg1_Float)))</f>
        <v>0</v>
      </c>
      <c r="AJ139" s="886">
        <f>IF($O140=0,0,           IF(FRM,_xll.qGetFwdRate(AJ$14,$O139,AB139,"T",DCC_Leg1_Float),_xll.qGetFwdRate(AJ$14,$O139,$O140,"T",DCC_Leg1_Float)))</f>
        <v>0</v>
      </c>
      <c r="AK139" s="886">
        <f t="shared" si="36"/>
        <v>0</v>
      </c>
      <c r="AL139" s="886">
        <f>IF($O140=0,0,           IF(FRM,_xll.qGetFwdRate(AL$14,$O139,AD139,"T",DCC_Leg1_Float),_xll.qGetFwdRate(AL$14,$O139,$O140,"T",DCC_Leg1_Float)))</f>
        <v>0</v>
      </c>
      <c r="AM139" s="886">
        <f t="shared" si="49"/>
        <v>0</v>
      </c>
      <c r="AN139" s="886">
        <f t="shared" si="50"/>
        <v>0</v>
      </c>
      <c r="AO139" s="886">
        <f>IF($O140=0,0,           IF(FRM,_xll.qGetFwdRate(AO$14,$O139,AG139,"T",DCC_Leg1_Float),_xll.qGetFwdRate(AO$14,$O139,$O140,"T",DCC_Leg1_Float)))</f>
        <v>0</v>
      </c>
      <c r="AP139" s="886">
        <f>IF($O140=0,0,           IF(FRM,_xll.qGetFwdRate(AP$14,$O139,AH139,"T",DCC_Leg1_Float),_xll.qGetFwdRate(AP$14,$O139,$O140,"T",DCC_Leg1_Float)))</f>
        <v>0</v>
      </c>
      <c r="AQ139" s="648">
        <f t="shared" si="51"/>
        <v>0</v>
      </c>
      <c r="AR139" s="648">
        <f t="shared" si="52"/>
        <v>0</v>
      </c>
      <c r="AS139" s="648">
        <f t="shared" si="53"/>
        <v>0</v>
      </c>
      <c r="AT139" s="648">
        <f t="shared" si="54"/>
        <v>0</v>
      </c>
      <c r="AU139" s="648">
        <f t="shared" si="55"/>
        <v>0</v>
      </c>
      <c r="AV139" s="648">
        <f t="shared" si="56"/>
        <v>0</v>
      </c>
      <c r="AW139" s="648">
        <f t="shared" si="57"/>
        <v>0</v>
      </c>
      <c r="AX139" s="648">
        <f t="shared" si="58"/>
        <v>0</v>
      </c>
      <c r="AY139" s="634">
        <v>0</v>
      </c>
      <c r="AZ139" s="616"/>
      <c r="BA139" s="619">
        <f>IF(O140=0,0,             IF(ISNUMBER(AZ139),AZ139,             IF(ISTEXT(AZ139),INDEX(AQ139:AX139,MATCH(AZ139,$AQ$17:$AX$17,0)),           IF(AY139="INT",_xll.qInterp(O140,AA139:AH139,AQ139:AX139),       INDEX(AQ139:AX139,MATCH(AY139,$AQ$17:$AX$17,0))))))</f>
        <v>0</v>
      </c>
      <c r="BB139" s="674">
        <v>100</v>
      </c>
      <c r="BC139" s="666">
        <f t="shared" si="37"/>
        <v>0</v>
      </c>
      <c r="BD139" s="268">
        <f>IF($O140=0,0,                IF(LEFT(DCC_Leg1_Fixed,2)="1/",uEvaluate(DCC_Leg1_Fixed),        _xll.qDateYears($O139,$O140,DCC_Leg1_Fixed)))</f>
        <v>0</v>
      </c>
      <c r="BE139" s="268">
        <f>IF($O140,_xll.qDateYears($O139,$O140,DCC_Leg1_Float),0)</f>
        <v>0</v>
      </c>
      <c r="BG139" s="332">
        <f t="shared" si="59"/>
        <v>0</v>
      </c>
      <c r="BH139" s="357">
        <f t="shared" si="60"/>
        <v>0</v>
      </c>
      <c r="BI139" s="527"/>
      <c r="BK139" s="324">
        <f t="shared" si="65"/>
        <v>0</v>
      </c>
      <c r="BM139" s="338"/>
      <c r="BN139" s="121">
        <v>0</v>
      </c>
      <c r="BO139" s="755">
        <f t="shared" si="38"/>
        <v>0</v>
      </c>
      <c r="BP139" s="339">
        <v>0</v>
      </c>
      <c r="BQ139" s="890">
        <f>IF(BN140=0,0,         IF(OR(Currency2="AUD",Currency1="NZD",Currency2="GBP"),BN139,   _xll.qDateNext(BN139,"-2b",,,IF(Currency2="EUR","TGT","LON"))))</f>
        <v>0</v>
      </c>
      <c r="BR139" s="879" t="str">
        <v/>
      </c>
      <c r="BS139" s="879" t="str">
        <v/>
      </c>
      <c r="BT139" s="879" t="str">
        <v/>
      </c>
      <c r="BU139" s="879" t="str">
        <v/>
      </c>
      <c r="BV139" s="879" t="str">
        <v/>
      </c>
      <c r="BW139" s="879" t="str">
        <v/>
      </c>
      <c r="BX139" s="879" t="str">
        <v/>
      </c>
      <c r="BY139" s="879" t="str">
        <v/>
      </c>
      <c r="BZ139" s="882">
        <f>IF($BN140=0,0,        _xll.qDateNext($BN139,BZ$17,$CG$16,TRUE,Currency2))</f>
        <v>0</v>
      </c>
      <c r="CA139" s="882">
        <f>IF($BN140=0,0,        _xll.qDateNext($BN139,CA$17,$CG$16,TRUE,Currency2))</f>
        <v>0</v>
      </c>
      <c r="CB139" s="882">
        <f>IF($BN140=0,0,        _xll.qDateNext($BN139,CB$17,$CG$16,TRUE,Currency2))</f>
        <v>0</v>
      </c>
      <c r="CC139" s="882">
        <f>IF($BN140=0,0,        _xll.qDateNext($BN139,CC$17,$CG$16,TRUE,Currency2))</f>
        <v>0</v>
      </c>
      <c r="CD139" s="882">
        <f>IF($BN140=0,0,        _xll.qDateNext($BN139,CD$17,$CG$16,TRUE,Currency2))</f>
        <v>0</v>
      </c>
      <c r="CE139" s="882">
        <f>IF($BN140=0,0,        _xll.qDateNext($BN139,CE$17,$CG$16,TRUE,Currency2))</f>
        <v>0</v>
      </c>
      <c r="CF139" s="882">
        <f>IF($BN140=0,0,        _xll.qDateNext($BN139,CF$17,$CG$16,TRUE,Currency2))</f>
        <v>0</v>
      </c>
      <c r="CG139" s="882">
        <f>IF($BN140=0,0,        _xll.qDateNext($BN139,CG$17,$CG$16,TRUE,Currency2))</f>
        <v>0</v>
      </c>
      <c r="CH139" s="886">
        <v>0</v>
      </c>
      <c r="CI139" s="886">
        <v>0</v>
      </c>
      <c r="CJ139" s="886">
        <v>0</v>
      </c>
      <c r="CK139" s="886">
        <v>0</v>
      </c>
      <c r="CL139" s="886">
        <f t="shared" si="61"/>
        <v>0</v>
      </c>
      <c r="CM139" s="886">
        <f t="shared" si="62"/>
        <v>0</v>
      </c>
      <c r="CN139" s="886">
        <v>0</v>
      </c>
      <c r="CO139" s="886">
        <v>0</v>
      </c>
      <c r="CP139" s="648">
        <f t="shared" si="39"/>
        <v>0</v>
      </c>
      <c r="CQ139" s="648">
        <f t="shared" si="40"/>
        <v>0</v>
      </c>
      <c r="CR139" s="648">
        <f t="shared" si="41"/>
        <v>0</v>
      </c>
      <c r="CS139" s="648">
        <f t="shared" si="42"/>
        <v>0</v>
      </c>
      <c r="CT139" s="648">
        <f t="shared" si="43"/>
        <v>0</v>
      </c>
      <c r="CU139" s="648">
        <f t="shared" si="44"/>
        <v>0</v>
      </c>
      <c r="CV139" s="648">
        <f t="shared" si="45"/>
        <v>0</v>
      </c>
      <c r="CW139" s="648">
        <f t="shared" si="46"/>
        <v>0</v>
      </c>
      <c r="CX139" s="634">
        <v>0</v>
      </c>
      <c r="CY139" s="616"/>
      <c r="CZ139" s="619">
        <f>IF(BN140=0,0,             IF(ISNUMBER(CY139),CY139,             IF(ISTEXT(CY139),INDEX(CP139:CW139,MATCH(CY139,$CP$17:$CW$17,0)),           IF(CX139="INT",_xll.qInterp(BN140,BZ139:CG139,CP139:CW139),       INDEX(CP139:CW139,MATCH(CX139,$CP$17:$CW$17,0))))))</f>
        <v>0</v>
      </c>
      <c r="DA139" s="755">
        <f t="shared" si="47"/>
        <v>0</v>
      </c>
      <c r="DB139" s="387">
        <f t="shared" si="48"/>
        <v>0</v>
      </c>
      <c r="DC139" s="268">
        <f>IF($BN140=0,0,         IF(LEFT(DCC_Leg2_Fixed,2)="1/",uEvaluate(DCC_Leg2_Fixed),         _xll.qDateYears($BN139,$BN140,DCC_Leg2_Fixed)))</f>
        <v>0</v>
      </c>
      <c r="DD139" s="268">
        <f>IF($BN140,_xll.qDateYears($BN139,$BN140,DCC_Leg2_Float),0)</f>
        <v>0</v>
      </c>
      <c r="DF139" s="332">
        <f t="shared" si="63"/>
        <v>0</v>
      </c>
      <c r="DG139" s="357">
        <f t="shared" si="64"/>
        <v>0</v>
      </c>
      <c r="DH139" s="527"/>
      <c r="DJ139" s="324">
        <f t="shared" si="66"/>
        <v>0</v>
      </c>
      <c r="DK139" s="529"/>
      <c r="DL139" s="338"/>
    </row>
    <row r="140" spans="15:116">
      <c r="O140" s="121">
        <v>0</v>
      </c>
      <c r="P140" s="755">
        <f t="shared" si="35"/>
        <v>0</v>
      </c>
      <c r="Q140" s="125">
        <v>0</v>
      </c>
      <c r="R140" s="890">
        <f>IF(O141=0,0,         IF(OR(Currency1="AUD",Currency1="NZD",Currency1="GBP"),O140,   _xll.qDateNext(O140,"-2b",,,IF(Currency1="EUR","TGT","LON"))))</f>
        <v>0</v>
      </c>
      <c r="S140" s="879" t="str">
        <v/>
      </c>
      <c r="T140" s="879" t="str">
        <v/>
      </c>
      <c r="U140" s="879" t="str">
        <v/>
      </c>
      <c r="V140" s="879" t="str">
        <v/>
      </c>
      <c r="W140" s="879" t="str">
        <v/>
      </c>
      <c r="X140" s="879" t="str">
        <v/>
      </c>
      <c r="Y140" s="879" t="str">
        <v/>
      </c>
      <c r="Z140" s="879" t="str">
        <v/>
      </c>
      <c r="AA140" s="882">
        <f>IF($O141=0,0,        _xll.qDateNext($O140,AA$17,$AH$16,TRUE,Currency1))</f>
        <v>0</v>
      </c>
      <c r="AB140" s="882">
        <f>IF($O141=0,0,        _xll.qDateNext($O140,AB$17,$AH$16,TRUE,Currency1))</f>
        <v>0</v>
      </c>
      <c r="AC140" s="882">
        <f>IF($O141=0,0,        _xll.qDateNext($O140,AC$17,$AH$16,TRUE,Currency1))</f>
        <v>0</v>
      </c>
      <c r="AD140" s="882">
        <f>IF($O141=0,0,        _xll.qDateNext($O140,AD$17,$AH$16,TRUE,Currency1))</f>
        <v>0</v>
      </c>
      <c r="AE140" s="882">
        <f>IF($O141=0,0,        _xll.qDateNext($O140,AE$17,$AH$16,TRUE,Currency1))</f>
        <v>0</v>
      </c>
      <c r="AF140" s="882">
        <f>IF($O141=0,0,        _xll.qDateNext($O140,AF$17,$AH$16,TRUE,Currency1))</f>
        <v>0</v>
      </c>
      <c r="AG140" s="882">
        <f>IF($O141=0,0,        _xll.qDateNext($O140,AG$17,$AH$16,TRUE,Currency1))</f>
        <v>0</v>
      </c>
      <c r="AH140" s="882">
        <f>IF($O141=0,0,        _xll.qDateNext($O140,AH$17,$AH$16,TRUE,Currency1))</f>
        <v>0</v>
      </c>
      <c r="AI140" s="886">
        <f>IF($O141=0,0,           IF(FRM,_xll.qGetFwdRate(AI$14,$O140,AA140,"T",DCC_Leg1_Float),_xll.qGetFwdRate(AI$14,$O140,$O141,"T",DCC_Leg1_Float)))</f>
        <v>0</v>
      </c>
      <c r="AJ140" s="886">
        <f>IF($O141=0,0,           IF(FRM,_xll.qGetFwdRate(AJ$14,$O140,AB140,"T",DCC_Leg1_Float),_xll.qGetFwdRate(AJ$14,$O140,$O141,"T",DCC_Leg1_Float)))</f>
        <v>0</v>
      </c>
      <c r="AK140" s="886">
        <f t="shared" si="36"/>
        <v>0</v>
      </c>
      <c r="AL140" s="886">
        <f>IF($O141=0,0,           IF(FRM,_xll.qGetFwdRate(AL$14,$O140,AD140,"T",DCC_Leg1_Float),_xll.qGetFwdRate(AL$14,$O140,$O141,"T",DCC_Leg1_Float)))</f>
        <v>0</v>
      </c>
      <c r="AM140" s="886">
        <f t="shared" si="49"/>
        <v>0</v>
      </c>
      <c r="AN140" s="886">
        <f t="shared" si="50"/>
        <v>0</v>
      </c>
      <c r="AO140" s="886">
        <f>IF($O141=0,0,           IF(FRM,_xll.qGetFwdRate(AO$14,$O140,AG140,"T",DCC_Leg1_Float),_xll.qGetFwdRate(AO$14,$O140,$O141,"T",DCC_Leg1_Float)))</f>
        <v>0</v>
      </c>
      <c r="AP140" s="886">
        <f>IF($O141=0,0,           IF(FRM,_xll.qGetFwdRate(AP$14,$O140,AH140,"T",DCC_Leg1_Float),_xll.qGetFwdRate(AP$14,$O140,$O141,"T",DCC_Leg1_Float)))</f>
        <v>0</v>
      </c>
      <c r="AQ140" s="648">
        <f t="shared" si="51"/>
        <v>0</v>
      </c>
      <c r="AR140" s="648">
        <f t="shared" si="52"/>
        <v>0</v>
      </c>
      <c r="AS140" s="648">
        <f t="shared" si="53"/>
        <v>0</v>
      </c>
      <c r="AT140" s="648">
        <f t="shared" si="54"/>
        <v>0</v>
      </c>
      <c r="AU140" s="648">
        <f t="shared" si="55"/>
        <v>0</v>
      </c>
      <c r="AV140" s="648">
        <f t="shared" si="56"/>
        <v>0</v>
      </c>
      <c r="AW140" s="648">
        <f t="shared" si="57"/>
        <v>0</v>
      </c>
      <c r="AX140" s="648">
        <f t="shared" si="58"/>
        <v>0</v>
      </c>
      <c r="AY140" s="634">
        <v>0</v>
      </c>
      <c r="AZ140" s="616"/>
      <c r="BA140" s="619">
        <f>IF(O141=0,0,             IF(ISNUMBER(AZ140),AZ140,             IF(ISTEXT(AZ140),INDEX(AQ140:AX140,MATCH(AZ140,$AQ$17:$AX$17,0)),           IF(AY140="INT",_xll.qInterp(O141,AA140:AH140,AQ140:AX140),       INDEX(AQ140:AX140,MATCH(AY140,$AQ$17:$AX$17,0))))))</f>
        <v>0</v>
      </c>
      <c r="BB140" s="674">
        <v>100</v>
      </c>
      <c r="BC140" s="666">
        <f t="shared" si="37"/>
        <v>0</v>
      </c>
      <c r="BD140" s="268">
        <f>IF($O141=0,0,                IF(LEFT(DCC_Leg1_Fixed,2)="1/",uEvaluate(DCC_Leg1_Fixed),        _xll.qDateYears($O140,$O141,DCC_Leg1_Fixed)))</f>
        <v>0</v>
      </c>
      <c r="BE140" s="268">
        <f>IF($O141,_xll.qDateYears($O140,$O141,DCC_Leg1_Float),0)</f>
        <v>0</v>
      </c>
      <c r="BG140" s="332">
        <f t="shared" si="59"/>
        <v>0</v>
      </c>
      <c r="BH140" s="357">
        <f t="shared" si="60"/>
        <v>0</v>
      </c>
      <c r="BI140" s="527"/>
      <c r="BK140" s="324">
        <f t="shared" si="65"/>
        <v>0</v>
      </c>
      <c r="BM140" s="338"/>
      <c r="BN140" s="121">
        <v>0</v>
      </c>
      <c r="BO140" s="755">
        <f t="shared" si="38"/>
        <v>0</v>
      </c>
      <c r="BP140" s="339">
        <v>0</v>
      </c>
      <c r="BQ140" s="890">
        <f>IF(BN141=0,0,         IF(OR(Currency2="AUD",Currency1="NZD",Currency2="GBP"),BN140,   _xll.qDateNext(BN140,"-2b",,,IF(Currency2="EUR","TGT","LON"))))</f>
        <v>0</v>
      </c>
      <c r="BR140" s="879" t="str">
        <v/>
      </c>
      <c r="BS140" s="879" t="str">
        <v/>
      </c>
      <c r="BT140" s="879" t="str">
        <v/>
      </c>
      <c r="BU140" s="879" t="str">
        <v/>
      </c>
      <c r="BV140" s="879" t="str">
        <v/>
      </c>
      <c r="BW140" s="879" t="str">
        <v/>
      </c>
      <c r="BX140" s="879" t="str">
        <v/>
      </c>
      <c r="BY140" s="879" t="str">
        <v/>
      </c>
      <c r="BZ140" s="882">
        <f>IF($BN141=0,0,        _xll.qDateNext($BN140,BZ$17,$CG$16,TRUE,Currency2))</f>
        <v>0</v>
      </c>
      <c r="CA140" s="882">
        <f>IF($BN141=0,0,        _xll.qDateNext($BN140,CA$17,$CG$16,TRUE,Currency2))</f>
        <v>0</v>
      </c>
      <c r="CB140" s="882">
        <f>IF($BN141=0,0,        _xll.qDateNext($BN140,CB$17,$CG$16,TRUE,Currency2))</f>
        <v>0</v>
      </c>
      <c r="CC140" s="882">
        <f>IF($BN141=0,0,        _xll.qDateNext($BN140,CC$17,$CG$16,TRUE,Currency2))</f>
        <v>0</v>
      </c>
      <c r="CD140" s="882">
        <f>IF($BN141=0,0,        _xll.qDateNext($BN140,CD$17,$CG$16,TRUE,Currency2))</f>
        <v>0</v>
      </c>
      <c r="CE140" s="882">
        <f>IF($BN141=0,0,        _xll.qDateNext($BN140,CE$17,$CG$16,TRUE,Currency2))</f>
        <v>0</v>
      </c>
      <c r="CF140" s="882">
        <f>IF($BN141=0,0,        _xll.qDateNext($BN140,CF$17,$CG$16,TRUE,Currency2))</f>
        <v>0</v>
      </c>
      <c r="CG140" s="882">
        <f>IF($BN141=0,0,        _xll.qDateNext($BN140,CG$17,$CG$16,TRUE,Currency2))</f>
        <v>0</v>
      </c>
      <c r="CH140" s="886">
        <v>0</v>
      </c>
      <c r="CI140" s="886">
        <v>0</v>
      </c>
      <c r="CJ140" s="886">
        <v>0</v>
      </c>
      <c r="CK140" s="886">
        <v>0</v>
      </c>
      <c r="CL140" s="886">
        <f t="shared" si="61"/>
        <v>0</v>
      </c>
      <c r="CM140" s="886">
        <f t="shared" si="62"/>
        <v>0</v>
      </c>
      <c r="CN140" s="886">
        <v>0</v>
      </c>
      <c r="CO140" s="886">
        <v>0</v>
      </c>
      <c r="CP140" s="648">
        <f t="shared" si="39"/>
        <v>0</v>
      </c>
      <c r="CQ140" s="648">
        <f t="shared" si="40"/>
        <v>0</v>
      </c>
      <c r="CR140" s="648">
        <f t="shared" si="41"/>
        <v>0</v>
      </c>
      <c r="CS140" s="648">
        <f t="shared" si="42"/>
        <v>0</v>
      </c>
      <c r="CT140" s="648">
        <f t="shared" si="43"/>
        <v>0</v>
      </c>
      <c r="CU140" s="648">
        <f t="shared" si="44"/>
        <v>0</v>
      </c>
      <c r="CV140" s="648">
        <f t="shared" si="45"/>
        <v>0</v>
      </c>
      <c r="CW140" s="648">
        <f t="shared" si="46"/>
        <v>0</v>
      </c>
      <c r="CX140" s="634">
        <v>0</v>
      </c>
      <c r="CY140" s="616"/>
      <c r="CZ140" s="619">
        <f>IF(BN141=0,0,             IF(ISNUMBER(CY140),CY140,             IF(ISTEXT(CY140),INDEX(CP140:CW140,MATCH(CY140,$CP$17:$CW$17,0)),           IF(CX140="INT",_xll.qInterp(BN141,BZ140:CG140,CP140:CW140),       INDEX(CP140:CW140,MATCH(CX140,$CP$17:$CW$17,0))))))</f>
        <v>0</v>
      </c>
      <c r="DA140" s="755">
        <f t="shared" si="47"/>
        <v>0</v>
      </c>
      <c r="DB140" s="387">
        <f t="shared" si="48"/>
        <v>0</v>
      </c>
      <c r="DC140" s="268">
        <f>IF($BN141=0,0,         IF(LEFT(DCC_Leg2_Fixed,2)="1/",uEvaluate(DCC_Leg2_Fixed),         _xll.qDateYears($BN140,$BN141,DCC_Leg2_Fixed)))</f>
        <v>0</v>
      </c>
      <c r="DD140" s="268">
        <f>IF($BN141,_xll.qDateYears($BN140,$BN141,DCC_Leg2_Float),0)</f>
        <v>0</v>
      </c>
      <c r="DF140" s="332">
        <f t="shared" si="63"/>
        <v>0</v>
      </c>
      <c r="DG140" s="357">
        <f t="shared" si="64"/>
        <v>0</v>
      </c>
      <c r="DH140" s="527"/>
      <c r="DJ140" s="324">
        <f t="shared" si="66"/>
        <v>0</v>
      </c>
      <c r="DK140" s="529"/>
      <c r="DL140" s="338"/>
    </row>
    <row r="141" spans="15:116">
      <c r="O141" s="121">
        <v>0</v>
      </c>
      <c r="P141" s="755">
        <f t="shared" si="35"/>
        <v>0</v>
      </c>
      <c r="Q141" s="125">
        <v>0</v>
      </c>
      <c r="R141" s="890">
        <f>IF(O142=0,0,         IF(OR(Currency1="AUD",Currency1="NZD",Currency1="GBP"),O141,   _xll.qDateNext(O141,"-2b",,,IF(Currency1="EUR","TGT","LON"))))</f>
        <v>0</v>
      </c>
      <c r="S141" s="879" t="str">
        <v/>
      </c>
      <c r="T141" s="879" t="str">
        <v/>
      </c>
      <c r="U141" s="879" t="str">
        <v/>
      </c>
      <c r="V141" s="879" t="str">
        <v/>
      </c>
      <c r="W141" s="879" t="str">
        <v/>
      </c>
      <c r="X141" s="879" t="str">
        <v/>
      </c>
      <c r="Y141" s="879" t="str">
        <v/>
      </c>
      <c r="Z141" s="879" t="str">
        <v/>
      </c>
      <c r="AA141" s="882">
        <f>IF($O142=0,0,        _xll.qDateNext($O141,AA$17,$AH$16,TRUE,Currency1))</f>
        <v>0</v>
      </c>
      <c r="AB141" s="882">
        <f>IF($O142=0,0,        _xll.qDateNext($O141,AB$17,$AH$16,TRUE,Currency1))</f>
        <v>0</v>
      </c>
      <c r="AC141" s="882">
        <f>IF($O142=0,0,        _xll.qDateNext($O141,AC$17,$AH$16,TRUE,Currency1))</f>
        <v>0</v>
      </c>
      <c r="AD141" s="882">
        <f>IF($O142=0,0,        _xll.qDateNext($O141,AD$17,$AH$16,TRUE,Currency1))</f>
        <v>0</v>
      </c>
      <c r="AE141" s="882">
        <f>IF($O142=0,0,        _xll.qDateNext($O141,AE$17,$AH$16,TRUE,Currency1))</f>
        <v>0</v>
      </c>
      <c r="AF141" s="882">
        <f>IF($O142=0,0,        _xll.qDateNext($O141,AF$17,$AH$16,TRUE,Currency1))</f>
        <v>0</v>
      </c>
      <c r="AG141" s="882">
        <f>IF($O142=0,0,        _xll.qDateNext($O141,AG$17,$AH$16,TRUE,Currency1))</f>
        <v>0</v>
      </c>
      <c r="AH141" s="882">
        <f>IF($O142=0,0,        _xll.qDateNext($O141,AH$17,$AH$16,TRUE,Currency1))</f>
        <v>0</v>
      </c>
      <c r="AI141" s="886">
        <f>IF($O142=0,0,           IF(FRM,_xll.qGetFwdRate(AI$14,$O141,AA141,"T",DCC_Leg1_Float),_xll.qGetFwdRate(AI$14,$O141,$O142,"T",DCC_Leg1_Float)))</f>
        <v>0</v>
      </c>
      <c r="AJ141" s="886">
        <f>IF($O142=0,0,           IF(FRM,_xll.qGetFwdRate(AJ$14,$O141,AB141,"T",DCC_Leg1_Float),_xll.qGetFwdRate(AJ$14,$O141,$O142,"T",DCC_Leg1_Float)))</f>
        <v>0</v>
      </c>
      <c r="AK141" s="886">
        <f t="shared" si="36"/>
        <v>0</v>
      </c>
      <c r="AL141" s="886">
        <f>IF($O142=0,0,           IF(FRM,_xll.qGetFwdRate(AL$14,$O141,AD141,"T",DCC_Leg1_Float),_xll.qGetFwdRate(AL$14,$O141,$O142,"T",DCC_Leg1_Float)))</f>
        <v>0</v>
      </c>
      <c r="AM141" s="886">
        <f t="shared" si="49"/>
        <v>0</v>
      </c>
      <c r="AN141" s="886">
        <f t="shared" si="50"/>
        <v>0</v>
      </c>
      <c r="AO141" s="886">
        <f>IF($O142=0,0,           IF(FRM,_xll.qGetFwdRate(AO$14,$O141,AG141,"T",DCC_Leg1_Float),_xll.qGetFwdRate(AO$14,$O141,$O142,"T",DCC_Leg1_Float)))</f>
        <v>0</v>
      </c>
      <c r="AP141" s="886">
        <f>IF($O142=0,0,           IF(FRM,_xll.qGetFwdRate(AP$14,$O141,AH141,"T",DCC_Leg1_Float),_xll.qGetFwdRate(AP$14,$O141,$O142,"T",DCC_Leg1_Float)))</f>
        <v>0</v>
      </c>
      <c r="AQ141" s="648">
        <f t="shared" si="51"/>
        <v>0</v>
      </c>
      <c r="AR141" s="648">
        <f t="shared" si="52"/>
        <v>0</v>
      </c>
      <c r="AS141" s="648">
        <f t="shared" si="53"/>
        <v>0</v>
      </c>
      <c r="AT141" s="648">
        <f t="shared" si="54"/>
        <v>0</v>
      </c>
      <c r="AU141" s="648">
        <f t="shared" si="55"/>
        <v>0</v>
      </c>
      <c r="AV141" s="648">
        <f t="shared" si="56"/>
        <v>0</v>
      </c>
      <c r="AW141" s="648">
        <f t="shared" si="57"/>
        <v>0</v>
      </c>
      <c r="AX141" s="648">
        <f t="shared" si="58"/>
        <v>0</v>
      </c>
      <c r="AY141" s="634">
        <v>0</v>
      </c>
      <c r="AZ141" s="616"/>
      <c r="BA141" s="619">
        <f>IF(O142=0,0,             IF(ISNUMBER(AZ141),AZ141,             IF(ISTEXT(AZ141),INDEX(AQ141:AX141,MATCH(AZ141,$AQ$17:$AX$17,0)),           IF(AY141="INT",_xll.qInterp(O142,AA141:AH141,AQ141:AX141),       INDEX(AQ141:AX141,MATCH(AY141,$AQ$17:$AX$17,0))))))</f>
        <v>0</v>
      </c>
      <c r="BB141" s="674">
        <v>100</v>
      </c>
      <c r="BC141" s="666">
        <f t="shared" si="37"/>
        <v>0</v>
      </c>
      <c r="BD141" s="268">
        <f>IF($O142=0,0,                IF(LEFT(DCC_Leg1_Fixed,2)="1/",uEvaluate(DCC_Leg1_Fixed),        _xll.qDateYears($O141,$O142,DCC_Leg1_Fixed)))</f>
        <v>0</v>
      </c>
      <c r="BE141" s="268">
        <f>IF($O142,_xll.qDateYears($O141,$O142,DCC_Leg1_Float),0)</f>
        <v>0</v>
      </c>
      <c r="BG141" s="332">
        <f t="shared" si="59"/>
        <v>0</v>
      </c>
      <c r="BH141" s="357">
        <f t="shared" si="60"/>
        <v>0</v>
      </c>
      <c r="BI141" s="527"/>
      <c r="BK141" s="324">
        <f t="shared" si="65"/>
        <v>0</v>
      </c>
      <c r="BM141" s="338"/>
      <c r="BN141" s="121">
        <v>0</v>
      </c>
      <c r="BO141" s="755">
        <f t="shared" si="38"/>
        <v>0</v>
      </c>
      <c r="BP141" s="339">
        <v>0</v>
      </c>
      <c r="BQ141" s="890">
        <f>IF(BN142=0,0,         IF(OR(Currency2="AUD",Currency1="NZD",Currency2="GBP"),BN141,   _xll.qDateNext(BN141,"-2b",,,IF(Currency2="EUR","TGT","LON"))))</f>
        <v>0</v>
      </c>
      <c r="BR141" s="879" t="str">
        <v/>
      </c>
      <c r="BS141" s="879" t="str">
        <v/>
      </c>
      <c r="BT141" s="879" t="str">
        <v/>
      </c>
      <c r="BU141" s="879" t="str">
        <v/>
      </c>
      <c r="BV141" s="879" t="str">
        <v/>
      </c>
      <c r="BW141" s="879" t="str">
        <v/>
      </c>
      <c r="BX141" s="879" t="str">
        <v/>
      </c>
      <c r="BY141" s="879" t="str">
        <v/>
      </c>
      <c r="BZ141" s="882">
        <f>IF($BN142=0,0,        _xll.qDateNext($BN141,BZ$17,$CG$16,TRUE,Currency2))</f>
        <v>0</v>
      </c>
      <c r="CA141" s="882">
        <f>IF($BN142=0,0,        _xll.qDateNext($BN141,CA$17,$CG$16,TRUE,Currency2))</f>
        <v>0</v>
      </c>
      <c r="CB141" s="882">
        <f>IF($BN142=0,0,        _xll.qDateNext($BN141,CB$17,$CG$16,TRUE,Currency2))</f>
        <v>0</v>
      </c>
      <c r="CC141" s="882">
        <f>IF($BN142=0,0,        _xll.qDateNext($BN141,CC$17,$CG$16,TRUE,Currency2))</f>
        <v>0</v>
      </c>
      <c r="CD141" s="882">
        <f>IF($BN142=0,0,        _xll.qDateNext($BN141,CD$17,$CG$16,TRUE,Currency2))</f>
        <v>0</v>
      </c>
      <c r="CE141" s="882">
        <f>IF($BN142=0,0,        _xll.qDateNext($BN141,CE$17,$CG$16,TRUE,Currency2))</f>
        <v>0</v>
      </c>
      <c r="CF141" s="882">
        <f>IF($BN142=0,0,        _xll.qDateNext($BN141,CF$17,$CG$16,TRUE,Currency2))</f>
        <v>0</v>
      </c>
      <c r="CG141" s="882">
        <f>IF($BN142=0,0,        _xll.qDateNext($BN141,CG$17,$CG$16,TRUE,Currency2))</f>
        <v>0</v>
      </c>
      <c r="CH141" s="886">
        <v>0</v>
      </c>
      <c r="CI141" s="886">
        <v>0</v>
      </c>
      <c r="CJ141" s="886">
        <v>0</v>
      </c>
      <c r="CK141" s="886">
        <v>0</v>
      </c>
      <c r="CL141" s="886">
        <f t="shared" si="61"/>
        <v>0</v>
      </c>
      <c r="CM141" s="886">
        <f t="shared" si="62"/>
        <v>0</v>
      </c>
      <c r="CN141" s="886">
        <v>0</v>
      </c>
      <c r="CO141" s="886">
        <v>0</v>
      </c>
      <c r="CP141" s="648">
        <f t="shared" si="39"/>
        <v>0</v>
      </c>
      <c r="CQ141" s="648">
        <f t="shared" si="40"/>
        <v>0</v>
      </c>
      <c r="CR141" s="648">
        <f t="shared" si="41"/>
        <v>0</v>
      </c>
      <c r="CS141" s="648">
        <f t="shared" si="42"/>
        <v>0</v>
      </c>
      <c r="CT141" s="648">
        <f t="shared" si="43"/>
        <v>0</v>
      </c>
      <c r="CU141" s="648">
        <f t="shared" si="44"/>
        <v>0</v>
      </c>
      <c r="CV141" s="648">
        <f t="shared" si="45"/>
        <v>0</v>
      </c>
      <c r="CW141" s="648">
        <f t="shared" si="46"/>
        <v>0</v>
      </c>
      <c r="CX141" s="634">
        <v>0</v>
      </c>
      <c r="CY141" s="616"/>
      <c r="CZ141" s="619">
        <f>IF(BN142=0,0,             IF(ISNUMBER(CY141),CY141,             IF(ISTEXT(CY141),INDEX(CP141:CW141,MATCH(CY141,$CP$17:$CW$17,0)),           IF(CX141="INT",_xll.qInterp(BN142,BZ141:CG141,CP141:CW141),       INDEX(CP141:CW141,MATCH(CX141,$CP$17:$CW$17,0))))))</f>
        <v>0</v>
      </c>
      <c r="DA141" s="755">
        <f t="shared" si="47"/>
        <v>0</v>
      </c>
      <c r="DB141" s="387">
        <f t="shared" si="48"/>
        <v>0</v>
      </c>
      <c r="DC141" s="268">
        <f>IF($BN142=0,0,         IF(LEFT(DCC_Leg2_Fixed,2)="1/",uEvaluate(DCC_Leg2_Fixed),         _xll.qDateYears($BN141,$BN142,DCC_Leg2_Fixed)))</f>
        <v>0</v>
      </c>
      <c r="DD141" s="268">
        <f>IF($BN142,_xll.qDateYears($BN141,$BN142,DCC_Leg2_Float),0)</f>
        <v>0</v>
      </c>
      <c r="DF141" s="332">
        <f t="shared" si="63"/>
        <v>0</v>
      </c>
      <c r="DG141" s="357">
        <f t="shared" si="64"/>
        <v>0</v>
      </c>
      <c r="DH141" s="527"/>
      <c r="DJ141" s="324">
        <f t="shared" si="66"/>
        <v>0</v>
      </c>
      <c r="DK141" s="529"/>
      <c r="DL141" s="338"/>
    </row>
    <row r="142" spans="15:116">
      <c r="O142" s="121">
        <v>0</v>
      </c>
      <c r="P142" s="755">
        <f t="shared" si="35"/>
        <v>0</v>
      </c>
      <c r="Q142" s="125">
        <v>0</v>
      </c>
      <c r="R142" s="890">
        <f>IF(O143=0,0,         IF(OR(Currency1="AUD",Currency1="NZD",Currency1="GBP"),O142,   _xll.qDateNext(O142,"-2b",,,IF(Currency1="EUR","TGT","LON"))))</f>
        <v>0</v>
      </c>
      <c r="S142" s="879" t="str">
        <v/>
      </c>
      <c r="T142" s="879" t="str">
        <v/>
      </c>
      <c r="U142" s="879" t="str">
        <v/>
      </c>
      <c r="V142" s="879" t="str">
        <v/>
      </c>
      <c r="W142" s="879" t="str">
        <v/>
      </c>
      <c r="X142" s="879" t="str">
        <v/>
      </c>
      <c r="Y142" s="879" t="str">
        <v/>
      </c>
      <c r="Z142" s="879" t="str">
        <v/>
      </c>
      <c r="AA142" s="882">
        <f>IF($O143=0,0,        _xll.qDateNext($O142,AA$17,$AH$16,TRUE,Currency1))</f>
        <v>0</v>
      </c>
      <c r="AB142" s="882">
        <f>IF($O143=0,0,        _xll.qDateNext($O142,AB$17,$AH$16,TRUE,Currency1))</f>
        <v>0</v>
      </c>
      <c r="AC142" s="882">
        <f>IF($O143=0,0,        _xll.qDateNext($O142,AC$17,$AH$16,TRUE,Currency1))</f>
        <v>0</v>
      </c>
      <c r="AD142" s="882">
        <f>IF($O143=0,0,        _xll.qDateNext($O142,AD$17,$AH$16,TRUE,Currency1))</f>
        <v>0</v>
      </c>
      <c r="AE142" s="882">
        <f>IF($O143=0,0,        _xll.qDateNext($O142,AE$17,$AH$16,TRUE,Currency1))</f>
        <v>0</v>
      </c>
      <c r="AF142" s="882">
        <f>IF($O143=0,0,        _xll.qDateNext($O142,AF$17,$AH$16,TRUE,Currency1))</f>
        <v>0</v>
      </c>
      <c r="AG142" s="882">
        <f>IF($O143=0,0,        _xll.qDateNext($O142,AG$17,$AH$16,TRUE,Currency1))</f>
        <v>0</v>
      </c>
      <c r="AH142" s="882">
        <f>IF($O143=0,0,        _xll.qDateNext($O142,AH$17,$AH$16,TRUE,Currency1))</f>
        <v>0</v>
      </c>
      <c r="AI142" s="886">
        <f>IF($O143=0,0,           IF(FRM,_xll.qGetFwdRate(AI$14,$O142,AA142,"T",DCC_Leg1_Float),_xll.qGetFwdRate(AI$14,$O142,$O143,"T",DCC_Leg1_Float)))</f>
        <v>0</v>
      </c>
      <c r="AJ142" s="886">
        <f>IF($O143=0,0,           IF(FRM,_xll.qGetFwdRate(AJ$14,$O142,AB142,"T",DCC_Leg1_Float),_xll.qGetFwdRate(AJ$14,$O142,$O143,"T",DCC_Leg1_Float)))</f>
        <v>0</v>
      </c>
      <c r="AK142" s="886">
        <f t="shared" si="36"/>
        <v>0</v>
      </c>
      <c r="AL142" s="886">
        <f>IF($O143=0,0,           IF(FRM,_xll.qGetFwdRate(AL$14,$O142,AD142,"T",DCC_Leg1_Float),_xll.qGetFwdRate(AL$14,$O142,$O143,"T",DCC_Leg1_Float)))</f>
        <v>0</v>
      </c>
      <c r="AM142" s="886">
        <f t="shared" si="49"/>
        <v>0</v>
      </c>
      <c r="AN142" s="886">
        <f t="shared" si="50"/>
        <v>0</v>
      </c>
      <c r="AO142" s="886">
        <f>IF($O143=0,0,           IF(FRM,_xll.qGetFwdRate(AO$14,$O142,AG142,"T",DCC_Leg1_Float),_xll.qGetFwdRate(AO$14,$O142,$O143,"T",DCC_Leg1_Float)))</f>
        <v>0</v>
      </c>
      <c r="AP142" s="886">
        <f>IF($O143=0,0,           IF(FRM,_xll.qGetFwdRate(AP$14,$O142,AH142,"T",DCC_Leg1_Float),_xll.qGetFwdRate(AP$14,$O142,$O143,"T",DCC_Leg1_Float)))</f>
        <v>0</v>
      </c>
      <c r="AQ142" s="648">
        <f t="shared" si="51"/>
        <v>0</v>
      </c>
      <c r="AR142" s="648">
        <f t="shared" si="52"/>
        <v>0</v>
      </c>
      <c r="AS142" s="648">
        <f t="shared" si="53"/>
        <v>0</v>
      </c>
      <c r="AT142" s="648">
        <f t="shared" si="54"/>
        <v>0</v>
      </c>
      <c r="AU142" s="648">
        <f t="shared" si="55"/>
        <v>0</v>
      </c>
      <c r="AV142" s="648">
        <f t="shared" si="56"/>
        <v>0</v>
      </c>
      <c r="AW142" s="648">
        <f t="shared" si="57"/>
        <v>0</v>
      </c>
      <c r="AX142" s="648">
        <f t="shared" si="58"/>
        <v>0</v>
      </c>
      <c r="AY142" s="634">
        <v>0</v>
      </c>
      <c r="AZ142" s="616"/>
      <c r="BA142" s="619">
        <f>IF(O143=0,0,             IF(ISNUMBER(AZ142),AZ142,             IF(ISTEXT(AZ142),INDEX(AQ142:AX142,MATCH(AZ142,$AQ$17:$AX$17,0)),           IF(AY142="INT",_xll.qInterp(O143,AA142:AH142,AQ142:AX142),       INDEX(AQ142:AX142,MATCH(AY142,$AQ$17:$AX$17,0))))))</f>
        <v>0</v>
      </c>
      <c r="BB142" s="674">
        <v>100</v>
      </c>
      <c r="BC142" s="666">
        <f t="shared" si="37"/>
        <v>0</v>
      </c>
      <c r="BD142" s="268">
        <f>IF($O143=0,0,                IF(LEFT(DCC_Leg1_Fixed,2)="1/",uEvaluate(DCC_Leg1_Fixed),        _xll.qDateYears($O142,$O143,DCC_Leg1_Fixed)))</f>
        <v>0</v>
      </c>
      <c r="BE142" s="268">
        <f>IF($O143,_xll.qDateYears($O142,$O143,DCC_Leg1_Float),0)</f>
        <v>0</v>
      </c>
      <c r="BG142" s="332">
        <f t="shared" si="59"/>
        <v>0</v>
      </c>
      <c r="BH142" s="357">
        <f t="shared" si="60"/>
        <v>0</v>
      </c>
      <c r="BI142" s="527"/>
      <c r="BK142" s="324">
        <f t="shared" si="65"/>
        <v>0</v>
      </c>
      <c r="BM142" s="338"/>
      <c r="BN142" s="121">
        <v>0</v>
      </c>
      <c r="BO142" s="755">
        <f t="shared" si="38"/>
        <v>0</v>
      </c>
      <c r="BP142" s="339">
        <v>0</v>
      </c>
      <c r="BQ142" s="890">
        <f>IF(BN143=0,0,         IF(OR(Currency2="AUD",Currency1="NZD",Currency2="GBP"),BN142,   _xll.qDateNext(BN142,"-2b",,,IF(Currency2="EUR","TGT","LON"))))</f>
        <v>0</v>
      </c>
      <c r="BR142" s="879" t="str">
        <v/>
      </c>
      <c r="BS142" s="879" t="str">
        <v/>
      </c>
      <c r="BT142" s="879" t="str">
        <v/>
      </c>
      <c r="BU142" s="879" t="str">
        <v/>
      </c>
      <c r="BV142" s="879" t="str">
        <v/>
      </c>
      <c r="BW142" s="879" t="str">
        <v/>
      </c>
      <c r="BX142" s="879" t="str">
        <v/>
      </c>
      <c r="BY142" s="879" t="str">
        <v/>
      </c>
      <c r="BZ142" s="882">
        <f>IF($BN143=0,0,        _xll.qDateNext($BN142,BZ$17,$CG$16,TRUE,Currency2))</f>
        <v>0</v>
      </c>
      <c r="CA142" s="882">
        <f>IF($BN143=0,0,        _xll.qDateNext($BN142,CA$17,$CG$16,TRUE,Currency2))</f>
        <v>0</v>
      </c>
      <c r="CB142" s="882">
        <f>IF($BN143=0,0,        _xll.qDateNext($BN142,CB$17,$CG$16,TRUE,Currency2))</f>
        <v>0</v>
      </c>
      <c r="CC142" s="882">
        <f>IF($BN143=0,0,        _xll.qDateNext($BN142,CC$17,$CG$16,TRUE,Currency2))</f>
        <v>0</v>
      </c>
      <c r="CD142" s="882">
        <f>IF($BN143=0,0,        _xll.qDateNext($BN142,CD$17,$CG$16,TRUE,Currency2))</f>
        <v>0</v>
      </c>
      <c r="CE142" s="882">
        <f>IF($BN143=0,0,        _xll.qDateNext($BN142,CE$17,$CG$16,TRUE,Currency2))</f>
        <v>0</v>
      </c>
      <c r="CF142" s="882">
        <f>IF($BN143=0,0,        _xll.qDateNext($BN142,CF$17,$CG$16,TRUE,Currency2))</f>
        <v>0</v>
      </c>
      <c r="CG142" s="882">
        <f>IF($BN143=0,0,        _xll.qDateNext($BN142,CG$17,$CG$16,TRUE,Currency2))</f>
        <v>0</v>
      </c>
      <c r="CH142" s="886">
        <v>0</v>
      </c>
      <c r="CI142" s="886">
        <v>0</v>
      </c>
      <c r="CJ142" s="886">
        <v>0</v>
      </c>
      <c r="CK142" s="886">
        <v>0</v>
      </c>
      <c r="CL142" s="886">
        <f t="shared" si="61"/>
        <v>0</v>
      </c>
      <c r="CM142" s="886">
        <f t="shared" si="62"/>
        <v>0</v>
      </c>
      <c r="CN142" s="886">
        <v>0</v>
      </c>
      <c r="CO142" s="886">
        <v>0</v>
      </c>
      <c r="CP142" s="648">
        <f t="shared" si="39"/>
        <v>0</v>
      </c>
      <c r="CQ142" s="648">
        <f t="shared" si="40"/>
        <v>0</v>
      </c>
      <c r="CR142" s="648">
        <f t="shared" si="41"/>
        <v>0</v>
      </c>
      <c r="CS142" s="648">
        <f t="shared" si="42"/>
        <v>0</v>
      </c>
      <c r="CT142" s="648">
        <f t="shared" si="43"/>
        <v>0</v>
      </c>
      <c r="CU142" s="648">
        <f t="shared" si="44"/>
        <v>0</v>
      </c>
      <c r="CV142" s="648">
        <f t="shared" si="45"/>
        <v>0</v>
      </c>
      <c r="CW142" s="648">
        <f t="shared" si="46"/>
        <v>0</v>
      </c>
      <c r="CX142" s="634">
        <v>0</v>
      </c>
      <c r="CY142" s="616"/>
      <c r="CZ142" s="619">
        <f>IF(BN143=0,0,             IF(ISNUMBER(CY142),CY142,             IF(ISTEXT(CY142),INDEX(CP142:CW142,MATCH(CY142,$CP$17:$CW$17,0)),           IF(CX142="INT",_xll.qInterp(BN143,BZ142:CG142,CP142:CW142),       INDEX(CP142:CW142,MATCH(CX142,$CP$17:$CW$17,0))))))</f>
        <v>0</v>
      </c>
      <c r="DA142" s="755">
        <f t="shared" si="47"/>
        <v>0</v>
      </c>
      <c r="DB142" s="387">
        <f t="shared" si="48"/>
        <v>0</v>
      </c>
      <c r="DC142" s="268">
        <f>IF($BN143=0,0,         IF(LEFT(DCC_Leg2_Fixed,2)="1/",uEvaluate(DCC_Leg2_Fixed),         _xll.qDateYears($BN142,$BN143,DCC_Leg2_Fixed)))</f>
        <v>0</v>
      </c>
      <c r="DD142" s="268">
        <f>IF($BN143,_xll.qDateYears($BN142,$BN143,DCC_Leg2_Float),0)</f>
        <v>0</v>
      </c>
      <c r="DF142" s="332">
        <f t="shared" si="63"/>
        <v>0</v>
      </c>
      <c r="DG142" s="357">
        <f t="shared" si="64"/>
        <v>0</v>
      </c>
      <c r="DH142" s="527"/>
      <c r="DJ142" s="324">
        <f t="shared" si="66"/>
        <v>0</v>
      </c>
      <c r="DK142" s="529"/>
      <c r="DL142" s="338"/>
    </row>
    <row r="143" spans="15:116">
      <c r="O143" s="121">
        <v>0</v>
      </c>
      <c r="P143" s="755">
        <f t="shared" si="35"/>
        <v>0</v>
      </c>
      <c r="Q143" s="125">
        <v>0</v>
      </c>
      <c r="R143" s="890">
        <f>IF(O144=0,0,         IF(OR(Currency1="AUD",Currency1="NZD",Currency1="GBP"),O143,   _xll.qDateNext(O143,"-2b",,,IF(Currency1="EUR","TGT","LON"))))</f>
        <v>0</v>
      </c>
      <c r="S143" s="879" t="str">
        <v/>
      </c>
      <c r="T143" s="879" t="str">
        <v/>
      </c>
      <c r="U143" s="879" t="str">
        <v/>
      </c>
      <c r="V143" s="879" t="str">
        <v/>
      </c>
      <c r="W143" s="879" t="str">
        <v/>
      </c>
      <c r="X143" s="879" t="str">
        <v/>
      </c>
      <c r="Y143" s="879" t="str">
        <v/>
      </c>
      <c r="Z143" s="879" t="str">
        <v/>
      </c>
      <c r="AA143" s="882">
        <f>IF($O144=0,0,        _xll.qDateNext($O143,AA$17,$AH$16,TRUE,Currency1))</f>
        <v>0</v>
      </c>
      <c r="AB143" s="882">
        <f>IF($O144=0,0,        _xll.qDateNext($O143,AB$17,$AH$16,TRUE,Currency1))</f>
        <v>0</v>
      </c>
      <c r="AC143" s="882">
        <f>IF($O144=0,0,        _xll.qDateNext($O143,AC$17,$AH$16,TRUE,Currency1))</f>
        <v>0</v>
      </c>
      <c r="AD143" s="882">
        <f>IF($O144=0,0,        _xll.qDateNext($O143,AD$17,$AH$16,TRUE,Currency1))</f>
        <v>0</v>
      </c>
      <c r="AE143" s="882">
        <f>IF($O144=0,0,        _xll.qDateNext($O143,AE$17,$AH$16,TRUE,Currency1))</f>
        <v>0</v>
      </c>
      <c r="AF143" s="882">
        <f>IF($O144=0,0,        _xll.qDateNext($O143,AF$17,$AH$16,TRUE,Currency1))</f>
        <v>0</v>
      </c>
      <c r="AG143" s="882">
        <f>IF($O144=0,0,        _xll.qDateNext($O143,AG$17,$AH$16,TRUE,Currency1))</f>
        <v>0</v>
      </c>
      <c r="AH143" s="882">
        <f>IF($O144=0,0,        _xll.qDateNext($O143,AH$17,$AH$16,TRUE,Currency1))</f>
        <v>0</v>
      </c>
      <c r="AI143" s="886">
        <f>IF($O144=0,0,           IF(FRM,_xll.qGetFwdRate(AI$14,$O143,AA143,"T",DCC_Leg1_Float),_xll.qGetFwdRate(AI$14,$O143,$O144,"T",DCC_Leg1_Float)))</f>
        <v>0</v>
      </c>
      <c r="AJ143" s="886">
        <f>IF($O144=0,0,           IF(FRM,_xll.qGetFwdRate(AJ$14,$O143,AB143,"T",DCC_Leg1_Float),_xll.qGetFwdRate(AJ$14,$O143,$O144,"T",DCC_Leg1_Float)))</f>
        <v>0</v>
      </c>
      <c r="AK143" s="886">
        <f t="shared" si="36"/>
        <v>0</v>
      </c>
      <c r="AL143" s="886">
        <f>IF($O144=0,0,           IF(FRM,_xll.qGetFwdRate(AL$14,$O143,AD143,"T",DCC_Leg1_Float),_xll.qGetFwdRate(AL$14,$O143,$O144,"T",DCC_Leg1_Float)))</f>
        <v>0</v>
      </c>
      <c r="AM143" s="886">
        <f t="shared" si="49"/>
        <v>0</v>
      </c>
      <c r="AN143" s="886">
        <f t="shared" si="50"/>
        <v>0</v>
      </c>
      <c r="AO143" s="886">
        <f>IF($O144=0,0,           IF(FRM,_xll.qGetFwdRate(AO$14,$O143,AG143,"T",DCC_Leg1_Float),_xll.qGetFwdRate(AO$14,$O143,$O144,"T",DCC_Leg1_Float)))</f>
        <v>0</v>
      </c>
      <c r="AP143" s="886">
        <f>IF($O144=0,0,           IF(FRM,_xll.qGetFwdRate(AP$14,$O143,AH143,"T",DCC_Leg1_Float),_xll.qGetFwdRate(AP$14,$O143,$O144,"T",DCC_Leg1_Float)))</f>
        <v>0</v>
      </c>
      <c r="AQ143" s="648">
        <f t="shared" si="51"/>
        <v>0</v>
      </c>
      <c r="AR143" s="648">
        <f t="shared" si="52"/>
        <v>0</v>
      </c>
      <c r="AS143" s="648">
        <f t="shared" si="53"/>
        <v>0</v>
      </c>
      <c r="AT143" s="648">
        <f t="shared" si="54"/>
        <v>0</v>
      </c>
      <c r="AU143" s="648">
        <f t="shared" si="55"/>
        <v>0</v>
      </c>
      <c r="AV143" s="648">
        <f t="shared" si="56"/>
        <v>0</v>
      </c>
      <c r="AW143" s="648">
        <f t="shared" si="57"/>
        <v>0</v>
      </c>
      <c r="AX143" s="648">
        <f t="shared" si="58"/>
        <v>0</v>
      </c>
      <c r="AY143" s="634">
        <v>0</v>
      </c>
      <c r="AZ143" s="616"/>
      <c r="BA143" s="619">
        <f>IF(O144=0,0,             IF(ISNUMBER(AZ143),AZ143,             IF(ISTEXT(AZ143),INDEX(AQ143:AX143,MATCH(AZ143,$AQ$17:$AX$17,0)),           IF(AY143="INT",_xll.qInterp(O144,AA143:AH143,AQ143:AX143),       INDEX(AQ143:AX143,MATCH(AY143,$AQ$17:$AX$17,0))))))</f>
        <v>0</v>
      </c>
      <c r="BB143" s="674">
        <v>100</v>
      </c>
      <c r="BC143" s="666">
        <f t="shared" si="37"/>
        <v>0</v>
      </c>
      <c r="BD143" s="268">
        <f>IF($O144=0,0,                IF(LEFT(DCC_Leg1_Fixed,2)="1/",uEvaluate(DCC_Leg1_Fixed),        _xll.qDateYears($O143,$O144,DCC_Leg1_Fixed)))</f>
        <v>0</v>
      </c>
      <c r="BE143" s="268">
        <f>IF($O144,_xll.qDateYears($O143,$O144,DCC_Leg1_Float),0)</f>
        <v>0</v>
      </c>
      <c r="BG143" s="332">
        <f t="shared" si="59"/>
        <v>0</v>
      </c>
      <c r="BH143" s="357">
        <f t="shared" si="60"/>
        <v>0</v>
      </c>
      <c r="BI143" s="527"/>
      <c r="BK143" s="324">
        <f t="shared" si="65"/>
        <v>0</v>
      </c>
      <c r="BM143" s="338"/>
      <c r="BN143" s="121">
        <v>0</v>
      </c>
      <c r="BO143" s="755">
        <f t="shared" si="38"/>
        <v>0</v>
      </c>
      <c r="BP143" s="339">
        <v>0</v>
      </c>
      <c r="BQ143" s="890">
        <f>IF(BN144=0,0,         IF(OR(Currency2="AUD",Currency1="NZD",Currency2="GBP"),BN143,   _xll.qDateNext(BN143,"-2b",,,IF(Currency2="EUR","TGT","LON"))))</f>
        <v>0</v>
      </c>
      <c r="BR143" s="879" t="str">
        <v/>
      </c>
      <c r="BS143" s="879" t="str">
        <v/>
      </c>
      <c r="BT143" s="879" t="str">
        <v/>
      </c>
      <c r="BU143" s="879" t="str">
        <v/>
      </c>
      <c r="BV143" s="879" t="str">
        <v/>
      </c>
      <c r="BW143" s="879" t="str">
        <v/>
      </c>
      <c r="BX143" s="879" t="str">
        <v/>
      </c>
      <c r="BY143" s="879" t="str">
        <v/>
      </c>
      <c r="BZ143" s="882">
        <f>IF($BN144=0,0,        _xll.qDateNext($BN143,BZ$17,$CG$16,TRUE,Currency2))</f>
        <v>0</v>
      </c>
      <c r="CA143" s="882">
        <f>IF($BN144=0,0,        _xll.qDateNext($BN143,CA$17,$CG$16,TRUE,Currency2))</f>
        <v>0</v>
      </c>
      <c r="CB143" s="882">
        <f>IF($BN144=0,0,        _xll.qDateNext($BN143,CB$17,$CG$16,TRUE,Currency2))</f>
        <v>0</v>
      </c>
      <c r="CC143" s="882">
        <f>IF($BN144=0,0,        _xll.qDateNext($BN143,CC$17,$CG$16,TRUE,Currency2))</f>
        <v>0</v>
      </c>
      <c r="CD143" s="882">
        <f>IF($BN144=0,0,        _xll.qDateNext($BN143,CD$17,$CG$16,TRUE,Currency2))</f>
        <v>0</v>
      </c>
      <c r="CE143" s="882">
        <f>IF($BN144=0,0,        _xll.qDateNext($BN143,CE$17,$CG$16,TRUE,Currency2))</f>
        <v>0</v>
      </c>
      <c r="CF143" s="882">
        <f>IF($BN144=0,0,        _xll.qDateNext($BN143,CF$17,$CG$16,TRUE,Currency2))</f>
        <v>0</v>
      </c>
      <c r="CG143" s="882">
        <f>IF($BN144=0,0,        _xll.qDateNext($BN143,CG$17,$CG$16,TRUE,Currency2))</f>
        <v>0</v>
      </c>
      <c r="CH143" s="886">
        <v>0</v>
      </c>
      <c r="CI143" s="886">
        <v>0</v>
      </c>
      <c r="CJ143" s="886">
        <v>0</v>
      </c>
      <c r="CK143" s="886">
        <v>0</v>
      </c>
      <c r="CL143" s="886">
        <f t="shared" si="61"/>
        <v>0</v>
      </c>
      <c r="CM143" s="886">
        <f t="shared" si="62"/>
        <v>0</v>
      </c>
      <c r="CN143" s="886">
        <v>0</v>
      </c>
      <c r="CO143" s="886">
        <v>0</v>
      </c>
      <c r="CP143" s="648">
        <f t="shared" si="39"/>
        <v>0</v>
      </c>
      <c r="CQ143" s="648">
        <f t="shared" si="40"/>
        <v>0</v>
      </c>
      <c r="CR143" s="648">
        <f t="shared" si="41"/>
        <v>0</v>
      </c>
      <c r="CS143" s="648">
        <f t="shared" si="42"/>
        <v>0</v>
      </c>
      <c r="CT143" s="648">
        <f t="shared" si="43"/>
        <v>0</v>
      </c>
      <c r="CU143" s="648">
        <f t="shared" si="44"/>
        <v>0</v>
      </c>
      <c r="CV143" s="648">
        <f t="shared" si="45"/>
        <v>0</v>
      </c>
      <c r="CW143" s="648">
        <f t="shared" si="46"/>
        <v>0</v>
      </c>
      <c r="CX143" s="634">
        <v>0</v>
      </c>
      <c r="CY143" s="616"/>
      <c r="CZ143" s="619">
        <f>IF(BN144=0,0,             IF(ISNUMBER(CY143),CY143,             IF(ISTEXT(CY143),INDEX(CP143:CW143,MATCH(CY143,$CP$17:$CW$17,0)),           IF(CX143="INT",_xll.qInterp(BN144,BZ143:CG143,CP143:CW143),       INDEX(CP143:CW143,MATCH(CX143,$CP$17:$CW$17,0))))))</f>
        <v>0</v>
      </c>
      <c r="DA143" s="755">
        <f t="shared" si="47"/>
        <v>0</v>
      </c>
      <c r="DB143" s="387">
        <f t="shared" si="48"/>
        <v>0</v>
      </c>
      <c r="DC143" s="268">
        <f>IF($BN144=0,0,         IF(LEFT(DCC_Leg2_Fixed,2)="1/",uEvaluate(DCC_Leg2_Fixed),         _xll.qDateYears($BN143,$BN144,DCC_Leg2_Fixed)))</f>
        <v>0</v>
      </c>
      <c r="DD143" s="268">
        <f>IF($BN144,_xll.qDateYears($BN143,$BN144,DCC_Leg2_Float),0)</f>
        <v>0</v>
      </c>
      <c r="DF143" s="332">
        <f t="shared" si="63"/>
        <v>0</v>
      </c>
      <c r="DG143" s="357">
        <f t="shared" si="64"/>
        <v>0</v>
      </c>
      <c r="DH143" s="527"/>
      <c r="DJ143" s="324">
        <f t="shared" si="66"/>
        <v>0</v>
      </c>
      <c r="DK143" s="529"/>
      <c r="DL143" s="338"/>
    </row>
    <row r="144" spans="15:116">
      <c r="O144" s="121">
        <v>0</v>
      </c>
      <c r="P144" s="755">
        <f t="shared" si="35"/>
        <v>0</v>
      </c>
      <c r="Q144" s="125">
        <v>0</v>
      </c>
      <c r="R144" s="890">
        <f>IF(O145=0,0,         IF(OR(Currency1="AUD",Currency1="NZD",Currency1="GBP"),O144,   _xll.qDateNext(O144,"-2b",,,IF(Currency1="EUR","TGT","LON"))))</f>
        <v>0</v>
      </c>
      <c r="S144" s="879" t="str">
        <v/>
      </c>
      <c r="T144" s="879" t="str">
        <v/>
      </c>
      <c r="U144" s="879" t="str">
        <v/>
      </c>
      <c r="V144" s="879" t="str">
        <v/>
      </c>
      <c r="W144" s="879" t="str">
        <v/>
      </c>
      <c r="X144" s="879" t="str">
        <v/>
      </c>
      <c r="Y144" s="879" t="str">
        <v/>
      </c>
      <c r="Z144" s="879" t="str">
        <v/>
      </c>
      <c r="AA144" s="882">
        <f>IF($O145=0,0,        _xll.qDateNext($O144,AA$17,$AH$16,TRUE,Currency1))</f>
        <v>0</v>
      </c>
      <c r="AB144" s="882">
        <f>IF($O145=0,0,        _xll.qDateNext($O144,AB$17,$AH$16,TRUE,Currency1))</f>
        <v>0</v>
      </c>
      <c r="AC144" s="882">
        <f>IF($O145=0,0,        _xll.qDateNext($O144,AC$17,$AH$16,TRUE,Currency1))</f>
        <v>0</v>
      </c>
      <c r="AD144" s="882">
        <f>IF($O145=0,0,        _xll.qDateNext($O144,AD$17,$AH$16,TRUE,Currency1))</f>
        <v>0</v>
      </c>
      <c r="AE144" s="882">
        <f>IF($O145=0,0,        _xll.qDateNext($O144,AE$17,$AH$16,TRUE,Currency1))</f>
        <v>0</v>
      </c>
      <c r="AF144" s="882">
        <f>IF($O145=0,0,        _xll.qDateNext($O144,AF$17,$AH$16,TRUE,Currency1))</f>
        <v>0</v>
      </c>
      <c r="AG144" s="882">
        <f>IF($O145=0,0,        _xll.qDateNext($O144,AG$17,$AH$16,TRUE,Currency1))</f>
        <v>0</v>
      </c>
      <c r="AH144" s="882">
        <f>IF($O145=0,0,        _xll.qDateNext($O144,AH$17,$AH$16,TRUE,Currency1))</f>
        <v>0</v>
      </c>
      <c r="AI144" s="886">
        <f>IF($O145=0,0,           IF(FRM,_xll.qGetFwdRate(AI$14,$O144,AA144,"T",DCC_Leg1_Float),_xll.qGetFwdRate(AI$14,$O144,$O145,"T",DCC_Leg1_Float)))</f>
        <v>0</v>
      </c>
      <c r="AJ144" s="886">
        <f>IF($O145=0,0,           IF(FRM,_xll.qGetFwdRate(AJ$14,$O144,AB144,"T",DCC_Leg1_Float),_xll.qGetFwdRate(AJ$14,$O144,$O145,"T",DCC_Leg1_Float)))</f>
        <v>0</v>
      </c>
      <c r="AK144" s="886">
        <f t="shared" si="36"/>
        <v>0</v>
      </c>
      <c r="AL144" s="886">
        <f>IF($O145=0,0,           IF(FRM,_xll.qGetFwdRate(AL$14,$O144,AD144,"T",DCC_Leg1_Float),_xll.qGetFwdRate(AL$14,$O144,$O145,"T",DCC_Leg1_Float)))</f>
        <v>0</v>
      </c>
      <c r="AM144" s="886">
        <f t="shared" si="49"/>
        <v>0</v>
      </c>
      <c r="AN144" s="886">
        <f t="shared" si="50"/>
        <v>0</v>
      </c>
      <c r="AO144" s="886">
        <f>IF($O145=0,0,           IF(FRM,_xll.qGetFwdRate(AO$14,$O144,AG144,"T",DCC_Leg1_Float),_xll.qGetFwdRate(AO$14,$O144,$O145,"T",DCC_Leg1_Float)))</f>
        <v>0</v>
      </c>
      <c r="AP144" s="886">
        <f>IF($O145=0,0,           IF(FRM,_xll.qGetFwdRate(AP$14,$O144,AH144,"T",DCC_Leg1_Float),_xll.qGetFwdRate(AP$14,$O144,$O145,"T",DCC_Leg1_Float)))</f>
        <v>0</v>
      </c>
      <c r="AQ144" s="648">
        <f t="shared" si="51"/>
        <v>0</v>
      </c>
      <c r="AR144" s="648">
        <f t="shared" si="52"/>
        <v>0</v>
      </c>
      <c r="AS144" s="648">
        <f t="shared" si="53"/>
        <v>0</v>
      </c>
      <c r="AT144" s="648">
        <f t="shared" si="54"/>
        <v>0</v>
      </c>
      <c r="AU144" s="648">
        <f t="shared" si="55"/>
        <v>0</v>
      </c>
      <c r="AV144" s="648">
        <f t="shared" si="56"/>
        <v>0</v>
      </c>
      <c r="AW144" s="648">
        <f t="shared" si="57"/>
        <v>0</v>
      </c>
      <c r="AX144" s="648">
        <f t="shared" si="58"/>
        <v>0</v>
      </c>
      <c r="AY144" s="634">
        <v>0</v>
      </c>
      <c r="AZ144" s="616"/>
      <c r="BA144" s="619">
        <f>IF(O145=0,0,             IF(ISNUMBER(AZ144),AZ144,             IF(ISTEXT(AZ144),INDEX(AQ144:AX144,MATCH(AZ144,$AQ$17:$AX$17,0)),           IF(AY144="INT",_xll.qInterp(O145,AA144:AH144,AQ144:AX144),       INDEX(AQ144:AX144,MATCH(AY144,$AQ$17:$AX$17,0))))))</f>
        <v>0</v>
      </c>
      <c r="BB144" s="674">
        <v>100</v>
      </c>
      <c r="BC144" s="666">
        <f t="shared" si="37"/>
        <v>0</v>
      </c>
      <c r="BD144" s="268">
        <f>IF($O145=0,0,                IF(LEFT(DCC_Leg1_Fixed,2)="1/",uEvaluate(DCC_Leg1_Fixed),        _xll.qDateYears($O144,$O145,DCC_Leg1_Fixed)))</f>
        <v>0</v>
      </c>
      <c r="BE144" s="268">
        <f>IF($O145,_xll.qDateYears($O144,$O145,DCC_Leg1_Float),0)</f>
        <v>0</v>
      </c>
      <c r="BG144" s="332">
        <f t="shared" si="59"/>
        <v>0</v>
      </c>
      <c r="BH144" s="357">
        <f t="shared" si="60"/>
        <v>0</v>
      </c>
      <c r="BI144" s="527"/>
      <c r="BK144" s="324">
        <f t="shared" si="65"/>
        <v>0</v>
      </c>
      <c r="BM144" s="338"/>
      <c r="BN144" s="121">
        <v>0</v>
      </c>
      <c r="BO144" s="755">
        <f t="shared" si="38"/>
        <v>0</v>
      </c>
      <c r="BP144" s="339">
        <v>0</v>
      </c>
      <c r="BQ144" s="890">
        <f>IF(BN145=0,0,         IF(OR(Currency2="AUD",Currency1="NZD",Currency2="GBP"),BN144,   _xll.qDateNext(BN144,"-2b",,,IF(Currency2="EUR","TGT","LON"))))</f>
        <v>0</v>
      </c>
      <c r="BR144" s="879" t="str">
        <v/>
      </c>
      <c r="BS144" s="879" t="str">
        <v/>
      </c>
      <c r="BT144" s="879" t="str">
        <v/>
      </c>
      <c r="BU144" s="879" t="str">
        <v/>
      </c>
      <c r="BV144" s="879" t="str">
        <v/>
      </c>
      <c r="BW144" s="879" t="str">
        <v/>
      </c>
      <c r="BX144" s="879" t="str">
        <v/>
      </c>
      <c r="BY144" s="879" t="str">
        <v/>
      </c>
      <c r="BZ144" s="882">
        <f>IF($BN145=0,0,        _xll.qDateNext($BN144,BZ$17,$CG$16,TRUE,Currency2))</f>
        <v>0</v>
      </c>
      <c r="CA144" s="882">
        <f>IF($BN145=0,0,        _xll.qDateNext($BN144,CA$17,$CG$16,TRUE,Currency2))</f>
        <v>0</v>
      </c>
      <c r="CB144" s="882">
        <f>IF($BN145=0,0,        _xll.qDateNext($BN144,CB$17,$CG$16,TRUE,Currency2))</f>
        <v>0</v>
      </c>
      <c r="CC144" s="882">
        <f>IF($BN145=0,0,        _xll.qDateNext($BN144,CC$17,$CG$16,TRUE,Currency2))</f>
        <v>0</v>
      </c>
      <c r="CD144" s="882">
        <f>IF($BN145=0,0,        _xll.qDateNext($BN144,CD$17,$CG$16,TRUE,Currency2))</f>
        <v>0</v>
      </c>
      <c r="CE144" s="882">
        <f>IF($BN145=0,0,        _xll.qDateNext($BN144,CE$17,$CG$16,TRUE,Currency2))</f>
        <v>0</v>
      </c>
      <c r="CF144" s="882">
        <f>IF($BN145=0,0,        _xll.qDateNext($BN144,CF$17,$CG$16,TRUE,Currency2))</f>
        <v>0</v>
      </c>
      <c r="CG144" s="882">
        <f>IF($BN145=0,0,        _xll.qDateNext($BN144,CG$17,$CG$16,TRUE,Currency2))</f>
        <v>0</v>
      </c>
      <c r="CH144" s="886">
        <v>0</v>
      </c>
      <c r="CI144" s="886">
        <v>0</v>
      </c>
      <c r="CJ144" s="886">
        <v>0</v>
      </c>
      <c r="CK144" s="886">
        <v>0</v>
      </c>
      <c r="CL144" s="886">
        <f t="shared" si="61"/>
        <v>0</v>
      </c>
      <c r="CM144" s="886">
        <f t="shared" si="62"/>
        <v>0</v>
      </c>
      <c r="CN144" s="886">
        <v>0</v>
      </c>
      <c r="CO144" s="886">
        <v>0</v>
      </c>
      <c r="CP144" s="648">
        <f t="shared" si="39"/>
        <v>0</v>
      </c>
      <c r="CQ144" s="648">
        <f t="shared" si="40"/>
        <v>0</v>
      </c>
      <c r="CR144" s="648">
        <f t="shared" si="41"/>
        <v>0</v>
      </c>
      <c r="CS144" s="648">
        <f t="shared" si="42"/>
        <v>0</v>
      </c>
      <c r="CT144" s="648">
        <f t="shared" si="43"/>
        <v>0</v>
      </c>
      <c r="CU144" s="648">
        <f t="shared" si="44"/>
        <v>0</v>
      </c>
      <c r="CV144" s="648">
        <f t="shared" si="45"/>
        <v>0</v>
      </c>
      <c r="CW144" s="648">
        <f t="shared" si="46"/>
        <v>0</v>
      </c>
      <c r="CX144" s="634">
        <v>0</v>
      </c>
      <c r="CY144" s="616"/>
      <c r="CZ144" s="619">
        <f>IF(BN145=0,0,             IF(ISNUMBER(CY144),CY144,             IF(ISTEXT(CY144),INDEX(CP144:CW144,MATCH(CY144,$CP$17:$CW$17,0)),           IF(CX144="INT",_xll.qInterp(BN145,BZ144:CG144,CP144:CW144),       INDEX(CP144:CW144,MATCH(CX144,$CP$17:$CW$17,0))))))</f>
        <v>0</v>
      </c>
      <c r="DA144" s="755">
        <f t="shared" si="47"/>
        <v>0</v>
      </c>
      <c r="DB144" s="387">
        <f t="shared" si="48"/>
        <v>0</v>
      </c>
      <c r="DC144" s="268">
        <f>IF($BN145=0,0,         IF(LEFT(DCC_Leg2_Fixed,2)="1/",uEvaluate(DCC_Leg2_Fixed),         _xll.qDateYears($BN144,$BN145,DCC_Leg2_Fixed)))</f>
        <v>0</v>
      </c>
      <c r="DD144" s="268">
        <f>IF($BN145,_xll.qDateYears($BN144,$BN145,DCC_Leg2_Float),0)</f>
        <v>0</v>
      </c>
      <c r="DF144" s="332">
        <f t="shared" si="63"/>
        <v>0</v>
      </c>
      <c r="DG144" s="357">
        <f t="shared" si="64"/>
        <v>0</v>
      </c>
      <c r="DH144" s="527"/>
      <c r="DJ144" s="324">
        <f t="shared" si="66"/>
        <v>0</v>
      </c>
      <c r="DK144" s="529"/>
      <c r="DL144" s="338"/>
    </row>
    <row r="145" spans="15:116">
      <c r="O145" s="121">
        <v>0</v>
      </c>
      <c r="P145" s="755">
        <f t="shared" si="35"/>
        <v>0</v>
      </c>
      <c r="Q145" s="125">
        <v>0</v>
      </c>
      <c r="R145" s="890">
        <f>IF(O146=0,0,         IF(OR(Currency1="AUD",Currency1="NZD",Currency1="GBP"),O145,   _xll.qDateNext(O145,"-2b",,,IF(Currency1="EUR","TGT","LON"))))</f>
        <v>0</v>
      </c>
      <c r="S145" s="879" t="str">
        <v/>
      </c>
      <c r="T145" s="879" t="str">
        <v/>
      </c>
      <c r="U145" s="879" t="str">
        <v/>
      </c>
      <c r="V145" s="879" t="str">
        <v/>
      </c>
      <c r="W145" s="879" t="str">
        <v/>
      </c>
      <c r="X145" s="879" t="str">
        <v/>
      </c>
      <c r="Y145" s="879" t="str">
        <v/>
      </c>
      <c r="Z145" s="879" t="str">
        <v/>
      </c>
      <c r="AA145" s="882">
        <f>IF($O146=0,0,        _xll.qDateNext($O145,AA$17,$AH$16,TRUE,Currency1))</f>
        <v>0</v>
      </c>
      <c r="AB145" s="882">
        <f>IF($O146=0,0,        _xll.qDateNext($O145,AB$17,$AH$16,TRUE,Currency1))</f>
        <v>0</v>
      </c>
      <c r="AC145" s="882">
        <f>IF($O146=0,0,        _xll.qDateNext($O145,AC$17,$AH$16,TRUE,Currency1))</f>
        <v>0</v>
      </c>
      <c r="AD145" s="882">
        <f>IF($O146=0,0,        _xll.qDateNext($O145,AD$17,$AH$16,TRUE,Currency1))</f>
        <v>0</v>
      </c>
      <c r="AE145" s="882">
        <f>IF($O146=0,0,        _xll.qDateNext($O145,AE$17,$AH$16,TRUE,Currency1))</f>
        <v>0</v>
      </c>
      <c r="AF145" s="882">
        <f>IF($O146=0,0,        _xll.qDateNext($O145,AF$17,$AH$16,TRUE,Currency1))</f>
        <v>0</v>
      </c>
      <c r="AG145" s="882">
        <f>IF($O146=0,0,        _xll.qDateNext($O145,AG$17,$AH$16,TRUE,Currency1))</f>
        <v>0</v>
      </c>
      <c r="AH145" s="882">
        <f>IF($O146=0,0,        _xll.qDateNext($O145,AH$17,$AH$16,TRUE,Currency1))</f>
        <v>0</v>
      </c>
      <c r="AI145" s="886">
        <f>IF($O146=0,0,           IF(FRM,_xll.qGetFwdRate(AI$14,$O145,AA145,"T",DCC_Leg1_Float),_xll.qGetFwdRate(AI$14,$O145,$O146,"T",DCC_Leg1_Float)))</f>
        <v>0</v>
      </c>
      <c r="AJ145" s="886">
        <f>IF($O146=0,0,           IF(FRM,_xll.qGetFwdRate(AJ$14,$O145,AB145,"T",DCC_Leg1_Float),_xll.qGetFwdRate(AJ$14,$O145,$O146,"T",DCC_Leg1_Float)))</f>
        <v>0</v>
      </c>
      <c r="AK145" s="886">
        <f t="shared" si="36"/>
        <v>0</v>
      </c>
      <c r="AL145" s="886">
        <f>IF($O146=0,0,           IF(FRM,_xll.qGetFwdRate(AL$14,$O145,AD145,"T",DCC_Leg1_Float),_xll.qGetFwdRate(AL$14,$O145,$O146,"T",DCC_Leg1_Float)))</f>
        <v>0</v>
      </c>
      <c r="AM145" s="886">
        <f t="shared" si="49"/>
        <v>0</v>
      </c>
      <c r="AN145" s="886">
        <f t="shared" si="50"/>
        <v>0</v>
      </c>
      <c r="AO145" s="886">
        <f>IF($O146=0,0,           IF(FRM,_xll.qGetFwdRate(AO$14,$O145,AG145,"T",DCC_Leg1_Float),_xll.qGetFwdRate(AO$14,$O145,$O146,"T",DCC_Leg1_Float)))</f>
        <v>0</v>
      </c>
      <c r="AP145" s="886">
        <f>IF($O146=0,0,           IF(FRM,_xll.qGetFwdRate(AP$14,$O145,AH145,"T",DCC_Leg1_Float),_xll.qGetFwdRate(AP$14,$O145,$O146,"T",DCC_Leg1_Float)))</f>
        <v>0</v>
      </c>
      <c r="AQ145" s="648">
        <f t="shared" si="51"/>
        <v>0</v>
      </c>
      <c r="AR145" s="648">
        <f t="shared" si="52"/>
        <v>0</v>
      </c>
      <c r="AS145" s="648">
        <f t="shared" si="53"/>
        <v>0</v>
      </c>
      <c r="AT145" s="648">
        <f t="shared" si="54"/>
        <v>0</v>
      </c>
      <c r="AU145" s="648">
        <f t="shared" si="55"/>
        <v>0</v>
      </c>
      <c r="AV145" s="648">
        <f t="shared" si="56"/>
        <v>0</v>
      </c>
      <c r="AW145" s="648">
        <f t="shared" si="57"/>
        <v>0</v>
      </c>
      <c r="AX145" s="648">
        <f t="shared" si="58"/>
        <v>0</v>
      </c>
      <c r="AY145" s="634">
        <v>0</v>
      </c>
      <c r="AZ145" s="616"/>
      <c r="BA145" s="619">
        <f>IF(O146=0,0,             IF(ISNUMBER(AZ145),AZ145,             IF(ISTEXT(AZ145),INDEX(AQ145:AX145,MATCH(AZ145,$AQ$17:$AX$17,0)),           IF(AY145="INT",_xll.qInterp(O146,AA145:AH145,AQ145:AX145),       INDEX(AQ145:AX145,MATCH(AY145,$AQ$17:$AX$17,0))))))</f>
        <v>0</v>
      </c>
      <c r="BB145" s="674">
        <v>100</v>
      </c>
      <c r="BC145" s="666">
        <f t="shared" si="37"/>
        <v>0</v>
      </c>
      <c r="BD145" s="268">
        <f>IF($O146=0,0,                IF(LEFT(DCC_Leg1_Fixed,2)="1/",uEvaluate(DCC_Leg1_Fixed),        _xll.qDateYears($O145,$O146,DCC_Leg1_Fixed)))</f>
        <v>0</v>
      </c>
      <c r="BE145" s="268">
        <f>IF($O146,_xll.qDateYears($O145,$O146,DCC_Leg1_Float),0)</f>
        <v>0</v>
      </c>
      <c r="BG145" s="332">
        <f t="shared" si="59"/>
        <v>0</v>
      </c>
      <c r="BH145" s="357">
        <f t="shared" si="60"/>
        <v>0</v>
      </c>
      <c r="BI145" s="527"/>
      <c r="BK145" s="324">
        <f t="shared" si="65"/>
        <v>0</v>
      </c>
      <c r="BM145" s="338"/>
      <c r="BN145" s="121">
        <v>0</v>
      </c>
      <c r="BO145" s="755">
        <f t="shared" si="38"/>
        <v>0</v>
      </c>
      <c r="BP145" s="339">
        <v>0</v>
      </c>
      <c r="BQ145" s="890">
        <f>IF(BN146=0,0,         IF(OR(Currency2="AUD",Currency1="NZD",Currency2="GBP"),BN145,   _xll.qDateNext(BN145,"-2b",,,IF(Currency2="EUR","TGT","LON"))))</f>
        <v>0</v>
      </c>
      <c r="BR145" s="879" t="str">
        <v/>
      </c>
      <c r="BS145" s="879" t="str">
        <v/>
      </c>
      <c r="BT145" s="879" t="str">
        <v/>
      </c>
      <c r="BU145" s="879" t="str">
        <v/>
      </c>
      <c r="BV145" s="879" t="str">
        <v/>
      </c>
      <c r="BW145" s="879" t="str">
        <v/>
      </c>
      <c r="BX145" s="879" t="str">
        <v/>
      </c>
      <c r="BY145" s="879" t="str">
        <v/>
      </c>
      <c r="BZ145" s="882">
        <f>IF($BN146=0,0,        _xll.qDateNext($BN145,BZ$17,$CG$16,TRUE,Currency2))</f>
        <v>0</v>
      </c>
      <c r="CA145" s="882">
        <f>IF($BN146=0,0,        _xll.qDateNext($BN145,CA$17,$CG$16,TRUE,Currency2))</f>
        <v>0</v>
      </c>
      <c r="CB145" s="882">
        <f>IF($BN146=0,0,        _xll.qDateNext($BN145,CB$17,$CG$16,TRUE,Currency2))</f>
        <v>0</v>
      </c>
      <c r="CC145" s="882">
        <f>IF($BN146=0,0,        _xll.qDateNext($BN145,CC$17,$CG$16,TRUE,Currency2))</f>
        <v>0</v>
      </c>
      <c r="CD145" s="882">
        <f>IF($BN146=0,0,        _xll.qDateNext($BN145,CD$17,$CG$16,TRUE,Currency2))</f>
        <v>0</v>
      </c>
      <c r="CE145" s="882">
        <f>IF($BN146=0,0,        _xll.qDateNext($BN145,CE$17,$CG$16,TRUE,Currency2))</f>
        <v>0</v>
      </c>
      <c r="CF145" s="882">
        <f>IF($BN146=0,0,        _xll.qDateNext($BN145,CF$17,$CG$16,TRUE,Currency2))</f>
        <v>0</v>
      </c>
      <c r="CG145" s="882">
        <f>IF($BN146=0,0,        _xll.qDateNext($BN145,CG$17,$CG$16,TRUE,Currency2))</f>
        <v>0</v>
      </c>
      <c r="CH145" s="886">
        <v>0</v>
      </c>
      <c r="CI145" s="886">
        <v>0</v>
      </c>
      <c r="CJ145" s="886">
        <v>0</v>
      </c>
      <c r="CK145" s="886">
        <v>0</v>
      </c>
      <c r="CL145" s="886">
        <f t="shared" si="61"/>
        <v>0</v>
      </c>
      <c r="CM145" s="886">
        <f t="shared" si="62"/>
        <v>0</v>
      </c>
      <c r="CN145" s="886">
        <v>0</v>
      </c>
      <c r="CO145" s="886">
        <v>0</v>
      </c>
      <c r="CP145" s="648">
        <f t="shared" si="39"/>
        <v>0</v>
      </c>
      <c r="CQ145" s="648">
        <f t="shared" si="40"/>
        <v>0</v>
      </c>
      <c r="CR145" s="648">
        <f t="shared" si="41"/>
        <v>0</v>
      </c>
      <c r="CS145" s="648">
        <f t="shared" si="42"/>
        <v>0</v>
      </c>
      <c r="CT145" s="648">
        <f t="shared" si="43"/>
        <v>0</v>
      </c>
      <c r="CU145" s="648">
        <f t="shared" si="44"/>
        <v>0</v>
      </c>
      <c r="CV145" s="648">
        <f t="shared" si="45"/>
        <v>0</v>
      </c>
      <c r="CW145" s="648">
        <f t="shared" si="46"/>
        <v>0</v>
      </c>
      <c r="CX145" s="634">
        <v>0</v>
      </c>
      <c r="CY145" s="616"/>
      <c r="CZ145" s="619">
        <f>IF(BN146=0,0,             IF(ISNUMBER(CY145),CY145,             IF(ISTEXT(CY145),INDEX(CP145:CW145,MATCH(CY145,$CP$17:$CW$17,0)),           IF(CX145="INT",_xll.qInterp(BN146,BZ145:CG145,CP145:CW145),       INDEX(CP145:CW145,MATCH(CX145,$CP$17:$CW$17,0))))))</f>
        <v>0</v>
      </c>
      <c r="DA145" s="755">
        <f t="shared" si="47"/>
        <v>0</v>
      </c>
      <c r="DB145" s="387">
        <f t="shared" si="48"/>
        <v>0</v>
      </c>
      <c r="DC145" s="268">
        <f>IF($BN146=0,0,         IF(LEFT(DCC_Leg2_Fixed,2)="1/",uEvaluate(DCC_Leg2_Fixed),         _xll.qDateYears($BN145,$BN146,DCC_Leg2_Fixed)))</f>
        <v>0</v>
      </c>
      <c r="DD145" s="268">
        <f>IF($BN146,_xll.qDateYears($BN145,$BN146,DCC_Leg2_Float),0)</f>
        <v>0</v>
      </c>
      <c r="DF145" s="332">
        <f t="shared" si="63"/>
        <v>0</v>
      </c>
      <c r="DG145" s="357">
        <f t="shared" si="64"/>
        <v>0</v>
      </c>
      <c r="DH145" s="527"/>
      <c r="DJ145" s="324">
        <f t="shared" si="66"/>
        <v>0</v>
      </c>
      <c r="DK145" s="529"/>
      <c r="DL145" s="338"/>
    </row>
    <row r="146" spans="15:116">
      <c r="O146" s="121">
        <v>0</v>
      </c>
      <c r="P146" s="755">
        <f t="shared" ref="P146:P209" si="67">IF(O147,O147-O146,0)</f>
        <v>0</v>
      </c>
      <c r="Q146" s="125">
        <v>0</v>
      </c>
      <c r="R146" s="890">
        <f>IF(O147=0,0,         IF(OR(Currency1="AUD",Currency1="NZD",Currency1="GBP"),O146,   _xll.qDateNext(O146,"-2b",,,IF(Currency1="EUR","TGT","LON"))))</f>
        <v>0</v>
      </c>
      <c r="S146" s="879" t="str">
        <v/>
      </c>
      <c r="T146" s="879" t="str">
        <v/>
      </c>
      <c r="U146" s="879" t="str">
        <v/>
      </c>
      <c r="V146" s="879" t="str">
        <v/>
      </c>
      <c r="W146" s="879" t="str">
        <v/>
      </c>
      <c r="X146" s="879" t="str">
        <v/>
      </c>
      <c r="Y146" s="879" t="str">
        <v/>
      </c>
      <c r="Z146" s="879" t="str">
        <v/>
      </c>
      <c r="AA146" s="882">
        <f>IF($O147=0,0,        _xll.qDateNext($O146,AA$17,$AH$16,TRUE,Currency1))</f>
        <v>0</v>
      </c>
      <c r="AB146" s="882">
        <f>IF($O147=0,0,        _xll.qDateNext($O146,AB$17,$AH$16,TRUE,Currency1))</f>
        <v>0</v>
      </c>
      <c r="AC146" s="882">
        <f>IF($O147=0,0,        _xll.qDateNext($O146,AC$17,$AH$16,TRUE,Currency1))</f>
        <v>0</v>
      </c>
      <c r="AD146" s="882">
        <f>IF($O147=0,0,        _xll.qDateNext($O146,AD$17,$AH$16,TRUE,Currency1))</f>
        <v>0</v>
      </c>
      <c r="AE146" s="882">
        <f>IF($O147=0,0,        _xll.qDateNext($O146,AE$17,$AH$16,TRUE,Currency1))</f>
        <v>0</v>
      </c>
      <c r="AF146" s="882">
        <f>IF($O147=0,0,        _xll.qDateNext($O146,AF$17,$AH$16,TRUE,Currency1))</f>
        <v>0</v>
      </c>
      <c r="AG146" s="882">
        <f>IF($O147=0,0,        _xll.qDateNext($O146,AG$17,$AH$16,TRUE,Currency1))</f>
        <v>0</v>
      </c>
      <c r="AH146" s="882">
        <f>IF($O147=0,0,        _xll.qDateNext($O146,AH$17,$AH$16,TRUE,Currency1))</f>
        <v>0</v>
      </c>
      <c r="AI146" s="886">
        <f>IF($O147=0,0,           IF(FRM,_xll.qGetFwdRate(AI$14,$O146,AA146,"T",DCC_Leg1_Float),_xll.qGetFwdRate(AI$14,$O146,$O147,"T",DCC_Leg1_Float)))</f>
        <v>0</v>
      </c>
      <c r="AJ146" s="886">
        <f>IF($O147=0,0,           IF(FRM,_xll.qGetFwdRate(AJ$14,$O146,AB146,"T",DCC_Leg1_Float),_xll.qGetFwdRate(AJ$14,$O146,$O147,"T",DCC_Leg1_Float)))</f>
        <v>0</v>
      </c>
      <c r="AK146" s="886">
        <f t="shared" ref="AK146:AK209" si="68">AVERAGE(AJ146,AL146)</f>
        <v>0</v>
      </c>
      <c r="AL146" s="886">
        <f>IF($O147=0,0,           IF(FRM,_xll.qGetFwdRate(AL$14,$O146,AD146,"T",DCC_Leg1_Float),_xll.qGetFwdRate(AL$14,$O146,$O147,"T",DCC_Leg1_Float)))</f>
        <v>0</v>
      </c>
      <c r="AM146" s="886">
        <f t="shared" si="49"/>
        <v>0</v>
      </c>
      <c r="AN146" s="886">
        <f t="shared" si="50"/>
        <v>0</v>
      </c>
      <c r="AO146" s="886">
        <f>IF($O147=0,0,           IF(FRM,_xll.qGetFwdRate(AO$14,$O146,AG146,"T",DCC_Leg1_Float),_xll.qGetFwdRate(AO$14,$O146,$O147,"T",DCC_Leg1_Float)))</f>
        <v>0</v>
      </c>
      <c r="AP146" s="886">
        <f>IF($O147=0,0,           IF(FRM,_xll.qGetFwdRate(AP$14,$O146,AH146,"T",DCC_Leg1_Float),_xll.qGetFwdRate(AP$14,$O146,$O147,"T",DCC_Leg1_Float)))</f>
        <v>0</v>
      </c>
      <c r="AQ146" s="648">
        <f t="shared" si="51"/>
        <v>0</v>
      </c>
      <c r="AR146" s="648">
        <f t="shared" si="52"/>
        <v>0</v>
      </c>
      <c r="AS146" s="648">
        <f t="shared" si="53"/>
        <v>0</v>
      </c>
      <c r="AT146" s="648">
        <f t="shared" si="54"/>
        <v>0</v>
      </c>
      <c r="AU146" s="648">
        <f t="shared" si="55"/>
        <v>0</v>
      </c>
      <c r="AV146" s="648">
        <f t="shared" si="56"/>
        <v>0</v>
      </c>
      <c r="AW146" s="648">
        <f t="shared" si="57"/>
        <v>0</v>
      </c>
      <c r="AX146" s="648">
        <f t="shared" si="58"/>
        <v>0</v>
      </c>
      <c r="AY146" s="634">
        <v>0</v>
      </c>
      <c r="AZ146" s="616"/>
      <c r="BA146" s="619">
        <f>IF(O147=0,0,             IF(ISNUMBER(AZ146),AZ146,             IF(ISTEXT(AZ146),INDEX(AQ146:AX146,MATCH(AZ146,$AQ$17:$AX$17,0)),           IF(AY146="INT",_xll.qInterp(O147,AA146:AH146,AQ146:AX146),       INDEX(AQ146:AX146,MATCH(AY146,$AQ$17:$AX$17,0))))))</f>
        <v>0</v>
      </c>
      <c r="BB146" s="674">
        <v>100</v>
      </c>
      <c r="BC146" s="666">
        <f t="shared" ref="BC146:BC209" si="69">IF(O147,BB146*1000000*$BE$11,0)</f>
        <v>0</v>
      </c>
      <c r="BD146" s="268">
        <f>IF($O147=0,0,                IF(LEFT(DCC_Leg1_Fixed,2)="1/",uEvaluate(DCC_Leg1_Fixed),        _xll.qDateYears($O146,$O147,DCC_Leg1_Fixed)))</f>
        <v>0</v>
      </c>
      <c r="BE146" s="268">
        <f>IF($O147,_xll.qDateYears($O146,$O147,DCC_Leg1_Float),0)</f>
        <v>0</v>
      </c>
      <c r="BG146" s="332">
        <f t="shared" si="59"/>
        <v>0</v>
      </c>
      <c r="BH146" s="357">
        <f t="shared" si="60"/>
        <v>0</v>
      </c>
      <c r="BI146" s="527"/>
      <c r="BK146" s="324">
        <f t="shared" si="65"/>
        <v>0</v>
      </c>
      <c r="BM146" s="338"/>
      <c r="BN146" s="121">
        <v>0</v>
      </c>
      <c r="BO146" s="755">
        <f t="shared" ref="BO146:BO209" si="70">IF(BN147,BN147-BN146,0)</f>
        <v>0</v>
      </c>
      <c r="BP146" s="339">
        <v>0</v>
      </c>
      <c r="BQ146" s="890">
        <f>IF(BN147=0,0,         IF(OR(Currency2="AUD",Currency1="NZD",Currency2="GBP"),BN146,   _xll.qDateNext(BN146,"-2b",,,IF(Currency2="EUR","TGT","LON"))))</f>
        <v>0</v>
      </c>
      <c r="BR146" s="879" t="str">
        <v/>
      </c>
      <c r="BS146" s="879" t="str">
        <v/>
      </c>
      <c r="BT146" s="879" t="str">
        <v/>
      </c>
      <c r="BU146" s="879" t="str">
        <v/>
      </c>
      <c r="BV146" s="879" t="str">
        <v/>
      </c>
      <c r="BW146" s="879" t="str">
        <v/>
      </c>
      <c r="BX146" s="879" t="str">
        <v/>
      </c>
      <c r="BY146" s="879" t="str">
        <v/>
      </c>
      <c r="BZ146" s="882">
        <f>IF($BN147=0,0,        _xll.qDateNext($BN146,BZ$17,$CG$16,TRUE,Currency2))</f>
        <v>0</v>
      </c>
      <c r="CA146" s="882">
        <f>IF($BN147=0,0,        _xll.qDateNext($BN146,CA$17,$CG$16,TRUE,Currency2))</f>
        <v>0</v>
      </c>
      <c r="CB146" s="882">
        <f>IF($BN147=0,0,        _xll.qDateNext($BN146,CB$17,$CG$16,TRUE,Currency2))</f>
        <v>0</v>
      </c>
      <c r="CC146" s="882">
        <f>IF($BN147=0,0,        _xll.qDateNext($BN146,CC$17,$CG$16,TRUE,Currency2))</f>
        <v>0</v>
      </c>
      <c r="CD146" s="882">
        <f>IF($BN147=0,0,        _xll.qDateNext($BN146,CD$17,$CG$16,TRUE,Currency2))</f>
        <v>0</v>
      </c>
      <c r="CE146" s="882">
        <f>IF($BN147=0,0,        _xll.qDateNext($BN146,CE$17,$CG$16,TRUE,Currency2))</f>
        <v>0</v>
      </c>
      <c r="CF146" s="882">
        <f>IF($BN147=0,0,        _xll.qDateNext($BN146,CF$17,$CG$16,TRUE,Currency2))</f>
        <v>0</v>
      </c>
      <c r="CG146" s="882">
        <f>IF($BN147=0,0,        _xll.qDateNext($BN146,CG$17,$CG$16,TRUE,Currency2))</f>
        <v>0</v>
      </c>
      <c r="CH146" s="886">
        <v>0</v>
      </c>
      <c r="CI146" s="886">
        <v>0</v>
      </c>
      <c r="CJ146" s="886">
        <v>0</v>
      </c>
      <c r="CK146" s="886">
        <v>0</v>
      </c>
      <c r="CL146" s="886">
        <f t="shared" si="61"/>
        <v>0</v>
      </c>
      <c r="CM146" s="886">
        <f t="shared" si="62"/>
        <v>0</v>
      </c>
      <c r="CN146" s="886">
        <v>0</v>
      </c>
      <c r="CO146" s="886">
        <v>0</v>
      </c>
      <c r="CP146" s="648">
        <f t="shared" ref="CP146:CP209" si="71">IF($BN146=0,0,      IF(ISNUMBER(BR146),BR146,CH146))</f>
        <v>0</v>
      </c>
      <c r="CQ146" s="648">
        <f t="shared" ref="CQ146:CQ209" si="72">IF($BN146=0,0,      IF(ISNUMBER(BS146),BS146,CI146))</f>
        <v>0</v>
      </c>
      <c r="CR146" s="648">
        <f t="shared" ref="CR146:CR209" si="73">IF($BN146=0,0,      IF(ISNUMBER(BT146),BT146,CJ146))</f>
        <v>0</v>
      </c>
      <c r="CS146" s="648">
        <f t="shared" ref="CS146:CS209" si="74">IF($BN146=0,0,      IF(ISNUMBER(BU146),BU146,CK146))</f>
        <v>0</v>
      </c>
      <c r="CT146" s="648">
        <f t="shared" ref="CT146:CT209" si="75">IF($BN146=0,0,      IF(ISNUMBER(BV146),BV146,CL146))</f>
        <v>0</v>
      </c>
      <c r="CU146" s="648">
        <f t="shared" ref="CU146:CU209" si="76">IF($BN146=0,0,      IF(ISNUMBER(BW146),BW146,CM146))</f>
        <v>0</v>
      </c>
      <c r="CV146" s="648">
        <f t="shared" ref="CV146:CV209" si="77">IF($BN146=0,0,      IF(ISNUMBER(BX146),BX146,CN146))</f>
        <v>0</v>
      </c>
      <c r="CW146" s="648">
        <f t="shared" ref="CW146:CW209" si="78">IF($BN146=0,0,      IF(ISNUMBER(BY146),BY146,CO146))</f>
        <v>0</v>
      </c>
      <c r="CX146" s="634">
        <v>0</v>
      </c>
      <c r="CY146" s="616"/>
      <c r="CZ146" s="619">
        <f>IF(BN147=0,0,             IF(ISNUMBER(CY146),CY146,             IF(ISTEXT(CY146),INDEX(CP146:CW146,MATCH(CY146,$CP$17:$CW$17,0)),           IF(CX146="INT",_xll.qInterp(BN147,BZ146:CG146,CP146:CW146),       INDEX(CP146:CW146,MATCH(CX146,$CP$17:$CW$17,0))))))</f>
        <v>0</v>
      </c>
      <c r="DA146" s="755">
        <f t="shared" ref="DA146:DA209" si="79">IF(BN147,INDEX($BB$18:$BB$516,MATCH(BN146,OFFSET($O$18,0,0,$BE$12,1)))*FaceFX,0)</f>
        <v>0</v>
      </c>
      <c r="DB146" s="387">
        <f t="shared" ref="DB146:DB209" si="80">IF(BN146,DA146*1000000*$DD$11,0)</f>
        <v>0</v>
      </c>
      <c r="DC146" s="268">
        <f>IF($BN147=0,0,         IF(LEFT(DCC_Leg2_Fixed,2)="1/",uEvaluate(DCC_Leg2_Fixed),         _xll.qDateYears($BN146,$BN147,DCC_Leg2_Fixed)))</f>
        <v>0</v>
      </c>
      <c r="DD146" s="268">
        <f>IF($BN147,_xll.qDateYears($BN146,$BN147,DCC_Leg2_Float),0)</f>
        <v>0</v>
      </c>
      <c r="DF146" s="332">
        <f t="shared" si="63"/>
        <v>0</v>
      </c>
      <c r="DG146" s="357">
        <f t="shared" si="64"/>
        <v>0</v>
      </c>
      <c r="DH146" s="527"/>
      <c r="DJ146" s="324">
        <f t="shared" si="66"/>
        <v>0</v>
      </c>
      <c r="DK146" s="529"/>
      <c r="DL146" s="338"/>
    </row>
    <row r="147" spans="15:116">
      <c r="O147" s="121">
        <v>0</v>
      </c>
      <c r="P147" s="755">
        <f t="shared" si="67"/>
        <v>0</v>
      </c>
      <c r="Q147" s="125">
        <v>0</v>
      </c>
      <c r="R147" s="890">
        <f>IF(O148=0,0,         IF(OR(Currency1="AUD",Currency1="NZD",Currency1="GBP"),O147,   _xll.qDateNext(O147,"-2b",,,IF(Currency1="EUR","TGT","LON"))))</f>
        <v>0</v>
      </c>
      <c r="S147" s="879" t="str">
        <v/>
      </c>
      <c r="T147" s="879" t="str">
        <v/>
      </c>
      <c r="U147" s="879" t="str">
        <v/>
      </c>
      <c r="V147" s="879" t="str">
        <v/>
      </c>
      <c r="W147" s="879" t="str">
        <v/>
      </c>
      <c r="X147" s="879" t="str">
        <v/>
      </c>
      <c r="Y147" s="879" t="str">
        <v/>
      </c>
      <c r="Z147" s="879" t="str">
        <v/>
      </c>
      <c r="AA147" s="882">
        <f>IF($O148=0,0,        _xll.qDateNext($O147,AA$17,$AH$16,TRUE,Currency1))</f>
        <v>0</v>
      </c>
      <c r="AB147" s="882">
        <f>IF($O148=0,0,        _xll.qDateNext($O147,AB$17,$AH$16,TRUE,Currency1))</f>
        <v>0</v>
      </c>
      <c r="AC147" s="882">
        <f>IF($O148=0,0,        _xll.qDateNext($O147,AC$17,$AH$16,TRUE,Currency1))</f>
        <v>0</v>
      </c>
      <c r="AD147" s="882">
        <f>IF($O148=0,0,        _xll.qDateNext($O147,AD$17,$AH$16,TRUE,Currency1))</f>
        <v>0</v>
      </c>
      <c r="AE147" s="882">
        <f>IF($O148=0,0,        _xll.qDateNext($O147,AE$17,$AH$16,TRUE,Currency1))</f>
        <v>0</v>
      </c>
      <c r="AF147" s="882">
        <f>IF($O148=0,0,        _xll.qDateNext($O147,AF$17,$AH$16,TRUE,Currency1))</f>
        <v>0</v>
      </c>
      <c r="AG147" s="882">
        <f>IF($O148=0,0,        _xll.qDateNext($O147,AG$17,$AH$16,TRUE,Currency1))</f>
        <v>0</v>
      </c>
      <c r="AH147" s="882">
        <f>IF($O148=0,0,        _xll.qDateNext($O147,AH$17,$AH$16,TRUE,Currency1))</f>
        <v>0</v>
      </c>
      <c r="AI147" s="886">
        <f>IF($O148=0,0,           IF(FRM,_xll.qGetFwdRate(AI$14,$O147,AA147,"T",DCC_Leg1_Float),_xll.qGetFwdRate(AI$14,$O147,$O148,"T",DCC_Leg1_Float)))</f>
        <v>0</v>
      </c>
      <c r="AJ147" s="886">
        <f>IF($O148=0,0,           IF(FRM,_xll.qGetFwdRate(AJ$14,$O147,AB147,"T",DCC_Leg1_Float),_xll.qGetFwdRate(AJ$14,$O147,$O148,"T",DCC_Leg1_Float)))</f>
        <v>0</v>
      </c>
      <c r="AK147" s="886">
        <f t="shared" si="68"/>
        <v>0</v>
      </c>
      <c r="AL147" s="886">
        <f>IF($O148=0,0,           IF(FRM,_xll.qGetFwdRate(AL$14,$O147,AD147,"T",DCC_Leg1_Float),_xll.qGetFwdRate(AL$14,$O147,$O148,"T",DCC_Leg1_Float)))</f>
        <v>0</v>
      </c>
      <c r="AM147" s="886">
        <f t="shared" ref="AM147:AM210" si="81">(AO147-AL147)/3+AL147</f>
        <v>0</v>
      </c>
      <c r="AN147" s="886">
        <f t="shared" ref="AN147:AN210" si="82">AVERAGE(AM147,AO147)</f>
        <v>0</v>
      </c>
      <c r="AO147" s="886">
        <f>IF($O148=0,0,           IF(FRM,_xll.qGetFwdRate(AO$14,$O147,AG147,"T",DCC_Leg1_Float),_xll.qGetFwdRate(AO$14,$O147,$O148,"T",DCC_Leg1_Float)))</f>
        <v>0</v>
      </c>
      <c r="AP147" s="886">
        <f>IF($O148=0,0,           IF(FRM,_xll.qGetFwdRate(AP$14,$O147,AH147,"T",DCC_Leg1_Float),_xll.qGetFwdRate(AP$14,$O147,$O148,"T",DCC_Leg1_Float)))</f>
        <v>0</v>
      </c>
      <c r="AQ147" s="648">
        <f t="shared" ref="AQ147:AQ210" si="83">IF(ISNUMBER(S147),S147,AI147)</f>
        <v>0</v>
      </c>
      <c r="AR147" s="648">
        <f t="shared" ref="AR147:AR210" si="84">IF(ISNUMBER(T147),T147,AJ147)</f>
        <v>0</v>
      </c>
      <c r="AS147" s="648">
        <f t="shared" ref="AS147:AS210" si="85">IF(ISNUMBER(U147),U147,AK147)</f>
        <v>0</v>
      </c>
      <c r="AT147" s="648">
        <f t="shared" ref="AT147:AT210" si="86">IF(ISNUMBER(V147),V147,AL147)</f>
        <v>0</v>
      </c>
      <c r="AU147" s="648">
        <f t="shared" ref="AU147:AU210" si="87">IF(ISNUMBER(W147),W147,AM147)</f>
        <v>0</v>
      </c>
      <c r="AV147" s="648">
        <f t="shared" ref="AV147:AV210" si="88">IF(ISNUMBER(X147),X147,AN147)</f>
        <v>0</v>
      </c>
      <c r="AW147" s="648">
        <f t="shared" ref="AW147:AW210" si="89">IF(ISNUMBER(Y147),Y147,AO147)</f>
        <v>0</v>
      </c>
      <c r="AX147" s="648">
        <f t="shared" ref="AX147:AX210" si="90">IF(ISNUMBER(Z147),Z147,AP147)</f>
        <v>0</v>
      </c>
      <c r="AY147" s="634">
        <v>0</v>
      </c>
      <c r="AZ147" s="616"/>
      <c r="BA147" s="619">
        <f>IF(O148=0,0,             IF(ISNUMBER(AZ147),AZ147,             IF(ISTEXT(AZ147),INDEX(AQ147:AX147,MATCH(AZ147,$AQ$17:$AX$17,0)),           IF(AY147="INT",_xll.qInterp(O148,AA147:AH147,AQ147:AX147),       INDEX(AQ147:AX147,MATCH(AY147,$AQ$17:$AX$17,0))))))</f>
        <v>0</v>
      </c>
      <c r="BB147" s="674">
        <v>100</v>
      </c>
      <c r="BC147" s="666">
        <f t="shared" si="69"/>
        <v>0</v>
      </c>
      <c r="BD147" s="268">
        <f>IF($O148=0,0,                IF(LEFT(DCC_Leg1_Fixed,2)="1/",uEvaluate(DCC_Leg1_Fixed),        _xll.qDateYears($O147,$O148,DCC_Leg1_Fixed)))</f>
        <v>0</v>
      </c>
      <c r="BE147" s="268">
        <f>IF($O148,_xll.qDateYears($O147,$O148,DCC_Leg1_Float),0)</f>
        <v>0</v>
      </c>
      <c r="BG147" s="332">
        <f t="shared" ref="BG147:BG210" si="91">IF(Principal1?,$BC146-$BC147,       0)</f>
        <v>0</v>
      </c>
      <c r="BH147" s="357">
        <f t="shared" ref="BH147:BH210" si="92">IF(GenType_1a="Fixed",GenRate_1a%*$BC146*BD146,          IF(GenType_1a="Float",$BC146*(BA146%+GenRate_1a%%)*$BE146,        IF(GenType_1a="bp (Fixed)",GenRate_1a%%*$BD146*$BC146,   IF(GenType_1a="bp (Float)",GenRate_1a%%*$BC146*$BE146,0))))</f>
        <v>0</v>
      </c>
      <c r="BI147" s="527"/>
      <c r="BK147" s="324">
        <f t="shared" si="65"/>
        <v>0</v>
      </c>
      <c r="BM147" s="338"/>
      <c r="BN147" s="121">
        <v>0</v>
      </c>
      <c r="BO147" s="755">
        <f t="shared" si="70"/>
        <v>0</v>
      </c>
      <c r="BP147" s="339">
        <v>0</v>
      </c>
      <c r="BQ147" s="890">
        <f>IF(BN148=0,0,         IF(OR(Currency2="AUD",Currency1="NZD",Currency2="GBP"),BN147,   _xll.qDateNext(BN147,"-2b",,,IF(Currency2="EUR","TGT","LON"))))</f>
        <v>0</v>
      </c>
      <c r="BR147" s="879" t="str">
        <v/>
      </c>
      <c r="BS147" s="879" t="str">
        <v/>
      </c>
      <c r="BT147" s="879" t="str">
        <v/>
      </c>
      <c r="BU147" s="879" t="str">
        <v/>
      </c>
      <c r="BV147" s="879" t="str">
        <v/>
      </c>
      <c r="BW147" s="879" t="str">
        <v/>
      </c>
      <c r="BX147" s="879" t="str">
        <v/>
      </c>
      <c r="BY147" s="879" t="str">
        <v/>
      </c>
      <c r="BZ147" s="882">
        <f>IF($BN148=0,0,        _xll.qDateNext($BN147,BZ$17,$CG$16,TRUE,Currency2))</f>
        <v>0</v>
      </c>
      <c r="CA147" s="882">
        <f>IF($BN148=0,0,        _xll.qDateNext($BN147,CA$17,$CG$16,TRUE,Currency2))</f>
        <v>0</v>
      </c>
      <c r="CB147" s="882">
        <f>IF($BN148=0,0,        _xll.qDateNext($BN147,CB$17,$CG$16,TRUE,Currency2))</f>
        <v>0</v>
      </c>
      <c r="CC147" s="882">
        <f>IF($BN148=0,0,        _xll.qDateNext($BN147,CC$17,$CG$16,TRUE,Currency2))</f>
        <v>0</v>
      </c>
      <c r="CD147" s="882">
        <f>IF($BN148=0,0,        _xll.qDateNext($BN147,CD$17,$CG$16,TRUE,Currency2))</f>
        <v>0</v>
      </c>
      <c r="CE147" s="882">
        <f>IF($BN148=0,0,        _xll.qDateNext($BN147,CE$17,$CG$16,TRUE,Currency2))</f>
        <v>0</v>
      </c>
      <c r="CF147" s="882">
        <f>IF($BN148=0,0,        _xll.qDateNext($BN147,CF$17,$CG$16,TRUE,Currency2))</f>
        <v>0</v>
      </c>
      <c r="CG147" s="882">
        <f>IF($BN148=0,0,        _xll.qDateNext($BN147,CG$17,$CG$16,TRUE,Currency2))</f>
        <v>0</v>
      </c>
      <c r="CH147" s="886">
        <v>0</v>
      </c>
      <c r="CI147" s="886">
        <v>0</v>
      </c>
      <c r="CJ147" s="886">
        <v>0</v>
      </c>
      <c r="CK147" s="886">
        <v>0</v>
      </c>
      <c r="CL147" s="886">
        <f t="shared" ref="CL147:CL210" si="93">(CN147-CK147)/3+CK147</f>
        <v>0</v>
      </c>
      <c r="CM147" s="886">
        <f t="shared" ref="CM147:CM210" si="94">AVERAGE(CL147,CN147)</f>
        <v>0</v>
      </c>
      <c r="CN147" s="886">
        <v>0</v>
      </c>
      <c r="CO147" s="886">
        <v>0</v>
      </c>
      <c r="CP147" s="648">
        <f t="shared" si="71"/>
        <v>0</v>
      </c>
      <c r="CQ147" s="648">
        <f t="shared" si="72"/>
        <v>0</v>
      </c>
      <c r="CR147" s="648">
        <f t="shared" si="73"/>
        <v>0</v>
      </c>
      <c r="CS147" s="648">
        <f t="shared" si="74"/>
        <v>0</v>
      </c>
      <c r="CT147" s="648">
        <f t="shared" si="75"/>
        <v>0</v>
      </c>
      <c r="CU147" s="648">
        <f t="shared" si="76"/>
        <v>0</v>
      </c>
      <c r="CV147" s="648">
        <f t="shared" si="77"/>
        <v>0</v>
      </c>
      <c r="CW147" s="648">
        <f t="shared" si="78"/>
        <v>0</v>
      </c>
      <c r="CX147" s="634">
        <v>0</v>
      </c>
      <c r="CY147" s="616"/>
      <c r="CZ147" s="619">
        <f>IF(BN148=0,0,             IF(ISNUMBER(CY147),CY147,             IF(ISTEXT(CY147),INDEX(CP147:CW147,MATCH(CY147,$CP$17:$CW$17,0)),           IF(CX147="INT",_xll.qInterp(BN148,BZ147:CG147,CP147:CW147),       INDEX(CP147:CW147,MATCH(CX147,$CP$17:$CW$17,0))))))</f>
        <v>0</v>
      </c>
      <c r="DA147" s="755">
        <f t="shared" si="79"/>
        <v>0</v>
      </c>
      <c r="DB147" s="387">
        <f t="shared" si="80"/>
        <v>0</v>
      </c>
      <c r="DC147" s="268">
        <f>IF($BN148=0,0,         IF(LEFT(DCC_Leg2_Fixed,2)="1/",uEvaluate(DCC_Leg2_Fixed),         _xll.qDateYears($BN147,$BN148,DCC_Leg2_Fixed)))</f>
        <v>0</v>
      </c>
      <c r="DD147" s="268">
        <f>IF($BN148,_xll.qDateYears($BN147,$BN148,DCC_Leg2_Float),0)</f>
        <v>0</v>
      </c>
      <c r="DF147" s="332">
        <f t="shared" ref="DF147:DF210" si="95">IF(Principal2?,$DB146-$DB147,       0)</f>
        <v>0</v>
      </c>
      <c r="DG147" s="357">
        <f t="shared" ref="DG147:DG210" si="96">IF(GenType_2a="Fixed",GenRate_2a%*$DB146*DC146,          IF(GenType_2a="Float",$DB146*(CZ146%+GenRate_2a%%)*$DD146,        IF(GenType_2a="bp (Fixed)",GenRate_2a%%*$DC146*$DB146,   IF(GenType_2a="bp (Float)",GenRate_2a%%*$DB146*$DD146,0))))</f>
        <v>0</v>
      </c>
      <c r="DH147" s="527"/>
      <c r="DJ147" s="324">
        <f t="shared" si="66"/>
        <v>0</v>
      </c>
      <c r="DK147" s="529"/>
      <c r="DL147" s="338"/>
    </row>
    <row r="148" spans="15:116">
      <c r="O148" s="121">
        <v>0</v>
      </c>
      <c r="P148" s="755">
        <f t="shared" si="67"/>
        <v>0</v>
      </c>
      <c r="Q148" s="125">
        <v>0</v>
      </c>
      <c r="R148" s="890">
        <f>IF(O149=0,0,         IF(OR(Currency1="AUD",Currency1="NZD",Currency1="GBP"),O148,   _xll.qDateNext(O148,"-2b",,,IF(Currency1="EUR","TGT","LON"))))</f>
        <v>0</v>
      </c>
      <c r="S148" s="879" t="str">
        <v/>
      </c>
      <c r="T148" s="879" t="str">
        <v/>
      </c>
      <c r="U148" s="879" t="str">
        <v/>
      </c>
      <c r="V148" s="879" t="str">
        <v/>
      </c>
      <c r="W148" s="879" t="str">
        <v/>
      </c>
      <c r="X148" s="879" t="str">
        <v/>
      </c>
      <c r="Y148" s="879" t="str">
        <v/>
      </c>
      <c r="Z148" s="879" t="str">
        <v/>
      </c>
      <c r="AA148" s="882">
        <f>IF($O149=0,0,        _xll.qDateNext($O148,AA$17,$AH$16,TRUE,Currency1))</f>
        <v>0</v>
      </c>
      <c r="AB148" s="882">
        <f>IF($O149=0,0,        _xll.qDateNext($O148,AB$17,$AH$16,TRUE,Currency1))</f>
        <v>0</v>
      </c>
      <c r="AC148" s="882">
        <f>IF($O149=0,0,        _xll.qDateNext($O148,AC$17,$AH$16,TRUE,Currency1))</f>
        <v>0</v>
      </c>
      <c r="AD148" s="882">
        <f>IF($O149=0,0,        _xll.qDateNext($O148,AD$17,$AH$16,TRUE,Currency1))</f>
        <v>0</v>
      </c>
      <c r="AE148" s="882">
        <f>IF($O149=0,0,        _xll.qDateNext($O148,AE$17,$AH$16,TRUE,Currency1))</f>
        <v>0</v>
      </c>
      <c r="AF148" s="882">
        <f>IF($O149=0,0,        _xll.qDateNext($O148,AF$17,$AH$16,TRUE,Currency1))</f>
        <v>0</v>
      </c>
      <c r="AG148" s="882">
        <f>IF($O149=0,0,        _xll.qDateNext($O148,AG$17,$AH$16,TRUE,Currency1))</f>
        <v>0</v>
      </c>
      <c r="AH148" s="882">
        <f>IF($O149=0,0,        _xll.qDateNext($O148,AH$17,$AH$16,TRUE,Currency1))</f>
        <v>0</v>
      </c>
      <c r="AI148" s="886">
        <f>IF($O149=0,0,           IF(FRM,_xll.qGetFwdRate(AI$14,$O148,AA148,"T",DCC_Leg1_Float),_xll.qGetFwdRate(AI$14,$O148,$O149,"T",DCC_Leg1_Float)))</f>
        <v>0</v>
      </c>
      <c r="AJ148" s="886">
        <f>IF($O149=0,0,           IF(FRM,_xll.qGetFwdRate(AJ$14,$O148,AB148,"T",DCC_Leg1_Float),_xll.qGetFwdRate(AJ$14,$O148,$O149,"T",DCC_Leg1_Float)))</f>
        <v>0</v>
      </c>
      <c r="AK148" s="886">
        <f t="shared" si="68"/>
        <v>0</v>
      </c>
      <c r="AL148" s="886">
        <f>IF($O149=0,0,           IF(FRM,_xll.qGetFwdRate(AL$14,$O148,AD148,"T",DCC_Leg1_Float),_xll.qGetFwdRate(AL$14,$O148,$O149,"T",DCC_Leg1_Float)))</f>
        <v>0</v>
      </c>
      <c r="AM148" s="886">
        <f t="shared" si="81"/>
        <v>0</v>
      </c>
      <c r="AN148" s="886">
        <f t="shared" si="82"/>
        <v>0</v>
      </c>
      <c r="AO148" s="886">
        <f>IF($O149=0,0,           IF(FRM,_xll.qGetFwdRate(AO$14,$O148,AG148,"T",DCC_Leg1_Float),_xll.qGetFwdRate(AO$14,$O148,$O149,"T",DCC_Leg1_Float)))</f>
        <v>0</v>
      </c>
      <c r="AP148" s="886">
        <f>IF($O149=0,0,           IF(FRM,_xll.qGetFwdRate(AP$14,$O148,AH148,"T",DCC_Leg1_Float),_xll.qGetFwdRate(AP$14,$O148,$O149,"T",DCC_Leg1_Float)))</f>
        <v>0</v>
      </c>
      <c r="AQ148" s="648">
        <f t="shared" si="83"/>
        <v>0</v>
      </c>
      <c r="AR148" s="648">
        <f t="shared" si="84"/>
        <v>0</v>
      </c>
      <c r="AS148" s="648">
        <f t="shared" si="85"/>
        <v>0</v>
      </c>
      <c r="AT148" s="648">
        <f t="shared" si="86"/>
        <v>0</v>
      </c>
      <c r="AU148" s="648">
        <f t="shared" si="87"/>
        <v>0</v>
      </c>
      <c r="AV148" s="648">
        <f t="shared" si="88"/>
        <v>0</v>
      </c>
      <c r="AW148" s="648">
        <f t="shared" si="89"/>
        <v>0</v>
      </c>
      <c r="AX148" s="648">
        <f t="shared" si="90"/>
        <v>0</v>
      </c>
      <c r="AY148" s="634">
        <v>0</v>
      </c>
      <c r="AZ148" s="616"/>
      <c r="BA148" s="619">
        <f>IF(O149=0,0,             IF(ISNUMBER(AZ148),AZ148,             IF(ISTEXT(AZ148),INDEX(AQ148:AX148,MATCH(AZ148,$AQ$17:$AX$17,0)),           IF(AY148="INT",_xll.qInterp(O149,AA148:AH148,AQ148:AX148),       INDEX(AQ148:AX148,MATCH(AY148,$AQ$17:$AX$17,0))))))</f>
        <v>0</v>
      </c>
      <c r="BB148" s="674">
        <v>100</v>
      </c>
      <c r="BC148" s="666">
        <f t="shared" si="69"/>
        <v>0</v>
      </c>
      <c r="BD148" s="268">
        <f>IF($O149=0,0,                IF(LEFT(DCC_Leg1_Fixed,2)="1/",uEvaluate(DCC_Leg1_Fixed),        _xll.qDateYears($O148,$O149,DCC_Leg1_Fixed)))</f>
        <v>0</v>
      </c>
      <c r="BE148" s="268">
        <f>IF($O149,_xll.qDateYears($O148,$O149,DCC_Leg1_Float),0)</f>
        <v>0</v>
      </c>
      <c r="BG148" s="332">
        <f t="shared" si="91"/>
        <v>0</v>
      </c>
      <c r="BH148" s="357">
        <f t="shared" si="92"/>
        <v>0</v>
      </c>
      <c r="BI148" s="527"/>
      <c r="BK148" s="324">
        <f t="shared" si="65"/>
        <v>0</v>
      </c>
      <c r="BM148" s="338"/>
      <c r="BN148" s="121">
        <v>0</v>
      </c>
      <c r="BO148" s="755">
        <f t="shared" si="70"/>
        <v>0</v>
      </c>
      <c r="BP148" s="339">
        <v>0</v>
      </c>
      <c r="BQ148" s="890">
        <f>IF(BN149=0,0,         IF(OR(Currency2="AUD",Currency1="NZD",Currency2="GBP"),BN148,   _xll.qDateNext(BN148,"-2b",,,IF(Currency2="EUR","TGT","LON"))))</f>
        <v>0</v>
      </c>
      <c r="BR148" s="879" t="str">
        <v/>
      </c>
      <c r="BS148" s="879" t="str">
        <v/>
      </c>
      <c r="BT148" s="879" t="str">
        <v/>
      </c>
      <c r="BU148" s="879" t="str">
        <v/>
      </c>
      <c r="BV148" s="879" t="str">
        <v/>
      </c>
      <c r="BW148" s="879" t="str">
        <v/>
      </c>
      <c r="BX148" s="879" t="str">
        <v/>
      </c>
      <c r="BY148" s="879" t="str">
        <v/>
      </c>
      <c r="BZ148" s="882">
        <f>IF($BN149=0,0,        _xll.qDateNext($BN148,BZ$17,$CG$16,TRUE,Currency2))</f>
        <v>0</v>
      </c>
      <c r="CA148" s="882">
        <f>IF($BN149=0,0,        _xll.qDateNext($BN148,CA$17,$CG$16,TRUE,Currency2))</f>
        <v>0</v>
      </c>
      <c r="CB148" s="882">
        <f>IF($BN149=0,0,        _xll.qDateNext($BN148,CB$17,$CG$16,TRUE,Currency2))</f>
        <v>0</v>
      </c>
      <c r="CC148" s="882">
        <f>IF($BN149=0,0,        _xll.qDateNext($BN148,CC$17,$CG$16,TRUE,Currency2))</f>
        <v>0</v>
      </c>
      <c r="CD148" s="882">
        <f>IF($BN149=0,0,        _xll.qDateNext($BN148,CD$17,$CG$16,TRUE,Currency2))</f>
        <v>0</v>
      </c>
      <c r="CE148" s="882">
        <f>IF($BN149=0,0,        _xll.qDateNext($BN148,CE$17,$CG$16,TRUE,Currency2))</f>
        <v>0</v>
      </c>
      <c r="CF148" s="882">
        <f>IF($BN149=0,0,        _xll.qDateNext($BN148,CF$17,$CG$16,TRUE,Currency2))</f>
        <v>0</v>
      </c>
      <c r="CG148" s="882">
        <f>IF($BN149=0,0,        _xll.qDateNext($BN148,CG$17,$CG$16,TRUE,Currency2))</f>
        <v>0</v>
      </c>
      <c r="CH148" s="886">
        <v>0</v>
      </c>
      <c r="CI148" s="886">
        <v>0</v>
      </c>
      <c r="CJ148" s="886">
        <v>0</v>
      </c>
      <c r="CK148" s="886">
        <v>0</v>
      </c>
      <c r="CL148" s="886">
        <f t="shared" si="93"/>
        <v>0</v>
      </c>
      <c r="CM148" s="886">
        <f t="shared" si="94"/>
        <v>0</v>
      </c>
      <c r="CN148" s="886">
        <v>0</v>
      </c>
      <c r="CO148" s="886">
        <v>0</v>
      </c>
      <c r="CP148" s="648">
        <f t="shared" si="71"/>
        <v>0</v>
      </c>
      <c r="CQ148" s="648">
        <f t="shared" si="72"/>
        <v>0</v>
      </c>
      <c r="CR148" s="648">
        <f t="shared" si="73"/>
        <v>0</v>
      </c>
      <c r="CS148" s="648">
        <f t="shared" si="74"/>
        <v>0</v>
      </c>
      <c r="CT148" s="648">
        <f t="shared" si="75"/>
        <v>0</v>
      </c>
      <c r="CU148" s="648">
        <f t="shared" si="76"/>
        <v>0</v>
      </c>
      <c r="CV148" s="648">
        <f t="shared" si="77"/>
        <v>0</v>
      </c>
      <c r="CW148" s="648">
        <f t="shared" si="78"/>
        <v>0</v>
      </c>
      <c r="CX148" s="634">
        <v>0</v>
      </c>
      <c r="CY148" s="616"/>
      <c r="CZ148" s="619">
        <f>IF(BN149=0,0,             IF(ISNUMBER(CY148),CY148,             IF(ISTEXT(CY148),INDEX(CP148:CW148,MATCH(CY148,$CP$17:$CW$17,0)),           IF(CX148="INT",_xll.qInterp(BN149,BZ148:CG148,CP148:CW148),       INDEX(CP148:CW148,MATCH(CX148,$CP$17:$CW$17,0))))))</f>
        <v>0</v>
      </c>
      <c r="DA148" s="755">
        <f t="shared" si="79"/>
        <v>0</v>
      </c>
      <c r="DB148" s="387">
        <f t="shared" si="80"/>
        <v>0</v>
      </c>
      <c r="DC148" s="268">
        <f>IF($BN149=0,0,         IF(LEFT(DCC_Leg2_Fixed,2)="1/",uEvaluate(DCC_Leg2_Fixed),         _xll.qDateYears($BN148,$BN149,DCC_Leg2_Fixed)))</f>
        <v>0</v>
      </c>
      <c r="DD148" s="268">
        <f>IF($BN149,_xll.qDateYears($BN148,$BN149,DCC_Leg2_Float),0)</f>
        <v>0</v>
      </c>
      <c r="DF148" s="332">
        <f t="shared" si="95"/>
        <v>0</v>
      </c>
      <c r="DG148" s="357">
        <f t="shared" si="96"/>
        <v>0</v>
      </c>
      <c r="DH148" s="527"/>
      <c r="DJ148" s="324">
        <f t="shared" si="66"/>
        <v>0</v>
      </c>
      <c r="DK148" s="529"/>
      <c r="DL148" s="338"/>
    </row>
    <row r="149" spans="15:116">
      <c r="O149" s="121">
        <v>0</v>
      </c>
      <c r="P149" s="755">
        <f t="shared" si="67"/>
        <v>0</v>
      </c>
      <c r="Q149" s="125">
        <v>0</v>
      </c>
      <c r="R149" s="890">
        <f>IF(O150=0,0,         IF(OR(Currency1="AUD",Currency1="NZD",Currency1="GBP"),O149,   _xll.qDateNext(O149,"-2b",,,IF(Currency1="EUR","TGT","LON"))))</f>
        <v>0</v>
      </c>
      <c r="S149" s="879" t="str">
        <v/>
      </c>
      <c r="T149" s="879" t="str">
        <v/>
      </c>
      <c r="U149" s="879" t="str">
        <v/>
      </c>
      <c r="V149" s="879" t="str">
        <v/>
      </c>
      <c r="W149" s="879" t="str">
        <v/>
      </c>
      <c r="X149" s="879" t="str">
        <v/>
      </c>
      <c r="Y149" s="879" t="str">
        <v/>
      </c>
      <c r="Z149" s="879" t="str">
        <v/>
      </c>
      <c r="AA149" s="882">
        <f>IF($O150=0,0,        _xll.qDateNext($O149,AA$17,$AH$16,TRUE,Currency1))</f>
        <v>0</v>
      </c>
      <c r="AB149" s="882">
        <f>IF($O150=0,0,        _xll.qDateNext($O149,AB$17,$AH$16,TRUE,Currency1))</f>
        <v>0</v>
      </c>
      <c r="AC149" s="882">
        <f>IF($O150=0,0,        _xll.qDateNext($O149,AC$17,$AH$16,TRUE,Currency1))</f>
        <v>0</v>
      </c>
      <c r="AD149" s="882">
        <f>IF($O150=0,0,        _xll.qDateNext($O149,AD$17,$AH$16,TRUE,Currency1))</f>
        <v>0</v>
      </c>
      <c r="AE149" s="882">
        <f>IF($O150=0,0,        _xll.qDateNext($O149,AE$17,$AH$16,TRUE,Currency1))</f>
        <v>0</v>
      </c>
      <c r="AF149" s="882">
        <f>IF($O150=0,0,        _xll.qDateNext($O149,AF$17,$AH$16,TRUE,Currency1))</f>
        <v>0</v>
      </c>
      <c r="AG149" s="882">
        <f>IF($O150=0,0,        _xll.qDateNext($O149,AG$17,$AH$16,TRUE,Currency1))</f>
        <v>0</v>
      </c>
      <c r="AH149" s="882">
        <f>IF($O150=0,0,        _xll.qDateNext($O149,AH$17,$AH$16,TRUE,Currency1))</f>
        <v>0</v>
      </c>
      <c r="AI149" s="886">
        <f>IF($O150=0,0,           IF(FRM,_xll.qGetFwdRate(AI$14,$O149,AA149,"T",DCC_Leg1_Float),_xll.qGetFwdRate(AI$14,$O149,$O150,"T",DCC_Leg1_Float)))</f>
        <v>0</v>
      </c>
      <c r="AJ149" s="886">
        <f>IF($O150=0,0,           IF(FRM,_xll.qGetFwdRate(AJ$14,$O149,AB149,"T",DCC_Leg1_Float),_xll.qGetFwdRate(AJ$14,$O149,$O150,"T",DCC_Leg1_Float)))</f>
        <v>0</v>
      </c>
      <c r="AK149" s="886">
        <f t="shared" si="68"/>
        <v>0</v>
      </c>
      <c r="AL149" s="886">
        <f>IF($O150=0,0,           IF(FRM,_xll.qGetFwdRate(AL$14,$O149,AD149,"T",DCC_Leg1_Float),_xll.qGetFwdRate(AL$14,$O149,$O150,"T",DCC_Leg1_Float)))</f>
        <v>0</v>
      </c>
      <c r="AM149" s="886">
        <f t="shared" si="81"/>
        <v>0</v>
      </c>
      <c r="AN149" s="886">
        <f t="shared" si="82"/>
        <v>0</v>
      </c>
      <c r="AO149" s="886">
        <f>IF($O150=0,0,           IF(FRM,_xll.qGetFwdRate(AO$14,$O149,AG149,"T",DCC_Leg1_Float),_xll.qGetFwdRate(AO$14,$O149,$O150,"T",DCC_Leg1_Float)))</f>
        <v>0</v>
      </c>
      <c r="AP149" s="886">
        <f>IF($O150=0,0,           IF(FRM,_xll.qGetFwdRate(AP$14,$O149,AH149,"T",DCC_Leg1_Float),_xll.qGetFwdRate(AP$14,$O149,$O150,"T",DCC_Leg1_Float)))</f>
        <v>0</v>
      </c>
      <c r="AQ149" s="648">
        <f t="shared" si="83"/>
        <v>0</v>
      </c>
      <c r="AR149" s="648">
        <f t="shared" si="84"/>
        <v>0</v>
      </c>
      <c r="AS149" s="648">
        <f t="shared" si="85"/>
        <v>0</v>
      </c>
      <c r="AT149" s="648">
        <f t="shared" si="86"/>
        <v>0</v>
      </c>
      <c r="AU149" s="648">
        <f t="shared" si="87"/>
        <v>0</v>
      </c>
      <c r="AV149" s="648">
        <f t="shared" si="88"/>
        <v>0</v>
      </c>
      <c r="AW149" s="648">
        <f t="shared" si="89"/>
        <v>0</v>
      </c>
      <c r="AX149" s="648">
        <f t="shared" si="90"/>
        <v>0</v>
      </c>
      <c r="AY149" s="634">
        <v>0</v>
      </c>
      <c r="AZ149" s="616"/>
      <c r="BA149" s="619">
        <f>IF(O150=0,0,             IF(ISNUMBER(AZ149),AZ149,             IF(ISTEXT(AZ149),INDEX(AQ149:AX149,MATCH(AZ149,$AQ$17:$AX$17,0)),           IF(AY149="INT",_xll.qInterp(O150,AA149:AH149,AQ149:AX149),       INDEX(AQ149:AX149,MATCH(AY149,$AQ$17:$AX$17,0))))))</f>
        <v>0</v>
      </c>
      <c r="BB149" s="674">
        <v>100</v>
      </c>
      <c r="BC149" s="666">
        <f t="shared" si="69"/>
        <v>0</v>
      </c>
      <c r="BD149" s="268">
        <f>IF($O150=0,0,                IF(LEFT(DCC_Leg1_Fixed,2)="1/",uEvaluate(DCC_Leg1_Fixed),        _xll.qDateYears($O149,$O150,DCC_Leg1_Fixed)))</f>
        <v>0</v>
      </c>
      <c r="BE149" s="268">
        <f>IF($O150,_xll.qDateYears($O149,$O150,DCC_Leg1_Float),0)</f>
        <v>0</v>
      </c>
      <c r="BG149" s="332">
        <f t="shared" si="91"/>
        <v>0</v>
      </c>
      <c r="BH149" s="357">
        <f t="shared" si="92"/>
        <v>0</v>
      </c>
      <c r="BI149" s="527"/>
      <c r="BK149" s="324">
        <f t="shared" si="65"/>
        <v>0</v>
      </c>
      <c r="BM149" s="338"/>
      <c r="BN149" s="121">
        <v>0</v>
      </c>
      <c r="BO149" s="755">
        <f t="shared" si="70"/>
        <v>0</v>
      </c>
      <c r="BP149" s="339">
        <v>0</v>
      </c>
      <c r="BQ149" s="890">
        <f>IF(BN150=0,0,         IF(OR(Currency2="AUD",Currency1="NZD",Currency2="GBP"),BN149,   _xll.qDateNext(BN149,"-2b",,,IF(Currency2="EUR","TGT","LON"))))</f>
        <v>0</v>
      </c>
      <c r="BR149" s="879" t="str">
        <v/>
      </c>
      <c r="BS149" s="879" t="str">
        <v/>
      </c>
      <c r="BT149" s="879" t="str">
        <v/>
      </c>
      <c r="BU149" s="879" t="str">
        <v/>
      </c>
      <c r="BV149" s="879" t="str">
        <v/>
      </c>
      <c r="BW149" s="879" t="str">
        <v/>
      </c>
      <c r="BX149" s="879" t="str">
        <v/>
      </c>
      <c r="BY149" s="879" t="str">
        <v/>
      </c>
      <c r="BZ149" s="882">
        <f>IF($BN150=0,0,        _xll.qDateNext($BN149,BZ$17,$CG$16,TRUE,Currency2))</f>
        <v>0</v>
      </c>
      <c r="CA149" s="882">
        <f>IF($BN150=0,0,        _xll.qDateNext($BN149,CA$17,$CG$16,TRUE,Currency2))</f>
        <v>0</v>
      </c>
      <c r="CB149" s="882">
        <f>IF($BN150=0,0,        _xll.qDateNext($BN149,CB$17,$CG$16,TRUE,Currency2))</f>
        <v>0</v>
      </c>
      <c r="CC149" s="882">
        <f>IF($BN150=0,0,        _xll.qDateNext($BN149,CC$17,$CG$16,TRUE,Currency2))</f>
        <v>0</v>
      </c>
      <c r="CD149" s="882">
        <f>IF($BN150=0,0,        _xll.qDateNext($BN149,CD$17,$CG$16,TRUE,Currency2))</f>
        <v>0</v>
      </c>
      <c r="CE149" s="882">
        <f>IF($BN150=0,0,        _xll.qDateNext($BN149,CE$17,$CG$16,TRUE,Currency2))</f>
        <v>0</v>
      </c>
      <c r="CF149" s="882">
        <f>IF($BN150=0,0,        _xll.qDateNext($BN149,CF$17,$CG$16,TRUE,Currency2))</f>
        <v>0</v>
      </c>
      <c r="CG149" s="882">
        <f>IF($BN150=0,0,        _xll.qDateNext($BN149,CG$17,$CG$16,TRUE,Currency2))</f>
        <v>0</v>
      </c>
      <c r="CH149" s="886">
        <v>0</v>
      </c>
      <c r="CI149" s="886">
        <v>0</v>
      </c>
      <c r="CJ149" s="886">
        <v>0</v>
      </c>
      <c r="CK149" s="886">
        <v>0</v>
      </c>
      <c r="CL149" s="886">
        <f t="shared" si="93"/>
        <v>0</v>
      </c>
      <c r="CM149" s="886">
        <f t="shared" si="94"/>
        <v>0</v>
      </c>
      <c r="CN149" s="886">
        <v>0</v>
      </c>
      <c r="CO149" s="886">
        <v>0</v>
      </c>
      <c r="CP149" s="648">
        <f t="shared" si="71"/>
        <v>0</v>
      </c>
      <c r="CQ149" s="648">
        <f t="shared" si="72"/>
        <v>0</v>
      </c>
      <c r="CR149" s="648">
        <f t="shared" si="73"/>
        <v>0</v>
      </c>
      <c r="CS149" s="648">
        <f t="shared" si="74"/>
        <v>0</v>
      </c>
      <c r="CT149" s="648">
        <f t="shared" si="75"/>
        <v>0</v>
      </c>
      <c r="CU149" s="648">
        <f t="shared" si="76"/>
        <v>0</v>
      </c>
      <c r="CV149" s="648">
        <f t="shared" si="77"/>
        <v>0</v>
      </c>
      <c r="CW149" s="648">
        <f t="shared" si="78"/>
        <v>0</v>
      </c>
      <c r="CX149" s="634">
        <v>0</v>
      </c>
      <c r="CY149" s="616"/>
      <c r="CZ149" s="619">
        <f>IF(BN150=0,0,             IF(ISNUMBER(CY149),CY149,             IF(ISTEXT(CY149),INDEX(CP149:CW149,MATCH(CY149,$CP$17:$CW$17,0)),           IF(CX149="INT",_xll.qInterp(BN150,BZ149:CG149,CP149:CW149),       INDEX(CP149:CW149,MATCH(CX149,$CP$17:$CW$17,0))))))</f>
        <v>0</v>
      </c>
      <c r="DA149" s="755">
        <f t="shared" si="79"/>
        <v>0</v>
      </c>
      <c r="DB149" s="387">
        <f t="shared" si="80"/>
        <v>0</v>
      </c>
      <c r="DC149" s="268">
        <f>IF($BN150=0,0,         IF(LEFT(DCC_Leg2_Fixed,2)="1/",uEvaluate(DCC_Leg2_Fixed),         _xll.qDateYears($BN149,$BN150,DCC_Leg2_Fixed)))</f>
        <v>0</v>
      </c>
      <c r="DD149" s="268">
        <f>IF($BN150,_xll.qDateYears($BN149,$BN150,DCC_Leg2_Float),0)</f>
        <v>0</v>
      </c>
      <c r="DF149" s="332">
        <f t="shared" si="95"/>
        <v>0</v>
      </c>
      <c r="DG149" s="357">
        <f t="shared" si="96"/>
        <v>0</v>
      </c>
      <c r="DH149" s="527"/>
      <c r="DJ149" s="324">
        <f t="shared" si="66"/>
        <v>0</v>
      </c>
      <c r="DK149" s="529"/>
      <c r="DL149" s="338"/>
    </row>
    <row r="150" spans="15:116">
      <c r="O150" s="121">
        <v>0</v>
      </c>
      <c r="P150" s="755">
        <f t="shared" si="67"/>
        <v>0</v>
      </c>
      <c r="Q150" s="125">
        <v>0</v>
      </c>
      <c r="R150" s="890">
        <f>IF(O151=0,0,         IF(OR(Currency1="AUD",Currency1="NZD",Currency1="GBP"),O150,   _xll.qDateNext(O150,"-2b",,,IF(Currency1="EUR","TGT","LON"))))</f>
        <v>0</v>
      </c>
      <c r="S150" s="879" t="str">
        <v/>
      </c>
      <c r="T150" s="879" t="str">
        <v/>
      </c>
      <c r="U150" s="879" t="str">
        <v/>
      </c>
      <c r="V150" s="879" t="str">
        <v/>
      </c>
      <c r="W150" s="879" t="str">
        <v/>
      </c>
      <c r="X150" s="879" t="str">
        <v/>
      </c>
      <c r="Y150" s="879" t="str">
        <v/>
      </c>
      <c r="Z150" s="879" t="str">
        <v/>
      </c>
      <c r="AA150" s="882">
        <f>IF($O151=0,0,        _xll.qDateNext($O150,AA$17,$AH$16,TRUE,Currency1))</f>
        <v>0</v>
      </c>
      <c r="AB150" s="882">
        <f>IF($O151=0,0,        _xll.qDateNext($O150,AB$17,$AH$16,TRUE,Currency1))</f>
        <v>0</v>
      </c>
      <c r="AC150" s="882">
        <f>IF($O151=0,0,        _xll.qDateNext($O150,AC$17,$AH$16,TRUE,Currency1))</f>
        <v>0</v>
      </c>
      <c r="AD150" s="882">
        <f>IF($O151=0,0,        _xll.qDateNext($O150,AD$17,$AH$16,TRUE,Currency1))</f>
        <v>0</v>
      </c>
      <c r="AE150" s="882">
        <f>IF($O151=0,0,        _xll.qDateNext($O150,AE$17,$AH$16,TRUE,Currency1))</f>
        <v>0</v>
      </c>
      <c r="AF150" s="882">
        <f>IF($O151=0,0,        _xll.qDateNext($O150,AF$17,$AH$16,TRUE,Currency1))</f>
        <v>0</v>
      </c>
      <c r="AG150" s="882">
        <f>IF($O151=0,0,        _xll.qDateNext($O150,AG$17,$AH$16,TRUE,Currency1))</f>
        <v>0</v>
      </c>
      <c r="AH150" s="882">
        <f>IF($O151=0,0,        _xll.qDateNext($O150,AH$17,$AH$16,TRUE,Currency1))</f>
        <v>0</v>
      </c>
      <c r="AI150" s="886">
        <f>IF($O151=0,0,           IF(FRM,_xll.qGetFwdRate(AI$14,$O150,AA150,"T",DCC_Leg1_Float),_xll.qGetFwdRate(AI$14,$O150,$O151,"T",DCC_Leg1_Float)))</f>
        <v>0</v>
      </c>
      <c r="AJ150" s="886">
        <f>IF($O151=0,0,           IF(FRM,_xll.qGetFwdRate(AJ$14,$O150,AB150,"T",DCC_Leg1_Float),_xll.qGetFwdRate(AJ$14,$O150,$O151,"T",DCC_Leg1_Float)))</f>
        <v>0</v>
      </c>
      <c r="AK150" s="886">
        <f t="shared" si="68"/>
        <v>0</v>
      </c>
      <c r="AL150" s="886">
        <f>IF($O151=0,0,           IF(FRM,_xll.qGetFwdRate(AL$14,$O150,AD150,"T",DCC_Leg1_Float),_xll.qGetFwdRate(AL$14,$O150,$O151,"T",DCC_Leg1_Float)))</f>
        <v>0</v>
      </c>
      <c r="AM150" s="886">
        <f t="shared" si="81"/>
        <v>0</v>
      </c>
      <c r="AN150" s="886">
        <f t="shared" si="82"/>
        <v>0</v>
      </c>
      <c r="AO150" s="886">
        <f>IF($O151=0,0,           IF(FRM,_xll.qGetFwdRate(AO$14,$O150,AG150,"T",DCC_Leg1_Float),_xll.qGetFwdRate(AO$14,$O150,$O151,"T",DCC_Leg1_Float)))</f>
        <v>0</v>
      </c>
      <c r="AP150" s="886">
        <f>IF($O151=0,0,           IF(FRM,_xll.qGetFwdRate(AP$14,$O150,AH150,"T",DCC_Leg1_Float),_xll.qGetFwdRate(AP$14,$O150,$O151,"T",DCC_Leg1_Float)))</f>
        <v>0</v>
      </c>
      <c r="AQ150" s="648">
        <f t="shared" si="83"/>
        <v>0</v>
      </c>
      <c r="AR150" s="648">
        <f t="shared" si="84"/>
        <v>0</v>
      </c>
      <c r="AS150" s="648">
        <f t="shared" si="85"/>
        <v>0</v>
      </c>
      <c r="AT150" s="648">
        <f t="shared" si="86"/>
        <v>0</v>
      </c>
      <c r="AU150" s="648">
        <f t="shared" si="87"/>
        <v>0</v>
      </c>
      <c r="AV150" s="648">
        <f t="shared" si="88"/>
        <v>0</v>
      </c>
      <c r="AW150" s="648">
        <f t="shared" si="89"/>
        <v>0</v>
      </c>
      <c r="AX150" s="648">
        <f t="shared" si="90"/>
        <v>0</v>
      </c>
      <c r="AY150" s="634">
        <v>0</v>
      </c>
      <c r="AZ150" s="616"/>
      <c r="BA150" s="619">
        <f>IF(O151=0,0,             IF(ISNUMBER(AZ150),AZ150,             IF(ISTEXT(AZ150),INDEX(AQ150:AX150,MATCH(AZ150,$AQ$17:$AX$17,0)),           IF(AY150="INT",_xll.qInterp(O151,AA150:AH150,AQ150:AX150),       INDEX(AQ150:AX150,MATCH(AY150,$AQ$17:$AX$17,0))))))</f>
        <v>0</v>
      </c>
      <c r="BB150" s="674">
        <v>100</v>
      </c>
      <c r="BC150" s="666">
        <f t="shared" si="69"/>
        <v>0</v>
      </c>
      <c r="BD150" s="268">
        <f>IF($O151=0,0,                IF(LEFT(DCC_Leg1_Fixed,2)="1/",uEvaluate(DCC_Leg1_Fixed),        _xll.qDateYears($O150,$O151,DCC_Leg1_Fixed)))</f>
        <v>0</v>
      </c>
      <c r="BE150" s="268">
        <f>IF($O151,_xll.qDateYears($O150,$O151,DCC_Leg1_Float),0)</f>
        <v>0</v>
      </c>
      <c r="BG150" s="332">
        <f t="shared" si="91"/>
        <v>0</v>
      </c>
      <c r="BH150" s="357">
        <f t="shared" si="92"/>
        <v>0</v>
      </c>
      <c r="BI150" s="527"/>
      <c r="BK150" s="324">
        <f t="shared" si="65"/>
        <v>0</v>
      </c>
      <c r="BM150" s="338"/>
      <c r="BN150" s="121">
        <v>0</v>
      </c>
      <c r="BO150" s="755">
        <f t="shared" si="70"/>
        <v>0</v>
      </c>
      <c r="BP150" s="339">
        <v>0</v>
      </c>
      <c r="BQ150" s="890">
        <f>IF(BN151=0,0,         IF(OR(Currency2="AUD",Currency1="NZD",Currency2="GBP"),BN150,   _xll.qDateNext(BN150,"-2b",,,IF(Currency2="EUR","TGT","LON"))))</f>
        <v>0</v>
      </c>
      <c r="BR150" s="879" t="str">
        <v/>
      </c>
      <c r="BS150" s="879" t="str">
        <v/>
      </c>
      <c r="BT150" s="879" t="str">
        <v/>
      </c>
      <c r="BU150" s="879" t="str">
        <v/>
      </c>
      <c r="BV150" s="879" t="str">
        <v/>
      </c>
      <c r="BW150" s="879" t="str">
        <v/>
      </c>
      <c r="BX150" s="879" t="str">
        <v/>
      </c>
      <c r="BY150" s="879" t="str">
        <v/>
      </c>
      <c r="BZ150" s="882">
        <f>IF($BN151=0,0,        _xll.qDateNext($BN150,BZ$17,$CG$16,TRUE,Currency2))</f>
        <v>0</v>
      </c>
      <c r="CA150" s="882">
        <f>IF($BN151=0,0,        _xll.qDateNext($BN150,CA$17,$CG$16,TRUE,Currency2))</f>
        <v>0</v>
      </c>
      <c r="CB150" s="882">
        <f>IF($BN151=0,0,        _xll.qDateNext($BN150,CB$17,$CG$16,TRUE,Currency2))</f>
        <v>0</v>
      </c>
      <c r="CC150" s="882">
        <f>IF($BN151=0,0,        _xll.qDateNext($BN150,CC$17,$CG$16,TRUE,Currency2))</f>
        <v>0</v>
      </c>
      <c r="CD150" s="882">
        <f>IF($BN151=0,0,        _xll.qDateNext($BN150,CD$17,$CG$16,TRUE,Currency2))</f>
        <v>0</v>
      </c>
      <c r="CE150" s="882">
        <f>IF($BN151=0,0,        _xll.qDateNext($BN150,CE$17,$CG$16,TRUE,Currency2))</f>
        <v>0</v>
      </c>
      <c r="CF150" s="882">
        <f>IF($BN151=0,0,        _xll.qDateNext($BN150,CF$17,$CG$16,TRUE,Currency2))</f>
        <v>0</v>
      </c>
      <c r="CG150" s="882">
        <f>IF($BN151=0,0,        _xll.qDateNext($BN150,CG$17,$CG$16,TRUE,Currency2))</f>
        <v>0</v>
      </c>
      <c r="CH150" s="886">
        <v>0</v>
      </c>
      <c r="CI150" s="886">
        <v>0</v>
      </c>
      <c r="CJ150" s="886">
        <v>0</v>
      </c>
      <c r="CK150" s="886">
        <v>0</v>
      </c>
      <c r="CL150" s="886">
        <f t="shared" si="93"/>
        <v>0</v>
      </c>
      <c r="CM150" s="886">
        <f t="shared" si="94"/>
        <v>0</v>
      </c>
      <c r="CN150" s="886">
        <v>0</v>
      </c>
      <c r="CO150" s="886">
        <v>0</v>
      </c>
      <c r="CP150" s="648">
        <f t="shared" si="71"/>
        <v>0</v>
      </c>
      <c r="CQ150" s="648">
        <f t="shared" si="72"/>
        <v>0</v>
      </c>
      <c r="CR150" s="648">
        <f t="shared" si="73"/>
        <v>0</v>
      </c>
      <c r="CS150" s="648">
        <f t="shared" si="74"/>
        <v>0</v>
      </c>
      <c r="CT150" s="648">
        <f t="shared" si="75"/>
        <v>0</v>
      </c>
      <c r="CU150" s="648">
        <f t="shared" si="76"/>
        <v>0</v>
      </c>
      <c r="CV150" s="648">
        <f t="shared" si="77"/>
        <v>0</v>
      </c>
      <c r="CW150" s="648">
        <f t="shared" si="78"/>
        <v>0</v>
      </c>
      <c r="CX150" s="634">
        <v>0</v>
      </c>
      <c r="CY150" s="616"/>
      <c r="CZ150" s="619">
        <f>IF(BN151=0,0,             IF(ISNUMBER(CY150),CY150,             IF(ISTEXT(CY150),INDEX(CP150:CW150,MATCH(CY150,$CP$17:$CW$17,0)),           IF(CX150="INT",_xll.qInterp(BN151,BZ150:CG150,CP150:CW150),       INDEX(CP150:CW150,MATCH(CX150,$CP$17:$CW$17,0))))))</f>
        <v>0</v>
      </c>
      <c r="DA150" s="755">
        <f t="shared" si="79"/>
        <v>0</v>
      </c>
      <c r="DB150" s="387">
        <f t="shared" si="80"/>
        <v>0</v>
      </c>
      <c r="DC150" s="268">
        <f>IF($BN151=0,0,         IF(LEFT(DCC_Leg2_Fixed,2)="1/",uEvaluate(DCC_Leg2_Fixed),         _xll.qDateYears($BN150,$BN151,DCC_Leg2_Fixed)))</f>
        <v>0</v>
      </c>
      <c r="DD150" s="268">
        <f>IF($BN151,_xll.qDateYears($BN150,$BN151,DCC_Leg2_Float),0)</f>
        <v>0</v>
      </c>
      <c r="DF150" s="332">
        <f t="shared" si="95"/>
        <v>0</v>
      </c>
      <c r="DG150" s="357">
        <f t="shared" si="96"/>
        <v>0</v>
      </c>
      <c r="DH150" s="527"/>
      <c r="DJ150" s="324">
        <f t="shared" si="66"/>
        <v>0</v>
      </c>
      <c r="DK150" s="529"/>
      <c r="DL150" s="338"/>
    </row>
    <row r="151" spans="15:116">
      <c r="O151" s="121">
        <v>0</v>
      </c>
      <c r="P151" s="755">
        <f t="shared" si="67"/>
        <v>0</v>
      </c>
      <c r="Q151" s="125">
        <v>0</v>
      </c>
      <c r="R151" s="890">
        <f>IF(O152=0,0,         IF(OR(Currency1="AUD",Currency1="NZD",Currency1="GBP"),O151,   _xll.qDateNext(O151,"-2b",,,IF(Currency1="EUR","TGT","LON"))))</f>
        <v>0</v>
      </c>
      <c r="S151" s="879" t="str">
        <v/>
      </c>
      <c r="T151" s="879" t="str">
        <v/>
      </c>
      <c r="U151" s="879" t="str">
        <v/>
      </c>
      <c r="V151" s="879" t="str">
        <v/>
      </c>
      <c r="W151" s="879" t="str">
        <v/>
      </c>
      <c r="X151" s="879" t="str">
        <v/>
      </c>
      <c r="Y151" s="879" t="str">
        <v/>
      </c>
      <c r="Z151" s="879" t="str">
        <v/>
      </c>
      <c r="AA151" s="882">
        <f>IF($O152=0,0,        _xll.qDateNext($O151,AA$17,$AH$16,TRUE,Currency1))</f>
        <v>0</v>
      </c>
      <c r="AB151" s="882">
        <f>IF($O152=0,0,        _xll.qDateNext($O151,AB$17,$AH$16,TRUE,Currency1))</f>
        <v>0</v>
      </c>
      <c r="AC151" s="882">
        <f>IF($O152=0,0,        _xll.qDateNext($O151,AC$17,$AH$16,TRUE,Currency1))</f>
        <v>0</v>
      </c>
      <c r="AD151" s="882">
        <f>IF($O152=0,0,        _xll.qDateNext($O151,AD$17,$AH$16,TRUE,Currency1))</f>
        <v>0</v>
      </c>
      <c r="AE151" s="882">
        <f>IF($O152=0,0,        _xll.qDateNext($O151,AE$17,$AH$16,TRUE,Currency1))</f>
        <v>0</v>
      </c>
      <c r="AF151" s="882">
        <f>IF($O152=0,0,        _xll.qDateNext($O151,AF$17,$AH$16,TRUE,Currency1))</f>
        <v>0</v>
      </c>
      <c r="AG151" s="882">
        <f>IF($O152=0,0,        _xll.qDateNext($O151,AG$17,$AH$16,TRUE,Currency1))</f>
        <v>0</v>
      </c>
      <c r="AH151" s="882">
        <f>IF($O152=0,0,        _xll.qDateNext($O151,AH$17,$AH$16,TRUE,Currency1))</f>
        <v>0</v>
      </c>
      <c r="AI151" s="886">
        <f>IF($O152=0,0,           IF(FRM,_xll.qGetFwdRate(AI$14,$O151,AA151,"T",DCC_Leg1_Float),_xll.qGetFwdRate(AI$14,$O151,$O152,"T",DCC_Leg1_Float)))</f>
        <v>0</v>
      </c>
      <c r="AJ151" s="886">
        <f>IF($O152=0,0,           IF(FRM,_xll.qGetFwdRate(AJ$14,$O151,AB151,"T",DCC_Leg1_Float),_xll.qGetFwdRate(AJ$14,$O151,$O152,"T",DCC_Leg1_Float)))</f>
        <v>0</v>
      </c>
      <c r="AK151" s="886">
        <f t="shared" si="68"/>
        <v>0</v>
      </c>
      <c r="AL151" s="886">
        <f>IF($O152=0,0,           IF(FRM,_xll.qGetFwdRate(AL$14,$O151,AD151,"T",DCC_Leg1_Float),_xll.qGetFwdRate(AL$14,$O151,$O152,"T",DCC_Leg1_Float)))</f>
        <v>0</v>
      </c>
      <c r="AM151" s="886">
        <f t="shared" si="81"/>
        <v>0</v>
      </c>
      <c r="AN151" s="886">
        <f t="shared" si="82"/>
        <v>0</v>
      </c>
      <c r="AO151" s="886">
        <f>IF($O152=0,0,           IF(FRM,_xll.qGetFwdRate(AO$14,$O151,AG151,"T",DCC_Leg1_Float),_xll.qGetFwdRate(AO$14,$O151,$O152,"T",DCC_Leg1_Float)))</f>
        <v>0</v>
      </c>
      <c r="AP151" s="886">
        <f>IF($O152=0,0,           IF(FRM,_xll.qGetFwdRate(AP$14,$O151,AH151,"T",DCC_Leg1_Float),_xll.qGetFwdRate(AP$14,$O151,$O152,"T",DCC_Leg1_Float)))</f>
        <v>0</v>
      </c>
      <c r="AQ151" s="648">
        <f t="shared" si="83"/>
        <v>0</v>
      </c>
      <c r="AR151" s="648">
        <f t="shared" si="84"/>
        <v>0</v>
      </c>
      <c r="AS151" s="648">
        <f t="shared" si="85"/>
        <v>0</v>
      </c>
      <c r="AT151" s="648">
        <f t="shared" si="86"/>
        <v>0</v>
      </c>
      <c r="AU151" s="648">
        <f t="shared" si="87"/>
        <v>0</v>
      </c>
      <c r="AV151" s="648">
        <f t="shared" si="88"/>
        <v>0</v>
      </c>
      <c r="AW151" s="648">
        <f t="shared" si="89"/>
        <v>0</v>
      </c>
      <c r="AX151" s="648">
        <f t="shared" si="90"/>
        <v>0</v>
      </c>
      <c r="AY151" s="634">
        <v>0</v>
      </c>
      <c r="AZ151" s="616"/>
      <c r="BA151" s="619">
        <f>IF(O152=0,0,             IF(ISNUMBER(AZ151),AZ151,             IF(ISTEXT(AZ151),INDEX(AQ151:AX151,MATCH(AZ151,$AQ$17:$AX$17,0)),           IF(AY151="INT",_xll.qInterp(O152,AA151:AH151,AQ151:AX151),       INDEX(AQ151:AX151,MATCH(AY151,$AQ$17:$AX$17,0))))))</f>
        <v>0</v>
      </c>
      <c r="BB151" s="674">
        <v>100</v>
      </c>
      <c r="BC151" s="666">
        <f t="shared" si="69"/>
        <v>0</v>
      </c>
      <c r="BD151" s="268">
        <f>IF($O152=0,0,                IF(LEFT(DCC_Leg1_Fixed,2)="1/",uEvaluate(DCC_Leg1_Fixed),        _xll.qDateYears($O151,$O152,DCC_Leg1_Fixed)))</f>
        <v>0</v>
      </c>
      <c r="BE151" s="268">
        <f>IF($O152,_xll.qDateYears($O151,$O152,DCC_Leg1_Float),0)</f>
        <v>0</v>
      </c>
      <c r="BG151" s="332">
        <f t="shared" si="91"/>
        <v>0</v>
      </c>
      <c r="BH151" s="357">
        <f t="shared" si="92"/>
        <v>0</v>
      </c>
      <c r="BI151" s="527"/>
      <c r="BK151" s="324">
        <f t="shared" si="65"/>
        <v>0</v>
      </c>
      <c r="BM151" s="338"/>
      <c r="BN151" s="121">
        <v>0</v>
      </c>
      <c r="BO151" s="755">
        <f t="shared" si="70"/>
        <v>0</v>
      </c>
      <c r="BP151" s="339">
        <v>0</v>
      </c>
      <c r="BQ151" s="890">
        <f>IF(BN152=0,0,         IF(OR(Currency2="AUD",Currency1="NZD",Currency2="GBP"),BN151,   _xll.qDateNext(BN151,"-2b",,,IF(Currency2="EUR","TGT","LON"))))</f>
        <v>0</v>
      </c>
      <c r="BR151" s="879" t="str">
        <v/>
      </c>
      <c r="BS151" s="879" t="str">
        <v/>
      </c>
      <c r="BT151" s="879" t="str">
        <v/>
      </c>
      <c r="BU151" s="879" t="str">
        <v/>
      </c>
      <c r="BV151" s="879" t="str">
        <v/>
      </c>
      <c r="BW151" s="879" t="str">
        <v/>
      </c>
      <c r="BX151" s="879" t="str">
        <v/>
      </c>
      <c r="BY151" s="879" t="str">
        <v/>
      </c>
      <c r="BZ151" s="882">
        <f>IF($BN152=0,0,        _xll.qDateNext($BN151,BZ$17,$CG$16,TRUE,Currency2))</f>
        <v>0</v>
      </c>
      <c r="CA151" s="882">
        <f>IF($BN152=0,0,        _xll.qDateNext($BN151,CA$17,$CG$16,TRUE,Currency2))</f>
        <v>0</v>
      </c>
      <c r="CB151" s="882">
        <f>IF($BN152=0,0,        _xll.qDateNext($BN151,CB$17,$CG$16,TRUE,Currency2))</f>
        <v>0</v>
      </c>
      <c r="CC151" s="882">
        <f>IF($BN152=0,0,        _xll.qDateNext($BN151,CC$17,$CG$16,TRUE,Currency2))</f>
        <v>0</v>
      </c>
      <c r="CD151" s="882">
        <f>IF($BN152=0,0,        _xll.qDateNext($BN151,CD$17,$CG$16,TRUE,Currency2))</f>
        <v>0</v>
      </c>
      <c r="CE151" s="882">
        <f>IF($BN152=0,0,        _xll.qDateNext($BN151,CE$17,$CG$16,TRUE,Currency2))</f>
        <v>0</v>
      </c>
      <c r="CF151" s="882">
        <f>IF($BN152=0,0,        _xll.qDateNext($BN151,CF$17,$CG$16,TRUE,Currency2))</f>
        <v>0</v>
      </c>
      <c r="CG151" s="882">
        <f>IF($BN152=0,0,        _xll.qDateNext($BN151,CG$17,$CG$16,TRUE,Currency2))</f>
        <v>0</v>
      </c>
      <c r="CH151" s="886">
        <v>0</v>
      </c>
      <c r="CI151" s="886">
        <v>0</v>
      </c>
      <c r="CJ151" s="886">
        <v>0</v>
      </c>
      <c r="CK151" s="886">
        <v>0</v>
      </c>
      <c r="CL151" s="886">
        <f t="shared" si="93"/>
        <v>0</v>
      </c>
      <c r="CM151" s="886">
        <f t="shared" si="94"/>
        <v>0</v>
      </c>
      <c r="CN151" s="886">
        <v>0</v>
      </c>
      <c r="CO151" s="886">
        <v>0</v>
      </c>
      <c r="CP151" s="648">
        <f t="shared" si="71"/>
        <v>0</v>
      </c>
      <c r="CQ151" s="648">
        <f t="shared" si="72"/>
        <v>0</v>
      </c>
      <c r="CR151" s="648">
        <f t="shared" si="73"/>
        <v>0</v>
      </c>
      <c r="CS151" s="648">
        <f t="shared" si="74"/>
        <v>0</v>
      </c>
      <c r="CT151" s="648">
        <f t="shared" si="75"/>
        <v>0</v>
      </c>
      <c r="CU151" s="648">
        <f t="shared" si="76"/>
        <v>0</v>
      </c>
      <c r="CV151" s="648">
        <f t="shared" si="77"/>
        <v>0</v>
      </c>
      <c r="CW151" s="648">
        <f t="shared" si="78"/>
        <v>0</v>
      </c>
      <c r="CX151" s="634">
        <v>0</v>
      </c>
      <c r="CY151" s="616"/>
      <c r="CZ151" s="619">
        <f>IF(BN152=0,0,             IF(ISNUMBER(CY151),CY151,             IF(ISTEXT(CY151),INDEX(CP151:CW151,MATCH(CY151,$CP$17:$CW$17,0)),           IF(CX151="INT",_xll.qInterp(BN152,BZ151:CG151,CP151:CW151),       INDEX(CP151:CW151,MATCH(CX151,$CP$17:$CW$17,0))))))</f>
        <v>0</v>
      </c>
      <c r="DA151" s="755">
        <f t="shared" si="79"/>
        <v>0</v>
      </c>
      <c r="DB151" s="387">
        <f t="shared" si="80"/>
        <v>0</v>
      </c>
      <c r="DC151" s="268">
        <f>IF($BN152=0,0,         IF(LEFT(DCC_Leg2_Fixed,2)="1/",uEvaluate(DCC_Leg2_Fixed),         _xll.qDateYears($BN151,$BN152,DCC_Leg2_Fixed)))</f>
        <v>0</v>
      </c>
      <c r="DD151" s="268">
        <f>IF($BN152,_xll.qDateYears($BN151,$BN152,DCC_Leg2_Float),0)</f>
        <v>0</v>
      </c>
      <c r="DF151" s="332">
        <f t="shared" si="95"/>
        <v>0</v>
      </c>
      <c r="DG151" s="357">
        <f t="shared" si="96"/>
        <v>0</v>
      </c>
      <c r="DH151" s="527"/>
      <c r="DJ151" s="324">
        <f t="shared" si="66"/>
        <v>0</v>
      </c>
      <c r="DK151" s="529"/>
      <c r="DL151" s="338"/>
    </row>
    <row r="152" spans="15:116">
      <c r="O152" s="121">
        <v>0</v>
      </c>
      <c r="P152" s="755">
        <f t="shared" si="67"/>
        <v>0</v>
      </c>
      <c r="Q152" s="125">
        <v>0</v>
      </c>
      <c r="R152" s="890">
        <f>IF(O153=0,0,         IF(OR(Currency1="AUD",Currency1="NZD",Currency1="GBP"),O152,   _xll.qDateNext(O152,"-2b",,,IF(Currency1="EUR","TGT","LON"))))</f>
        <v>0</v>
      </c>
      <c r="S152" s="879" t="str">
        <v/>
      </c>
      <c r="T152" s="879" t="str">
        <v/>
      </c>
      <c r="U152" s="879" t="str">
        <v/>
      </c>
      <c r="V152" s="879" t="str">
        <v/>
      </c>
      <c r="W152" s="879" t="str">
        <v/>
      </c>
      <c r="X152" s="879" t="str">
        <v/>
      </c>
      <c r="Y152" s="879" t="str">
        <v/>
      </c>
      <c r="Z152" s="879" t="str">
        <v/>
      </c>
      <c r="AA152" s="882">
        <f>IF($O153=0,0,        _xll.qDateNext($O152,AA$17,$AH$16,TRUE,Currency1))</f>
        <v>0</v>
      </c>
      <c r="AB152" s="882">
        <f>IF($O153=0,0,        _xll.qDateNext($O152,AB$17,$AH$16,TRUE,Currency1))</f>
        <v>0</v>
      </c>
      <c r="AC152" s="882">
        <f>IF($O153=0,0,        _xll.qDateNext($O152,AC$17,$AH$16,TRUE,Currency1))</f>
        <v>0</v>
      </c>
      <c r="AD152" s="882">
        <f>IF($O153=0,0,        _xll.qDateNext($O152,AD$17,$AH$16,TRUE,Currency1))</f>
        <v>0</v>
      </c>
      <c r="AE152" s="882">
        <f>IF($O153=0,0,        _xll.qDateNext($O152,AE$17,$AH$16,TRUE,Currency1))</f>
        <v>0</v>
      </c>
      <c r="AF152" s="882">
        <f>IF($O153=0,0,        _xll.qDateNext($O152,AF$17,$AH$16,TRUE,Currency1))</f>
        <v>0</v>
      </c>
      <c r="AG152" s="882">
        <f>IF($O153=0,0,        _xll.qDateNext($O152,AG$17,$AH$16,TRUE,Currency1))</f>
        <v>0</v>
      </c>
      <c r="AH152" s="882">
        <f>IF($O153=0,0,        _xll.qDateNext($O152,AH$17,$AH$16,TRUE,Currency1))</f>
        <v>0</v>
      </c>
      <c r="AI152" s="886">
        <f>IF($O153=0,0,           IF(FRM,_xll.qGetFwdRate(AI$14,$O152,AA152,"T",DCC_Leg1_Float),_xll.qGetFwdRate(AI$14,$O152,$O153,"T",DCC_Leg1_Float)))</f>
        <v>0</v>
      </c>
      <c r="AJ152" s="886">
        <f>IF($O153=0,0,           IF(FRM,_xll.qGetFwdRate(AJ$14,$O152,AB152,"T",DCC_Leg1_Float),_xll.qGetFwdRate(AJ$14,$O152,$O153,"T",DCC_Leg1_Float)))</f>
        <v>0</v>
      </c>
      <c r="AK152" s="886">
        <f t="shared" si="68"/>
        <v>0</v>
      </c>
      <c r="AL152" s="886">
        <f>IF($O153=0,0,           IF(FRM,_xll.qGetFwdRate(AL$14,$O152,AD152,"T",DCC_Leg1_Float),_xll.qGetFwdRate(AL$14,$O152,$O153,"T",DCC_Leg1_Float)))</f>
        <v>0</v>
      </c>
      <c r="AM152" s="886">
        <f t="shared" si="81"/>
        <v>0</v>
      </c>
      <c r="AN152" s="886">
        <f t="shared" si="82"/>
        <v>0</v>
      </c>
      <c r="AO152" s="886">
        <f>IF($O153=0,0,           IF(FRM,_xll.qGetFwdRate(AO$14,$O152,AG152,"T",DCC_Leg1_Float),_xll.qGetFwdRate(AO$14,$O152,$O153,"T",DCC_Leg1_Float)))</f>
        <v>0</v>
      </c>
      <c r="AP152" s="886">
        <f>IF($O153=0,0,           IF(FRM,_xll.qGetFwdRate(AP$14,$O152,AH152,"T",DCC_Leg1_Float),_xll.qGetFwdRate(AP$14,$O152,$O153,"T",DCC_Leg1_Float)))</f>
        <v>0</v>
      </c>
      <c r="AQ152" s="648">
        <f t="shared" si="83"/>
        <v>0</v>
      </c>
      <c r="AR152" s="648">
        <f t="shared" si="84"/>
        <v>0</v>
      </c>
      <c r="AS152" s="648">
        <f t="shared" si="85"/>
        <v>0</v>
      </c>
      <c r="AT152" s="648">
        <f t="shared" si="86"/>
        <v>0</v>
      </c>
      <c r="AU152" s="648">
        <f t="shared" si="87"/>
        <v>0</v>
      </c>
      <c r="AV152" s="648">
        <f t="shared" si="88"/>
        <v>0</v>
      </c>
      <c r="AW152" s="648">
        <f t="shared" si="89"/>
        <v>0</v>
      </c>
      <c r="AX152" s="648">
        <f t="shared" si="90"/>
        <v>0</v>
      </c>
      <c r="AY152" s="634">
        <v>0</v>
      </c>
      <c r="AZ152" s="616"/>
      <c r="BA152" s="619">
        <f>IF(O153=0,0,             IF(ISNUMBER(AZ152),AZ152,             IF(ISTEXT(AZ152),INDEX(AQ152:AX152,MATCH(AZ152,$AQ$17:$AX$17,0)),           IF(AY152="INT",_xll.qInterp(O153,AA152:AH152,AQ152:AX152),       INDEX(AQ152:AX152,MATCH(AY152,$AQ$17:$AX$17,0))))))</f>
        <v>0</v>
      </c>
      <c r="BB152" s="674">
        <v>100</v>
      </c>
      <c r="BC152" s="666">
        <f t="shared" si="69"/>
        <v>0</v>
      </c>
      <c r="BD152" s="268">
        <f>IF($O153=0,0,                IF(LEFT(DCC_Leg1_Fixed,2)="1/",uEvaluate(DCC_Leg1_Fixed),        _xll.qDateYears($O152,$O153,DCC_Leg1_Fixed)))</f>
        <v>0</v>
      </c>
      <c r="BE152" s="268">
        <f>IF($O153,_xll.qDateYears($O152,$O153,DCC_Leg1_Float),0)</f>
        <v>0</v>
      </c>
      <c r="BG152" s="332">
        <f t="shared" si="91"/>
        <v>0</v>
      </c>
      <c r="BH152" s="357">
        <f t="shared" si="92"/>
        <v>0</v>
      </c>
      <c r="BI152" s="527"/>
      <c r="BK152" s="324">
        <f t="shared" si="65"/>
        <v>0</v>
      </c>
      <c r="BM152" s="338"/>
      <c r="BN152" s="121">
        <v>0</v>
      </c>
      <c r="BO152" s="755">
        <f t="shared" si="70"/>
        <v>0</v>
      </c>
      <c r="BP152" s="339">
        <v>0</v>
      </c>
      <c r="BQ152" s="890">
        <f>IF(BN153=0,0,         IF(OR(Currency2="AUD",Currency1="NZD",Currency2="GBP"),BN152,   _xll.qDateNext(BN152,"-2b",,,IF(Currency2="EUR","TGT","LON"))))</f>
        <v>0</v>
      </c>
      <c r="BR152" s="879" t="str">
        <v/>
      </c>
      <c r="BS152" s="879" t="str">
        <v/>
      </c>
      <c r="BT152" s="879" t="str">
        <v/>
      </c>
      <c r="BU152" s="879" t="str">
        <v/>
      </c>
      <c r="BV152" s="879" t="str">
        <v/>
      </c>
      <c r="BW152" s="879" t="str">
        <v/>
      </c>
      <c r="BX152" s="879" t="str">
        <v/>
      </c>
      <c r="BY152" s="879" t="str">
        <v/>
      </c>
      <c r="BZ152" s="882">
        <f>IF($BN153=0,0,        _xll.qDateNext($BN152,BZ$17,$CG$16,TRUE,Currency2))</f>
        <v>0</v>
      </c>
      <c r="CA152" s="882">
        <f>IF($BN153=0,0,        _xll.qDateNext($BN152,CA$17,$CG$16,TRUE,Currency2))</f>
        <v>0</v>
      </c>
      <c r="CB152" s="882">
        <f>IF($BN153=0,0,        _xll.qDateNext($BN152,CB$17,$CG$16,TRUE,Currency2))</f>
        <v>0</v>
      </c>
      <c r="CC152" s="882">
        <f>IF($BN153=0,0,        _xll.qDateNext($BN152,CC$17,$CG$16,TRUE,Currency2))</f>
        <v>0</v>
      </c>
      <c r="CD152" s="882">
        <f>IF($BN153=0,0,        _xll.qDateNext($BN152,CD$17,$CG$16,TRUE,Currency2))</f>
        <v>0</v>
      </c>
      <c r="CE152" s="882">
        <f>IF($BN153=0,0,        _xll.qDateNext($BN152,CE$17,$CG$16,TRUE,Currency2))</f>
        <v>0</v>
      </c>
      <c r="CF152" s="882">
        <f>IF($BN153=0,0,        _xll.qDateNext($BN152,CF$17,$CG$16,TRUE,Currency2))</f>
        <v>0</v>
      </c>
      <c r="CG152" s="882">
        <f>IF($BN153=0,0,        _xll.qDateNext($BN152,CG$17,$CG$16,TRUE,Currency2))</f>
        <v>0</v>
      </c>
      <c r="CH152" s="886">
        <v>0</v>
      </c>
      <c r="CI152" s="886">
        <v>0</v>
      </c>
      <c r="CJ152" s="886">
        <v>0</v>
      </c>
      <c r="CK152" s="886">
        <v>0</v>
      </c>
      <c r="CL152" s="886">
        <f t="shared" si="93"/>
        <v>0</v>
      </c>
      <c r="CM152" s="886">
        <f t="shared" si="94"/>
        <v>0</v>
      </c>
      <c r="CN152" s="886">
        <v>0</v>
      </c>
      <c r="CO152" s="886">
        <v>0</v>
      </c>
      <c r="CP152" s="648">
        <f t="shared" si="71"/>
        <v>0</v>
      </c>
      <c r="CQ152" s="648">
        <f t="shared" si="72"/>
        <v>0</v>
      </c>
      <c r="CR152" s="648">
        <f t="shared" si="73"/>
        <v>0</v>
      </c>
      <c r="CS152" s="648">
        <f t="shared" si="74"/>
        <v>0</v>
      </c>
      <c r="CT152" s="648">
        <f t="shared" si="75"/>
        <v>0</v>
      </c>
      <c r="CU152" s="648">
        <f t="shared" si="76"/>
        <v>0</v>
      </c>
      <c r="CV152" s="648">
        <f t="shared" si="77"/>
        <v>0</v>
      </c>
      <c r="CW152" s="648">
        <f t="shared" si="78"/>
        <v>0</v>
      </c>
      <c r="CX152" s="634">
        <v>0</v>
      </c>
      <c r="CY152" s="616"/>
      <c r="CZ152" s="619">
        <f>IF(BN153=0,0,             IF(ISNUMBER(CY152),CY152,             IF(ISTEXT(CY152),INDEX(CP152:CW152,MATCH(CY152,$CP$17:$CW$17,0)),           IF(CX152="INT",_xll.qInterp(BN153,BZ152:CG152,CP152:CW152),       INDEX(CP152:CW152,MATCH(CX152,$CP$17:$CW$17,0))))))</f>
        <v>0</v>
      </c>
      <c r="DA152" s="755">
        <f t="shared" si="79"/>
        <v>0</v>
      </c>
      <c r="DB152" s="387">
        <f t="shared" si="80"/>
        <v>0</v>
      </c>
      <c r="DC152" s="268">
        <f>IF($BN153=0,0,         IF(LEFT(DCC_Leg2_Fixed,2)="1/",uEvaluate(DCC_Leg2_Fixed),         _xll.qDateYears($BN152,$BN153,DCC_Leg2_Fixed)))</f>
        <v>0</v>
      </c>
      <c r="DD152" s="268">
        <f>IF($BN153,_xll.qDateYears($BN152,$BN153,DCC_Leg2_Float),0)</f>
        <v>0</v>
      </c>
      <c r="DF152" s="332">
        <f t="shared" si="95"/>
        <v>0</v>
      </c>
      <c r="DG152" s="357">
        <f t="shared" si="96"/>
        <v>0</v>
      </c>
      <c r="DH152" s="527"/>
      <c r="DJ152" s="324">
        <f t="shared" si="66"/>
        <v>0</v>
      </c>
      <c r="DK152" s="529"/>
      <c r="DL152" s="338"/>
    </row>
    <row r="153" spans="15:116">
      <c r="O153" s="121">
        <v>0</v>
      </c>
      <c r="P153" s="755">
        <f t="shared" si="67"/>
        <v>0</v>
      </c>
      <c r="Q153" s="125">
        <v>0</v>
      </c>
      <c r="R153" s="890">
        <f>IF(O154=0,0,         IF(OR(Currency1="AUD",Currency1="NZD",Currency1="GBP"),O153,   _xll.qDateNext(O153,"-2b",,,IF(Currency1="EUR","TGT","LON"))))</f>
        <v>0</v>
      </c>
      <c r="S153" s="879" t="str">
        <v/>
      </c>
      <c r="T153" s="879" t="str">
        <v/>
      </c>
      <c r="U153" s="879" t="str">
        <v/>
      </c>
      <c r="V153" s="879" t="str">
        <v/>
      </c>
      <c r="W153" s="879" t="str">
        <v/>
      </c>
      <c r="X153" s="879" t="str">
        <v/>
      </c>
      <c r="Y153" s="879" t="str">
        <v/>
      </c>
      <c r="Z153" s="879" t="str">
        <v/>
      </c>
      <c r="AA153" s="882">
        <f>IF($O154=0,0,        _xll.qDateNext($O153,AA$17,$AH$16,TRUE,Currency1))</f>
        <v>0</v>
      </c>
      <c r="AB153" s="882">
        <f>IF($O154=0,0,        _xll.qDateNext($O153,AB$17,$AH$16,TRUE,Currency1))</f>
        <v>0</v>
      </c>
      <c r="AC153" s="882">
        <f>IF($O154=0,0,        _xll.qDateNext($O153,AC$17,$AH$16,TRUE,Currency1))</f>
        <v>0</v>
      </c>
      <c r="AD153" s="882">
        <f>IF($O154=0,0,        _xll.qDateNext($O153,AD$17,$AH$16,TRUE,Currency1))</f>
        <v>0</v>
      </c>
      <c r="AE153" s="882">
        <f>IF($O154=0,0,        _xll.qDateNext($O153,AE$17,$AH$16,TRUE,Currency1))</f>
        <v>0</v>
      </c>
      <c r="AF153" s="882">
        <f>IF($O154=0,0,        _xll.qDateNext($O153,AF$17,$AH$16,TRUE,Currency1))</f>
        <v>0</v>
      </c>
      <c r="AG153" s="882">
        <f>IF($O154=0,0,        _xll.qDateNext($O153,AG$17,$AH$16,TRUE,Currency1))</f>
        <v>0</v>
      </c>
      <c r="AH153" s="882">
        <f>IF($O154=0,0,        _xll.qDateNext($O153,AH$17,$AH$16,TRUE,Currency1))</f>
        <v>0</v>
      </c>
      <c r="AI153" s="886">
        <f>IF($O154=0,0,           IF(FRM,_xll.qGetFwdRate(AI$14,$O153,AA153,"T",DCC_Leg1_Float),_xll.qGetFwdRate(AI$14,$O153,$O154,"T",DCC_Leg1_Float)))</f>
        <v>0</v>
      </c>
      <c r="AJ153" s="886">
        <f>IF($O154=0,0,           IF(FRM,_xll.qGetFwdRate(AJ$14,$O153,AB153,"T",DCC_Leg1_Float),_xll.qGetFwdRate(AJ$14,$O153,$O154,"T",DCC_Leg1_Float)))</f>
        <v>0</v>
      </c>
      <c r="AK153" s="886">
        <f t="shared" si="68"/>
        <v>0</v>
      </c>
      <c r="AL153" s="886">
        <f>IF($O154=0,0,           IF(FRM,_xll.qGetFwdRate(AL$14,$O153,AD153,"T",DCC_Leg1_Float),_xll.qGetFwdRate(AL$14,$O153,$O154,"T",DCC_Leg1_Float)))</f>
        <v>0</v>
      </c>
      <c r="AM153" s="886">
        <f t="shared" si="81"/>
        <v>0</v>
      </c>
      <c r="AN153" s="886">
        <f t="shared" si="82"/>
        <v>0</v>
      </c>
      <c r="AO153" s="886">
        <f>IF($O154=0,0,           IF(FRM,_xll.qGetFwdRate(AO$14,$O153,AG153,"T",DCC_Leg1_Float),_xll.qGetFwdRate(AO$14,$O153,$O154,"T",DCC_Leg1_Float)))</f>
        <v>0</v>
      </c>
      <c r="AP153" s="886">
        <f>IF($O154=0,0,           IF(FRM,_xll.qGetFwdRate(AP$14,$O153,AH153,"T",DCC_Leg1_Float),_xll.qGetFwdRate(AP$14,$O153,$O154,"T",DCC_Leg1_Float)))</f>
        <v>0</v>
      </c>
      <c r="AQ153" s="648">
        <f t="shared" si="83"/>
        <v>0</v>
      </c>
      <c r="AR153" s="648">
        <f t="shared" si="84"/>
        <v>0</v>
      </c>
      <c r="AS153" s="648">
        <f t="shared" si="85"/>
        <v>0</v>
      </c>
      <c r="AT153" s="648">
        <f t="shared" si="86"/>
        <v>0</v>
      </c>
      <c r="AU153" s="648">
        <f t="shared" si="87"/>
        <v>0</v>
      </c>
      <c r="AV153" s="648">
        <f t="shared" si="88"/>
        <v>0</v>
      </c>
      <c r="AW153" s="648">
        <f t="shared" si="89"/>
        <v>0</v>
      </c>
      <c r="AX153" s="648">
        <f t="shared" si="90"/>
        <v>0</v>
      </c>
      <c r="AY153" s="634">
        <v>0</v>
      </c>
      <c r="AZ153" s="616"/>
      <c r="BA153" s="619">
        <f>IF(O154=0,0,             IF(ISNUMBER(AZ153),AZ153,             IF(ISTEXT(AZ153),INDEX(AQ153:AX153,MATCH(AZ153,$AQ$17:$AX$17,0)),           IF(AY153="INT",_xll.qInterp(O154,AA153:AH153,AQ153:AX153),       INDEX(AQ153:AX153,MATCH(AY153,$AQ$17:$AX$17,0))))))</f>
        <v>0</v>
      </c>
      <c r="BB153" s="674">
        <v>100</v>
      </c>
      <c r="BC153" s="666">
        <f t="shared" si="69"/>
        <v>0</v>
      </c>
      <c r="BD153" s="268">
        <f>IF($O154=0,0,                IF(LEFT(DCC_Leg1_Fixed,2)="1/",uEvaluate(DCC_Leg1_Fixed),        _xll.qDateYears($O153,$O154,DCC_Leg1_Fixed)))</f>
        <v>0</v>
      </c>
      <c r="BE153" s="268">
        <f>IF($O154,_xll.qDateYears($O153,$O154,DCC_Leg1_Float),0)</f>
        <v>0</v>
      </c>
      <c r="BG153" s="332">
        <f t="shared" si="91"/>
        <v>0</v>
      </c>
      <c r="BH153" s="357">
        <f t="shared" si="92"/>
        <v>0</v>
      </c>
      <c r="BI153" s="527"/>
      <c r="BK153" s="324">
        <f t="shared" si="65"/>
        <v>0</v>
      </c>
      <c r="BM153" s="338"/>
      <c r="BN153" s="121">
        <v>0</v>
      </c>
      <c r="BO153" s="755">
        <f t="shared" si="70"/>
        <v>0</v>
      </c>
      <c r="BP153" s="339">
        <v>0</v>
      </c>
      <c r="BQ153" s="890">
        <f>IF(BN154=0,0,         IF(OR(Currency2="AUD",Currency1="NZD",Currency2="GBP"),BN153,   _xll.qDateNext(BN153,"-2b",,,IF(Currency2="EUR","TGT","LON"))))</f>
        <v>0</v>
      </c>
      <c r="BR153" s="879" t="str">
        <v/>
      </c>
      <c r="BS153" s="879" t="str">
        <v/>
      </c>
      <c r="BT153" s="879" t="str">
        <v/>
      </c>
      <c r="BU153" s="879" t="str">
        <v/>
      </c>
      <c r="BV153" s="879" t="str">
        <v/>
      </c>
      <c r="BW153" s="879" t="str">
        <v/>
      </c>
      <c r="BX153" s="879" t="str">
        <v/>
      </c>
      <c r="BY153" s="879" t="str">
        <v/>
      </c>
      <c r="BZ153" s="882">
        <f>IF($BN154=0,0,        _xll.qDateNext($BN153,BZ$17,$CG$16,TRUE,Currency2))</f>
        <v>0</v>
      </c>
      <c r="CA153" s="882">
        <f>IF($BN154=0,0,        _xll.qDateNext($BN153,CA$17,$CG$16,TRUE,Currency2))</f>
        <v>0</v>
      </c>
      <c r="CB153" s="882">
        <f>IF($BN154=0,0,        _xll.qDateNext($BN153,CB$17,$CG$16,TRUE,Currency2))</f>
        <v>0</v>
      </c>
      <c r="CC153" s="882">
        <f>IF($BN154=0,0,        _xll.qDateNext($BN153,CC$17,$CG$16,TRUE,Currency2))</f>
        <v>0</v>
      </c>
      <c r="CD153" s="882">
        <f>IF($BN154=0,0,        _xll.qDateNext($BN153,CD$17,$CG$16,TRUE,Currency2))</f>
        <v>0</v>
      </c>
      <c r="CE153" s="882">
        <f>IF($BN154=0,0,        _xll.qDateNext($BN153,CE$17,$CG$16,TRUE,Currency2))</f>
        <v>0</v>
      </c>
      <c r="CF153" s="882">
        <f>IF($BN154=0,0,        _xll.qDateNext($BN153,CF$17,$CG$16,TRUE,Currency2))</f>
        <v>0</v>
      </c>
      <c r="CG153" s="882">
        <f>IF($BN154=0,0,        _xll.qDateNext($BN153,CG$17,$CG$16,TRUE,Currency2))</f>
        <v>0</v>
      </c>
      <c r="CH153" s="886">
        <v>0</v>
      </c>
      <c r="CI153" s="886">
        <v>0</v>
      </c>
      <c r="CJ153" s="886">
        <v>0</v>
      </c>
      <c r="CK153" s="886">
        <v>0</v>
      </c>
      <c r="CL153" s="886">
        <f t="shared" si="93"/>
        <v>0</v>
      </c>
      <c r="CM153" s="886">
        <f t="shared" si="94"/>
        <v>0</v>
      </c>
      <c r="CN153" s="886">
        <v>0</v>
      </c>
      <c r="CO153" s="886">
        <v>0</v>
      </c>
      <c r="CP153" s="648">
        <f t="shared" si="71"/>
        <v>0</v>
      </c>
      <c r="CQ153" s="648">
        <f t="shared" si="72"/>
        <v>0</v>
      </c>
      <c r="CR153" s="648">
        <f t="shared" si="73"/>
        <v>0</v>
      </c>
      <c r="CS153" s="648">
        <f t="shared" si="74"/>
        <v>0</v>
      </c>
      <c r="CT153" s="648">
        <f t="shared" si="75"/>
        <v>0</v>
      </c>
      <c r="CU153" s="648">
        <f t="shared" si="76"/>
        <v>0</v>
      </c>
      <c r="CV153" s="648">
        <f t="shared" si="77"/>
        <v>0</v>
      </c>
      <c r="CW153" s="648">
        <f t="shared" si="78"/>
        <v>0</v>
      </c>
      <c r="CX153" s="634">
        <v>0</v>
      </c>
      <c r="CY153" s="616"/>
      <c r="CZ153" s="619">
        <f>IF(BN154=0,0,             IF(ISNUMBER(CY153),CY153,             IF(ISTEXT(CY153),INDEX(CP153:CW153,MATCH(CY153,$CP$17:$CW$17,0)),           IF(CX153="INT",_xll.qInterp(BN154,BZ153:CG153,CP153:CW153),       INDEX(CP153:CW153,MATCH(CX153,$CP$17:$CW$17,0))))))</f>
        <v>0</v>
      </c>
      <c r="DA153" s="755">
        <f t="shared" si="79"/>
        <v>0</v>
      </c>
      <c r="DB153" s="387">
        <f t="shared" si="80"/>
        <v>0</v>
      </c>
      <c r="DC153" s="268">
        <f>IF($BN154=0,0,         IF(LEFT(DCC_Leg2_Fixed,2)="1/",uEvaluate(DCC_Leg2_Fixed),         _xll.qDateYears($BN153,$BN154,DCC_Leg2_Fixed)))</f>
        <v>0</v>
      </c>
      <c r="DD153" s="268">
        <f>IF($BN154,_xll.qDateYears($BN153,$BN154,DCC_Leg2_Float),0)</f>
        <v>0</v>
      </c>
      <c r="DF153" s="332">
        <f t="shared" si="95"/>
        <v>0</v>
      </c>
      <c r="DG153" s="357">
        <f t="shared" si="96"/>
        <v>0</v>
      </c>
      <c r="DH153" s="527"/>
      <c r="DJ153" s="324">
        <f t="shared" si="66"/>
        <v>0</v>
      </c>
      <c r="DK153" s="529"/>
      <c r="DL153" s="338"/>
    </row>
    <row r="154" spans="15:116">
      <c r="O154" s="121">
        <v>0</v>
      </c>
      <c r="P154" s="755">
        <f t="shared" si="67"/>
        <v>0</v>
      </c>
      <c r="Q154" s="125">
        <v>0</v>
      </c>
      <c r="R154" s="890">
        <f>IF(O155=0,0,         IF(OR(Currency1="AUD",Currency1="NZD",Currency1="GBP"),O154,   _xll.qDateNext(O154,"-2b",,,IF(Currency1="EUR","TGT","LON"))))</f>
        <v>0</v>
      </c>
      <c r="S154" s="879" t="str">
        <v/>
      </c>
      <c r="T154" s="879" t="str">
        <v/>
      </c>
      <c r="U154" s="879" t="str">
        <v/>
      </c>
      <c r="V154" s="879" t="str">
        <v/>
      </c>
      <c r="W154" s="879" t="str">
        <v/>
      </c>
      <c r="X154" s="879" t="str">
        <v/>
      </c>
      <c r="Y154" s="879" t="str">
        <v/>
      </c>
      <c r="Z154" s="879" t="str">
        <v/>
      </c>
      <c r="AA154" s="882">
        <f>IF($O155=0,0,        _xll.qDateNext($O154,AA$17,$AH$16,TRUE,Currency1))</f>
        <v>0</v>
      </c>
      <c r="AB154" s="882">
        <f>IF($O155=0,0,        _xll.qDateNext($O154,AB$17,$AH$16,TRUE,Currency1))</f>
        <v>0</v>
      </c>
      <c r="AC154" s="882">
        <f>IF($O155=0,0,        _xll.qDateNext($O154,AC$17,$AH$16,TRUE,Currency1))</f>
        <v>0</v>
      </c>
      <c r="AD154" s="882">
        <f>IF($O155=0,0,        _xll.qDateNext($O154,AD$17,$AH$16,TRUE,Currency1))</f>
        <v>0</v>
      </c>
      <c r="AE154" s="882">
        <f>IF($O155=0,0,        _xll.qDateNext($O154,AE$17,$AH$16,TRUE,Currency1))</f>
        <v>0</v>
      </c>
      <c r="AF154" s="882">
        <f>IF($O155=0,0,        _xll.qDateNext($O154,AF$17,$AH$16,TRUE,Currency1))</f>
        <v>0</v>
      </c>
      <c r="AG154" s="882">
        <f>IF($O155=0,0,        _xll.qDateNext($O154,AG$17,$AH$16,TRUE,Currency1))</f>
        <v>0</v>
      </c>
      <c r="AH154" s="882">
        <f>IF($O155=0,0,        _xll.qDateNext($O154,AH$17,$AH$16,TRUE,Currency1))</f>
        <v>0</v>
      </c>
      <c r="AI154" s="886">
        <f>IF($O155=0,0,           IF(FRM,_xll.qGetFwdRate(AI$14,$O154,AA154,"T",DCC_Leg1_Float),_xll.qGetFwdRate(AI$14,$O154,$O155,"T",DCC_Leg1_Float)))</f>
        <v>0</v>
      </c>
      <c r="AJ154" s="886">
        <f>IF($O155=0,0,           IF(FRM,_xll.qGetFwdRate(AJ$14,$O154,AB154,"T",DCC_Leg1_Float),_xll.qGetFwdRate(AJ$14,$O154,$O155,"T",DCC_Leg1_Float)))</f>
        <v>0</v>
      </c>
      <c r="AK154" s="886">
        <f t="shared" si="68"/>
        <v>0</v>
      </c>
      <c r="AL154" s="886">
        <f>IF($O155=0,0,           IF(FRM,_xll.qGetFwdRate(AL$14,$O154,AD154,"T",DCC_Leg1_Float),_xll.qGetFwdRate(AL$14,$O154,$O155,"T",DCC_Leg1_Float)))</f>
        <v>0</v>
      </c>
      <c r="AM154" s="886">
        <f t="shared" si="81"/>
        <v>0</v>
      </c>
      <c r="AN154" s="886">
        <f t="shared" si="82"/>
        <v>0</v>
      </c>
      <c r="AO154" s="886">
        <f>IF($O155=0,0,           IF(FRM,_xll.qGetFwdRate(AO$14,$O154,AG154,"T",DCC_Leg1_Float),_xll.qGetFwdRate(AO$14,$O154,$O155,"T",DCC_Leg1_Float)))</f>
        <v>0</v>
      </c>
      <c r="AP154" s="886">
        <f>IF($O155=0,0,           IF(FRM,_xll.qGetFwdRate(AP$14,$O154,AH154,"T",DCC_Leg1_Float),_xll.qGetFwdRate(AP$14,$O154,$O155,"T",DCC_Leg1_Float)))</f>
        <v>0</v>
      </c>
      <c r="AQ154" s="648">
        <f t="shared" si="83"/>
        <v>0</v>
      </c>
      <c r="AR154" s="648">
        <f t="shared" si="84"/>
        <v>0</v>
      </c>
      <c r="AS154" s="648">
        <f t="shared" si="85"/>
        <v>0</v>
      </c>
      <c r="AT154" s="648">
        <f t="shared" si="86"/>
        <v>0</v>
      </c>
      <c r="AU154" s="648">
        <f t="shared" si="87"/>
        <v>0</v>
      </c>
      <c r="AV154" s="648">
        <f t="shared" si="88"/>
        <v>0</v>
      </c>
      <c r="AW154" s="648">
        <f t="shared" si="89"/>
        <v>0</v>
      </c>
      <c r="AX154" s="648">
        <f t="shared" si="90"/>
        <v>0</v>
      </c>
      <c r="AY154" s="634">
        <v>0</v>
      </c>
      <c r="AZ154" s="616"/>
      <c r="BA154" s="619">
        <f>IF(O155=0,0,             IF(ISNUMBER(AZ154),AZ154,             IF(ISTEXT(AZ154),INDEX(AQ154:AX154,MATCH(AZ154,$AQ$17:$AX$17,0)),           IF(AY154="INT",_xll.qInterp(O155,AA154:AH154,AQ154:AX154),       INDEX(AQ154:AX154,MATCH(AY154,$AQ$17:$AX$17,0))))))</f>
        <v>0</v>
      </c>
      <c r="BB154" s="674">
        <v>100</v>
      </c>
      <c r="BC154" s="666">
        <f t="shared" si="69"/>
        <v>0</v>
      </c>
      <c r="BD154" s="268">
        <f>IF($O155=0,0,                IF(LEFT(DCC_Leg1_Fixed,2)="1/",uEvaluate(DCC_Leg1_Fixed),        _xll.qDateYears($O154,$O155,DCC_Leg1_Fixed)))</f>
        <v>0</v>
      </c>
      <c r="BE154" s="268">
        <f>IF($O155,_xll.qDateYears($O154,$O155,DCC_Leg1_Float),0)</f>
        <v>0</v>
      </c>
      <c r="BG154" s="332">
        <f t="shared" si="91"/>
        <v>0</v>
      </c>
      <c r="BH154" s="357">
        <f t="shared" si="92"/>
        <v>0</v>
      </c>
      <c r="BI154" s="527"/>
      <c r="BK154" s="324">
        <f t="shared" si="65"/>
        <v>0</v>
      </c>
      <c r="BM154" s="338"/>
      <c r="BN154" s="121">
        <v>0</v>
      </c>
      <c r="BO154" s="755">
        <f t="shared" si="70"/>
        <v>0</v>
      </c>
      <c r="BP154" s="339">
        <v>0</v>
      </c>
      <c r="BQ154" s="890">
        <f>IF(BN155=0,0,         IF(OR(Currency2="AUD",Currency1="NZD",Currency2="GBP"),BN154,   _xll.qDateNext(BN154,"-2b",,,IF(Currency2="EUR","TGT","LON"))))</f>
        <v>0</v>
      </c>
      <c r="BR154" s="879" t="str">
        <v/>
      </c>
      <c r="BS154" s="879" t="str">
        <v/>
      </c>
      <c r="BT154" s="879" t="str">
        <v/>
      </c>
      <c r="BU154" s="879" t="str">
        <v/>
      </c>
      <c r="BV154" s="879" t="str">
        <v/>
      </c>
      <c r="BW154" s="879" t="str">
        <v/>
      </c>
      <c r="BX154" s="879" t="str">
        <v/>
      </c>
      <c r="BY154" s="879" t="str">
        <v/>
      </c>
      <c r="BZ154" s="882">
        <f>IF($BN155=0,0,        _xll.qDateNext($BN154,BZ$17,$CG$16,TRUE,Currency2))</f>
        <v>0</v>
      </c>
      <c r="CA154" s="882">
        <f>IF($BN155=0,0,        _xll.qDateNext($BN154,CA$17,$CG$16,TRUE,Currency2))</f>
        <v>0</v>
      </c>
      <c r="CB154" s="882">
        <f>IF($BN155=0,0,        _xll.qDateNext($BN154,CB$17,$CG$16,TRUE,Currency2))</f>
        <v>0</v>
      </c>
      <c r="CC154" s="882">
        <f>IF($BN155=0,0,        _xll.qDateNext($BN154,CC$17,$CG$16,TRUE,Currency2))</f>
        <v>0</v>
      </c>
      <c r="CD154" s="882">
        <f>IF($BN155=0,0,        _xll.qDateNext($BN154,CD$17,$CG$16,TRUE,Currency2))</f>
        <v>0</v>
      </c>
      <c r="CE154" s="882">
        <f>IF($BN155=0,0,        _xll.qDateNext($BN154,CE$17,$CG$16,TRUE,Currency2))</f>
        <v>0</v>
      </c>
      <c r="CF154" s="882">
        <f>IF($BN155=0,0,        _xll.qDateNext($BN154,CF$17,$CG$16,TRUE,Currency2))</f>
        <v>0</v>
      </c>
      <c r="CG154" s="882">
        <f>IF($BN155=0,0,        _xll.qDateNext($BN154,CG$17,$CG$16,TRUE,Currency2))</f>
        <v>0</v>
      </c>
      <c r="CH154" s="886">
        <v>0</v>
      </c>
      <c r="CI154" s="886">
        <v>0</v>
      </c>
      <c r="CJ154" s="886">
        <v>0</v>
      </c>
      <c r="CK154" s="886">
        <v>0</v>
      </c>
      <c r="CL154" s="886">
        <f t="shared" si="93"/>
        <v>0</v>
      </c>
      <c r="CM154" s="886">
        <f t="shared" si="94"/>
        <v>0</v>
      </c>
      <c r="CN154" s="886">
        <v>0</v>
      </c>
      <c r="CO154" s="886">
        <v>0</v>
      </c>
      <c r="CP154" s="648">
        <f t="shared" si="71"/>
        <v>0</v>
      </c>
      <c r="CQ154" s="648">
        <f t="shared" si="72"/>
        <v>0</v>
      </c>
      <c r="CR154" s="648">
        <f t="shared" si="73"/>
        <v>0</v>
      </c>
      <c r="CS154" s="648">
        <f t="shared" si="74"/>
        <v>0</v>
      </c>
      <c r="CT154" s="648">
        <f t="shared" si="75"/>
        <v>0</v>
      </c>
      <c r="CU154" s="648">
        <f t="shared" si="76"/>
        <v>0</v>
      </c>
      <c r="CV154" s="648">
        <f t="shared" si="77"/>
        <v>0</v>
      </c>
      <c r="CW154" s="648">
        <f t="shared" si="78"/>
        <v>0</v>
      </c>
      <c r="CX154" s="634">
        <v>0</v>
      </c>
      <c r="CY154" s="616"/>
      <c r="CZ154" s="619">
        <f>IF(BN155=0,0,             IF(ISNUMBER(CY154),CY154,             IF(ISTEXT(CY154),INDEX(CP154:CW154,MATCH(CY154,$CP$17:$CW$17,0)),           IF(CX154="INT",_xll.qInterp(BN155,BZ154:CG154,CP154:CW154),       INDEX(CP154:CW154,MATCH(CX154,$CP$17:$CW$17,0))))))</f>
        <v>0</v>
      </c>
      <c r="DA154" s="755">
        <f t="shared" si="79"/>
        <v>0</v>
      </c>
      <c r="DB154" s="387">
        <f t="shared" si="80"/>
        <v>0</v>
      </c>
      <c r="DC154" s="268">
        <f>IF($BN155=0,0,         IF(LEFT(DCC_Leg2_Fixed,2)="1/",uEvaluate(DCC_Leg2_Fixed),         _xll.qDateYears($BN154,$BN155,DCC_Leg2_Fixed)))</f>
        <v>0</v>
      </c>
      <c r="DD154" s="268">
        <f>IF($BN155,_xll.qDateYears($BN154,$BN155,DCC_Leg2_Float),0)</f>
        <v>0</v>
      </c>
      <c r="DF154" s="332">
        <f t="shared" si="95"/>
        <v>0</v>
      </c>
      <c r="DG154" s="357">
        <f t="shared" si="96"/>
        <v>0</v>
      </c>
      <c r="DH154" s="527"/>
      <c r="DJ154" s="324">
        <f t="shared" si="66"/>
        <v>0</v>
      </c>
      <c r="DK154" s="529"/>
      <c r="DL154" s="338"/>
    </row>
    <row r="155" spans="15:116">
      <c r="O155" s="121">
        <v>0</v>
      </c>
      <c r="P155" s="755">
        <f t="shared" si="67"/>
        <v>0</v>
      </c>
      <c r="Q155" s="125">
        <v>0</v>
      </c>
      <c r="R155" s="890">
        <f>IF(O156=0,0,         IF(OR(Currency1="AUD",Currency1="NZD",Currency1="GBP"),O155,   _xll.qDateNext(O155,"-2b",,,IF(Currency1="EUR","TGT","LON"))))</f>
        <v>0</v>
      </c>
      <c r="S155" s="879" t="str">
        <v/>
      </c>
      <c r="T155" s="879" t="str">
        <v/>
      </c>
      <c r="U155" s="879" t="str">
        <v/>
      </c>
      <c r="V155" s="879" t="str">
        <v/>
      </c>
      <c r="W155" s="879" t="str">
        <v/>
      </c>
      <c r="X155" s="879" t="str">
        <v/>
      </c>
      <c r="Y155" s="879" t="str">
        <v/>
      </c>
      <c r="Z155" s="879" t="str">
        <v/>
      </c>
      <c r="AA155" s="882">
        <f>IF($O156=0,0,        _xll.qDateNext($O155,AA$17,$AH$16,TRUE,Currency1))</f>
        <v>0</v>
      </c>
      <c r="AB155" s="882">
        <f>IF($O156=0,0,        _xll.qDateNext($O155,AB$17,$AH$16,TRUE,Currency1))</f>
        <v>0</v>
      </c>
      <c r="AC155" s="882">
        <f>IF($O156=0,0,        _xll.qDateNext($O155,AC$17,$AH$16,TRUE,Currency1))</f>
        <v>0</v>
      </c>
      <c r="AD155" s="882">
        <f>IF($O156=0,0,        _xll.qDateNext($O155,AD$17,$AH$16,TRUE,Currency1))</f>
        <v>0</v>
      </c>
      <c r="AE155" s="882">
        <f>IF($O156=0,0,        _xll.qDateNext($O155,AE$17,$AH$16,TRUE,Currency1))</f>
        <v>0</v>
      </c>
      <c r="AF155" s="882">
        <f>IF($O156=0,0,        _xll.qDateNext($O155,AF$17,$AH$16,TRUE,Currency1))</f>
        <v>0</v>
      </c>
      <c r="AG155" s="882">
        <f>IF($O156=0,0,        _xll.qDateNext($O155,AG$17,$AH$16,TRUE,Currency1))</f>
        <v>0</v>
      </c>
      <c r="AH155" s="882">
        <f>IF($O156=0,0,        _xll.qDateNext($O155,AH$17,$AH$16,TRUE,Currency1))</f>
        <v>0</v>
      </c>
      <c r="AI155" s="886">
        <f>IF($O156=0,0,           IF(FRM,_xll.qGetFwdRate(AI$14,$O155,AA155,"T",DCC_Leg1_Float),_xll.qGetFwdRate(AI$14,$O155,$O156,"T",DCC_Leg1_Float)))</f>
        <v>0</v>
      </c>
      <c r="AJ155" s="886">
        <f>IF($O156=0,0,           IF(FRM,_xll.qGetFwdRate(AJ$14,$O155,AB155,"T",DCC_Leg1_Float),_xll.qGetFwdRate(AJ$14,$O155,$O156,"T",DCC_Leg1_Float)))</f>
        <v>0</v>
      </c>
      <c r="AK155" s="886">
        <f t="shared" si="68"/>
        <v>0</v>
      </c>
      <c r="AL155" s="886">
        <f>IF($O156=0,0,           IF(FRM,_xll.qGetFwdRate(AL$14,$O155,AD155,"T",DCC_Leg1_Float),_xll.qGetFwdRate(AL$14,$O155,$O156,"T",DCC_Leg1_Float)))</f>
        <v>0</v>
      </c>
      <c r="AM155" s="886">
        <f t="shared" si="81"/>
        <v>0</v>
      </c>
      <c r="AN155" s="886">
        <f t="shared" si="82"/>
        <v>0</v>
      </c>
      <c r="AO155" s="886">
        <f>IF($O156=0,0,           IF(FRM,_xll.qGetFwdRate(AO$14,$O155,AG155,"T",DCC_Leg1_Float),_xll.qGetFwdRate(AO$14,$O155,$O156,"T",DCC_Leg1_Float)))</f>
        <v>0</v>
      </c>
      <c r="AP155" s="886">
        <f>IF($O156=0,0,           IF(FRM,_xll.qGetFwdRate(AP$14,$O155,AH155,"T",DCC_Leg1_Float),_xll.qGetFwdRate(AP$14,$O155,$O156,"T",DCC_Leg1_Float)))</f>
        <v>0</v>
      </c>
      <c r="AQ155" s="648">
        <f t="shared" si="83"/>
        <v>0</v>
      </c>
      <c r="AR155" s="648">
        <f t="shared" si="84"/>
        <v>0</v>
      </c>
      <c r="AS155" s="648">
        <f t="shared" si="85"/>
        <v>0</v>
      </c>
      <c r="AT155" s="648">
        <f t="shared" si="86"/>
        <v>0</v>
      </c>
      <c r="AU155" s="648">
        <f t="shared" si="87"/>
        <v>0</v>
      </c>
      <c r="AV155" s="648">
        <f t="shared" si="88"/>
        <v>0</v>
      </c>
      <c r="AW155" s="648">
        <f t="shared" si="89"/>
        <v>0</v>
      </c>
      <c r="AX155" s="648">
        <f t="shared" si="90"/>
        <v>0</v>
      </c>
      <c r="AY155" s="634">
        <v>0</v>
      </c>
      <c r="AZ155" s="616"/>
      <c r="BA155" s="619">
        <f>IF(O156=0,0,             IF(ISNUMBER(AZ155),AZ155,             IF(ISTEXT(AZ155),INDEX(AQ155:AX155,MATCH(AZ155,$AQ$17:$AX$17,0)),           IF(AY155="INT",_xll.qInterp(O156,AA155:AH155,AQ155:AX155),       INDEX(AQ155:AX155,MATCH(AY155,$AQ$17:$AX$17,0))))))</f>
        <v>0</v>
      </c>
      <c r="BB155" s="674">
        <v>100</v>
      </c>
      <c r="BC155" s="666">
        <f t="shared" si="69"/>
        <v>0</v>
      </c>
      <c r="BD155" s="268">
        <f>IF($O156=0,0,                IF(LEFT(DCC_Leg1_Fixed,2)="1/",uEvaluate(DCC_Leg1_Fixed),        _xll.qDateYears($O155,$O156,DCC_Leg1_Fixed)))</f>
        <v>0</v>
      </c>
      <c r="BE155" s="268">
        <f>IF($O156,_xll.qDateYears($O155,$O156,DCC_Leg1_Float),0)</f>
        <v>0</v>
      </c>
      <c r="BG155" s="332">
        <f t="shared" si="91"/>
        <v>0</v>
      </c>
      <c r="BH155" s="357">
        <f t="shared" si="92"/>
        <v>0</v>
      </c>
      <c r="BI155" s="527"/>
      <c r="BK155" s="324">
        <f t="shared" si="65"/>
        <v>0</v>
      </c>
      <c r="BM155" s="338"/>
      <c r="BN155" s="121">
        <v>0</v>
      </c>
      <c r="BO155" s="755">
        <f t="shared" si="70"/>
        <v>0</v>
      </c>
      <c r="BP155" s="339">
        <v>0</v>
      </c>
      <c r="BQ155" s="890">
        <f>IF(BN156=0,0,         IF(OR(Currency2="AUD",Currency1="NZD",Currency2="GBP"),BN155,   _xll.qDateNext(BN155,"-2b",,,IF(Currency2="EUR","TGT","LON"))))</f>
        <v>0</v>
      </c>
      <c r="BR155" s="879" t="str">
        <v/>
      </c>
      <c r="BS155" s="879" t="str">
        <v/>
      </c>
      <c r="BT155" s="879" t="str">
        <v/>
      </c>
      <c r="BU155" s="879" t="str">
        <v/>
      </c>
      <c r="BV155" s="879" t="str">
        <v/>
      </c>
      <c r="BW155" s="879" t="str">
        <v/>
      </c>
      <c r="BX155" s="879" t="str">
        <v/>
      </c>
      <c r="BY155" s="879" t="str">
        <v/>
      </c>
      <c r="BZ155" s="882">
        <f>IF($BN156=0,0,        _xll.qDateNext($BN155,BZ$17,$CG$16,TRUE,Currency2))</f>
        <v>0</v>
      </c>
      <c r="CA155" s="882">
        <f>IF($BN156=0,0,        _xll.qDateNext($BN155,CA$17,$CG$16,TRUE,Currency2))</f>
        <v>0</v>
      </c>
      <c r="CB155" s="882">
        <f>IF($BN156=0,0,        _xll.qDateNext($BN155,CB$17,$CG$16,TRUE,Currency2))</f>
        <v>0</v>
      </c>
      <c r="CC155" s="882">
        <f>IF($BN156=0,0,        _xll.qDateNext($BN155,CC$17,$CG$16,TRUE,Currency2))</f>
        <v>0</v>
      </c>
      <c r="CD155" s="882">
        <f>IF($BN156=0,0,        _xll.qDateNext($BN155,CD$17,$CG$16,TRUE,Currency2))</f>
        <v>0</v>
      </c>
      <c r="CE155" s="882">
        <f>IF($BN156=0,0,        _xll.qDateNext($BN155,CE$17,$CG$16,TRUE,Currency2))</f>
        <v>0</v>
      </c>
      <c r="CF155" s="882">
        <f>IF($BN156=0,0,        _xll.qDateNext($BN155,CF$17,$CG$16,TRUE,Currency2))</f>
        <v>0</v>
      </c>
      <c r="CG155" s="882">
        <f>IF($BN156=0,0,        _xll.qDateNext($BN155,CG$17,$CG$16,TRUE,Currency2))</f>
        <v>0</v>
      </c>
      <c r="CH155" s="886">
        <v>0</v>
      </c>
      <c r="CI155" s="886">
        <v>0</v>
      </c>
      <c r="CJ155" s="886">
        <v>0</v>
      </c>
      <c r="CK155" s="886">
        <v>0</v>
      </c>
      <c r="CL155" s="886">
        <f t="shared" si="93"/>
        <v>0</v>
      </c>
      <c r="CM155" s="886">
        <f t="shared" si="94"/>
        <v>0</v>
      </c>
      <c r="CN155" s="886">
        <v>0</v>
      </c>
      <c r="CO155" s="886">
        <v>0</v>
      </c>
      <c r="CP155" s="648">
        <f t="shared" si="71"/>
        <v>0</v>
      </c>
      <c r="CQ155" s="648">
        <f t="shared" si="72"/>
        <v>0</v>
      </c>
      <c r="CR155" s="648">
        <f t="shared" si="73"/>
        <v>0</v>
      </c>
      <c r="CS155" s="648">
        <f t="shared" si="74"/>
        <v>0</v>
      </c>
      <c r="CT155" s="648">
        <f t="shared" si="75"/>
        <v>0</v>
      </c>
      <c r="CU155" s="648">
        <f t="shared" si="76"/>
        <v>0</v>
      </c>
      <c r="CV155" s="648">
        <f t="shared" si="77"/>
        <v>0</v>
      </c>
      <c r="CW155" s="648">
        <f t="shared" si="78"/>
        <v>0</v>
      </c>
      <c r="CX155" s="634">
        <v>0</v>
      </c>
      <c r="CY155" s="616"/>
      <c r="CZ155" s="619">
        <f>IF(BN156=0,0,             IF(ISNUMBER(CY155),CY155,             IF(ISTEXT(CY155),INDEX(CP155:CW155,MATCH(CY155,$CP$17:$CW$17,0)),           IF(CX155="INT",_xll.qInterp(BN156,BZ155:CG155,CP155:CW155),       INDEX(CP155:CW155,MATCH(CX155,$CP$17:$CW$17,0))))))</f>
        <v>0</v>
      </c>
      <c r="DA155" s="755">
        <f t="shared" si="79"/>
        <v>0</v>
      </c>
      <c r="DB155" s="387">
        <f t="shared" si="80"/>
        <v>0</v>
      </c>
      <c r="DC155" s="268">
        <f>IF($BN156=0,0,         IF(LEFT(DCC_Leg2_Fixed,2)="1/",uEvaluate(DCC_Leg2_Fixed),         _xll.qDateYears($BN155,$BN156,DCC_Leg2_Fixed)))</f>
        <v>0</v>
      </c>
      <c r="DD155" s="268">
        <f>IF($BN156,_xll.qDateYears($BN155,$BN156,DCC_Leg2_Float),0)</f>
        <v>0</v>
      </c>
      <c r="DF155" s="332">
        <f t="shared" si="95"/>
        <v>0</v>
      </c>
      <c r="DG155" s="357">
        <f t="shared" si="96"/>
        <v>0</v>
      </c>
      <c r="DH155" s="527"/>
      <c r="DJ155" s="324">
        <f t="shared" si="66"/>
        <v>0</v>
      </c>
      <c r="DK155" s="529"/>
      <c r="DL155" s="338"/>
    </row>
    <row r="156" spans="15:116">
      <c r="O156" s="121">
        <v>0</v>
      </c>
      <c r="P156" s="755">
        <f t="shared" si="67"/>
        <v>0</v>
      </c>
      <c r="Q156" s="125">
        <v>0</v>
      </c>
      <c r="R156" s="890">
        <f>IF(O157=0,0,         IF(OR(Currency1="AUD",Currency1="NZD",Currency1="GBP"),O156,   _xll.qDateNext(O156,"-2b",,,IF(Currency1="EUR","TGT","LON"))))</f>
        <v>0</v>
      </c>
      <c r="S156" s="879" t="str">
        <v/>
      </c>
      <c r="T156" s="879" t="str">
        <v/>
      </c>
      <c r="U156" s="879" t="str">
        <v/>
      </c>
      <c r="V156" s="879" t="str">
        <v/>
      </c>
      <c r="W156" s="879" t="str">
        <v/>
      </c>
      <c r="X156" s="879" t="str">
        <v/>
      </c>
      <c r="Y156" s="879" t="str">
        <v/>
      </c>
      <c r="Z156" s="879" t="str">
        <v/>
      </c>
      <c r="AA156" s="882">
        <f>IF($O157=0,0,        _xll.qDateNext($O156,AA$17,$AH$16,TRUE,Currency1))</f>
        <v>0</v>
      </c>
      <c r="AB156" s="882">
        <f>IF($O157=0,0,        _xll.qDateNext($O156,AB$17,$AH$16,TRUE,Currency1))</f>
        <v>0</v>
      </c>
      <c r="AC156" s="882">
        <f>IF($O157=0,0,        _xll.qDateNext($O156,AC$17,$AH$16,TRUE,Currency1))</f>
        <v>0</v>
      </c>
      <c r="AD156" s="882">
        <f>IF($O157=0,0,        _xll.qDateNext($O156,AD$17,$AH$16,TRUE,Currency1))</f>
        <v>0</v>
      </c>
      <c r="AE156" s="882">
        <f>IF($O157=0,0,        _xll.qDateNext($O156,AE$17,$AH$16,TRUE,Currency1))</f>
        <v>0</v>
      </c>
      <c r="AF156" s="882">
        <f>IF($O157=0,0,        _xll.qDateNext($O156,AF$17,$AH$16,TRUE,Currency1))</f>
        <v>0</v>
      </c>
      <c r="AG156" s="882">
        <f>IF($O157=0,0,        _xll.qDateNext($O156,AG$17,$AH$16,TRUE,Currency1))</f>
        <v>0</v>
      </c>
      <c r="AH156" s="882">
        <f>IF($O157=0,0,        _xll.qDateNext($O156,AH$17,$AH$16,TRUE,Currency1))</f>
        <v>0</v>
      </c>
      <c r="AI156" s="886">
        <f>IF($O157=0,0,           IF(FRM,_xll.qGetFwdRate(AI$14,$O156,AA156,"T",DCC_Leg1_Float),_xll.qGetFwdRate(AI$14,$O156,$O157,"T",DCC_Leg1_Float)))</f>
        <v>0</v>
      </c>
      <c r="AJ156" s="886">
        <f>IF($O157=0,0,           IF(FRM,_xll.qGetFwdRate(AJ$14,$O156,AB156,"T",DCC_Leg1_Float),_xll.qGetFwdRate(AJ$14,$O156,$O157,"T",DCC_Leg1_Float)))</f>
        <v>0</v>
      </c>
      <c r="AK156" s="886">
        <f t="shared" si="68"/>
        <v>0</v>
      </c>
      <c r="AL156" s="886">
        <f>IF($O157=0,0,           IF(FRM,_xll.qGetFwdRate(AL$14,$O156,AD156,"T",DCC_Leg1_Float),_xll.qGetFwdRate(AL$14,$O156,$O157,"T",DCC_Leg1_Float)))</f>
        <v>0</v>
      </c>
      <c r="AM156" s="886">
        <f t="shared" si="81"/>
        <v>0</v>
      </c>
      <c r="AN156" s="886">
        <f t="shared" si="82"/>
        <v>0</v>
      </c>
      <c r="AO156" s="886">
        <f>IF($O157=0,0,           IF(FRM,_xll.qGetFwdRate(AO$14,$O156,AG156,"T",DCC_Leg1_Float),_xll.qGetFwdRate(AO$14,$O156,$O157,"T",DCC_Leg1_Float)))</f>
        <v>0</v>
      </c>
      <c r="AP156" s="886">
        <f>IF($O157=0,0,           IF(FRM,_xll.qGetFwdRate(AP$14,$O156,AH156,"T",DCC_Leg1_Float),_xll.qGetFwdRate(AP$14,$O156,$O157,"T",DCC_Leg1_Float)))</f>
        <v>0</v>
      </c>
      <c r="AQ156" s="648">
        <f t="shared" si="83"/>
        <v>0</v>
      </c>
      <c r="AR156" s="648">
        <f t="shared" si="84"/>
        <v>0</v>
      </c>
      <c r="AS156" s="648">
        <f t="shared" si="85"/>
        <v>0</v>
      </c>
      <c r="AT156" s="648">
        <f t="shared" si="86"/>
        <v>0</v>
      </c>
      <c r="AU156" s="648">
        <f t="shared" si="87"/>
        <v>0</v>
      </c>
      <c r="AV156" s="648">
        <f t="shared" si="88"/>
        <v>0</v>
      </c>
      <c r="AW156" s="648">
        <f t="shared" si="89"/>
        <v>0</v>
      </c>
      <c r="AX156" s="648">
        <f t="shared" si="90"/>
        <v>0</v>
      </c>
      <c r="AY156" s="634">
        <v>0</v>
      </c>
      <c r="AZ156" s="616"/>
      <c r="BA156" s="619">
        <f>IF(O157=0,0,             IF(ISNUMBER(AZ156),AZ156,             IF(ISTEXT(AZ156),INDEX(AQ156:AX156,MATCH(AZ156,$AQ$17:$AX$17,0)),           IF(AY156="INT",_xll.qInterp(O157,AA156:AH156,AQ156:AX156),       INDEX(AQ156:AX156,MATCH(AY156,$AQ$17:$AX$17,0))))))</f>
        <v>0</v>
      </c>
      <c r="BB156" s="674">
        <v>100</v>
      </c>
      <c r="BC156" s="666">
        <f t="shared" si="69"/>
        <v>0</v>
      </c>
      <c r="BD156" s="268">
        <f>IF($O157=0,0,                IF(LEFT(DCC_Leg1_Fixed,2)="1/",uEvaluate(DCC_Leg1_Fixed),        _xll.qDateYears($O156,$O157,DCC_Leg1_Fixed)))</f>
        <v>0</v>
      </c>
      <c r="BE156" s="268">
        <f>IF($O157,_xll.qDateYears($O156,$O157,DCC_Leg1_Float),0)</f>
        <v>0</v>
      </c>
      <c r="BG156" s="332">
        <f t="shared" si="91"/>
        <v>0</v>
      </c>
      <c r="BH156" s="357">
        <f t="shared" si="92"/>
        <v>0</v>
      </c>
      <c r="BI156" s="527"/>
      <c r="BK156" s="324">
        <f t="shared" si="65"/>
        <v>0</v>
      </c>
      <c r="BM156" s="338"/>
      <c r="BN156" s="121">
        <v>0</v>
      </c>
      <c r="BO156" s="755">
        <f t="shared" si="70"/>
        <v>0</v>
      </c>
      <c r="BP156" s="339">
        <v>0</v>
      </c>
      <c r="BQ156" s="890">
        <f>IF(BN157=0,0,         IF(OR(Currency2="AUD",Currency1="NZD",Currency2="GBP"),BN156,   _xll.qDateNext(BN156,"-2b",,,IF(Currency2="EUR","TGT","LON"))))</f>
        <v>0</v>
      </c>
      <c r="BR156" s="879" t="str">
        <v/>
      </c>
      <c r="BS156" s="879" t="str">
        <v/>
      </c>
      <c r="BT156" s="879" t="str">
        <v/>
      </c>
      <c r="BU156" s="879" t="str">
        <v/>
      </c>
      <c r="BV156" s="879" t="str">
        <v/>
      </c>
      <c r="BW156" s="879" t="str">
        <v/>
      </c>
      <c r="BX156" s="879" t="str">
        <v/>
      </c>
      <c r="BY156" s="879" t="str">
        <v/>
      </c>
      <c r="BZ156" s="882">
        <f>IF($BN157=0,0,        _xll.qDateNext($BN156,BZ$17,$CG$16,TRUE,Currency2))</f>
        <v>0</v>
      </c>
      <c r="CA156" s="882">
        <f>IF($BN157=0,0,        _xll.qDateNext($BN156,CA$17,$CG$16,TRUE,Currency2))</f>
        <v>0</v>
      </c>
      <c r="CB156" s="882">
        <f>IF($BN157=0,0,        _xll.qDateNext($BN156,CB$17,$CG$16,TRUE,Currency2))</f>
        <v>0</v>
      </c>
      <c r="CC156" s="882">
        <f>IF($BN157=0,0,        _xll.qDateNext($BN156,CC$17,$CG$16,TRUE,Currency2))</f>
        <v>0</v>
      </c>
      <c r="CD156" s="882">
        <f>IF($BN157=0,0,        _xll.qDateNext($BN156,CD$17,$CG$16,TRUE,Currency2))</f>
        <v>0</v>
      </c>
      <c r="CE156" s="882">
        <f>IF($BN157=0,0,        _xll.qDateNext($BN156,CE$17,$CG$16,TRUE,Currency2))</f>
        <v>0</v>
      </c>
      <c r="CF156" s="882">
        <f>IF($BN157=0,0,        _xll.qDateNext($BN156,CF$17,$CG$16,TRUE,Currency2))</f>
        <v>0</v>
      </c>
      <c r="CG156" s="882">
        <f>IF($BN157=0,0,        _xll.qDateNext($BN156,CG$17,$CG$16,TRUE,Currency2))</f>
        <v>0</v>
      </c>
      <c r="CH156" s="886">
        <v>0</v>
      </c>
      <c r="CI156" s="886">
        <v>0</v>
      </c>
      <c r="CJ156" s="886">
        <v>0</v>
      </c>
      <c r="CK156" s="886">
        <v>0</v>
      </c>
      <c r="CL156" s="886">
        <f t="shared" si="93"/>
        <v>0</v>
      </c>
      <c r="CM156" s="886">
        <f t="shared" si="94"/>
        <v>0</v>
      </c>
      <c r="CN156" s="886">
        <v>0</v>
      </c>
      <c r="CO156" s="886">
        <v>0</v>
      </c>
      <c r="CP156" s="648">
        <f t="shared" si="71"/>
        <v>0</v>
      </c>
      <c r="CQ156" s="648">
        <f t="shared" si="72"/>
        <v>0</v>
      </c>
      <c r="CR156" s="648">
        <f t="shared" si="73"/>
        <v>0</v>
      </c>
      <c r="CS156" s="648">
        <f t="shared" si="74"/>
        <v>0</v>
      </c>
      <c r="CT156" s="648">
        <f t="shared" si="75"/>
        <v>0</v>
      </c>
      <c r="CU156" s="648">
        <f t="shared" si="76"/>
        <v>0</v>
      </c>
      <c r="CV156" s="648">
        <f t="shared" si="77"/>
        <v>0</v>
      </c>
      <c r="CW156" s="648">
        <f t="shared" si="78"/>
        <v>0</v>
      </c>
      <c r="CX156" s="634">
        <v>0</v>
      </c>
      <c r="CY156" s="616"/>
      <c r="CZ156" s="619">
        <f>IF(BN157=0,0,             IF(ISNUMBER(CY156),CY156,             IF(ISTEXT(CY156),INDEX(CP156:CW156,MATCH(CY156,$CP$17:$CW$17,0)),           IF(CX156="INT",_xll.qInterp(BN157,BZ156:CG156,CP156:CW156),       INDEX(CP156:CW156,MATCH(CX156,$CP$17:$CW$17,0))))))</f>
        <v>0</v>
      </c>
      <c r="DA156" s="755">
        <f t="shared" si="79"/>
        <v>0</v>
      </c>
      <c r="DB156" s="387">
        <f t="shared" si="80"/>
        <v>0</v>
      </c>
      <c r="DC156" s="268">
        <f>IF($BN157=0,0,         IF(LEFT(DCC_Leg2_Fixed,2)="1/",uEvaluate(DCC_Leg2_Fixed),         _xll.qDateYears($BN156,$BN157,DCC_Leg2_Fixed)))</f>
        <v>0</v>
      </c>
      <c r="DD156" s="268">
        <f>IF($BN157,_xll.qDateYears($BN156,$BN157,DCC_Leg2_Float),0)</f>
        <v>0</v>
      </c>
      <c r="DF156" s="332">
        <f t="shared" si="95"/>
        <v>0</v>
      </c>
      <c r="DG156" s="357">
        <f t="shared" si="96"/>
        <v>0</v>
      </c>
      <c r="DH156" s="527"/>
      <c r="DJ156" s="324">
        <f t="shared" si="66"/>
        <v>0</v>
      </c>
      <c r="DK156" s="529"/>
      <c r="DL156" s="338"/>
    </row>
    <row r="157" spans="15:116">
      <c r="O157" s="121">
        <v>0</v>
      </c>
      <c r="P157" s="755">
        <f t="shared" si="67"/>
        <v>0</v>
      </c>
      <c r="Q157" s="125">
        <v>0</v>
      </c>
      <c r="R157" s="890">
        <f>IF(O158=0,0,         IF(OR(Currency1="AUD",Currency1="NZD",Currency1="GBP"),O157,   _xll.qDateNext(O157,"-2b",,,IF(Currency1="EUR","TGT","LON"))))</f>
        <v>0</v>
      </c>
      <c r="S157" s="879" t="str">
        <v/>
      </c>
      <c r="T157" s="879" t="str">
        <v/>
      </c>
      <c r="U157" s="879" t="str">
        <v/>
      </c>
      <c r="V157" s="879" t="str">
        <v/>
      </c>
      <c r="W157" s="879" t="str">
        <v/>
      </c>
      <c r="X157" s="879" t="str">
        <v/>
      </c>
      <c r="Y157" s="879" t="str">
        <v/>
      </c>
      <c r="Z157" s="879" t="str">
        <v/>
      </c>
      <c r="AA157" s="882">
        <f>IF($O158=0,0,        _xll.qDateNext($O157,AA$17,$AH$16,TRUE,Currency1))</f>
        <v>0</v>
      </c>
      <c r="AB157" s="882">
        <f>IF($O158=0,0,        _xll.qDateNext($O157,AB$17,$AH$16,TRUE,Currency1))</f>
        <v>0</v>
      </c>
      <c r="AC157" s="882">
        <f>IF($O158=0,0,        _xll.qDateNext($O157,AC$17,$AH$16,TRUE,Currency1))</f>
        <v>0</v>
      </c>
      <c r="AD157" s="882">
        <f>IF($O158=0,0,        _xll.qDateNext($O157,AD$17,$AH$16,TRUE,Currency1))</f>
        <v>0</v>
      </c>
      <c r="AE157" s="882">
        <f>IF($O158=0,0,        _xll.qDateNext($O157,AE$17,$AH$16,TRUE,Currency1))</f>
        <v>0</v>
      </c>
      <c r="AF157" s="882">
        <f>IF($O158=0,0,        _xll.qDateNext($O157,AF$17,$AH$16,TRUE,Currency1))</f>
        <v>0</v>
      </c>
      <c r="AG157" s="882">
        <f>IF($O158=0,0,        _xll.qDateNext($O157,AG$17,$AH$16,TRUE,Currency1))</f>
        <v>0</v>
      </c>
      <c r="AH157" s="882">
        <f>IF($O158=0,0,        _xll.qDateNext($O157,AH$17,$AH$16,TRUE,Currency1))</f>
        <v>0</v>
      </c>
      <c r="AI157" s="886">
        <f>IF($O158=0,0,           IF(FRM,_xll.qGetFwdRate(AI$14,$O157,AA157,"T",DCC_Leg1_Float),_xll.qGetFwdRate(AI$14,$O157,$O158,"T",DCC_Leg1_Float)))</f>
        <v>0</v>
      </c>
      <c r="AJ157" s="886">
        <f>IF($O158=0,0,           IF(FRM,_xll.qGetFwdRate(AJ$14,$O157,AB157,"T",DCC_Leg1_Float),_xll.qGetFwdRate(AJ$14,$O157,$O158,"T",DCC_Leg1_Float)))</f>
        <v>0</v>
      </c>
      <c r="AK157" s="886">
        <f t="shared" si="68"/>
        <v>0</v>
      </c>
      <c r="AL157" s="886">
        <f>IF($O158=0,0,           IF(FRM,_xll.qGetFwdRate(AL$14,$O157,AD157,"T",DCC_Leg1_Float),_xll.qGetFwdRate(AL$14,$O157,$O158,"T",DCC_Leg1_Float)))</f>
        <v>0</v>
      </c>
      <c r="AM157" s="886">
        <f t="shared" si="81"/>
        <v>0</v>
      </c>
      <c r="AN157" s="886">
        <f t="shared" si="82"/>
        <v>0</v>
      </c>
      <c r="AO157" s="886">
        <f>IF($O158=0,0,           IF(FRM,_xll.qGetFwdRate(AO$14,$O157,AG157,"T",DCC_Leg1_Float),_xll.qGetFwdRate(AO$14,$O157,$O158,"T",DCC_Leg1_Float)))</f>
        <v>0</v>
      </c>
      <c r="AP157" s="886">
        <f>IF($O158=0,0,           IF(FRM,_xll.qGetFwdRate(AP$14,$O157,AH157,"T",DCC_Leg1_Float),_xll.qGetFwdRate(AP$14,$O157,$O158,"T",DCC_Leg1_Float)))</f>
        <v>0</v>
      </c>
      <c r="AQ157" s="648">
        <f t="shared" si="83"/>
        <v>0</v>
      </c>
      <c r="AR157" s="648">
        <f t="shared" si="84"/>
        <v>0</v>
      </c>
      <c r="AS157" s="648">
        <f t="shared" si="85"/>
        <v>0</v>
      </c>
      <c r="AT157" s="648">
        <f t="shared" si="86"/>
        <v>0</v>
      </c>
      <c r="AU157" s="648">
        <f t="shared" si="87"/>
        <v>0</v>
      </c>
      <c r="AV157" s="648">
        <f t="shared" si="88"/>
        <v>0</v>
      </c>
      <c r="AW157" s="648">
        <f t="shared" si="89"/>
        <v>0</v>
      </c>
      <c r="AX157" s="648">
        <f t="shared" si="90"/>
        <v>0</v>
      </c>
      <c r="AY157" s="634">
        <v>0</v>
      </c>
      <c r="AZ157" s="616"/>
      <c r="BA157" s="619">
        <f>IF(O158=0,0,             IF(ISNUMBER(AZ157),AZ157,             IF(ISTEXT(AZ157),INDEX(AQ157:AX157,MATCH(AZ157,$AQ$17:$AX$17,0)),           IF(AY157="INT",_xll.qInterp(O158,AA157:AH157,AQ157:AX157),       INDEX(AQ157:AX157,MATCH(AY157,$AQ$17:$AX$17,0))))))</f>
        <v>0</v>
      </c>
      <c r="BB157" s="674">
        <v>100</v>
      </c>
      <c r="BC157" s="666">
        <f t="shared" si="69"/>
        <v>0</v>
      </c>
      <c r="BD157" s="268">
        <f>IF($O158=0,0,                IF(LEFT(DCC_Leg1_Fixed,2)="1/",uEvaluate(DCC_Leg1_Fixed),        _xll.qDateYears($O157,$O158,DCC_Leg1_Fixed)))</f>
        <v>0</v>
      </c>
      <c r="BE157" s="268">
        <f>IF($O158,_xll.qDateYears($O157,$O158,DCC_Leg1_Float),0)</f>
        <v>0</v>
      </c>
      <c r="BG157" s="332">
        <f t="shared" si="91"/>
        <v>0</v>
      </c>
      <c r="BH157" s="357">
        <f t="shared" si="92"/>
        <v>0</v>
      </c>
      <c r="BI157" s="527"/>
      <c r="BK157" s="324">
        <f t="shared" si="65"/>
        <v>0</v>
      </c>
      <c r="BM157" s="338"/>
      <c r="BN157" s="121">
        <v>0</v>
      </c>
      <c r="BO157" s="755">
        <f t="shared" si="70"/>
        <v>0</v>
      </c>
      <c r="BP157" s="339">
        <v>0</v>
      </c>
      <c r="BQ157" s="890">
        <f>IF(BN158=0,0,         IF(OR(Currency2="AUD",Currency1="NZD",Currency2="GBP"),BN157,   _xll.qDateNext(BN157,"-2b",,,IF(Currency2="EUR","TGT","LON"))))</f>
        <v>0</v>
      </c>
      <c r="BR157" s="879" t="str">
        <v/>
      </c>
      <c r="BS157" s="879" t="str">
        <v/>
      </c>
      <c r="BT157" s="879" t="str">
        <v/>
      </c>
      <c r="BU157" s="879" t="str">
        <v/>
      </c>
      <c r="BV157" s="879" t="str">
        <v/>
      </c>
      <c r="BW157" s="879" t="str">
        <v/>
      </c>
      <c r="BX157" s="879" t="str">
        <v/>
      </c>
      <c r="BY157" s="879" t="str">
        <v/>
      </c>
      <c r="BZ157" s="882">
        <f>IF($BN158=0,0,        _xll.qDateNext($BN157,BZ$17,$CG$16,TRUE,Currency2))</f>
        <v>0</v>
      </c>
      <c r="CA157" s="882">
        <f>IF($BN158=0,0,        _xll.qDateNext($BN157,CA$17,$CG$16,TRUE,Currency2))</f>
        <v>0</v>
      </c>
      <c r="CB157" s="882">
        <f>IF($BN158=0,0,        _xll.qDateNext($BN157,CB$17,$CG$16,TRUE,Currency2))</f>
        <v>0</v>
      </c>
      <c r="CC157" s="882">
        <f>IF($BN158=0,0,        _xll.qDateNext($BN157,CC$17,$CG$16,TRUE,Currency2))</f>
        <v>0</v>
      </c>
      <c r="CD157" s="882">
        <f>IF($BN158=0,0,        _xll.qDateNext($BN157,CD$17,$CG$16,TRUE,Currency2))</f>
        <v>0</v>
      </c>
      <c r="CE157" s="882">
        <f>IF($BN158=0,0,        _xll.qDateNext($BN157,CE$17,$CG$16,TRUE,Currency2))</f>
        <v>0</v>
      </c>
      <c r="CF157" s="882">
        <f>IF($BN158=0,0,        _xll.qDateNext($BN157,CF$17,$CG$16,TRUE,Currency2))</f>
        <v>0</v>
      </c>
      <c r="CG157" s="882">
        <f>IF($BN158=0,0,        _xll.qDateNext($BN157,CG$17,$CG$16,TRUE,Currency2))</f>
        <v>0</v>
      </c>
      <c r="CH157" s="886">
        <v>0</v>
      </c>
      <c r="CI157" s="886">
        <v>0</v>
      </c>
      <c r="CJ157" s="886">
        <v>0</v>
      </c>
      <c r="CK157" s="886">
        <v>0</v>
      </c>
      <c r="CL157" s="886">
        <f t="shared" si="93"/>
        <v>0</v>
      </c>
      <c r="CM157" s="886">
        <f t="shared" si="94"/>
        <v>0</v>
      </c>
      <c r="CN157" s="886">
        <v>0</v>
      </c>
      <c r="CO157" s="886">
        <v>0</v>
      </c>
      <c r="CP157" s="648">
        <f t="shared" si="71"/>
        <v>0</v>
      </c>
      <c r="CQ157" s="648">
        <f t="shared" si="72"/>
        <v>0</v>
      </c>
      <c r="CR157" s="648">
        <f t="shared" si="73"/>
        <v>0</v>
      </c>
      <c r="CS157" s="648">
        <f t="shared" si="74"/>
        <v>0</v>
      </c>
      <c r="CT157" s="648">
        <f t="shared" si="75"/>
        <v>0</v>
      </c>
      <c r="CU157" s="648">
        <f t="shared" si="76"/>
        <v>0</v>
      </c>
      <c r="CV157" s="648">
        <f t="shared" si="77"/>
        <v>0</v>
      </c>
      <c r="CW157" s="648">
        <f t="shared" si="78"/>
        <v>0</v>
      </c>
      <c r="CX157" s="634">
        <v>0</v>
      </c>
      <c r="CY157" s="616"/>
      <c r="CZ157" s="619">
        <f>IF(BN158=0,0,             IF(ISNUMBER(CY157),CY157,             IF(ISTEXT(CY157),INDEX(CP157:CW157,MATCH(CY157,$CP$17:$CW$17,0)),           IF(CX157="INT",_xll.qInterp(BN158,BZ157:CG157,CP157:CW157),       INDEX(CP157:CW157,MATCH(CX157,$CP$17:$CW$17,0))))))</f>
        <v>0</v>
      </c>
      <c r="DA157" s="755">
        <f t="shared" si="79"/>
        <v>0</v>
      </c>
      <c r="DB157" s="387">
        <f t="shared" si="80"/>
        <v>0</v>
      </c>
      <c r="DC157" s="268">
        <f>IF($BN158=0,0,         IF(LEFT(DCC_Leg2_Fixed,2)="1/",uEvaluate(DCC_Leg2_Fixed),         _xll.qDateYears($BN157,$BN158,DCC_Leg2_Fixed)))</f>
        <v>0</v>
      </c>
      <c r="DD157" s="268">
        <f>IF($BN158,_xll.qDateYears($BN157,$BN158,DCC_Leg2_Float),0)</f>
        <v>0</v>
      </c>
      <c r="DF157" s="332">
        <f t="shared" si="95"/>
        <v>0</v>
      </c>
      <c r="DG157" s="357">
        <f t="shared" si="96"/>
        <v>0</v>
      </c>
      <c r="DH157" s="527"/>
      <c r="DJ157" s="324">
        <f t="shared" si="66"/>
        <v>0</v>
      </c>
      <c r="DK157" s="529"/>
      <c r="DL157" s="338"/>
    </row>
    <row r="158" spans="15:116">
      <c r="O158" s="121">
        <v>0</v>
      </c>
      <c r="P158" s="755">
        <f t="shared" si="67"/>
        <v>0</v>
      </c>
      <c r="Q158" s="125">
        <v>0</v>
      </c>
      <c r="R158" s="890">
        <f>IF(O159=0,0,         IF(OR(Currency1="AUD",Currency1="NZD",Currency1="GBP"),O158,   _xll.qDateNext(O158,"-2b",,,IF(Currency1="EUR","TGT","LON"))))</f>
        <v>0</v>
      </c>
      <c r="S158" s="879" t="str">
        <v/>
      </c>
      <c r="T158" s="879" t="str">
        <v/>
      </c>
      <c r="U158" s="879" t="str">
        <v/>
      </c>
      <c r="V158" s="879" t="str">
        <v/>
      </c>
      <c r="W158" s="879" t="str">
        <v/>
      </c>
      <c r="X158" s="879" t="str">
        <v/>
      </c>
      <c r="Y158" s="879" t="str">
        <v/>
      </c>
      <c r="Z158" s="879" t="str">
        <v/>
      </c>
      <c r="AA158" s="882">
        <f>IF($O159=0,0,        _xll.qDateNext($O158,AA$17,$AH$16,TRUE,Currency1))</f>
        <v>0</v>
      </c>
      <c r="AB158" s="882">
        <f>IF($O159=0,0,        _xll.qDateNext($O158,AB$17,$AH$16,TRUE,Currency1))</f>
        <v>0</v>
      </c>
      <c r="AC158" s="882">
        <f>IF($O159=0,0,        _xll.qDateNext($O158,AC$17,$AH$16,TRUE,Currency1))</f>
        <v>0</v>
      </c>
      <c r="AD158" s="882">
        <f>IF($O159=0,0,        _xll.qDateNext($O158,AD$17,$AH$16,TRUE,Currency1))</f>
        <v>0</v>
      </c>
      <c r="AE158" s="882">
        <f>IF($O159=0,0,        _xll.qDateNext($O158,AE$17,$AH$16,TRUE,Currency1))</f>
        <v>0</v>
      </c>
      <c r="AF158" s="882">
        <f>IF($O159=0,0,        _xll.qDateNext($O158,AF$17,$AH$16,TRUE,Currency1))</f>
        <v>0</v>
      </c>
      <c r="AG158" s="882">
        <f>IF($O159=0,0,        _xll.qDateNext($O158,AG$17,$AH$16,TRUE,Currency1))</f>
        <v>0</v>
      </c>
      <c r="AH158" s="882">
        <f>IF($O159=0,0,        _xll.qDateNext($O158,AH$17,$AH$16,TRUE,Currency1))</f>
        <v>0</v>
      </c>
      <c r="AI158" s="886">
        <f>IF($O159=0,0,           IF(FRM,_xll.qGetFwdRate(AI$14,$O158,AA158,"T",DCC_Leg1_Float),_xll.qGetFwdRate(AI$14,$O158,$O159,"T",DCC_Leg1_Float)))</f>
        <v>0</v>
      </c>
      <c r="AJ158" s="886">
        <f>IF($O159=0,0,           IF(FRM,_xll.qGetFwdRate(AJ$14,$O158,AB158,"T",DCC_Leg1_Float),_xll.qGetFwdRate(AJ$14,$O158,$O159,"T",DCC_Leg1_Float)))</f>
        <v>0</v>
      </c>
      <c r="AK158" s="886">
        <f t="shared" si="68"/>
        <v>0</v>
      </c>
      <c r="AL158" s="886">
        <f>IF($O159=0,0,           IF(FRM,_xll.qGetFwdRate(AL$14,$O158,AD158,"T",DCC_Leg1_Float),_xll.qGetFwdRate(AL$14,$O158,$O159,"T",DCC_Leg1_Float)))</f>
        <v>0</v>
      </c>
      <c r="AM158" s="886">
        <f t="shared" si="81"/>
        <v>0</v>
      </c>
      <c r="AN158" s="886">
        <f t="shared" si="82"/>
        <v>0</v>
      </c>
      <c r="AO158" s="886">
        <f>IF($O159=0,0,           IF(FRM,_xll.qGetFwdRate(AO$14,$O158,AG158,"T",DCC_Leg1_Float),_xll.qGetFwdRate(AO$14,$O158,$O159,"T",DCC_Leg1_Float)))</f>
        <v>0</v>
      </c>
      <c r="AP158" s="886">
        <f>IF($O159=0,0,           IF(FRM,_xll.qGetFwdRate(AP$14,$O158,AH158,"T",DCC_Leg1_Float),_xll.qGetFwdRate(AP$14,$O158,$O159,"T",DCC_Leg1_Float)))</f>
        <v>0</v>
      </c>
      <c r="AQ158" s="648">
        <f t="shared" si="83"/>
        <v>0</v>
      </c>
      <c r="AR158" s="648">
        <f t="shared" si="84"/>
        <v>0</v>
      </c>
      <c r="AS158" s="648">
        <f t="shared" si="85"/>
        <v>0</v>
      </c>
      <c r="AT158" s="648">
        <f t="shared" si="86"/>
        <v>0</v>
      </c>
      <c r="AU158" s="648">
        <f t="shared" si="87"/>
        <v>0</v>
      </c>
      <c r="AV158" s="648">
        <f t="shared" si="88"/>
        <v>0</v>
      </c>
      <c r="AW158" s="648">
        <f t="shared" si="89"/>
        <v>0</v>
      </c>
      <c r="AX158" s="648">
        <f t="shared" si="90"/>
        <v>0</v>
      </c>
      <c r="AY158" s="634">
        <v>0</v>
      </c>
      <c r="AZ158" s="616"/>
      <c r="BA158" s="619">
        <f>IF(O159=0,0,             IF(ISNUMBER(AZ158),AZ158,             IF(ISTEXT(AZ158),INDEX(AQ158:AX158,MATCH(AZ158,$AQ$17:$AX$17,0)),           IF(AY158="INT",_xll.qInterp(O159,AA158:AH158,AQ158:AX158),       INDEX(AQ158:AX158,MATCH(AY158,$AQ$17:$AX$17,0))))))</f>
        <v>0</v>
      </c>
      <c r="BB158" s="674">
        <v>100</v>
      </c>
      <c r="BC158" s="666">
        <f t="shared" si="69"/>
        <v>0</v>
      </c>
      <c r="BD158" s="268">
        <f>IF($O159=0,0,                IF(LEFT(DCC_Leg1_Fixed,2)="1/",uEvaluate(DCC_Leg1_Fixed),        _xll.qDateYears($O158,$O159,DCC_Leg1_Fixed)))</f>
        <v>0</v>
      </c>
      <c r="BE158" s="268">
        <f>IF($O159,_xll.qDateYears($O158,$O159,DCC_Leg1_Float),0)</f>
        <v>0</v>
      </c>
      <c r="BG158" s="332">
        <f t="shared" si="91"/>
        <v>0</v>
      </c>
      <c r="BH158" s="357">
        <f t="shared" si="92"/>
        <v>0</v>
      </c>
      <c r="BI158" s="527"/>
      <c r="BK158" s="324">
        <f t="shared" si="65"/>
        <v>0</v>
      </c>
      <c r="BM158" s="338"/>
      <c r="BN158" s="121">
        <v>0</v>
      </c>
      <c r="BO158" s="755">
        <f t="shared" si="70"/>
        <v>0</v>
      </c>
      <c r="BP158" s="339">
        <v>0</v>
      </c>
      <c r="BQ158" s="890">
        <f>IF(BN159=0,0,         IF(OR(Currency2="AUD",Currency1="NZD",Currency2="GBP"),BN158,   _xll.qDateNext(BN158,"-2b",,,IF(Currency2="EUR","TGT","LON"))))</f>
        <v>0</v>
      </c>
      <c r="BR158" s="879" t="str">
        <v/>
      </c>
      <c r="BS158" s="879" t="str">
        <v/>
      </c>
      <c r="BT158" s="879" t="str">
        <v/>
      </c>
      <c r="BU158" s="879" t="str">
        <v/>
      </c>
      <c r="BV158" s="879" t="str">
        <v/>
      </c>
      <c r="BW158" s="879" t="str">
        <v/>
      </c>
      <c r="BX158" s="879" t="str">
        <v/>
      </c>
      <c r="BY158" s="879" t="str">
        <v/>
      </c>
      <c r="BZ158" s="882">
        <f>IF($BN159=0,0,        _xll.qDateNext($BN158,BZ$17,$CG$16,TRUE,Currency2))</f>
        <v>0</v>
      </c>
      <c r="CA158" s="882">
        <f>IF($BN159=0,0,        _xll.qDateNext($BN158,CA$17,$CG$16,TRUE,Currency2))</f>
        <v>0</v>
      </c>
      <c r="CB158" s="882">
        <f>IF($BN159=0,0,        _xll.qDateNext($BN158,CB$17,$CG$16,TRUE,Currency2))</f>
        <v>0</v>
      </c>
      <c r="CC158" s="882">
        <f>IF($BN159=0,0,        _xll.qDateNext($BN158,CC$17,$CG$16,TRUE,Currency2))</f>
        <v>0</v>
      </c>
      <c r="CD158" s="882">
        <f>IF($BN159=0,0,        _xll.qDateNext($BN158,CD$17,$CG$16,TRUE,Currency2))</f>
        <v>0</v>
      </c>
      <c r="CE158" s="882">
        <f>IF($BN159=0,0,        _xll.qDateNext($BN158,CE$17,$CG$16,TRUE,Currency2))</f>
        <v>0</v>
      </c>
      <c r="CF158" s="882">
        <f>IF($BN159=0,0,        _xll.qDateNext($BN158,CF$17,$CG$16,TRUE,Currency2))</f>
        <v>0</v>
      </c>
      <c r="CG158" s="882">
        <f>IF($BN159=0,0,        _xll.qDateNext($BN158,CG$17,$CG$16,TRUE,Currency2))</f>
        <v>0</v>
      </c>
      <c r="CH158" s="886">
        <v>0</v>
      </c>
      <c r="CI158" s="886">
        <v>0</v>
      </c>
      <c r="CJ158" s="886">
        <v>0</v>
      </c>
      <c r="CK158" s="886">
        <v>0</v>
      </c>
      <c r="CL158" s="886">
        <f t="shared" si="93"/>
        <v>0</v>
      </c>
      <c r="CM158" s="886">
        <f t="shared" si="94"/>
        <v>0</v>
      </c>
      <c r="CN158" s="886">
        <v>0</v>
      </c>
      <c r="CO158" s="886">
        <v>0</v>
      </c>
      <c r="CP158" s="648">
        <f t="shared" si="71"/>
        <v>0</v>
      </c>
      <c r="CQ158" s="648">
        <f t="shared" si="72"/>
        <v>0</v>
      </c>
      <c r="CR158" s="648">
        <f t="shared" si="73"/>
        <v>0</v>
      </c>
      <c r="CS158" s="648">
        <f t="shared" si="74"/>
        <v>0</v>
      </c>
      <c r="CT158" s="648">
        <f t="shared" si="75"/>
        <v>0</v>
      </c>
      <c r="CU158" s="648">
        <f t="shared" si="76"/>
        <v>0</v>
      </c>
      <c r="CV158" s="648">
        <f t="shared" si="77"/>
        <v>0</v>
      </c>
      <c r="CW158" s="648">
        <f t="shared" si="78"/>
        <v>0</v>
      </c>
      <c r="CX158" s="634">
        <v>0</v>
      </c>
      <c r="CY158" s="616"/>
      <c r="CZ158" s="619">
        <f>IF(BN159=0,0,             IF(ISNUMBER(CY158),CY158,             IF(ISTEXT(CY158),INDEX(CP158:CW158,MATCH(CY158,$CP$17:$CW$17,0)),           IF(CX158="INT",_xll.qInterp(BN159,BZ158:CG158,CP158:CW158),       INDEX(CP158:CW158,MATCH(CX158,$CP$17:$CW$17,0))))))</f>
        <v>0</v>
      </c>
      <c r="DA158" s="755">
        <f t="shared" si="79"/>
        <v>0</v>
      </c>
      <c r="DB158" s="387">
        <f t="shared" si="80"/>
        <v>0</v>
      </c>
      <c r="DC158" s="268">
        <f>IF($BN159=0,0,         IF(LEFT(DCC_Leg2_Fixed,2)="1/",uEvaluate(DCC_Leg2_Fixed),         _xll.qDateYears($BN158,$BN159,DCC_Leg2_Fixed)))</f>
        <v>0</v>
      </c>
      <c r="DD158" s="268">
        <f>IF($BN159,_xll.qDateYears($BN158,$BN159,DCC_Leg2_Float),0)</f>
        <v>0</v>
      </c>
      <c r="DF158" s="332">
        <f t="shared" si="95"/>
        <v>0</v>
      </c>
      <c r="DG158" s="357">
        <f t="shared" si="96"/>
        <v>0</v>
      </c>
      <c r="DH158" s="527"/>
      <c r="DJ158" s="324">
        <f t="shared" si="66"/>
        <v>0</v>
      </c>
      <c r="DK158" s="529"/>
      <c r="DL158" s="338"/>
    </row>
    <row r="159" spans="15:116">
      <c r="O159" s="121">
        <v>0</v>
      </c>
      <c r="P159" s="755">
        <f t="shared" si="67"/>
        <v>0</v>
      </c>
      <c r="Q159" s="125">
        <v>0</v>
      </c>
      <c r="R159" s="890">
        <f>IF(O160=0,0,         IF(OR(Currency1="AUD",Currency1="NZD",Currency1="GBP"),O159,   _xll.qDateNext(O159,"-2b",,,IF(Currency1="EUR","TGT","LON"))))</f>
        <v>0</v>
      </c>
      <c r="S159" s="879" t="str">
        <v/>
      </c>
      <c r="T159" s="879" t="str">
        <v/>
      </c>
      <c r="U159" s="879" t="str">
        <v/>
      </c>
      <c r="V159" s="879" t="str">
        <v/>
      </c>
      <c r="W159" s="879" t="str">
        <v/>
      </c>
      <c r="X159" s="879" t="str">
        <v/>
      </c>
      <c r="Y159" s="879" t="str">
        <v/>
      </c>
      <c r="Z159" s="879" t="str">
        <v/>
      </c>
      <c r="AA159" s="882">
        <f>IF($O160=0,0,        _xll.qDateNext($O159,AA$17,$AH$16,TRUE,Currency1))</f>
        <v>0</v>
      </c>
      <c r="AB159" s="882">
        <f>IF($O160=0,0,        _xll.qDateNext($O159,AB$17,$AH$16,TRUE,Currency1))</f>
        <v>0</v>
      </c>
      <c r="AC159" s="882">
        <f>IF($O160=0,0,        _xll.qDateNext($O159,AC$17,$AH$16,TRUE,Currency1))</f>
        <v>0</v>
      </c>
      <c r="AD159" s="882">
        <f>IF($O160=0,0,        _xll.qDateNext($O159,AD$17,$AH$16,TRUE,Currency1))</f>
        <v>0</v>
      </c>
      <c r="AE159" s="882">
        <f>IF($O160=0,0,        _xll.qDateNext($O159,AE$17,$AH$16,TRUE,Currency1))</f>
        <v>0</v>
      </c>
      <c r="AF159" s="882">
        <f>IF($O160=0,0,        _xll.qDateNext($O159,AF$17,$AH$16,TRUE,Currency1))</f>
        <v>0</v>
      </c>
      <c r="AG159" s="882">
        <f>IF($O160=0,0,        _xll.qDateNext($O159,AG$17,$AH$16,TRUE,Currency1))</f>
        <v>0</v>
      </c>
      <c r="AH159" s="882">
        <f>IF($O160=0,0,        _xll.qDateNext($O159,AH$17,$AH$16,TRUE,Currency1))</f>
        <v>0</v>
      </c>
      <c r="AI159" s="886">
        <f>IF($O160=0,0,           IF(FRM,_xll.qGetFwdRate(AI$14,$O159,AA159,"T",DCC_Leg1_Float),_xll.qGetFwdRate(AI$14,$O159,$O160,"T",DCC_Leg1_Float)))</f>
        <v>0</v>
      </c>
      <c r="AJ159" s="886">
        <f>IF($O160=0,0,           IF(FRM,_xll.qGetFwdRate(AJ$14,$O159,AB159,"T",DCC_Leg1_Float),_xll.qGetFwdRate(AJ$14,$O159,$O160,"T",DCC_Leg1_Float)))</f>
        <v>0</v>
      </c>
      <c r="AK159" s="886">
        <f t="shared" si="68"/>
        <v>0</v>
      </c>
      <c r="AL159" s="886">
        <f>IF($O160=0,0,           IF(FRM,_xll.qGetFwdRate(AL$14,$O159,AD159,"T",DCC_Leg1_Float),_xll.qGetFwdRate(AL$14,$O159,$O160,"T",DCC_Leg1_Float)))</f>
        <v>0</v>
      </c>
      <c r="AM159" s="886">
        <f t="shared" si="81"/>
        <v>0</v>
      </c>
      <c r="AN159" s="886">
        <f t="shared" si="82"/>
        <v>0</v>
      </c>
      <c r="AO159" s="886">
        <f>IF($O160=0,0,           IF(FRM,_xll.qGetFwdRate(AO$14,$O159,AG159,"T",DCC_Leg1_Float),_xll.qGetFwdRate(AO$14,$O159,$O160,"T",DCC_Leg1_Float)))</f>
        <v>0</v>
      </c>
      <c r="AP159" s="886">
        <f>IF($O160=0,0,           IF(FRM,_xll.qGetFwdRate(AP$14,$O159,AH159,"T",DCC_Leg1_Float),_xll.qGetFwdRate(AP$14,$O159,$O160,"T",DCC_Leg1_Float)))</f>
        <v>0</v>
      </c>
      <c r="AQ159" s="648">
        <f t="shared" si="83"/>
        <v>0</v>
      </c>
      <c r="AR159" s="648">
        <f t="shared" si="84"/>
        <v>0</v>
      </c>
      <c r="AS159" s="648">
        <f t="shared" si="85"/>
        <v>0</v>
      </c>
      <c r="AT159" s="648">
        <f t="shared" si="86"/>
        <v>0</v>
      </c>
      <c r="AU159" s="648">
        <f t="shared" si="87"/>
        <v>0</v>
      </c>
      <c r="AV159" s="648">
        <f t="shared" si="88"/>
        <v>0</v>
      </c>
      <c r="AW159" s="648">
        <f t="shared" si="89"/>
        <v>0</v>
      </c>
      <c r="AX159" s="648">
        <f t="shared" si="90"/>
        <v>0</v>
      </c>
      <c r="AY159" s="634">
        <v>0</v>
      </c>
      <c r="AZ159" s="616"/>
      <c r="BA159" s="619">
        <f>IF(O160=0,0,             IF(ISNUMBER(AZ159),AZ159,             IF(ISTEXT(AZ159),INDEX(AQ159:AX159,MATCH(AZ159,$AQ$17:$AX$17,0)),           IF(AY159="INT",_xll.qInterp(O160,AA159:AH159,AQ159:AX159),       INDEX(AQ159:AX159,MATCH(AY159,$AQ$17:$AX$17,0))))))</f>
        <v>0</v>
      </c>
      <c r="BB159" s="674">
        <v>100</v>
      </c>
      <c r="BC159" s="666">
        <f t="shared" si="69"/>
        <v>0</v>
      </c>
      <c r="BD159" s="268">
        <f>IF($O160=0,0,                IF(LEFT(DCC_Leg1_Fixed,2)="1/",uEvaluate(DCC_Leg1_Fixed),        _xll.qDateYears($O159,$O160,DCC_Leg1_Fixed)))</f>
        <v>0</v>
      </c>
      <c r="BE159" s="268">
        <f>IF($O160,_xll.qDateYears($O159,$O160,DCC_Leg1_Float),0)</f>
        <v>0</v>
      </c>
      <c r="BG159" s="332">
        <f t="shared" si="91"/>
        <v>0</v>
      </c>
      <c r="BH159" s="357">
        <f t="shared" si="92"/>
        <v>0</v>
      </c>
      <c r="BI159" s="527"/>
      <c r="BK159" s="324">
        <f t="shared" si="65"/>
        <v>0</v>
      </c>
      <c r="BM159" s="338"/>
      <c r="BN159" s="121">
        <v>0</v>
      </c>
      <c r="BO159" s="755">
        <f t="shared" si="70"/>
        <v>0</v>
      </c>
      <c r="BP159" s="339">
        <v>0</v>
      </c>
      <c r="BQ159" s="890">
        <f>IF(BN160=0,0,         IF(OR(Currency2="AUD",Currency1="NZD",Currency2="GBP"),BN159,   _xll.qDateNext(BN159,"-2b",,,IF(Currency2="EUR","TGT","LON"))))</f>
        <v>0</v>
      </c>
      <c r="BR159" s="879" t="str">
        <v/>
      </c>
      <c r="BS159" s="879" t="str">
        <v/>
      </c>
      <c r="BT159" s="879" t="str">
        <v/>
      </c>
      <c r="BU159" s="879" t="str">
        <v/>
      </c>
      <c r="BV159" s="879" t="str">
        <v/>
      </c>
      <c r="BW159" s="879" t="str">
        <v/>
      </c>
      <c r="BX159" s="879" t="str">
        <v/>
      </c>
      <c r="BY159" s="879" t="str">
        <v/>
      </c>
      <c r="BZ159" s="882">
        <f>IF($BN160=0,0,        _xll.qDateNext($BN159,BZ$17,$CG$16,TRUE,Currency2))</f>
        <v>0</v>
      </c>
      <c r="CA159" s="882">
        <f>IF($BN160=0,0,        _xll.qDateNext($BN159,CA$17,$CG$16,TRUE,Currency2))</f>
        <v>0</v>
      </c>
      <c r="CB159" s="882">
        <f>IF($BN160=0,0,        _xll.qDateNext($BN159,CB$17,$CG$16,TRUE,Currency2))</f>
        <v>0</v>
      </c>
      <c r="CC159" s="882">
        <f>IF($BN160=0,0,        _xll.qDateNext($BN159,CC$17,$CG$16,TRUE,Currency2))</f>
        <v>0</v>
      </c>
      <c r="CD159" s="882">
        <f>IF($BN160=0,0,        _xll.qDateNext($BN159,CD$17,$CG$16,TRUE,Currency2))</f>
        <v>0</v>
      </c>
      <c r="CE159" s="882">
        <f>IF($BN160=0,0,        _xll.qDateNext($BN159,CE$17,$CG$16,TRUE,Currency2))</f>
        <v>0</v>
      </c>
      <c r="CF159" s="882">
        <f>IF($BN160=0,0,        _xll.qDateNext($BN159,CF$17,$CG$16,TRUE,Currency2))</f>
        <v>0</v>
      </c>
      <c r="CG159" s="882">
        <f>IF($BN160=0,0,        _xll.qDateNext($BN159,CG$17,$CG$16,TRUE,Currency2))</f>
        <v>0</v>
      </c>
      <c r="CH159" s="886">
        <v>0</v>
      </c>
      <c r="CI159" s="886">
        <v>0</v>
      </c>
      <c r="CJ159" s="886">
        <v>0</v>
      </c>
      <c r="CK159" s="886">
        <v>0</v>
      </c>
      <c r="CL159" s="886">
        <f t="shared" si="93"/>
        <v>0</v>
      </c>
      <c r="CM159" s="886">
        <f t="shared" si="94"/>
        <v>0</v>
      </c>
      <c r="CN159" s="886">
        <v>0</v>
      </c>
      <c r="CO159" s="886">
        <v>0</v>
      </c>
      <c r="CP159" s="648">
        <f t="shared" si="71"/>
        <v>0</v>
      </c>
      <c r="CQ159" s="648">
        <f t="shared" si="72"/>
        <v>0</v>
      </c>
      <c r="CR159" s="648">
        <f t="shared" si="73"/>
        <v>0</v>
      </c>
      <c r="CS159" s="648">
        <f t="shared" si="74"/>
        <v>0</v>
      </c>
      <c r="CT159" s="648">
        <f t="shared" si="75"/>
        <v>0</v>
      </c>
      <c r="CU159" s="648">
        <f t="shared" si="76"/>
        <v>0</v>
      </c>
      <c r="CV159" s="648">
        <f t="shared" si="77"/>
        <v>0</v>
      </c>
      <c r="CW159" s="648">
        <f t="shared" si="78"/>
        <v>0</v>
      </c>
      <c r="CX159" s="634">
        <v>0</v>
      </c>
      <c r="CY159" s="616"/>
      <c r="CZ159" s="619">
        <f>IF(BN160=0,0,             IF(ISNUMBER(CY159),CY159,             IF(ISTEXT(CY159),INDEX(CP159:CW159,MATCH(CY159,$CP$17:$CW$17,0)),           IF(CX159="INT",_xll.qInterp(BN160,BZ159:CG159,CP159:CW159),       INDEX(CP159:CW159,MATCH(CX159,$CP$17:$CW$17,0))))))</f>
        <v>0</v>
      </c>
      <c r="DA159" s="755">
        <f t="shared" si="79"/>
        <v>0</v>
      </c>
      <c r="DB159" s="387">
        <f t="shared" si="80"/>
        <v>0</v>
      </c>
      <c r="DC159" s="268">
        <f>IF($BN160=0,0,         IF(LEFT(DCC_Leg2_Fixed,2)="1/",uEvaluate(DCC_Leg2_Fixed),         _xll.qDateYears($BN159,$BN160,DCC_Leg2_Fixed)))</f>
        <v>0</v>
      </c>
      <c r="DD159" s="268">
        <f>IF($BN160,_xll.qDateYears($BN159,$BN160,DCC_Leg2_Float),0)</f>
        <v>0</v>
      </c>
      <c r="DF159" s="332">
        <f t="shared" si="95"/>
        <v>0</v>
      </c>
      <c r="DG159" s="357">
        <f t="shared" si="96"/>
        <v>0</v>
      </c>
      <c r="DH159" s="527"/>
      <c r="DJ159" s="324">
        <f t="shared" si="66"/>
        <v>0</v>
      </c>
      <c r="DK159" s="529"/>
      <c r="DL159" s="338"/>
    </row>
    <row r="160" spans="15:116">
      <c r="O160" s="121">
        <v>0</v>
      </c>
      <c r="P160" s="755">
        <f t="shared" si="67"/>
        <v>0</v>
      </c>
      <c r="Q160" s="125">
        <v>0</v>
      </c>
      <c r="R160" s="890">
        <f>IF(O161=0,0,         IF(OR(Currency1="AUD",Currency1="NZD",Currency1="GBP"),O160,   _xll.qDateNext(O160,"-2b",,,IF(Currency1="EUR","TGT","LON"))))</f>
        <v>0</v>
      </c>
      <c r="S160" s="879" t="str">
        <v/>
      </c>
      <c r="T160" s="879" t="str">
        <v/>
      </c>
      <c r="U160" s="879" t="str">
        <v/>
      </c>
      <c r="V160" s="879" t="str">
        <v/>
      </c>
      <c r="W160" s="879" t="str">
        <v/>
      </c>
      <c r="X160" s="879" t="str">
        <v/>
      </c>
      <c r="Y160" s="879" t="str">
        <v/>
      </c>
      <c r="Z160" s="879" t="str">
        <v/>
      </c>
      <c r="AA160" s="882">
        <f>IF($O161=0,0,        _xll.qDateNext($O160,AA$17,$AH$16,TRUE,Currency1))</f>
        <v>0</v>
      </c>
      <c r="AB160" s="882">
        <f>IF($O161=0,0,        _xll.qDateNext($O160,AB$17,$AH$16,TRUE,Currency1))</f>
        <v>0</v>
      </c>
      <c r="AC160" s="882">
        <f>IF($O161=0,0,        _xll.qDateNext($O160,AC$17,$AH$16,TRUE,Currency1))</f>
        <v>0</v>
      </c>
      <c r="AD160" s="882">
        <f>IF($O161=0,0,        _xll.qDateNext($O160,AD$17,$AH$16,TRUE,Currency1))</f>
        <v>0</v>
      </c>
      <c r="AE160" s="882">
        <f>IF($O161=0,0,        _xll.qDateNext($O160,AE$17,$AH$16,TRUE,Currency1))</f>
        <v>0</v>
      </c>
      <c r="AF160" s="882">
        <f>IF($O161=0,0,        _xll.qDateNext($O160,AF$17,$AH$16,TRUE,Currency1))</f>
        <v>0</v>
      </c>
      <c r="AG160" s="882">
        <f>IF($O161=0,0,        _xll.qDateNext($O160,AG$17,$AH$16,TRUE,Currency1))</f>
        <v>0</v>
      </c>
      <c r="AH160" s="882">
        <f>IF($O161=0,0,        _xll.qDateNext($O160,AH$17,$AH$16,TRUE,Currency1))</f>
        <v>0</v>
      </c>
      <c r="AI160" s="886">
        <f>IF($O161=0,0,           IF(FRM,_xll.qGetFwdRate(AI$14,$O160,AA160,"T",DCC_Leg1_Float),_xll.qGetFwdRate(AI$14,$O160,$O161,"T",DCC_Leg1_Float)))</f>
        <v>0</v>
      </c>
      <c r="AJ160" s="886">
        <f>IF($O161=0,0,           IF(FRM,_xll.qGetFwdRate(AJ$14,$O160,AB160,"T",DCC_Leg1_Float),_xll.qGetFwdRate(AJ$14,$O160,$O161,"T",DCC_Leg1_Float)))</f>
        <v>0</v>
      </c>
      <c r="AK160" s="886">
        <f t="shared" si="68"/>
        <v>0</v>
      </c>
      <c r="AL160" s="886">
        <f>IF($O161=0,0,           IF(FRM,_xll.qGetFwdRate(AL$14,$O160,AD160,"T",DCC_Leg1_Float),_xll.qGetFwdRate(AL$14,$O160,$O161,"T",DCC_Leg1_Float)))</f>
        <v>0</v>
      </c>
      <c r="AM160" s="886">
        <f t="shared" si="81"/>
        <v>0</v>
      </c>
      <c r="AN160" s="886">
        <f t="shared" si="82"/>
        <v>0</v>
      </c>
      <c r="AO160" s="886">
        <f>IF($O161=0,0,           IF(FRM,_xll.qGetFwdRate(AO$14,$O160,AG160,"T",DCC_Leg1_Float),_xll.qGetFwdRate(AO$14,$O160,$O161,"T",DCC_Leg1_Float)))</f>
        <v>0</v>
      </c>
      <c r="AP160" s="886">
        <f>IF($O161=0,0,           IF(FRM,_xll.qGetFwdRate(AP$14,$O160,AH160,"T",DCC_Leg1_Float),_xll.qGetFwdRate(AP$14,$O160,$O161,"T",DCC_Leg1_Float)))</f>
        <v>0</v>
      </c>
      <c r="AQ160" s="648">
        <f t="shared" si="83"/>
        <v>0</v>
      </c>
      <c r="AR160" s="648">
        <f t="shared" si="84"/>
        <v>0</v>
      </c>
      <c r="AS160" s="648">
        <f t="shared" si="85"/>
        <v>0</v>
      </c>
      <c r="AT160" s="648">
        <f t="shared" si="86"/>
        <v>0</v>
      </c>
      <c r="AU160" s="648">
        <f t="shared" si="87"/>
        <v>0</v>
      </c>
      <c r="AV160" s="648">
        <f t="shared" si="88"/>
        <v>0</v>
      </c>
      <c r="AW160" s="648">
        <f t="shared" si="89"/>
        <v>0</v>
      </c>
      <c r="AX160" s="648">
        <f t="shared" si="90"/>
        <v>0</v>
      </c>
      <c r="AY160" s="634">
        <v>0</v>
      </c>
      <c r="AZ160" s="616"/>
      <c r="BA160" s="619">
        <f>IF(O161=0,0,             IF(ISNUMBER(AZ160),AZ160,             IF(ISTEXT(AZ160),INDEX(AQ160:AX160,MATCH(AZ160,$AQ$17:$AX$17,0)),           IF(AY160="INT",_xll.qInterp(O161,AA160:AH160,AQ160:AX160),       INDEX(AQ160:AX160,MATCH(AY160,$AQ$17:$AX$17,0))))))</f>
        <v>0</v>
      </c>
      <c r="BB160" s="674">
        <v>100</v>
      </c>
      <c r="BC160" s="666">
        <f t="shared" si="69"/>
        <v>0</v>
      </c>
      <c r="BD160" s="268">
        <f>IF($O161=0,0,                IF(LEFT(DCC_Leg1_Fixed,2)="1/",uEvaluate(DCC_Leg1_Fixed),        _xll.qDateYears($O160,$O161,DCC_Leg1_Fixed)))</f>
        <v>0</v>
      </c>
      <c r="BE160" s="268">
        <f>IF($O161,_xll.qDateYears($O160,$O161,DCC_Leg1_Float),0)</f>
        <v>0</v>
      </c>
      <c r="BG160" s="332">
        <f t="shared" si="91"/>
        <v>0</v>
      </c>
      <c r="BH160" s="357">
        <f t="shared" si="92"/>
        <v>0</v>
      </c>
      <c r="BI160" s="527"/>
      <c r="BK160" s="324">
        <f t="shared" si="65"/>
        <v>0</v>
      </c>
      <c r="BM160" s="338"/>
      <c r="BN160" s="121">
        <v>0</v>
      </c>
      <c r="BO160" s="755">
        <f t="shared" si="70"/>
        <v>0</v>
      </c>
      <c r="BP160" s="339">
        <v>0</v>
      </c>
      <c r="BQ160" s="890">
        <f>IF(BN161=0,0,         IF(OR(Currency2="AUD",Currency1="NZD",Currency2="GBP"),BN160,   _xll.qDateNext(BN160,"-2b",,,IF(Currency2="EUR","TGT","LON"))))</f>
        <v>0</v>
      </c>
      <c r="BR160" s="879" t="str">
        <v/>
      </c>
      <c r="BS160" s="879" t="str">
        <v/>
      </c>
      <c r="BT160" s="879" t="str">
        <v/>
      </c>
      <c r="BU160" s="879" t="str">
        <v/>
      </c>
      <c r="BV160" s="879" t="str">
        <v/>
      </c>
      <c r="BW160" s="879" t="str">
        <v/>
      </c>
      <c r="BX160" s="879" t="str">
        <v/>
      </c>
      <c r="BY160" s="879" t="str">
        <v/>
      </c>
      <c r="BZ160" s="882">
        <f>IF($BN161=0,0,        _xll.qDateNext($BN160,BZ$17,$CG$16,TRUE,Currency2))</f>
        <v>0</v>
      </c>
      <c r="CA160" s="882">
        <f>IF($BN161=0,0,        _xll.qDateNext($BN160,CA$17,$CG$16,TRUE,Currency2))</f>
        <v>0</v>
      </c>
      <c r="CB160" s="882">
        <f>IF($BN161=0,0,        _xll.qDateNext($BN160,CB$17,$CG$16,TRUE,Currency2))</f>
        <v>0</v>
      </c>
      <c r="CC160" s="882">
        <f>IF($BN161=0,0,        _xll.qDateNext($BN160,CC$17,$CG$16,TRUE,Currency2))</f>
        <v>0</v>
      </c>
      <c r="CD160" s="882">
        <f>IF($BN161=0,0,        _xll.qDateNext($BN160,CD$17,$CG$16,TRUE,Currency2))</f>
        <v>0</v>
      </c>
      <c r="CE160" s="882">
        <f>IF($BN161=0,0,        _xll.qDateNext($BN160,CE$17,$CG$16,TRUE,Currency2))</f>
        <v>0</v>
      </c>
      <c r="CF160" s="882">
        <f>IF($BN161=0,0,        _xll.qDateNext($BN160,CF$17,$CG$16,TRUE,Currency2))</f>
        <v>0</v>
      </c>
      <c r="CG160" s="882">
        <f>IF($BN161=0,0,        _xll.qDateNext($BN160,CG$17,$CG$16,TRUE,Currency2))</f>
        <v>0</v>
      </c>
      <c r="CH160" s="886">
        <v>0</v>
      </c>
      <c r="CI160" s="886">
        <v>0</v>
      </c>
      <c r="CJ160" s="886">
        <v>0</v>
      </c>
      <c r="CK160" s="886">
        <v>0</v>
      </c>
      <c r="CL160" s="886">
        <f t="shared" si="93"/>
        <v>0</v>
      </c>
      <c r="CM160" s="886">
        <f t="shared" si="94"/>
        <v>0</v>
      </c>
      <c r="CN160" s="886">
        <v>0</v>
      </c>
      <c r="CO160" s="886">
        <v>0</v>
      </c>
      <c r="CP160" s="648">
        <f t="shared" si="71"/>
        <v>0</v>
      </c>
      <c r="CQ160" s="648">
        <f t="shared" si="72"/>
        <v>0</v>
      </c>
      <c r="CR160" s="648">
        <f t="shared" si="73"/>
        <v>0</v>
      </c>
      <c r="CS160" s="648">
        <f t="shared" si="74"/>
        <v>0</v>
      </c>
      <c r="CT160" s="648">
        <f t="shared" si="75"/>
        <v>0</v>
      </c>
      <c r="CU160" s="648">
        <f t="shared" si="76"/>
        <v>0</v>
      </c>
      <c r="CV160" s="648">
        <f t="shared" si="77"/>
        <v>0</v>
      </c>
      <c r="CW160" s="648">
        <f t="shared" si="78"/>
        <v>0</v>
      </c>
      <c r="CX160" s="634">
        <v>0</v>
      </c>
      <c r="CY160" s="616"/>
      <c r="CZ160" s="619">
        <f>IF(BN161=0,0,             IF(ISNUMBER(CY160),CY160,             IF(ISTEXT(CY160),INDEX(CP160:CW160,MATCH(CY160,$CP$17:$CW$17,0)),           IF(CX160="INT",_xll.qInterp(BN161,BZ160:CG160,CP160:CW160),       INDEX(CP160:CW160,MATCH(CX160,$CP$17:$CW$17,0))))))</f>
        <v>0</v>
      </c>
      <c r="DA160" s="755">
        <f t="shared" si="79"/>
        <v>0</v>
      </c>
      <c r="DB160" s="387">
        <f t="shared" si="80"/>
        <v>0</v>
      </c>
      <c r="DC160" s="268">
        <f>IF($BN161=0,0,         IF(LEFT(DCC_Leg2_Fixed,2)="1/",uEvaluate(DCC_Leg2_Fixed),         _xll.qDateYears($BN160,$BN161,DCC_Leg2_Fixed)))</f>
        <v>0</v>
      </c>
      <c r="DD160" s="268">
        <f>IF($BN161,_xll.qDateYears($BN160,$BN161,DCC_Leg2_Float),0)</f>
        <v>0</v>
      </c>
      <c r="DF160" s="332">
        <f t="shared" si="95"/>
        <v>0</v>
      </c>
      <c r="DG160" s="357">
        <f t="shared" si="96"/>
        <v>0</v>
      </c>
      <c r="DH160" s="527"/>
      <c r="DJ160" s="324">
        <f t="shared" si="66"/>
        <v>0</v>
      </c>
      <c r="DK160" s="529"/>
      <c r="DL160" s="338"/>
    </row>
    <row r="161" spans="15:116">
      <c r="O161" s="121">
        <v>0</v>
      </c>
      <c r="P161" s="755">
        <f t="shared" si="67"/>
        <v>0</v>
      </c>
      <c r="Q161" s="125">
        <v>0</v>
      </c>
      <c r="R161" s="890">
        <f>IF(O162=0,0,         IF(OR(Currency1="AUD",Currency1="NZD",Currency1="GBP"),O161,   _xll.qDateNext(O161,"-2b",,,IF(Currency1="EUR","TGT","LON"))))</f>
        <v>0</v>
      </c>
      <c r="S161" s="879" t="str">
        <v/>
      </c>
      <c r="T161" s="879" t="str">
        <v/>
      </c>
      <c r="U161" s="879" t="str">
        <v/>
      </c>
      <c r="V161" s="879" t="str">
        <v/>
      </c>
      <c r="W161" s="879" t="str">
        <v/>
      </c>
      <c r="X161" s="879" t="str">
        <v/>
      </c>
      <c r="Y161" s="879" t="str">
        <v/>
      </c>
      <c r="Z161" s="879" t="str">
        <v/>
      </c>
      <c r="AA161" s="882">
        <f>IF($O162=0,0,        _xll.qDateNext($O161,AA$17,$AH$16,TRUE,Currency1))</f>
        <v>0</v>
      </c>
      <c r="AB161" s="882">
        <f>IF($O162=0,0,        _xll.qDateNext($O161,AB$17,$AH$16,TRUE,Currency1))</f>
        <v>0</v>
      </c>
      <c r="AC161" s="882">
        <f>IF($O162=0,0,        _xll.qDateNext($O161,AC$17,$AH$16,TRUE,Currency1))</f>
        <v>0</v>
      </c>
      <c r="AD161" s="882">
        <f>IF($O162=0,0,        _xll.qDateNext($O161,AD$17,$AH$16,TRUE,Currency1))</f>
        <v>0</v>
      </c>
      <c r="AE161" s="882">
        <f>IF($O162=0,0,        _xll.qDateNext($O161,AE$17,$AH$16,TRUE,Currency1))</f>
        <v>0</v>
      </c>
      <c r="AF161" s="882">
        <f>IF($O162=0,0,        _xll.qDateNext($O161,AF$17,$AH$16,TRUE,Currency1))</f>
        <v>0</v>
      </c>
      <c r="AG161" s="882">
        <f>IF($O162=0,0,        _xll.qDateNext($O161,AG$17,$AH$16,TRUE,Currency1))</f>
        <v>0</v>
      </c>
      <c r="AH161" s="882">
        <f>IF($O162=0,0,        _xll.qDateNext($O161,AH$17,$AH$16,TRUE,Currency1))</f>
        <v>0</v>
      </c>
      <c r="AI161" s="886">
        <f>IF($O162=0,0,           IF(FRM,_xll.qGetFwdRate(AI$14,$O161,AA161,"T",DCC_Leg1_Float),_xll.qGetFwdRate(AI$14,$O161,$O162,"T",DCC_Leg1_Float)))</f>
        <v>0</v>
      </c>
      <c r="AJ161" s="886">
        <f>IF($O162=0,0,           IF(FRM,_xll.qGetFwdRate(AJ$14,$O161,AB161,"T",DCC_Leg1_Float),_xll.qGetFwdRate(AJ$14,$O161,$O162,"T",DCC_Leg1_Float)))</f>
        <v>0</v>
      </c>
      <c r="AK161" s="886">
        <f t="shared" si="68"/>
        <v>0</v>
      </c>
      <c r="AL161" s="886">
        <f>IF($O162=0,0,           IF(FRM,_xll.qGetFwdRate(AL$14,$O161,AD161,"T",DCC_Leg1_Float),_xll.qGetFwdRate(AL$14,$O161,$O162,"T",DCC_Leg1_Float)))</f>
        <v>0</v>
      </c>
      <c r="AM161" s="886">
        <f t="shared" si="81"/>
        <v>0</v>
      </c>
      <c r="AN161" s="886">
        <f t="shared" si="82"/>
        <v>0</v>
      </c>
      <c r="AO161" s="886">
        <f>IF($O162=0,0,           IF(FRM,_xll.qGetFwdRate(AO$14,$O161,AG161,"T",DCC_Leg1_Float),_xll.qGetFwdRate(AO$14,$O161,$O162,"T",DCC_Leg1_Float)))</f>
        <v>0</v>
      </c>
      <c r="AP161" s="886">
        <f>IF($O162=0,0,           IF(FRM,_xll.qGetFwdRate(AP$14,$O161,AH161,"T",DCC_Leg1_Float),_xll.qGetFwdRate(AP$14,$O161,$O162,"T",DCC_Leg1_Float)))</f>
        <v>0</v>
      </c>
      <c r="AQ161" s="648">
        <f t="shared" si="83"/>
        <v>0</v>
      </c>
      <c r="AR161" s="648">
        <f t="shared" si="84"/>
        <v>0</v>
      </c>
      <c r="AS161" s="648">
        <f t="shared" si="85"/>
        <v>0</v>
      </c>
      <c r="AT161" s="648">
        <f t="shared" si="86"/>
        <v>0</v>
      </c>
      <c r="AU161" s="648">
        <f t="shared" si="87"/>
        <v>0</v>
      </c>
      <c r="AV161" s="648">
        <f t="shared" si="88"/>
        <v>0</v>
      </c>
      <c r="AW161" s="648">
        <f t="shared" si="89"/>
        <v>0</v>
      </c>
      <c r="AX161" s="648">
        <f t="shared" si="90"/>
        <v>0</v>
      </c>
      <c r="AY161" s="634">
        <v>0</v>
      </c>
      <c r="AZ161" s="616"/>
      <c r="BA161" s="619">
        <f>IF(O162=0,0,             IF(ISNUMBER(AZ161),AZ161,             IF(ISTEXT(AZ161),INDEX(AQ161:AX161,MATCH(AZ161,$AQ$17:$AX$17,0)),           IF(AY161="INT",_xll.qInterp(O162,AA161:AH161,AQ161:AX161),       INDEX(AQ161:AX161,MATCH(AY161,$AQ$17:$AX$17,0))))))</f>
        <v>0</v>
      </c>
      <c r="BB161" s="674">
        <v>100</v>
      </c>
      <c r="BC161" s="666">
        <f t="shared" si="69"/>
        <v>0</v>
      </c>
      <c r="BD161" s="268">
        <f>IF($O162=0,0,                IF(LEFT(DCC_Leg1_Fixed,2)="1/",uEvaluate(DCC_Leg1_Fixed),        _xll.qDateYears($O161,$O162,DCC_Leg1_Fixed)))</f>
        <v>0</v>
      </c>
      <c r="BE161" s="268">
        <f>IF($O162,_xll.qDateYears($O161,$O162,DCC_Leg1_Float),0)</f>
        <v>0</v>
      </c>
      <c r="BG161" s="332">
        <f t="shared" si="91"/>
        <v>0</v>
      </c>
      <c r="BH161" s="357">
        <f t="shared" si="92"/>
        <v>0</v>
      </c>
      <c r="BI161" s="527"/>
      <c r="BK161" s="324">
        <f t="shared" si="65"/>
        <v>0</v>
      </c>
      <c r="BM161" s="338"/>
      <c r="BN161" s="121">
        <v>0</v>
      </c>
      <c r="BO161" s="755">
        <f t="shared" si="70"/>
        <v>0</v>
      </c>
      <c r="BP161" s="339">
        <v>0</v>
      </c>
      <c r="BQ161" s="890">
        <f>IF(BN162=0,0,         IF(OR(Currency2="AUD",Currency1="NZD",Currency2="GBP"),BN161,   _xll.qDateNext(BN161,"-2b",,,IF(Currency2="EUR","TGT","LON"))))</f>
        <v>0</v>
      </c>
      <c r="BR161" s="879" t="str">
        <v/>
      </c>
      <c r="BS161" s="879" t="str">
        <v/>
      </c>
      <c r="BT161" s="879" t="str">
        <v/>
      </c>
      <c r="BU161" s="879" t="str">
        <v/>
      </c>
      <c r="BV161" s="879" t="str">
        <v/>
      </c>
      <c r="BW161" s="879" t="str">
        <v/>
      </c>
      <c r="BX161" s="879" t="str">
        <v/>
      </c>
      <c r="BY161" s="879" t="str">
        <v/>
      </c>
      <c r="BZ161" s="882">
        <f>IF($BN162=0,0,        _xll.qDateNext($BN161,BZ$17,$CG$16,TRUE,Currency2))</f>
        <v>0</v>
      </c>
      <c r="CA161" s="882">
        <f>IF($BN162=0,0,        _xll.qDateNext($BN161,CA$17,$CG$16,TRUE,Currency2))</f>
        <v>0</v>
      </c>
      <c r="CB161" s="882">
        <f>IF($BN162=0,0,        _xll.qDateNext($BN161,CB$17,$CG$16,TRUE,Currency2))</f>
        <v>0</v>
      </c>
      <c r="CC161" s="882">
        <f>IF($BN162=0,0,        _xll.qDateNext($BN161,CC$17,$CG$16,TRUE,Currency2))</f>
        <v>0</v>
      </c>
      <c r="CD161" s="882">
        <f>IF($BN162=0,0,        _xll.qDateNext($BN161,CD$17,$CG$16,TRUE,Currency2))</f>
        <v>0</v>
      </c>
      <c r="CE161" s="882">
        <f>IF($BN162=0,0,        _xll.qDateNext($BN161,CE$17,$CG$16,TRUE,Currency2))</f>
        <v>0</v>
      </c>
      <c r="CF161" s="882">
        <f>IF($BN162=0,0,        _xll.qDateNext($BN161,CF$17,$CG$16,TRUE,Currency2))</f>
        <v>0</v>
      </c>
      <c r="CG161" s="882">
        <f>IF($BN162=0,0,        _xll.qDateNext($BN161,CG$17,$CG$16,TRUE,Currency2))</f>
        <v>0</v>
      </c>
      <c r="CH161" s="886">
        <v>0</v>
      </c>
      <c r="CI161" s="886">
        <v>0</v>
      </c>
      <c r="CJ161" s="886">
        <v>0</v>
      </c>
      <c r="CK161" s="886">
        <v>0</v>
      </c>
      <c r="CL161" s="886">
        <f t="shared" si="93"/>
        <v>0</v>
      </c>
      <c r="CM161" s="886">
        <f t="shared" si="94"/>
        <v>0</v>
      </c>
      <c r="CN161" s="886">
        <v>0</v>
      </c>
      <c r="CO161" s="886">
        <v>0</v>
      </c>
      <c r="CP161" s="648">
        <f t="shared" si="71"/>
        <v>0</v>
      </c>
      <c r="CQ161" s="648">
        <f t="shared" si="72"/>
        <v>0</v>
      </c>
      <c r="CR161" s="648">
        <f t="shared" si="73"/>
        <v>0</v>
      </c>
      <c r="CS161" s="648">
        <f t="shared" si="74"/>
        <v>0</v>
      </c>
      <c r="CT161" s="648">
        <f t="shared" si="75"/>
        <v>0</v>
      </c>
      <c r="CU161" s="648">
        <f t="shared" si="76"/>
        <v>0</v>
      </c>
      <c r="CV161" s="648">
        <f t="shared" si="77"/>
        <v>0</v>
      </c>
      <c r="CW161" s="648">
        <f t="shared" si="78"/>
        <v>0</v>
      </c>
      <c r="CX161" s="634">
        <v>0</v>
      </c>
      <c r="CY161" s="616"/>
      <c r="CZ161" s="619">
        <f>IF(BN162=0,0,             IF(ISNUMBER(CY161),CY161,             IF(ISTEXT(CY161),INDEX(CP161:CW161,MATCH(CY161,$CP$17:$CW$17,0)),           IF(CX161="INT",_xll.qInterp(BN162,BZ161:CG161,CP161:CW161),       INDEX(CP161:CW161,MATCH(CX161,$CP$17:$CW$17,0))))))</f>
        <v>0</v>
      </c>
      <c r="DA161" s="755">
        <f t="shared" si="79"/>
        <v>0</v>
      </c>
      <c r="DB161" s="387">
        <f t="shared" si="80"/>
        <v>0</v>
      </c>
      <c r="DC161" s="268">
        <f>IF($BN162=0,0,         IF(LEFT(DCC_Leg2_Fixed,2)="1/",uEvaluate(DCC_Leg2_Fixed),         _xll.qDateYears($BN161,$BN162,DCC_Leg2_Fixed)))</f>
        <v>0</v>
      </c>
      <c r="DD161" s="268">
        <f>IF($BN162,_xll.qDateYears($BN161,$BN162,DCC_Leg2_Float),0)</f>
        <v>0</v>
      </c>
      <c r="DF161" s="332">
        <f t="shared" si="95"/>
        <v>0</v>
      </c>
      <c r="DG161" s="357">
        <f t="shared" si="96"/>
        <v>0</v>
      </c>
      <c r="DH161" s="527"/>
      <c r="DJ161" s="324">
        <f t="shared" si="66"/>
        <v>0</v>
      </c>
      <c r="DK161" s="529"/>
      <c r="DL161" s="338"/>
    </row>
    <row r="162" spans="15:116">
      <c r="O162" s="121">
        <v>0</v>
      </c>
      <c r="P162" s="755">
        <f t="shared" si="67"/>
        <v>0</v>
      </c>
      <c r="Q162" s="125">
        <v>0</v>
      </c>
      <c r="R162" s="890">
        <f>IF(O163=0,0,         IF(OR(Currency1="AUD",Currency1="NZD",Currency1="GBP"),O162,   _xll.qDateNext(O162,"-2b",,,IF(Currency1="EUR","TGT","LON"))))</f>
        <v>0</v>
      </c>
      <c r="S162" s="879" t="str">
        <v/>
      </c>
      <c r="T162" s="879" t="str">
        <v/>
      </c>
      <c r="U162" s="879" t="str">
        <v/>
      </c>
      <c r="V162" s="879" t="str">
        <v/>
      </c>
      <c r="W162" s="879" t="str">
        <v/>
      </c>
      <c r="X162" s="879" t="str">
        <v/>
      </c>
      <c r="Y162" s="879" t="str">
        <v/>
      </c>
      <c r="Z162" s="879" t="str">
        <v/>
      </c>
      <c r="AA162" s="882">
        <f>IF($O163=0,0,        _xll.qDateNext($O162,AA$17,$AH$16,TRUE,Currency1))</f>
        <v>0</v>
      </c>
      <c r="AB162" s="882">
        <f>IF($O163=0,0,        _xll.qDateNext($O162,AB$17,$AH$16,TRUE,Currency1))</f>
        <v>0</v>
      </c>
      <c r="AC162" s="882">
        <f>IF($O163=0,0,        _xll.qDateNext($O162,AC$17,$AH$16,TRUE,Currency1))</f>
        <v>0</v>
      </c>
      <c r="AD162" s="882">
        <f>IF($O163=0,0,        _xll.qDateNext($O162,AD$17,$AH$16,TRUE,Currency1))</f>
        <v>0</v>
      </c>
      <c r="AE162" s="882">
        <f>IF($O163=0,0,        _xll.qDateNext($O162,AE$17,$AH$16,TRUE,Currency1))</f>
        <v>0</v>
      </c>
      <c r="AF162" s="882">
        <f>IF($O163=0,0,        _xll.qDateNext($O162,AF$17,$AH$16,TRUE,Currency1))</f>
        <v>0</v>
      </c>
      <c r="AG162" s="882">
        <f>IF($O163=0,0,        _xll.qDateNext($O162,AG$17,$AH$16,TRUE,Currency1))</f>
        <v>0</v>
      </c>
      <c r="AH162" s="882">
        <f>IF($O163=0,0,        _xll.qDateNext($O162,AH$17,$AH$16,TRUE,Currency1))</f>
        <v>0</v>
      </c>
      <c r="AI162" s="886">
        <f>IF($O163=0,0,           IF(FRM,_xll.qGetFwdRate(AI$14,$O162,AA162,"T",DCC_Leg1_Float),_xll.qGetFwdRate(AI$14,$O162,$O163,"T",DCC_Leg1_Float)))</f>
        <v>0</v>
      </c>
      <c r="AJ162" s="886">
        <f>IF($O163=0,0,           IF(FRM,_xll.qGetFwdRate(AJ$14,$O162,AB162,"T",DCC_Leg1_Float),_xll.qGetFwdRate(AJ$14,$O162,$O163,"T",DCC_Leg1_Float)))</f>
        <v>0</v>
      </c>
      <c r="AK162" s="886">
        <f t="shared" si="68"/>
        <v>0</v>
      </c>
      <c r="AL162" s="886">
        <f>IF($O163=0,0,           IF(FRM,_xll.qGetFwdRate(AL$14,$O162,AD162,"T",DCC_Leg1_Float),_xll.qGetFwdRate(AL$14,$O162,$O163,"T",DCC_Leg1_Float)))</f>
        <v>0</v>
      </c>
      <c r="AM162" s="886">
        <f t="shared" si="81"/>
        <v>0</v>
      </c>
      <c r="AN162" s="886">
        <f t="shared" si="82"/>
        <v>0</v>
      </c>
      <c r="AO162" s="886">
        <f>IF($O163=0,0,           IF(FRM,_xll.qGetFwdRate(AO$14,$O162,AG162,"T",DCC_Leg1_Float),_xll.qGetFwdRate(AO$14,$O162,$O163,"T",DCC_Leg1_Float)))</f>
        <v>0</v>
      </c>
      <c r="AP162" s="886">
        <f>IF($O163=0,0,           IF(FRM,_xll.qGetFwdRate(AP$14,$O162,AH162,"T",DCC_Leg1_Float),_xll.qGetFwdRate(AP$14,$O162,$O163,"T",DCC_Leg1_Float)))</f>
        <v>0</v>
      </c>
      <c r="AQ162" s="648">
        <f t="shared" si="83"/>
        <v>0</v>
      </c>
      <c r="AR162" s="648">
        <f t="shared" si="84"/>
        <v>0</v>
      </c>
      <c r="AS162" s="648">
        <f t="shared" si="85"/>
        <v>0</v>
      </c>
      <c r="AT162" s="648">
        <f t="shared" si="86"/>
        <v>0</v>
      </c>
      <c r="AU162" s="648">
        <f t="shared" si="87"/>
        <v>0</v>
      </c>
      <c r="AV162" s="648">
        <f t="shared" si="88"/>
        <v>0</v>
      </c>
      <c r="AW162" s="648">
        <f t="shared" si="89"/>
        <v>0</v>
      </c>
      <c r="AX162" s="648">
        <f t="shared" si="90"/>
        <v>0</v>
      </c>
      <c r="AY162" s="634">
        <v>0</v>
      </c>
      <c r="AZ162" s="616"/>
      <c r="BA162" s="619">
        <f>IF(O163=0,0,             IF(ISNUMBER(AZ162),AZ162,             IF(ISTEXT(AZ162),INDEX(AQ162:AX162,MATCH(AZ162,$AQ$17:$AX$17,0)),           IF(AY162="INT",_xll.qInterp(O163,AA162:AH162,AQ162:AX162),       INDEX(AQ162:AX162,MATCH(AY162,$AQ$17:$AX$17,0))))))</f>
        <v>0</v>
      </c>
      <c r="BB162" s="674">
        <v>100</v>
      </c>
      <c r="BC162" s="666">
        <f t="shared" si="69"/>
        <v>0</v>
      </c>
      <c r="BD162" s="268">
        <f>IF($O163=0,0,                IF(LEFT(DCC_Leg1_Fixed,2)="1/",uEvaluate(DCC_Leg1_Fixed),        _xll.qDateYears($O162,$O163,DCC_Leg1_Fixed)))</f>
        <v>0</v>
      </c>
      <c r="BE162" s="268">
        <f>IF($O163,_xll.qDateYears($O162,$O163,DCC_Leg1_Float),0)</f>
        <v>0</v>
      </c>
      <c r="BG162" s="332">
        <f t="shared" si="91"/>
        <v>0</v>
      </c>
      <c r="BH162" s="357">
        <f t="shared" si="92"/>
        <v>0</v>
      </c>
      <c r="BI162" s="527"/>
      <c r="BK162" s="324">
        <f t="shared" si="65"/>
        <v>0</v>
      </c>
      <c r="BM162" s="338"/>
      <c r="BN162" s="121">
        <v>0</v>
      </c>
      <c r="BO162" s="755">
        <f t="shared" si="70"/>
        <v>0</v>
      </c>
      <c r="BP162" s="339">
        <v>0</v>
      </c>
      <c r="BQ162" s="890">
        <f>IF(BN163=0,0,         IF(OR(Currency2="AUD",Currency1="NZD",Currency2="GBP"),BN162,   _xll.qDateNext(BN162,"-2b",,,IF(Currency2="EUR","TGT","LON"))))</f>
        <v>0</v>
      </c>
      <c r="BR162" s="879" t="str">
        <v/>
      </c>
      <c r="BS162" s="879" t="str">
        <v/>
      </c>
      <c r="BT162" s="879" t="str">
        <v/>
      </c>
      <c r="BU162" s="879" t="str">
        <v/>
      </c>
      <c r="BV162" s="879" t="str">
        <v/>
      </c>
      <c r="BW162" s="879" t="str">
        <v/>
      </c>
      <c r="BX162" s="879" t="str">
        <v/>
      </c>
      <c r="BY162" s="879" t="str">
        <v/>
      </c>
      <c r="BZ162" s="882">
        <f>IF($BN163=0,0,        _xll.qDateNext($BN162,BZ$17,$CG$16,TRUE,Currency2))</f>
        <v>0</v>
      </c>
      <c r="CA162" s="882">
        <f>IF($BN163=0,0,        _xll.qDateNext($BN162,CA$17,$CG$16,TRUE,Currency2))</f>
        <v>0</v>
      </c>
      <c r="CB162" s="882">
        <f>IF($BN163=0,0,        _xll.qDateNext($BN162,CB$17,$CG$16,TRUE,Currency2))</f>
        <v>0</v>
      </c>
      <c r="CC162" s="882">
        <f>IF($BN163=0,0,        _xll.qDateNext($BN162,CC$17,$CG$16,TRUE,Currency2))</f>
        <v>0</v>
      </c>
      <c r="CD162" s="882">
        <f>IF($BN163=0,0,        _xll.qDateNext($BN162,CD$17,$CG$16,TRUE,Currency2))</f>
        <v>0</v>
      </c>
      <c r="CE162" s="882">
        <f>IF($BN163=0,0,        _xll.qDateNext($BN162,CE$17,$CG$16,TRUE,Currency2))</f>
        <v>0</v>
      </c>
      <c r="CF162" s="882">
        <f>IF($BN163=0,0,        _xll.qDateNext($BN162,CF$17,$CG$16,TRUE,Currency2))</f>
        <v>0</v>
      </c>
      <c r="CG162" s="882">
        <f>IF($BN163=0,0,        _xll.qDateNext($BN162,CG$17,$CG$16,TRUE,Currency2))</f>
        <v>0</v>
      </c>
      <c r="CH162" s="886">
        <v>0</v>
      </c>
      <c r="CI162" s="886">
        <v>0</v>
      </c>
      <c r="CJ162" s="886">
        <v>0</v>
      </c>
      <c r="CK162" s="886">
        <v>0</v>
      </c>
      <c r="CL162" s="886">
        <f t="shared" si="93"/>
        <v>0</v>
      </c>
      <c r="CM162" s="886">
        <f t="shared" si="94"/>
        <v>0</v>
      </c>
      <c r="CN162" s="886">
        <v>0</v>
      </c>
      <c r="CO162" s="886">
        <v>0</v>
      </c>
      <c r="CP162" s="648">
        <f t="shared" si="71"/>
        <v>0</v>
      </c>
      <c r="CQ162" s="648">
        <f t="shared" si="72"/>
        <v>0</v>
      </c>
      <c r="CR162" s="648">
        <f t="shared" si="73"/>
        <v>0</v>
      </c>
      <c r="CS162" s="648">
        <f t="shared" si="74"/>
        <v>0</v>
      </c>
      <c r="CT162" s="648">
        <f t="shared" si="75"/>
        <v>0</v>
      </c>
      <c r="CU162" s="648">
        <f t="shared" si="76"/>
        <v>0</v>
      </c>
      <c r="CV162" s="648">
        <f t="shared" si="77"/>
        <v>0</v>
      </c>
      <c r="CW162" s="648">
        <f t="shared" si="78"/>
        <v>0</v>
      </c>
      <c r="CX162" s="634">
        <v>0</v>
      </c>
      <c r="CY162" s="616"/>
      <c r="CZ162" s="619">
        <f>IF(BN163=0,0,             IF(ISNUMBER(CY162),CY162,             IF(ISTEXT(CY162),INDEX(CP162:CW162,MATCH(CY162,$CP$17:$CW$17,0)),           IF(CX162="INT",_xll.qInterp(BN163,BZ162:CG162,CP162:CW162),       INDEX(CP162:CW162,MATCH(CX162,$CP$17:$CW$17,0))))))</f>
        <v>0</v>
      </c>
      <c r="DA162" s="755">
        <f t="shared" si="79"/>
        <v>0</v>
      </c>
      <c r="DB162" s="387">
        <f t="shared" si="80"/>
        <v>0</v>
      </c>
      <c r="DC162" s="268">
        <f>IF($BN163=0,0,         IF(LEFT(DCC_Leg2_Fixed,2)="1/",uEvaluate(DCC_Leg2_Fixed),         _xll.qDateYears($BN162,$BN163,DCC_Leg2_Fixed)))</f>
        <v>0</v>
      </c>
      <c r="DD162" s="268">
        <f>IF($BN163,_xll.qDateYears($BN162,$BN163,DCC_Leg2_Float),0)</f>
        <v>0</v>
      </c>
      <c r="DF162" s="332">
        <f t="shared" si="95"/>
        <v>0</v>
      </c>
      <c r="DG162" s="357">
        <f t="shared" si="96"/>
        <v>0</v>
      </c>
      <c r="DH162" s="527"/>
      <c r="DJ162" s="324">
        <f t="shared" si="66"/>
        <v>0</v>
      </c>
      <c r="DK162" s="529"/>
      <c r="DL162" s="338"/>
    </row>
    <row r="163" spans="15:116">
      <c r="O163" s="121">
        <v>0</v>
      </c>
      <c r="P163" s="755">
        <f t="shared" si="67"/>
        <v>0</v>
      </c>
      <c r="Q163" s="125">
        <v>0</v>
      </c>
      <c r="R163" s="890">
        <f>IF(O164=0,0,         IF(OR(Currency1="AUD",Currency1="NZD",Currency1="GBP"),O163,   _xll.qDateNext(O163,"-2b",,,IF(Currency1="EUR","TGT","LON"))))</f>
        <v>0</v>
      </c>
      <c r="S163" s="879" t="str">
        <v/>
      </c>
      <c r="T163" s="879" t="str">
        <v/>
      </c>
      <c r="U163" s="879" t="str">
        <v/>
      </c>
      <c r="V163" s="879" t="str">
        <v/>
      </c>
      <c r="W163" s="879" t="str">
        <v/>
      </c>
      <c r="X163" s="879" t="str">
        <v/>
      </c>
      <c r="Y163" s="879" t="str">
        <v/>
      </c>
      <c r="Z163" s="879" t="str">
        <v/>
      </c>
      <c r="AA163" s="882">
        <f>IF($O164=0,0,        _xll.qDateNext($O163,AA$17,$AH$16,TRUE,Currency1))</f>
        <v>0</v>
      </c>
      <c r="AB163" s="882">
        <f>IF($O164=0,0,        _xll.qDateNext($O163,AB$17,$AH$16,TRUE,Currency1))</f>
        <v>0</v>
      </c>
      <c r="AC163" s="882">
        <f>IF($O164=0,0,        _xll.qDateNext($O163,AC$17,$AH$16,TRUE,Currency1))</f>
        <v>0</v>
      </c>
      <c r="AD163" s="882">
        <f>IF($O164=0,0,        _xll.qDateNext($O163,AD$17,$AH$16,TRUE,Currency1))</f>
        <v>0</v>
      </c>
      <c r="AE163" s="882">
        <f>IF($O164=0,0,        _xll.qDateNext($O163,AE$17,$AH$16,TRUE,Currency1))</f>
        <v>0</v>
      </c>
      <c r="AF163" s="882">
        <f>IF($O164=0,0,        _xll.qDateNext($O163,AF$17,$AH$16,TRUE,Currency1))</f>
        <v>0</v>
      </c>
      <c r="AG163" s="882">
        <f>IF($O164=0,0,        _xll.qDateNext($O163,AG$17,$AH$16,TRUE,Currency1))</f>
        <v>0</v>
      </c>
      <c r="AH163" s="882">
        <f>IF($O164=0,0,        _xll.qDateNext($O163,AH$17,$AH$16,TRUE,Currency1))</f>
        <v>0</v>
      </c>
      <c r="AI163" s="886">
        <f>IF($O164=0,0,           IF(FRM,_xll.qGetFwdRate(AI$14,$O163,AA163,"T",DCC_Leg1_Float),_xll.qGetFwdRate(AI$14,$O163,$O164,"T",DCC_Leg1_Float)))</f>
        <v>0</v>
      </c>
      <c r="AJ163" s="886">
        <f>IF($O164=0,0,           IF(FRM,_xll.qGetFwdRate(AJ$14,$O163,AB163,"T",DCC_Leg1_Float),_xll.qGetFwdRate(AJ$14,$O163,$O164,"T",DCC_Leg1_Float)))</f>
        <v>0</v>
      </c>
      <c r="AK163" s="886">
        <f t="shared" si="68"/>
        <v>0</v>
      </c>
      <c r="AL163" s="886">
        <f>IF($O164=0,0,           IF(FRM,_xll.qGetFwdRate(AL$14,$O163,AD163,"T",DCC_Leg1_Float),_xll.qGetFwdRate(AL$14,$O163,$O164,"T",DCC_Leg1_Float)))</f>
        <v>0</v>
      </c>
      <c r="AM163" s="886">
        <f t="shared" si="81"/>
        <v>0</v>
      </c>
      <c r="AN163" s="886">
        <f t="shared" si="82"/>
        <v>0</v>
      </c>
      <c r="AO163" s="886">
        <f>IF($O164=0,0,           IF(FRM,_xll.qGetFwdRate(AO$14,$O163,AG163,"T",DCC_Leg1_Float),_xll.qGetFwdRate(AO$14,$O163,$O164,"T",DCC_Leg1_Float)))</f>
        <v>0</v>
      </c>
      <c r="AP163" s="886">
        <f>IF($O164=0,0,           IF(FRM,_xll.qGetFwdRate(AP$14,$O163,AH163,"T",DCC_Leg1_Float),_xll.qGetFwdRate(AP$14,$O163,$O164,"T",DCC_Leg1_Float)))</f>
        <v>0</v>
      </c>
      <c r="AQ163" s="648">
        <f t="shared" si="83"/>
        <v>0</v>
      </c>
      <c r="AR163" s="648">
        <f t="shared" si="84"/>
        <v>0</v>
      </c>
      <c r="AS163" s="648">
        <f t="shared" si="85"/>
        <v>0</v>
      </c>
      <c r="AT163" s="648">
        <f t="shared" si="86"/>
        <v>0</v>
      </c>
      <c r="AU163" s="648">
        <f t="shared" si="87"/>
        <v>0</v>
      </c>
      <c r="AV163" s="648">
        <f t="shared" si="88"/>
        <v>0</v>
      </c>
      <c r="AW163" s="648">
        <f t="shared" si="89"/>
        <v>0</v>
      </c>
      <c r="AX163" s="648">
        <f t="shared" si="90"/>
        <v>0</v>
      </c>
      <c r="AY163" s="634">
        <v>0</v>
      </c>
      <c r="AZ163" s="616"/>
      <c r="BA163" s="619">
        <f>IF(O164=0,0,             IF(ISNUMBER(AZ163),AZ163,             IF(ISTEXT(AZ163),INDEX(AQ163:AX163,MATCH(AZ163,$AQ$17:$AX$17,0)),           IF(AY163="INT",_xll.qInterp(O164,AA163:AH163,AQ163:AX163),       INDEX(AQ163:AX163,MATCH(AY163,$AQ$17:$AX$17,0))))))</f>
        <v>0</v>
      </c>
      <c r="BB163" s="674">
        <v>100</v>
      </c>
      <c r="BC163" s="666">
        <f t="shared" si="69"/>
        <v>0</v>
      </c>
      <c r="BD163" s="268">
        <f>IF($O164=0,0,                IF(LEFT(DCC_Leg1_Fixed,2)="1/",uEvaluate(DCC_Leg1_Fixed),        _xll.qDateYears($O163,$O164,DCC_Leg1_Fixed)))</f>
        <v>0</v>
      </c>
      <c r="BE163" s="268">
        <f>IF($O164,_xll.qDateYears($O163,$O164,DCC_Leg1_Float),0)</f>
        <v>0</v>
      </c>
      <c r="BG163" s="332">
        <f t="shared" si="91"/>
        <v>0</v>
      </c>
      <c r="BH163" s="357">
        <f t="shared" si="92"/>
        <v>0</v>
      </c>
      <c r="BI163" s="527"/>
      <c r="BK163" s="324">
        <f t="shared" si="65"/>
        <v>0</v>
      </c>
      <c r="BM163" s="338"/>
      <c r="BN163" s="121">
        <v>0</v>
      </c>
      <c r="BO163" s="755">
        <f t="shared" si="70"/>
        <v>0</v>
      </c>
      <c r="BP163" s="339">
        <v>0</v>
      </c>
      <c r="BQ163" s="890">
        <f>IF(BN164=0,0,         IF(OR(Currency2="AUD",Currency1="NZD",Currency2="GBP"),BN163,   _xll.qDateNext(BN163,"-2b",,,IF(Currency2="EUR","TGT","LON"))))</f>
        <v>0</v>
      </c>
      <c r="BR163" s="879" t="str">
        <v/>
      </c>
      <c r="BS163" s="879" t="str">
        <v/>
      </c>
      <c r="BT163" s="879" t="str">
        <v/>
      </c>
      <c r="BU163" s="879" t="str">
        <v/>
      </c>
      <c r="BV163" s="879" t="str">
        <v/>
      </c>
      <c r="BW163" s="879" t="str">
        <v/>
      </c>
      <c r="BX163" s="879" t="str">
        <v/>
      </c>
      <c r="BY163" s="879" t="str">
        <v/>
      </c>
      <c r="BZ163" s="882">
        <f>IF($BN164=0,0,        _xll.qDateNext($BN163,BZ$17,$CG$16,TRUE,Currency2))</f>
        <v>0</v>
      </c>
      <c r="CA163" s="882">
        <f>IF($BN164=0,0,        _xll.qDateNext($BN163,CA$17,$CG$16,TRUE,Currency2))</f>
        <v>0</v>
      </c>
      <c r="CB163" s="882">
        <f>IF($BN164=0,0,        _xll.qDateNext($BN163,CB$17,$CG$16,TRUE,Currency2))</f>
        <v>0</v>
      </c>
      <c r="CC163" s="882">
        <f>IF($BN164=0,0,        _xll.qDateNext($BN163,CC$17,$CG$16,TRUE,Currency2))</f>
        <v>0</v>
      </c>
      <c r="CD163" s="882">
        <f>IF($BN164=0,0,        _xll.qDateNext($BN163,CD$17,$CG$16,TRUE,Currency2))</f>
        <v>0</v>
      </c>
      <c r="CE163" s="882">
        <f>IF($BN164=0,0,        _xll.qDateNext($BN163,CE$17,$CG$16,TRUE,Currency2))</f>
        <v>0</v>
      </c>
      <c r="CF163" s="882">
        <f>IF($BN164=0,0,        _xll.qDateNext($BN163,CF$17,$CG$16,TRUE,Currency2))</f>
        <v>0</v>
      </c>
      <c r="CG163" s="882">
        <f>IF($BN164=0,0,        _xll.qDateNext($BN163,CG$17,$CG$16,TRUE,Currency2))</f>
        <v>0</v>
      </c>
      <c r="CH163" s="886">
        <v>0</v>
      </c>
      <c r="CI163" s="886">
        <v>0</v>
      </c>
      <c r="CJ163" s="886">
        <v>0</v>
      </c>
      <c r="CK163" s="886">
        <v>0</v>
      </c>
      <c r="CL163" s="886">
        <f t="shared" si="93"/>
        <v>0</v>
      </c>
      <c r="CM163" s="886">
        <f t="shared" si="94"/>
        <v>0</v>
      </c>
      <c r="CN163" s="886">
        <v>0</v>
      </c>
      <c r="CO163" s="886">
        <v>0</v>
      </c>
      <c r="CP163" s="648">
        <f t="shared" si="71"/>
        <v>0</v>
      </c>
      <c r="CQ163" s="648">
        <f t="shared" si="72"/>
        <v>0</v>
      </c>
      <c r="CR163" s="648">
        <f t="shared" si="73"/>
        <v>0</v>
      </c>
      <c r="CS163" s="648">
        <f t="shared" si="74"/>
        <v>0</v>
      </c>
      <c r="CT163" s="648">
        <f t="shared" si="75"/>
        <v>0</v>
      </c>
      <c r="CU163" s="648">
        <f t="shared" si="76"/>
        <v>0</v>
      </c>
      <c r="CV163" s="648">
        <f t="shared" si="77"/>
        <v>0</v>
      </c>
      <c r="CW163" s="648">
        <f t="shared" si="78"/>
        <v>0</v>
      </c>
      <c r="CX163" s="634">
        <v>0</v>
      </c>
      <c r="CY163" s="616"/>
      <c r="CZ163" s="619">
        <f>IF(BN164=0,0,             IF(ISNUMBER(CY163),CY163,             IF(ISTEXT(CY163),INDEX(CP163:CW163,MATCH(CY163,$CP$17:$CW$17,0)),           IF(CX163="INT",_xll.qInterp(BN164,BZ163:CG163,CP163:CW163),       INDEX(CP163:CW163,MATCH(CX163,$CP$17:$CW$17,0))))))</f>
        <v>0</v>
      </c>
      <c r="DA163" s="755">
        <f t="shared" si="79"/>
        <v>0</v>
      </c>
      <c r="DB163" s="387">
        <f t="shared" si="80"/>
        <v>0</v>
      </c>
      <c r="DC163" s="268">
        <f>IF($BN164=0,0,         IF(LEFT(DCC_Leg2_Fixed,2)="1/",uEvaluate(DCC_Leg2_Fixed),         _xll.qDateYears($BN163,$BN164,DCC_Leg2_Fixed)))</f>
        <v>0</v>
      </c>
      <c r="DD163" s="268">
        <f>IF($BN164,_xll.qDateYears($BN163,$BN164,DCC_Leg2_Float),0)</f>
        <v>0</v>
      </c>
      <c r="DF163" s="332">
        <f t="shared" si="95"/>
        <v>0</v>
      </c>
      <c r="DG163" s="357">
        <f t="shared" si="96"/>
        <v>0</v>
      </c>
      <c r="DH163" s="527"/>
      <c r="DJ163" s="324">
        <f t="shared" si="66"/>
        <v>0</v>
      </c>
      <c r="DK163" s="529"/>
      <c r="DL163" s="338"/>
    </row>
    <row r="164" spans="15:116">
      <c r="O164" s="121">
        <v>0</v>
      </c>
      <c r="P164" s="755">
        <f t="shared" si="67"/>
        <v>0</v>
      </c>
      <c r="Q164" s="125">
        <v>0</v>
      </c>
      <c r="R164" s="890">
        <f>IF(O165=0,0,         IF(OR(Currency1="AUD",Currency1="NZD",Currency1="GBP"),O164,   _xll.qDateNext(O164,"-2b",,,IF(Currency1="EUR","TGT","LON"))))</f>
        <v>0</v>
      </c>
      <c r="S164" s="879" t="str">
        <v/>
      </c>
      <c r="T164" s="879" t="str">
        <v/>
      </c>
      <c r="U164" s="879" t="str">
        <v/>
      </c>
      <c r="V164" s="879" t="str">
        <v/>
      </c>
      <c r="W164" s="879" t="str">
        <v/>
      </c>
      <c r="X164" s="879" t="str">
        <v/>
      </c>
      <c r="Y164" s="879" t="str">
        <v/>
      </c>
      <c r="Z164" s="879" t="str">
        <v/>
      </c>
      <c r="AA164" s="882">
        <f>IF($O165=0,0,        _xll.qDateNext($O164,AA$17,$AH$16,TRUE,Currency1))</f>
        <v>0</v>
      </c>
      <c r="AB164" s="882">
        <f>IF($O165=0,0,        _xll.qDateNext($O164,AB$17,$AH$16,TRUE,Currency1))</f>
        <v>0</v>
      </c>
      <c r="AC164" s="882">
        <f>IF($O165=0,0,        _xll.qDateNext($O164,AC$17,$AH$16,TRUE,Currency1))</f>
        <v>0</v>
      </c>
      <c r="AD164" s="882">
        <f>IF($O165=0,0,        _xll.qDateNext($O164,AD$17,$AH$16,TRUE,Currency1))</f>
        <v>0</v>
      </c>
      <c r="AE164" s="882">
        <f>IF($O165=0,0,        _xll.qDateNext($O164,AE$17,$AH$16,TRUE,Currency1))</f>
        <v>0</v>
      </c>
      <c r="AF164" s="882">
        <f>IF($O165=0,0,        _xll.qDateNext($O164,AF$17,$AH$16,TRUE,Currency1))</f>
        <v>0</v>
      </c>
      <c r="AG164" s="882">
        <f>IF($O165=0,0,        _xll.qDateNext($O164,AG$17,$AH$16,TRUE,Currency1))</f>
        <v>0</v>
      </c>
      <c r="AH164" s="882">
        <f>IF($O165=0,0,        _xll.qDateNext($O164,AH$17,$AH$16,TRUE,Currency1))</f>
        <v>0</v>
      </c>
      <c r="AI164" s="886">
        <f>IF($O165=0,0,           IF(FRM,_xll.qGetFwdRate(AI$14,$O164,AA164,"T",DCC_Leg1_Float),_xll.qGetFwdRate(AI$14,$O164,$O165,"T",DCC_Leg1_Float)))</f>
        <v>0</v>
      </c>
      <c r="AJ164" s="886">
        <f>IF($O165=0,0,           IF(FRM,_xll.qGetFwdRate(AJ$14,$O164,AB164,"T",DCC_Leg1_Float),_xll.qGetFwdRate(AJ$14,$O164,$O165,"T",DCC_Leg1_Float)))</f>
        <v>0</v>
      </c>
      <c r="AK164" s="886">
        <f t="shared" si="68"/>
        <v>0</v>
      </c>
      <c r="AL164" s="886">
        <f>IF($O165=0,0,           IF(FRM,_xll.qGetFwdRate(AL$14,$O164,AD164,"T",DCC_Leg1_Float),_xll.qGetFwdRate(AL$14,$O164,$O165,"T",DCC_Leg1_Float)))</f>
        <v>0</v>
      </c>
      <c r="AM164" s="886">
        <f t="shared" si="81"/>
        <v>0</v>
      </c>
      <c r="AN164" s="886">
        <f t="shared" si="82"/>
        <v>0</v>
      </c>
      <c r="AO164" s="886">
        <f>IF($O165=0,0,           IF(FRM,_xll.qGetFwdRate(AO$14,$O164,AG164,"T",DCC_Leg1_Float),_xll.qGetFwdRate(AO$14,$O164,$O165,"T",DCC_Leg1_Float)))</f>
        <v>0</v>
      </c>
      <c r="AP164" s="886">
        <f>IF($O165=0,0,           IF(FRM,_xll.qGetFwdRate(AP$14,$O164,AH164,"T",DCC_Leg1_Float),_xll.qGetFwdRate(AP$14,$O164,$O165,"T",DCC_Leg1_Float)))</f>
        <v>0</v>
      </c>
      <c r="AQ164" s="648">
        <f t="shared" si="83"/>
        <v>0</v>
      </c>
      <c r="AR164" s="648">
        <f t="shared" si="84"/>
        <v>0</v>
      </c>
      <c r="AS164" s="648">
        <f t="shared" si="85"/>
        <v>0</v>
      </c>
      <c r="AT164" s="648">
        <f t="shared" si="86"/>
        <v>0</v>
      </c>
      <c r="AU164" s="648">
        <f t="shared" si="87"/>
        <v>0</v>
      </c>
      <c r="AV164" s="648">
        <f t="shared" si="88"/>
        <v>0</v>
      </c>
      <c r="AW164" s="648">
        <f t="shared" si="89"/>
        <v>0</v>
      </c>
      <c r="AX164" s="648">
        <f t="shared" si="90"/>
        <v>0</v>
      </c>
      <c r="AY164" s="634">
        <v>0</v>
      </c>
      <c r="AZ164" s="616"/>
      <c r="BA164" s="619">
        <f>IF(O165=0,0,             IF(ISNUMBER(AZ164),AZ164,             IF(ISTEXT(AZ164),INDEX(AQ164:AX164,MATCH(AZ164,$AQ$17:$AX$17,0)),           IF(AY164="INT",_xll.qInterp(O165,AA164:AH164,AQ164:AX164),       INDEX(AQ164:AX164,MATCH(AY164,$AQ$17:$AX$17,0))))))</f>
        <v>0</v>
      </c>
      <c r="BB164" s="674">
        <v>100</v>
      </c>
      <c r="BC164" s="666">
        <f t="shared" si="69"/>
        <v>0</v>
      </c>
      <c r="BD164" s="268">
        <f>IF($O165=0,0,                IF(LEFT(DCC_Leg1_Fixed,2)="1/",uEvaluate(DCC_Leg1_Fixed),        _xll.qDateYears($O164,$O165,DCC_Leg1_Fixed)))</f>
        <v>0</v>
      </c>
      <c r="BE164" s="268">
        <f>IF($O165,_xll.qDateYears($O164,$O165,DCC_Leg1_Float),0)</f>
        <v>0</v>
      </c>
      <c r="BG164" s="332">
        <f t="shared" si="91"/>
        <v>0</v>
      </c>
      <c r="BH164" s="357">
        <f t="shared" si="92"/>
        <v>0</v>
      </c>
      <c r="BI164" s="527"/>
      <c r="BK164" s="324">
        <f t="shared" si="65"/>
        <v>0</v>
      </c>
      <c r="BM164" s="338"/>
      <c r="BN164" s="121">
        <v>0</v>
      </c>
      <c r="BO164" s="755">
        <f t="shared" si="70"/>
        <v>0</v>
      </c>
      <c r="BP164" s="339">
        <v>0</v>
      </c>
      <c r="BQ164" s="890">
        <f>IF(BN165=0,0,         IF(OR(Currency2="AUD",Currency1="NZD",Currency2="GBP"),BN164,   _xll.qDateNext(BN164,"-2b",,,IF(Currency2="EUR","TGT","LON"))))</f>
        <v>0</v>
      </c>
      <c r="BR164" s="879" t="str">
        <v/>
      </c>
      <c r="BS164" s="879" t="str">
        <v/>
      </c>
      <c r="BT164" s="879" t="str">
        <v/>
      </c>
      <c r="BU164" s="879" t="str">
        <v/>
      </c>
      <c r="BV164" s="879" t="str">
        <v/>
      </c>
      <c r="BW164" s="879" t="str">
        <v/>
      </c>
      <c r="BX164" s="879" t="str">
        <v/>
      </c>
      <c r="BY164" s="879" t="str">
        <v/>
      </c>
      <c r="BZ164" s="882">
        <f>IF($BN165=0,0,        _xll.qDateNext($BN164,BZ$17,$CG$16,TRUE,Currency2))</f>
        <v>0</v>
      </c>
      <c r="CA164" s="882">
        <f>IF($BN165=0,0,        _xll.qDateNext($BN164,CA$17,$CG$16,TRUE,Currency2))</f>
        <v>0</v>
      </c>
      <c r="CB164" s="882">
        <f>IF($BN165=0,0,        _xll.qDateNext($BN164,CB$17,$CG$16,TRUE,Currency2))</f>
        <v>0</v>
      </c>
      <c r="CC164" s="882">
        <f>IF($BN165=0,0,        _xll.qDateNext($BN164,CC$17,$CG$16,TRUE,Currency2))</f>
        <v>0</v>
      </c>
      <c r="CD164" s="882">
        <f>IF($BN165=0,0,        _xll.qDateNext($BN164,CD$17,$CG$16,TRUE,Currency2))</f>
        <v>0</v>
      </c>
      <c r="CE164" s="882">
        <f>IF($BN165=0,0,        _xll.qDateNext($BN164,CE$17,$CG$16,TRUE,Currency2))</f>
        <v>0</v>
      </c>
      <c r="CF164" s="882">
        <f>IF($BN165=0,0,        _xll.qDateNext($BN164,CF$17,$CG$16,TRUE,Currency2))</f>
        <v>0</v>
      </c>
      <c r="CG164" s="882">
        <f>IF($BN165=0,0,        _xll.qDateNext($BN164,CG$17,$CG$16,TRUE,Currency2))</f>
        <v>0</v>
      </c>
      <c r="CH164" s="886">
        <v>0</v>
      </c>
      <c r="CI164" s="886">
        <v>0</v>
      </c>
      <c r="CJ164" s="886">
        <v>0</v>
      </c>
      <c r="CK164" s="886">
        <v>0</v>
      </c>
      <c r="CL164" s="886">
        <f t="shared" si="93"/>
        <v>0</v>
      </c>
      <c r="CM164" s="886">
        <f t="shared" si="94"/>
        <v>0</v>
      </c>
      <c r="CN164" s="886">
        <v>0</v>
      </c>
      <c r="CO164" s="886">
        <v>0</v>
      </c>
      <c r="CP164" s="648">
        <f t="shared" si="71"/>
        <v>0</v>
      </c>
      <c r="CQ164" s="648">
        <f t="shared" si="72"/>
        <v>0</v>
      </c>
      <c r="CR164" s="648">
        <f t="shared" si="73"/>
        <v>0</v>
      </c>
      <c r="CS164" s="648">
        <f t="shared" si="74"/>
        <v>0</v>
      </c>
      <c r="CT164" s="648">
        <f t="shared" si="75"/>
        <v>0</v>
      </c>
      <c r="CU164" s="648">
        <f t="shared" si="76"/>
        <v>0</v>
      </c>
      <c r="CV164" s="648">
        <f t="shared" si="77"/>
        <v>0</v>
      </c>
      <c r="CW164" s="648">
        <f t="shared" si="78"/>
        <v>0</v>
      </c>
      <c r="CX164" s="634">
        <v>0</v>
      </c>
      <c r="CY164" s="616"/>
      <c r="CZ164" s="619">
        <f>IF(BN165=0,0,             IF(ISNUMBER(CY164),CY164,             IF(ISTEXT(CY164),INDEX(CP164:CW164,MATCH(CY164,$CP$17:$CW$17,0)),           IF(CX164="INT",_xll.qInterp(BN165,BZ164:CG164,CP164:CW164),       INDEX(CP164:CW164,MATCH(CX164,$CP$17:$CW$17,0))))))</f>
        <v>0</v>
      </c>
      <c r="DA164" s="755">
        <f t="shared" si="79"/>
        <v>0</v>
      </c>
      <c r="DB164" s="387">
        <f t="shared" si="80"/>
        <v>0</v>
      </c>
      <c r="DC164" s="268">
        <f>IF($BN165=0,0,         IF(LEFT(DCC_Leg2_Fixed,2)="1/",uEvaluate(DCC_Leg2_Fixed),         _xll.qDateYears($BN164,$BN165,DCC_Leg2_Fixed)))</f>
        <v>0</v>
      </c>
      <c r="DD164" s="268">
        <f>IF($BN165,_xll.qDateYears($BN164,$BN165,DCC_Leg2_Float),0)</f>
        <v>0</v>
      </c>
      <c r="DF164" s="332">
        <f t="shared" si="95"/>
        <v>0</v>
      </c>
      <c r="DG164" s="357">
        <f t="shared" si="96"/>
        <v>0</v>
      </c>
      <c r="DH164" s="527"/>
      <c r="DJ164" s="324">
        <f t="shared" si="66"/>
        <v>0</v>
      </c>
      <c r="DK164" s="529"/>
      <c r="DL164" s="338"/>
    </row>
    <row r="165" spans="15:116">
      <c r="O165" s="121">
        <v>0</v>
      </c>
      <c r="P165" s="755">
        <f t="shared" si="67"/>
        <v>0</v>
      </c>
      <c r="Q165" s="125">
        <v>0</v>
      </c>
      <c r="R165" s="890">
        <f>IF(O166=0,0,         IF(OR(Currency1="AUD",Currency1="NZD",Currency1="GBP"),O165,   _xll.qDateNext(O165,"-2b",,,IF(Currency1="EUR","TGT","LON"))))</f>
        <v>0</v>
      </c>
      <c r="S165" s="879" t="str">
        <v/>
      </c>
      <c r="T165" s="879" t="str">
        <v/>
      </c>
      <c r="U165" s="879" t="str">
        <v/>
      </c>
      <c r="V165" s="879" t="str">
        <v/>
      </c>
      <c r="W165" s="879" t="str">
        <v/>
      </c>
      <c r="X165" s="879" t="str">
        <v/>
      </c>
      <c r="Y165" s="879" t="str">
        <v/>
      </c>
      <c r="Z165" s="879" t="str">
        <v/>
      </c>
      <c r="AA165" s="882">
        <f>IF($O166=0,0,        _xll.qDateNext($O165,AA$17,$AH$16,TRUE,Currency1))</f>
        <v>0</v>
      </c>
      <c r="AB165" s="882">
        <f>IF($O166=0,0,        _xll.qDateNext($O165,AB$17,$AH$16,TRUE,Currency1))</f>
        <v>0</v>
      </c>
      <c r="AC165" s="882">
        <f>IF($O166=0,0,        _xll.qDateNext($O165,AC$17,$AH$16,TRUE,Currency1))</f>
        <v>0</v>
      </c>
      <c r="AD165" s="882">
        <f>IF($O166=0,0,        _xll.qDateNext($O165,AD$17,$AH$16,TRUE,Currency1))</f>
        <v>0</v>
      </c>
      <c r="AE165" s="882">
        <f>IF($O166=0,0,        _xll.qDateNext($O165,AE$17,$AH$16,TRUE,Currency1))</f>
        <v>0</v>
      </c>
      <c r="AF165" s="882">
        <f>IF($O166=0,0,        _xll.qDateNext($O165,AF$17,$AH$16,TRUE,Currency1))</f>
        <v>0</v>
      </c>
      <c r="AG165" s="882">
        <f>IF($O166=0,0,        _xll.qDateNext($O165,AG$17,$AH$16,TRUE,Currency1))</f>
        <v>0</v>
      </c>
      <c r="AH165" s="882">
        <f>IF($O166=0,0,        _xll.qDateNext($O165,AH$17,$AH$16,TRUE,Currency1))</f>
        <v>0</v>
      </c>
      <c r="AI165" s="886">
        <f>IF($O166=0,0,           IF(FRM,_xll.qGetFwdRate(AI$14,$O165,AA165,"T",DCC_Leg1_Float),_xll.qGetFwdRate(AI$14,$O165,$O166,"T",DCC_Leg1_Float)))</f>
        <v>0</v>
      </c>
      <c r="AJ165" s="886">
        <f>IF($O166=0,0,           IF(FRM,_xll.qGetFwdRate(AJ$14,$O165,AB165,"T",DCC_Leg1_Float),_xll.qGetFwdRate(AJ$14,$O165,$O166,"T",DCC_Leg1_Float)))</f>
        <v>0</v>
      </c>
      <c r="AK165" s="886">
        <f t="shared" si="68"/>
        <v>0</v>
      </c>
      <c r="AL165" s="886">
        <f>IF($O166=0,0,           IF(FRM,_xll.qGetFwdRate(AL$14,$O165,AD165,"T",DCC_Leg1_Float),_xll.qGetFwdRate(AL$14,$O165,$O166,"T",DCC_Leg1_Float)))</f>
        <v>0</v>
      </c>
      <c r="AM165" s="886">
        <f t="shared" si="81"/>
        <v>0</v>
      </c>
      <c r="AN165" s="886">
        <f t="shared" si="82"/>
        <v>0</v>
      </c>
      <c r="AO165" s="886">
        <f>IF($O166=0,0,           IF(FRM,_xll.qGetFwdRate(AO$14,$O165,AG165,"T",DCC_Leg1_Float),_xll.qGetFwdRate(AO$14,$O165,$O166,"T",DCC_Leg1_Float)))</f>
        <v>0</v>
      </c>
      <c r="AP165" s="886">
        <f>IF($O166=0,0,           IF(FRM,_xll.qGetFwdRate(AP$14,$O165,AH165,"T",DCC_Leg1_Float),_xll.qGetFwdRate(AP$14,$O165,$O166,"T",DCC_Leg1_Float)))</f>
        <v>0</v>
      </c>
      <c r="AQ165" s="648">
        <f t="shared" si="83"/>
        <v>0</v>
      </c>
      <c r="AR165" s="648">
        <f t="shared" si="84"/>
        <v>0</v>
      </c>
      <c r="AS165" s="648">
        <f t="shared" si="85"/>
        <v>0</v>
      </c>
      <c r="AT165" s="648">
        <f t="shared" si="86"/>
        <v>0</v>
      </c>
      <c r="AU165" s="648">
        <f t="shared" si="87"/>
        <v>0</v>
      </c>
      <c r="AV165" s="648">
        <f t="shared" si="88"/>
        <v>0</v>
      </c>
      <c r="AW165" s="648">
        <f t="shared" si="89"/>
        <v>0</v>
      </c>
      <c r="AX165" s="648">
        <f t="shared" si="90"/>
        <v>0</v>
      </c>
      <c r="AY165" s="634">
        <v>0</v>
      </c>
      <c r="AZ165" s="616"/>
      <c r="BA165" s="619">
        <f>IF(O166=0,0,             IF(ISNUMBER(AZ165),AZ165,             IF(ISTEXT(AZ165),INDEX(AQ165:AX165,MATCH(AZ165,$AQ$17:$AX$17,0)),           IF(AY165="INT",_xll.qInterp(O166,AA165:AH165,AQ165:AX165),       INDEX(AQ165:AX165,MATCH(AY165,$AQ$17:$AX$17,0))))))</f>
        <v>0</v>
      </c>
      <c r="BB165" s="674">
        <v>100</v>
      </c>
      <c r="BC165" s="666">
        <f t="shared" si="69"/>
        <v>0</v>
      </c>
      <c r="BD165" s="268">
        <f>IF($O166=0,0,                IF(LEFT(DCC_Leg1_Fixed,2)="1/",uEvaluate(DCC_Leg1_Fixed),        _xll.qDateYears($O165,$O166,DCC_Leg1_Fixed)))</f>
        <v>0</v>
      </c>
      <c r="BE165" s="268">
        <f>IF($O166,_xll.qDateYears($O165,$O166,DCC_Leg1_Float),0)</f>
        <v>0</v>
      </c>
      <c r="BG165" s="332">
        <f t="shared" si="91"/>
        <v>0</v>
      </c>
      <c r="BH165" s="357">
        <f t="shared" si="92"/>
        <v>0</v>
      </c>
      <c r="BI165" s="527"/>
      <c r="BK165" s="324">
        <f t="shared" si="65"/>
        <v>0</v>
      </c>
      <c r="BM165" s="338"/>
      <c r="BN165" s="121">
        <v>0</v>
      </c>
      <c r="BO165" s="755">
        <f t="shared" si="70"/>
        <v>0</v>
      </c>
      <c r="BP165" s="339">
        <v>0</v>
      </c>
      <c r="BQ165" s="890">
        <f>IF(BN166=0,0,         IF(OR(Currency2="AUD",Currency1="NZD",Currency2="GBP"),BN165,   _xll.qDateNext(BN165,"-2b",,,IF(Currency2="EUR","TGT","LON"))))</f>
        <v>0</v>
      </c>
      <c r="BR165" s="879" t="str">
        <v/>
      </c>
      <c r="BS165" s="879" t="str">
        <v/>
      </c>
      <c r="BT165" s="879" t="str">
        <v/>
      </c>
      <c r="BU165" s="879" t="str">
        <v/>
      </c>
      <c r="BV165" s="879" t="str">
        <v/>
      </c>
      <c r="BW165" s="879" t="str">
        <v/>
      </c>
      <c r="BX165" s="879" t="str">
        <v/>
      </c>
      <c r="BY165" s="879" t="str">
        <v/>
      </c>
      <c r="BZ165" s="882">
        <f>IF($BN166=0,0,        _xll.qDateNext($BN165,BZ$17,$CG$16,TRUE,Currency2))</f>
        <v>0</v>
      </c>
      <c r="CA165" s="882">
        <f>IF($BN166=0,0,        _xll.qDateNext($BN165,CA$17,$CG$16,TRUE,Currency2))</f>
        <v>0</v>
      </c>
      <c r="CB165" s="882">
        <f>IF($BN166=0,0,        _xll.qDateNext($BN165,CB$17,$CG$16,TRUE,Currency2))</f>
        <v>0</v>
      </c>
      <c r="CC165" s="882">
        <f>IF($BN166=0,0,        _xll.qDateNext($BN165,CC$17,$CG$16,TRUE,Currency2))</f>
        <v>0</v>
      </c>
      <c r="CD165" s="882">
        <f>IF($BN166=0,0,        _xll.qDateNext($BN165,CD$17,$CG$16,TRUE,Currency2))</f>
        <v>0</v>
      </c>
      <c r="CE165" s="882">
        <f>IF($BN166=0,0,        _xll.qDateNext($BN165,CE$17,$CG$16,TRUE,Currency2))</f>
        <v>0</v>
      </c>
      <c r="CF165" s="882">
        <f>IF($BN166=0,0,        _xll.qDateNext($BN165,CF$17,$CG$16,TRUE,Currency2))</f>
        <v>0</v>
      </c>
      <c r="CG165" s="882">
        <f>IF($BN166=0,0,        _xll.qDateNext($BN165,CG$17,$CG$16,TRUE,Currency2))</f>
        <v>0</v>
      </c>
      <c r="CH165" s="886">
        <v>0</v>
      </c>
      <c r="CI165" s="886">
        <v>0</v>
      </c>
      <c r="CJ165" s="886">
        <v>0</v>
      </c>
      <c r="CK165" s="886">
        <v>0</v>
      </c>
      <c r="CL165" s="886">
        <f t="shared" si="93"/>
        <v>0</v>
      </c>
      <c r="CM165" s="886">
        <f t="shared" si="94"/>
        <v>0</v>
      </c>
      <c r="CN165" s="886">
        <v>0</v>
      </c>
      <c r="CO165" s="886">
        <v>0</v>
      </c>
      <c r="CP165" s="648">
        <f t="shared" si="71"/>
        <v>0</v>
      </c>
      <c r="CQ165" s="648">
        <f t="shared" si="72"/>
        <v>0</v>
      </c>
      <c r="CR165" s="648">
        <f t="shared" si="73"/>
        <v>0</v>
      </c>
      <c r="CS165" s="648">
        <f t="shared" si="74"/>
        <v>0</v>
      </c>
      <c r="CT165" s="648">
        <f t="shared" si="75"/>
        <v>0</v>
      </c>
      <c r="CU165" s="648">
        <f t="shared" si="76"/>
        <v>0</v>
      </c>
      <c r="CV165" s="648">
        <f t="shared" si="77"/>
        <v>0</v>
      </c>
      <c r="CW165" s="648">
        <f t="shared" si="78"/>
        <v>0</v>
      </c>
      <c r="CX165" s="634">
        <v>0</v>
      </c>
      <c r="CY165" s="616"/>
      <c r="CZ165" s="619">
        <f>IF(BN166=0,0,             IF(ISNUMBER(CY165),CY165,             IF(ISTEXT(CY165),INDEX(CP165:CW165,MATCH(CY165,$CP$17:$CW$17,0)),           IF(CX165="INT",_xll.qInterp(BN166,BZ165:CG165,CP165:CW165),       INDEX(CP165:CW165,MATCH(CX165,$CP$17:$CW$17,0))))))</f>
        <v>0</v>
      </c>
      <c r="DA165" s="755">
        <f t="shared" si="79"/>
        <v>0</v>
      </c>
      <c r="DB165" s="387">
        <f t="shared" si="80"/>
        <v>0</v>
      </c>
      <c r="DC165" s="268">
        <f>IF($BN166=0,0,         IF(LEFT(DCC_Leg2_Fixed,2)="1/",uEvaluate(DCC_Leg2_Fixed),         _xll.qDateYears($BN165,$BN166,DCC_Leg2_Fixed)))</f>
        <v>0</v>
      </c>
      <c r="DD165" s="268">
        <f>IF($BN166,_xll.qDateYears($BN165,$BN166,DCC_Leg2_Float),0)</f>
        <v>0</v>
      </c>
      <c r="DF165" s="332">
        <f t="shared" si="95"/>
        <v>0</v>
      </c>
      <c r="DG165" s="357">
        <f t="shared" si="96"/>
        <v>0</v>
      </c>
      <c r="DH165" s="527"/>
      <c r="DJ165" s="324">
        <f t="shared" si="66"/>
        <v>0</v>
      </c>
      <c r="DK165" s="529"/>
      <c r="DL165" s="338"/>
    </row>
    <row r="166" spans="15:116">
      <c r="O166" s="121">
        <v>0</v>
      </c>
      <c r="P166" s="755">
        <f t="shared" si="67"/>
        <v>0</v>
      </c>
      <c r="Q166" s="125">
        <v>0</v>
      </c>
      <c r="R166" s="890">
        <f>IF(O167=0,0,         IF(OR(Currency1="AUD",Currency1="NZD",Currency1="GBP"),O166,   _xll.qDateNext(O166,"-2b",,,IF(Currency1="EUR","TGT","LON"))))</f>
        <v>0</v>
      </c>
      <c r="S166" s="879" t="str">
        <v/>
      </c>
      <c r="T166" s="879" t="str">
        <v/>
      </c>
      <c r="U166" s="879" t="str">
        <v/>
      </c>
      <c r="V166" s="879" t="str">
        <v/>
      </c>
      <c r="W166" s="879" t="str">
        <v/>
      </c>
      <c r="X166" s="879" t="str">
        <v/>
      </c>
      <c r="Y166" s="879" t="str">
        <v/>
      </c>
      <c r="Z166" s="879" t="str">
        <v/>
      </c>
      <c r="AA166" s="882">
        <f>IF($O167=0,0,        _xll.qDateNext($O166,AA$17,$AH$16,TRUE,Currency1))</f>
        <v>0</v>
      </c>
      <c r="AB166" s="882">
        <f>IF($O167=0,0,        _xll.qDateNext($O166,AB$17,$AH$16,TRUE,Currency1))</f>
        <v>0</v>
      </c>
      <c r="AC166" s="882">
        <f>IF($O167=0,0,        _xll.qDateNext($O166,AC$17,$AH$16,TRUE,Currency1))</f>
        <v>0</v>
      </c>
      <c r="AD166" s="882">
        <f>IF($O167=0,0,        _xll.qDateNext($O166,AD$17,$AH$16,TRUE,Currency1))</f>
        <v>0</v>
      </c>
      <c r="AE166" s="882">
        <f>IF($O167=0,0,        _xll.qDateNext($O166,AE$17,$AH$16,TRUE,Currency1))</f>
        <v>0</v>
      </c>
      <c r="AF166" s="882">
        <f>IF($O167=0,0,        _xll.qDateNext($O166,AF$17,$AH$16,TRUE,Currency1))</f>
        <v>0</v>
      </c>
      <c r="AG166" s="882">
        <f>IF($O167=0,0,        _xll.qDateNext($O166,AG$17,$AH$16,TRUE,Currency1))</f>
        <v>0</v>
      </c>
      <c r="AH166" s="882">
        <f>IF($O167=0,0,        _xll.qDateNext($O166,AH$17,$AH$16,TRUE,Currency1))</f>
        <v>0</v>
      </c>
      <c r="AI166" s="886">
        <f>IF($O167=0,0,           IF(FRM,_xll.qGetFwdRate(AI$14,$O166,AA166,"T",DCC_Leg1_Float),_xll.qGetFwdRate(AI$14,$O166,$O167,"T",DCC_Leg1_Float)))</f>
        <v>0</v>
      </c>
      <c r="AJ166" s="886">
        <f>IF($O167=0,0,           IF(FRM,_xll.qGetFwdRate(AJ$14,$O166,AB166,"T",DCC_Leg1_Float),_xll.qGetFwdRate(AJ$14,$O166,$O167,"T",DCC_Leg1_Float)))</f>
        <v>0</v>
      </c>
      <c r="AK166" s="886">
        <f t="shared" si="68"/>
        <v>0</v>
      </c>
      <c r="AL166" s="886">
        <f>IF($O167=0,0,           IF(FRM,_xll.qGetFwdRate(AL$14,$O166,AD166,"T",DCC_Leg1_Float),_xll.qGetFwdRate(AL$14,$O166,$O167,"T",DCC_Leg1_Float)))</f>
        <v>0</v>
      </c>
      <c r="AM166" s="886">
        <f t="shared" si="81"/>
        <v>0</v>
      </c>
      <c r="AN166" s="886">
        <f t="shared" si="82"/>
        <v>0</v>
      </c>
      <c r="AO166" s="886">
        <f>IF($O167=0,0,           IF(FRM,_xll.qGetFwdRate(AO$14,$O166,AG166,"T",DCC_Leg1_Float),_xll.qGetFwdRate(AO$14,$O166,$O167,"T",DCC_Leg1_Float)))</f>
        <v>0</v>
      </c>
      <c r="AP166" s="886">
        <f>IF($O167=0,0,           IF(FRM,_xll.qGetFwdRate(AP$14,$O166,AH166,"T",DCC_Leg1_Float),_xll.qGetFwdRate(AP$14,$O166,$O167,"T",DCC_Leg1_Float)))</f>
        <v>0</v>
      </c>
      <c r="AQ166" s="648">
        <f t="shared" si="83"/>
        <v>0</v>
      </c>
      <c r="AR166" s="648">
        <f t="shared" si="84"/>
        <v>0</v>
      </c>
      <c r="AS166" s="648">
        <f t="shared" si="85"/>
        <v>0</v>
      </c>
      <c r="AT166" s="648">
        <f t="shared" si="86"/>
        <v>0</v>
      </c>
      <c r="AU166" s="648">
        <f t="shared" si="87"/>
        <v>0</v>
      </c>
      <c r="AV166" s="648">
        <f t="shared" si="88"/>
        <v>0</v>
      </c>
      <c r="AW166" s="648">
        <f t="shared" si="89"/>
        <v>0</v>
      </c>
      <c r="AX166" s="648">
        <f t="shared" si="90"/>
        <v>0</v>
      </c>
      <c r="AY166" s="634">
        <v>0</v>
      </c>
      <c r="AZ166" s="616"/>
      <c r="BA166" s="619">
        <f>IF(O167=0,0,             IF(ISNUMBER(AZ166),AZ166,             IF(ISTEXT(AZ166),INDEX(AQ166:AX166,MATCH(AZ166,$AQ$17:$AX$17,0)),           IF(AY166="INT",_xll.qInterp(O167,AA166:AH166,AQ166:AX166),       INDEX(AQ166:AX166,MATCH(AY166,$AQ$17:$AX$17,0))))))</f>
        <v>0</v>
      </c>
      <c r="BB166" s="674">
        <v>100</v>
      </c>
      <c r="BC166" s="666">
        <f t="shared" si="69"/>
        <v>0</v>
      </c>
      <c r="BD166" s="268">
        <f>IF($O167=0,0,                IF(LEFT(DCC_Leg1_Fixed,2)="1/",uEvaluate(DCC_Leg1_Fixed),        _xll.qDateYears($O166,$O167,DCC_Leg1_Fixed)))</f>
        <v>0</v>
      </c>
      <c r="BE166" s="268">
        <f>IF($O167,_xll.qDateYears($O166,$O167,DCC_Leg1_Float),0)</f>
        <v>0</v>
      </c>
      <c r="BG166" s="332">
        <f t="shared" si="91"/>
        <v>0</v>
      </c>
      <c r="BH166" s="357">
        <f t="shared" si="92"/>
        <v>0</v>
      </c>
      <c r="BI166" s="527"/>
      <c r="BK166" s="324">
        <f t="shared" si="65"/>
        <v>0</v>
      </c>
      <c r="BM166" s="338"/>
      <c r="BN166" s="121">
        <v>0</v>
      </c>
      <c r="BO166" s="755">
        <f t="shared" si="70"/>
        <v>0</v>
      </c>
      <c r="BP166" s="339">
        <v>0</v>
      </c>
      <c r="BQ166" s="890">
        <f>IF(BN167=0,0,         IF(OR(Currency2="AUD",Currency1="NZD",Currency2="GBP"),BN166,   _xll.qDateNext(BN166,"-2b",,,IF(Currency2="EUR","TGT","LON"))))</f>
        <v>0</v>
      </c>
      <c r="BR166" s="879" t="str">
        <v/>
      </c>
      <c r="BS166" s="879" t="str">
        <v/>
      </c>
      <c r="BT166" s="879" t="str">
        <v/>
      </c>
      <c r="BU166" s="879" t="str">
        <v/>
      </c>
      <c r="BV166" s="879" t="str">
        <v/>
      </c>
      <c r="BW166" s="879" t="str">
        <v/>
      </c>
      <c r="BX166" s="879" t="str">
        <v/>
      </c>
      <c r="BY166" s="879" t="str">
        <v/>
      </c>
      <c r="BZ166" s="882">
        <f>IF($BN167=0,0,        _xll.qDateNext($BN166,BZ$17,$CG$16,TRUE,Currency2))</f>
        <v>0</v>
      </c>
      <c r="CA166" s="882">
        <f>IF($BN167=0,0,        _xll.qDateNext($BN166,CA$17,$CG$16,TRUE,Currency2))</f>
        <v>0</v>
      </c>
      <c r="CB166" s="882">
        <f>IF($BN167=0,0,        _xll.qDateNext($BN166,CB$17,$CG$16,TRUE,Currency2))</f>
        <v>0</v>
      </c>
      <c r="CC166" s="882">
        <f>IF($BN167=0,0,        _xll.qDateNext($BN166,CC$17,$CG$16,TRUE,Currency2))</f>
        <v>0</v>
      </c>
      <c r="CD166" s="882">
        <f>IF($BN167=0,0,        _xll.qDateNext($BN166,CD$17,$CG$16,TRUE,Currency2))</f>
        <v>0</v>
      </c>
      <c r="CE166" s="882">
        <f>IF($BN167=0,0,        _xll.qDateNext($BN166,CE$17,$CG$16,TRUE,Currency2))</f>
        <v>0</v>
      </c>
      <c r="CF166" s="882">
        <f>IF($BN167=0,0,        _xll.qDateNext($BN166,CF$17,$CG$16,TRUE,Currency2))</f>
        <v>0</v>
      </c>
      <c r="CG166" s="882">
        <f>IF($BN167=0,0,        _xll.qDateNext($BN166,CG$17,$CG$16,TRUE,Currency2))</f>
        <v>0</v>
      </c>
      <c r="CH166" s="886">
        <v>0</v>
      </c>
      <c r="CI166" s="886">
        <v>0</v>
      </c>
      <c r="CJ166" s="886">
        <v>0</v>
      </c>
      <c r="CK166" s="886">
        <v>0</v>
      </c>
      <c r="CL166" s="886">
        <f t="shared" si="93"/>
        <v>0</v>
      </c>
      <c r="CM166" s="886">
        <f t="shared" si="94"/>
        <v>0</v>
      </c>
      <c r="CN166" s="886">
        <v>0</v>
      </c>
      <c r="CO166" s="886">
        <v>0</v>
      </c>
      <c r="CP166" s="648">
        <f t="shared" si="71"/>
        <v>0</v>
      </c>
      <c r="CQ166" s="648">
        <f t="shared" si="72"/>
        <v>0</v>
      </c>
      <c r="CR166" s="648">
        <f t="shared" si="73"/>
        <v>0</v>
      </c>
      <c r="CS166" s="648">
        <f t="shared" si="74"/>
        <v>0</v>
      </c>
      <c r="CT166" s="648">
        <f t="shared" si="75"/>
        <v>0</v>
      </c>
      <c r="CU166" s="648">
        <f t="shared" si="76"/>
        <v>0</v>
      </c>
      <c r="CV166" s="648">
        <f t="shared" si="77"/>
        <v>0</v>
      </c>
      <c r="CW166" s="648">
        <f t="shared" si="78"/>
        <v>0</v>
      </c>
      <c r="CX166" s="634">
        <v>0</v>
      </c>
      <c r="CY166" s="616"/>
      <c r="CZ166" s="619">
        <f>IF(BN167=0,0,             IF(ISNUMBER(CY166),CY166,             IF(ISTEXT(CY166),INDEX(CP166:CW166,MATCH(CY166,$CP$17:$CW$17,0)),           IF(CX166="INT",_xll.qInterp(BN167,BZ166:CG166,CP166:CW166),       INDEX(CP166:CW166,MATCH(CX166,$CP$17:$CW$17,0))))))</f>
        <v>0</v>
      </c>
      <c r="DA166" s="755">
        <f t="shared" si="79"/>
        <v>0</v>
      </c>
      <c r="DB166" s="387">
        <f t="shared" si="80"/>
        <v>0</v>
      </c>
      <c r="DC166" s="268">
        <f>IF($BN167=0,0,         IF(LEFT(DCC_Leg2_Fixed,2)="1/",uEvaluate(DCC_Leg2_Fixed),         _xll.qDateYears($BN166,$BN167,DCC_Leg2_Fixed)))</f>
        <v>0</v>
      </c>
      <c r="DD166" s="268">
        <f>IF($BN167,_xll.qDateYears($BN166,$BN167,DCC_Leg2_Float),0)</f>
        <v>0</v>
      </c>
      <c r="DF166" s="332">
        <f t="shared" si="95"/>
        <v>0</v>
      </c>
      <c r="DG166" s="357">
        <f t="shared" si="96"/>
        <v>0</v>
      </c>
      <c r="DH166" s="527"/>
      <c r="DJ166" s="324">
        <f t="shared" si="66"/>
        <v>0</v>
      </c>
      <c r="DK166" s="529"/>
      <c r="DL166" s="338"/>
    </row>
    <row r="167" spans="15:116">
      <c r="O167" s="121">
        <v>0</v>
      </c>
      <c r="P167" s="755">
        <f t="shared" si="67"/>
        <v>0</v>
      </c>
      <c r="Q167" s="125">
        <v>0</v>
      </c>
      <c r="R167" s="890">
        <f>IF(O168=0,0,         IF(OR(Currency1="AUD",Currency1="NZD",Currency1="GBP"),O167,   _xll.qDateNext(O167,"-2b",,,IF(Currency1="EUR","TGT","LON"))))</f>
        <v>0</v>
      </c>
      <c r="S167" s="879" t="str">
        <v/>
      </c>
      <c r="T167" s="879" t="str">
        <v/>
      </c>
      <c r="U167" s="879" t="str">
        <v/>
      </c>
      <c r="V167" s="879" t="str">
        <v/>
      </c>
      <c r="W167" s="879" t="str">
        <v/>
      </c>
      <c r="X167" s="879" t="str">
        <v/>
      </c>
      <c r="Y167" s="879" t="str">
        <v/>
      </c>
      <c r="Z167" s="879" t="str">
        <v/>
      </c>
      <c r="AA167" s="882">
        <f>IF($O168=0,0,        _xll.qDateNext($O167,AA$17,$AH$16,TRUE,Currency1))</f>
        <v>0</v>
      </c>
      <c r="AB167" s="882">
        <f>IF($O168=0,0,        _xll.qDateNext($O167,AB$17,$AH$16,TRUE,Currency1))</f>
        <v>0</v>
      </c>
      <c r="AC167" s="882">
        <f>IF($O168=0,0,        _xll.qDateNext($O167,AC$17,$AH$16,TRUE,Currency1))</f>
        <v>0</v>
      </c>
      <c r="AD167" s="882">
        <f>IF($O168=0,0,        _xll.qDateNext($O167,AD$17,$AH$16,TRUE,Currency1))</f>
        <v>0</v>
      </c>
      <c r="AE167" s="882">
        <f>IF($O168=0,0,        _xll.qDateNext($O167,AE$17,$AH$16,TRUE,Currency1))</f>
        <v>0</v>
      </c>
      <c r="AF167" s="882">
        <f>IF($O168=0,0,        _xll.qDateNext($O167,AF$17,$AH$16,TRUE,Currency1))</f>
        <v>0</v>
      </c>
      <c r="AG167" s="882">
        <f>IF($O168=0,0,        _xll.qDateNext($O167,AG$17,$AH$16,TRUE,Currency1))</f>
        <v>0</v>
      </c>
      <c r="AH167" s="882">
        <f>IF($O168=0,0,        _xll.qDateNext($O167,AH$17,$AH$16,TRUE,Currency1))</f>
        <v>0</v>
      </c>
      <c r="AI167" s="886">
        <f>IF($O168=0,0,           IF(FRM,_xll.qGetFwdRate(AI$14,$O167,AA167,"T",DCC_Leg1_Float),_xll.qGetFwdRate(AI$14,$O167,$O168,"T",DCC_Leg1_Float)))</f>
        <v>0</v>
      </c>
      <c r="AJ167" s="886">
        <f>IF($O168=0,0,           IF(FRM,_xll.qGetFwdRate(AJ$14,$O167,AB167,"T",DCC_Leg1_Float),_xll.qGetFwdRate(AJ$14,$O167,$O168,"T",DCC_Leg1_Float)))</f>
        <v>0</v>
      </c>
      <c r="AK167" s="886">
        <f t="shared" si="68"/>
        <v>0</v>
      </c>
      <c r="AL167" s="886">
        <f>IF($O168=0,0,           IF(FRM,_xll.qGetFwdRate(AL$14,$O167,AD167,"T",DCC_Leg1_Float),_xll.qGetFwdRate(AL$14,$O167,$O168,"T",DCC_Leg1_Float)))</f>
        <v>0</v>
      </c>
      <c r="AM167" s="886">
        <f t="shared" si="81"/>
        <v>0</v>
      </c>
      <c r="AN167" s="886">
        <f t="shared" si="82"/>
        <v>0</v>
      </c>
      <c r="AO167" s="886">
        <f>IF($O168=0,0,           IF(FRM,_xll.qGetFwdRate(AO$14,$O167,AG167,"T",DCC_Leg1_Float),_xll.qGetFwdRate(AO$14,$O167,$O168,"T",DCC_Leg1_Float)))</f>
        <v>0</v>
      </c>
      <c r="AP167" s="886">
        <f>IF($O168=0,0,           IF(FRM,_xll.qGetFwdRate(AP$14,$O167,AH167,"T",DCC_Leg1_Float),_xll.qGetFwdRate(AP$14,$O167,$O168,"T",DCC_Leg1_Float)))</f>
        <v>0</v>
      </c>
      <c r="AQ167" s="648">
        <f t="shared" si="83"/>
        <v>0</v>
      </c>
      <c r="AR167" s="648">
        <f t="shared" si="84"/>
        <v>0</v>
      </c>
      <c r="AS167" s="648">
        <f t="shared" si="85"/>
        <v>0</v>
      </c>
      <c r="AT167" s="648">
        <f t="shared" si="86"/>
        <v>0</v>
      </c>
      <c r="AU167" s="648">
        <f t="shared" si="87"/>
        <v>0</v>
      </c>
      <c r="AV167" s="648">
        <f t="shared" si="88"/>
        <v>0</v>
      </c>
      <c r="AW167" s="648">
        <f t="shared" si="89"/>
        <v>0</v>
      </c>
      <c r="AX167" s="648">
        <f t="shared" si="90"/>
        <v>0</v>
      </c>
      <c r="AY167" s="634">
        <v>0</v>
      </c>
      <c r="AZ167" s="616"/>
      <c r="BA167" s="619">
        <f>IF(O168=0,0,             IF(ISNUMBER(AZ167),AZ167,             IF(ISTEXT(AZ167),INDEX(AQ167:AX167,MATCH(AZ167,$AQ$17:$AX$17,0)),           IF(AY167="INT",_xll.qInterp(O168,AA167:AH167,AQ167:AX167),       INDEX(AQ167:AX167,MATCH(AY167,$AQ$17:$AX$17,0))))))</f>
        <v>0</v>
      </c>
      <c r="BB167" s="674">
        <v>100</v>
      </c>
      <c r="BC167" s="666">
        <f t="shared" si="69"/>
        <v>0</v>
      </c>
      <c r="BD167" s="268">
        <f>IF($O168=0,0,                IF(LEFT(DCC_Leg1_Fixed,2)="1/",uEvaluate(DCC_Leg1_Fixed),        _xll.qDateYears($O167,$O168,DCC_Leg1_Fixed)))</f>
        <v>0</v>
      </c>
      <c r="BE167" s="268">
        <f>IF($O168,_xll.qDateYears($O167,$O168,DCC_Leg1_Float),0)</f>
        <v>0</v>
      </c>
      <c r="BG167" s="332">
        <f t="shared" si="91"/>
        <v>0</v>
      </c>
      <c r="BH167" s="357">
        <f t="shared" si="92"/>
        <v>0</v>
      </c>
      <c r="BI167" s="527"/>
      <c r="BK167" s="324">
        <f t="shared" si="65"/>
        <v>0</v>
      </c>
      <c r="BM167" s="338"/>
      <c r="BN167" s="121">
        <v>0</v>
      </c>
      <c r="BO167" s="755">
        <f t="shared" si="70"/>
        <v>0</v>
      </c>
      <c r="BP167" s="339">
        <v>0</v>
      </c>
      <c r="BQ167" s="890">
        <f>IF(BN168=0,0,         IF(OR(Currency2="AUD",Currency1="NZD",Currency2="GBP"),BN167,   _xll.qDateNext(BN167,"-2b",,,IF(Currency2="EUR","TGT","LON"))))</f>
        <v>0</v>
      </c>
      <c r="BR167" s="879" t="str">
        <v/>
      </c>
      <c r="BS167" s="879" t="str">
        <v/>
      </c>
      <c r="BT167" s="879" t="str">
        <v/>
      </c>
      <c r="BU167" s="879" t="str">
        <v/>
      </c>
      <c r="BV167" s="879" t="str">
        <v/>
      </c>
      <c r="BW167" s="879" t="str">
        <v/>
      </c>
      <c r="BX167" s="879" t="str">
        <v/>
      </c>
      <c r="BY167" s="879" t="str">
        <v/>
      </c>
      <c r="BZ167" s="882">
        <f>IF($BN168=0,0,        _xll.qDateNext($BN167,BZ$17,$CG$16,TRUE,Currency2))</f>
        <v>0</v>
      </c>
      <c r="CA167" s="882">
        <f>IF($BN168=0,0,        _xll.qDateNext($BN167,CA$17,$CG$16,TRUE,Currency2))</f>
        <v>0</v>
      </c>
      <c r="CB167" s="882">
        <f>IF($BN168=0,0,        _xll.qDateNext($BN167,CB$17,$CG$16,TRUE,Currency2))</f>
        <v>0</v>
      </c>
      <c r="CC167" s="882">
        <f>IF($BN168=0,0,        _xll.qDateNext($BN167,CC$17,$CG$16,TRUE,Currency2))</f>
        <v>0</v>
      </c>
      <c r="CD167" s="882">
        <f>IF($BN168=0,0,        _xll.qDateNext($BN167,CD$17,$CG$16,TRUE,Currency2))</f>
        <v>0</v>
      </c>
      <c r="CE167" s="882">
        <f>IF($BN168=0,0,        _xll.qDateNext($BN167,CE$17,$CG$16,TRUE,Currency2))</f>
        <v>0</v>
      </c>
      <c r="CF167" s="882">
        <f>IF($BN168=0,0,        _xll.qDateNext($BN167,CF$17,$CG$16,TRUE,Currency2))</f>
        <v>0</v>
      </c>
      <c r="CG167" s="882">
        <f>IF($BN168=0,0,        _xll.qDateNext($BN167,CG$17,$CG$16,TRUE,Currency2))</f>
        <v>0</v>
      </c>
      <c r="CH167" s="886">
        <v>0</v>
      </c>
      <c r="CI167" s="886">
        <v>0</v>
      </c>
      <c r="CJ167" s="886">
        <v>0</v>
      </c>
      <c r="CK167" s="886">
        <v>0</v>
      </c>
      <c r="CL167" s="886">
        <f t="shared" si="93"/>
        <v>0</v>
      </c>
      <c r="CM167" s="886">
        <f t="shared" si="94"/>
        <v>0</v>
      </c>
      <c r="CN167" s="886">
        <v>0</v>
      </c>
      <c r="CO167" s="886">
        <v>0</v>
      </c>
      <c r="CP167" s="648">
        <f t="shared" si="71"/>
        <v>0</v>
      </c>
      <c r="CQ167" s="648">
        <f t="shared" si="72"/>
        <v>0</v>
      </c>
      <c r="CR167" s="648">
        <f t="shared" si="73"/>
        <v>0</v>
      </c>
      <c r="CS167" s="648">
        <f t="shared" si="74"/>
        <v>0</v>
      </c>
      <c r="CT167" s="648">
        <f t="shared" si="75"/>
        <v>0</v>
      </c>
      <c r="CU167" s="648">
        <f t="shared" si="76"/>
        <v>0</v>
      </c>
      <c r="CV167" s="648">
        <f t="shared" si="77"/>
        <v>0</v>
      </c>
      <c r="CW167" s="648">
        <f t="shared" si="78"/>
        <v>0</v>
      </c>
      <c r="CX167" s="634">
        <v>0</v>
      </c>
      <c r="CY167" s="616"/>
      <c r="CZ167" s="619">
        <f>IF(BN168=0,0,             IF(ISNUMBER(CY167),CY167,             IF(ISTEXT(CY167),INDEX(CP167:CW167,MATCH(CY167,$CP$17:$CW$17,0)),           IF(CX167="INT",_xll.qInterp(BN168,BZ167:CG167,CP167:CW167),       INDEX(CP167:CW167,MATCH(CX167,$CP$17:$CW$17,0))))))</f>
        <v>0</v>
      </c>
      <c r="DA167" s="755">
        <f t="shared" si="79"/>
        <v>0</v>
      </c>
      <c r="DB167" s="387">
        <f t="shared" si="80"/>
        <v>0</v>
      </c>
      <c r="DC167" s="268">
        <f>IF($BN168=0,0,         IF(LEFT(DCC_Leg2_Fixed,2)="1/",uEvaluate(DCC_Leg2_Fixed),         _xll.qDateYears($BN167,$BN168,DCC_Leg2_Fixed)))</f>
        <v>0</v>
      </c>
      <c r="DD167" s="268">
        <f>IF($BN168,_xll.qDateYears($BN167,$BN168,DCC_Leg2_Float),0)</f>
        <v>0</v>
      </c>
      <c r="DF167" s="332">
        <f t="shared" si="95"/>
        <v>0</v>
      </c>
      <c r="DG167" s="357">
        <f t="shared" si="96"/>
        <v>0</v>
      </c>
      <c r="DH167" s="527"/>
      <c r="DJ167" s="324">
        <f t="shared" si="66"/>
        <v>0</v>
      </c>
      <c r="DK167" s="529"/>
      <c r="DL167" s="338"/>
    </row>
    <row r="168" spans="15:116">
      <c r="O168" s="121">
        <v>0</v>
      </c>
      <c r="P168" s="755">
        <f t="shared" si="67"/>
        <v>0</v>
      </c>
      <c r="Q168" s="125">
        <v>0</v>
      </c>
      <c r="R168" s="890">
        <f>IF(O169=0,0,         IF(OR(Currency1="AUD",Currency1="NZD",Currency1="GBP"),O168,   _xll.qDateNext(O168,"-2b",,,IF(Currency1="EUR","TGT","LON"))))</f>
        <v>0</v>
      </c>
      <c r="S168" s="879" t="str">
        <v/>
      </c>
      <c r="T168" s="879" t="str">
        <v/>
      </c>
      <c r="U168" s="879" t="str">
        <v/>
      </c>
      <c r="V168" s="879" t="str">
        <v/>
      </c>
      <c r="W168" s="879" t="str">
        <v/>
      </c>
      <c r="X168" s="879" t="str">
        <v/>
      </c>
      <c r="Y168" s="879" t="str">
        <v/>
      </c>
      <c r="Z168" s="879" t="str">
        <v/>
      </c>
      <c r="AA168" s="882">
        <f>IF($O169=0,0,        _xll.qDateNext($O168,AA$17,$AH$16,TRUE,Currency1))</f>
        <v>0</v>
      </c>
      <c r="AB168" s="882">
        <f>IF($O169=0,0,        _xll.qDateNext($O168,AB$17,$AH$16,TRUE,Currency1))</f>
        <v>0</v>
      </c>
      <c r="AC168" s="882">
        <f>IF($O169=0,0,        _xll.qDateNext($O168,AC$17,$AH$16,TRUE,Currency1))</f>
        <v>0</v>
      </c>
      <c r="AD168" s="882">
        <f>IF($O169=0,0,        _xll.qDateNext($O168,AD$17,$AH$16,TRUE,Currency1))</f>
        <v>0</v>
      </c>
      <c r="AE168" s="882">
        <f>IF($O169=0,0,        _xll.qDateNext($O168,AE$17,$AH$16,TRUE,Currency1))</f>
        <v>0</v>
      </c>
      <c r="AF168" s="882">
        <f>IF($O169=0,0,        _xll.qDateNext($O168,AF$17,$AH$16,TRUE,Currency1))</f>
        <v>0</v>
      </c>
      <c r="AG168" s="882">
        <f>IF($O169=0,0,        _xll.qDateNext($O168,AG$17,$AH$16,TRUE,Currency1))</f>
        <v>0</v>
      </c>
      <c r="AH168" s="882">
        <f>IF($O169=0,0,        _xll.qDateNext($O168,AH$17,$AH$16,TRUE,Currency1))</f>
        <v>0</v>
      </c>
      <c r="AI168" s="886">
        <f>IF($O169=0,0,           IF(FRM,_xll.qGetFwdRate(AI$14,$O168,AA168,"T",DCC_Leg1_Float),_xll.qGetFwdRate(AI$14,$O168,$O169,"T",DCC_Leg1_Float)))</f>
        <v>0</v>
      </c>
      <c r="AJ168" s="886">
        <f>IF($O169=0,0,           IF(FRM,_xll.qGetFwdRate(AJ$14,$O168,AB168,"T",DCC_Leg1_Float),_xll.qGetFwdRate(AJ$14,$O168,$O169,"T",DCC_Leg1_Float)))</f>
        <v>0</v>
      </c>
      <c r="AK168" s="886">
        <f t="shared" si="68"/>
        <v>0</v>
      </c>
      <c r="AL168" s="886">
        <f>IF($O169=0,0,           IF(FRM,_xll.qGetFwdRate(AL$14,$O168,AD168,"T",DCC_Leg1_Float),_xll.qGetFwdRate(AL$14,$O168,$O169,"T",DCC_Leg1_Float)))</f>
        <v>0</v>
      </c>
      <c r="AM168" s="886">
        <f t="shared" si="81"/>
        <v>0</v>
      </c>
      <c r="AN168" s="886">
        <f t="shared" si="82"/>
        <v>0</v>
      </c>
      <c r="AO168" s="886">
        <f>IF($O169=0,0,           IF(FRM,_xll.qGetFwdRate(AO$14,$O168,AG168,"T",DCC_Leg1_Float),_xll.qGetFwdRate(AO$14,$O168,$O169,"T",DCC_Leg1_Float)))</f>
        <v>0</v>
      </c>
      <c r="AP168" s="886">
        <f>IF($O169=0,0,           IF(FRM,_xll.qGetFwdRate(AP$14,$O168,AH168,"T",DCC_Leg1_Float),_xll.qGetFwdRate(AP$14,$O168,$O169,"T",DCC_Leg1_Float)))</f>
        <v>0</v>
      </c>
      <c r="AQ168" s="648">
        <f t="shared" si="83"/>
        <v>0</v>
      </c>
      <c r="AR168" s="648">
        <f t="shared" si="84"/>
        <v>0</v>
      </c>
      <c r="AS168" s="648">
        <f t="shared" si="85"/>
        <v>0</v>
      </c>
      <c r="AT168" s="648">
        <f t="shared" si="86"/>
        <v>0</v>
      </c>
      <c r="AU168" s="648">
        <f t="shared" si="87"/>
        <v>0</v>
      </c>
      <c r="AV168" s="648">
        <f t="shared" si="88"/>
        <v>0</v>
      </c>
      <c r="AW168" s="648">
        <f t="shared" si="89"/>
        <v>0</v>
      </c>
      <c r="AX168" s="648">
        <f t="shared" si="90"/>
        <v>0</v>
      </c>
      <c r="AY168" s="634">
        <v>0</v>
      </c>
      <c r="AZ168" s="616"/>
      <c r="BA168" s="619">
        <f>IF(O169=0,0,             IF(ISNUMBER(AZ168),AZ168,             IF(ISTEXT(AZ168),INDEX(AQ168:AX168,MATCH(AZ168,$AQ$17:$AX$17,0)),           IF(AY168="INT",_xll.qInterp(O169,AA168:AH168,AQ168:AX168),       INDEX(AQ168:AX168,MATCH(AY168,$AQ$17:$AX$17,0))))))</f>
        <v>0</v>
      </c>
      <c r="BB168" s="674">
        <v>100</v>
      </c>
      <c r="BC168" s="666">
        <f t="shared" si="69"/>
        <v>0</v>
      </c>
      <c r="BD168" s="268">
        <f>IF($O169=0,0,                IF(LEFT(DCC_Leg1_Fixed,2)="1/",uEvaluate(DCC_Leg1_Fixed),        _xll.qDateYears($O168,$O169,DCC_Leg1_Fixed)))</f>
        <v>0</v>
      </c>
      <c r="BE168" s="268">
        <f>IF($O169,_xll.qDateYears($O168,$O169,DCC_Leg1_Float),0)</f>
        <v>0</v>
      </c>
      <c r="BG168" s="332">
        <f t="shared" si="91"/>
        <v>0</v>
      </c>
      <c r="BH168" s="357">
        <f t="shared" si="92"/>
        <v>0</v>
      </c>
      <c r="BI168" s="527"/>
      <c r="BK168" s="324">
        <f t="shared" ref="BK168:BK231" si="97">SUM(BG168:BI168)</f>
        <v>0</v>
      </c>
      <c r="BM168" s="338"/>
      <c r="BN168" s="121">
        <v>0</v>
      </c>
      <c r="BO168" s="755">
        <f t="shared" si="70"/>
        <v>0</v>
      </c>
      <c r="BP168" s="339">
        <v>0</v>
      </c>
      <c r="BQ168" s="890">
        <f>IF(BN169=0,0,         IF(OR(Currency2="AUD",Currency1="NZD",Currency2="GBP"),BN168,   _xll.qDateNext(BN168,"-2b",,,IF(Currency2="EUR","TGT","LON"))))</f>
        <v>0</v>
      </c>
      <c r="BR168" s="879" t="str">
        <v/>
      </c>
      <c r="BS168" s="879" t="str">
        <v/>
      </c>
      <c r="BT168" s="879" t="str">
        <v/>
      </c>
      <c r="BU168" s="879" t="str">
        <v/>
      </c>
      <c r="BV168" s="879" t="str">
        <v/>
      </c>
      <c r="BW168" s="879" t="str">
        <v/>
      </c>
      <c r="BX168" s="879" t="str">
        <v/>
      </c>
      <c r="BY168" s="879" t="str">
        <v/>
      </c>
      <c r="BZ168" s="882">
        <f>IF($BN169=0,0,        _xll.qDateNext($BN168,BZ$17,$CG$16,TRUE,Currency2))</f>
        <v>0</v>
      </c>
      <c r="CA168" s="882">
        <f>IF($BN169=0,0,        _xll.qDateNext($BN168,CA$17,$CG$16,TRUE,Currency2))</f>
        <v>0</v>
      </c>
      <c r="CB168" s="882">
        <f>IF($BN169=0,0,        _xll.qDateNext($BN168,CB$17,$CG$16,TRUE,Currency2))</f>
        <v>0</v>
      </c>
      <c r="CC168" s="882">
        <f>IF($BN169=0,0,        _xll.qDateNext($BN168,CC$17,$CG$16,TRUE,Currency2))</f>
        <v>0</v>
      </c>
      <c r="CD168" s="882">
        <f>IF($BN169=0,0,        _xll.qDateNext($BN168,CD$17,$CG$16,TRUE,Currency2))</f>
        <v>0</v>
      </c>
      <c r="CE168" s="882">
        <f>IF($BN169=0,0,        _xll.qDateNext($BN168,CE$17,$CG$16,TRUE,Currency2))</f>
        <v>0</v>
      </c>
      <c r="CF168" s="882">
        <f>IF($BN169=0,0,        _xll.qDateNext($BN168,CF$17,$CG$16,TRUE,Currency2))</f>
        <v>0</v>
      </c>
      <c r="CG168" s="882">
        <f>IF($BN169=0,0,        _xll.qDateNext($BN168,CG$17,$CG$16,TRUE,Currency2))</f>
        <v>0</v>
      </c>
      <c r="CH168" s="886">
        <v>0</v>
      </c>
      <c r="CI168" s="886">
        <v>0</v>
      </c>
      <c r="CJ168" s="886">
        <v>0</v>
      </c>
      <c r="CK168" s="886">
        <v>0</v>
      </c>
      <c r="CL168" s="886">
        <f t="shared" si="93"/>
        <v>0</v>
      </c>
      <c r="CM168" s="886">
        <f t="shared" si="94"/>
        <v>0</v>
      </c>
      <c r="CN168" s="886">
        <v>0</v>
      </c>
      <c r="CO168" s="886">
        <v>0</v>
      </c>
      <c r="CP168" s="648">
        <f t="shared" si="71"/>
        <v>0</v>
      </c>
      <c r="CQ168" s="648">
        <f t="shared" si="72"/>
        <v>0</v>
      </c>
      <c r="CR168" s="648">
        <f t="shared" si="73"/>
        <v>0</v>
      </c>
      <c r="CS168" s="648">
        <f t="shared" si="74"/>
        <v>0</v>
      </c>
      <c r="CT168" s="648">
        <f t="shared" si="75"/>
        <v>0</v>
      </c>
      <c r="CU168" s="648">
        <f t="shared" si="76"/>
        <v>0</v>
      </c>
      <c r="CV168" s="648">
        <f t="shared" si="77"/>
        <v>0</v>
      </c>
      <c r="CW168" s="648">
        <f t="shared" si="78"/>
        <v>0</v>
      </c>
      <c r="CX168" s="634">
        <v>0</v>
      </c>
      <c r="CY168" s="616"/>
      <c r="CZ168" s="619">
        <f>IF(BN169=0,0,             IF(ISNUMBER(CY168),CY168,             IF(ISTEXT(CY168),INDEX(CP168:CW168,MATCH(CY168,$CP$17:$CW$17,0)),           IF(CX168="INT",_xll.qInterp(BN169,BZ168:CG168,CP168:CW168),       INDEX(CP168:CW168,MATCH(CX168,$CP$17:$CW$17,0))))))</f>
        <v>0</v>
      </c>
      <c r="DA168" s="755">
        <f t="shared" si="79"/>
        <v>0</v>
      </c>
      <c r="DB168" s="387">
        <f t="shared" si="80"/>
        <v>0</v>
      </c>
      <c r="DC168" s="268">
        <f>IF($BN169=0,0,         IF(LEFT(DCC_Leg2_Fixed,2)="1/",uEvaluate(DCC_Leg2_Fixed),         _xll.qDateYears($BN168,$BN169,DCC_Leg2_Fixed)))</f>
        <v>0</v>
      </c>
      <c r="DD168" s="268">
        <f>IF($BN169,_xll.qDateYears($BN168,$BN169,DCC_Leg2_Float),0)</f>
        <v>0</v>
      </c>
      <c r="DF168" s="332">
        <f t="shared" si="95"/>
        <v>0</v>
      </c>
      <c r="DG168" s="357">
        <f t="shared" si="96"/>
        <v>0</v>
      </c>
      <c r="DH168" s="527"/>
      <c r="DJ168" s="324">
        <f t="shared" si="66"/>
        <v>0</v>
      </c>
      <c r="DK168" s="529"/>
      <c r="DL168" s="338"/>
    </row>
    <row r="169" spans="15:116">
      <c r="O169" s="121">
        <v>0</v>
      </c>
      <c r="P169" s="755">
        <f t="shared" si="67"/>
        <v>0</v>
      </c>
      <c r="Q169" s="125">
        <v>0</v>
      </c>
      <c r="R169" s="890">
        <f>IF(O170=0,0,         IF(OR(Currency1="AUD",Currency1="NZD",Currency1="GBP"),O169,   _xll.qDateNext(O169,"-2b",,,IF(Currency1="EUR","TGT","LON"))))</f>
        <v>0</v>
      </c>
      <c r="S169" s="879" t="str">
        <v/>
      </c>
      <c r="T169" s="879" t="str">
        <v/>
      </c>
      <c r="U169" s="879" t="str">
        <v/>
      </c>
      <c r="V169" s="879" t="str">
        <v/>
      </c>
      <c r="W169" s="879" t="str">
        <v/>
      </c>
      <c r="X169" s="879" t="str">
        <v/>
      </c>
      <c r="Y169" s="879" t="str">
        <v/>
      </c>
      <c r="Z169" s="879" t="str">
        <v/>
      </c>
      <c r="AA169" s="882">
        <f>IF($O170=0,0,        _xll.qDateNext($O169,AA$17,$AH$16,TRUE,Currency1))</f>
        <v>0</v>
      </c>
      <c r="AB169" s="882">
        <f>IF($O170=0,0,        _xll.qDateNext($O169,AB$17,$AH$16,TRUE,Currency1))</f>
        <v>0</v>
      </c>
      <c r="AC169" s="882">
        <f>IF($O170=0,0,        _xll.qDateNext($O169,AC$17,$AH$16,TRUE,Currency1))</f>
        <v>0</v>
      </c>
      <c r="AD169" s="882">
        <f>IF($O170=0,0,        _xll.qDateNext($O169,AD$17,$AH$16,TRUE,Currency1))</f>
        <v>0</v>
      </c>
      <c r="AE169" s="882">
        <f>IF($O170=0,0,        _xll.qDateNext($O169,AE$17,$AH$16,TRUE,Currency1))</f>
        <v>0</v>
      </c>
      <c r="AF169" s="882">
        <f>IF($O170=0,0,        _xll.qDateNext($O169,AF$17,$AH$16,TRUE,Currency1))</f>
        <v>0</v>
      </c>
      <c r="AG169" s="882">
        <f>IF($O170=0,0,        _xll.qDateNext($O169,AG$17,$AH$16,TRUE,Currency1))</f>
        <v>0</v>
      </c>
      <c r="AH169" s="882">
        <f>IF($O170=0,0,        _xll.qDateNext($O169,AH$17,$AH$16,TRUE,Currency1))</f>
        <v>0</v>
      </c>
      <c r="AI169" s="886">
        <f>IF($O170=0,0,           IF(FRM,_xll.qGetFwdRate(AI$14,$O169,AA169,"T",DCC_Leg1_Float),_xll.qGetFwdRate(AI$14,$O169,$O170,"T",DCC_Leg1_Float)))</f>
        <v>0</v>
      </c>
      <c r="AJ169" s="886">
        <f>IF($O170=0,0,           IF(FRM,_xll.qGetFwdRate(AJ$14,$O169,AB169,"T",DCC_Leg1_Float),_xll.qGetFwdRate(AJ$14,$O169,$O170,"T",DCC_Leg1_Float)))</f>
        <v>0</v>
      </c>
      <c r="AK169" s="886">
        <f t="shared" si="68"/>
        <v>0</v>
      </c>
      <c r="AL169" s="886">
        <f>IF($O170=0,0,           IF(FRM,_xll.qGetFwdRate(AL$14,$O169,AD169,"T",DCC_Leg1_Float),_xll.qGetFwdRate(AL$14,$O169,$O170,"T",DCC_Leg1_Float)))</f>
        <v>0</v>
      </c>
      <c r="AM169" s="886">
        <f t="shared" si="81"/>
        <v>0</v>
      </c>
      <c r="AN169" s="886">
        <f t="shared" si="82"/>
        <v>0</v>
      </c>
      <c r="AO169" s="886">
        <f>IF($O170=0,0,           IF(FRM,_xll.qGetFwdRate(AO$14,$O169,AG169,"T",DCC_Leg1_Float),_xll.qGetFwdRate(AO$14,$O169,$O170,"T",DCC_Leg1_Float)))</f>
        <v>0</v>
      </c>
      <c r="AP169" s="886">
        <f>IF($O170=0,0,           IF(FRM,_xll.qGetFwdRate(AP$14,$O169,AH169,"T",DCC_Leg1_Float),_xll.qGetFwdRate(AP$14,$O169,$O170,"T",DCC_Leg1_Float)))</f>
        <v>0</v>
      </c>
      <c r="AQ169" s="648">
        <f t="shared" si="83"/>
        <v>0</v>
      </c>
      <c r="AR169" s="648">
        <f t="shared" si="84"/>
        <v>0</v>
      </c>
      <c r="AS169" s="648">
        <f t="shared" si="85"/>
        <v>0</v>
      </c>
      <c r="AT169" s="648">
        <f t="shared" si="86"/>
        <v>0</v>
      </c>
      <c r="AU169" s="648">
        <f t="shared" si="87"/>
        <v>0</v>
      </c>
      <c r="AV169" s="648">
        <f t="shared" si="88"/>
        <v>0</v>
      </c>
      <c r="AW169" s="648">
        <f t="shared" si="89"/>
        <v>0</v>
      </c>
      <c r="AX169" s="648">
        <f t="shared" si="90"/>
        <v>0</v>
      </c>
      <c r="AY169" s="634">
        <v>0</v>
      </c>
      <c r="AZ169" s="616"/>
      <c r="BA169" s="619">
        <f>IF(O170=0,0,             IF(ISNUMBER(AZ169),AZ169,             IF(ISTEXT(AZ169),INDEX(AQ169:AX169,MATCH(AZ169,$AQ$17:$AX$17,0)),           IF(AY169="INT",_xll.qInterp(O170,AA169:AH169,AQ169:AX169),       INDEX(AQ169:AX169,MATCH(AY169,$AQ$17:$AX$17,0))))))</f>
        <v>0</v>
      </c>
      <c r="BB169" s="674">
        <v>100</v>
      </c>
      <c r="BC169" s="666">
        <f t="shared" si="69"/>
        <v>0</v>
      </c>
      <c r="BD169" s="268">
        <f>IF($O170=0,0,                IF(LEFT(DCC_Leg1_Fixed,2)="1/",uEvaluate(DCC_Leg1_Fixed),        _xll.qDateYears($O169,$O170,DCC_Leg1_Fixed)))</f>
        <v>0</v>
      </c>
      <c r="BE169" s="268">
        <f>IF($O170,_xll.qDateYears($O169,$O170,DCC_Leg1_Float),0)</f>
        <v>0</v>
      </c>
      <c r="BG169" s="332">
        <f t="shared" si="91"/>
        <v>0</v>
      </c>
      <c r="BH169" s="357">
        <f t="shared" si="92"/>
        <v>0</v>
      </c>
      <c r="BI169" s="527"/>
      <c r="BK169" s="324">
        <f t="shared" si="97"/>
        <v>0</v>
      </c>
      <c r="BM169" s="338"/>
      <c r="BN169" s="121">
        <v>0</v>
      </c>
      <c r="BO169" s="755">
        <f t="shared" si="70"/>
        <v>0</v>
      </c>
      <c r="BP169" s="339">
        <v>0</v>
      </c>
      <c r="BQ169" s="890">
        <f>IF(BN170=0,0,         IF(OR(Currency2="AUD",Currency1="NZD",Currency2="GBP"),BN169,   _xll.qDateNext(BN169,"-2b",,,IF(Currency2="EUR","TGT","LON"))))</f>
        <v>0</v>
      </c>
      <c r="BR169" s="879" t="str">
        <v/>
      </c>
      <c r="BS169" s="879" t="str">
        <v/>
      </c>
      <c r="BT169" s="879" t="str">
        <v/>
      </c>
      <c r="BU169" s="879" t="str">
        <v/>
      </c>
      <c r="BV169" s="879" t="str">
        <v/>
      </c>
      <c r="BW169" s="879" t="str">
        <v/>
      </c>
      <c r="BX169" s="879" t="str">
        <v/>
      </c>
      <c r="BY169" s="879" t="str">
        <v/>
      </c>
      <c r="BZ169" s="882">
        <f>IF($BN170=0,0,        _xll.qDateNext($BN169,BZ$17,$CG$16,TRUE,Currency2))</f>
        <v>0</v>
      </c>
      <c r="CA169" s="882">
        <f>IF($BN170=0,0,        _xll.qDateNext($BN169,CA$17,$CG$16,TRUE,Currency2))</f>
        <v>0</v>
      </c>
      <c r="CB169" s="882">
        <f>IF($BN170=0,0,        _xll.qDateNext($BN169,CB$17,$CG$16,TRUE,Currency2))</f>
        <v>0</v>
      </c>
      <c r="CC169" s="882">
        <f>IF($BN170=0,0,        _xll.qDateNext($BN169,CC$17,$CG$16,TRUE,Currency2))</f>
        <v>0</v>
      </c>
      <c r="CD169" s="882">
        <f>IF($BN170=0,0,        _xll.qDateNext($BN169,CD$17,$CG$16,TRUE,Currency2))</f>
        <v>0</v>
      </c>
      <c r="CE169" s="882">
        <f>IF($BN170=0,0,        _xll.qDateNext($BN169,CE$17,$CG$16,TRUE,Currency2))</f>
        <v>0</v>
      </c>
      <c r="CF169" s="882">
        <f>IF($BN170=0,0,        _xll.qDateNext($BN169,CF$17,$CG$16,TRUE,Currency2))</f>
        <v>0</v>
      </c>
      <c r="CG169" s="882">
        <f>IF($BN170=0,0,        _xll.qDateNext($BN169,CG$17,$CG$16,TRUE,Currency2))</f>
        <v>0</v>
      </c>
      <c r="CH169" s="886">
        <v>0</v>
      </c>
      <c r="CI169" s="886">
        <v>0</v>
      </c>
      <c r="CJ169" s="886">
        <v>0</v>
      </c>
      <c r="CK169" s="886">
        <v>0</v>
      </c>
      <c r="CL169" s="886">
        <f t="shared" si="93"/>
        <v>0</v>
      </c>
      <c r="CM169" s="886">
        <f t="shared" si="94"/>
        <v>0</v>
      </c>
      <c r="CN169" s="886">
        <v>0</v>
      </c>
      <c r="CO169" s="886">
        <v>0</v>
      </c>
      <c r="CP169" s="648">
        <f t="shared" si="71"/>
        <v>0</v>
      </c>
      <c r="CQ169" s="648">
        <f t="shared" si="72"/>
        <v>0</v>
      </c>
      <c r="CR169" s="648">
        <f t="shared" si="73"/>
        <v>0</v>
      </c>
      <c r="CS169" s="648">
        <f t="shared" si="74"/>
        <v>0</v>
      </c>
      <c r="CT169" s="648">
        <f t="shared" si="75"/>
        <v>0</v>
      </c>
      <c r="CU169" s="648">
        <f t="shared" si="76"/>
        <v>0</v>
      </c>
      <c r="CV169" s="648">
        <f t="shared" si="77"/>
        <v>0</v>
      </c>
      <c r="CW169" s="648">
        <f t="shared" si="78"/>
        <v>0</v>
      </c>
      <c r="CX169" s="634">
        <v>0</v>
      </c>
      <c r="CY169" s="616"/>
      <c r="CZ169" s="619">
        <f>IF(BN170=0,0,             IF(ISNUMBER(CY169),CY169,             IF(ISTEXT(CY169),INDEX(CP169:CW169,MATCH(CY169,$CP$17:$CW$17,0)),           IF(CX169="INT",_xll.qInterp(BN170,BZ169:CG169,CP169:CW169),       INDEX(CP169:CW169,MATCH(CX169,$CP$17:$CW$17,0))))))</f>
        <v>0</v>
      </c>
      <c r="DA169" s="755">
        <f t="shared" si="79"/>
        <v>0</v>
      </c>
      <c r="DB169" s="387">
        <f t="shared" si="80"/>
        <v>0</v>
      </c>
      <c r="DC169" s="268">
        <f>IF($BN170=0,0,         IF(LEFT(DCC_Leg2_Fixed,2)="1/",uEvaluate(DCC_Leg2_Fixed),         _xll.qDateYears($BN169,$BN170,DCC_Leg2_Fixed)))</f>
        <v>0</v>
      </c>
      <c r="DD169" s="268">
        <f>IF($BN170,_xll.qDateYears($BN169,$BN170,DCC_Leg2_Float),0)</f>
        <v>0</v>
      </c>
      <c r="DF169" s="332">
        <f t="shared" si="95"/>
        <v>0</v>
      </c>
      <c r="DG169" s="357">
        <f t="shared" si="96"/>
        <v>0</v>
      </c>
      <c r="DH169" s="527"/>
      <c r="DJ169" s="324">
        <f t="shared" ref="DJ169:DJ232" si="98">SUM(DF169:DH169)</f>
        <v>0</v>
      </c>
      <c r="DK169" s="529"/>
      <c r="DL169" s="338"/>
    </row>
    <row r="170" spans="15:116">
      <c r="O170" s="121">
        <v>0</v>
      </c>
      <c r="P170" s="755">
        <f t="shared" si="67"/>
        <v>0</v>
      </c>
      <c r="Q170" s="125">
        <v>0</v>
      </c>
      <c r="R170" s="890">
        <f>IF(O171=0,0,         IF(OR(Currency1="AUD",Currency1="NZD",Currency1="GBP"),O170,   _xll.qDateNext(O170,"-2b",,,IF(Currency1="EUR","TGT","LON"))))</f>
        <v>0</v>
      </c>
      <c r="S170" s="879" t="str">
        <v/>
      </c>
      <c r="T170" s="879" t="str">
        <v/>
      </c>
      <c r="U170" s="879" t="str">
        <v/>
      </c>
      <c r="V170" s="879" t="str">
        <v/>
      </c>
      <c r="W170" s="879" t="str">
        <v/>
      </c>
      <c r="X170" s="879" t="str">
        <v/>
      </c>
      <c r="Y170" s="879" t="str">
        <v/>
      </c>
      <c r="Z170" s="879" t="str">
        <v/>
      </c>
      <c r="AA170" s="882">
        <f>IF($O171=0,0,        _xll.qDateNext($O170,AA$17,$AH$16,TRUE,Currency1))</f>
        <v>0</v>
      </c>
      <c r="AB170" s="882">
        <f>IF($O171=0,0,        _xll.qDateNext($O170,AB$17,$AH$16,TRUE,Currency1))</f>
        <v>0</v>
      </c>
      <c r="AC170" s="882">
        <f>IF($O171=0,0,        _xll.qDateNext($O170,AC$17,$AH$16,TRUE,Currency1))</f>
        <v>0</v>
      </c>
      <c r="AD170" s="882">
        <f>IF($O171=0,0,        _xll.qDateNext($O170,AD$17,$AH$16,TRUE,Currency1))</f>
        <v>0</v>
      </c>
      <c r="AE170" s="882">
        <f>IF($O171=0,0,        _xll.qDateNext($O170,AE$17,$AH$16,TRUE,Currency1))</f>
        <v>0</v>
      </c>
      <c r="AF170" s="882">
        <f>IF($O171=0,0,        _xll.qDateNext($O170,AF$17,$AH$16,TRUE,Currency1))</f>
        <v>0</v>
      </c>
      <c r="AG170" s="882">
        <f>IF($O171=0,0,        _xll.qDateNext($O170,AG$17,$AH$16,TRUE,Currency1))</f>
        <v>0</v>
      </c>
      <c r="AH170" s="882">
        <f>IF($O171=0,0,        _xll.qDateNext($O170,AH$17,$AH$16,TRUE,Currency1))</f>
        <v>0</v>
      </c>
      <c r="AI170" s="886">
        <f>IF($O171=0,0,           IF(FRM,_xll.qGetFwdRate(AI$14,$O170,AA170,"T",DCC_Leg1_Float),_xll.qGetFwdRate(AI$14,$O170,$O171,"T",DCC_Leg1_Float)))</f>
        <v>0</v>
      </c>
      <c r="AJ170" s="886">
        <f>IF($O171=0,0,           IF(FRM,_xll.qGetFwdRate(AJ$14,$O170,AB170,"T",DCC_Leg1_Float),_xll.qGetFwdRate(AJ$14,$O170,$O171,"T",DCC_Leg1_Float)))</f>
        <v>0</v>
      </c>
      <c r="AK170" s="886">
        <f t="shared" si="68"/>
        <v>0</v>
      </c>
      <c r="AL170" s="886">
        <f>IF($O171=0,0,           IF(FRM,_xll.qGetFwdRate(AL$14,$O170,AD170,"T",DCC_Leg1_Float),_xll.qGetFwdRate(AL$14,$O170,$O171,"T",DCC_Leg1_Float)))</f>
        <v>0</v>
      </c>
      <c r="AM170" s="886">
        <f t="shared" si="81"/>
        <v>0</v>
      </c>
      <c r="AN170" s="886">
        <f t="shared" si="82"/>
        <v>0</v>
      </c>
      <c r="AO170" s="886">
        <f>IF($O171=0,0,           IF(FRM,_xll.qGetFwdRate(AO$14,$O170,AG170,"T",DCC_Leg1_Float),_xll.qGetFwdRate(AO$14,$O170,$O171,"T",DCC_Leg1_Float)))</f>
        <v>0</v>
      </c>
      <c r="AP170" s="886">
        <f>IF($O171=0,0,           IF(FRM,_xll.qGetFwdRate(AP$14,$O170,AH170,"T",DCC_Leg1_Float),_xll.qGetFwdRate(AP$14,$O170,$O171,"T",DCC_Leg1_Float)))</f>
        <v>0</v>
      </c>
      <c r="AQ170" s="648">
        <f t="shared" si="83"/>
        <v>0</v>
      </c>
      <c r="AR170" s="648">
        <f t="shared" si="84"/>
        <v>0</v>
      </c>
      <c r="AS170" s="648">
        <f t="shared" si="85"/>
        <v>0</v>
      </c>
      <c r="AT170" s="648">
        <f t="shared" si="86"/>
        <v>0</v>
      </c>
      <c r="AU170" s="648">
        <f t="shared" si="87"/>
        <v>0</v>
      </c>
      <c r="AV170" s="648">
        <f t="shared" si="88"/>
        <v>0</v>
      </c>
      <c r="AW170" s="648">
        <f t="shared" si="89"/>
        <v>0</v>
      </c>
      <c r="AX170" s="648">
        <f t="shared" si="90"/>
        <v>0</v>
      </c>
      <c r="AY170" s="634">
        <v>0</v>
      </c>
      <c r="AZ170" s="616"/>
      <c r="BA170" s="619">
        <f>IF(O171=0,0,             IF(ISNUMBER(AZ170),AZ170,             IF(ISTEXT(AZ170),INDEX(AQ170:AX170,MATCH(AZ170,$AQ$17:$AX$17,0)),           IF(AY170="INT",_xll.qInterp(O171,AA170:AH170,AQ170:AX170),       INDEX(AQ170:AX170,MATCH(AY170,$AQ$17:$AX$17,0))))))</f>
        <v>0</v>
      </c>
      <c r="BB170" s="674">
        <v>100</v>
      </c>
      <c r="BC170" s="666">
        <f t="shared" si="69"/>
        <v>0</v>
      </c>
      <c r="BD170" s="268">
        <f>IF($O171=0,0,                IF(LEFT(DCC_Leg1_Fixed,2)="1/",uEvaluate(DCC_Leg1_Fixed),        _xll.qDateYears($O170,$O171,DCC_Leg1_Fixed)))</f>
        <v>0</v>
      </c>
      <c r="BE170" s="268">
        <f>IF($O171,_xll.qDateYears($O170,$O171,DCC_Leg1_Float),0)</f>
        <v>0</v>
      </c>
      <c r="BG170" s="332">
        <f t="shared" si="91"/>
        <v>0</v>
      </c>
      <c r="BH170" s="357">
        <f t="shared" si="92"/>
        <v>0</v>
      </c>
      <c r="BI170" s="527"/>
      <c r="BK170" s="324">
        <f t="shared" si="97"/>
        <v>0</v>
      </c>
      <c r="BM170" s="338"/>
      <c r="BN170" s="121">
        <v>0</v>
      </c>
      <c r="BO170" s="755">
        <f t="shared" si="70"/>
        <v>0</v>
      </c>
      <c r="BP170" s="339">
        <v>0</v>
      </c>
      <c r="BQ170" s="890">
        <f>IF(BN171=0,0,         IF(OR(Currency2="AUD",Currency1="NZD",Currency2="GBP"),BN170,   _xll.qDateNext(BN170,"-2b",,,IF(Currency2="EUR","TGT","LON"))))</f>
        <v>0</v>
      </c>
      <c r="BR170" s="879" t="str">
        <v/>
      </c>
      <c r="BS170" s="879" t="str">
        <v/>
      </c>
      <c r="BT170" s="879" t="str">
        <v/>
      </c>
      <c r="BU170" s="879" t="str">
        <v/>
      </c>
      <c r="BV170" s="879" t="str">
        <v/>
      </c>
      <c r="BW170" s="879" t="str">
        <v/>
      </c>
      <c r="BX170" s="879" t="str">
        <v/>
      </c>
      <c r="BY170" s="879" t="str">
        <v/>
      </c>
      <c r="BZ170" s="882">
        <f>IF($BN171=0,0,        _xll.qDateNext($BN170,BZ$17,$CG$16,TRUE,Currency2))</f>
        <v>0</v>
      </c>
      <c r="CA170" s="882">
        <f>IF($BN171=0,0,        _xll.qDateNext($BN170,CA$17,$CG$16,TRUE,Currency2))</f>
        <v>0</v>
      </c>
      <c r="CB170" s="882">
        <f>IF($BN171=0,0,        _xll.qDateNext($BN170,CB$17,$CG$16,TRUE,Currency2))</f>
        <v>0</v>
      </c>
      <c r="CC170" s="882">
        <f>IF($BN171=0,0,        _xll.qDateNext($BN170,CC$17,$CG$16,TRUE,Currency2))</f>
        <v>0</v>
      </c>
      <c r="CD170" s="882">
        <f>IF($BN171=0,0,        _xll.qDateNext($BN170,CD$17,$CG$16,TRUE,Currency2))</f>
        <v>0</v>
      </c>
      <c r="CE170" s="882">
        <f>IF($BN171=0,0,        _xll.qDateNext($BN170,CE$17,$CG$16,TRUE,Currency2))</f>
        <v>0</v>
      </c>
      <c r="CF170" s="882">
        <f>IF($BN171=0,0,        _xll.qDateNext($BN170,CF$17,$CG$16,TRUE,Currency2))</f>
        <v>0</v>
      </c>
      <c r="CG170" s="882">
        <f>IF($BN171=0,0,        _xll.qDateNext($BN170,CG$17,$CG$16,TRUE,Currency2))</f>
        <v>0</v>
      </c>
      <c r="CH170" s="886">
        <v>0</v>
      </c>
      <c r="CI170" s="886">
        <v>0</v>
      </c>
      <c r="CJ170" s="886">
        <v>0</v>
      </c>
      <c r="CK170" s="886">
        <v>0</v>
      </c>
      <c r="CL170" s="886">
        <f t="shared" si="93"/>
        <v>0</v>
      </c>
      <c r="CM170" s="886">
        <f t="shared" si="94"/>
        <v>0</v>
      </c>
      <c r="CN170" s="886">
        <v>0</v>
      </c>
      <c r="CO170" s="886">
        <v>0</v>
      </c>
      <c r="CP170" s="648">
        <f t="shared" si="71"/>
        <v>0</v>
      </c>
      <c r="CQ170" s="648">
        <f t="shared" si="72"/>
        <v>0</v>
      </c>
      <c r="CR170" s="648">
        <f t="shared" si="73"/>
        <v>0</v>
      </c>
      <c r="CS170" s="648">
        <f t="shared" si="74"/>
        <v>0</v>
      </c>
      <c r="CT170" s="648">
        <f t="shared" si="75"/>
        <v>0</v>
      </c>
      <c r="CU170" s="648">
        <f t="shared" si="76"/>
        <v>0</v>
      </c>
      <c r="CV170" s="648">
        <f t="shared" si="77"/>
        <v>0</v>
      </c>
      <c r="CW170" s="648">
        <f t="shared" si="78"/>
        <v>0</v>
      </c>
      <c r="CX170" s="634">
        <v>0</v>
      </c>
      <c r="CY170" s="616"/>
      <c r="CZ170" s="619">
        <f>IF(BN171=0,0,             IF(ISNUMBER(CY170),CY170,             IF(ISTEXT(CY170),INDEX(CP170:CW170,MATCH(CY170,$CP$17:$CW$17,0)),           IF(CX170="INT",_xll.qInterp(BN171,BZ170:CG170,CP170:CW170),       INDEX(CP170:CW170,MATCH(CX170,$CP$17:$CW$17,0))))))</f>
        <v>0</v>
      </c>
      <c r="DA170" s="755">
        <f t="shared" si="79"/>
        <v>0</v>
      </c>
      <c r="DB170" s="387">
        <f t="shared" si="80"/>
        <v>0</v>
      </c>
      <c r="DC170" s="268">
        <f>IF($BN171=0,0,         IF(LEFT(DCC_Leg2_Fixed,2)="1/",uEvaluate(DCC_Leg2_Fixed),         _xll.qDateYears($BN170,$BN171,DCC_Leg2_Fixed)))</f>
        <v>0</v>
      </c>
      <c r="DD170" s="268">
        <f>IF($BN171,_xll.qDateYears($BN170,$BN171,DCC_Leg2_Float),0)</f>
        <v>0</v>
      </c>
      <c r="DF170" s="332">
        <f t="shared" si="95"/>
        <v>0</v>
      </c>
      <c r="DG170" s="357">
        <f t="shared" si="96"/>
        <v>0</v>
      </c>
      <c r="DH170" s="527"/>
      <c r="DJ170" s="324">
        <f t="shared" si="98"/>
        <v>0</v>
      </c>
      <c r="DK170" s="529"/>
      <c r="DL170" s="338"/>
    </row>
    <row r="171" spans="15:116">
      <c r="O171" s="121">
        <v>0</v>
      </c>
      <c r="P171" s="755">
        <f t="shared" si="67"/>
        <v>0</v>
      </c>
      <c r="Q171" s="125">
        <v>0</v>
      </c>
      <c r="R171" s="890">
        <f>IF(O172=0,0,         IF(OR(Currency1="AUD",Currency1="NZD",Currency1="GBP"),O171,   _xll.qDateNext(O171,"-2b",,,IF(Currency1="EUR","TGT","LON"))))</f>
        <v>0</v>
      </c>
      <c r="S171" s="879" t="str">
        <v/>
      </c>
      <c r="T171" s="879" t="str">
        <v/>
      </c>
      <c r="U171" s="879" t="str">
        <v/>
      </c>
      <c r="V171" s="879" t="str">
        <v/>
      </c>
      <c r="W171" s="879" t="str">
        <v/>
      </c>
      <c r="X171" s="879" t="str">
        <v/>
      </c>
      <c r="Y171" s="879" t="str">
        <v/>
      </c>
      <c r="Z171" s="879" t="str">
        <v/>
      </c>
      <c r="AA171" s="882">
        <f>IF($O172=0,0,        _xll.qDateNext($O171,AA$17,$AH$16,TRUE,Currency1))</f>
        <v>0</v>
      </c>
      <c r="AB171" s="882">
        <f>IF($O172=0,0,        _xll.qDateNext($O171,AB$17,$AH$16,TRUE,Currency1))</f>
        <v>0</v>
      </c>
      <c r="AC171" s="882">
        <f>IF($O172=0,0,        _xll.qDateNext($O171,AC$17,$AH$16,TRUE,Currency1))</f>
        <v>0</v>
      </c>
      <c r="AD171" s="882">
        <f>IF($O172=0,0,        _xll.qDateNext($O171,AD$17,$AH$16,TRUE,Currency1))</f>
        <v>0</v>
      </c>
      <c r="AE171" s="882">
        <f>IF($O172=0,0,        _xll.qDateNext($O171,AE$17,$AH$16,TRUE,Currency1))</f>
        <v>0</v>
      </c>
      <c r="AF171" s="882">
        <f>IF($O172=0,0,        _xll.qDateNext($O171,AF$17,$AH$16,TRUE,Currency1))</f>
        <v>0</v>
      </c>
      <c r="AG171" s="882">
        <f>IF($O172=0,0,        _xll.qDateNext($O171,AG$17,$AH$16,TRUE,Currency1))</f>
        <v>0</v>
      </c>
      <c r="AH171" s="882">
        <f>IF($O172=0,0,        _xll.qDateNext($O171,AH$17,$AH$16,TRUE,Currency1))</f>
        <v>0</v>
      </c>
      <c r="AI171" s="886">
        <f>IF($O172=0,0,           IF(FRM,_xll.qGetFwdRate(AI$14,$O171,AA171,"T",DCC_Leg1_Float),_xll.qGetFwdRate(AI$14,$O171,$O172,"T",DCC_Leg1_Float)))</f>
        <v>0</v>
      </c>
      <c r="AJ171" s="886">
        <f>IF($O172=0,0,           IF(FRM,_xll.qGetFwdRate(AJ$14,$O171,AB171,"T",DCC_Leg1_Float),_xll.qGetFwdRate(AJ$14,$O171,$O172,"T",DCC_Leg1_Float)))</f>
        <v>0</v>
      </c>
      <c r="AK171" s="886">
        <f t="shared" si="68"/>
        <v>0</v>
      </c>
      <c r="AL171" s="886">
        <f>IF($O172=0,0,           IF(FRM,_xll.qGetFwdRate(AL$14,$O171,AD171,"T",DCC_Leg1_Float),_xll.qGetFwdRate(AL$14,$O171,$O172,"T",DCC_Leg1_Float)))</f>
        <v>0</v>
      </c>
      <c r="AM171" s="886">
        <f t="shared" si="81"/>
        <v>0</v>
      </c>
      <c r="AN171" s="886">
        <f t="shared" si="82"/>
        <v>0</v>
      </c>
      <c r="AO171" s="886">
        <f>IF($O172=0,0,           IF(FRM,_xll.qGetFwdRate(AO$14,$O171,AG171,"T",DCC_Leg1_Float),_xll.qGetFwdRate(AO$14,$O171,$O172,"T",DCC_Leg1_Float)))</f>
        <v>0</v>
      </c>
      <c r="AP171" s="886">
        <f>IF($O172=0,0,           IF(FRM,_xll.qGetFwdRate(AP$14,$O171,AH171,"T",DCC_Leg1_Float),_xll.qGetFwdRate(AP$14,$O171,$O172,"T",DCC_Leg1_Float)))</f>
        <v>0</v>
      </c>
      <c r="AQ171" s="648">
        <f t="shared" si="83"/>
        <v>0</v>
      </c>
      <c r="AR171" s="648">
        <f t="shared" si="84"/>
        <v>0</v>
      </c>
      <c r="AS171" s="648">
        <f t="shared" si="85"/>
        <v>0</v>
      </c>
      <c r="AT171" s="648">
        <f t="shared" si="86"/>
        <v>0</v>
      </c>
      <c r="AU171" s="648">
        <f t="shared" si="87"/>
        <v>0</v>
      </c>
      <c r="AV171" s="648">
        <f t="shared" si="88"/>
        <v>0</v>
      </c>
      <c r="AW171" s="648">
        <f t="shared" si="89"/>
        <v>0</v>
      </c>
      <c r="AX171" s="648">
        <f t="shared" si="90"/>
        <v>0</v>
      </c>
      <c r="AY171" s="634">
        <v>0</v>
      </c>
      <c r="AZ171" s="616"/>
      <c r="BA171" s="619">
        <f>IF(O172=0,0,             IF(ISNUMBER(AZ171),AZ171,             IF(ISTEXT(AZ171),INDEX(AQ171:AX171,MATCH(AZ171,$AQ$17:$AX$17,0)),           IF(AY171="INT",_xll.qInterp(O172,AA171:AH171,AQ171:AX171),       INDEX(AQ171:AX171,MATCH(AY171,$AQ$17:$AX$17,0))))))</f>
        <v>0</v>
      </c>
      <c r="BB171" s="674">
        <v>100</v>
      </c>
      <c r="BC171" s="666">
        <f t="shared" si="69"/>
        <v>0</v>
      </c>
      <c r="BD171" s="268">
        <f>IF($O172=0,0,                IF(LEFT(DCC_Leg1_Fixed,2)="1/",uEvaluate(DCC_Leg1_Fixed),        _xll.qDateYears($O171,$O172,DCC_Leg1_Fixed)))</f>
        <v>0</v>
      </c>
      <c r="BE171" s="268">
        <f>IF($O172,_xll.qDateYears($O171,$O172,DCC_Leg1_Float),0)</f>
        <v>0</v>
      </c>
      <c r="BG171" s="332">
        <f t="shared" si="91"/>
        <v>0</v>
      </c>
      <c r="BH171" s="357">
        <f t="shared" si="92"/>
        <v>0</v>
      </c>
      <c r="BI171" s="527"/>
      <c r="BK171" s="324">
        <f t="shared" si="97"/>
        <v>0</v>
      </c>
      <c r="BM171" s="338"/>
      <c r="BN171" s="121">
        <v>0</v>
      </c>
      <c r="BO171" s="755">
        <f t="shared" si="70"/>
        <v>0</v>
      </c>
      <c r="BP171" s="339">
        <v>0</v>
      </c>
      <c r="BQ171" s="890">
        <f>IF(BN172=0,0,         IF(OR(Currency2="AUD",Currency1="NZD",Currency2="GBP"),BN171,   _xll.qDateNext(BN171,"-2b",,,IF(Currency2="EUR","TGT","LON"))))</f>
        <v>0</v>
      </c>
      <c r="BR171" s="879" t="str">
        <v/>
      </c>
      <c r="BS171" s="879" t="str">
        <v/>
      </c>
      <c r="BT171" s="879" t="str">
        <v/>
      </c>
      <c r="BU171" s="879" t="str">
        <v/>
      </c>
      <c r="BV171" s="879" t="str">
        <v/>
      </c>
      <c r="BW171" s="879" t="str">
        <v/>
      </c>
      <c r="BX171" s="879" t="str">
        <v/>
      </c>
      <c r="BY171" s="879" t="str">
        <v/>
      </c>
      <c r="BZ171" s="882">
        <f>IF($BN172=0,0,        _xll.qDateNext($BN171,BZ$17,$CG$16,TRUE,Currency2))</f>
        <v>0</v>
      </c>
      <c r="CA171" s="882">
        <f>IF($BN172=0,0,        _xll.qDateNext($BN171,CA$17,$CG$16,TRUE,Currency2))</f>
        <v>0</v>
      </c>
      <c r="CB171" s="882">
        <f>IF($BN172=0,0,        _xll.qDateNext($BN171,CB$17,$CG$16,TRUE,Currency2))</f>
        <v>0</v>
      </c>
      <c r="CC171" s="882">
        <f>IF($BN172=0,0,        _xll.qDateNext($BN171,CC$17,$CG$16,TRUE,Currency2))</f>
        <v>0</v>
      </c>
      <c r="CD171" s="882">
        <f>IF($BN172=0,0,        _xll.qDateNext($BN171,CD$17,$CG$16,TRUE,Currency2))</f>
        <v>0</v>
      </c>
      <c r="CE171" s="882">
        <f>IF($BN172=0,0,        _xll.qDateNext($BN171,CE$17,$CG$16,TRUE,Currency2))</f>
        <v>0</v>
      </c>
      <c r="CF171" s="882">
        <f>IF($BN172=0,0,        _xll.qDateNext($BN171,CF$17,$CG$16,TRUE,Currency2))</f>
        <v>0</v>
      </c>
      <c r="CG171" s="882">
        <f>IF($BN172=0,0,        _xll.qDateNext($BN171,CG$17,$CG$16,TRUE,Currency2))</f>
        <v>0</v>
      </c>
      <c r="CH171" s="886">
        <v>0</v>
      </c>
      <c r="CI171" s="886">
        <v>0</v>
      </c>
      <c r="CJ171" s="886">
        <v>0</v>
      </c>
      <c r="CK171" s="886">
        <v>0</v>
      </c>
      <c r="CL171" s="886">
        <f t="shared" si="93"/>
        <v>0</v>
      </c>
      <c r="CM171" s="886">
        <f t="shared" si="94"/>
        <v>0</v>
      </c>
      <c r="CN171" s="886">
        <v>0</v>
      </c>
      <c r="CO171" s="886">
        <v>0</v>
      </c>
      <c r="CP171" s="648">
        <f t="shared" si="71"/>
        <v>0</v>
      </c>
      <c r="CQ171" s="648">
        <f t="shared" si="72"/>
        <v>0</v>
      </c>
      <c r="CR171" s="648">
        <f t="shared" si="73"/>
        <v>0</v>
      </c>
      <c r="CS171" s="648">
        <f t="shared" si="74"/>
        <v>0</v>
      </c>
      <c r="CT171" s="648">
        <f t="shared" si="75"/>
        <v>0</v>
      </c>
      <c r="CU171" s="648">
        <f t="shared" si="76"/>
        <v>0</v>
      </c>
      <c r="CV171" s="648">
        <f t="shared" si="77"/>
        <v>0</v>
      </c>
      <c r="CW171" s="648">
        <f t="shared" si="78"/>
        <v>0</v>
      </c>
      <c r="CX171" s="634">
        <v>0</v>
      </c>
      <c r="CY171" s="616"/>
      <c r="CZ171" s="619">
        <f>IF(BN172=0,0,             IF(ISNUMBER(CY171),CY171,             IF(ISTEXT(CY171),INDEX(CP171:CW171,MATCH(CY171,$CP$17:$CW$17,0)),           IF(CX171="INT",_xll.qInterp(BN172,BZ171:CG171,CP171:CW171),       INDEX(CP171:CW171,MATCH(CX171,$CP$17:$CW$17,0))))))</f>
        <v>0</v>
      </c>
      <c r="DA171" s="755">
        <f t="shared" si="79"/>
        <v>0</v>
      </c>
      <c r="DB171" s="387">
        <f t="shared" si="80"/>
        <v>0</v>
      </c>
      <c r="DC171" s="268">
        <f>IF($BN172=0,0,         IF(LEFT(DCC_Leg2_Fixed,2)="1/",uEvaluate(DCC_Leg2_Fixed),         _xll.qDateYears($BN171,$BN172,DCC_Leg2_Fixed)))</f>
        <v>0</v>
      </c>
      <c r="DD171" s="268">
        <f>IF($BN172,_xll.qDateYears($BN171,$BN172,DCC_Leg2_Float),0)</f>
        <v>0</v>
      </c>
      <c r="DF171" s="332">
        <f t="shared" si="95"/>
        <v>0</v>
      </c>
      <c r="DG171" s="357">
        <f t="shared" si="96"/>
        <v>0</v>
      </c>
      <c r="DH171" s="527"/>
      <c r="DJ171" s="324">
        <f t="shared" si="98"/>
        <v>0</v>
      </c>
      <c r="DK171" s="529"/>
      <c r="DL171" s="338"/>
    </row>
    <row r="172" spans="15:116">
      <c r="O172" s="121">
        <v>0</v>
      </c>
      <c r="P172" s="755">
        <f t="shared" si="67"/>
        <v>0</v>
      </c>
      <c r="Q172" s="125">
        <v>0</v>
      </c>
      <c r="R172" s="890">
        <f>IF(O173=0,0,         IF(OR(Currency1="AUD",Currency1="NZD",Currency1="GBP"),O172,   _xll.qDateNext(O172,"-2b",,,IF(Currency1="EUR","TGT","LON"))))</f>
        <v>0</v>
      </c>
      <c r="S172" s="879" t="str">
        <v/>
      </c>
      <c r="T172" s="879" t="str">
        <v/>
      </c>
      <c r="U172" s="879" t="str">
        <v/>
      </c>
      <c r="V172" s="879" t="str">
        <v/>
      </c>
      <c r="W172" s="879" t="str">
        <v/>
      </c>
      <c r="X172" s="879" t="str">
        <v/>
      </c>
      <c r="Y172" s="879" t="str">
        <v/>
      </c>
      <c r="Z172" s="879" t="str">
        <v/>
      </c>
      <c r="AA172" s="882">
        <f>IF($O173=0,0,        _xll.qDateNext($O172,AA$17,$AH$16,TRUE,Currency1))</f>
        <v>0</v>
      </c>
      <c r="AB172" s="882">
        <f>IF($O173=0,0,        _xll.qDateNext($O172,AB$17,$AH$16,TRUE,Currency1))</f>
        <v>0</v>
      </c>
      <c r="AC172" s="882">
        <f>IF($O173=0,0,        _xll.qDateNext($O172,AC$17,$AH$16,TRUE,Currency1))</f>
        <v>0</v>
      </c>
      <c r="AD172" s="882">
        <f>IF($O173=0,0,        _xll.qDateNext($O172,AD$17,$AH$16,TRUE,Currency1))</f>
        <v>0</v>
      </c>
      <c r="AE172" s="882">
        <f>IF($O173=0,0,        _xll.qDateNext($O172,AE$17,$AH$16,TRUE,Currency1))</f>
        <v>0</v>
      </c>
      <c r="AF172" s="882">
        <f>IF($O173=0,0,        _xll.qDateNext($O172,AF$17,$AH$16,TRUE,Currency1))</f>
        <v>0</v>
      </c>
      <c r="AG172" s="882">
        <f>IF($O173=0,0,        _xll.qDateNext($O172,AG$17,$AH$16,TRUE,Currency1))</f>
        <v>0</v>
      </c>
      <c r="AH172" s="882">
        <f>IF($O173=0,0,        _xll.qDateNext($O172,AH$17,$AH$16,TRUE,Currency1))</f>
        <v>0</v>
      </c>
      <c r="AI172" s="886">
        <f>IF($O173=0,0,           IF(FRM,_xll.qGetFwdRate(AI$14,$O172,AA172,"T",DCC_Leg1_Float),_xll.qGetFwdRate(AI$14,$O172,$O173,"T",DCC_Leg1_Float)))</f>
        <v>0</v>
      </c>
      <c r="AJ172" s="886">
        <f>IF($O173=0,0,           IF(FRM,_xll.qGetFwdRate(AJ$14,$O172,AB172,"T",DCC_Leg1_Float),_xll.qGetFwdRate(AJ$14,$O172,$O173,"T",DCC_Leg1_Float)))</f>
        <v>0</v>
      </c>
      <c r="AK172" s="886">
        <f t="shared" si="68"/>
        <v>0</v>
      </c>
      <c r="AL172" s="886">
        <f>IF($O173=0,0,           IF(FRM,_xll.qGetFwdRate(AL$14,$O172,AD172,"T",DCC_Leg1_Float),_xll.qGetFwdRate(AL$14,$O172,$O173,"T",DCC_Leg1_Float)))</f>
        <v>0</v>
      </c>
      <c r="AM172" s="886">
        <f t="shared" si="81"/>
        <v>0</v>
      </c>
      <c r="AN172" s="886">
        <f t="shared" si="82"/>
        <v>0</v>
      </c>
      <c r="AO172" s="886">
        <f>IF($O173=0,0,           IF(FRM,_xll.qGetFwdRate(AO$14,$O172,AG172,"T",DCC_Leg1_Float),_xll.qGetFwdRate(AO$14,$O172,$O173,"T",DCC_Leg1_Float)))</f>
        <v>0</v>
      </c>
      <c r="AP172" s="886">
        <f>IF($O173=0,0,           IF(FRM,_xll.qGetFwdRate(AP$14,$O172,AH172,"T",DCC_Leg1_Float),_xll.qGetFwdRate(AP$14,$O172,$O173,"T",DCC_Leg1_Float)))</f>
        <v>0</v>
      </c>
      <c r="AQ172" s="648">
        <f t="shared" si="83"/>
        <v>0</v>
      </c>
      <c r="AR172" s="648">
        <f t="shared" si="84"/>
        <v>0</v>
      </c>
      <c r="AS172" s="648">
        <f t="shared" si="85"/>
        <v>0</v>
      </c>
      <c r="AT172" s="648">
        <f t="shared" si="86"/>
        <v>0</v>
      </c>
      <c r="AU172" s="648">
        <f t="shared" si="87"/>
        <v>0</v>
      </c>
      <c r="AV172" s="648">
        <f t="shared" si="88"/>
        <v>0</v>
      </c>
      <c r="AW172" s="648">
        <f t="shared" si="89"/>
        <v>0</v>
      </c>
      <c r="AX172" s="648">
        <f t="shared" si="90"/>
        <v>0</v>
      </c>
      <c r="AY172" s="634">
        <v>0</v>
      </c>
      <c r="AZ172" s="616"/>
      <c r="BA172" s="619">
        <f>IF(O173=0,0,             IF(ISNUMBER(AZ172),AZ172,             IF(ISTEXT(AZ172),INDEX(AQ172:AX172,MATCH(AZ172,$AQ$17:$AX$17,0)),           IF(AY172="INT",_xll.qInterp(O173,AA172:AH172,AQ172:AX172),       INDEX(AQ172:AX172,MATCH(AY172,$AQ$17:$AX$17,0))))))</f>
        <v>0</v>
      </c>
      <c r="BB172" s="674">
        <v>100</v>
      </c>
      <c r="BC172" s="666">
        <f t="shared" si="69"/>
        <v>0</v>
      </c>
      <c r="BD172" s="268">
        <f>IF($O173=0,0,                IF(LEFT(DCC_Leg1_Fixed,2)="1/",uEvaluate(DCC_Leg1_Fixed),        _xll.qDateYears($O172,$O173,DCC_Leg1_Fixed)))</f>
        <v>0</v>
      </c>
      <c r="BE172" s="268">
        <f>IF($O173,_xll.qDateYears($O172,$O173,DCC_Leg1_Float),0)</f>
        <v>0</v>
      </c>
      <c r="BG172" s="332">
        <f t="shared" si="91"/>
        <v>0</v>
      </c>
      <c r="BH172" s="357">
        <f t="shared" si="92"/>
        <v>0</v>
      </c>
      <c r="BI172" s="527"/>
      <c r="BK172" s="324">
        <f t="shared" si="97"/>
        <v>0</v>
      </c>
      <c r="BM172" s="338"/>
      <c r="BN172" s="121">
        <v>0</v>
      </c>
      <c r="BO172" s="755">
        <f t="shared" si="70"/>
        <v>0</v>
      </c>
      <c r="BP172" s="339">
        <v>0</v>
      </c>
      <c r="BQ172" s="890">
        <f>IF(BN173=0,0,         IF(OR(Currency2="AUD",Currency1="NZD",Currency2="GBP"),BN172,   _xll.qDateNext(BN172,"-2b",,,IF(Currency2="EUR","TGT","LON"))))</f>
        <v>0</v>
      </c>
      <c r="BR172" s="879" t="str">
        <v/>
      </c>
      <c r="BS172" s="879" t="str">
        <v/>
      </c>
      <c r="BT172" s="879" t="str">
        <v/>
      </c>
      <c r="BU172" s="879" t="str">
        <v/>
      </c>
      <c r="BV172" s="879" t="str">
        <v/>
      </c>
      <c r="BW172" s="879" t="str">
        <v/>
      </c>
      <c r="BX172" s="879" t="str">
        <v/>
      </c>
      <c r="BY172" s="879" t="str">
        <v/>
      </c>
      <c r="BZ172" s="882">
        <f>IF($BN173=0,0,        _xll.qDateNext($BN172,BZ$17,$CG$16,TRUE,Currency2))</f>
        <v>0</v>
      </c>
      <c r="CA172" s="882">
        <f>IF($BN173=0,0,        _xll.qDateNext($BN172,CA$17,$CG$16,TRUE,Currency2))</f>
        <v>0</v>
      </c>
      <c r="CB172" s="882">
        <f>IF($BN173=0,0,        _xll.qDateNext($BN172,CB$17,$CG$16,TRUE,Currency2))</f>
        <v>0</v>
      </c>
      <c r="CC172" s="882">
        <f>IF($BN173=0,0,        _xll.qDateNext($BN172,CC$17,$CG$16,TRUE,Currency2))</f>
        <v>0</v>
      </c>
      <c r="CD172" s="882">
        <f>IF($BN173=0,0,        _xll.qDateNext($BN172,CD$17,$CG$16,TRUE,Currency2))</f>
        <v>0</v>
      </c>
      <c r="CE172" s="882">
        <f>IF($BN173=0,0,        _xll.qDateNext($BN172,CE$17,$CG$16,TRUE,Currency2))</f>
        <v>0</v>
      </c>
      <c r="CF172" s="882">
        <f>IF($BN173=0,0,        _xll.qDateNext($BN172,CF$17,$CG$16,TRUE,Currency2))</f>
        <v>0</v>
      </c>
      <c r="CG172" s="882">
        <f>IF($BN173=0,0,        _xll.qDateNext($BN172,CG$17,$CG$16,TRUE,Currency2))</f>
        <v>0</v>
      </c>
      <c r="CH172" s="886">
        <v>0</v>
      </c>
      <c r="CI172" s="886">
        <v>0</v>
      </c>
      <c r="CJ172" s="886">
        <v>0</v>
      </c>
      <c r="CK172" s="886">
        <v>0</v>
      </c>
      <c r="CL172" s="886">
        <f t="shared" si="93"/>
        <v>0</v>
      </c>
      <c r="CM172" s="886">
        <f t="shared" si="94"/>
        <v>0</v>
      </c>
      <c r="CN172" s="886">
        <v>0</v>
      </c>
      <c r="CO172" s="886">
        <v>0</v>
      </c>
      <c r="CP172" s="648">
        <f t="shared" si="71"/>
        <v>0</v>
      </c>
      <c r="CQ172" s="648">
        <f t="shared" si="72"/>
        <v>0</v>
      </c>
      <c r="CR172" s="648">
        <f t="shared" si="73"/>
        <v>0</v>
      </c>
      <c r="CS172" s="648">
        <f t="shared" si="74"/>
        <v>0</v>
      </c>
      <c r="CT172" s="648">
        <f t="shared" si="75"/>
        <v>0</v>
      </c>
      <c r="CU172" s="648">
        <f t="shared" si="76"/>
        <v>0</v>
      </c>
      <c r="CV172" s="648">
        <f t="shared" si="77"/>
        <v>0</v>
      </c>
      <c r="CW172" s="648">
        <f t="shared" si="78"/>
        <v>0</v>
      </c>
      <c r="CX172" s="634">
        <v>0</v>
      </c>
      <c r="CY172" s="616"/>
      <c r="CZ172" s="619">
        <f>IF(BN173=0,0,             IF(ISNUMBER(CY172),CY172,             IF(ISTEXT(CY172),INDEX(CP172:CW172,MATCH(CY172,$CP$17:$CW$17,0)),           IF(CX172="INT",_xll.qInterp(BN173,BZ172:CG172,CP172:CW172),       INDEX(CP172:CW172,MATCH(CX172,$CP$17:$CW$17,0))))))</f>
        <v>0</v>
      </c>
      <c r="DA172" s="755">
        <f t="shared" si="79"/>
        <v>0</v>
      </c>
      <c r="DB172" s="387">
        <f t="shared" si="80"/>
        <v>0</v>
      </c>
      <c r="DC172" s="268">
        <f>IF($BN173=0,0,         IF(LEFT(DCC_Leg2_Fixed,2)="1/",uEvaluate(DCC_Leg2_Fixed),         _xll.qDateYears($BN172,$BN173,DCC_Leg2_Fixed)))</f>
        <v>0</v>
      </c>
      <c r="DD172" s="268">
        <f>IF($BN173,_xll.qDateYears($BN172,$BN173,DCC_Leg2_Float),0)</f>
        <v>0</v>
      </c>
      <c r="DF172" s="332">
        <f t="shared" si="95"/>
        <v>0</v>
      </c>
      <c r="DG172" s="357">
        <f t="shared" si="96"/>
        <v>0</v>
      </c>
      <c r="DH172" s="527"/>
      <c r="DJ172" s="324">
        <f t="shared" si="98"/>
        <v>0</v>
      </c>
      <c r="DK172" s="529"/>
      <c r="DL172" s="338"/>
    </row>
    <row r="173" spans="15:116">
      <c r="O173" s="121">
        <v>0</v>
      </c>
      <c r="P173" s="755">
        <f t="shared" si="67"/>
        <v>0</v>
      </c>
      <c r="Q173" s="125">
        <v>0</v>
      </c>
      <c r="R173" s="890">
        <f>IF(O174=0,0,         IF(OR(Currency1="AUD",Currency1="NZD",Currency1="GBP"),O173,   _xll.qDateNext(O173,"-2b",,,IF(Currency1="EUR","TGT","LON"))))</f>
        <v>0</v>
      </c>
      <c r="S173" s="879" t="str">
        <v/>
      </c>
      <c r="T173" s="879" t="str">
        <v/>
      </c>
      <c r="U173" s="879" t="str">
        <v/>
      </c>
      <c r="V173" s="879" t="str">
        <v/>
      </c>
      <c r="W173" s="879" t="str">
        <v/>
      </c>
      <c r="X173" s="879" t="str">
        <v/>
      </c>
      <c r="Y173" s="879" t="str">
        <v/>
      </c>
      <c r="Z173" s="879" t="str">
        <v/>
      </c>
      <c r="AA173" s="882">
        <f>IF($O174=0,0,        _xll.qDateNext($O173,AA$17,$AH$16,TRUE,Currency1))</f>
        <v>0</v>
      </c>
      <c r="AB173" s="882">
        <f>IF($O174=0,0,        _xll.qDateNext($O173,AB$17,$AH$16,TRUE,Currency1))</f>
        <v>0</v>
      </c>
      <c r="AC173" s="882">
        <f>IF($O174=0,0,        _xll.qDateNext($O173,AC$17,$AH$16,TRUE,Currency1))</f>
        <v>0</v>
      </c>
      <c r="AD173" s="882">
        <f>IF($O174=0,0,        _xll.qDateNext($O173,AD$17,$AH$16,TRUE,Currency1))</f>
        <v>0</v>
      </c>
      <c r="AE173" s="882">
        <f>IF($O174=0,0,        _xll.qDateNext($O173,AE$17,$AH$16,TRUE,Currency1))</f>
        <v>0</v>
      </c>
      <c r="AF173" s="882">
        <f>IF($O174=0,0,        _xll.qDateNext($O173,AF$17,$AH$16,TRUE,Currency1))</f>
        <v>0</v>
      </c>
      <c r="AG173" s="882">
        <f>IF($O174=0,0,        _xll.qDateNext($O173,AG$17,$AH$16,TRUE,Currency1))</f>
        <v>0</v>
      </c>
      <c r="AH173" s="882">
        <f>IF($O174=0,0,        _xll.qDateNext($O173,AH$17,$AH$16,TRUE,Currency1))</f>
        <v>0</v>
      </c>
      <c r="AI173" s="886">
        <f>IF($O174=0,0,           IF(FRM,_xll.qGetFwdRate(AI$14,$O173,AA173,"T",DCC_Leg1_Float),_xll.qGetFwdRate(AI$14,$O173,$O174,"T",DCC_Leg1_Float)))</f>
        <v>0</v>
      </c>
      <c r="AJ173" s="886">
        <f>IF($O174=0,0,           IF(FRM,_xll.qGetFwdRate(AJ$14,$O173,AB173,"T",DCC_Leg1_Float),_xll.qGetFwdRate(AJ$14,$O173,$O174,"T",DCC_Leg1_Float)))</f>
        <v>0</v>
      </c>
      <c r="AK173" s="886">
        <f t="shared" si="68"/>
        <v>0</v>
      </c>
      <c r="AL173" s="886">
        <f>IF($O174=0,0,           IF(FRM,_xll.qGetFwdRate(AL$14,$O173,AD173,"T",DCC_Leg1_Float),_xll.qGetFwdRate(AL$14,$O173,$O174,"T",DCC_Leg1_Float)))</f>
        <v>0</v>
      </c>
      <c r="AM173" s="886">
        <f t="shared" si="81"/>
        <v>0</v>
      </c>
      <c r="AN173" s="886">
        <f t="shared" si="82"/>
        <v>0</v>
      </c>
      <c r="AO173" s="886">
        <f>IF($O174=0,0,           IF(FRM,_xll.qGetFwdRate(AO$14,$O173,AG173,"T",DCC_Leg1_Float),_xll.qGetFwdRate(AO$14,$O173,$O174,"T",DCC_Leg1_Float)))</f>
        <v>0</v>
      </c>
      <c r="AP173" s="886">
        <f>IF($O174=0,0,           IF(FRM,_xll.qGetFwdRate(AP$14,$O173,AH173,"T",DCC_Leg1_Float),_xll.qGetFwdRate(AP$14,$O173,$O174,"T",DCC_Leg1_Float)))</f>
        <v>0</v>
      </c>
      <c r="AQ173" s="648">
        <f t="shared" si="83"/>
        <v>0</v>
      </c>
      <c r="AR173" s="648">
        <f t="shared" si="84"/>
        <v>0</v>
      </c>
      <c r="AS173" s="648">
        <f t="shared" si="85"/>
        <v>0</v>
      </c>
      <c r="AT173" s="648">
        <f t="shared" si="86"/>
        <v>0</v>
      </c>
      <c r="AU173" s="648">
        <f t="shared" si="87"/>
        <v>0</v>
      </c>
      <c r="AV173" s="648">
        <f t="shared" si="88"/>
        <v>0</v>
      </c>
      <c r="AW173" s="648">
        <f t="shared" si="89"/>
        <v>0</v>
      </c>
      <c r="AX173" s="648">
        <f t="shared" si="90"/>
        <v>0</v>
      </c>
      <c r="AY173" s="634">
        <v>0</v>
      </c>
      <c r="AZ173" s="616"/>
      <c r="BA173" s="619">
        <f>IF(O174=0,0,             IF(ISNUMBER(AZ173),AZ173,             IF(ISTEXT(AZ173),INDEX(AQ173:AX173,MATCH(AZ173,$AQ$17:$AX$17,0)),           IF(AY173="INT",_xll.qInterp(O174,AA173:AH173,AQ173:AX173),       INDEX(AQ173:AX173,MATCH(AY173,$AQ$17:$AX$17,0))))))</f>
        <v>0</v>
      </c>
      <c r="BB173" s="674">
        <v>100</v>
      </c>
      <c r="BC173" s="666">
        <f t="shared" si="69"/>
        <v>0</v>
      </c>
      <c r="BD173" s="268">
        <f>IF($O174=0,0,                IF(LEFT(DCC_Leg1_Fixed,2)="1/",uEvaluate(DCC_Leg1_Fixed),        _xll.qDateYears($O173,$O174,DCC_Leg1_Fixed)))</f>
        <v>0</v>
      </c>
      <c r="BE173" s="268">
        <f>IF($O174,_xll.qDateYears($O173,$O174,DCC_Leg1_Float),0)</f>
        <v>0</v>
      </c>
      <c r="BG173" s="332">
        <f t="shared" si="91"/>
        <v>0</v>
      </c>
      <c r="BH173" s="357">
        <f t="shared" si="92"/>
        <v>0</v>
      </c>
      <c r="BI173" s="527"/>
      <c r="BK173" s="324">
        <f t="shared" si="97"/>
        <v>0</v>
      </c>
      <c r="BM173" s="338"/>
      <c r="BN173" s="121">
        <v>0</v>
      </c>
      <c r="BO173" s="755">
        <f t="shared" si="70"/>
        <v>0</v>
      </c>
      <c r="BP173" s="339">
        <v>0</v>
      </c>
      <c r="BQ173" s="890">
        <f>IF(BN174=0,0,         IF(OR(Currency2="AUD",Currency1="NZD",Currency2="GBP"),BN173,   _xll.qDateNext(BN173,"-2b",,,IF(Currency2="EUR","TGT","LON"))))</f>
        <v>0</v>
      </c>
      <c r="BR173" s="879" t="str">
        <v/>
      </c>
      <c r="BS173" s="879" t="str">
        <v/>
      </c>
      <c r="BT173" s="879" t="str">
        <v/>
      </c>
      <c r="BU173" s="879" t="str">
        <v/>
      </c>
      <c r="BV173" s="879" t="str">
        <v/>
      </c>
      <c r="BW173" s="879" t="str">
        <v/>
      </c>
      <c r="BX173" s="879" t="str">
        <v/>
      </c>
      <c r="BY173" s="879" t="str">
        <v/>
      </c>
      <c r="BZ173" s="882">
        <f>IF($BN174=0,0,        _xll.qDateNext($BN173,BZ$17,$CG$16,TRUE,Currency2))</f>
        <v>0</v>
      </c>
      <c r="CA173" s="882">
        <f>IF($BN174=0,0,        _xll.qDateNext($BN173,CA$17,$CG$16,TRUE,Currency2))</f>
        <v>0</v>
      </c>
      <c r="CB173" s="882">
        <f>IF($BN174=0,0,        _xll.qDateNext($BN173,CB$17,$CG$16,TRUE,Currency2))</f>
        <v>0</v>
      </c>
      <c r="CC173" s="882">
        <f>IF($BN174=0,0,        _xll.qDateNext($BN173,CC$17,$CG$16,TRUE,Currency2))</f>
        <v>0</v>
      </c>
      <c r="CD173" s="882">
        <f>IF($BN174=0,0,        _xll.qDateNext($BN173,CD$17,$CG$16,TRUE,Currency2))</f>
        <v>0</v>
      </c>
      <c r="CE173" s="882">
        <f>IF($BN174=0,0,        _xll.qDateNext($BN173,CE$17,$CG$16,TRUE,Currency2))</f>
        <v>0</v>
      </c>
      <c r="CF173" s="882">
        <f>IF($BN174=0,0,        _xll.qDateNext($BN173,CF$17,$CG$16,TRUE,Currency2))</f>
        <v>0</v>
      </c>
      <c r="CG173" s="882">
        <f>IF($BN174=0,0,        _xll.qDateNext($BN173,CG$17,$CG$16,TRUE,Currency2))</f>
        <v>0</v>
      </c>
      <c r="CH173" s="886">
        <v>0</v>
      </c>
      <c r="CI173" s="886">
        <v>0</v>
      </c>
      <c r="CJ173" s="886">
        <v>0</v>
      </c>
      <c r="CK173" s="886">
        <v>0</v>
      </c>
      <c r="CL173" s="886">
        <f t="shared" si="93"/>
        <v>0</v>
      </c>
      <c r="CM173" s="886">
        <f t="shared" si="94"/>
        <v>0</v>
      </c>
      <c r="CN173" s="886">
        <v>0</v>
      </c>
      <c r="CO173" s="886">
        <v>0</v>
      </c>
      <c r="CP173" s="648">
        <f t="shared" si="71"/>
        <v>0</v>
      </c>
      <c r="CQ173" s="648">
        <f t="shared" si="72"/>
        <v>0</v>
      </c>
      <c r="CR173" s="648">
        <f t="shared" si="73"/>
        <v>0</v>
      </c>
      <c r="CS173" s="648">
        <f t="shared" si="74"/>
        <v>0</v>
      </c>
      <c r="CT173" s="648">
        <f t="shared" si="75"/>
        <v>0</v>
      </c>
      <c r="CU173" s="648">
        <f t="shared" si="76"/>
        <v>0</v>
      </c>
      <c r="CV173" s="648">
        <f t="shared" si="77"/>
        <v>0</v>
      </c>
      <c r="CW173" s="648">
        <f t="shared" si="78"/>
        <v>0</v>
      </c>
      <c r="CX173" s="634">
        <v>0</v>
      </c>
      <c r="CY173" s="616"/>
      <c r="CZ173" s="619">
        <f>IF(BN174=0,0,             IF(ISNUMBER(CY173),CY173,             IF(ISTEXT(CY173),INDEX(CP173:CW173,MATCH(CY173,$CP$17:$CW$17,0)),           IF(CX173="INT",_xll.qInterp(BN174,BZ173:CG173,CP173:CW173),       INDEX(CP173:CW173,MATCH(CX173,$CP$17:$CW$17,0))))))</f>
        <v>0</v>
      </c>
      <c r="DA173" s="755">
        <f t="shared" si="79"/>
        <v>0</v>
      </c>
      <c r="DB173" s="387">
        <f t="shared" si="80"/>
        <v>0</v>
      </c>
      <c r="DC173" s="268">
        <f>IF($BN174=0,0,         IF(LEFT(DCC_Leg2_Fixed,2)="1/",uEvaluate(DCC_Leg2_Fixed),         _xll.qDateYears($BN173,$BN174,DCC_Leg2_Fixed)))</f>
        <v>0</v>
      </c>
      <c r="DD173" s="268">
        <f>IF($BN174,_xll.qDateYears($BN173,$BN174,DCC_Leg2_Float),0)</f>
        <v>0</v>
      </c>
      <c r="DF173" s="332">
        <f t="shared" si="95"/>
        <v>0</v>
      </c>
      <c r="DG173" s="357">
        <f t="shared" si="96"/>
        <v>0</v>
      </c>
      <c r="DH173" s="527"/>
      <c r="DJ173" s="324">
        <f t="shared" si="98"/>
        <v>0</v>
      </c>
      <c r="DK173" s="529"/>
      <c r="DL173" s="338"/>
    </row>
    <row r="174" spans="15:116">
      <c r="O174" s="121">
        <v>0</v>
      </c>
      <c r="P174" s="755">
        <f t="shared" si="67"/>
        <v>0</v>
      </c>
      <c r="Q174" s="125">
        <v>0</v>
      </c>
      <c r="R174" s="890">
        <f>IF(O175=0,0,         IF(OR(Currency1="AUD",Currency1="NZD",Currency1="GBP"),O174,   _xll.qDateNext(O174,"-2b",,,IF(Currency1="EUR","TGT","LON"))))</f>
        <v>0</v>
      </c>
      <c r="S174" s="879" t="str">
        <v/>
      </c>
      <c r="T174" s="879" t="str">
        <v/>
      </c>
      <c r="U174" s="879" t="str">
        <v/>
      </c>
      <c r="V174" s="879" t="str">
        <v/>
      </c>
      <c r="W174" s="879" t="str">
        <v/>
      </c>
      <c r="X174" s="879" t="str">
        <v/>
      </c>
      <c r="Y174" s="879" t="str">
        <v/>
      </c>
      <c r="Z174" s="879" t="str">
        <v/>
      </c>
      <c r="AA174" s="882">
        <f>IF($O175=0,0,        _xll.qDateNext($O174,AA$17,$AH$16,TRUE,Currency1))</f>
        <v>0</v>
      </c>
      <c r="AB174" s="882">
        <f>IF($O175=0,0,        _xll.qDateNext($O174,AB$17,$AH$16,TRUE,Currency1))</f>
        <v>0</v>
      </c>
      <c r="AC174" s="882">
        <f>IF($O175=0,0,        _xll.qDateNext($O174,AC$17,$AH$16,TRUE,Currency1))</f>
        <v>0</v>
      </c>
      <c r="AD174" s="882">
        <f>IF($O175=0,0,        _xll.qDateNext($O174,AD$17,$AH$16,TRUE,Currency1))</f>
        <v>0</v>
      </c>
      <c r="AE174" s="882">
        <f>IF($O175=0,0,        _xll.qDateNext($O174,AE$17,$AH$16,TRUE,Currency1))</f>
        <v>0</v>
      </c>
      <c r="AF174" s="882">
        <f>IF($O175=0,0,        _xll.qDateNext($O174,AF$17,$AH$16,TRUE,Currency1))</f>
        <v>0</v>
      </c>
      <c r="AG174" s="882">
        <f>IF($O175=0,0,        _xll.qDateNext($O174,AG$17,$AH$16,TRUE,Currency1))</f>
        <v>0</v>
      </c>
      <c r="AH174" s="882">
        <f>IF($O175=0,0,        _xll.qDateNext($O174,AH$17,$AH$16,TRUE,Currency1))</f>
        <v>0</v>
      </c>
      <c r="AI174" s="886">
        <f>IF($O175=0,0,           IF(FRM,_xll.qGetFwdRate(AI$14,$O174,AA174,"T",DCC_Leg1_Float),_xll.qGetFwdRate(AI$14,$O174,$O175,"T",DCC_Leg1_Float)))</f>
        <v>0</v>
      </c>
      <c r="AJ174" s="886">
        <f>IF($O175=0,0,           IF(FRM,_xll.qGetFwdRate(AJ$14,$O174,AB174,"T",DCC_Leg1_Float),_xll.qGetFwdRate(AJ$14,$O174,$O175,"T",DCC_Leg1_Float)))</f>
        <v>0</v>
      </c>
      <c r="AK174" s="886">
        <f t="shared" si="68"/>
        <v>0</v>
      </c>
      <c r="AL174" s="886">
        <f>IF($O175=0,0,           IF(FRM,_xll.qGetFwdRate(AL$14,$O174,AD174,"T",DCC_Leg1_Float),_xll.qGetFwdRate(AL$14,$O174,$O175,"T",DCC_Leg1_Float)))</f>
        <v>0</v>
      </c>
      <c r="AM174" s="886">
        <f t="shared" si="81"/>
        <v>0</v>
      </c>
      <c r="AN174" s="886">
        <f t="shared" si="82"/>
        <v>0</v>
      </c>
      <c r="AO174" s="886">
        <f>IF($O175=0,0,           IF(FRM,_xll.qGetFwdRate(AO$14,$O174,AG174,"T",DCC_Leg1_Float),_xll.qGetFwdRate(AO$14,$O174,$O175,"T",DCC_Leg1_Float)))</f>
        <v>0</v>
      </c>
      <c r="AP174" s="886">
        <f>IF($O175=0,0,           IF(FRM,_xll.qGetFwdRate(AP$14,$O174,AH174,"T",DCC_Leg1_Float),_xll.qGetFwdRate(AP$14,$O174,$O175,"T",DCC_Leg1_Float)))</f>
        <v>0</v>
      </c>
      <c r="AQ174" s="648">
        <f t="shared" si="83"/>
        <v>0</v>
      </c>
      <c r="AR174" s="648">
        <f t="shared" si="84"/>
        <v>0</v>
      </c>
      <c r="AS174" s="648">
        <f t="shared" si="85"/>
        <v>0</v>
      </c>
      <c r="AT174" s="648">
        <f t="shared" si="86"/>
        <v>0</v>
      </c>
      <c r="AU174" s="648">
        <f t="shared" si="87"/>
        <v>0</v>
      </c>
      <c r="AV174" s="648">
        <f t="shared" si="88"/>
        <v>0</v>
      </c>
      <c r="AW174" s="648">
        <f t="shared" si="89"/>
        <v>0</v>
      </c>
      <c r="AX174" s="648">
        <f t="shared" si="90"/>
        <v>0</v>
      </c>
      <c r="AY174" s="634">
        <v>0</v>
      </c>
      <c r="AZ174" s="616"/>
      <c r="BA174" s="619">
        <f>IF(O175=0,0,             IF(ISNUMBER(AZ174),AZ174,             IF(ISTEXT(AZ174),INDEX(AQ174:AX174,MATCH(AZ174,$AQ$17:$AX$17,0)),           IF(AY174="INT",_xll.qInterp(O175,AA174:AH174,AQ174:AX174),       INDEX(AQ174:AX174,MATCH(AY174,$AQ$17:$AX$17,0))))))</f>
        <v>0</v>
      </c>
      <c r="BB174" s="674">
        <v>100</v>
      </c>
      <c r="BC174" s="666">
        <f t="shared" si="69"/>
        <v>0</v>
      </c>
      <c r="BD174" s="268">
        <f>IF($O175=0,0,                IF(LEFT(DCC_Leg1_Fixed,2)="1/",uEvaluate(DCC_Leg1_Fixed),        _xll.qDateYears($O174,$O175,DCC_Leg1_Fixed)))</f>
        <v>0</v>
      </c>
      <c r="BE174" s="268">
        <f>IF($O175,_xll.qDateYears($O174,$O175,DCC_Leg1_Float),0)</f>
        <v>0</v>
      </c>
      <c r="BG174" s="332">
        <f t="shared" si="91"/>
        <v>0</v>
      </c>
      <c r="BH174" s="357">
        <f t="shared" si="92"/>
        <v>0</v>
      </c>
      <c r="BI174" s="527"/>
      <c r="BK174" s="324">
        <f t="shared" si="97"/>
        <v>0</v>
      </c>
      <c r="BM174" s="338"/>
      <c r="BN174" s="121">
        <v>0</v>
      </c>
      <c r="BO174" s="755">
        <f t="shared" si="70"/>
        <v>0</v>
      </c>
      <c r="BP174" s="339">
        <v>0</v>
      </c>
      <c r="BQ174" s="890">
        <f>IF(BN175=0,0,         IF(OR(Currency2="AUD",Currency1="NZD",Currency2="GBP"),BN174,   _xll.qDateNext(BN174,"-2b",,,IF(Currency2="EUR","TGT","LON"))))</f>
        <v>0</v>
      </c>
      <c r="BR174" s="879" t="str">
        <v/>
      </c>
      <c r="BS174" s="879" t="str">
        <v/>
      </c>
      <c r="BT174" s="879" t="str">
        <v/>
      </c>
      <c r="BU174" s="879" t="str">
        <v/>
      </c>
      <c r="BV174" s="879" t="str">
        <v/>
      </c>
      <c r="BW174" s="879" t="str">
        <v/>
      </c>
      <c r="BX174" s="879" t="str">
        <v/>
      </c>
      <c r="BY174" s="879" t="str">
        <v/>
      </c>
      <c r="BZ174" s="882">
        <f>IF($BN175=0,0,        _xll.qDateNext($BN174,BZ$17,$CG$16,TRUE,Currency2))</f>
        <v>0</v>
      </c>
      <c r="CA174" s="882">
        <f>IF($BN175=0,0,        _xll.qDateNext($BN174,CA$17,$CG$16,TRUE,Currency2))</f>
        <v>0</v>
      </c>
      <c r="CB174" s="882">
        <f>IF($BN175=0,0,        _xll.qDateNext($BN174,CB$17,$CG$16,TRUE,Currency2))</f>
        <v>0</v>
      </c>
      <c r="CC174" s="882">
        <f>IF($BN175=0,0,        _xll.qDateNext($BN174,CC$17,$CG$16,TRUE,Currency2))</f>
        <v>0</v>
      </c>
      <c r="CD174" s="882">
        <f>IF($BN175=0,0,        _xll.qDateNext($BN174,CD$17,$CG$16,TRUE,Currency2))</f>
        <v>0</v>
      </c>
      <c r="CE174" s="882">
        <f>IF($BN175=0,0,        _xll.qDateNext($BN174,CE$17,$CG$16,TRUE,Currency2))</f>
        <v>0</v>
      </c>
      <c r="CF174" s="882">
        <f>IF($BN175=0,0,        _xll.qDateNext($BN174,CF$17,$CG$16,TRUE,Currency2))</f>
        <v>0</v>
      </c>
      <c r="CG174" s="882">
        <f>IF($BN175=0,0,        _xll.qDateNext($BN174,CG$17,$CG$16,TRUE,Currency2))</f>
        <v>0</v>
      </c>
      <c r="CH174" s="886">
        <v>0</v>
      </c>
      <c r="CI174" s="886">
        <v>0</v>
      </c>
      <c r="CJ174" s="886">
        <v>0</v>
      </c>
      <c r="CK174" s="886">
        <v>0</v>
      </c>
      <c r="CL174" s="886">
        <f t="shared" si="93"/>
        <v>0</v>
      </c>
      <c r="CM174" s="886">
        <f t="shared" si="94"/>
        <v>0</v>
      </c>
      <c r="CN174" s="886">
        <v>0</v>
      </c>
      <c r="CO174" s="886">
        <v>0</v>
      </c>
      <c r="CP174" s="648">
        <f t="shared" si="71"/>
        <v>0</v>
      </c>
      <c r="CQ174" s="648">
        <f t="shared" si="72"/>
        <v>0</v>
      </c>
      <c r="CR174" s="648">
        <f t="shared" si="73"/>
        <v>0</v>
      </c>
      <c r="CS174" s="648">
        <f t="shared" si="74"/>
        <v>0</v>
      </c>
      <c r="CT174" s="648">
        <f t="shared" si="75"/>
        <v>0</v>
      </c>
      <c r="CU174" s="648">
        <f t="shared" si="76"/>
        <v>0</v>
      </c>
      <c r="CV174" s="648">
        <f t="shared" si="77"/>
        <v>0</v>
      </c>
      <c r="CW174" s="648">
        <f t="shared" si="78"/>
        <v>0</v>
      </c>
      <c r="CX174" s="634">
        <v>0</v>
      </c>
      <c r="CY174" s="616"/>
      <c r="CZ174" s="619">
        <f>IF(BN175=0,0,             IF(ISNUMBER(CY174),CY174,             IF(ISTEXT(CY174),INDEX(CP174:CW174,MATCH(CY174,$CP$17:$CW$17,0)),           IF(CX174="INT",_xll.qInterp(BN175,BZ174:CG174,CP174:CW174),       INDEX(CP174:CW174,MATCH(CX174,$CP$17:$CW$17,0))))))</f>
        <v>0</v>
      </c>
      <c r="DA174" s="755">
        <f t="shared" si="79"/>
        <v>0</v>
      </c>
      <c r="DB174" s="387">
        <f t="shared" si="80"/>
        <v>0</v>
      </c>
      <c r="DC174" s="268">
        <f>IF($BN175=0,0,         IF(LEFT(DCC_Leg2_Fixed,2)="1/",uEvaluate(DCC_Leg2_Fixed),         _xll.qDateYears($BN174,$BN175,DCC_Leg2_Fixed)))</f>
        <v>0</v>
      </c>
      <c r="DD174" s="268">
        <f>IF($BN175,_xll.qDateYears($BN174,$BN175,DCC_Leg2_Float),0)</f>
        <v>0</v>
      </c>
      <c r="DF174" s="332">
        <f t="shared" si="95"/>
        <v>0</v>
      </c>
      <c r="DG174" s="357">
        <f t="shared" si="96"/>
        <v>0</v>
      </c>
      <c r="DH174" s="527"/>
      <c r="DJ174" s="324">
        <f t="shared" si="98"/>
        <v>0</v>
      </c>
      <c r="DK174" s="529"/>
      <c r="DL174" s="338"/>
    </row>
    <row r="175" spans="15:116">
      <c r="O175" s="121">
        <v>0</v>
      </c>
      <c r="P175" s="755">
        <f t="shared" si="67"/>
        <v>0</v>
      </c>
      <c r="Q175" s="125">
        <v>0</v>
      </c>
      <c r="R175" s="890">
        <f>IF(O176=0,0,         IF(OR(Currency1="AUD",Currency1="NZD",Currency1="GBP"),O175,   _xll.qDateNext(O175,"-2b",,,IF(Currency1="EUR","TGT","LON"))))</f>
        <v>0</v>
      </c>
      <c r="S175" s="879" t="str">
        <v/>
      </c>
      <c r="T175" s="879" t="str">
        <v/>
      </c>
      <c r="U175" s="879" t="str">
        <v/>
      </c>
      <c r="V175" s="879" t="str">
        <v/>
      </c>
      <c r="W175" s="879" t="str">
        <v/>
      </c>
      <c r="X175" s="879" t="str">
        <v/>
      </c>
      <c r="Y175" s="879" t="str">
        <v/>
      </c>
      <c r="Z175" s="879" t="str">
        <v/>
      </c>
      <c r="AA175" s="882">
        <f>IF($O176=0,0,        _xll.qDateNext($O175,AA$17,$AH$16,TRUE,Currency1))</f>
        <v>0</v>
      </c>
      <c r="AB175" s="882">
        <f>IF($O176=0,0,        _xll.qDateNext($O175,AB$17,$AH$16,TRUE,Currency1))</f>
        <v>0</v>
      </c>
      <c r="AC175" s="882">
        <f>IF($O176=0,0,        _xll.qDateNext($O175,AC$17,$AH$16,TRUE,Currency1))</f>
        <v>0</v>
      </c>
      <c r="AD175" s="882">
        <f>IF($O176=0,0,        _xll.qDateNext($O175,AD$17,$AH$16,TRUE,Currency1))</f>
        <v>0</v>
      </c>
      <c r="AE175" s="882">
        <f>IF($O176=0,0,        _xll.qDateNext($O175,AE$17,$AH$16,TRUE,Currency1))</f>
        <v>0</v>
      </c>
      <c r="AF175" s="882">
        <f>IF($O176=0,0,        _xll.qDateNext($O175,AF$17,$AH$16,TRUE,Currency1))</f>
        <v>0</v>
      </c>
      <c r="AG175" s="882">
        <f>IF($O176=0,0,        _xll.qDateNext($O175,AG$17,$AH$16,TRUE,Currency1))</f>
        <v>0</v>
      </c>
      <c r="AH175" s="882">
        <f>IF($O176=0,0,        _xll.qDateNext($O175,AH$17,$AH$16,TRUE,Currency1))</f>
        <v>0</v>
      </c>
      <c r="AI175" s="886">
        <f>IF($O176=0,0,           IF(FRM,_xll.qGetFwdRate(AI$14,$O175,AA175,"T",DCC_Leg1_Float),_xll.qGetFwdRate(AI$14,$O175,$O176,"T",DCC_Leg1_Float)))</f>
        <v>0</v>
      </c>
      <c r="AJ175" s="886">
        <f>IF($O176=0,0,           IF(FRM,_xll.qGetFwdRate(AJ$14,$O175,AB175,"T",DCC_Leg1_Float),_xll.qGetFwdRate(AJ$14,$O175,$O176,"T",DCC_Leg1_Float)))</f>
        <v>0</v>
      </c>
      <c r="AK175" s="886">
        <f t="shared" si="68"/>
        <v>0</v>
      </c>
      <c r="AL175" s="886">
        <f>IF($O176=0,0,           IF(FRM,_xll.qGetFwdRate(AL$14,$O175,AD175,"T",DCC_Leg1_Float),_xll.qGetFwdRate(AL$14,$O175,$O176,"T",DCC_Leg1_Float)))</f>
        <v>0</v>
      </c>
      <c r="AM175" s="886">
        <f t="shared" si="81"/>
        <v>0</v>
      </c>
      <c r="AN175" s="886">
        <f t="shared" si="82"/>
        <v>0</v>
      </c>
      <c r="AO175" s="886">
        <f>IF($O176=0,0,           IF(FRM,_xll.qGetFwdRate(AO$14,$O175,AG175,"T",DCC_Leg1_Float),_xll.qGetFwdRate(AO$14,$O175,$O176,"T",DCC_Leg1_Float)))</f>
        <v>0</v>
      </c>
      <c r="AP175" s="886">
        <f>IF($O176=0,0,           IF(FRM,_xll.qGetFwdRate(AP$14,$O175,AH175,"T",DCC_Leg1_Float),_xll.qGetFwdRate(AP$14,$O175,$O176,"T",DCC_Leg1_Float)))</f>
        <v>0</v>
      </c>
      <c r="AQ175" s="648">
        <f t="shared" si="83"/>
        <v>0</v>
      </c>
      <c r="AR175" s="648">
        <f t="shared" si="84"/>
        <v>0</v>
      </c>
      <c r="AS175" s="648">
        <f t="shared" si="85"/>
        <v>0</v>
      </c>
      <c r="AT175" s="648">
        <f t="shared" si="86"/>
        <v>0</v>
      </c>
      <c r="AU175" s="648">
        <f t="shared" si="87"/>
        <v>0</v>
      </c>
      <c r="AV175" s="648">
        <f t="shared" si="88"/>
        <v>0</v>
      </c>
      <c r="AW175" s="648">
        <f t="shared" si="89"/>
        <v>0</v>
      </c>
      <c r="AX175" s="648">
        <f t="shared" si="90"/>
        <v>0</v>
      </c>
      <c r="AY175" s="634">
        <v>0</v>
      </c>
      <c r="AZ175" s="616"/>
      <c r="BA175" s="619">
        <f>IF(O176=0,0,             IF(ISNUMBER(AZ175),AZ175,             IF(ISTEXT(AZ175),INDEX(AQ175:AX175,MATCH(AZ175,$AQ$17:$AX$17,0)),           IF(AY175="INT",_xll.qInterp(O176,AA175:AH175,AQ175:AX175),       INDEX(AQ175:AX175,MATCH(AY175,$AQ$17:$AX$17,0))))))</f>
        <v>0</v>
      </c>
      <c r="BB175" s="674">
        <v>100</v>
      </c>
      <c r="BC175" s="666">
        <f t="shared" si="69"/>
        <v>0</v>
      </c>
      <c r="BD175" s="268">
        <f>IF($O176=0,0,                IF(LEFT(DCC_Leg1_Fixed,2)="1/",uEvaluate(DCC_Leg1_Fixed),        _xll.qDateYears($O175,$O176,DCC_Leg1_Fixed)))</f>
        <v>0</v>
      </c>
      <c r="BE175" s="268">
        <f>IF($O176,_xll.qDateYears($O175,$O176,DCC_Leg1_Float),0)</f>
        <v>0</v>
      </c>
      <c r="BG175" s="332">
        <f t="shared" si="91"/>
        <v>0</v>
      </c>
      <c r="BH175" s="357">
        <f t="shared" si="92"/>
        <v>0</v>
      </c>
      <c r="BI175" s="527"/>
      <c r="BK175" s="324">
        <f t="shared" si="97"/>
        <v>0</v>
      </c>
      <c r="BM175" s="338"/>
      <c r="BN175" s="121">
        <v>0</v>
      </c>
      <c r="BO175" s="755">
        <f t="shared" si="70"/>
        <v>0</v>
      </c>
      <c r="BP175" s="339">
        <v>0</v>
      </c>
      <c r="BQ175" s="890">
        <f>IF(BN176=0,0,         IF(OR(Currency2="AUD",Currency1="NZD",Currency2="GBP"),BN175,   _xll.qDateNext(BN175,"-2b",,,IF(Currency2="EUR","TGT","LON"))))</f>
        <v>0</v>
      </c>
      <c r="BR175" s="879" t="str">
        <v/>
      </c>
      <c r="BS175" s="879" t="str">
        <v/>
      </c>
      <c r="BT175" s="879" t="str">
        <v/>
      </c>
      <c r="BU175" s="879" t="str">
        <v/>
      </c>
      <c r="BV175" s="879" t="str">
        <v/>
      </c>
      <c r="BW175" s="879" t="str">
        <v/>
      </c>
      <c r="BX175" s="879" t="str">
        <v/>
      </c>
      <c r="BY175" s="879" t="str">
        <v/>
      </c>
      <c r="BZ175" s="882">
        <f>IF($BN176=0,0,        _xll.qDateNext($BN175,BZ$17,$CG$16,TRUE,Currency2))</f>
        <v>0</v>
      </c>
      <c r="CA175" s="882">
        <f>IF($BN176=0,0,        _xll.qDateNext($BN175,CA$17,$CG$16,TRUE,Currency2))</f>
        <v>0</v>
      </c>
      <c r="CB175" s="882">
        <f>IF($BN176=0,0,        _xll.qDateNext($BN175,CB$17,$CG$16,TRUE,Currency2))</f>
        <v>0</v>
      </c>
      <c r="CC175" s="882">
        <f>IF($BN176=0,0,        _xll.qDateNext($BN175,CC$17,$CG$16,TRUE,Currency2))</f>
        <v>0</v>
      </c>
      <c r="CD175" s="882">
        <f>IF($BN176=0,0,        _xll.qDateNext($BN175,CD$17,$CG$16,TRUE,Currency2))</f>
        <v>0</v>
      </c>
      <c r="CE175" s="882">
        <f>IF($BN176=0,0,        _xll.qDateNext($BN175,CE$17,$CG$16,TRUE,Currency2))</f>
        <v>0</v>
      </c>
      <c r="CF175" s="882">
        <f>IF($BN176=0,0,        _xll.qDateNext($BN175,CF$17,$CG$16,TRUE,Currency2))</f>
        <v>0</v>
      </c>
      <c r="CG175" s="882">
        <f>IF($BN176=0,0,        _xll.qDateNext($BN175,CG$17,$CG$16,TRUE,Currency2))</f>
        <v>0</v>
      </c>
      <c r="CH175" s="886">
        <v>0</v>
      </c>
      <c r="CI175" s="886">
        <v>0</v>
      </c>
      <c r="CJ175" s="886">
        <v>0</v>
      </c>
      <c r="CK175" s="886">
        <v>0</v>
      </c>
      <c r="CL175" s="886">
        <f t="shared" si="93"/>
        <v>0</v>
      </c>
      <c r="CM175" s="886">
        <f t="shared" si="94"/>
        <v>0</v>
      </c>
      <c r="CN175" s="886">
        <v>0</v>
      </c>
      <c r="CO175" s="886">
        <v>0</v>
      </c>
      <c r="CP175" s="648">
        <f t="shared" si="71"/>
        <v>0</v>
      </c>
      <c r="CQ175" s="648">
        <f t="shared" si="72"/>
        <v>0</v>
      </c>
      <c r="CR175" s="648">
        <f t="shared" si="73"/>
        <v>0</v>
      </c>
      <c r="CS175" s="648">
        <f t="shared" si="74"/>
        <v>0</v>
      </c>
      <c r="CT175" s="648">
        <f t="shared" si="75"/>
        <v>0</v>
      </c>
      <c r="CU175" s="648">
        <f t="shared" si="76"/>
        <v>0</v>
      </c>
      <c r="CV175" s="648">
        <f t="shared" si="77"/>
        <v>0</v>
      </c>
      <c r="CW175" s="648">
        <f t="shared" si="78"/>
        <v>0</v>
      </c>
      <c r="CX175" s="634">
        <v>0</v>
      </c>
      <c r="CY175" s="616"/>
      <c r="CZ175" s="619">
        <f>IF(BN176=0,0,             IF(ISNUMBER(CY175),CY175,             IF(ISTEXT(CY175),INDEX(CP175:CW175,MATCH(CY175,$CP$17:$CW$17,0)),           IF(CX175="INT",_xll.qInterp(BN176,BZ175:CG175,CP175:CW175),       INDEX(CP175:CW175,MATCH(CX175,$CP$17:$CW$17,0))))))</f>
        <v>0</v>
      </c>
      <c r="DA175" s="755">
        <f t="shared" si="79"/>
        <v>0</v>
      </c>
      <c r="DB175" s="387">
        <f t="shared" si="80"/>
        <v>0</v>
      </c>
      <c r="DC175" s="268">
        <f>IF($BN176=0,0,         IF(LEFT(DCC_Leg2_Fixed,2)="1/",uEvaluate(DCC_Leg2_Fixed),         _xll.qDateYears($BN175,$BN176,DCC_Leg2_Fixed)))</f>
        <v>0</v>
      </c>
      <c r="DD175" s="268">
        <f>IF($BN176,_xll.qDateYears($BN175,$BN176,DCC_Leg2_Float),0)</f>
        <v>0</v>
      </c>
      <c r="DF175" s="332">
        <f t="shared" si="95"/>
        <v>0</v>
      </c>
      <c r="DG175" s="357">
        <f t="shared" si="96"/>
        <v>0</v>
      </c>
      <c r="DH175" s="527"/>
      <c r="DJ175" s="324">
        <f t="shared" si="98"/>
        <v>0</v>
      </c>
      <c r="DK175" s="529"/>
      <c r="DL175" s="338"/>
    </row>
    <row r="176" spans="15:116">
      <c r="O176" s="121">
        <v>0</v>
      </c>
      <c r="P176" s="755">
        <f t="shared" si="67"/>
        <v>0</v>
      </c>
      <c r="Q176" s="125">
        <v>0</v>
      </c>
      <c r="R176" s="890">
        <f>IF(O177=0,0,         IF(OR(Currency1="AUD",Currency1="NZD",Currency1="GBP"),O176,   _xll.qDateNext(O176,"-2b",,,IF(Currency1="EUR","TGT","LON"))))</f>
        <v>0</v>
      </c>
      <c r="S176" s="879" t="str">
        <v/>
      </c>
      <c r="T176" s="879" t="str">
        <v/>
      </c>
      <c r="U176" s="879" t="str">
        <v/>
      </c>
      <c r="V176" s="879" t="str">
        <v/>
      </c>
      <c r="W176" s="879" t="str">
        <v/>
      </c>
      <c r="X176" s="879" t="str">
        <v/>
      </c>
      <c r="Y176" s="879" t="str">
        <v/>
      </c>
      <c r="Z176" s="879" t="str">
        <v/>
      </c>
      <c r="AA176" s="882">
        <f>IF($O177=0,0,        _xll.qDateNext($O176,AA$17,$AH$16,TRUE,Currency1))</f>
        <v>0</v>
      </c>
      <c r="AB176" s="882">
        <f>IF($O177=0,0,        _xll.qDateNext($O176,AB$17,$AH$16,TRUE,Currency1))</f>
        <v>0</v>
      </c>
      <c r="AC176" s="882">
        <f>IF($O177=0,0,        _xll.qDateNext($O176,AC$17,$AH$16,TRUE,Currency1))</f>
        <v>0</v>
      </c>
      <c r="AD176" s="882">
        <f>IF($O177=0,0,        _xll.qDateNext($O176,AD$17,$AH$16,TRUE,Currency1))</f>
        <v>0</v>
      </c>
      <c r="AE176" s="882">
        <f>IF($O177=0,0,        _xll.qDateNext($O176,AE$17,$AH$16,TRUE,Currency1))</f>
        <v>0</v>
      </c>
      <c r="AF176" s="882">
        <f>IF($O177=0,0,        _xll.qDateNext($O176,AF$17,$AH$16,TRUE,Currency1))</f>
        <v>0</v>
      </c>
      <c r="AG176" s="882">
        <f>IF($O177=0,0,        _xll.qDateNext($O176,AG$17,$AH$16,TRUE,Currency1))</f>
        <v>0</v>
      </c>
      <c r="AH176" s="882">
        <f>IF($O177=0,0,        _xll.qDateNext($O176,AH$17,$AH$16,TRUE,Currency1))</f>
        <v>0</v>
      </c>
      <c r="AI176" s="886">
        <f>IF($O177=0,0,           IF(FRM,_xll.qGetFwdRate(AI$14,$O176,AA176,"T",DCC_Leg1_Float),_xll.qGetFwdRate(AI$14,$O176,$O177,"T",DCC_Leg1_Float)))</f>
        <v>0</v>
      </c>
      <c r="AJ176" s="886">
        <f>IF($O177=0,0,           IF(FRM,_xll.qGetFwdRate(AJ$14,$O176,AB176,"T",DCC_Leg1_Float),_xll.qGetFwdRate(AJ$14,$O176,$O177,"T",DCC_Leg1_Float)))</f>
        <v>0</v>
      </c>
      <c r="AK176" s="886">
        <f t="shared" si="68"/>
        <v>0</v>
      </c>
      <c r="AL176" s="886">
        <f>IF($O177=0,0,           IF(FRM,_xll.qGetFwdRate(AL$14,$O176,AD176,"T",DCC_Leg1_Float),_xll.qGetFwdRate(AL$14,$O176,$O177,"T",DCC_Leg1_Float)))</f>
        <v>0</v>
      </c>
      <c r="AM176" s="886">
        <f t="shared" si="81"/>
        <v>0</v>
      </c>
      <c r="AN176" s="886">
        <f t="shared" si="82"/>
        <v>0</v>
      </c>
      <c r="AO176" s="886">
        <f>IF($O177=0,0,           IF(FRM,_xll.qGetFwdRate(AO$14,$O176,AG176,"T",DCC_Leg1_Float),_xll.qGetFwdRate(AO$14,$O176,$O177,"T",DCC_Leg1_Float)))</f>
        <v>0</v>
      </c>
      <c r="AP176" s="886">
        <f>IF($O177=0,0,           IF(FRM,_xll.qGetFwdRate(AP$14,$O176,AH176,"T",DCC_Leg1_Float),_xll.qGetFwdRate(AP$14,$O176,$O177,"T",DCC_Leg1_Float)))</f>
        <v>0</v>
      </c>
      <c r="AQ176" s="648">
        <f t="shared" si="83"/>
        <v>0</v>
      </c>
      <c r="AR176" s="648">
        <f t="shared" si="84"/>
        <v>0</v>
      </c>
      <c r="AS176" s="648">
        <f t="shared" si="85"/>
        <v>0</v>
      </c>
      <c r="AT176" s="648">
        <f t="shared" si="86"/>
        <v>0</v>
      </c>
      <c r="AU176" s="648">
        <f t="shared" si="87"/>
        <v>0</v>
      </c>
      <c r="AV176" s="648">
        <f t="shared" si="88"/>
        <v>0</v>
      </c>
      <c r="AW176" s="648">
        <f t="shared" si="89"/>
        <v>0</v>
      </c>
      <c r="AX176" s="648">
        <f t="shared" si="90"/>
        <v>0</v>
      </c>
      <c r="AY176" s="634">
        <v>0</v>
      </c>
      <c r="AZ176" s="616"/>
      <c r="BA176" s="619">
        <f>IF(O177=0,0,             IF(ISNUMBER(AZ176),AZ176,             IF(ISTEXT(AZ176),INDEX(AQ176:AX176,MATCH(AZ176,$AQ$17:$AX$17,0)),           IF(AY176="INT",_xll.qInterp(O177,AA176:AH176,AQ176:AX176),       INDEX(AQ176:AX176,MATCH(AY176,$AQ$17:$AX$17,0))))))</f>
        <v>0</v>
      </c>
      <c r="BB176" s="674">
        <v>100</v>
      </c>
      <c r="BC176" s="666">
        <f t="shared" si="69"/>
        <v>0</v>
      </c>
      <c r="BD176" s="268">
        <f>IF($O177=0,0,                IF(LEFT(DCC_Leg1_Fixed,2)="1/",uEvaluate(DCC_Leg1_Fixed),        _xll.qDateYears($O176,$O177,DCC_Leg1_Fixed)))</f>
        <v>0</v>
      </c>
      <c r="BE176" s="268">
        <f>IF($O177,_xll.qDateYears($O176,$O177,DCC_Leg1_Float),0)</f>
        <v>0</v>
      </c>
      <c r="BG176" s="332">
        <f t="shared" si="91"/>
        <v>0</v>
      </c>
      <c r="BH176" s="357">
        <f t="shared" si="92"/>
        <v>0</v>
      </c>
      <c r="BI176" s="527"/>
      <c r="BK176" s="324">
        <f t="shared" si="97"/>
        <v>0</v>
      </c>
      <c r="BM176" s="338"/>
      <c r="BN176" s="121">
        <v>0</v>
      </c>
      <c r="BO176" s="755">
        <f t="shared" si="70"/>
        <v>0</v>
      </c>
      <c r="BP176" s="339">
        <v>0</v>
      </c>
      <c r="BQ176" s="890">
        <f>IF(BN177=0,0,         IF(OR(Currency2="AUD",Currency1="NZD",Currency2="GBP"),BN176,   _xll.qDateNext(BN176,"-2b",,,IF(Currency2="EUR","TGT","LON"))))</f>
        <v>0</v>
      </c>
      <c r="BR176" s="879" t="str">
        <v/>
      </c>
      <c r="BS176" s="879" t="str">
        <v/>
      </c>
      <c r="BT176" s="879" t="str">
        <v/>
      </c>
      <c r="BU176" s="879" t="str">
        <v/>
      </c>
      <c r="BV176" s="879" t="str">
        <v/>
      </c>
      <c r="BW176" s="879" t="str">
        <v/>
      </c>
      <c r="BX176" s="879" t="str">
        <v/>
      </c>
      <c r="BY176" s="879" t="str">
        <v/>
      </c>
      <c r="BZ176" s="882">
        <f>IF($BN177=0,0,        _xll.qDateNext($BN176,BZ$17,$CG$16,TRUE,Currency2))</f>
        <v>0</v>
      </c>
      <c r="CA176" s="882">
        <f>IF($BN177=0,0,        _xll.qDateNext($BN176,CA$17,$CG$16,TRUE,Currency2))</f>
        <v>0</v>
      </c>
      <c r="CB176" s="882">
        <f>IF($BN177=0,0,        _xll.qDateNext($BN176,CB$17,$CG$16,TRUE,Currency2))</f>
        <v>0</v>
      </c>
      <c r="CC176" s="882">
        <f>IF($BN177=0,0,        _xll.qDateNext($BN176,CC$17,$CG$16,TRUE,Currency2))</f>
        <v>0</v>
      </c>
      <c r="CD176" s="882">
        <f>IF($BN177=0,0,        _xll.qDateNext($BN176,CD$17,$CG$16,TRUE,Currency2))</f>
        <v>0</v>
      </c>
      <c r="CE176" s="882">
        <f>IF($BN177=0,0,        _xll.qDateNext($BN176,CE$17,$CG$16,TRUE,Currency2))</f>
        <v>0</v>
      </c>
      <c r="CF176" s="882">
        <f>IF($BN177=0,0,        _xll.qDateNext($BN176,CF$17,$CG$16,TRUE,Currency2))</f>
        <v>0</v>
      </c>
      <c r="CG176" s="882">
        <f>IF($BN177=0,0,        _xll.qDateNext($BN176,CG$17,$CG$16,TRUE,Currency2))</f>
        <v>0</v>
      </c>
      <c r="CH176" s="886">
        <v>0</v>
      </c>
      <c r="CI176" s="886">
        <v>0</v>
      </c>
      <c r="CJ176" s="886">
        <v>0</v>
      </c>
      <c r="CK176" s="886">
        <v>0</v>
      </c>
      <c r="CL176" s="886">
        <f t="shared" si="93"/>
        <v>0</v>
      </c>
      <c r="CM176" s="886">
        <f t="shared" si="94"/>
        <v>0</v>
      </c>
      <c r="CN176" s="886">
        <v>0</v>
      </c>
      <c r="CO176" s="886">
        <v>0</v>
      </c>
      <c r="CP176" s="648">
        <f t="shared" si="71"/>
        <v>0</v>
      </c>
      <c r="CQ176" s="648">
        <f t="shared" si="72"/>
        <v>0</v>
      </c>
      <c r="CR176" s="648">
        <f t="shared" si="73"/>
        <v>0</v>
      </c>
      <c r="CS176" s="648">
        <f t="shared" si="74"/>
        <v>0</v>
      </c>
      <c r="CT176" s="648">
        <f t="shared" si="75"/>
        <v>0</v>
      </c>
      <c r="CU176" s="648">
        <f t="shared" si="76"/>
        <v>0</v>
      </c>
      <c r="CV176" s="648">
        <f t="shared" si="77"/>
        <v>0</v>
      </c>
      <c r="CW176" s="648">
        <f t="shared" si="78"/>
        <v>0</v>
      </c>
      <c r="CX176" s="634">
        <v>0</v>
      </c>
      <c r="CY176" s="616"/>
      <c r="CZ176" s="619">
        <f>IF(BN177=0,0,             IF(ISNUMBER(CY176),CY176,             IF(ISTEXT(CY176),INDEX(CP176:CW176,MATCH(CY176,$CP$17:$CW$17,0)),           IF(CX176="INT",_xll.qInterp(BN177,BZ176:CG176,CP176:CW176),       INDEX(CP176:CW176,MATCH(CX176,$CP$17:$CW$17,0))))))</f>
        <v>0</v>
      </c>
      <c r="DA176" s="755">
        <f t="shared" si="79"/>
        <v>0</v>
      </c>
      <c r="DB176" s="387">
        <f t="shared" si="80"/>
        <v>0</v>
      </c>
      <c r="DC176" s="268">
        <f>IF($BN177=0,0,         IF(LEFT(DCC_Leg2_Fixed,2)="1/",uEvaluate(DCC_Leg2_Fixed),         _xll.qDateYears($BN176,$BN177,DCC_Leg2_Fixed)))</f>
        <v>0</v>
      </c>
      <c r="DD176" s="268">
        <f>IF($BN177,_xll.qDateYears($BN176,$BN177,DCC_Leg2_Float),0)</f>
        <v>0</v>
      </c>
      <c r="DF176" s="332">
        <f t="shared" si="95"/>
        <v>0</v>
      </c>
      <c r="DG176" s="357">
        <f t="shared" si="96"/>
        <v>0</v>
      </c>
      <c r="DH176" s="527"/>
      <c r="DJ176" s="324">
        <f t="shared" si="98"/>
        <v>0</v>
      </c>
      <c r="DK176" s="529"/>
      <c r="DL176" s="338"/>
    </row>
    <row r="177" spans="15:116">
      <c r="O177" s="121">
        <v>0</v>
      </c>
      <c r="P177" s="755">
        <f t="shared" si="67"/>
        <v>0</v>
      </c>
      <c r="Q177" s="125">
        <v>0</v>
      </c>
      <c r="R177" s="890">
        <f>IF(O178=0,0,         IF(OR(Currency1="AUD",Currency1="NZD",Currency1="GBP"),O177,   _xll.qDateNext(O177,"-2b",,,IF(Currency1="EUR","TGT","LON"))))</f>
        <v>0</v>
      </c>
      <c r="S177" s="879" t="str">
        <v/>
      </c>
      <c r="T177" s="879" t="str">
        <v/>
      </c>
      <c r="U177" s="879" t="str">
        <v/>
      </c>
      <c r="V177" s="879" t="str">
        <v/>
      </c>
      <c r="W177" s="879" t="str">
        <v/>
      </c>
      <c r="X177" s="879" t="str">
        <v/>
      </c>
      <c r="Y177" s="879" t="str">
        <v/>
      </c>
      <c r="Z177" s="879" t="str">
        <v/>
      </c>
      <c r="AA177" s="882">
        <f>IF($O178=0,0,        _xll.qDateNext($O177,AA$17,$AH$16,TRUE,Currency1))</f>
        <v>0</v>
      </c>
      <c r="AB177" s="882">
        <f>IF($O178=0,0,        _xll.qDateNext($O177,AB$17,$AH$16,TRUE,Currency1))</f>
        <v>0</v>
      </c>
      <c r="AC177" s="882">
        <f>IF($O178=0,0,        _xll.qDateNext($O177,AC$17,$AH$16,TRUE,Currency1))</f>
        <v>0</v>
      </c>
      <c r="AD177" s="882">
        <f>IF($O178=0,0,        _xll.qDateNext($O177,AD$17,$AH$16,TRUE,Currency1))</f>
        <v>0</v>
      </c>
      <c r="AE177" s="882">
        <f>IF($O178=0,0,        _xll.qDateNext($O177,AE$17,$AH$16,TRUE,Currency1))</f>
        <v>0</v>
      </c>
      <c r="AF177" s="882">
        <f>IF($O178=0,0,        _xll.qDateNext($O177,AF$17,$AH$16,TRUE,Currency1))</f>
        <v>0</v>
      </c>
      <c r="AG177" s="882">
        <f>IF($O178=0,0,        _xll.qDateNext($O177,AG$17,$AH$16,TRUE,Currency1))</f>
        <v>0</v>
      </c>
      <c r="AH177" s="882">
        <f>IF($O178=0,0,        _xll.qDateNext($O177,AH$17,$AH$16,TRUE,Currency1))</f>
        <v>0</v>
      </c>
      <c r="AI177" s="886">
        <f>IF($O178=0,0,           IF(FRM,_xll.qGetFwdRate(AI$14,$O177,AA177,"T",DCC_Leg1_Float),_xll.qGetFwdRate(AI$14,$O177,$O178,"T",DCC_Leg1_Float)))</f>
        <v>0</v>
      </c>
      <c r="AJ177" s="886">
        <f>IF($O178=0,0,           IF(FRM,_xll.qGetFwdRate(AJ$14,$O177,AB177,"T",DCC_Leg1_Float),_xll.qGetFwdRate(AJ$14,$O177,$O178,"T",DCC_Leg1_Float)))</f>
        <v>0</v>
      </c>
      <c r="AK177" s="886">
        <f t="shared" si="68"/>
        <v>0</v>
      </c>
      <c r="AL177" s="886">
        <f>IF($O178=0,0,           IF(FRM,_xll.qGetFwdRate(AL$14,$O177,AD177,"T",DCC_Leg1_Float),_xll.qGetFwdRate(AL$14,$O177,$O178,"T",DCC_Leg1_Float)))</f>
        <v>0</v>
      </c>
      <c r="AM177" s="886">
        <f t="shared" si="81"/>
        <v>0</v>
      </c>
      <c r="AN177" s="886">
        <f t="shared" si="82"/>
        <v>0</v>
      </c>
      <c r="AO177" s="886">
        <f>IF($O178=0,0,           IF(FRM,_xll.qGetFwdRate(AO$14,$O177,AG177,"T",DCC_Leg1_Float),_xll.qGetFwdRate(AO$14,$O177,$O178,"T",DCC_Leg1_Float)))</f>
        <v>0</v>
      </c>
      <c r="AP177" s="886">
        <f>IF($O178=0,0,           IF(FRM,_xll.qGetFwdRate(AP$14,$O177,AH177,"T",DCC_Leg1_Float),_xll.qGetFwdRate(AP$14,$O177,$O178,"T",DCC_Leg1_Float)))</f>
        <v>0</v>
      </c>
      <c r="AQ177" s="648">
        <f t="shared" si="83"/>
        <v>0</v>
      </c>
      <c r="AR177" s="648">
        <f t="shared" si="84"/>
        <v>0</v>
      </c>
      <c r="AS177" s="648">
        <f t="shared" si="85"/>
        <v>0</v>
      </c>
      <c r="AT177" s="648">
        <f t="shared" si="86"/>
        <v>0</v>
      </c>
      <c r="AU177" s="648">
        <f t="shared" si="87"/>
        <v>0</v>
      </c>
      <c r="AV177" s="648">
        <f t="shared" si="88"/>
        <v>0</v>
      </c>
      <c r="AW177" s="648">
        <f t="shared" si="89"/>
        <v>0</v>
      </c>
      <c r="AX177" s="648">
        <f t="shared" si="90"/>
        <v>0</v>
      </c>
      <c r="AY177" s="634">
        <v>0</v>
      </c>
      <c r="AZ177" s="616"/>
      <c r="BA177" s="619">
        <f>IF(O178=0,0,             IF(ISNUMBER(AZ177),AZ177,             IF(ISTEXT(AZ177),INDEX(AQ177:AX177,MATCH(AZ177,$AQ$17:$AX$17,0)),           IF(AY177="INT",_xll.qInterp(O178,AA177:AH177,AQ177:AX177),       INDEX(AQ177:AX177,MATCH(AY177,$AQ$17:$AX$17,0))))))</f>
        <v>0</v>
      </c>
      <c r="BB177" s="674">
        <v>100</v>
      </c>
      <c r="BC177" s="666">
        <f t="shared" si="69"/>
        <v>0</v>
      </c>
      <c r="BD177" s="268">
        <f>IF($O178=0,0,                IF(LEFT(DCC_Leg1_Fixed,2)="1/",uEvaluate(DCC_Leg1_Fixed),        _xll.qDateYears($O177,$O178,DCC_Leg1_Fixed)))</f>
        <v>0</v>
      </c>
      <c r="BE177" s="268">
        <f>IF($O178,_xll.qDateYears($O177,$O178,DCC_Leg1_Float),0)</f>
        <v>0</v>
      </c>
      <c r="BG177" s="332">
        <f t="shared" si="91"/>
        <v>0</v>
      </c>
      <c r="BH177" s="357">
        <f t="shared" si="92"/>
        <v>0</v>
      </c>
      <c r="BI177" s="527"/>
      <c r="BK177" s="324">
        <f t="shared" si="97"/>
        <v>0</v>
      </c>
      <c r="BM177" s="338"/>
      <c r="BN177" s="121">
        <v>0</v>
      </c>
      <c r="BO177" s="755">
        <f t="shared" si="70"/>
        <v>0</v>
      </c>
      <c r="BP177" s="339">
        <v>0</v>
      </c>
      <c r="BQ177" s="890">
        <f>IF(BN178=0,0,         IF(OR(Currency2="AUD",Currency1="NZD",Currency2="GBP"),BN177,   _xll.qDateNext(BN177,"-2b",,,IF(Currency2="EUR","TGT","LON"))))</f>
        <v>0</v>
      </c>
      <c r="BR177" s="879" t="str">
        <v/>
      </c>
      <c r="BS177" s="879" t="str">
        <v/>
      </c>
      <c r="BT177" s="879" t="str">
        <v/>
      </c>
      <c r="BU177" s="879" t="str">
        <v/>
      </c>
      <c r="BV177" s="879" t="str">
        <v/>
      </c>
      <c r="BW177" s="879" t="str">
        <v/>
      </c>
      <c r="BX177" s="879" t="str">
        <v/>
      </c>
      <c r="BY177" s="879" t="str">
        <v/>
      </c>
      <c r="BZ177" s="882">
        <f>IF($BN178=0,0,        _xll.qDateNext($BN177,BZ$17,$CG$16,TRUE,Currency2))</f>
        <v>0</v>
      </c>
      <c r="CA177" s="882">
        <f>IF($BN178=0,0,        _xll.qDateNext($BN177,CA$17,$CG$16,TRUE,Currency2))</f>
        <v>0</v>
      </c>
      <c r="CB177" s="882">
        <f>IF($BN178=0,0,        _xll.qDateNext($BN177,CB$17,$CG$16,TRUE,Currency2))</f>
        <v>0</v>
      </c>
      <c r="CC177" s="882">
        <f>IF($BN178=0,0,        _xll.qDateNext($BN177,CC$17,$CG$16,TRUE,Currency2))</f>
        <v>0</v>
      </c>
      <c r="CD177" s="882">
        <f>IF($BN178=0,0,        _xll.qDateNext($BN177,CD$17,$CG$16,TRUE,Currency2))</f>
        <v>0</v>
      </c>
      <c r="CE177" s="882">
        <f>IF($BN178=0,0,        _xll.qDateNext($BN177,CE$17,$CG$16,TRUE,Currency2))</f>
        <v>0</v>
      </c>
      <c r="CF177" s="882">
        <f>IF($BN178=0,0,        _xll.qDateNext($BN177,CF$17,$CG$16,TRUE,Currency2))</f>
        <v>0</v>
      </c>
      <c r="CG177" s="882">
        <f>IF($BN178=0,0,        _xll.qDateNext($BN177,CG$17,$CG$16,TRUE,Currency2))</f>
        <v>0</v>
      </c>
      <c r="CH177" s="886">
        <v>0</v>
      </c>
      <c r="CI177" s="886">
        <v>0</v>
      </c>
      <c r="CJ177" s="886">
        <v>0</v>
      </c>
      <c r="CK177" s="886">
        <v>0</v>
      </c>
      <c r="CL177" s="886">
        <f t="shared" si="93"/>
        <v>0</v>
      </c>
      <c r="CM177" s="886">
        <f t="shared" si="94"/>
        <v>0</v>
      </c>
      <c r="CN177" s="886">
        <v>0</v>
      </c>
      <c r="CO177" s="886">
        <v>0</v>
      </c>
      <c r="CP177" s="648">
        <f t="shared" si="71"/>
        <v>0</v>
      </c>
      <c r="CQ177" s="648">
        <f t="shared" si="72"/>
        <v>0</v>
      </c>
      <c r="CR177" s="648">
        <f t="shared" si="73"/>
        <v>0</v>
      </c>
      <c r="CS177" s="648">
        <f t="shared" si="74"/>
        <v>0</v>
      </c>
      <c r="CT177" s="648">
        <f t="shared" si="75"/>
        <v>0</v>
      </c>
      <c r="CU177" s="648">
        <f t="shared" si="76"/>
        <v>0</v>
      </c>
      <c r="CV177" s="648">
        <f t="shared" si="77"/>
        <v>0</v>
      </c>
      <c r="CW177" s="648">
        <f t="shared" si="78"/>
        <v>0</v>
      </c>
      <c r="CX177" s="634">
        <v>0</v>
      </c>
      <c r="CY177" s="616"/>
      <c r="CZ177" s="619">
        <f>IF(BN178=0,0,             IF(ISNUMBER(CY177),CY177,             IF(ISTEXT(CY177),INDEX(CP177:CW177,MATCH(CY177,$CP$17:$CW$17,0)),           IF(CX177="INT",_xll.qInterp(BN178,BZ177:CG177,CP177:CW177),       INDEX(CP177:CW177,MATCH(CX177,$CP$17:$CW$17,0))))))</f>
        <v>0</v>
      </c>
      <c r="DA177" s="755">
        <f t="shared" si="79"/>
        <v>0</v>
      </c>
      <c r="DB177" s="387">
        <f t="shared" si="80"/>
        <v>0</v>
      </c>
      <c r="DC177" s="268">
        <f>IF($BN178=0,0,         IF(LEFT(DCC_Leg2_Fixed,2)="1/",uEvaluate(DCC_Leg2_Fixed),         _xll.qDateYears($BN177,$BN178,DCC_Leg2_Fixed)))</f>
        <v>0</v>
      </c>
      <c r="DD177" s="268">
        <f>IF($BN178,_xll.qDateYears($BN177,$BN178,DCC_Leg2_Float),0)</f>
        <v>0</v>
      </c>
      <c r="DF177" s="332">
        <f t="shared" si="95"/>
        <v>0</v>
      </c>
      <c r="DG177" s="357">
        <f t="shared" si="96"/>
        <v>0</v>
      </c>
      <c r="DH177" s="527"/>
      <c r="DJ177" s="324">
        <f t="shared" si="98"/>
        <v>0</v>
      </c>
      <c r="DK177" s="529"/>
      <c r="DL177" s="338"/>
    </row>
    <row r="178" spans="15:116">
      <c r="O178" s="121">
        <v>0</v>
      </c>
      <c r="P178" s="755">
        <f t="shared" si="67"/>
        <v>0</v>
      </c>
      <c r="Q178" s="125">
        <v>0</v>
      </c>
      <c r="R178" s="890">
        <f>IF(O179=0,0,         IF(OR(Currency1="AUD",Currency1="NZD",Currency1="GBP"),O178,   _xll.qDateNext(O178,"-2b",,,IF(Currency1="EUR","TGT","LON"))))</f>
        <v>0</v>
      </c>
      <c r="S178" s="879" t="str">
        <v/>
      </c>
      <c r="T178" s="879" t="str">
        <v/>
      </c>
      <c r="U178" s="879" t="str">
        <v/>
      </c>
      <c r="V178" s="879" t="str">
        <v/>
      </c>
      <c r="W178" s="879" t="str">
        <v/>
      </c>
      <c r="X178" s="879" t="str">
        <v/>
      </c>
      <c r="Y178" s="879" t="str">
        <v/>
      </c>
      <c r="Z178" s="879" t="str">
        <v/>
      </c>
      <c r="AA178" s="882">
        <f>IF($O179=0,0,        _xll.qDateNext($O178,AA$17,$AH$16,TRUE,Currency1))</f>
        <v>0</v>
      </c>
      <c r="AB178" s="882">
        <f>IF($O179=0,0,        _xll.qDateNext($O178,AB$17,$AH$16,TRUE,Currency1))</f>
        <v>0</v>
      </c>
      <c r="AC178" s="882">
        <f>IF($O179=0,0,        _xll.qDateNext($O178,AC$17,$AH$16,TRUE,Currency1))</f>
        <v>0</v>
      </c>
      <c r="AD178" s="882">
        <f>IF($O179=0,0,        _xll.qDateNext($O178,AD$17,$AH$16,TRUE,Currency1))</f>
        <v>0</v>
      </c>
      <c r="AE178" s="882">
        <f>IF($O179=0,0,        _xll.qDateNext($O178,AE$17,$AH$16,TRUE,Currency1))</f>
        <v>0</v>
      </c>
      <c r="AF178" s="882">
        <f>IF($O179=0,0,        _xll.qDateNext($O178,AF$17,$AH$16,TRUE,Currency1))</f>
        <v>0</v>
      </c>
      <c r="AG178" s="882">
        <f>IF($O179=0,0,        _xll.qDateNext($O178,AG$17,$AH$16,TRUE,Currency1))</f>
        <v>0</v>
      </c>
      <c r="AH178" s="882">
        <f>IF($O179=0,0,        _xll.qDateNext($O178,AH$17,$AH$16,TRUE,Currency1))</f>
        <v>0</v>
      </c>
      <c r="AI178" s="886">
        <f>IF($O179=0,0,           IF(FRM,_xll.qGetFwdRate(AI$14,$O178,AA178,"T",DCC_Leg1_Float),_xll.qGetFwdRate(AI$14,$O178,$O179,"T",DCC_Leg1_Float)))</f>
        <v>0</v>
      </c>
      <c r="AJ178" s="886">
        <f>IF($O179=0,0,           IF(FRM,_xll.qGetFwdRate(AJ$14,$O178,AB178,"T",DCC_Leg1_Float),_xll.qGetFwdRate(AJ$14,$O178,$O179,"T",DCC_Leg1_Float)))</f>
        <v>0</v>
      </c>
      <c r="AK178" s="886">
        <f t="shared" si="68"/>
        <v>0</v>
      </c>
      <c r="AL178" s="886">
        <f>IF($O179=0,0,           IF(FRM,_xll.qGetFwdRate(AL$14,$O178,AD178,"T",DCC_Leg1_Float),_xll.qGetFwdRate(AL$14,$O178,$O179,"T",DCC_Leg1_Float)))</f>
        <v>0</v>
      </c>
      <c r="AM178" s="886">
        <f t="shared" si="81"/>
        <v>0</v>
      </c>
      <c r="AN178" s="886">
        <f t="shared" si="82"/>
        <v>0</v>
      </c>
      <c r="AO178" s="886">
        <f>IF($O179=0,0,           IF(FRM,_xll.qGetFwdRate(AO$14,$O178,AG178,"T",DCC_Leg1_Float),_xll.qGetFwdRate(AO$14,$O178,$O179,"T",DCC_Leg1_Float)))</f>
        <v>0</v>
      </c>
      <c r="AP178" s="886">
        <f>IF($O179=0,0,           IF(FRM,_xll.qGetFwdRate(AP$14,$O178,AH178,"T",DCC_Leg1_Float),_xll.qGetFwdRate(AP$14,$O178,$O179,"T",DCC_Leg1_Float)))</f>
        <v>0</v>
      </c>
      <c r="AQ178" s="648">
        <f t="shared" si="83"/>
        <v>0</v>
      </c>
      <c r="AR178" s="648">
        <f t="shared" si="84"/>
        <v>0</v>
      </c>
      <c r="AS178" s="648">
        <f t="shared" si="85"/>
        <v>0</v>
      </c>
      <c r="AT178" s="648">
        <f t="shared" si="86"/>
        <v>0</v>
      </c>
      <c r="AU178" s="648">
        <f t="shared" si="87"/>
        <v>0</v>
      </c>
      <c r="AV178" s="648">
        <f t="shared" si="88"/>
        <v>0</v>
      </c>
      <c r="AW178" s="648">
        <f t="shared" si="89"/>
        <v>0</v>
      </c>
      <c r="AX178" s="648">
        <f t="shared" si="90"/>
        <v>0</v>
      </c>
      <c r="AY178" s="634">
        <v>0</v>
      </c>
      <c r="AZ178" s="616"/>
      <c r="BA178" s="619">
        <f>IF(O179=0,0,             IF(ISNUMBER(AZ178),AZ178,             IF(ISTEXT(AZ178),INDEX(AQ178:AX178,MATCH(AZ178,$AQ$17:$AX$17,0)),           IF(AY178="INT",_xll.qInterp(O179,AA178:AH178,AQ178:AX178),       INDEX(AQ178:AX178,MATCH(AY178,$AQ$17:$AX$17,0))))))</f>
        <v>0</v>
      </c>
      <c r="BB178" s="674">
        <v>100</v>
      </c>
      <c r="BC178" s="666">
        <f t="shared" si="69"/>
        <v>0</v>
      </c>
      <c r="BD178" s="268">
        <f>IF($O179=0,0,                IF(LEFT(DCC_Leg1_Fixed,2)="1/",uEvaluate(DCC_Leg1_Fixed),        _xll.qDateYears($O178,$O179,DCC_Leg1_Fixed)))</f>
        <v>0</v>
      </c>
      <c r="BE178" s="268">
        <f>IF($O179,_xll.qDateYears($O178,$O179,DCC_Leg1_Float),0)</f>
        <v>0</v>
      </c>
      <c r="BG178" s="332">
        <f t="shared" si="91"/>
        <v>0</v>
      </c>
      <c r="BH178" s="357">
        <f t="shared" si="92"/>
        <v>0</v>
      </c>
      <c r="BI178" s="527"/>
      <c r="BK178" s="324">
        <f t="shared" si="97"/>
        <v>0</v>
      </c>
      <c r="BM178" s="338"/>
      <c r="BN178" s="121">
        <v>0</v>
      </c>
      <c r="BO178" s="755">
        <f t="shared" si="70"/>
        <v>0</v>
      </c>
      <c r="BP178" s="339">
        <v>0</v>
      </c>
      <c r="BQ178" s="890">
        <f>IF(BN179=0,0,         IF(OR(Currency2="AUD",Currency1="NZD",Currency2="GBP"),BN178,   _xll.qDateNext(BN178,"-2b",,,IF(Currency2="EUR","TGT","LON"))))</f>
        <v>0</v>
      </c>
      <c r="BR178" s="879" t="str">
        <v/>
      </c>
      <c r="BS178" s="879" t="str">
        <v/>
      </c>
      <c r="BT178" s="879" t="str">
        <v/>
      </c>
      <c r="BU178" s="879" t="str">
        <v/>
      </c>
      <c r="BV178" s="879" t="str">
        <v/>
      </c>
      <c r="BW178" s="879" t="str">
        <v/>
      </c>
      <c r="BX178" s="879" t="str">
        <v/>
      </c>
      <c r="BY178" s="879" t="str">
        <v/>
      </c>
      <c r="BZ178" s="882">
        <f>IF($BN179=0,0,        _xll.qDateNext($BN178,BZ$17,$CG$16,TRUE,Currency2))</f>
        <v>0</v>
      </c>
      <c r="CA178" s="882">
        <f>IF($BN179=0,0,        _xll.qDateNext($BN178,CA$17,$CG$16,TRUE,Currency2))</f>
        <v>0</v>
      </c>
      <c r="CB178" s="882">
        <f>IF($BN179=0,0,        _xll.qDateNext($BN178,CB$17,$CG$16,TRUE,Currency2))</f>
        <v>0</v>
      </c>
      <c r="CC178" s="882">
        <f>IF($BN179=0,0,        _xll.qDateNext($BN178,CC$17,$CG$16,TRUE,Currency2))</f>
        <v>0</v>
      </c>
      <c r="CD178" s="882">
        <f>IF($BN179=0,0,        _xll.qDateNext($BN178,CD$17,$CG$16,TRUE,Currency2))</f>
        <v>0</v>
      </c>
      <c r="CE178" s="882">
        <f>IF($BN179=0,0,        _xll.qDateNext($BN178,CE$17,$CG$16,TRUE,Currency2))</f>
        <v>0</v>
      </c>
      <c r="CF178" s="882">
        <f>IF($BN179=0,0,        _xll.qDateNext($BN178,CF$17,$CG$16,TRUE,Currency2))</f>
        <v>0</v>
      </c>
      <c r="CG178" s="882">
        <f>IF($BN179=0,0,        _xll.qDateNext($BN178,CG$17,$CG$16,TRUE,Currency2))</f>
        <v>0</v>
      </c>
      <c r="CH178" s="886">
        <v>0</v>
      </c>
      <c r="CI178" s="886">
        <v>0</v>
      </c>
      <c r="CJ178" s="886">
        <v>0</v>
      </c>
      <c r="CK178" s="886">
        <v>0</v>
      </c>
      <c r="CL178" s="886">
        <f t="shared" si="93"/>
        <v>0</v>
      </c>
      <c r="CM178" s="886">
        <f t="shared" si="94"/>
        <v>0</v>
      </c>
      <c r="CN178" s="886">
        <v>0</v>
      </c>
      <c r="CO178" s="886">
        <v>0</v>
      </c>
      <c r="CP178" s="648">
        <f t="shared" si="71"/>
        <v>0</v>
      </c>
      <c r="CQ178" s="648">
        <f t="shared" si="72"/>
        <v>0</v>
      </c>
      <c r="CR178" s="648">
        <f t="shared" si="73"/>
        <v>0</v>
      </c>
      <c r="CS178" s="648">
        <f t="shared" si="74"/>
        <v>0</v>
      </c>
      <c r="CT178" s="648">
        <f t="shared" si="75"/>
        <v>0</v>
      </c>
      <c r="CU178" s="648">
        <f t="shared" si="76"/>
        <v>0</v>
      </c>
      <c r="CV178" s="648">
        <f t="shared" si="77"/>
        <v>0</v>
      </c>
      <c r="CW178" s="648">
        <f t="shared" si="78"/>
        <v>0</v>
      </c>
      <c r="CX178" s="634">
        <v>0</v>
      </c>
      <c r="CY178" s="616"/>
      <c r="CZ178" s="619">
        <f>IF(BN179=0,0,             IF(ISNUMBER(CY178),CY178,             IF(ISTEXT(CY178),INDEX(CP178:CW178,MATCH(CY178,$CP$17:$CW$17,0)),           IF(CX178="INT",_xll.qInterp(BN179,BZ178:CG178,CP178:CW178),       INDEX(CP178:CW178,MATCH(CX178,$CP$17:$CW$17,0))))))</f>
        <v>0</v>
      </c>
      <c r="DA178" s="755">
        <f t="shared" si="79"/>
        <v>0</v>
      </c>
      <c r="DB178" s="387">
        <f t="shared" si="80"/>
        <v>0</v>
      </c>
      <c r="DC178" s="268">
        <f>IF($BN179=0,0,         IF(LEFT(DCC_Leg2_Fixed,2)="1/",uEvaluate(DCC_Leg2_Fixed),         _xll.qDateYears($BN178,$BN179,DCC_Leg2_Fixed)))</f>
        <v>0</v>
      </c>
      <c r="DD178" s="268">
        <f>IF($BN179,_xll.qDateYears($BN178,$BN179,DCC_Leg2_Float),0)</f>
        <v>0</v>
      </c>
      <c r="DF178" s="332">
        <f t="shared" si="95"/>
        <v>0</v>
      </c>
      <c r="DG178" s="357">
        <f t="shared" si="96"/>
        <v>0</v>
      </c>
      <c r="DH178" s="527"/>
      <c r="DJ178" s="324">
        <f t="shared" si="98"/>
        <v>0</v>
      </c>
      <c r="DK178" s="529"/>
      <c r="DL178" s="338"/>
    </row>
    <row r="179" spans="15:116">
      <c r="O179" s="121">
        <v>0</v>
      </c>
      <c r="P179" s="755">
        <f t="shared" si="67"/>
        <v>0</v>
      </c>
      <c r="Q179" s="125">
        <v>0</v>
      </c>
      <c r="R179" s="890">
        <f>IF(O180=0,0,         IF(OR(Currency1="AUD",Currency1="NZD",Currency1="GBP"),O179,   _xll.qDateNext(O179,"-2b",,,IF(Currency1="EUR","TGT","LON"))))</f>
        <v>0</v>
      </c>
      <c r="S179" s="879" t="str">
        <v/>
      </c>
      <c r="T179" s="879" t="str">
        <v/>
      </c>
      <c r="U179" s="879" t="str">
        <v/>
      </c>
      <c r="V179" s="879" t="str">
        <v/>
      </c>
      <c r="W179" s="879" t="str">
        <v/>
      </c>
      <c r="X179" s="879" t="str">
        <v/>
      </c>
      <c r="Y179" s="879" t="str">
        <v/>
      </c>
      <c r="Z179" s="879" t="str">
        <v/>
      </c>
      <c r="AA179" s="882">
        <f>IF($O180=0,0,        _xll.qDateNext($O179,AA$17,$AH$16,TRUE,Currency1))</f>
        <v>0</v>
      </c>
      <c r="AB179" s="882">
        <f>IF($O180=0,0,        _xll.qDateNext($O179,AB$17,$AH$16,TRUE,Currency1))</f>
        <v>0</v>
      </c>
      <c r="AC179" s="882">
        <f>IF($O180=0,0,        _xll.qDateNext($O179,AC$17,$AH$16,TRUE,Currency1))</f>
        <v>0</v>
      </c>
      <c r="AD179" s="882">
        <f>IF($O180=0,0,        _xll.qDateNext($O179,AD$17,$AH$16,TRUE,Currency1))</f>
        <v>0</v>
      </c>
      <c r="AE179" s="882">
        <f>IF($O180=0,0,        _xll.qDateNext($O179,AE$17,$AH$16,TRUE,Currency1))</f>
        <v>0</v>
      </c>
      <c r="AF179" s="882">
        <f>IF($O180=0,0,        _xll.qDateNext($O179,AF$17,$AH$16,TRUE,Currency1))</f>
        <v>0</v>
      </c>
      <c r="AG179" s="882">
        <f>IF($O180=0,0,        _xll.qDateNext($O179,AG$17,$AH$16,TRUE,Currency1))</f>
        <v>0</v>
      </c>
      <c r="AH179" s="882">
        <f>IF($O180=0,0,        _xll.qDateNext($O179,AH$17,$AH$16,TRUE,Currency1))</f>
        <v>0</v>
      </c>
      <c r="AI179" s="886">
        <f>IF($O180=0,0,           IF(FRM,_xll.qGetFwdRate(AI$14,$O179,AA179,"T",DCC_Leg1_Float),_xll.qGetFwdRate(AI$14,$O179,$O180,"T",DCC_Leg1_Float)))</f>
        <v>0</v>
      </c>
      <c r="AJ179" s="886">
        <f>IF($O180=0,0,           IF(FRM,_xll.qGetFwdRate(AJ$14,$O179,AB179,"T",DCC_Leg1_Float),_xll.qGetFwdRate(AJ$14,$O179,$O180,"T",DCC_Leg1_Float)))</f>
        <v>0</v>
      </c>
      <c r="AK179" s="886">
        <f t="shared" si="68"/>
        <v>0</v>
      </c>
      <c r="AL179" s="886">
        <f>IF($O180=0,0,           IF(FRM,_xll.qGetFwdRate(AL$14,$O179,AD179,"T",DCC_Leg1_Float),_xll.qGetFwdRate(AL$14,$O179,$O180,"T",DCC_Leg1_Float)))</f>
        <v>0</v>
      </c>
      <c r="AM179" s="886">
        <f t="shared" si="81"/>
        <v>0</v>
      </c>
      <c r="AN179" s="886">
        <f t="shared" si="82"/>
        <v>0</v>
      </c>
      <c r="AO179" s="886">
        <f>IF($O180=0,0,           IF(FRM,_xll.qGetFwdRate(AO$14,$O179,AG179,"T",DCC_Leg1_Float),_xll.qGetFwdRate(AO$14,$O179,$O180,"T",DCC_Leg1_Float)))</f>
        <v>0</v>
      </c>
      <c r="AP179" s="886">
        <f>IF($O180=0,0,           IF(FRM,_xll.qGetFwdRate(AP$14,$O179,AH179,"T",DCC_Leg1_Float),_xll.qGetFwdRate(AP$14,$O179,$O180,"T",DCC_Leg1_Float)))</f>
        <v>0</v>
      </c>
      <c r="AQ179" s="648">
        <f t="shared" si="83"/>
        <v>0</v>
      </c>
      <c r="AR179" s="648">
        <f t="shared" si="84"/>
        <v>0</v>
      </c>
      <c r="AS179" s="648">
        <f t="shared" si="85"/>
        <v>0</v>
      </c>
      <c r="AT179" s="648">
        <f t="shared" si="86"/>
        <v>0</v>
      </c>
      <c r="AU179" s="648">
        <f t="shared" si="87"/>
        <v>0</v>
      </c>
      <c r="AV179" s="648">
        <f t="shared" si="88"/>
        <v>0</v>
      </c>
      <c r="AW179" s="648">
        <f t="shared" si="89"/>
        <v>0</v>
      </c>
      <c r="AX179" s="648">
        <f t="shared" si="90"/>
        <v>0</v>
      </c>
      <c r="AY179" s="634">
        <v>0</v>
      </c>
      <c r="AZ179" s="616"/>
      <c r="BA179" s="619">
        <f>IF(O180=0,0,             IF(ISNUMBER(AZ179),AZ179,             IF(ISTEXT(AZ179),INDEX(AQ179:AX179,MATCH(AZ179,$AQ$17:$AX$17,0)),           IF(AY179="INT",_xll.qInterp(O180,AA179:AH179,AQ179:AX179),       INDEX(AQ179:AX179,MATCH(AY179,$AQ$17:$AX$17,0))))))</f>
        <v>0</v>
      </c>
      <c r="BB179" s="674">
        <v>100</v>
      </c>
      <c r="BC179" s="666">
        <f t="shared" si="69"/>
        <v>0</v>
      </c>
      <c r="BD179" s="268">
        <f>IF($O180=0,0,                IF(LEFT(DCC_Leg1_Fixed,2)="1/",uEvaluate(DCC_Leg1_Fixed),        _xll.qDateYears($O179,$O180,DCC_Leg1_Fixed)))</f>
        <v>0</v>
      </c>
      <c r="BE179" s="268">
        <f>IF($O180,_xll.qDateYears($O179,$O180,DCC_Leg1_Float),0)</f>
        <v>0</v>
      </c>
      <c r="BG179" s="332">
        <f t="shared" si="91"/>
        <v>0</v>
      </c>
      <c r="BH179" s="357">
        <f t="shared" si="92"/>
        <v>0</v>
      </c>
      <c r="BI179" s="527"/>
      <c r="BK179" s="324">
        <f t="shared" si="97"/>
        <v>0</v>
      </c>
      <c r="BM179" s="338"/>
      <c r="BN179" s="121">
        <v>0</v>
      </c>
      <c r="BO179" s="755">
        <f t="shared" si="70"/>
        <v>0</v>
      </c>
      <c r="BP179" s="339">
        <v>0</v>
      </c>
      <c r="BQ179" s="890">
        <f>IF(BN180=0,0,         IF(OR(Currency2="AUD",Currency1="NZD",Currency2="GBP"),BN179,   _xll.qDateNext(BN179,"-2b",,,IF(Currency2="EUR","TGT","LON"))))</f>
        <v>0</v>
      </c>
      <c r="BR179" s="879" t="str">
        <v/>
      </c>
      <c r="BS179" s="879" t="str">
        <v/>
      </c>
      <c r="BT179" s="879" t="str">
        <v/>
      </c>
      <c r="BU179" s="879" t="str">
        <v/>
      </c>
      <c r="BV179" s="879" t="str">
        <v/>
      </c>
      <c r="BW179" s="879" t="str">
        <v/>
      </c>
      <c r="BX179" s="879" t="str">
        <v/>
      </c>
      <c r="BY179" s="879" t="str">
        <v/>
      </c>
      <c r="BZ179" s="882">
        <f>IF($BN180=0,0,        _xll.qDateNext($BN179,BZ$17,$CG$16,TRUE,Currency2))</f>
        <v>0</v>
      </c>
      <c r="CA179" s="882">
        <f>IF($BN180=0,0,        _xll.qDateNext($BN179,CA$17,$CG$16,TRUE,Currency2))</f>
        <v>0</v>
      </c>
      <c r="CB179" s="882">
        <f>IF($BN180=0,0,        _xll.qDateNext($BN179,CB$17,$CG$16,TRUE,Currency2))</f>
        <v>0</v>
      </c>
      <c r="CC179" s="882">
        <f>IF($BN180=0,0,        _xll.qDateNext($BN179,CC$17,$CG$16,TRUE,Currency2))</f>
        <v>0</v>
      </c>
      <c r="CD179" s="882">
        <f>IF($BN180=0,0,        _xll.qDateNext($BN179,CD$17,$CG$16,TRUE,Currency2))</f>
        <v>0</v>
      </c>
      <c r="CE179" s="882">
        <f>IF($BN180=0,0,        _xll.qDateNext($BN179,CE$17,$CG$16,TRUE,Currency2))</f>
        <v>0</v>
      </c>
      <c r="CF179" s="882">
        <f>IF($BN180=0,0,        _xll.qDateNext($BN179,CF$17,$CG$16,TRUE,Currency2))</f>
        <v>0</v>
      </c>
      <c r="CG179" s="882">
        <f>IF($BN180=0,0,        _xll.qDateNext($BN179,CG$17,$CG$16,TRUE,Currency2))</f>
        <v>0</v>
      </c>
      <c r="CH179" s="886">
        <v>0</v>
      </c>
      <c r="CI179" s="886">
        <v>0</v>
      </c>
      <c r="CJ179" s="886">
        <v>0</v>
      </c>
      <c r="CK179" s="886">
        <v>0</v>
      </c>
      <c r="CL179" s="886">
        <f t="shared" si="93"/>
        <v>0</v>
      </c>
      <c r="CM179" s="886">
        <f t="shared" si="94"/>
        <v>0</v>
      </c>
      <c r="CN179" s="886">
        <v>0</v>
      </c>
      <c r="CO179" s="886">
        <v>0</v>
      </c>
      <c r="CP179" s="648">
        <f t="shared" si="71"/>
        <v>0</v>
      </c>
      <c r="CQ179" s="648">
        <f t="shared" si="72"/>
        <v>0</v>
      </c>
      <c r="CR179" s="648">
        <f t="shared" si="73"/>
        <v>0</v>
      </c>
      <c r="CS179" s="648">
        <f t="shared" si="74"/>
        <v>0</v>
      </c>
      <c r="CT179" s="648">
        <f t="shared" si="75"/>
        <v>0</v>
      </c>
      <c r="CU179" s="648">
        <f t="shared" si="76"/>
        <v>0</v>
      </c>
      <c r="CV179" s="648">
        <f t="shared" si="77"/>
        <v>0</v>
      </c>
      <c r="CW179" s="648">
        <f t="shared" si="78"/>
        <v>0</v>
      </c>
      <c r="CX179" s="634">
        <v>0</v>
      </c>
      <c r="CY179" s="616"/>
      <c r="CZ179" s="619">
        <f>IF(BN180=0,0,             IF(ISNUMBER(CY179),CY179,             IF(ISTEXT(CY179),INDEX(CP179:CW179,MATCH(CY179,$CP$17:$CW$17,0)),           IF(CX179="INT",_xll.qInterp(BN180,BZ179:CG179,CP179:CW179),       INDEX(CP179:CW179,MATCH(CX179,$CP$17:$CW$17,0))))))</f>
        <v>0</v>
      </c>
      <c r="DA179" s="755">
        <f t="shared" si="79"/>
        <v>0</v>
      </c>
      <c r="DB179" s="387">
        <f t="shared" si="80"/>
        <v>0</v>
      </c>
      <c r="DC179" s="268">
        <f>IF($BN180=0,0,         IF(LEFT(DCC_Leg2_Fixed,2)="1/",uEvaluate(DCC_Leg2_Fixed),         _xll.qDateYears($BN179,$BN180,DCC_Leg2_Fixed)))</f>
        <v>0</v>
      </c>
      <c r="DD179" s="268">
        <f>IF($BN180,_xll.qDateYears($BN179,$BN180,DCC_Leg2_Float),0)</f>
        <v>0</v>
      </c>
      <c r="DF179" s="332">
        <f t="shared" si="95"/>
        <v>0</v>
      </c>
      <c r="DG179" s="357">
        <f t="shared" si="96"/>
        <v>0</v>
      </c>
      <c r="DH179" s="527"/>
      <c r="DJ179" s="324">
        <f t="shared" si="98"/>
        <v>0</v>
      </c>
      <c r="DK179" s="529"/>
      <c r="DL179" s="338"/>
    </row>
    <row r="180" spans="15:116">
      <c r="O180" s="121">
        <v>0</v>
      </c>
      <c r="P180" s="755">
        <f t="shared" si="67"/>
        <v>0</v>
      </c>
      <c r="Q180" s="125">
        <v>0</v>
      </c>
      <c r="R180" s="890">
        <f>IF(O181=0,0,         IF(OR(Currency1="AUD",Currency1="NZD",Currency1="GBP"),O180,   _xll.qDateNext(O180,"-2b",,,IF(Currency1="EUR","TGT","LON"))))</f>
        <v>0</v>
      </c>
      <c r="S180" s="879" t="str">
        <v/>
      </c>
      <c r="T180" s="879" t="str">
        <v/>
      </c>
      <c r="U180" s="879" t="str">
        <v/>
      </c>
      <c r="V180" s="879" t="str">
        <v/>
      </c>
      <c r="W180" s="879" t="str">
        <v/>
      </c>
      <c r="X180" s="879" t="str">
        <v/>
      </c>
      <c r="Y180" s="879" t="str">
        <v/>
      </c>
      <c r="Z180" s="879" t="str">
        <v/>
      </c>
      <c r="AA180" s="882">
        <f>IF($O181=0,0,        _xll.qDateNext($O180,AA$17,$AH$16,TRUE,Currency1))</f>
        <v>0</v>
      </c>
      <c r="AB180" s="882">
        <f>IF($O181=0,0,        _xll.qDateNext($O180,AB$17,$AH$16,TRUE,Currency1))</f>
        <v>0</v>
      </c>
      <c r="AC180" s="882">
        <f>IF($O181=0,0,        _xll.qDateNext($O180,AC$17,$AH$16,TRUE,Currency1))</f>
        <v>0</v>
      </c>
      <c r="AD180" s="882">
        <f>IF($O181=0,0,        _xll.qDateNext($O180,AD$17,$AH$16,TRUE,Currency1))</f>
        <v>0</v>
      </c>
      <c r="AE180" s="882">
        <f>IF($O181=0,0,        _xll.qDateNext($O180,AE$17,$AH$16,TRUE,Currency1))</f>
        <v>0</v>
      </c>
      <c r="AF180" s="882">
        <f>IF($O181=0,0,        _xll.qDateNext($O180,AF$17,$AH$16,TRUE,Currency1))</f>
        <v>0</v>
      </c>
      <c r="AG180" s="882">
        <f>IF($O181=0,0,        _xll.qDateNext($O180,AG$17,$AH$16,TRUE,Currency1))</f>
        <v>0</v>
      </c>
      <c r="AH180" s="882">
        <f>IF($O181=0,0,        _xll.qDateNext($O180,AH$17,$AH$16,TRUE,Currency1))</f>
        <v>0</v>
      </c>
      <c r="AI180" s="886">
        <f>IF($O181=0,0,           IF(FRM,_xll.qGetFwdRate(AI$14,$O180,AA180,"T",DCC_Leg1_Float),_xll.qGetFwdRate(AI$14,$O180,$O181,"T",DCC_Leg1_Float)))</f>
        <v>0</v>
      </c>
      <c r="AJ180" s="886">
        <f>IF($O181=0,0,           IF(FRM,_xll.qGetFwdRate(AJ$14,$O180,AB180,"T",DCC_Leg1_Float),_xll.qGetFwdRate(AJ$14,$O180,$O181,"T",DCC_Leg1_Float)))</f>
        <v>0</v>
      </c>
      <c r="AK180" s="886">
        <f t="shared" si="68"/>
        <v>0</v>
      </c>
      <c r="AL180" s="886">
        <f>IF($O181=0,0,           IF(FRM,_xll.qGetFwdRate(AL$14,$O180,AD180,"T",DCC_Leg1_Float),_xll.qGetFwdRate(AL$14,$O180,$O181,"T",DCC_Leg1_Float)))</f>
        <v>0</v>
      </c>
      <c r="AM180" s="886">
        <f t="shared" si="81"/>
        <v>0</v>
      </c>
      <c r="AN180" s="886">
        <f t="shared" si="82"/>
        <v>0</v>
      </c>
      <c r="AO180" s="886">
        <f>IF($O181=0,0,           IF(FRM,_xll.qGetFwdRate(AO$14,$O180,AG180,"T",DCC_Leg1_Float),_xll.qGetFwdRate(AO$14,$O180,$O181,"T",DCC_Leg1_Float)))</f>
        <v>0</v>
      </c>
      <c r="AP180" s="886">
        <f>IF($O181=0,0,           IF(FRM,_xll.qGetFwdRate(AP$14,$O180,AH180,"T",DCC_Leg1_Float),_xll.qGetFwdRate(AP$14,$O180,$O181,"T",DCC_Leg1_Float)))</f>
        <v>0</v>
      </c>
      <c r="AQ180" s="648">
        <f t="shared" si="83"/>
        <v>0</v>
      </c>
      <c r="AR180" s="648">
        <f t="shared" si="84"/>
        <v>0</v>
      </c>
      <c r="AS180" s="648">
        <f t="shared" si="85"/>
        <v>0</v>
      </c>
      <c r="AT180" s="648">
        <f t="shared" si="86"/>
        <v>0</v>
      </c>
      <c r="AU180" s="648">
        <f t="shared" si="87"/>
        <v>0</v>
      </c>
      <c r="AV180" s="648">
        <f t="shared" si="88"/>
        <v>0</v>
      </c>
      <c r="AW180" s="648">
        <f t="shared" si="89"/>
        <v>0</v>
      </c>
      <c r="AX180" s="648">
        <f t="shared" si="90"/>
        <v>0</v>
      </c>
      <c r="AY180" s="634">
        <v>0</v>
      </c>
      <c r="AZ180" s="616"/>
      <c r="BA180" s="619">
        <f>IF(O181=0,0,             IF(ISNUMBER(AZ180),AZ180,             IF(ISTEXT(AZ180),INDEX(AQ180:AX180,MATCH(AZ180,$AQ$17:$AX$17,0)),           IF(AY180="INT",_xll.qInterp(O181,AA180:AH180,AQ180:AX180),       INDEX(AQ180:AX180,MATCH(AY180,$AQ$17:$AX$17,0))))))</f>
        <v>0</v>
      </c>
      <c r="BB180" s="674">
        <v>100</v>
      </c>
      <c r="BC180" s="666">
        <f t="shared" si="69"/>
        <v>0</v>
      </c>
      <c r="BD180" s="268">
        <f>IF($O181=0,0,                IF(LEFT(DCC_Leg1_Fixed,2)="1/",uEvaluate(DCC_Leg1_Fixed),        _xll.qDateYears($O180,$O181,DCC_Leg1_Fixed)))</f>
        <v>0</v>
      </c>
      <c r="BE180" s="268">
        <f>IF($O181,_xll.qDateYears($O180,$O181,DCC_Leg1_Float),0)</f>
        <v>0</v>
      </c>
      <c r="BG180" s="332">
        <f t="shared" si="91"/>
        <v>0</v>
      </c>
      <c r="BH180" s="357">
        <f t="shared" si="92"/>
        <v>0</v>
      </c>
      <c r="BI180" s="527"/>
      <c r="BK180" s="324">
        <f t="shared" si="97"/>
        <v>0</v>
      </c>
      <c r="BM180" s="338"/>
      <c r="BN180" s="121">
        <v>0</v>
      </c>
      <c r="BO180" s="755">
        <f t="shared" si="70"/>
        <v>0</v>
      </c>
      <c r="BP180" s="339">
        <v>0</v>
      </c>
      <c r="BQ180" s="890">
        <f>IF(BN181=0,0,         IF(OR(Currency2="AUD",Currency1="NZD",Currency2="GBP"),BN180,   _xll.qDateNext(BN180,"-2b",,,IF(Currency2="EUR","TGT","LON"))))</f>
        <v>0</v>
      </c>
      <c r="BR180" s="879" t="str">
        <v/>
      </c>
      <c r="BS180" s="879" t="str">
        <v/>
      </c>
      <c r="BT180" s="879" t="str">
        <v/>
      </c>
      <c r="BU180" s="879" t="str">
        <v/>
      </c>
      <c r="BV180" s="879" t="str">
        <v/>
      </c>
      <c r="BW180" s="879" t="str">
        <v/>
      </c>
      <c r="BX180" s="879" t="str">
        <v/>
      </c>
      <c r="BY180" s="879" t="str">
        <v/>
      </c>
      <c r="BZ180" s="882">
        <f>IF($BN181=0,0,        _xll.qDateNext($BN180,BZ$17,$CG$16,TRUE,Currency2))</f>
        <v>0</v>
      </c>
      <c r="CA180" s="882">
        <f>IF($BN181=0,0,        _xll.qDateNext($BN180,CA$17,$CG$16,TRUE,Currency2))</f>
        <v>0</v>
      </c>
      <c r="CB180" s="882">
        <f>IF($BN181=0,0,        _xll.qDateNext($BN180,CB$17,$CG$16,TRUE,Currency2))</f>
        <v>0</v>
      </c>
      <c r="CC180" s="882">
        <f>IF($BN181=0,0,        _xll.qDateNext($BN180,CC$17,$CG$16,TRUE,Currency2))</f>
        <v>0</v>
      </c>
      <c r="CD180" s="882">
        <f>IF($BN181=0,0,        _xll.qDateNext($BN180,CD$17,$CG$16,TRUE,Currency2))</f>
        <v>0</v>
      </c>
      <c r="CE180" s="882">
        <f>IF($BN181=0,0,        _xll.qDateNext($BN180,CE$17,$CG$16,TRUE,Currency2))</f>
        <v>0</v>
      </c>
      <c r="CF180" s="882">
        <f>IF($BN181=0,0,        _xll.qDateNext($BN180,CF$17,$CG$16,TRUE,Currency2))</f>
        <v>0</v>
      </c>
      <c r="CG180" s="882">
        <f>IF($BN181=0,0,        _xll.qDateNext($BN180,CG$17,$CG$16,TRUE,Currency2))</f>
        <v>0</v>
      </c>
      <c r="CH180" s="886">
        <v>0</v>
      </c>
      <c r="CI180" s="886">
        <v>0</v>
      </c>
      <c r="CJ180" s="886">
        <v>0</v>
      </c>
      <c r="CK180" s="886">
        <v>0</v>
      </c>
      <c r="CL180" s="886">
        <f t="shared" si="93"/>
        <v>0</v>
      </c>
      <c r="CM180" s="886">
        <f t="shared" si="94"/>
        <v>0</v>
      </c>
      <c r="CN180" s="886">
        <v>0</v>
      </c>
      <c r="CO180" s="886">
        <v>0</v>
      </c>
      <c r="CP180" s="648">
        <f t="shared" si="71"/>
        <v>0</v>
      </c>
      <c r="CQ180" s="648">
        <f t="shared" si="72"/>
        <v>0</v>
      </c>
      <c r="CR180" s="648">
        <f t="shared" si="73"/>
        <v>0</v>
      </c>
      <c r="CS180" s="648">
        <f t="shared" si="74"/>
        <v>0</v>
      </c>
      <c r="CT180" s="648">
        <f t="shared" si="75"/>
        <v>0</v>
      </c>
      <c r="CU180" s="648">
        <f t="shared" si="76"/>
        <v>0</v>
      </c>
      <c r="CV180" s="648">
        <f t="shared" si="77"/>
        <v>0</v>
      </c>
      <c r="CW180" s="648">
        <f t="shared" si="78"/>
        <v>0</v>
      </c>
      <c r="CX180" s="634">
        <v>0</v>
      </c>
      <c r="CY180" s="616"/>
      <c r="CZ180" s="619">
        <f>IF(BN181=0,0,             IF(ISNUMBER(CY180),CY180,             IF(ISTEXT(CY180),INDEX(CP180:CW180,MATCH(CY180,$CP$17:$CW$17,0)),           IF(CX180="INT",_xll.qInterp(BN181,BZ180:CG180,CP180:CW180),       INDEX(CP180:CW180,MATCH(CX180,$CP$17:$CW$17,0))))))</f>
        <v>0</v>
      </c>
      <c r="DA180" s="755">
        <f t="shared" si="79"/>
        <v>0</v>
      </c>
      <c r="DB180" s="387">
        <f t="shared" si="80"/>
        <v>0</v>
      </c>
      <c r="DC180" s="268">
        <f>IF($BN181=0,0,         IF(LEFT(DCC_Leg2_Fixed,2)="1/",uEvaluate(DCC_Leg2_Fixed),         _xll.qDateYears($BN180,$BN181,DCC_Leg2_Fixed)))</f>
        <v>0</v>
      </c>
      <c r="DD180" s="268">
        <f>IF($BN181,_xll.qDateYears($BN180,$BN181,DCC_Leg2_Float),0)</f>
        <v>0</v>
      </c>
      <c r="DF180" s="332">
        <f t="shared" si="95"/>
        <v>0</v>
      </c>
      <c r="DG180" s="357">
        <f t="shared" si="96"/>
        <v>0</v>
      </c>
      <c r="DH180" s="527"/>
      <c r="DJ180" s="324">
        <f t="shared" si="98"/>
        <v>0</v>
      </c>
      <c r="DK180" s="529"/>
      <c r="DL180" s="338"/>
    </row>
    <row r="181" spans="15:116">
      <c r="O181" s="121">
        <v>0</v>
      </c>
      <c r="P181" s="755">
        <f t="shared" si="67"/>
        <v>0</v>
      </c>
      <c r="Q181" s="125">
        <v>0</v>
      </c>
      <c r="R181" s="890">
        <f>IF(O182=0,0,         IF(OR(Currency1="AUD",Currency1="NZD",Currency1="GBP"),O181,   _xll.qDateNext(O181,"-2b",,,IF(Currency1="EUR","TGT","LON"))))</f>
        <v>0</v>
      </c>
      <c r="S181" s="879" t="str">
        <v/>
      </c>
      <c r="T181" s="879" t="str">
        <v/>
      </c>
      <c r="U181" s="879" t="str">
        <v/>
      </c>
      <c r="V181" s="879" t="str">
        <v/>
      </c>
      <c r="W181" s="879" t="str">
        <v/>
      </c>
      <c r="X181" s="879" t="str">
        <v/>
      </c>
      <c r="Y181" s="879" t="str">
        <v/>
      </c>
      <c r="Z181" s="879" t="str">
        <v/>
      </c>
      <c r="AA181" s="882">
        <f>IF($O182=0,0,        _xll.qDateNext($O181,AA$17,$AH$16,TRUE,Currency1))</f>
        <v>0</v>
      </c>
      <c r="AB181" s="882">
        <f>IF($O182=0,0,        _xll.qDateNext($O181,AB$17,$AH$16,TRUE,Currency1))</f>
        <v>0</v>
      </c>
      <c r="AC181" s="882">
        <f>IF($O182=0,0,        _xll.qDateNext($O181,AC$17,$AH$16,TRUE,Currency1))</f>
        <v>0</v>
      </c>
      <c r="AD181" s="882">
        <f>IF($O182=0,0,        _xll.qDateNext($O181,AD$17,$AH$16,TRUE,Currency1))</f>
        <v>0</v>
      </c>
      <c r="AE181" s="882">
        <f>IF($O182=0,0,        _xll.qDateNext($O181,AE$17,$AH$16,TRUE,Currency1))</f>
        <v>0</v>
      </c>
      <c r="AF181" s="882">
        <f>IF($O182=0,0,        _xll.qDateNext($O181,AF$17,$AH$16,TRUE,Currency1))</f>
        <v>0</v>
      </c>
      <c r="AG181" s="882">
        <f>IF($O182=0,0,        _xll.qDateNext($O181,AG$17,$AH$16,TRUE,Currency1))</f>
        <v>0</v>
      </c>
      <c r="AH181" s="882">
        <f>IF($O182=0,0,        _xll.qDateNext($O181,AH$17,$AH$16,TRUE,Currency1))</f>
        <v>0</v>
      </c>
      <c r="AI181" s="886">
        <f>IF($O182=0,0,           IF(FRM,_xll.qGetFwdRate(AI$14,$O181,AA181,"T",DCC_Leg1_Float),_xll.qGetFwdRate(AI$14,$O181,$O182,"T",DCC_Leg1_Float)))</f>
        <v>0</v>
      </c>
      <c r="AJ181" s="886">
        <f>IF($O182=0,0,           IF(FRM,_xll.qGetFwdRate(AJ$14,$O181,AB181,"T",DCC_Leg1_Float),_xll.qGetFwdRate(AJ$14,$O181,$O182,"T",DCC_Leg1_Float)))</f>
        <v>0</v>
      </c>
      <c r="AK181" s="886">
        <f t="shared" si="68"/>
        <v>0</v>
      </c>
      <c r="AL181" s="886">
        <f>IF($O182=0,0,           IF(FRM,_xll.qGetFwdRate(AL$14,$O181,AD181,"T",DCC_Leg1_Float),_xll.qGetFwdRate(AL$14,$O181,$O182,"T",DCC_Leg1_Float)))</f>
        <v>0</v>
      </c>
      <c r="AM181" s="886">
        <f t="shared" si="81"/>
        <v>0</v>
      </c>
      <c r="AN181" s="886">
        <f t="shared" si="82"/>
        <v>0</v>
      </c>
      <c r="AO181" s="886">
        <f>IF($O182=0,0,           IF(FRM,_xll.qGetFwdRate(AO$14,$O181,AG181,"T",DCC_Leg1_Float),_xll.qGetFwdRate(AO$14,$O181,$O182,"T",DCC_Leg1_Float)))</f>
        <v>0</v>
      </c>
      <c r="AP181" s="886">
        <f>IF($O182=0,0,           IF(FRM,_xll.qGetFwdRate(AP$14,$O181,AH181,"T",DCC_Leg1_Float),_xll.qGetFwdRate(AP$14,$O181,$O182,"T",DCC_Leg1_Float)))</f>
        <v>0</v>
      </c>
      <c r="AQ181" s="648">
        <f t="shared" si="83"/>
        <v>0</v>
      </c>
      <c r="AR181" s="648">
        <f t="shared" si="84"/>
        <v>0</v>
      </c>
      <c r="AS181" s="648">
        <f t="shared" si="85"/>
        <v>0</v>
      </c>
      <c r="AT181" s="648">
        <f t="shared" si="86"/>
        <v>0</v>
      </c>
      <c r="AU181" s="648">
        <f t="shared" si="87"/>
        <v>0</v>
      </c>
      <c r="AV181" s="648">
        <f t="shared" si="88"/>
        <v>0</v>
      </c>
      <c r="AW181" s="648">
        <f t="shared" si="89"/>
        <v>0</v>
      </c>
      <c r="AX181" s="648">
        <f t="shared" si="90"/>
        <v>0</v>
      </c>
      <c r="AY181" s="634">
        <v>0</v>
      </c>
      <c r="AZ181" s="616"/>
      <c r="BA181" s="619">
        <f>IF(O182=0,0,             IF(ISNUMBER(AZ181),AZ181,             IF(ISTEXT(AZ181),INDEX(AQ181:AX181,MATCH(AZ181,$AQ$17:$AX$17,0)),           IF(AY181="INT",_xll.qInterp(O182,AA181:AH181,AQ181:AX181),       INDEX(AQ181:AX181,MATCH(AY181,$AQ$17:$AX$17,0))))))</f>
        <v>0</v>
      </c>
      <c r="BB181" s="674">
        <v>100</v>
      </c>
      <c r="BC181" s="666">
        <f t="shared" si="69"/>
        <v>0</v>
      </c>
      <c r="BD181" s="268">
        <f>IF($O182=0,0,                IF(LEFT(DCC_Leg1_Fixed,2)="1/",uEvaluate(DCC_Leg1_Fixed),        _xll.qDateYears($O181,$O182,DCC_Leg1_Fixed)))</f>
        <v>0</v>
      </c>
      <c r="BE181" s="268">
        <f>IF($O182,_xll.qDateYears($O181,$O182,DCC_Leg1_Float),0)</f>
        <v>0</v>
      </c>
      <c r="BG181" s="332">
        <f t="shared" si="91"/>
        <v>0</v>
      </c>
      <c r="BH181" s="357">
        <f t="shared" si="92"/>
        <v>0</v>
      </c>
      <c r="BI181" s="527"/>
      <c r="BK181" s="324">
        <f t="shared" si="97"/>
        <v>0</v>
      </c>
      <c r="BM181" s="338"/>
      <c r="BN181" s="121">
        <v>0</v>
      </c>
      <c r="BO181" s="755">
        <f t="shared" si="70"/>
        <v>0</v>
      </c>
      <c r="BP181" s="339">
        <v>0</v>
      </c>
      <c r="BQ181" s="890">
        <f>IF(BN182=0,0,         IF(OR(Currency2="AUD",Currency1="NZD",Currency2="GBP"),BN181,   _xll.qDateNext(BN181,"-2b",,,IF(Currency2="EUR","TGT","LON"))))</f>
        <v>0</v>
      </c>
      <c r="BR181" s="879" t="str">
        <v/>
      </c>
      <c r="BS181" s="879" t="str">
        <v/>
      </c>
      <c r="BT181" s="879" t="str">
        <v/>
      </c>
      <c r="BU181" s="879" t="str">
        <v/>
      </c>
      <c r="BV181" s="879" t="str">
        <v/>
      </c>
      <c r="BW181" s="879" t="str">
        <v/>
      </c>
      <c r="BX181" s="879" t="str">
        <v/>
      </c>
      <c r="BY181" s="879" t="str">
        <v/>
      </c>
      <c r="BZ181" s="882">
        <f>IF($BN182=0,0,        _xll.qDateNext($BN181,BZ$17,$CG$16,TRUE,Currency2))</f>
        <v>0</v>
      </c>
      <c r="CA181" s="882">
        <f>IF($BN182=0,0,        _xll.qDateNext($BN181,CA$17,$CG$16,TRUE,Currency2))</f>
        <v>0</v>
      </c>
      <c r="CB181" s="882">
        <f>IF($BN182=0,0,        _xll.qDateNext($BN181,CB$17,$CG$16,TRUE,Currency2))</f>
        <v>0</v>
      </c>
      <c r="CC181" s="882">
        <f>IF($BN182=0,0,        _xll.qDateNext($BN181,CC$17,$CG$16,TRUE,Currency2))</f>
        <v>0</v>
      </c>
      <c r="CD181" s="882">
        <f>IF($BN182=0,0,        _xll.qDateNext($BN181,CD$17,$CG$16,TRUE,Currency2))</f>
        <v>0</v>
      </c>
      <c r="CE181" s="882">
        <f>IF($BN182=0,0,        _xll.qDateNext($BN181,CE$17,$CG$16,TRUE,Currency2))</f>
        <v>0</v>
      </c>
      <c r="CF181" s="882">
        <f>IF($BN182=0,0,        _xll.qDateNext($BN181,CF$17,$CG$16,TRUE,Currency2))</f>
        <v>0</v>
      </c>
      <c r="CG181" s="882">
        <f>IF($BN182=0,0,        _xll.qDateNext($BN181,CG$17,$CG$16,TRUE,Currency2))</f>
        <v>0</v>
      </c>
      <c r="CH181" s="886">
        <v>0</v>
      </c>
      <c r="CI181" s="886">
        <v>0</v>
      </c>
      <c r="CJ181" s="886">
        <v>0</v>
      </c>
      <c r="CK181" s="886">
        <v>0</v>
      </c>
      <c r="CL181" s="886">
        <f t="shared" si="93"/>
        <v>0</v>
      </c>
      <c r="CM181" s="886">
        <f t="shared" si="94"/>
        <v>0</v>
      </c>
      <c r="CN181" s="886">
        <v>0</v>
      </c>
      <c r="CO181" s="886">
        <v>0</v>
      </c>
      <c r="CP181" s="648">
        <f t="shared" si="71"/>
        <v>0</v>
      </c>
      <c r="CQ181" s="648">
        <f t="shared" si="72"/>
        <v>0</v>
      </c>
      <c r="CR181" s="648">
        <f t="shared" si="73"/>
        <v>0</v>
      </c>
      <c r="CS181" s="648">
        <f t="shared" si="74"/>
        <v>0</v>
      </c>
      <c r="CT181" s="648">
        <f t="shared" si="75"/>
        <v>0</v>
      </c>
      <c r="CU181" s="648">
        <f t="shared" si="76"/>
        <v>0</v>
      </c>
      <c r="CV181" s="648">
        <f t="shared" si="77"/>
        <v>0</v>
      </c>
      <c r="CW181" s="648">
        <f t="shared" si="78"/>
        <v>0</v>
      </c>
      <c r="CX181" s="634">
        <v>0</v>
      </c>
      <c r="CY181" s="616"/>
      <c r="CZ181" s="619">
        <f>IF(BN182=0,0,             IF(ISNUMBER(CY181),CY181,             IF(ISTEXT(CY181),INDEX(CP181:CW181,MATCH(CY181,$CP$17:$CW$17,0)),           IF(CX181="INT",_xll.qInterp(BN182,BZ181:CG181,CP181:CW181),       INDEX(CP181:CW181,MATCH(CX181,$CP$17:$CW$17,0))))))</f>
        <v>0</v>
      </c>
      <c r="DA181" s="755">
        <f t="shared" si="79"/>
        <v>0</v>
      </c>
      <c r="DB181" s="387">
        <f t="shared" si="80"/>
        <v>0</v>
      </c>
      <c r="DC181" s="268">
        <f>IF($BN182=0,0,         IF(LEFT(DCC_Leg2_Fixed,2)="1/",uEvaluate(DCC_Leg2_Fixed),         _xll.qDateYears($BN181,$BN182,DCC_Leg2_Fixed)))</f>
        <v>0</v>
      </c>
      <c r="DD181" s="268">
        <f>IF($BN182,_xll.qDateYears($BN181,$BN182,DCC_Leg2_Float),0)</f>
        <v>0</v>
      </c>
      <c r="DF181" s="332">
        <f t="shared" si="95"/>
        <v>0</v>
      </c>
      <c r="DG181" s="357">
        <f t="shared" si="96"/>
        <v>0</v>
      </c>
      <c r="DH181" s="527"/>
      <c r="DJ181" s="324">
        <f t="shared" si="98"/>
        <v>0</v>
      </c>
      <c r="DK181" s="529"/>
      <c r="DL181" s="338"/>
    </row>
    <row r="182" spans="15:116">
      <c r="O182" s="121">
        <v>0</v>
      </c>
      <c r="P182" s="755">
        <f t="shared" si="67"/>
        <v>0</v>
      </c>
      <c r="Q182" s="125">
        <v>0</v>
      </c>
      <c r="R182" s="890">
        <f>IF(O183=0,0,         IF(OR(Currency1="AUD",Currency1="NZD",Currency1="GBP"),O182,   _xll.qDateNext(O182,"-2b",,,IF(Currency1="EUR","TGT","LON"))))</f>
        <v>0</v>
      </c>
      <c r="S182" s="879" t="str">
        <v/>
      </c>
      <c r="T182" s="879" t="str">
        <v/>
      </c>
      <c r="U182" s="879" t="str">
        <v/>
      </c>
      <c r="V182" s="879" t="str">
        <v/>
      </c>
      <c r="W182" s="879" t="str">
        <v/>
      </c>
      <c r="X182" s="879" t="str">
        <v/>
      </c>
      <c r="Y182" s="879" t="str">
        <v/>
      </c>
      <c r="Z182" s="879" t="str">
        <v/>
      </c>
      <c r="AA182" s="882">
        <f>IF($O183=0,0,        _xll.qDateNext($O182,AA$17,$AH$16,TRUE,Currency1))</f>
        <v>0</v>
      </c>
      <c r="AB182" s="882">
        <f>IF($O183=0,0,        _xll.qDateNext($O182,AB$17,$AH$16,TRUE,Currency1))</f>
        <v>0</v>
      </c>
      <c r="AC182" s="882">
        <f>IF($O183=0,0,        _xll.qDateNext($O182,AC$17,$AH$16,TRUE,Currency1))</f>
        <v>0</v>
      </c>
      <c r="AD182" s="882">
        <f>IF($O183=0,0,        _xll.qDateNext($O182,AD$17,$AH$16,TRUE,Currency1))</f>
        <v>0</v>
      </c>
      <c r="AE182" s="882">
        <f>IF($O183=0,0,        _xll.qDateNext($O182,AE$17,$AH$16,TRUE,Currency1))</f>
        <v>0</v>
      </c>
      <c r="AF182" s="882">
        <f>IF($O183=0,0,        _xll.qDateNext($O182,AF$17,$AH$16,TRUE,Currency1))</f>
        <v>0</v>
      </c>
      <c r="AG182" s="882">
        <f>IF($O183=0,0,        _xll.qDateNext($O182,AG$17,$AH$16,TRUE,Currency1))</f>
        <v>0</v>
      </c>
      <c r="AH182" s="882">
        <f>IF($O183=0,0,        _xll.qDateNext($O182,AH$17,$AH$16,TRUE,Currency1))</f>
        <v>0</v>
      </c>
      <c r="AI182" s="886">
        <f>IF($O183=0,0,           IF(FRM,_xll.qGetFwdRate(AI$14,$O182,AA182,"T",DCC_Leg1_Float),_xll.qGetFwdRate(AI$14,$O182,$O183,"T",DCC_Leg1_Float)))</f>
        <v>0</v>
      </c>
      <c r="AJ182" s="886">
        <f>IF($O183=0,0,           IF(FRM,_xll.qGetFwdRate(AJ$14,$O182,AB182,"T",DCC_Leg1_Float),_xll.qGetFwdRate(AJ$14,$O182,$O183,"T",DCC_Leg1_Float)))</f>
        <v>0</v>
      </c>
      <c r="AK182" s="886">
        <f t="shared" si="68"/>
        <v>0</v>
      </c>
      <c r="AL182" s="886">
        <f>IF($O183=0,0,           IF(FRM,_xll.qGetFwdRate(AL$14,$O182,AD182,"T",DCC_Leg1_Float),_xll.qGetFwdRate(AL$14,$O182,$O183,"T",DCC_Leg1_Float)))</f>
        <v>0</v>
      </c>
      <c r="AM182" s="886">
        <f t="shared" si="81"/>
        <v>0</v>
      </c>
      <c r="AN182" s="886">
        <f t="shared" si="82"/>
        <v>0</v>
      </c>
      <c r="AO182" s="886">
        <f>IF($O183=0,0,           IF(FRM,_xll.qGetFwdRate(AO$14,$O182,AG182,"T",DCC_Leg1_Float),_xll.qGetFwdRate(AO$14,$O182,$O183,"T",DCC_Leg1_Float)))</f>
        <v>0</v>
      </c>
      <c r="AP182" s="886">
        <f>IF($O183=0,0,           IF(FRM,_xll.qGetFwdRate(AP$14,$O182,AH182,"T",DCC_Leg1_Float),_xll.qGetFwdRate(AP$14,$O182,$O183,"T",DCC_Leg1_Float)))</f>
        <v>0</v>
      </c>
      <c r="AQ182" s="648">
        <f t="shared" si="83"/>
        <v>0</v>
      </c>
      <c r="AR182" s="648">
        <f t="shared" si="84"/>
        <v>0</v>
      </c>
      <c r="AS182" s="648">
        <f t="shared" si="85"/>
        <v>0</v>
      </c>
      <c r="AT182" s="648">
        <f t="shared" si="86"/>
        <v>0</v>
      </c>
      <c r="AU182" s="648">
        <f t="shared" si="87"/>
        <v>0</v>
      </c>
      <c r="AV182" s="648">
        <f t="shared" si="88"/>
        <v>0</v>
      </c>
      <c r="AW182" s="648">
        <f t="shared" si="89"/>
        <v>0</v>
      </c>
      <c r="AX182" s="648">
        <f t="shared" si="90"/>
        <v>0</v>
      </c>
      <c r="AY182" s="634">
        <v>0</v>
      </c>
      <c r="AZ182" s="616"/>
      <c r="BA182" s="619">
        <f>IF(O183=0,0,             IF(ISNUMBER(AZ182),AZ182,             IF(ISTEXT(AZ182),INDEX(AQ182:AX182,MATCH(AZ182,$AQ$17:$AX$17,0)),           IF(AY182="INT",_xll.qInterp(O183,AA182:AH182,AQ182:AX182),       INDEX(AQ182:AX182,MATCH(AY182,$AQ$17:$AX$17,0))))))</f>
        <v>0</v>
      </c>
      <c r="BB182" s="674">
        <v>100</v>
      </c>
      <c r="BC182" s="666">
        <f t="shared" si="69"/>
        <v>0</v>
      </c>
      <c r="BD182" s="268">
        <f>IF($O183=0,0,                IF(LEFT(DCC_Leg1_Fixed,2)="1/",uEvaluate(DCC_Leg1_Fixed),        _xll.qDateYears($O182,$O183,DCC_Leg1_Fixed)))</f>
        <v>0</v>
      </c>
      <c r="BE182" s="268">
        <f>IF($O183,_xll.qDateYears($O182,$O183,DCC_Leg1_Float),0)</f>
        <v>0</v>
      </c>
      <c r="BG182" s="332">
        <f t="shared" si="91"/>
        <v>0</v>
      </c>
      <c r="BH182" s="357">
        <f t="shared" si="92"/>
        <v>0</v>
      </c>
      <c r="BI182" s="527"/>
      <c r="BK182" s="324">
        <f t="shared" si="97"/>
        <v>0</v>
      </c>
      <c r="BM182" s="338"/>
      <c r="BN182" s="121">
        <v>0</v>
      </c>
      <c r="BO182" s="755">
        <f t="shared" si="70"/>
        <v>0</v>
      </c>
      <c r="BP182" s="339">
        <v>0</v>
      </c>
      <c r="BQ182" s="890">
        <f>IF(BN183=0,0,         IF(OR(Currency2="AUD",Currency1="NZD",Currency2="GBP"),BN182,   _xll.qDateNext(BN182,"-2b",,,IF(Currency2="EUR","TGT","LON"))))</f>
        <v>0</v>
      </c>
      <c r="BR182" s="879" t="str">
        <v/>
      </c>
      <c r="BS182" s="879" t="str">
        <v/>
      </c>
      <c r="BT182" s="879" t="str">
        <v/>
      </c>
      <c r="BU182" s="879" t="str">
        <v/>
      </c>
      <c r="BV182" s="879" t="str">
        <v/>
      </c>
      <c r="BW182" s="879" t="str">
        <v/>
      </c>
      <c r="BX182" s="879" t="str">
        <v/>
      </c>
      <c r="BY182" s="879" t="str">
        <v/>
      </c>
      <c r="BZ182" s="882">
        <f>IF($BN183=0,0,        _xll.qDateNext($BN182,BZ$17,$CG$16,TRUE,Currency2))</f>
        <v>0</v>
      </c>
      <c r="CA182" s="882">
        <f>IF($BN183=0,0,        _xll.qDateNext($BN182,CA$17,$CG$16,TRUE,Currency2))</f>
        <v>0</v>
      </c>
      <c r="CB182" s="882">
        <f>IF($BN183=0,0,        _xll.qDateNext($BN182,CB$17,$CG$16,TRUE,Currency2))</f>
        <v>0</v>
      </c>
      <c r="CC182" s="882">
        <f>IF($BN183=0,0,        _xll.qDateNext($BN182,CC$17,$CG$16,TRUE,Currency2))</f>
        <v>0</v>
      </c>
      <c r="CD182" s="882">
        <f>IF($BN183=0,0,        _xll.qDateNext($BN182,CD$17,$CG$16,TRUE,Currency2))</f>
        <v>0</v>
      </c>
      <c r="CE182" s="882">
        <f>IF($BN183=0,0,        _xll.qDateNext($BN182,CE$17,$CG$16,TRUE,Currency2))</f>
        <v>0</v>
      </c>
      <c r="CF182" s="882">
        <f>IF($BN183=0,0,        _xll.qDateNext($BN182,CF$17,$CG$16,TRUE,Currency2))</f>
        <v>0</v>
      </c>
      <c r="CG182" s="882">
        <f>IF($BN183=0,0,        _xll.qDateNext($BN182,CG$17,$CG$16,TRUE,Currency2))</f>
        <v>0</v>
      </c>
      <c r="CH182" s="886">
        <v>0</v>
      </c>
      <c r="CI182" s="886">
        <v>0</v>
      </c>
      <c r="CJ182" s="886">
        <v>0</v>
      </c>
      <c r="CK182" s="886">
        <v>0</v>
      </c>
      <c r="CL182" s="886">
        <f t="shared" si="93"/>
        <v>0</v>
      </c>
      <c r="CM182" s="886">
        <f t="shared" si="94"/>
        <v>0</v>
      </c>
      <c r="CN182" s="886">
        <v>0</v>
      </c>
      <c r="CO182" s="886">
        <v>0</v>
      </c>
      <c r="CP182" s="648">
        <f t="shared" si="71"/>
        <v>0</v>
      </c>
      <c r="CQ182" s="648">
        <f t="shared" si="72"/>
        <v>0</v>
      </c>
      <c r="CR182" s="648">
        <f t="shared" si="73"/>
        <v>0</v>
      </c>
      <c r="CS182" s="648">
        <f t="shared" si="74"/>
        <v>0</v>
      </c>
      <c r="CT182" s="648">
        <f t="shared" si="75"/>
        <v>0</v>
      </c>
      <c r="CU182" s="648">
        <f t="shared" si="76"/>
        <v>0</v>
      </c>
      <c r="CV182" s="648">
        <f t="shared" si="77"/>
        <v>0</v>
      </c>
      <c r="CW182" s="648">
        <f t="shared" si="78"/>
        <v>0</v>
      </c>
      <c r="CX182" s="634">
        <v>0</v>
      </c>
      <c r="CY182" s="616"/>
      <c r="CZ182" s="619">
        <f>IF(BN183=0,0,             IF(ISNUMBER(CY182),CY182,             IF(ISTEXT(CY182),INDEX(CP182:CW182,MATCH(CY182,$CP$17:$CW$17,0)),           IF(CX182="INT",_xll.qInterp(BN183,BZ182:CG182,CP182:CW182),       INDEX(CP182:CW182,MATCH(CX182,$CP$17:$CW$17,0))))))</f>
        <v>0</v>
      </c>
      <c r="DA182" s="755">
        <f t="shared" si="79"/>
        <v>0</v>
      </c>
      <c r="DB182" s="387">
        <f t="shared" si="80"/>
        <v>0</v>
      </c>
      <c r="DC182" s="268">
        <f>IF($BN183=0,0,         IF(LEFT(DCC_Leg2_Fixed,2)="1/",uEvaluate(DCC_Leg2_Fixed),         _xll.qDateYears($BN182,$BN183,DCC_Leg2_Fixed)))</f>
        <v>0</v>
      </c>
      <c r="DD182" s="268">
        <f>IF($BN183,_xll.qDateYears($BN182,$BN183,DCC_Leg2_Float),0)</f>
        <v>0</v>
      </c>
      <c r="DF182" s="332">
        <f t="shared" si="95"/>
        <v>0</v>
      </c>
      <c r="DG182" s="357">
        <f t="shared" si="96"/>
        <v>0</v>
      </c>
      <c r="DH182" s="527"/>
      <c r="DJ182" s="324">
        <f t="shared" si="98"/>
        <v>0</v>
      </c>
      <c r="DK182" s="529"/>
      <c r="DL182" s="338"/>
    </row>
    <row r="183" spans="15:116">
      <c r="O183" s="121">
        <v>0</v>
      </c>
      <c r="P183" s="755">
        <f t="shared" si="67"/>
        <v>0</v>
      </c>
      <c r="Q183" s="125">
        <v>0</v>
      </c>
      <c r="R183" s="890">
        <f>IF(O184=0,0,         IF(OR(Currency1="AUD",Currency1="NZD",Currency1="GBP"),O183,   _xll.qDateNext(O183,"-2b",,,IF(Currency1="EUR","TGT","LON"))))</f>
        <v>0</v>
      </c>
      <c r="S183" s="879" t="str">
        <v/>
      </c>
      <c r="T183" s="879" t="str">
        <v/>
      </c>
      <c r="U183" s="879" t="str">
        <v/>
      </c>
      <c r="V183" s="879" t="str">
        <v/>
      </c>
      <c r="W183" s="879" t="str">
        <v/>
      </c>
      <c r="X183" s="879" t="str">
        <v/>
      </c>
      <c r="Y183" s="879" t="str">
        <v/>
      </c>
      <c r="Z183" s="879" t="str">
        <v/>
      </c>
      <c r="AA183" s="882">
        <f>IF($O184=0,0,        _xll.qDateNext($O183,AA$17,$AH$16,TRUE,Currency1))</f>
        <v>0</v>
      </c>
      <c r="AB183" s="882">
        <f>IF($O184=0,0,        _xll.qDateNext($O183,AB$17,$AH$16,TRUE,Currency1))</f>
        <v>0</v>
      </c>
      <c r="AC183" s="882">
        <f>IF($O184=0,0,        _xll.qDateNext($O183,AC$17,$AH$16,TRUE,Currency1))</f>
        <v>0</v>
      </c>
      <c r="AD183" s="882">
        <f>IF($O184=0,0,        _xll.qDateNext($O183,AD$17,$AH$16,TRUE,Currency1))</f>
        <v>0</v>
      </c>
      <c r="AE183" s="882">
        <f>IF($O184=0,0,        _xll.qDateNext($O183,AE$17,$AH$16,TRUE,Currency1))</f>
        <v>0</v>
      </c>
      <c r="AF183" s="882">
        <f>IF($O184=0,0,        _xll.qDateNext($O183,AF$17,$AH$16,TRUE,Currency1))</f>
        <v>0</v>
      </c>
      <c r="AG183" s="882">
        <f>IF($O184=0,0,        _xll.qDateNext($O183,AG$17,$AH$16,TRUE,Currency1))</f>
        <v>0</v>
      </c>
      <c r="AH183" s="882">
        <f>IF($O184=0,0,        _xll.qDateNext($O183,AH$17,$AH$16,TRUE,Currency1))</f>
        <v>0</v>
      </c>
      <c r="AI183" s="886">
        <f>IF($O184=0,0,           IF(FRM,_xll.qGetFwdRate(AI$14,$O183,AA183,"T",DCC_Leg1_Float),_xll.qGetFwdRate(AI$14,$O183,$O184,"T",DCC_Leg1_Float)))</f>
        <v>0</v>
      </c>
      <c r="AJ183" s="886">
        <f>IF($O184=0,0,           IF(FRM,_xll.qGetFwdRate(AJ$14,$O183,AB183,"T",DCC_Leg1_Float),_xll.qGetFwdRate(AJ$14,$O183,$O184,"T",DCC_Leg1_Float)))</f>
        <v>0</v>
      </c>
      <c r="AK183" s="886">
        <f t="shared" si="68"/>
        <v>0</v>
      </c>
      <c r="AL183" s="886">
        <f>IF($O184=0,0,           IF(FRM,_xll.qGetFwdRate(AL$14,$O183,AD183,"T",DCC_Leg1_Float),_xll.qGetFwdRate(AL$14,$O183,$O184,"T",DCC_Leg1_Float)))</f>
        <v>0</v>
      </c>
      <c r="AM183" s="886">
        <f t="shared" si="81"/>
        <v>0</v>
      </c>
      <c r="AN183" s="886">
        <f t="shared" si="82"/>
        <v>0</v>
      </c>
      <c r="AO183" s="886">
        <f>IF($O184=0,0,           IF(FRM,_xll.qGetFwdRate(AO$14,$O183,AG183,"T",DCC_Leg1_Float),_xll.qGetFwdRate(AO$14,$O183,$O184,"T",DCC_Leg1_Float)))</f>
        <v>0</v>
      </c>
      <c r="AP183" s="886">
        <f>IF($O184=0,0,           IF(FRM,_xll.qGetFwdRate(AP$14,$O183,AH183,"T",DCC_Leg1_Float),_xll.qGetFwdRate(AP$14,$O183,$O184,"T",DCC_Leg1_Float)))</f>
        <v>0</v>
      </c>
      <c r="AQ183" s="648">
        <f t="shared" si="83"/>
        <v>0</v>
      </c>
      <c r="AR183" s="648">
        <f t="shared" si="84"/>
        <v>0</v>
      </c>
      <c r="AS183" s="648">
        <f t="shared" si="85"/>
        <v>0</v>
      </c>
      <c r="AT183" s="648">
        <f t="shared" si="86"/>
        <v>0</v>
      </c>
      <c r="AU183" s="648">
        <f t="shared" si="87"/>
        <v>0</v>
      </c>
      <c r="AV183" s="648">
        <f t="shared" si="88"/>
        <v>0</v>
      </c>
      <c r="AW183" s="648">
        <f t="shared" si="89"/>
        <v>0</v>
      </c>
      <c r="AX183" s="648">
        <f t="shared" si="90"/>
        <v>0</v>
      </c>
      <c r="AY183" s="634">
        <v>0</v>
      </c>
      <c r="AZ183" s="616"/>
      <c r="BA183" s="619">
        <f>IF(O184=0,0,             IF(ISNUMBER(AZ183),AZ183,             IF(ISTEXT(AZ183),INDEX(AQ183:AX183,MATCH(AZ183,$AQ$17:$AX$17,0)),           IF(AY183="INT",_xll.qInterp(O184,AA183:AH183,AQ183:AX183),       INDEX(AQ183:AX183,MATCH(AY183,$AQ$17:$AX$17,0))))))</f>
        <v>0</v>
      </c>
      <c r="BB183" s="674">
        <v>100</v>
      </c>
      <c r="BC183" s="666">
        <f t="shared" si="69"/>
        <v>0</v>
      </c>
      <c r="BD183" s="268">
        <f>IF($O184=0,0,                IF(LEFT(DCC_Leg1_Fixed,2)="1/",uEvaluate(DCC_Leg1_Fixed),        _xll.qDateYears($O183,$O184,DCC_Leg1_Fixed)))</f>
        <v>0</v>
      </c>
      <c r="BE183" s="268">
        <f>IF($O184,_xll.qDateYears($O183,$O184,DCC_Leg1_Float),0)</f>
        <v>0</v>
      </c>
      <c r="BG183" s="332">
        <f t="shared" si="91"/>
        <v>0</v>
      </c>
      <c r="BH183" s="357">
        <f t="shared" si="92"/>
        <v>0</v>
      </c>
      <c r="BI183" s="527"/>
      <c r="BK183" s="324">
        <f t="shared" si="97"/>
        <v>0</v>
      </c>
      <c r="BM183" s="338"/>
      <c r="BN183" s="121">
        <v>0</v>
      </c>
      <c r="BO183" s="755">
        <f t="shared" si="70"/>
        <v>0</v>
      </c>
      <c r="BP183" s="339">
        <v>0</v>
      </c>
      <c r="BQ183" s="890">
        <f>IF(BN184=0,0,         IF(OR(Currency2="AUD",Currency1="NZD",Currency2="GBP"),BN183,   _xll.qDateNext(BN183,"-2b",,,IF(Currency2="EUR","TGT","LON"))))</f>
        <v>0</v>
      </c>
      <c r="BR183" s="879" t="str">
        <v/>
      </c>
      <c r="BS183" s="879" t="str">
        <v/>
      </c>
      <c r="BT183" s="879" t="str">
        <v/>
      </c>
      <c r="BU183" s="879" t="str">
        <v/>
      </c>
      <c r="BV183" s="879" t="str">
        <v/>
      </c>
      <c r="BW183" s="879" t="str">
        <v/>
      </c>
      <c r="BX183" s="879" t="str">
        <v/>
      </c>
      <c r="BY183" s="879" t="str">
        <v/>
      </c>
      <c r="BZ183" s="882">
        <f>IF($BN184=0,0,        _xll.qDateNext($BN183,BZ$17,$CG$16,TRUE,Currency2))</f>
        <v>0</v>
      </c>
      <c r="CA183" s="882">
        <f>IF($BN184=0,0,        _xll.qDateNext($BN183,CA$17,$CG$16,TRUE,Currency2))</f>
        <v>0</v>
      </c>
      <c r="CB183" s="882">
        <f>IF($BN184=0,0,        _xll.qDateNext($BN183,CB$17,$CG$16,TRUE,Currency2))</f>
        <v>0</v>
      </c>
      <c r="CC183" s="882">
        <f>IF($BN184=0,0,        _xll.qDateNext($BN183,CC$17,$CG$16,TRUE,Currency2))</f>
        <v>0</v>
      </c>
      <c r="CD183" s="882">
        <f>IF($BN184=0,0,        _xll.qDateNext($BN183,CD$17,$CG$16,TRUE,Currency2))</f>
        <v>0</v>
      </c>
      <c r="CE183" s="882">
        <f>IF($BN184=0,0,        _xll.qDateNext($BN183,CE$17,$CG$16,TRUE,Currency2))</f>
        <v>0</v>
      </c>
      <c r="CF183" s="882">
        <f>IF($BN184=0,0,        _xll.qDateNext($BN183,CF$17,$CG$16,TRUE,Currency2))</f>
        <v>0</v>
      </c>
      <c r="CG183" s="882">
        <f>IF($BN184=0,0,        _xll.qDateNext($BN183,CG$17,$CG$16,TRUE,Currency2))</f>
        <v>0</v>
      </c>
      <c r="CH183" s="886">
        <v>0</v>
      </c>
      <c r="CI183" s="886">
        <v>0</v>
      </c>
      <c r="CJ183" s="886">
        <v>0</v>
      </c>
      <c r="CK183" s="886">
        <v>0</v>
      </c>
      <c r="CL183" s="886">
        <f t="shared" si="93"/>
        <v>0</v>
      </c>
      <c r="CM183" s="886">
        <f t="shared" si="94"/>
        <v>0</v>
      </c>
      <c r="CN183" s="886">
        <v>0</v>
      </c>
      <c r="CO183" s="886">
        <v>0</v>
      </c>
      <c r="CP183" s="648">
        <f t="shared" si="71"/>
        <v>0</v>
      </c>
      <c r="CQ183" s="648">
        <f t="shared" si="72"/>
        <v>0</v>
      </c>
      <c r="CR183" s="648">
        <f t="shared" si="73"/>
        <v>0</v>
      </c>
      <c r="CS183" s="648">
        <f t="shared" si="74"/>
        <v>0</v>
      </c>
      <c r="CT183" s="648">
        <f t="shared" si="75"/>
        <v>0</v>
      </c>
      <c r="CU183" s="648">
        <f t="shared" si="76"/>
        <v>0</v>
      </c>
      <c r="CV183" s="648">
        <f t="shared" si="77"/>
        <v>0</v>
      </c>
      <c r="CW183" s="648">
        <f t="shared" si="78"/>
        <v>0</v>
      </c>
      <c r="CX183" s="634">
        <v>0</v>
      </c>
      <c r="CY183" s="616"/>
      <c r="CZ183" s="619">
        <f>IF(BN184=0,0,             IF(ISNUMBER(CY183),CY183,             IF(ISTEXT(CY183),INDEX(CP183:CW183,MATCH(CY183,$CP$17:$CW$17,0)),           IF(CX183="INT",_xll.qInterp(BN184,BZ183:CG183,CP183:CW183),       INDEX(CP183:CW183,MATCH(CX183,$CP$17:$CW$17,0))))))</f>
        <v>0</v>
      </c>
      <c r="DA183" s="755">
        <f t="shared" si="79"/>
        <v>0</v>
      </c>
      <c r="DB183" s="387">
        <f t="shared" si="80"/>
        <v>0</v>
      </c>
      <c r="DC183" s="268">
        <f>IF($BN184=0,0,         IF(LEFT(DCC_Leg2_Fixed,2)="1/",uEvaluate(DCC_Leg2_Fixed),         _xll.qDateYears($BN183,$BN184,DCC_Leg2_Fixed)))</f>
        <v>0</v>
      </c>
      <c r="DD183" s="268">
        <f>IF($BN184,_xll.qDateYears($BN183,$BN184,DCC_Leg2_Float),0)</f>
        <v>0</v>
      </c>
      <c r="DF183" s="332">
        <f t="shared" si="95"/>
        <v>0</v>
      </c>
      <c r="DG183" s="357">
        <f t="shared" si="96"/>
        <v>0</v>
      </c>
      <c r="DH183" s="527"/>
      <c r="DJ183" s="324">
        <f t="shared" si="98"/>
        <v>0</v>
      </c>
      <c r="DK183" s="529"/>
      <c r="DL183" s="338"/>
    </row>
    <row r="184" spans="15:116">
      <c r="O184" s="121">
        <v>0</v>
      </c>
      <c r="P184" s="755">
        <f t="shared" si="67"/>
        <v>0</v>
      </c>
      <c r="Q184" s="125">
        <v>0</v>
      </c>
      <c r="R184" s="890">
        <f>IF(O185=0,0,         IF(OR(Currency1="AUD",Currency1="NZD",Currency1="GBP"),O184,   _xll.qDateNext(O184,"-2b",,,IF(Currency1="EUR","TGT","LON"))))</f>
        <v>0</v>
      </c>
      <c r="S184" s="879" t="str">
        <v/>
      </c>
      <c r="T184" s="879" t="str">
        <v/>
      </c>
      <c r="U184" s="879" t="str">
        <v/>
      </c>
      <c r="V184" s="879" t="str">
        <v/>
      </c>
      <c r="W184" s="879" t="str">
        <v/>
      </c>
      <c r="X184" s="879" t="str">
        <v/>
      </c>
      <c r="Y184" s="879" t="str">
        <v/>
      </c>
      <c r="Z184" s="879" t="str">
        <v/>
      </c>
      <c r="AA184" s="882">
        <f>IF($O185=0,0,        _xll.qDateNext($O184,AA$17,$AH$16,TRUE,Currency1))</f>
        <v>0</v>
      </c>
      <c r="AB184" s="882">
        <f>IF($O185=0,0,        _xll.qDateNext($O184,AB$17,$AH$16,TRUE,Currency1))</f>
        <v>0</v>
      </c>
      <c r="AC184" s="882">
        <f>IF($O185=0,0,        _xll.qDateNext($O184,AC$17,$AH$16,TRUE,Currency1))</f>
        <v>0</v>
      </c>
      <c r="AD184" s="882">
        <f>IF($O185=0,0,        _xll.qDateNext($O184,AD$17,$AH$16,TRUE,Currency1))</f>
        <v>0</v>
      </c>
      <c r="AE184" s="882">
        <f>IF($O185=0,0,        _xll.qDateNext($O184,AE$17,$AH$16,TRUE,Currency1))</f>
        <v>0</v>
      </c>
      <c r="AF184" s="882">
        <f>IF($O185=0,0,        _xll.qDateNext($O184,AF$17,$AH$16,TRUE,Currency1))</f>
        <v>0</v>
      </c>
      <c r="AG184" s="882">
        <f>IF($O185=0,0,        _xll.qDateNext($O184,AG$17,$AH$16,TRUE,Currency1))</f>
        <v>0</v>
      </c>
      <c r="AH184" s="882">
        <f>IF($O185=0,0,        _xll.qDateNext($O184,AH$17,$AH$16,TRUE,Currency1))</f>
        <v>0</v>
      </c>
      <c r="AI184" s="886">
        <f>IF($O185=0,0,           IF(FRM,_xll.qGetFwdRate(AI$14,$O184,AA184,"T",DCC_Leg1_Float),_xll.qGetFwdRate(AI$14,$O184,$O185,"T",DCC_Leg1_Float)))</f>
        <v>0</v>
      </c>
      <c r="AJ184" s="886">
        <f>IF($O185=0,0,           IF(FRM,_xll.qGetFwdRate(AJ$14,$O184,AB184,"T",DCC_Leg1_Float),_xll.qGetFwdRate(AJ$14,$O184,$O185,"T",DCC_Leg1_Float)))</f>
        <v>0</v>
      </c>
      <c r="AK184" s="886">
        <f t="shared" si="68"/>
        <v>0</v>
      </c>
      <c r="AL184" s="886">
        <f>IF($O185=0,0,           IF(FRM,_xll.qGetFwdRate(AL$14,$O184,AD184,"T",DCC_Leg1_Float),_xll.qGetFwdRate(AL$14,$O184,$O185,"T",DCC_Leg1_Float)))</f>
        <v>0</v>
      </c>
      <c r="AM184" s="886">
        <f t="shared" si="81"/>
        <v>0</v>
      </c>
      <c r="AN184" s="886">
        <f t="shared" si="82"/>
        <v>0</v>
      </c>
      <c r="AO184" s="886">
        <f>IF($O185=0,0,           IF(FRM,_xll.qGetFwdRate(AO$14,$O184,AG184,"T",DCC_Leg1_Float),_xll.qGetFwdRate(AO$14,$O184,$O185,"T",DCC_Leg1_Float)))</f>
        <v>0</v>
      </c>
      <c r="AP184" s="886">
        <f>IF($O185=0,0,           IF(FRM,_xll.qGetFwdRate(AP$14,$O184,AH184,"T",DCC_Leg1_Float),_xll.qGetFwdRate(AP$14,$O184,$O185,"T",DCC_Leg1_Float)))</f>
        <v>0</v>
      </c>
      <c r="AQ184" s="648">
        <f t="shared" si="83"/>
        <v>0</v>
      </c>
      <c r="AR184" s="648">
        <f t="shared" si="84"/>
        <v>0</v>
      </c>
      <c r="AS184" s="648">
        <f t="shared" si="85"/>
        <v>0</v>
      </c>
      <c r="AT184" s="648">
        <f t="shared" si="86"/>
        <v>0</v>
      </c>
      <c r="AU184" s="648">
        <f t="shared" si="87"/>
        <v>0</v>
      </c>
      <c r="AV184" s="648">
        <f t="shared" si="88"/>
        <v>0</v>
      </c>
      <c r="AW184" s="648">
        <f t="shared" si="89"/>
        <v>0</v>
      </c>
      <c r="AX184" s="648">
        <f t="shared" si="90"/>
        <v>0</v>
      </c>
      <c r="AY184" s="634">
        <v>0</v>
      </c>
      <c r="AZ184" s="616"/>
      <c r="BA184" s="619">
        <f>IF(O185=0,0,             IF(ISNUMBER(AZ184),AZ184,             IF(ISTEXT(AZ184),INDEX(AQ184:AX184,MATCH(AZ184,$AQ$17:$AX$17,0)),           IF(AY184="INT",_xll.qInterp(O185,AA184:AH184,AQ184:AX184),       INDEX(AQ184:AX184,MATCH(AY184,$AQ$17:$AX$17,0))))))</f>
        <v>0</v>
      </c>
      <c r="BB184" s="674">
        <v>100</v>
      </c>
      <c r="BC184" s="666">
        <f t="shared" si="69"/>
        <v>0</v>
      </c>
      <c r="BD184" s="268">
        <f>IF($O185=0,0,                IF(LEFT(DCC_Leg1_Fixed,2)="1/",uEvaluate(DCC_Leg1_Fixed),        _xll.qDateYears($O184,$O185,DCC_Leg1_Fixed)))</f>
        <v>0</v>
      </c>
      <c r="BE184" s="268">
        <f>IF($O185,_xll.qDateYears($O184,$O185,DCC_Leg1_Float),0)</f>
        <v>0</v>
      </c>
      <c r="BG184" s="332">
        <f t="shared" si="91"/>
        <v>0</v>
      </c>
      <c r="BH184" s="357">
        <f t="shared" si="92"/>
        <v>0</v>
      </c>
      <c r="BI184" s="527"/>
      <c r="BK184" s="324">
        <f t="shared" si="97"/>
        <v>0</v>
      </c>
      <c r="BM184" s="338"/>
      <c r="BN184" s="121">
        <v>0</v>
      </c>
      <c r="BO184" s="755">
        <f t="shared" si="70"/>
        <v>0</v>
      </c>
      <c r="BP184" s="339">
        <v>0</v>
      </c>
      <c r="BQ184" s="890">
        <f>IF(BN185=0,0,         IF(OR(Currency2="AUD",Currency1="NZD",Currency2="GBP"),BN184,   _xll.qDateNext(BN184,"-2b",,,IF(Currency2="EUR","TGT","LON"))))</f>
        <v>0</v>
      </c>
      <c r="BR184" s="879" t="str">
        <v/>
      </c>
      <c r="BS184" s="879" t="str">
        <v/>
      </c>
      <c r="BT184" s="879" t="str">
        <v/>
      </c>
      <c r="BU184" s="879" t="str">
        <v/>
      </c>
      <c r="BV184" s="879" t="str">
        <v/>
      </c>
      <c r="BW184" s="879" t="str">
        <v/>
      </c>
      <c r="BX184" s="879" t="str">
        <v/>
      </c>
      <c r="BY184" s="879" t="str">
        <v/>
      </c>
      <c r="BZ184" s="882">
        <f>IF($BN185=0,0,        _xll.qDateNext($BN184,BZ$17,$CG$16,TRUE,Currency2))</f>
        <v>0</v>
      </c>
      <c r="CA184" s="882">
        <f>IF($BN185=0,0,        _xll.qDateNext($BN184,CA$17,$CG$16,TRUE,Currency2))</f>
        <v>0</v>
      </c>
      <c r="CB184" s="882">
        <f>IF($BN185=0,0,        _xll.qDateNext($BN184,CB$17,$CG$16,TRUE,Currency2))</f>
        <v>0</v>
      </c>
      <c r="CC184" s="882">
        <f>IF($BN185=0,0,        _xll.qDateNext($BN184,CC$17,$CG$16,TRUE,Currency2))</f>
        <v>0</v>
      </c>
      <c r="CD184" s="882">
        <f>IF($BN185=0,0,        _xll.qDateNext($BN184,CD$17,$CG$16,TRUE,Currency2))</f>
        <v>0</v>
      </c>
      <c r="CE184" s="882">
        <f>IF($BN185=0,0,        _xll.qDateNext($BN184,CE$17,$CG$16,TRUE,Currency2))</f>
        <v>0</v>
      </c>
      <c r="CF184" s="882">
        <f>IF($BN185=0,0,        _xll.qDateNext($BN184,CF$17,$CG$16,TRUE,Currency2))</f>
        <v>0</v>
      </c>
      <c r="CG184" s="882">
        <f>IF($BN185=0,0,        _xll.qDateNext($BN184,CG$17,$CG$16,TRUE,Currency2))</f>
        <v>0</v>
      </c>
      <c r="CH184" s="886">
        <v>0</v>
      </c>
      <c r="CI184" s="886">
        <v>0</v>
      </c>
      <c r="CJ184" s="886">
        <v>0</v>
      </c>
      <c r="CK184" s="886">
        <v>0</v>
      </c>
      <c r="CL184" s="886">
        <f t="shared" si="93"/>
        <v>0</v>
      </c>
      <c r="CM184" s="886">
        <f t="shared" si="94"/>
        <v>0</v>
      </c>
      <c r="CN184" s="886">
        <v>0</v>
      </c>
      <c r="CO184" s="886">
        <v>0</v>
      </c>
      <c r="CP184" s="648">
        <f t="shared" si="71"/>
        <v>0</v>
      </c>
      <c r="CQ184" s="648">
        <f t="shared" si="72"/>
        <v>0</v>
      </c>
      <c r="CR184" s="648">
        <f t="shared" si="73"/>
        <v>0</v>
      </c>
      <c r="CS184" s="648">
        <f t="shared" si="74"/>
        <v>0</v>
      </c>
      <c r="CT184" s="648">
        <f t="shared" si="75"/>
        <v>0</v>
      </c>
      <c r="CU184" s="648">
        <f t="shared" si="76"/>
        <v>0</v>
      </c>
      <c r="CV184" s="648">
        <f t="shared" si="77"/>
        <v>0</v>
      </c>
      <c r="CW184" s="648">
        <f t="shared" si="78"/>
        <v>0</v>
      </c>
      <c r="CX184" s="634">
        <v>0</v>
      </c>
      <c r="CY184" s="616"/>
      <c r="CZ184" s="619">
        <f>IF(BN185=0,0,             IF(ISNUMBER(CY184),CY184,             IF(ISTEXT(CY184),INDEX(CP184:CW184,MATCH(CY184,$CP$17:$CW$17,0)),           IF(CX184="INT",_xll.qInterp(BN185,BZ184:CG184,CP184:CW184),       INDEX(CP184:CW184,MATCH(CX184,$CP$17:$CW$17,0))))))</f>
        <v>0</v>
      </c>
      <c r="DA184" s="755">
        <f t="shared" si="79"/>
        <v>0</v>
      </c>
      <c r="DB184" s="387">
        <f t="shared" si="80"/>
        <v>0</v>
      </c>
      <c r="DC184" s="268">
        <f>IF($BN185=0,0,         IF(LEFT(DCC_Leg2_Fixed,2)="1/",uEvaluate(DCC_Leg2_Fixed),         _xll.qDateYears($BN184,$BN185,DCC_Leg2_Fixed)))</f>
        <v>0</v>
      </c>
      <c r="DD184" s="268">
        <f>IF($BN185,_xll.qDateYears($BN184,$BN185,DCC_Leg2_Float),0)</f>
        <v>0</v>
      </c>
      <c r="DF184" s="332">
        <f t="shared" si="95"/>
        <v>0</v>
      </c>
      <c r="DG184" s="357">
        <f t="shared" si="96"/>
        <v>0</v>
      </c>
      <c r="DH184" s="527"/>
      <c r="DJ184" s="324">
        <f t="shared" si="98"/>
        <v>0</v>
      </c>
      <c r="DK184" s="529"/>
      <c r="DL184" s="338"/>
    </row>
    <row r="185" spans="15:116">
      <c r="O185" s="121">
        <v>0</v>
      </c>
      <c r="P185" s="755">
        <f t="shared" si="67"/>
        <v>0</v>
      </c>
      <c r="Q185" s="125">
        <v>0</v>
      </c>
      <c r="R185" s="890">
        <f>IF(O186=0,0,         IF(OR(Currency1="AUD",Currency1="NZD",Currency1="GBP"),O185,   _xll.qDateNext(O185,"-2b",,,IF(Currency1="EUR","TGT","LON"))))</f>
        <v>0</v>
      </c>
      <c r="S185" s="879" t="str">
        <v/>
      </c>
      <c r="T185" s="879" t="str">
        <v/>
      </c>
      <c r="U185" s="879" t="str">
        <v/>
      </c>
      <c r="V185" s="879" t="str">
        <v/>
      </c>
      <c r="W185" s="879" t="str">
        <v/>
      </c>
      <c r="X185" s="879" t="str">
        <v/>
      </c>
      <c r="Y185" s="879" t="str">
        <v/>
      </c>
      <c r="Z185" s="879" t="str">
        <v/>
      </c>
      <c r="AA185" s="882">
        <f>IF($O186=0,0,        _xll.qDateNext($O185,AA$17,$AH$16,TRUE,Currency1))</f>
        <v>0</v>
      </c>
      <c r="AB185" s="882">
        <f>IF($O186=0,0,        _xll.qDateNext($O185,AB$17,$AH$16,TRUE,Currency1))</f>
        <v>0</v>
      </c>
      <c r="AC185" s="882">
        <f>IF($O186=0,0,        _xll.qDateNext($O185,AC$17,$AH$16,TRUE,Currency1))</f>
        <v>0</v>
      </c>
      <c r="AD185" s="882">
        <f>IF($O186=0,0,        _xll.qDateNext($O185,AD$17,$AH$16,TRUE,Currency1))</f>
        <v>0</v>
      </c>
      <c r="AE185" s="882">
        <f>IF($O186=0,0,        _xll.qDateNext($O185,AE$17,$AH$16,TRUE,Currency1))</f>
        <v>0</v>
      </c>
      <c r="AF185" s="882">
        <f>IF($O186=0,0,        _xll.qDateNext($O185,AF$17,$AH$16,TRUE,Currency1))</f>
        <v>0</v>
      </c>
      <c r="AG185" s="882">
        <f>IF($O186=0,0,        _xll.qDateNext($O185,AG$17,$AH$16,TRUE,Currency1))</f>
        <v>0</v>
      </c>
      <c r="AH185" s="882">
        <f>IF($O186=0,0,        _xll.qDateNext($O185,AH$17,$AH$16,TRUE,Currency1))</f>
        <v>0</v>
      </c>
      <c r="AI185" s="886">
        <f>IF($O186=0,0,           IF(FRM,_xll.qGetFwdRate(AI$14,$O185,AA185,"T",DCC_Leg1_Float),_xll.qGetFwdRate(AI$14,$O185,$O186,"T",DCC_Leg1_Float)))</f>
        <v>0</v>
      </c>
      <c r="AJ185" s="886">
        <f>IF($O186=0,0,           IF(FRM,_xll.qGetFwdRate(AJ$14,$O185,AB185,"T",DCC_Leg1_Float),_xll.qGetFwdRate(AJ$14,$O185,$O186,"T",DCC_Leg1_Float)))</f>
        <v>0</v>
      </c>
      <c r="AK185" s="886">
        <f t="shared" si="68"/>
        <v>0</v>
      </c>
      <c r="AL185" s="886">
        <f>IF($O186=0,0,           IF(FRM,_xll.qGetFwdRate(AL$14,$O185,AD185,"T",DCC_Leg1_Float),_xll.qGetFwdRate(AL$14,$O185,$O186,"T",DCC_Leg1_Float)))</f>
        <v>0</v>
      </c>
      <c r="AM185" s="886">
        <f t="shared" si="81"/>
        <v>0</v>
      </c>
      <c r="AN185" s="886">
        <f t="shared" si="82"/>
        <v>0</v>
      </c>
      <c r="AO185" s="886">
        <f>IF($O186=0,0,           IF(FRM,_xll.qGetFwdRate(AO$14,$O185,AG185,"T",DCC_Leg1_Float),_xll.qGetFwdRate(AO$14,$O185,$O186,"T",DCC_Leg1_Float)))</f>
        <v>0</v>
      </c>
      <c r="AP185" s="886">
        <f>IF($O186=0,0,           IF(FRM,_xll.qGetFwdRate(AP$14,$O185,AH185,"T",DCC_Leg1_Float),_xll.qGetFwdRate(AP$14,$O185,$O186,"T",DCC_Leg1_Float)))</f>
        <v>0</v>
      </c>
      <c r="AQ185" s="648">
        <f t="shared" si="83"/>
        <v>0</v>
      </c>
      <c r="AR185" s="648">
        <f t="shared" si="84"/>
        <v>0</v>
      </c>
      <c r="AS185" s="648">
        <f t="shared" si="85"/>
        <v>0</v>
      </c>
      <c r="AT185" s="648">
        <f t="shared" si="86"/>
        <v>0</v>
      </c>
      <c r="AU185" s="648">
        <f t="shared" si="87"/>
        <v>0</v>
      </c>
      <c r="AV185" s="648">
        <f t="shared" si="88"/>
        <v>0</v>
      </c>
      <c r="AW185" s="648">
        <f t="shared" si="89"/>
        <v>0</v>
      </c>
      <c r="AX185" s="648">
        <f t="shared" si="90"/>
        <v>0</v>
      </c>
      <c r="AY185" s="634">
        <v>0</v>
      </c>
      <c r="AZ185" s="616"/>
      <c r="BA185" s="619">
        <f>IF(O186=0,0,             IF(ISNUMBER(AZ185),AZ185,             IF(ISTEXT(AZ185),INDEX(AQ185:AX185,MATCH(AZ185,$AQ$17:$AX$17,0)),           IF(AY185="INT",_xll.qInterp(O186,AA185:AH185,AQ185:AX185),       INDEX(AQ185:AX185,MATCH(AY185,$AQ$17:$AX$17,0))))))</f>
        <v>0</v>
      </c>
      <c r="BB185" s="674">
        <v>100</v>
      </c>
      <c r="BC185" s="666">
        <f t="shared" si="69"/>
        <v>0</v>
      </c>
      <c r="BD185" s="268">
        <f>IF($O186=0,0,                IF(LEFT(DCC_Leg1_Fixed,2)="1/",uEvaluate(DCC_Leg1_Fixed),        _xll.qDateYears($O185,$O186,DCC_Leg1_Fixed)))</f>
        <v>0</v>
      </c>
      <c r="BE185" s="268">
        <f>IF($O186,_xll.qDateYears($O185,$O186,DCC_Leg1_Float),0)</f>
        <v>0</v>
      </c>
      <c r="BG185" s="332">
        <f t="shared" si="91"/>
        <v>0</v>
      </c>
      <c r="BH185" s="357">
        <f t="shared" si="92"/>
        <v>0</v>
      </c>
      <c r="BI185" s="527"/>
      <c r="BK185" s="324">
        <f t="shared" si="97"/>
        <v>0</v>
      </c>
      <c r="BM185" s="338"/>
      <c r="BN185" s="121">
        <v>0</v>
      </c>
      <c r="BO185" s="755">
        <f t="shared" si="70"/>
        <v>0</v>
      </c>
      <c r="BP185" s="339">
        <v>0</v>
      </c>
      <c r="BQ185" s="890">
        <f>IF(BN186=0,0,         IF(OR(Currency2="AUD",Currency1="NZD",Currency2="GBP"),BN185,   _xll.qDateNext(BN185,"-2b",,,IF(Currency2="EUR","TGT","LON"))))</f>
        <v>0</v>
      </c>
      <c r="BR185" s="879" t="str">
        <v/>
      </c>
      <c r="BS185" s="879" t="str">
        <v/>
      </c>
      <c r="BT185" s="879" t="str">
        <v/>
      </c>
      <c r="BU185" s="879" t="str">
        <v/>
      </c>
      <c r="BV185" s="879" t="str">
        <v/>
      </c>
      <c r="BW185" s="879" t="str">
        <v/>
      </c>
      <c r="BX185" s="879" t="str">
        <v/>
      </c>
      <c r="BY185" s="879" t="str">
        <v/>
      </c>
      <c r="BZ185" s="882">
        <f>IF($BN186=0,0,        _xll.qDateNext($BN185,BZ$17,$CG$16,TRUE,Currency2))</f>
        <v>0</v>
      </c>
      <c r="CA185" s="882">
        <f>IF($BN186=0,0,        _xll.qDateNext($BN185,CA$17,$CG$16,TRUE,Currency2))</f>
        <v>0</v>
      </c>
      <c r="CB185" s="882">
        <f>IF($BN186=0,0,        _xll.qDateNext($BN185,CB$17,$CG$16,TRUE,Currency2))</f>
        <v>0</v>
      </c>
      <c r="CC185" s="882">
        <f>IF($BN186=0,0,        _xll.qDateNext($BN185,CC$17,$CG$16,TRUE,Currency2))</f>
        <v>0</v>
      </c>
      <c r="CD185" s="882">
        <f>IF($BN186=0,0,        _xll.qDateNext($BN185,CD$17,$CG$16,TRUE,Currency2))</f>
        <v>0</v>
      </c>
      <c r="CE185" s="882">
        <f>IF($BN186=0,0,        _xll.qDateNext($BN185,CE$17,$CG$16,TRUE,Currency2))</f>
        <v>0</v>
      </c>
      <c r="CF185" s="882">
        <f>IF($BN186=0,0,        _xll.qDateNext($BN185,CF$17,$CG$16,TRUE,Currency2))</f>
        <v>0</v>
      </c>
      <c r="CG185" s="882">
        <f>IF($BN186=0,0,        _xll.qDateNext($BN185,CG$17,$CG$16,TRUE,Currency2))</f>
        <v>0</v>
      </c>
      <c r="CH185" s="886">
        <v>0</v>
      </c>
      <c r="CI185" s="886">
        <v>0</v>
      </c>
      <c r="CJ185" s="886">
        <v>0</v>
      </c>
      <c r="CK185" s="886">
        <v>0</v>
      </c>
      <c r="CL185" s="886">
        <f t="shared" si="93"/>
        <v>0</v>
      </c>
      <c r="CM185" s="886">
        <f t="shared" si="94"/>
        <v>0</v>
      </c>
      <c r="CN185" s="886">
        <v>0</v>
      </c>
      <c r="CO185" s="886">
        <v>0</v>
      </c>
      <c r="CP185" s="648">
        <f t="shared" si="71"/>
        <v>0</v>
      </c>
      <c r="CQ185" s="648">
        <f t="shared" si="72"/>
        <v>0</v>
      </c>
      <c r="CR185" s="648">
        <f t="shared" si="73"/>
        <v>0</v>
      </c>
      <c r="CS185" s="648">
        <f t="shared" si="74"/>
        <v>0</v>
      </c>
      <c r="CT185" s="648">
        <f t="shared" si="75"/>
        <v>0</v>
      </c>
      <c r="CU185" s="648">
        <f t="shared" si="76"/>
        <v>0</v>
      </c>
      <c r="CV185" s="648">
        <f t="shared" si="77"/>
        <v>0</v>
      </c>
      <c r="CW185" s="648">
        <f t="shared" si="78"/>
        <v>0</v>
      </c>
      <c r="CX185" s="634">
        <v>0</v>
      </c>
      <c r="CY185" s="616"/>
      <c r="CZ185" s="619">
        <f>IF(BN186=0,0,             IF(ISNUMBER(CY185),CY185,             IF(ISTEXT(CY185),INDEX(CP185:CW185,MATCH(CY185,$CP$17:$CW$17,0)),           IF(CX185="INT",_xll.qInterp(BN186,BZ185:CG185,CP185:CW185),       INDEX(CP185:CW185,MATCH(CX185,$CP$17:$CW$17,0))))))</f>
        <v>0</v>
      </c>
      <c r="DA185" s="755">
        <f t="shared" si="79"/>
        <v>0</v>
      </c>
      <c r="DB185" s="387">
        <f t="shared" si="80"/>
        <v>0</v>
      </c>
      <c r="DC185" s="268">
        <f>IF($BN186=0,0,         IF(LEFT(DCC_Leg2_Fixed,2)="1/",uEvaluate(DCC_Leg2_Fixed),         _xll.qDateYears($BN185,$BN186,DCC_Leg2_Fixed)))</f>
        <v>0</v>
      </c>
      <c r="DD185" s="268">
        <f>IF($BN186,_xll.qDateYears($BN185,$BN186,DCC_Leg2_Float),0)</f>
        <v>0</v>
      </c>
      <c r="DF185" s="332">
        <f t="shared" si="95"/>
        <v>0</v>
      </c>
      <c r="DG185" s="357">
        <f t="shared" si="96"/>
        <v>0</v>
      </c>
      <c r="DH185" s="527"/>
      <c r="DJ185" s="324">
        <f t="shared" si="98"/>
        <v>0</v>
      </c>
      <c r="DK185" s="529"/>
      <c r="DL185" s="338"/>
    </row>
    <row r="186" spans="15:116">
      <c r="O186" s="121">
        <v>0</v>
      </c>
      <c r="P186" s="755">
        <f t="shared" si="67"/>
        <v>0</v>
      </c>
      <c r="Q186" s="125">
        <v>0</v>
      </c>
      <c r="R186" s="890">
        <f>IF(O187=0,0,         IF(OR(Currency1="AUD",Currency1="NZD",Currency1="GBP"),O186,   _xll.qDateNext(O186,"-2b",,,IF(Currency1="EUR","TGT","LON"))))</f>
        <v>0</v>
      </c>
      <c r="S186" s="879" t="str">
        <v/>
      </c>
      <c r="T186" s="879" t="str">
        <v/>
      </c>
      <c r="U186" s="879" t="str">
        <v/>
      </c>
      <c r="V186" s="879" t="str">
        <v/>
      </c>
      <c r="W186" s="879" t="str">
        <v/>
      </c>
      <c r="X186" s="879" t="str">
        <v/>
      </c>
      <c r="Y186" s="879" t="str">
        <v/>
      </c>
      <c r="Z186" s="879" t="str">
        <v/>
      </c>
      <c r="AA186" s="882">
        <f>IF($O187=0,0,        _xll.qDateNext($O186,AA$17,$AH$16,TRUE,Currency1))</f>
        <v>0</v>
      </c>
      <c r="AB186" s="882">
        <f>IF($O187=0,0,        _xll.qDateNext($O186,AB$17,$AH$16,TRUE,Currency1))</f>
        <v>0</v>
      </c>
      <c r="AC186" s="882">
        <f>IF($O187=0,0,        _xll.qDateNext($O186,AC$17,$AH$16,TRUE,Currency1))</f>
        <v>0</v>
      </c>
      <c r="AD186" s="882">
        <f>IF($O187=0,0,        _xll.qDateNext($O186,AD$17,$AH$16,TRUE,Currency1))</f>
        <v>0</v>
      </c>
      <c r="AE186" s="882">
        <f>IF($O187=0,0,        _xll.qDateNext($O186,AE$17,$AH$16,TRUE,Currency1))</f>
        <v>0</v>
      </c>
      <c r="AF186" s="882">
        <f>IF($O187=0,0,        _xll.qDateNext($O186,AF$17,$AH$16,TRUE,Currency1))</f>
        <v>0</v>
      </c>
      <c r="AG186" s="882">
        <f>IF($O187=0,0,        _xll.qDateNext($O186,AG$17,$AH$16,TRUE,Currency1))</f>
        <v>0</v>
      </c>
      <c r="AH186" s="882">
        <f>IF($O187=0,0,        _xll.qDateNext($O186,AH$17,$AH$16,TRUE,Currency1))</f>
        <v>0</v>
      </c>
      <c r="AI186" s="886">
        <f>IF($O187=0,0,           IF(FRM,_xll.qGetFwdRate(AI$14,$O186,AA186,"T",DCC_Leg1_Float),_xll.qGetFwdRate(AI$14,$O186,$O187,"T",DCC_Leg1_Float)))</f>
        <v>0</v>
      </c>
      <c r="AJ186" s="886">
        <f>IF($O187=0,0,           IF(FRM,_xll.qGetFwdRate(AJ$14,$O186,AB186,"T",DCC_Leg1_Float),_xll.qGetFwdRate(AJ$14,$O186,$O187,"T",DCC_Leg1_Float)))</f>
        <v>0</v>
      </c>
      <c r="AK186" s="886">
        <f t="shared" si="68"/>
        <v>0</v>
      </c>
      <c r="AL186" s="886">
        <f>IF($O187=0,0,           IF(FRM,_xll.qGetFwdRate(AL$14,$O186,AD186,"T",DCC_Leg1_Float),_xll.qGetFwdRate(AL$14,$O186,$O187,"T",DCC_Leg1_Float)))</f>
        <v>0</v>
      </c>
      <c r="AM186" s="886">
        <f t="shared" si="81"/>
        <v>0</v>
      </c>
      <c r="AN186" s="886">
        <f t="shared" si="82"/>
        <v>0</v>
      </c>
      <c r="AO186" s="886">
        <f>IF($O187=0,0,           IF(FRM,_xll.qGetFwdRate(AO$14,$O186,AG186,"T",DCC_Leg1_Float),_xll.qGetFwdRate(AO$14,$O186,$O187,"T",DCC_Leg1_Float)))</f>
        <v>0</v>
      </c>
      <c r="AP186" s="886">
        <f>IF($O187=0,0,           IF(FRM,_xll.qGetFwdRate(AP$14,$O186,AH186,"T",DCC_Leg1_Float),_xll.qGetFwdRate(AP$14,$O186,$O187,"T",DCC_Leg1_Float)))</f>
        <v>0</v>
      </c>
      <c r="AQ186" s="648">
        <f t="shared" si="83"/>
        <v>0</v>
      </c>
      <c r="AR186" s="648">
        <f t="shared" si="84"/>
        <v>0</v>
      </c>
      <c r="AS186" s="648">
        <f t="shared" si="85"/>
        <v>0</v>
      </c>
      <c r="AT186" s="648">
        <f t="shared" si="86"/>
        <v>0</v>
      </c>
      <c r="AU186" s="648">
        <f t="shared" si="87"/>
        <v>0</v>
      </c>
      <c r="AV186" s="648">
        <f t="shared" si="88"/>
        <v>0</v>
      </c>
      <c r="AW186" s="648">
        <f t="shared" si="89"/>
        <v>0</v>
      </c>
      <c r="AX186" s="648">
        <f t="shared" si="90"/>
        <v>0</v>
      </c>
      <c r="AY186" s="634">
        <v>0</v>
      </c>
      <c r="AZ186" s="616"/>
      <c r="BA186" s="619">
        <f>IF(O187=0,0,             IF(ISNUMBER(AZ186),AZ186,             IF(ISTEXT(AZ186),INDEX(AQ186:AX186,MATCH(AZ186,$AQ$17:$AX$17,0)),           IF(AY186="INT",_xll.qInterp(O187,AA186:AH186,AQ186:AX186),       INDEX(AQ186:AX186,MATCH(AY186,$AQ$17:$AX$17,0))))))</f>
        <v>0</v>
      </c>
      <c r="BB186" s="674">
        <v>100</v>
      </c>
      <c r="BC186" s="666">
        <f t="shared" si="69"/>
        <v>0</v>
      </c>
      <c r="BD186" s="268">
        <f>IF($O187=0,0,                IF(LEFT(DCC_Leg1_Fixed,2)="1/",uEvaluate(DCC_Leg1_Fixed),        _xll.qDateYears($O186,$O187,DCC_Leg1_Fixed)))</f>
        <v>0</v>
      </c>
      <c r="BE186" s="268">
        <f>IF($O187,_xll.qDateYears($O186,$O187,DCC_Leg1_Float),0)</f>
        <v>0</v>
      </c>
      <c r="BG186" s="332">
        <f t="shared" si="91"/>
        <v>0</v>
      </c>
      <c r="BH186" s="357">
        <f t="shared" si="92"/>
        <v>0</v>
      </c>
      <c r="BI186" s="527"/>
      <c r="BK186" s="324">
        <f t="shared" si="97"/>
        <v>0</v>
      </c>
      <c r="BM186" s="338"/>
      <c r="BN186" s="121">
        <v>0</v>
      </c>
      <c r="BO186" s="755">
        <f t="shared" si="70"/>
        <v>0</v>
      </c>
      <c r="BP186" s="339">
        <v>0</v>
      </c>
      <c r="BQ186" s="890">
        <f>IF(BN187=0,0,         IF(OR(Currency2="AUD",Currency1="NZD",Currency2="GBP"),BN186,   _xll.qDateNext(BN186,"-2b",,,IF(Currency2="EUR","TGT","LON"))))</f>
        <v>0</v>
      </c>
      <c r="BR186" s="879" t="str">
        <v/>
      </c>
      <c r="BS186" s="879" t="str">
        <v/>
      </c>
      <c r="BT186" s="879" t="str">
        <v/>
      </c>
      <c r="BU186" s="879" t="str">
        <v/>
      </c>
      <c r="BV186" s="879" t="str">
        <v/>
      </c>
      <c r="BW186" s="879" t="str">
        <v/>
      </c>
      <c r="BX186" s="879" t="str">
        <v/>
      </c>
      <c r="BY186" s="879" t="str">
        <v/>
      </c>
      <c r="BZ186" s="882">
        <f>IF($BN187=0,0,        _xll.qDateNext($BN186,BZ$17,$CG$16,TRUE,Currency2))</f>
        <v>0</v>
      </c>
      <c r="CA186" s="882">
        <f>IF($BN187=0,0,        _xll.qDateNext($BN186,CA$17,$CG$16,TRUE,Currency2))</f>
        <v>0</v>
      </c>
      <c r="CB186" s="882">
        <f>IF($BN187=0,0,        _xll.qDateNext($BN186,CB$17,$CG$16,TRUE,Currency2))</f>
        <v>0</v>
      </c>
      <c r="CC186" s="882">
        <f>IF($BN187=0,0,        _xll.qDateNext($BN186,CC$17,$CG$16,TRUE,Currency2))</f>
        <v>0</v>
      </c>
      <c r="CD186" s="882">
        <f>IF($BN187=0,0,        _xll.qDateNext($BN186,CD$17,$CG$16,TRUE,Currency2))</f>
        <v>0</v>
      </c>
      <c r="CE186" s="882">
        <f>IF($BN187=0,0,        _xll.qDateNext($BN186,CE$17,$CG$16,TRUE,Currency2))</f>
        <v>0</v>
      </c>
      <c r="CF186" s="882">
        <f>IF($BN187=0,0,        _xll.qDateNext($BN186,CF$17,$CG$16,TRUE,Currency2))</f>
        <v>0</v>
      </c>
      <c r="CG186" s="882">
        <f>IF($BN187=0,0,        _xll.qDateNext($BN186,CG$17,$CG$16,TRUE,Currency2))</f>
        <v>0</v>
      </c>
      <c r="CH186" s="886">
        <v>0</v>
      </c>
      <c r="CI186" s="886">
        <v>0</v>
      </c>
      <c r="CJ186" s="886">
        <v>0</v>
      </c>
      <c r="CK186" s="886">
        <v>0</v>
      </c>
      <c r="CL186" s="886">
        <f t="shared" si="93"/>
        <v>0</v>
      </c>
      <c r="CM186" s="886">
        <f t="shared" si="94"/>
        <v>0</v>
      </c>
      <c r="CN186" s="886">
        <v>0</v>
      </c>
      <c r="CO186" s="886">
        <v>0</v>
      </c>
      <c r="CP186" s="648">
        <f t="shared" si="71"/>
        <v>0</v>
      </c>
      <c r="CQ186" s="648">
        <f t="shared" si="72"/>
        <v>0</v>
      </c>
      <c r="CR186" s="648">
        <f t="shared" si="73"/>
        <v>0</v>
      </c>
      <c r="CS186" s="648">
        <f t="shared" si="74"/>
        <v>0</v>
      </c>
      <c r="CT186" s="648">
        <f t="shared" si="75"/>
        <v>0</v>
      </c>
      <c r="CU186" s="648">
        <f t="shared" si="76"/>
        <v>0</v>
      </c>
      <c r="CV186" s="648">
        <f t="shared" si="77"/>
        <v>0</v>
      </c>
      <c r="CW186" s="648">
        <f t="shared" si="78"/>
        <v>0</v>
      </c>
      <c r="CX186" s="634">
        <v>0</v>
      </c>
      <c r="CY186" s="616"/>
      <c r="CZ186" s="619">
        <f>IF(BN187=0,0,             IF(ISNUMBER(CY186),CY186,             IF(ISTEXT(CY186),INDEX(CP186:CW186,MATCH(CY186,$CP$17:$CW$17,0)),           IF(CX186="INT",_xll.qInterp(BN187,BZ186:CG186,CP186:CW186),       INDEX(CP186:CW186,MATCH(CX186,$CP$17:$CW$17,0))))))</f>
        <v>0</v>
      </c>
      <c r="DA186" s="755">
        <f t="shared" si="79"/>
        <v>0</v>
      </c>
      <c r="DB186" s="387">
        <f t="shared" si="80"/>
        <v>0</v>
      </c>
      <c r="DC186" s="268">
        <f>IF($BN187=0,0,         IF(LEFT(DCC_Leg2_Fixed,2)="1/",uEvaluate(DCC_Leg2_Fixed),         _xll.qDateYears($BN186,$BN187,DCC_Leg2_Fixed)))</f>
        <v>0</v>
      </c>
      <c r="DD186" s="268">
        <f>IF($BN187,_xll.qDateYears($BN186,$BN187,DCC_Leg2_Float),0)</f>
        <v>0</v>
      </c>
      <c r="DF186" s="332">
        <f t="shared" si="95"/>
        <v>0</v>
      </c>
      <c r="DG186" s="357">
        <f t="shared" si="96"/>
        <v>0</v>
      </c>
      <c r="DH186" s="527"/>
      <c r="DJ186" s="324">
        <f t="shared" si="98"/>
        <v>0</v>
      </c>
      <c r="DK186" s="529"/>
      <c r="DL186" s="338"/>
    </row>
    <row r="187" spans="15:116">
      <c r="O187" s="121">
        <v>0</v>
      </c>
      <c r="P187" s="755">
        <f t="shared" si="67"/>
        <v>0</v>
      </c>
      <c r="Q187" s="125">
        <v>0</v>
      </c>
      <c r="R187" s="890">
        <f>IF(O188=0,0,         IF(OR(Currency1="AUD",Currency1="NZD",Currency1="GBP"),O187,   _xll.qDateNext(O187,"-2b",,,IF(Currency1="EUR","TGT","LON"))))</f>
        <v>0</v>
      </c>
      <c r="S187" s="879" t="str">
        <v/>
      </c>
      <c r="T187" s="879" t="str">
        <v/>
      </c>
      <c r="U187" s="879" t="str">
        <v/>
      </c>
      <c r="V187" s="879" t="str">
        <v/>
      </c>
      <c r="W187" s="879" t="str">
        <v/>
      </c>
      <c r="X187" s="879" t="str">
        <v/>
      </c>
      <c r="Y187" s="879" t="str">
        <v/>
      </c>
      <c r="Z187" s="879" t="str">
        <v/>
      </c>
      <c r="AA187" s="882">
        <f>IF($O188=0,0,        _xll.qDateNext($O187,AA$17,$AH$16,TRUE,Currency1))</f>
        <v>0</v>
      </c>
      <c r="AB187" s="882">
        <f>IF($O188=0,0,        _xll.qDateNext($O187,AB$17,$AH$16,TRUE,Currency1))</f>
        <v>0</v>
      </c>
      <c r="AC187" s="882">
        <f>IF($O188=0,0,        _xll.qDateNext($O187,AC$17,$AH$16,TRUE,Currency1))</f>
        <v>0</v>
      </c>
      <c r="AD187" s="882">
        <f>IF($O188=0,0,        _xll.qDateNext($O187,AD$17,$AH$16,TRUE,Currency1))</f>
        <v>0</v>
      </c>
      <c r="AE187" s="882">
        <f>IF($O188=0,0,        _xll.qDateNext($O187,AE$17,$AH$16,TRUE,Currency1))</f>
        <v>0</v>
      </c>
      <c r="AF187" s="882">
        <f>IF($O188=0,0,        _xll.qDateNext($O187,AF$17,$AH$16,TRUE,Currency1))</f>
        <v>0</v>
      </c>
      <c r="AG187" s="882">
        <f>IF($O188=0,0,        _xll.qDateNext($O187,AG$17,$AH$16,TRUE,Currency1))</f>
        <v>0</v>
      </c>
      <c r="AH187" s="882">
        <f>IF($O188=0,0,        _xll.qDateNext($O187,AH$17,$AH$16,TRUE,Currency1))</f>
        <v>0</v>
      </c>
      <c r="AI187" s="886">
        <f>IF($O188=0,0,           IF(FRM,_xll.qGetFwdRate(AI$14,$O187,AA187,"T",DCC_Leg1_Float),_xll.qGetFwdRate(AI$14,$O187,$O188,"T",DCC_Leg1_Float)))</f>
        <v>0</v>
      </c>
      <c r="AJ187" s="886">
        <f>IF($O188=0,0,           IF(FRM,_xll.qGetFwdRate(AJ$14,$O187,AB187,"T",DCC_Leg1_Float),_xll.qGetFwdRate(AJ$14,$O187,$O188,"T",DCC_Leg1_Float)))</f>
        <v>0</v>
      </c>
      <c r="AK187" s="886">
        <f t="shared" si="68"/>
        <v>0</v>
      </c>
      <c r="AL187" s="886">
        <f>IF($O188=0,0,           IF(FRM,_xll.qGetFwdRate(AL$14,$O187,AD187,"T",DCC_Leg1_Float),_xll.qGetFwdRate(AL$14,$O187,$O188,"T",DCC_Leg1_Float)))</f>
        <v>0</v>
      </c>
      <c r="AM187" s="886">
        <f t="shared" si="81"/>
        <v>0</v>
      </c>
      <c r="AN187" s="886">
        <f t="shared" si="82"/>
        <v>0</v>
      </c>
      <c r="AO187" s="886">
        <f>IF($O188=0,0,           IF(FRM,_xll.qGetFwdRate(AO$14,$O187,AG187,"T",DCC_Leg1_Float),_xll.qGetFwdRate(AO$14,$O187,$O188,"T",DCC_Leg1_Float)))</f>
        <v>0</v>
      </c>
      <c r="AP187" s="886">
        <f>IF($O188=0,0,           IF(FRM,_xll.qGetFwdRate(AP$14,$O187,AH187,"T",DCC_Leg1_Float),_xll.qGetFwdRate(AP$14,$O187,$O188,"T",DCC_Leg1_Float)))</f>
        <v>0</v>
      </c>
      <c r="AQ187" s="648">
        <f t="shared" si="83"/>
        <v>0</v>
      </c>
      <c r="AR187" s="648">
        <f t="shared" si="84"/>
        <v>0</v>
      </c>
      <c r="AS187" s="648">
        <f t="shared" si="85"/>
        <v>0</v>
      </c>
      <c r="AT187" s="648">
        <f t="shared" si="86"/>
        <v>0</v>
      </c>
      <c r="AU187" s="648">
        <f t="shared" si="87"/>
        <v>0</v>
      </c>
      <c r="AV187" s="648">
        <f t="shared" si="88"/>
        <v>0</v>
      </c>
      <c r="AW187" s="648">
        <f t="shared" si="89"/>
        <v>0</v>
      </c>
      <c r="AX187" s="648">
        <f t="shared" si="90"/>
        <v>0</v>
      </c>
      <c r="AY187" s="634">
        <v>0</v>
      </c>
      <c r="AZ187" s="616"/>
      <c r="BA187" s="619">
        <f>IF(O188=0,0,             IF(ISNUMBER(AZ187),AZ187,             IF(ISTEXT(AZ187),INDEX(AQ187:AX187,MATCH(AZ187,$AQ$17:$AX$17,0)),           IF(AY187="INT",_xll.qInterp(O188,AA187:AH187,AQ187:AX187),       INDEX(AQ187:AX187,MATCH(AY187,$AQ$17:$AX$17,0))))))</f>
        <v>0</v>
      </c>
      <c r="BB187" s="674">
        <v>100</v>
      </c>
      <c r="BC187" s="666">
        <f t="shared" si="69"/>
        <v>0</v>
      </c>
      <c r="BD187" s="268">
        <f>IF($O188=0,0,                IF(LEFT(DCC_Leg1_Fixed,2)="1/",uEvaluate(DCC_Leg1_Fixed),        _xll.qDateYears($O187,$O188,DCC_Leg1_Fixed)))</f>
        <v>0</v>
      </c>
      <c r="BE187" s="268">
        <f>IF($O188,_xll.qDateYears($O187,$O188,DCC_Leg1_Float),0)</f>
        <v>0</v>
      </c>
      <c r="BG187" s="332">
        <f t="shared" si="91"/>
        <v>0</v>
      </c>
      <c r="BH187" s="357">
        <f t="shared" si="92"/>
        <v>0</v>
      </c>
      <c r="BI187" s="527"/>
      <c r="BK187" s="324">
        <f t="shared" si="97"/>
        <v>0</v>
      </c>
      <c r="BM187" s="338"/>
      <c r="BN187" s="121">
        <v>0</v>
      </c>
      <c r="BO187" s="755">
        <f t="shared" si="70"/>
        <v>0</v>
      </c>
      <c r="BP187" s="339">
        <v>0</v>
      </c>
      <c r="BQ187" s="890">
        <f>IF(BN188=0,0,         IF(OR(Currency2="AUD",Currency1="NZD",Currency2="GBP"),BN187,   _xll.qDateNext(BN187,"-2b",,,IF(Currency2="EUR","TGT","LON"))))</f>
        <v>0</v>
      </c>
      <c r="BR187" s="879" t="str">
        <v/>
      </c>
      <c r="BS187" s="879" t="str">
        <v/>
      </c>
      <c r="BT187" s="879" t="str">
        <v/>
      </c>
      <c r="BU187" s="879" t="str">
        <v/>
      </c>
      <c r="BV187" s="879" t="str">
        <v/>
      </c>
      <c r="BW187" s="879" t="str">
        <v/>
      </c>
      <c r="BX187" s="879" t="str">
        <v/>
      </c>
      <c r="BY187" s="879" t="str">
        <v/>
      </c>
      <c r="BZ187" s="882">
        <f>IF($BN188=0,0,        _xll.qDateNext($BN187,BZ$17,$CG$16,TRUE,Currency2))</f>
        <v>0</v>
      </c>
      <c r="CA187" s="882">
        <f>IF($BN188=0,0,        _xll.qDateNext($BN187,CA$17,$CG$16,TRUE,Currency2))</f>
        <v>0</v>
      </c>
      <c r="CB187" s="882">
        <f>IF($BN188=0,0,        _xll.qDateNext($BN187,CB$17,$CG$16,TRUE,Currency2))</f>
        <v>0</v>
      </c>
      <c r="CC187" s="882">
        <f>IF($BN188=0,0,        _xll.qDateNext($BN187,CC$17,$CG$16,TRUE,Currency2))</f>
        <v>0</v>
      </c>
      <c r="CD187" s="882">
        <f>IF($BN188=0,0,        _xll.qDateNext($BN187,CD$17,$CG$16,TRUE,Currency2))</f>
        <v>0</v>
      </c>
      <c r="CE187" s="882">
        <f>IF($BN188=0,0,        _xll.qDateNext($BN187,CE$17,$CG$16,TRUE,Currency2))</f>
        <v>0</v>
      </c>
      <c r="CF187" s="882">
        <f>IF($BN188=0,0,        _xll.qDateNext($BN187,CF$17,$CG$16,TRUE,Currency2))</f>
        <v>0</v>
      </c>
      <c r="CG187" s="882">
        <f>IF($BN188=0,0,        _xll.qDateNext($BN187,CG$17,$CG$16,TRUE,Currency2))</f>
        <v>0</v>
      </c>
      <c r="CH187" s="886">
        <v>0</v>
      </c>
      <c r="CI187" s="886">
        <v>0</v>
      </c>
      <c r="CJ187" s="886">
        <v>0</v>
      </c>
      <c r="CK187" s="886">
        <v>0</v>
      </c>
      <c r="CL187" s="886">
        <f t="shared" si="93"/>
        <v>0</v>
      </c>
      <c r="CM187" s="886">
        <f t="shared" si="94"/>
        <v>0</v>
      </c>
      <c r="CN187" s="886">
        <v>0</v>
      </c>
      <c r="CO187" s="886">
        <v>0</v>
      </c>
      <c r="CP187" s="648">
        <f t="shared" si="71"/>
        <v>0</v>
      </c>
      <c r="CQ187" s="648">
        <f t="shared" si="72"/>
        <v>0</v>
      </c>
      <c r="CR187" s="648">
        <f t="shared" si="73"/>
        <v>0</v>
      </c>
      <c r="CS187" s="648">
        <f t="shared" si="74"/>
        <v>0</v>
      </c>
      <c r="CT187" s="648">
        <f t="shared" si="75"/>
        <v>0</v>
      </c>
      <c r="CU187" s="648">
        <f t="shared" si="76"/>
        <v>0</v>
      </c>
      <c r="CV187" s="648">
        <f t="shared" si="77"/>
        <v>0</v>
      </c>
      <c r="CW187" s="648">
        <f t="shared" si="78"/>
        <v>0</v>
      </c>
      <c r="CX187" s="634">
        <v>0</v>
      </c>
      <c r="CY187" s="616"/>
      <c r="CZ187" s="619">
        <f>IF(BN188=0,0,             IF(ISNUMBER(CY187),CY187,             IF(ISTEXT(CY187),INDEX(CP187:CW187,MATCH(CY187,$CP$17:$CW$17,0)),           IF(CX187="INT",_xll.qInterp(BN188,BZ187:CG187,CP187:CW187),       INDEX(CP187:CW187,MATCH(CX187,$CP$17:$CW$17,0))))))</f>
        <v>0</v>
      </c>
      <c r="DA187" s="755">
        <f t="shared" si="79"/>
        <v>0</v>
      </c>
      <c r="DB187" s="387">
        <f t="shared" si="80"/>
        <v>0</v>
      </c>
      <c r="DC187" s="268">
        <f>IF($BN188=0,0,         IF(LEFT(DCC_Leg2_Fixed,2)="1/",uEvaluate(DCC_Leg2_Fixed),         _xll.qDateYears($BN187,$BN188,DCC_Leg2_Fixed)))</f>
        <v>0</v>
      </c>
      <c r="DD187" s="268">
        <f>IF($BN188,_xll.qDateYears($BN187,$BN188,DCC_Leg2_Float),0)</f>
        <v>0</v>
      </c>
      <c r="DF187" s="332">
        <f t="shared" si="95"/>
        <v>0</v>
      </c>
      <c r="DG187" s="357">
        <f t="shared" si="96"/>
        <v>0</v>
      </c>
      <c r="DH187" s="527"/>
      <c r="DJ187" s="324">
        <f t="shared" si="98"/>
        <v>0</v>
      </c>
      <c r="DK187" s="529"/>
      <c r="DL187" s="338"/>
    </row>
    <row r="188" spans="15:116">
      <c r="O188" s="121">
        <v>0</v>
      </c>
      <c r="P188" s="755">
        <f t="shared" si="67"/>
        <v>0</v>
      </c>
      <c r="Q188" s="125">
        <v>0</v>
      </c>
      <c r="R188" s="890">
        <f>IF(O189=0,0,         IF(OR(Currency1="AUD",Currency1="NZD",Currency1="GBP"),O188,   _xll.qDateNext(O188,"-2b",,,IF(Currency1="EUR","TGT","LON"))))</f>
        <v>0</v>
      </c>
      <c r="S188" s="879" t="str">
        <v/>
      </c>
      <c r="T188" s="879" t="str">
        <v/>
      </c>
      <c r="U188" s="879" t="str">
        <v/>
      </c>
      <c r="V188" s="879" t="str">
        <v/>
      </c>
      <c r="W188" s="879" t="str">
        <v/>
      </c>
      <c r="X188" s="879" t="str">
        <v/>
      </c>
      <c r="Y188" s="879" t="str">
        <v/>
      </c>
      <c r="Z188" s="879" t="str">
        <v/>
      </c>
      <c r="AA188" s="882">
        <f>IF($O189=0,0,        _xll.qDateNext($O188,AA$17,$AH$16,TRUE,Currency1))</f>
        <v>0</v>
      </c>
      <c r="AB188" s="882">
        <f>IF($O189=0,0,        _xll.qDateNext($O188,AB$17,$AH$16,TRUE,Currency1))</f>
        <v>0</v>
      </c>
      <c r="AC188" s="882">
        <f>IF($O189=0,0,        _xll.qDateNext($O188,AC$17,$AH$16,TRUE,Currency1))</f>
        <v>0</v>
      </c>
      <c r="AD188" s="882">
        <f>IF($O189=0,0,        _xll.qDateNext($O188,AD$17,$AH$16,TRUE,Currency1))</f>
        <v>0</v>
      </c>
      <c r="AE188" s="882">
        <f>IF($O189=0,0,        _xll.qDateNext($O188,AE$17,$AH$16,TRUE,Currency1))</f>
        <v>0</v>
      </c>
      <c r="AF188" s="882">
        <f>IF($O189=0,0,        _xll.qDateNext($O188,AF$17,$AH$16,TRUE,Currency1))</f>
        <v>0</v>
      </c>
      <c r="AG188" s="882">
        <f>IF($O189=0,0,        _xll.qDateNext($O188,AG$17,$AH$16,TRUE,Currency1))</f>
        <v>0</v>
      </c>
      <c r="AH188" s="882">
        <f>IF($O189=0,0,        _xll.qDateNext($O188,AH$17,$AH$16,TRUE,Currency1))</f>
        <v>0</v>
      </c>
      <c r="AI188" s="886">
        <f>IF($O189=0,0,           IF(FRM,_xll.qGetFwdRate(AI$14,$O188,AA188,"T",DCC_Leg1_Float),_xll.qGetFwdRate(AI$14,$O188,$O189,"T",DCC_Leg1_Float)))</f>
        <v>0</v>
      </c>
      <c r="AJ188" s="886">
        <f>IF($O189=0,0,           IF(FRM,_xll.qGetFwdRate(AJ$14,$O188,AB188,"T",DCC_Leg1_Float),_xll.qGetFwdRate(AJ$14,$O188,$O189,"T",DCC_Leg1_Float)))</f>
        <v>0</v>
      </c>
      <c r="AK188" s="886">
        <f t="shared" si="68"/>
        <v>0</v>
      </c>
      <c r="AL188" s="886">
        <f>IF($O189=0,0,           IF(FRM,_xll.qGetFwdRate(AL$14,$O188,AD188,"T",DCC_Leg1_Float),_xll.qGetFwdRate(AL$14,$O188,$O189,"T",DCC_Leg1_Float)))</f>
        <v>0</v>
      </c>
      <c r="AM188" s="886">
        <f t="shared" si="81"/>
        <v>0</v>
      </c>
      <c r="AN188" s="886">
        <f t="shared" si="82"/>
        <v>0</v>
      </c>
      <c r="AO188" s="886">
        <f>IF($O189=0,0,           IF(FRM,_xll.qGetFwdRate(AO$14,$O188,AG188,"T",DCC_Leg1_Float),_xll.qGetFwdRate(AO$14,$O188,$O189,"T",DCC_Leg1_Float)))</f>
        <v>0</v>
      </c>
      <c r="AP188" s="886">
        <f>IF($O189=0,0,           IF(FRM,_xll.qGetFwdRate(AP$14,$O188,AH188,"T",DCC_Leg1_Float),_xll.qGetFwdRate(AP$14,$O188,$O189,"T",DCC_Leg1_Float)))</f>
        <v>0</v>
      </c>
      <c r="AQ188" s="648">
        <f t="shared" si="83"/>
        <v>0</v>
      </c>
      <c r="AR188" s="648">
        <f t="shared" si="84"/>
        <v>0</v>
      </c>
      <c r="AS188" s="648">
        <f t="shared" si="85"/>
        <v>0</v>
      </c>
      <c r="AT188" s="648">
        <f t="shared" si="86"/>
        <v>0</v>
      </c>
      <c r="AU188" s="648">
        <f t="shared" si="87"/>
        <v>0</v>
      </c>
      <c r="AV188" s="648">
        <f t="shared" si="88"/>
        <v>0</v>
      </c>
      <c r="AW188" s="648">
        <f t="shared" si="89"/>
        <v>0</v>
      </c>
      <c r="AX188" s="648">
        <f t="shared" si="90"/>
        <v>0</v>
      </c>
      <c r="AY188" s="634">
        <v>0</v>
      </c>
      <c r="AZ188" s="616"/>
      <c r="BA188" s="619">
        <f>IF(O189=0,0,             IF(ISNUMBER(AZ188),AZ188,             IF(ISTEXT(AZ188),INDEX(AQ188:AX188,MATCH(AZ188,$AQ$17:$AX$17,0)),           IF(AY188="INT",_xll.qInterp(O189,AA188:AH188,AQ188:AX188),       INDEX(AQ188:AX188,MATCH(AY188,$AQ$17:$AX$17,0))))))</f>
        <v>0</v>
      </c>
      <c r="BB188" s="674">
        <v>100</v>
      </c>
      <c r="BC188" s="666">
        <f t="shared" si="69"/>
        <v>0</v>
      </c>
      <c r="BD188" s="268">
        <f>IF($O189=0,0,                IF(LEFT(DCC_Leg1_Fixed,2)="1/",uEvaluate(DCC_Leg1_Fixed),        _xll.qDateYears($O188,$O189,DCC_Leg1_Fixed)))</f>
        <v>0</v>
      </c>
      <c r="BE188" s="268">
        <f>IF($O189,_xll.qDateYears($O188,$O189,DCC_Leg1_Float),0)</f>
        <v>0</v>
      </c>
      <c r="BG188" s="332">
        <f t="shared" si="91"/>
        <v>0</v>
      </c>
      <c r="BH188" s="357">
        <f t="shared" si="92"/>
        <v>0</v>
      </c>
      <c r="BI188" s="527"/>
      <c r="BK188" s="324">
        <f t="shared" si="97"/>
        <v>0</v>
      </c>
      <c r="BM188" s="338"/>
      <c r="BN188" s="121">
        <v>0</v>
      </c>
      <c r="BO188" s="755">
        <f t="shared" si="70"/>
        <v>0</v>
      </c>
      <c r="BP188" s="339">
        <v>0</v>
      </c>
      <c r="BQ188" s="890">
        <f>IF(BN189=0,0,         IF(OR(Currency2="AUD",Currency1="NZD",Currency2="GBP"),BN188,   _xll.qDateNext(BN188,"-2b",,,IF(Currency2="EUR","TGT","LON"))))</f>
        <v>0</v>
      </c>
      <c r="BR188" s="879" t="str">
        <v/>
      </c>
      <c r="BS188" s="879" t="str">
        <v/>
      </c>
      <c r="BT188" s="879" t="str">
        <v/>
      </c>
      <c r="BU188" s="879" t="str">
        <v/>
      </c>
      <c r="BV188" s="879" t="str">
        <v/>
      </c>
      <c r="BW188" s="879" t="str">
        <v/>
      </c>
      <c r="BX188" s="879" t="str">
        <v/>
      </c>
      <c r="BY188" s="879" t="str">
        <v/>
      </c>
      <c r="BZ188" s="882">
        <f>IF($BN189=0,0,        _xll.qDateNext($BN188,BZ$17,$CG$16,TRUE,Currency2))</f>
        <v>0</v>
      </c>
      <c r="CA188" s="882">
        <f>IF($BN189=0,0,        _xll.qDateNext($BN188,CA$17,$CG$16,TRUE,Currency2))</f>
        <v>0</v>
      </c>
      <c r="CB188" s="882">
        <f>IF($BN189=0,0,        _xll.qDateNext($BN188,CB$17,$CG$16,TRUE,Currency2))</f>
        <v>0</v>
      </c>
      <c r="CC188" s="882">
        <f>IF($BN189=0,0,        _xll.qDateNext($BN188,CC$17,$CG$16,TRUE,Currency2))</f>
        <v>0</v>
      </c>
      <c r="CD188" s="882">
        <f>IF($BN189=0,0,        _xll.qDateNext($BN188,CD$17,$CG$16,TRUE,Currency2))</f>
        <v>0</v>
      </c>
      <c r="CE188" s="882">
        <f>IF($BN189=0,0,        _xll.qDateNext($BN188,CE$17,$CG$16,TRUE,Currency2))</f>
        <v>0</v>
      </c>
      <c r="CF188" s="882">
        <f>IF($BN189=0,0,        _xll.qDateNext($BN188,CF$17,$CG$16,TRUE,Currency2))</f>
        <v>0</v>
      </c>
      <c r="CG188" s="882">
        <f>IF($BN189=0,0,        _xll.qDateNext($BN188,CG$17,$CG$16,TRUE,Currency2))</f>
        <v>0</v>
      </c>
      <c r="CH188" s="886">
        <v>0</v>
      </c>
      <c r="CI188" s="886">
        <v>0</v>
      </c>
      <c r="CJ188" s="886">
        <v>0</v>
      </c>
      <c r="CK188" s="886">
        <v>0</v>
      </c>
      <c r="CL188" s="886">
        <f t="shared" si="93"/>
        <v>0</v>
      </c>
      <c r="CM188" s="886">
        <f t="shared" si="94"/>
        <v>0</v>
      </c>
      <c r="CN188" s="886">
        <v>0</v>
      </c>
      <c r="CO188" s="886">
        <v>0</v>
      </c>
      <c r="CP188" s="648">
        <f t="shared" si="71"/>
        <v>0</v>
      </c>
      <c r="CQ188" s="648">
        <f t="shared" si="72"/>
        <v>0</v>
      </c>
      <c r="CR188" s="648">
        <f t="shared" si="73"/>
        <v>0</v>
      </c>
      <c r="CS188" s="648">
        <f t="shared" si="74"/>
        <v>0</v>
      </c>
      <c r="CT188" s="648">
        <f t="shared" si="75"/>
        <v>0</v>
      </c>
      <c r="CU188" s="648">
        <f t="shared" si="76"/>
        <v>0</v>
      </c>
      <c r="CV188" s="648">
        <f t="shared" si="77"/>
        <v>0</v>
      </c>
      <c r="CW188" s="648">
        <f t="shared" si="78"/>
        <v>0</v>
      </c>
      <c r="CX188" s="634">
        <v>0</v>
      </c>
      <c r="CY188" s="616"/>
      <c r="CZ188" s="619">
        <f>IF(BN189=0,0,             IF(ISNUMBER(CY188),CY188,             IF(ISTEXT(CY188),INDEX(CP188:CW188,MATCH(CY188,$CP$17:$CW$17,0)),           IF(CX188="INT",_xll.qInterp(BN189,BZ188:CG188,CP188:CW188),       INDEX(CP188:CW188,MATCH(CX188,$CP$17:$CW$17,0))))))</f>
        <v>0</v>
      </c>
      <c r="DA188" s="755">
        <f t="shared" si="79"/>
        <v>0</v>
      </c>
      <c r="DB188" s="387">
        <f t="shared" si="80"/>
        <v>0</v>
      </c>
      <c r="DC188" s="268">
        <f>IF($BN189=0,0,         IF(LEFT(DCC_Leg2_Fixed,2)="1/",uEvaluate(DCC_Leg2_Fixed),         _xll.qDateYears($BN188,$BN189,DCC_Leg2_Fixed)))</f>
        <v>0</v>
      </c>
      <c r="DD188" s="268">
        <f>IF($BN189,_xll.qDateYears($BN188,$BN189,DCC_Leg2_Float),0)</f>
        <v>0</v>
      </c>
      <c r="DF188" s="332">
        <f t="shared" si="95"/>
        <v>0</v>
      </c>
      <c r="DG188" s="357">
        <f t="shared" si="96"/>
        <v>0</v>
      </c>
      <c r="DH188" s="527"/>
      <c r="DJ188" s="324">
        <f t="shared" si="98"/>
        <v>0</v>
      </c>
      <c r="DK188" s="529"/>
      <c r="DL188" s="338"/>
    </row>
    <row r="189" spans="15:116">
      <c r="O189" s="121">
        <v>0</v>
      </c>
      <c r="P189" s="755">
        <f t="shared" si="67"/>
        <v>0</v>
      </c>
      <c r="Q189" s="125">
        <v>0</v>
      </c>
      <c r="R189" s="890">
        <f>IF(O190=0,0,         IF(OR(Currency1="AUD",Currency1="NZD",Currency1="GBP"),O189,   _xll.qDateNext(O189,"-2b",,,IF(Currency1="EUR","TGT","LON"))))</f>
        <v>0</v>
      </c>
      <c r="S189" s="879" t="str">
        <v/>
      </c>
      <c r="T189" s="879" t="str">
        <v/>
      </c>
      <c r="U189" s="879" t="str">
        <v/>
      </c>
      <c r="V189" s="879" t="str">
        <v/>
      </c>
      <c r="W189" s="879" t="str">
        <v/>
      </c>
      <c r="X189" s="879" t="str">
        <v/>
      </c>
      <c r="Y189" s="879" t="str">
        <v/>
      </c>
      <c r="Z189" s="879" t="str">
        <v/>
      </c>
      <c r="AA189" s="882">
        <f>IF($O190=0,0,        _xll.qDateNext($O189,AA$17,$AH$16,TRUE,Currency1))</f>
        <v>0</v>
      </c>
      <c r="AB189" s="882">
        <f>IF($O190=0,0,        _xll.qDateNext($O189,AB$17,$AH$16,TRUE,Currency1))</f>
        <v>0</v>
      </c>
      <c r="AC189" s="882">
        <f>IF($O190=0,0,        _xll.qDateNext($O189,AC$17,$AH$16,TRUE,Currency1))</f>
        <v>0</v>
      </c>
      <c r="AD189" s="882">
        <f>IF($O190=0,0,        _xll.qDateNext($O189,AD$17,$AH$16,TRUE,Currency1))</f>
        <v>0</v>
      </c>
      <c r="AE189" s="882">
        <f>IF($O190=0,0,        _xll.qDateNext($O189,AE$17,$AH$16,TRUE,Currency1))</f>
        <v>0</v>
      </c>
      <c r="AF189" s="882">
        <f>IF($O190=0,0,        _xll.qDateNext($O189,AF$17,$AH$16,TRUE,Currency1))</f>
        <v>0</v>
      </c>
      <c r="AG189" s="882">
        <f>IF($O190=0,0,        _xll.qDateNext($O189,AG$17,$AH$16,TRUE,Currency1))</f>
        <v>0</v>
      </c>
      <c r="AH189" s="882">
        <f>IF($O190=0,0,        _xll.qDateNext($O189,AH$17,$AH$16,TRUE,Currency1))</f>
        <v>0</v>
      </c>
      <c r="AI189" s="886">
        <f>IF($O190=0,0,           IF(FRM,_xll.qGetFwdRate(AI$14,$O189,AA189,"T",DCC_Leg1_Float),_xll.qGetFwdRate(AI$14,$O189,$O190,"T",DCC_Leg1_Float)))</f>
        <v>0</v>
      </c>
      <c r="AJ189" s="886">
        <f>IF($O190=0,0,           IF(FRM,_xll.qGetFwdRate(AJ$14,$O189,AB189,"T",DCC_Leg1_Float),_xll.qGetFwdRate(AJ$14,$O189,$O190,"T",DCC_Leg1_Float)))</f>
        <v>0</v>
      </c>
      <c r="AK189" s="886">
        <f t="shared" si="68"/>
        <v>0</v>
      </c>
      <c r="AL189" s="886">
        <f>IF($O190=0,0,           IF(FRM,_xll.qGetFwdRate(AL$14,$O189,AD189,"T",DCC_Leg1_Float),_xll.qGetFwdRate(AL$14,$O189,$O190,"T",DCC_Leg1_Float)))</f>
        <v>0</v>
      </c>
      <c r="AM189" s="886">
        <f t="shared" si="81"/>
        <v>0</v>
      </c>
      <c r="AN189" s="886">
        <f t="shared" si="82"/>
        <v>0</v>
      </c>
      <c r="AO189" s="886">
        <f>IF($O190=0,0,           IF(FRM,_xll.qGetFwdRate(AO$14,$O189,AG189,"T",DCC_Leg1_Float),_xll.qGetFwdRate(AO$14,$O189,$O190,"T",DCC_Leg1_Float)))</f>
        <v>0</v>
      </c>
      <c r="AP189" s="886">
        <f>IF($O190=0,0,           IF(FRM,_xll.qGetFwdRate(AP$14,$O189,AH189,"T",DCC_Leg1_Float),_xll.qGetFwdRate(AP$14,$O189,$O190,"T",DCC_Leg1_Float)))</f>
        <v>0</v>
      </c>
      <c r="AQ189" s="648">
        <f t="shared" si="83"/>
        <v>0</v>
      </c>
      <c r="AR189" s="648">
        <f t="shared" si="84"/>
        <v>0</v>
      </c>
      <c r="AS189" s="648">
        <f t="shared" si="85"/>
        <v>0</v>
      </c>
      <c r="AT189" s="648">
        <f t="shared" si="86"/>
        <v>0</v>
      </c>
      <c r="AU189" s="648">
        <f t="shared" si="87"/>
        <v>0</v>
      </c>
      <c r="AV189" s="648">
        <f t="shared" si="88"/>
        <v>0</v>
      </c>
      <c r="AW189" s="648">
        <f t="shared" si="89"/>
        <v>0</v>
      </c>
      <c r="AX189" s="648">
        <f t="shared" si="90"/>
        <v>0</v>
      </c>
      <c r="AY189" s="634">
        <v>0</v>
      </c>
      <c r="AZ189" s="616"/>
      <c r="BA189" s="619">
        <f>IF(O190=0,0,             IF(ISNUMBER(AZ189),AZ189,             IF(ISTEXT(AZ189),INDEX(AQ189:AX189,MATCH(AZ189,$AQ$17:$AX$17,0)),           IF(AY189="INT",_xll.qInterp(O190,AA189:AH189,AQ189:AX189),       INDEX(AQ189:AX189,MATCH(AY189,$AQ$17:$AX$17,0))))))</f>
        <v>0</v>
      </c>
      <c r="BB189" s="674">
        <v>100</v>
      </c>
      <c r="BC189" s="666">
        <f t="shared" si="69"/>
        <v>0</v>
      </c>
      <c r="BD189" s="268">
        <f>IF($O190=0,0,                IF(LEFT(DCC_Leg1_Fixed,2)="1/",uEvaluate(DCC_Leg1_Fixed),        _xll.qDateYears($O189,$O190,DCC_Leg1_Fixed)))</f>
        <v>0</v>
      </c>
      <c r="BE189" s="268">
        <f>IF($O190,_xll.qDateYears($O189,$O190,DCC_Leg1_Float),0)</f>
        <v>0</v>
      </c>
      <c r="BG189" s="332">
        <f t="shared" si="91"/>
        <v>0</v>
      </c>
      <c r="BH189" s="357">
        <f t="shared" si="92"/>
        <v>0</v>
      </c>
      <c r="BI189" s="527"/>
      <c r="BK189" s="324">
        <f t="shared" si="97"/>
        <v>0</v>
      </c>
      <c r="BM189" s="338"/>
      <c r="BN189" s="121">
        <v>0</v>
      </c>
      <c r="BO189" s="755">
        <f t="shared" si="70"/>
        <v>0</v>
      </c>
      <c r="BP189" s="339">
        <v>0</v>
      </c>
      <c r="BQ189" s="890">
        <f>IF(BN190=0,0,         IF(OR(Currency2="AUD",Currency1="NZD",Currency2="GBP"),BN189,   _xll.qDateNext(BN189,"-2b",,,IF(Currency2="EUR","TGT","LON"))))</f>
        <v>0</v>
      </c>
      <c r="BR189" s="879" t="str">
        <v/>
      </c>
      <c r="BS189" s="879" t="str">
        <v/>
      </c>
      <c r="BT189" s="879" t="str">
        <v/>
      </c>
      <c r="BU189" s="879" t="str">
        <v/>
      </c>
      <c r="BV189" s="879" t="str">
        <v/>
      </c>
      <c r="BW189" s="879" t="str">
        <v/>
      </c>
      <c r="BX189" s="879" t="str">
        <v/>
      </c>
      <c r="BY189" s="879" t="str">
        <v/>
      </c>
      <c r="BZ189" s="882">
        <f>IF($BN190=0,0,        _xll.qDateNext($BN189,BZ$17,$CG$16,TRUE,Currency2))</f>
        <v>0</v>
      </c>
      <c r="CA189" s="882">
        <f>IF($BN190=0,0,        _xll.qDateNext($BN189,CA$17,$CG$16,TRUE,Currency2))</f>
        <v>0</v>
      </c>
      <c r="CB189" s="882">
        <f>IF($BN190=0,0,        _xll.qDateNext($BN189,CB$17,$CG$16,TRUE,Currency2))</f>
        <v>0</v>
      </c>
      <c r="CC189" s="882">
        <f>IF($BN190=0,0,        _xll.qDateNext($BN189,CC$17,$CG$16,TRUE,Currency2))</f>
        <v>0</v>
      </c>
      <c r="CD189" s="882">
        <f>IF($BN190=0,0,        _xll.qDateNext($BN189,CD$17,$CG$16,TRUE,Currency2))</f>
        <v>0</v>
      </c>
      <c r="CE189" s="882">
        <f>IF($BN190=0,0,        _xll.qDateNext($BN189,CE$17,$CG$16,TRUE,Currency2))</f>
        <v>0</v>
      </c>
      <c r="CF189" s="882">
        <f>IF($BN190=0,0,        _xll.qDateNext($BN189,CF$17,$CG$16,TRUE,Currency2))</f>
        <v>0</v>
      </c>
      <c r="CG189" s="882">
        <f>IF($BN190=0,0,        _xll.qDateNext($BN189,CG$17,$CG$16,TRUE,Currency2))</f>
        <v>0</v>
      </c>
      <c r="CH189" s="886">
        <v>0</v>
      </c>
      <c r="CI189" s="886">
        <v>0</v>
      </c>
      <c r="CJ189" s="886">
        <v>0</v>
      </c>
      <c r="CK189" s="886">
        <v>0</v>
      </c>
      <c r="CL189" s="886">
        <f t="shared" si="93"/>
        <v>0</v>
      </c>
      <c r="CM189" s="886">
        <f t="shared" si="94"/>
        <v>0</v>
      </c>
      <c r="CN189" s="886">
        <v>0</v>
      </c>
      <c r="CO189" s="886">
        <v>0</v>
      </c>
      <c r="CP189" s="648">
        <f t="shared" si="71"/>
        <v>0</v>
      </c>
      <c r="CQ189" s="648">
        <f t="shared" si="72"/>
        <v>0</v>
      </c>
      <c r="CR189" s="648">
        <f t="shared" si="73"/>
        <v>0</v>
      </c>
      <c r="CS189" s="648">
        <f t="shared" si="74"/>
        <v>0</v>
      </c>
      <c r="CT189" s="648">
        <f t="shared" si="75"/>
        <v>0</v>
      </c>
      <c r="CU189" s="648">
        <f t="shared" si="76"/>
        <v>0</v>
      </c>
      <c r="CV189" s="648">
        <f t="shared" si="77"/>
        <v>0</v>
      </c>
      <c r="CW189" s="648">
        <f t="shared" si="78"/>
        <v>0</v>
      </c>
      <c r="CX189" s="634">
        <v>0</v>
      </c>
      <c r="CY189" s="616"/>
      <c r="CZ189" s="619">
        <f>IF(BN190=0,0,             IF(ISNUMBER(CY189),CY189,             IF(ISTEXT(CY189),INDEX(CP189:CW189,MATCH(CY189,$CP$17:$CW$17,0)),           IF(CX189="INT",_xll.qInterp(BN190,BZ189:CG189,CP189:CW189),       INDEX(CP189:CW189,MATCH(CX189,$CP$17:$CW$17,0))))))</f>
        <v>0</v>
      </c>
      <c r="DA189" s="755">
        <f t="shared" si="79"/>
        <v>0</v>
      </c>
      <c r="DB189" s="387">
        <f t="shared" si="80"/>
        <v>0</v>
      </c>
      <c r="DC189" s="268">
        <f>IF($BN190=0,0,         IF(LEFT(DCC_Leg2_Fixed,2)="1/",uEvaluate(DCC_Leg2_Fixed),         _xll.qDateYears($BN189,$BN190,DCC_Leg2_Fixed)))</f>
        <v>0</v>
      </c>
      <c r="DD189" s="268">
        <f>IF($BN190,_xll.qDateYears($BN189,$BN190,DCC_Leg2_Float),0)</f>
        <v>0</v>
      </c>
      <c r="DF189" s="332">
        <f t="shared" si="95"/>
        <v>0</v>
      </c>
      <c r="DG189" s="357">
        <f t="shared" si="96"/>
        <v>0</v>
      </c>
      <c r="DH189" s="527"/>
      <c r="DJ189" s="324">
        <f t="shared" si="98"/>
        <v>0</v>
      </c>
      <c r="DK189" s="529"/>
      <c r="DL189" s="338"/>
    </row>
    <row r="190" spans="15:116">
      <c r="O190" s="121">
        <v>0</v>
      </c>
      <c r="P190" s="755">
        <f t="shared" si="67"/>
        <v>0</v>
      </c>
      <c r="Q190" s="125">
        <v>0</v>
      </c>
      <c r="R190" s="890">
        <f>IF(O191=0,0,         IF(OR(Currency1="AUD",Currency1="NZD",Currency1="GBP"),O190,   _xll.qDateNext(O190,"-2b",,,IF(Currency1="EUR","TGT","LON"))))</f>
        <v>0</v>
      </c>
      <c r="S190" s="879" t="str">
        <v/>
      </c>
      <c r="T190" s="879" t="str">
        <v/>
      </c>
      <c r="U190" s="879" t="str">
        <v/>
      </c>
      <c r="V190" s="879" t="str">
        <v/>
      </c>
      <c r="W190" s="879" t="str">
        <v/>
      </c>
      <c r="X190" s="879" t="str">
        <v/>
      </c>
      <c r="Y190" s="879" t="str">
        <v/>
      </c>
      <c r="Z190" s="879" t="str">
        <v/>
      </c>
      <c r="AA190" s="882">
        <f>IF($O191=0,0,        _xll.qDateNext($O190,AA$17,$AH$16,TRUE,Currency1))</f>
        <v>0</v>
      </c>
      <c r="AB190" s="882">
        <f>IF($O191=0,0,        _xll.qDateNext($O190,AB$17,$AH$16,TRUE,Currency1))</f>
        <v>0</v>
      </c>
      <c r="AC190" s="882">
        <f>IF($O191=0,0,        _xll.qDateNext($O190,AC$17,$AH$16,TRUE,Currency1))</f>
        <v>0</v>
      </c>
      <c r="AD190" s="882">
        <f>IF($O191=0,0,        _xll.qDateNext($O190,AD$17,$AH$16,TRUE,Currency1))</f>
        <v>0</v>
      </c>
      <c r="AE190" s="882">
        <f>IF($O191=0,0,        _xll.qDateNext($O190,AE$17,$AH$16,TRUE,Currency1))</f>
        <v>0</v>
      </c>
      <c r="AF190" s="882">
        <f>IF($O191=0,0,        _xll.qDateNext($O190,AF$17,$AH$16,TRUE,Currency1))</f>
        <v>0</v>
      </c>
      <c r="AG190" s="882">
        <f>IF($O191=0,0,        _xll.qDateNext($O190,AG$17,$AH$16,TRUE,Currency1))</f>
        <v>0</v>
      </c>
      <c r="AH190" s="882">
        <f>IF($O191=0,0,        _xll.qDateNext($O190,AH$17,$AH$16,TRUE,Currency1))</f>
        <v>0</v>
      </c>
      <c r="AI190" s="886">
        <f>IF($O191=0,0,           IF(FRM,_xll.qGetFwdRate(AI$14,$O190,AA190,"T",DCC_Leg1_Float),_xll.qGetFwdRate(AI$14,$O190,$O191,"T",DCC_Leg1_Float)))</f>
        <v>0</v>
      </c>
      <c r="AJ190" s="886">
        <f>IF($O191=0,0,           IF(FRM,_xll.qGetFwdRate(AJ$14,$O190,AB190,"T",DCC_Leg1_Float),_xll.qGetFwdRate(AJ$14,$O190,$O191,"T",DCC_Leg1_Float)))</f>
        <v>0</v>
      </c>
      <c r="AK190" s="886">
        <f t="shared" si="68"/>
        <v>0</v>
      </c>
      <c r="AL190" s="886">
        <f>IF($O191=0,0,           IF(FRM,_xll.qGetFwdRate(AL$14,$O190,AD190,"T",DCC_Leg1_Float),_xll.qGetFwdRate(AL$14,$O190,$O191,"T",DCC_Leg1_Float)))</f>
        <v>0</v>
      </c>
      <c r="AM190" s="886">
        <f t="shared" si="81"/>
        <v>0</v>
      </c>
      <c r="AN190" s="886">
        <f t="shared" si="82"/>
        <v>0</v>
      </c>
      <c r="AO190" s="886">
        <f>IF($O191=0,0,           IF(FRM,_xll.qGetFwdRate(AO$14,$O190,AG190,"T",DCC_Leg1_Float),_xll.qGetFwdRate(AO$14,$O190,$O191,"T",DCC_Leg1_Float)))</f>
        <v>0</v>
      </c>
      <c r="AP190" s="886">
        <f>IF($O191=0,0,           IF(FRM,_xll.qGetFwdRate(AP$14,$O190,AH190,"T",DCC_Leg1_Float),_xll.qGetFwdRate(AP$14,$O190,$O191,"T",DCC_Leg1_Float)))</f>
        <v>0</v>
      </c>
      <c r="AQ190" s="648">
        <f t="shared" si="83"/>
        <v>0</v>
      </c>
      <c r="AR190" s="648">
        <f t="shared" si="84"/>
        <v>0</v>
      </c>
      <c r="AS190" s="648">
        <f t="shared" si="85"/>
        <v>0</v>
      </c>
      <c r="AT190" s="648">
        <f t="shared" si="86"/>
        <v>0</v>
      </c>
      <c r="AU190" s="648">
        <f t="shared" si="87"/>
        <v>0</v>
      </c>
      <c r="AV190" s="648">
        <f t="shared" si="88"/>
        <v>0</v>
      </c>
      <c r="AW190" s="648">
        <f t="shared" si="89"/>
        <v>0</v>
      </c>
      <c r="AX190" s="648">
        <f t="shared" si="90"/>
        <v>0</v>
      </c>
      <c r="AY190" s="634">
        <v>0</v>
      </c>
      <c r="AZ190" s="616"/>
      <c r="BA190" s="619">
        <f>IF(O191=0,0,             IF(ISNUMBER(AZ190),AZ190,             IF(ISTEXT(AZ190),INDEX(AQ190:AX190,MATCH(AZ190,$AQ$17:$AX$17,0)),           IF(AY190="INT",_xll.qInterp(O191,AA190:AH190,AQ190:AX190),       INDEX(AQ190:AX190,MATCH(AY190,$AQ$17:$AX$17,0))))))</f>
        <v>0</v>
      </c>
      <c r="BB190" s="674">
        <v>100</v>
      </c>
      <c r="BC190" s="666">
        <f t="shared" si="69"/>
        <v>0</v>
      </c>
      <c r="BD190" s="268">
        <f>IF($O191=0,0,                IF(LEFT(DCC_Leg1_Fixed,2)="1/",uEvaluate(DCC_Leg1_Fixed),        _xll.qDateYears($O190,$O191,DCC_Leg1_Fixed)))</f>
        <v>0</v>
      </c>
      <c r="BE190" s="268">
        <f>IF($O191,_xll.qDateYears($O190,$O191,DCC_Leg1_Float),0)</f>
        <v>0</v>
      </c>
      <c r="BG190" s="332">
        <f t="shared" si="91"/>
        <v>0</v>
      </c>
      <c r="BH190" s="357">
        <f t="shared" si="92"/>
        <v>0</v>
      </c>
      <c r="BI190" s="527"/>
      <c r="BK190" s="324">
        <f t="shared" si="97"/>
        <v>0</v>
      </c>
      <c r="BM190" s="338"/>
      <c r="BN190" s="121">
        <v>0</v>
      </c>
      <c r="BO190" s="755">
        <f t="shared" si="70"/>
        <v>0</v>
      </c>
      <c r="BP190" s="339">
        <v>0</v>
      </c>
      <c r="BQ190" s="890">
        <f>IF(BN191=0,0,         IF(OR(Currency2="AUD",Currency1="NZD",Currency2="GBP"),BN190,   _xll.qDateNext(BN190,"-2b",,,IF(Currency2="EUR","TGT","LON"))))</f>
        <v>0</v>
      </c>
      <c r="BR190" s="879" t="str">
        <v/>
      </c>
      <c r="BS190" s="879" t="str">
        <v/>
      </c>
      <c r="BT190" s="879" t="str">
        <v/>
      </c>
      <c r="BU190" s="879" t="str">
        <v/>
      </c>
      <c r="BV190" s="879" t="str">
        <v/>
      </c>
      <c r="BW190" s="879" t="str">
        <v/>
      </c>
      <c r="BX190" s="879" t="str">
        <v/>
      </c>
      <c r="BY190" s="879" t="str">
        <v/>
      </c>
      <c r="BZ190" s="882">
        <f>IF($BN191=0,0,        _xll.qDateNext($BN190,BZ$17,$CG$16,TRUE,Currency2))</f>
        <v>0</v>
      </c>
      <c r="CA190" s="882">
        <f>IF($BN191=0,0,        _xll.qDateNext($BN190,CA$17,$CG$16,TRUE,Currency2))</f>
        <v>0</v>
      </c>
      <c r="CB190" s="882">
        <f>IF($BN191=0,0,        _xll.qDateNext($BN190,CB$17,$CG$16,TRUE,Currency2))</f>
        <v>0</v>
      </c>
      <c r="CC190" s="882">
        <f>IF($BN191=0,0,        _xll.qDateNext($BN190,CC$17,$CG$16,TRUE,Currency2))</f>
        <v>0</v>
      </c>
      <c r="CD190" s="882">
        <f>IF($BN191=0,0,        _xll.qDateNext($BN190,CD$17,$CG$16,TRUE,Currency2))</f>
        <v>0</v>
      </c>
      <c r="CE190" s="882">
        <f>IF($BN191=0,0,        _xll.qDateNext($BN190,CE$17,$CG$16,TRUE,Currency2))</f>
        <v>0</v>
      </c>
      <c r="CF190" s="882">
        <f>IF($BN191=0,0,        _xll.qDateNext($BN190,CF$17,$CG$16,TRUE,Currency2))</f>
        <v>0</v>
      </c>
      <c r="CG190" s="882">
        <f>IF($BN191=0,0,        _xll.qDateNext($BN190,CG$17,$CG$16,TRUE,Currency2))</f>
        <v>0</v>
      </c>
      <c r="CH190" s="886">
        <v>0</v>
      </c>
      <c r="CI190" s="886">
        <v>0</v>
      </c>
      <c r="CJ190" s="886">
        <v>0</v>
      </c>
      <c r="CK190" s="886">
        <v>0</v>
      </c>
      <c r="CL190" s="886">
        <f t="shared" si="93"/>
        <v>0</v>
      </c>
      <c r="CM190" s="886">
        <f t="shared" si="94"/>
        <v>0</v>
      </c>
      <c r="CN190" s="886">
        <v>0</v>
      </c>
      <c r="CO190" s="886">
        <v>0</v>
      </c>
      <c r="CP190" s="648">
        <f t="shared" si="71"/>
        <v>0</v>
      </c>
      <c r="CQ190" s="648">
        <f t="shared" si="72"/>
        <v>0</v>
      </c>
      <c r="CR190" s="648">
        <f t="shared" si="73"/>
        <v>0</v>
      </c>
      <c r="CS190" s="648">
        <f t="shared" si="74"/>
        <v>0</v>
      </c>
      <c r="CT190" s="648">
        <f t="shared" si="75"/>
        <v>0</v>
      </c>
      <c r="CU190" s="648">
        <f t="shared" si="76"/>
        <v>0</v>
      </c>
      <c r="CV190" s="648">
        <f t="shared" si="77"/>
        <v>0</v>
      </c>
      <c r="CW190" s="648">
        <f t="shared" si="78"/>
        <v>0</v>
      </c>
      <c r="CX190" s="634">
        <v>0</v>
      </c>
      <c r="CY190" s="616"/>
      <c r="CZ190" s="619">
        <f>IF(BN191=0,0,             IF(ISNUMBER(CY190),CY190,             IF(ISTEXT(CY190),INDEX(CP190:CW190,MATCH(CY190,$CP$17:$CW$17,0)),           IF(CX190="INT",_xll.qInterp(BN191,BZ190:CG190,CP190:CW190),       INDEX(CP190:CW190,MATCH(CX190,$CP$17:$CW$17,0))))))</f>
        <v>0</v>
      </c>
      <c r="DA190" s="755">
        <f t="shared" si="79"/>
        <v>0</v>
      </c>
      <c r="DB190" s="387">
        <f t="shared" si="80"/>
        <v>0</v>
      </c>
      <c r="DC190" s="268">
        <f>IF($BN191=0,0,         IF(LEFT(DCC_Leg2_Fixed,2)="1/",uEvaluate(DCC_Leg2_Fixed),         _xll.qDateYears($BN190,$BN191,DCC_Leg2_Fixed)))</f>
        <v>0</v>
      </c>
      <c r="DD190" s="268">
        <f>IF($BN191,_xll.qDateYears($BN190,$BN191,DCC_Leg2_Float),0)</f>
        <v>0</v>
      </c>
      <c r="DF190" s="332">
        <f t="shared" si="95"/>
        <v>0</v>
      </c>
      <c r="DG190" s="357">
        <f t="shared" si="96"/>
        <v>0</v>
      </c>
      <c r="DH190" s="527"/>
      <c r="DJ190" s="324">
        <f t="shared" si="98"/>
        <v>0</v>
      </c>
      <c r="DK190" s="529"/>
      <c r="DL190" s="338"/>
    </row>
    <row r="191" spans="15:116">
      <c r="O191" s="121">
        <v>0</v>
      </c>
      <c r="P191" s="755">
        <f t="shared" si="67"/>
        <v>0</v>
      </c>
      <c r="Q191" s="125">
        <v>0</v>
      </c>
      <c r="R191" s="890">
        <f>IF(O192=0,0,         IF(OR(Currency1="AUD",Currency1="NZD",Currency1="GBP"),O191,   _xll.qDateNext(O191,"-2b",,,IF(Currency1="EUR","TGT","LON"))))</f>
        <v>0</v>
      </c>
      <c r="S191" s="879" t="str">
        <v/>
      </c>
      <c r="T191" s="879" t="str">
        <v/>
      </c>
      <c r="U191" s="879" t="str">
        <v/>
      </c>
      <c r="V191" s="879" t="str">
        <v/>
      </c>
      <c r="W191" s="879" t="str">
        <v/>
      </c>
      <c r="X191" s="879" t="str">
        <v/>
      </c>
      <c r="Y191" s="879" t="str">
        <v/>
      </c>
      <c r="Z191" s="879" t="str">
        <v/>
      </c>
      <c r="AA191" s="882">
        <f>IF($O192=0,0,        _xll.qDateNext($O191,AA$17,$AH$16,TRUE,Currency1))</f>
        <v>0</v>
      </c>
      <c r="AB191" s="882">
        <f>IF($O192=0,0,        _xll.qDateNext($O191,AB$17,$AH$16,TRUE,Currency1))</f>
        <v>0</v>
      </c>
      <c r="AC191" s="882">
        <f>IF($O192=0,0,        _xll.qDateNext($O191,AC$17,$AH$16,TRUE,Currency1))</f>
        <v>0</v>
      </c>
      <c r="AD191" s="882">
        <f>IF($O192=0,0,        _xll.qDateNext($O191,AD$17,$AH$16,TRUE,Currency1))</f>
        <v>0</v>
      </c>
      <c r="AE191" s="882">
        <f>IF($O192=0,0,        _xll.qDateNext($O191,AE$17,$AH$16,TRUE,Currency1))</f>
        <v>0</v>
      </c>
      <c r="AF191" s="882">
        <f>IF($O192=0,0,        _xll.qDateNext($O191,AF$17,$AH$16,TRUE,Currency1))</f>
        <v>0</v>
      </c>
      <c r="AG191" s="882">
        <f>IF($O192=0,0,        _xll.qDateNext($O191,AG$17,$AH$16,TRUE,Currency1))</f>
        <v>0</v>
      </c>
      <c r="AH191" s="882">
        <f>IF($O192=0,0,        _xll.qDateNext($O191,AH$17,$AH$16,TRUE,Currency1))</f>
        <v>0</v>
      </c>
      <c r="AI191" s="886">
        <f>IF($O192=0,0,           IF(FRM,_xll.qGetFwdRate(AI$14,$O191,AA191,"T",DCC_Leg1_Float),_xll.qGetFwdRate(AI$14,$O191,$O192,"T",DCC_Leg1_Float)))</f>
        <v>0</v>
      </c>
      <c r="AJ191" s="886">
        <f>IF($O192=0,0,           IF(FRM,_xll.qGetFwdRate(AJ$14,$O191,AB191,"T",DCC_Leg1_Float),_xll.qGetFwdRate(AJ$14,$O191,$O192,"T",DCC_Leg1_Float)))</f>
        <v>0</v>
      </c>
      <c r="AK191" s="886">
        <f t="shared" si="68"/>
        <v>0</v>
      </c>
      <c r="AL191" s="886">
        <f>IF($O192=0,0,           IF(FRM,_xll.qGetFwdRate(AL$14,$O191,AD191,"T",DCC_Leg1_Float),_xll.qGetFwdRate(AL$14,$O191,$O192,"T",DCC_Leg1_Float)))</f>
        <v>0</v>
      </c>
      <c r="AM191" s="886">
        <f t="shared" si="81"/>
        <v>0</v>
      </c>
      <c r="AN191" s="886">
        <f t="shared" si="82"/>
        <v>0</v>
      </c>
      <c r="AO191" s="886">
        <f>IF($O192=0,0,           IF(FRM,_xll.qGetFwdRate(AO$14,$O191,AG191,"T",DCC_Leg1_Float),_xll.qGetFwdRate(AO$14,$O191,$O192,"T",DCC_Leg1_Float)))</f>
        <v>0</v>
      </c>
      <c r="AP191" s="886">
        <f>IF($O192=0,0,           IF(FRM,_xll.qGetFwdRate(AP$14,$O191,AH191,"T",DCC_Leg1_Float),_xll.qGetFwdRate(AP$14,$O191,$O192,"T",DCC_Leg1_Float)))</f>
        <v>0</v>
      </c>
      <c r="AQ191" s="648">
        <f t="shared" si="83"/>
        <v>0</v>
      </c>
      <c r="AR191" s="648">
        <f t="shared" si="84"/>
        <v>0</v>
      </c>
      <c r="AS191" s="648">
        <f t="shared" si="85"/>
        <v>0</v>
      </c>
      <c r="AT191" s="648">
        <f t="shared" si="86"/>
        <v>0</v>
      </c>
      <c r="AU191" s="648">
        <f t="shared" si="87"/>
        <v>0</v>
      </c>
      <c r="AV191" s="648">
        <f t="shared" si="88"/>
        <v>0</v>
      </c>
      <c r="AW191" s="648">
        <f t="shared" si="89"/>
        <v>0</v>
      </c>
      <c r="AX191" s="648">
        <f t="shared" si="90"/>
        <v>0</v>
      </c>
      <c r="AY191" s="634">
        <v>0</v>
      </c>
      <c r="AZ191" s="616"/>
      <c r="BA191" s="619">
        <f>IF(O192=0,0,             IF(ISNUMBER(AZ191),AZ191,             IF(ISTEXT(AZ191),INDEX(AQ191:AX191,MATCH(AZ191,$AQ$17:$AX$17,0)),           IF(AY191="INT",_xll.qInterp(O192,AA191:AH191,AQ191:AX191),       INDEX(AQ191:AX191,MATCH(AY191,$AQ$17:$AX$17,0))))))</f>
        <v>0</v>
      </c>
      <c r="BB191" s="674">
        <v>100</v>
      </c>
      <c r="BC191" s="666">
        <f t="shared" si="69"/>
        <v>0</v>
      </c>
      <c r="BD191" s="268">
        <f>IF($O192=0,0,                IF(LEFT(DCC_Leg1_Fixed,2)="1/",uEvaluate(DCC_Leg1_Fixed),        _xll.qDateYears($O191,$O192,DCC_Leg1_Fixed)))</f>
        <v>0</v>
      </c>
      <c r="BE191" s="268">
        <f>IF($O192,_xll.qDateYears($O191,$O192,DCC_Leg1_Float),0)</f>
        <v>0</v>
      </c>
      <c r="BG191" s="332">
        <f t="shared" si="91"/>
        <v>0</v>
      </c>
      <c r="BH191" s="357">
        <f t="shared" si="92"/>
        <v>0</v>
      </c>
      <c r="BI191" s="527"/>
      <c r="BK191" s="324">
        <f t="shared" si="97"/>
        <v>0</v>
      </c>
      <c r="BM191" s="338"/>
      <c r="BN191" s="121">
        <v>0</v>
      </c>
      <c r="BO191" s="755">
        <f t="shared" si="70"/>
        <v>0</v>
      </c>
      <c r="BP191" s="339">
        <v>0</v>
      </c>
      <c r="BQ191" s="890">
        <f>IF(BN192=0,0,         IF(OR(Currency2="AUD",Currency1="NZD",Currency2="GBP"),BN191,   _xll.qDateNext(BN191,"-2b",,,IF(Currency2="EUR","TGT","LON"))))</f>
        <v>0</v>
      </c>
      <c r="BR191" s="879" t="str">
        <v/>
      </c>
      <c r="BS191" s="879" t="str">
        <v/>
      </c>
      <c r="BT191" s="879" t="str">
        <v/>
      </c>
      <c r="BU191" s="879" t="str">
        <v/>
      </c>
      <c r="BV191" s="879" t="str">
        <v/>
      </c>
      <c r="BW191" s="879" t="str">
        <v/>
      </c>
      <c r="BX191" s="879" t="str">
        <v/>
      </c>
      <c r="BY191" s="879" t="str">
        <v/>
      </c>
      <c r="BZ191" s="882">
        <f>IF($BN192=0,0,        _xll.qDateNext($BN191,BZ$17,$CG$16,TRUE,Currency2))</f>
        <v>0</v>
      </c>
      <c r="CA191" s="882">
        <f>IF($BN192=0,0,        _xll.qDateNext($BN191,CA$17,$CG$16,TRUE,Currency2))</f>
        <v>0</v>
      </c>
      <c r="CB191" s="882">
        <f>IF($BN192=0,0,        _xll.qDateNext($BN191,CB$17,$CG$16,TRUE,Currency2))</f>
        <v>0</v>
      </c>
      <c r="CC191" s="882">
        <f>IF($BN192=0,0,        _xll.qDateNext($BN191,CC$17,$CG$16,TRUE,Currency2))</f>
        <v>0</v>
      </c>
      <c r="CD191" s="882">
        <f>IF($BN192=0,0,        _xll.qDateNext($BN191,CD$17,$CG$16,TRUE,Currency2))</f>
        <v>0</v>
      </c>
      <c r="CE191" s="882">
        <f>IF($BN192=0,0,        _xll.qDateNext($BN191,CE$17,$CG$16,TRUE,Currency2))</f>
        <v>0</v>
      </c>
      <c r="CF191" s="882">
        <f>IF($BN192=0,0,        _xll.qDateNext($BN191,CF$17,$CG$16,TRUE,Currency2))</f>
        <v>0</v>
      </c>
      <c r="CG191" s="882">
        <f>IF($BN192=0,0,        _xll.qDateNext($BN191,CG$17,$CG$16,TRUE,Currency2))</f>
        <v>0</v>
      </c>
      <c r="CH191" s="886">
        <v>0</v>
      </c>
      <c r="CI191" s="886">
        <v>0</v>
      </c>
      <c r="CJ191" s="886">
        <v>0</v>
      </c>
      <c r="CK191" s="886">
        <v>0</v>
      </c>
      <c r="CL191" s="886">
        <f t="shared" si="93"/>
        <v>0</v>
      </c>
      <c r="CM191" s="886">
        <f t="shared" si="94"/>
        <v>0</v>
      </c>
      <c r="CN191" s="886">
        <v>0</v>
      </c>
      <c r="CO191" s="886">
        <v>0</v>
      </c>
      <c r="CP191" s="648">
        <f t="shared" si="71"/>
        <v>0</v>
      </c>
      <c r="CQ191" s="648">
        <f t="shared" si="72"/>
        <v>0</v>
      </c>
      <c r="CR191" s="648">
        <f t="shared" si="73"/>
        <v>0</v>
      </c>
      <c r="CS191" s="648">
        <f t="shared" si="74"/>
        <v>0</v>
      </c>
      <c r="CT191" s="648">
        <f t="shared" si="75"/>
        <v>0</v>
      </c>
      <c r="CU191" s="648">
        <f t="shared" si="76"/>
        <v>0</v>
      </c>
      <c r="CV191" s="648">
        <f t="shared" si="77"/>
        <v>0</v>
      </c>
      <c r="CW191" s="648">
        <f t="shared" si="78"/>
        <v>0</v>
      </c>
      <c r="CX191" s="634">
        <v>0</v>
      </c>
      <c r="CY191" s="616"/>
      <c r="CZ191" s="619">
        <f>IF(BN192=0,0,             IF(ISNUMBER(CY191),CY191,             IF(ISTEXT(CY191),INDEX(CP191:CW191,MATCH(CY191,$CP$17:$CW$17,0)),           IF(CX191="INT",_xll.qInterp(BN192,BZ191:CG191,CP191:CW191),       INDEX(CP191:CW191,MATCH(CX191,$CP$17:$CW$17,0))))))</f>
        <v>0</v>
      </c>
      <c r="DA191" s="755">
        <f t="shared" si="79"/>
        <v>0</v>
      </c>
      <c r="DB191" s="387">
        <f t="shared" si="80"/>
        <v>0</v>
      </c>
      <c r="DC191" s="268">
        <f>IF($BN192=0,0,         IF(LEFT(DCC_Leg2_Fixed,2)="1/",uEvaluate(DCC_Leg2_Fixed),         _xll.qDateYears($BN191,$BN192,DCC_Leg2_Fixed)))</f>
        <v>0</v>
      </c>
      <c r="DD191" s="268">
        <f>IF($BN192,_xll.qDateYears($BN191,$BN192,DCC_Leg2_Float),0)</f>
        <v>0</v>
      </c>
      <c r="DF191" s="332">
        <f t="shared" si="95"/>
        <v>0</v>
      </c>
      <c r="DG191" s="357">
        <f t="shared" si="96"/>
        <v>0</v>
      </c>
      <c r="DH191" s="527"/>
      <c r="DJ191" s="324">
        <f t="shared" si="98"/>
        <v>0</v>
      </c>
      <c r="DK191" s="529"/>
      <c r="DL191" s="338"/>
    </row>
    <row r="192" spans="15:116">
      <c r="O192" s="121">
        <v>0</v>
      </c>
      <c r="P192" s="755">
        <f t="shared" si="67"/>
        <v>0</v>
      </c>
      <c r="Q192" s="125">
        <v>0</v>
      </c>
      <c r="R192" s="890">
        <f>IF(O193=0,0,         IF(OR(Currency1="AUD",Currency1="NZD",Currency1="GBP"),O192,   _xll.qDateNext(O192,"-2b",,,IF(Currency1="EUR","TGT","LON"))))</f>
        <v>0</v>
      </c>
      <c r="S192" s="879" t="str">
        <v/>
      </c>
      <c r="T192" s="879" t="str">
        <v/>
      </c>
      <c r="U192" s="879" t="str">
        <v/>
      </c>
      <c r="V192" s="879" t="str">
        <v/>
      </c>
      <c r="W192" s="879" t="str">
        <v/>
      </c>
      <c r="X192" s="879" t="str">
        <v/>
      </c>
      <c r="Y192" s="879" t="str">
        <v/>
      </c>
      <c r="Z192" s="879" t="str">
        <v/>
      </c>
      <c r="AA192" s="882">
        <f>IF($O193=0,0,        _xll.qDateNext($O192,AA$17,$AH$16,TRUE,Currency1))</f>
        <v>0</v>
      </c>
      <c r="AB192" s="882">
        <f>IF($O193=0,0,        _xll.qDateNext($O192,AB$17,$AH$16,TRUE,Currency1))</f>
        <v>0</v>
      </c>
      <c r="AC192" s="882">
        <f>IF($O193=0,0,        _xll.qDateNext($O192,AC$17,$AH$16,TRUE,Currency1))</f>
        <v>0</v>
      </c>
      <c r="AD192" s="882">
        <f>IF($O193=0,0,        _xll.qDateNext($O192,AD$17,$AH$16,TRUE,Currency1))</f>
        <v>0</v>
      </c>
      <c r="AE192" s="882">
        <f>IF($O193=0,0,        _xll.qDateNext($O192,AE$17,$AH$16,TRUE,Currency1))</f>
        <v>0</v>
      </c>
      <c r="AF192" s="882">
        <f>IF($O193=0,0,        _xll.qDateNext($O192,AF$17,$AH$16,TRUE,Currency1))</f>
        <v>0</v>
      </c>
      <c r="AG192" s="882">
        <f>IF($O193=0,0,        _xll.qDateNext($O192,AG$17,$AH$16,TRUE,Currency1))</f>
        <v>0</v>
      </c>
      <c r="AH192" s="882">
        <f>IF($O193=0,0,        _xll.qDateNext($O192,AH$17,$AH$16,TRUE,Currency1))</f>
        <v>0</v>
      </c>
      <c r="AI192" s="886">
        <f>IF($O193=0,0,           IF(FRM,_xll.qGetFwdRate(AI$14,$O192,AA192,"T",DCC_Leg1_Float),_xll.qGetFwdRate(AI$14,$O192,$O193,"T",DCC_Leg1_Float)))</f>
        <v>0</v>
      </c>
      <c r="AJ192" s="886">
        <f>IF($O193=0,0,           IF(FRM,_xll.qGetFwdRate(AJ$14,$O192,AB192,"T",DCC_Leg1_Float),_xll.qGetFwdRate(AJ$14,$O192,$O193,"T",DCC_Leg1_Float)))</f>
        <v>0</v>
      </c>
      <c r="AK192" s="886">
        <f t="shared" si="68"/>
        <v>0</v>
      </c>
      <c r="AL192" s="886">
        <f>IF($O193=0,0,           IF(FRM,_xll.qGetFwdRate(AL$14,$O192,AD192,"T",DCC_Leg1_Float),_xll.qGetFwdRate(AL$14,$O192,$O193,"T",DCC_Leg1_Float)))</f>
        <v>0</v>
      </c>
      <c r="AM192" s="886">
        <f t="shared" si="81"/>
        <v>0</v>
      </c>
      <c r="AN192" s="886">
        <f t="shared" si="82"/>
        <v>0</v>
      </c>
      <c r="AO192" s="886">
        <f>IF($O193=0,0,           IF(FRM,_xll.qGetFwdRate(AO$14,$O192,AG192,"T",DCC_Leg1_Float),_xll.qGetFwdRate(AO$14,$O192,$O193,"T",DCC_Leg1_Float)))</f>
        <v>0</v>
      </c>
      <c r="AP192" s="886">
        <f>IF($O193=0,0,           IF(FRM,_xll.qGetFwdRate(AP$14,$O192,AH192,"T",DCC_Leg1_Float),_xll.qGetFwdRate(AP$14,$O192,$O193,"T",DCC_Leg1_Float)))</f>
        <v>0</v>
      </c>
      <c r="AQ192" s="648">
        <f t="shared" si="83"/>
        <v>0</v>
      </c>
      <c r="AR192" s="648">
        <f t="shared" si="84"/>
        <v>0</v>
      </c>
      <c r="AS192" s="648">
        <f t="shared" si="85"/>
        <v>0</v>
      </c>
      <c r="AT192" s="648">
        <f t="shared" si="86"/>
        <v>0</v>
      </c>
      <c r="AU192" s="648">
        <f t="shared" si="87"/>
        <v>0</v>
      </c>
      <c r="AV192" s="648">
        <f t="shared" si="88"/>
        <v>0</v>
      </c>
      <c r="AW192" s="648">
        <f t="shared" si="89"/>
        <v>0</v>
      </c>
      <c r="AX192" s="648">
        <f t="shared" si="90"/>
        <v>0</v>
      </c>
      <c r="AY192" s="634">
        <v>0</v>
      </c>
      <c r="AZ192" s="616"/>
      <c r="BA192" s="619">
        <f>IF(O193=0,0,             IF(ISNUMBER(AZ192),AZ192,             IF(ISTEXT(AZ192),INDEX(AQ192:AX192,MATCH(AZ192,$AQ$17:$AX$17,0)),           IF(AY192="INT",_xll.qInterp(O193,AA192:AH192,AQ192:AX192),       INDEX(AQ192:AX192,MATCH(AY192,$AQ$17:$AX$17,0))))))</f>
        <v>0</v>
      </c>
      <c r="BB192" s="674">
        <v>100</v>
      </c>
      <c r="BC192" s="666">
        <f t="shared" si="69"/>
        <v>0</v>
      </c>
      <c r="BD192" s="268">
        <f>IF($O193=0,0,                IF(LEFT(DCC_Leg1_Fixed,2)="1/",uEvaluate(DCC_Leg1_Fixed),        _xll.qDateYears($O192,$O193,DCC_Leg1_Fixed)))</f>
        <v>0</v>
      </c>
      <c r="BE192" s="268">
        <f>IF($O193,_xll.qDateYears($O192,$O193,DCC_Leg1_Float),0)</f>
        <v>0</v>
      </c>
      <c r="BG192" s="332">
        <f t="shared" si="91"/>
        <v>0</v>
      </c>
      <c r="BH192" s="357">
        <f t="shared" si="92"/>
        <v>0</v>
      </c>
      <c r="BI192" s="527"/>
      <c r="BK192" s="324">
        <f t="shared" si="97"/>
        <v>0</v>
      </c>
      <c r="BM192" s="338"/>
      <c r="BN192" s="121">
        <v>0</v>
      </c>
      <c r="BO192" s="755">
        <f t="shared" si="70"/>
        <v>0</v>
      </c>
      <c r="BP192" s="339">
        <v>0</v>
      </c>
      <c r="BQ192" s="890">
        <f>IF(BN193=0,0,         IF(OR(Currency2="AUD",Currency1="NZD",Currency2="GBP"),BN192,   _xll.qDateNext(BN192,"-2b",,,IF(Currency2="EUR","TGT","LON"))))</f>
        <v>0</v>
      </c>
      <c r="BR192" s="879" t="str">
        <v/>
      </c>
      <c r="BS192" s="879" t="str">
        <v/>
      </c>
      <c r="BT192" s="879" t="str">
        <v/>
      </c>
      <c r="BU192" s="879" t="str">
        <v/>
      </c>
      <c r="BV192" s="879" t="str">
        <v/>
      </c>
      <c r="BW192" s="879" t="str">
        <v/>
      </c>
      <c r="BX192" s="879" t="str">
        <v/>
      </c>
      <c r="BY192" s="879" t="str">
        <v/>
      </c>
      <c r="BZ192" s="882">
        <f>IF($BN193=0,0,        _xll.qDateNext($BN192,BZ$17,$CG$16,TRUE,Currency2))</f>
        <v>0</v>
      </c>
      <c r="CA192" s="882">
        <f>IF($BN193=0,0,        _xll.qDateNext($BN192,CA$17,$CG$16,TRUE,Currency2))</f>
        <v>0</v>
      </c>
      <c r="CB192" s="882">
        <f>IF($BN193=0,0,        _xll.qDateNext($BN192,CB$17,$CG$16,TRUE,Currency2))</f>
        <v>0</v>
      </c>
      <c r="CC192" s="882">
        <f>IF($BN193=0,0,        _xll.qDateNext($BN192,CC$17,$CG$16,TRUE,Currency2))</f>
        <v>0</v>
      </c>
      <c r="CD192" s="882">
        <f>IF($BN193=0,0,        _xll.qDateNext($BN192,CD$17,$CG$16,TRUE,Currency2))</f>
        <v>0</v>
      </c>
      <c r="CE192" s="882">
        <f>IF($BN193=0,0,        _xll.qDateNext($BN192,CE$17,$CG$16,TRUE,Currency2))</f>
        <v>0</v>
      </c>
      <c r="CF192" s="882">
        <f>IF($BN193=0,0,        _xll.qDateNext($BN192,CF$17,$CG$16,TRUE,Currency2))</f>
        <v>0</v>
      </c>
      <c r="CG192" s="882">
        <f>IF($BN193=0,0,        _xll.qDateNext($BN192,CG$17,$CG$16,TRUE,Currency2))</f>
        <v>0</v>
      </c>
      <c r="CH192" s="886">
        <v>0</v>
      </c>
      <c r="CI192" s="886">
        <v>0</v>
      </c>
      <c r="CJ192" s="886">
        <v>0</v>
      </c>
      <c r="CK192" s="886">
        <v>0</v>
      </c>
      <c r="CL192" s="886">
        <f t="shared" si="93"/>
        <v>0</v>
      </c>
      <c r="CM192" s="886">
        <f t="shared" si="94"/>
        <v>0</v>
      </c>
      <c r="CN192" s="886">
        <v>0</v>
      </c>
      <c r="CO192" s="886">
        <v>0</v>
      </c>
      <c r="CP192" s="648">
        <f t="shared" si="71"/>
        <v>0</v>
      </c>
      <c r="CQ192" s="648">
        <f t="shared" si="72"/>
        <v>0</v>
      </c>
      <c r="CR192" s="648">
        <f t="shared" si="73"/>
        <v>0</v>
      </c>
      <c r="CS192" s="648">
        <f t="shared" si="74"/>
        <v>0</v>
      </c>
      <c r="CT192" s="648">
        <f t="shared" si="75"/>
        <v>0</v>
      </c>
      <c r="CU192" s="648">
        <f t="shared" si="76"/>
        <v>0</v>
      </c>
      <c r="CV192" s="648">
        <f t="shared" si="77"/>
        <v>0</v>
      </c>
      <c r="CW192" s="648">
        <f t="shared" si="78"/>
        <v>0</v>
      </c>
      <c r="CX192" s="634">
        <v>0</v>
      </c>
      <c r="CY192" s="616"/>
      <c r="CZ192" s="619">
        <f>IF(BN193=0,0,             IF(ISNUMBER(CY192),CY192,             IF(ISTEXT(CY192),INDEX(CP192:CW192,MATCH(CY192,$CP$17:$CW$17,0)),           IF(CX192="INT",_xll.qInterp(BN193,BZ192:CG192,CP192:CW192),       INDEX(CP192:CW192,MATCH(CX192,$CP$17:$CW$17,0))))))</f>
        <v>0</v>
      </c>
      <c r="DA192" s="755">
        <f t="shared" si="79"/>
        <v>0</v>
      </c>
      <c r="DB192" s="387">
        <f t="shared" si="80"/>
        <v>0</v>
      </c>
      <c r="DC192" s="268">
        <f>IF($BN193=0,0,         IF(LEFT(DCC_Leg2_Fixed,2)="1/",uEvaluate(DCC_Leg2_Fixed),         _xll.qDateYears($BN192,$BN193,DCC_Leg2_Fixed)))</f>
        <v>0</v>
      </c>
      <c r="DD192" s="268">
        <f>IF($BN193,_xll.qDateYears($BN192,$BN193,DCC_Leg2_Float),0)</f>
        <v>0</v>
      </c>
      <c r="DF192" s="332">
        <f t="shared" si="95"/>
        <v>0</v>
      </c>
      <c r="DG192" s="357">
        <f t="shared" si="96"/>
        <v>0</v>
      </c>
      <c r="DH192" s="527"/>
      <c r="DJ192" s="324">
        <f t="shared" si="98"/>
        <v>0</v>
      </c>
      <c r="DK192" s="529"/>
      <c r="DL192" s="338"/>
    </row>
    <row r="193" spans="15:116">
      <c r="O193" s="121">
        <v>0</v>
      </c>
      <c r="P193" s="755">
        <f t="shared" si="67"/>
        <v>0</v>
      </c>
      <c r="Q193" s="125">
        <v>0</v>
      </c>
      <c r="R193" s="890">
        <f>IF(O194=0,0,         IF(OR(Currency1="AUD",Currency1="NZD",Currency1="GBP"),O193,   _xll.qDateNext(O193,"-2b",,,IF(Currency1="EUR","TGT","LON"))))</f>
        <v>0</v>
      </c>
      <c r="S193" s="879" t="str">
        <v/>
      </c>
      <c r="T193" s="879" t="str">
        <v/>
      </c>
      <c r="U193" s="879" t="str">
        <v/>
      </c>
      <c r="V193" s="879" t="str">
        <v/>
      </c>
      <c r="W193" s="879" t="str">
        <v/>
      </c>
      <c r="X193" s="879" t="str">
        <v/>
      </c>
      <c r="Y193" s="879" t="str">
        <v/>
      </c>
      <c r="Z193" s="879" t="str">
        <v/>
      </c>
      <c r="AA193" s="882">
        <f>IF($O194=0,0,        _xll.qDateNext($O193,AA$17,$AH$16,TRUE,Currency1))</f>
        <v>0</v>
      </c>
      <c r="AB193" s="882">
        <f>IF($O194=0,0,        _xll.qDateNext($O193,AB$17,$AH$16,TRUE,Currency1))</f>
        <v>0</v>
      </c>
      <c r="AC193" s="882">
        <f>IF($O194=0,0,        _xll.qDateNext($O193,AC$17,$AH$16,TRUE,Currency1))</f>
        <v>0</v>
      </c>
      <c r="AD193" s="882">
        <f>IF($O194=0,0,        _xll.qDateNext($O193,AD$17,$AH$16,TRUE,Currency1))</f>
        <v>0</v>
      </c>
      <c r="AE193" s="882">
        <f>IF($O194=0,0,        _xll.qDateNext($O193,AE$17,$AH$16,TRUE,Currency1))</f>
        <v>0</v>
      </c>
      <c r="AF193" s="882">
        <f>IF($O194=0,0,        _xll.qDateNext($O193,AF$17,$AH$16,TRUE,Currency1))</f>
        <v>0</v>
      </c>
      <c r="AG193" s="882">
        <f>IF($O194=0,0,        _xll.qDateNext($O193,AG$17,$AH$16,TRUE,Currency1))</f>
        <v>0</v>
      </c>
      <c r="AH193" s="882">
        <f>IF($O194=0,0,        _xll.qDateNext($O193,AH$17,$AH$16,TRUE,Currency1))</f>
        <v>0</v>
      </c>
      <c r="AI193" s="886">
        <f>IF($O194=0,0,           IF(FRM,_xll.qGetFwdRate(AI$14,$O193,AA193,"T",DCC_Leg1_Float),_xll.qGetFwdRate(AI$14,$O193,$O194,"T",DCC_Leg1_Float)))</f>
        <v>0</v>
      </c>
      <c r="AJ193" s="886">
        <f>IF($O194=0,0,           IF(FRM,_xll.qGetFwdRate(AJ$14,$O193,AB193,"T",DCC_Leg1_Float),_xll.qGetFwdRate(AJ$14,$O193,$O194,"T",DCC_Leg1_Float)))</f>
        <v>0</v>
      </c>
      <c r="AK193" s="886">
        <f t="shared" si="68"/>
        <v>0</v>
      </c>
      <c r="AL193" s="886">
        <f>IF($O194=0,0,           IF(FRM,_xll.qGetFwdRate(AL$14,$O193,AD193,"T",DCC_Leg1_Float),_xll.qGetFwdRate(AL$14,$O193,$O194,"T",DCC_Leg1_Float)))</f>
        <v>0</v>
      </c>
      <c r="AM193" s="886">
        <f t="shared" si="81"/>
        <v>0</v>
      </c>
      <c r="AN193" s="886">
        <f t="shared" si="82"/>
        <v>0</v>
      </c>
      <c r="AO193" s="886">
        <f>IF($O194=0,0,           IF(FRM,_xll.qGetFwdRate(AO$14,$O193,AG193,"T",DCC_Leg1_Float),_xll.qGetFwdRate(AO$14,$O193,$O194,"T",DCC_Leg1_Float)))</f>
        <v>0</v>
      </c>
      <c r="AP193" s="886">
        <f>IF($O194=0,0,           IF(FRM,_xll.qGetFwdRate(AP$14,$O193,AH193,"T",DCC_Leg1_Float),_xll.qGetFwdRate(AP$14,$O193,$O194,"T",DCC_Leg1_Float)))</f>
        <v>0</v>
      </c>
      <c r="AQ193" s="648">
        <f t="shared" si="83"/>
        <v>0</v>
      </c>
      <c r="AR193" s="648">
        <f t="shared" si="84"/>
        <v>0</v>
      </c>
      <c r="AS193" s="648">
        <f t="shared" si="85"/>
        <v>0</v>
      </c>
      <c r="AT193" s="648">
        <f t="shared" si="86"/>
        <v>0</v>
      </c>
      <c r="AU193" s="648">
        <f t="shared" si="87"/>
        <v>0</v>
      </c>
      <c r="AV193" s="648">
        <f t="shared" si="88"/>
        <v>0</v>
      </c>
      <c r="AW193" s="648">
        <f t="shared" si="89"/>
        <v>0</v>
      </c>
      <c r="AX193" s="648">
        <f t="shared" si="90"/>
        <v>0</v>
      </c>
      <c r="AY193" s="634">
        <v>0</v>
      </c>
      <c r="AZ193" s="616"/>
      <c r="BA193" s="619">
        <f>IF(O194=0,0,             IF(ISNUMBER(AZ193),AZ193,             IF(ISTEXT(AZ193),INDEX(AQ193:AX193,MATCH(AZ193,$AQ$17:$AX$17,0)),           IF(AY193="INT",_xll.qInterp(O194,AA193:AH193,AQ193:AX193),       INDEX(AQ193:AX193,MATCH(AY193,$AQ$17:$AX$17,0))))))</f>
        <v>0</v>
      </c>
      <c r="BB193" s="674">
        <v>100</v>
      </c>
      <c r="BC193" s="666">
        <f t="shared" si="69"/>
        <v>0</v>
      </c>
      <c r="BD193" s="268">
        <f>IF($O194=0,0,                IF(LEFT(DCC_Leg1_Fixed,2)="1/",uEvaluate(DCC_Leg1_Fixed),        _xll.qDateYears($O193,$O194,DCC_Leg1_Fixed)))</f>
        <v>0</v>
      </c>
      <c r="BE193" s="268">
        <f>IF($O194,_xll.qDateYears($O193,$O194,DCC_Leg1_Float),0)</f>
        <v>0</v>
      </c>
      <c r="BG193" s="332">
        <f t="shared" si="91"/>
        <v>0</v>
      </c>
      <c r="BH193" s="357">
        <f t="shared" si="92"/>
        <v>0</v>
      </c>
      <c r="BI193" s="527"/>
      <c r="BK193" s="324">
        <f t="shared" si="97"/>
        <v>0</v>
      </c>
      <c r="BM193" s="338"/>
      <c r="BN193" s="121">
        <v>0</v>
      </c>
      <c r="BO193" s="755">
        <f t="shared" si="70"/>
        <v>0</v>
      </c>
      <c r="BP193" s="339">
        <v>0</v>
      </c>
      <c r="BQ193" s="890">
        <f>IF(BN194=0,0,         IF(OR(Currency2="AUD",Currency1="NZD",Currency2="GBP"),BN193,   _xll.qDateNext(BN193,"-2b",,,IF(Currency2="EUR","TGT","LON"))))</f>
        <v>0</v>
      </c>
      <c r="BR193" s="879" t="str">
        <v/>
      </c>
      <c r="BS193" s="879" t="str">
        <v/>
      </c>
      <c r="BT193" s="879" t="str">
        <v/>
      </c>
      <c r="BU193" s="879" t="str">
        <v/>
      </c>
      <c r="BV193" s="879" t="str">
        <v/>
      </c>
      <c r="BW193" s="879" t="str">
        <v/>
      </c>
      <c r="BX193" s="879" t="str">
        <v/>
      </c>
      <c r="BY193" s="879" t="str">
        <v/>
      </c>
      <c r="BZ193" s="882">
        <f>IF($BN194=0,0,        _xll.qDateNext($BN193,BZ$17,$CG$16,TRUE,Currency2))</f>
        <v>0</v>
      </c>
      <c r="CA193" s="882">
        <f>IF($BN194=0,0,        _xll.qDateNext($BN193,CA$17,$CG$16,TRUE,Currency2))</f>
        <v>0</v>
      </c>
      <c r="CB193" s="882">
        <f>IF($BN194=0,0,        _xll.qDateNext($BN193,CB$17,$CG$16,TRUE,Currency2))</f>
        <v>0</v>
      </c>
      <c r="CC193" s="882">
        <f>IF($BN194=0,0,        _xll.qDateNext($BN193,CC$17,$CG$16,TRUE,Currency2))</f>
        <v>0</v>
      </c>
      <c r="CD193" s="882">
        <f>IF($BN194=0,0,        _xll.qDateNext($BN193,CD$17,$CG$16,TRUE,Currency2))</f>
        <v>0</v>
      </c>
      <c r="CE193" s="882">
        <f>IF($BN194=0,0,        _xll.qDateNext($BN193,CE$17,$CG$16,TRUE,Currency2))</f>
        <v>0</v>
      </c>
      <c r="CF193" s="882">
        <f>IF($BN194=0,0,        _xll.qDateNext($BN193,CF$17,$CG$16,TRUE,Currency2))</f>
        <v>0</v>
      </c>
      <c r="CG193" s="882">
        <f>IF($BN194=0,0,        _xll.qDateNext($BN193,CG$17,$CG$16,TRUE,Currency2))</f>
        <v>0</v>
      </c>
      <c r="CH193" s="886">
        <v>0</v>
      </c>
      <c r="CI193" s="886">
        <v>0</v>
      </c>
      <c r="CJ193" s="886">
        <v>0</v>
      </c>
      <c r="CK193" s="886">
        <v>0</v>
      </c>
      <c r="CL193" s="886">
        <f t="shared" si="93"/>
        <v>0</v>
      </c>
      <c r="CM193" s="886">
        <f t="shared" si="94"/>
        <v>0</v>
      </c>
      <c r="CN193" s="886">
        <v>0</v>
      </c>
      <c r="CO193" s="886">
        <v>0</v>
      </c>
      <c r="CP193" s="648">
        <f t="shared" si="71"/>
        <v>0</v>
      </c>
      <c r="CQ193" s="648">
        <f t="shared" si="72"/>
        <v>0</v>
      </c>
      <c r="CR193" s="648">
        <f t="shared" si="73"/>
        <v>0</v>
      </c>
      <c r="CS193" s="648">
        <f t="shared" si="74"/>
        <v>0</v>
      </c>
      <c r="CT193" s="648">
        <f t="shared" si="75"/>
        <v>0</v>
      </c>
      <c r="CU193" s="648">
        <f t="shared" si="76"/>
        <v>0</v>
      </c>
      <c r="CV193" s="648">
        <f t="shared" si="77"/>
        <v>0</v>
      </c>
      <c r="CW193" s="648">
        <f t="shared" si="78"/>
        <v>0</v>
      </c>
      <c r="CX193" s="634">
        <v>0</v>
      </c>
      <c r="CY193" s="616"/>
      <c r="CZ193" s="619">
        <f>IF(BN194=0,0,             IF(ISNUMBER(CY193),CY193,             IF(ISTEXT(CY193),INDEX(CP193:CW193,MATCH(CY193,$CP$17:$CW$17,0)),           IF(CX193="INT",_xll.qInterp(BN194,BZ193:CG193,CP193:CW193),       INDEX(CP193:CW193,MATCH(CX193,$CP$17:$CW$17,0))))))</f>
        <v>0</v>
      </c>
      <c r="DA193" s="755">
        <f t="shared" si="79"/>
        <v>0</v>
      </c>
      <c r="DB193" s="387">
        <f t="shared" si="80"/>
        <v>0</v>
      </c>
      <c r="DC193" s="268">
        <f>IF($BN194=0,0,         IF(LEFT(DCC_Leg2_Fixed,2)="1/",uEvaluate(DCC_Leg2_Fixed),         _xll.qDateYears($BN193,$BN194,DCC_Leg2_Fixed)))</f>
        <v>0</v>
      </c>
      <c r="DD193" s="268">
        <f>IF($BN194,_xll.qDateYears($BN193,$BN194,DCC_Leg2_Float),0)</f>
        <v>0</v>
      </c>
      <c r="DF193" s="332">
        <f t="shared" si="95"/>
        <v>0</v>
      </c>
      <c r="DG193" s="357">
        <f t="shared" si="96"/>
        <v>0</v>
      </c>
      <c r="DH193" s="527"/>
      <c r="DJ193" s="324">
        <f t="shared" si="98"/>
        <v>0</v>
      </c>
      <c r="DK193" s="529"/>
      <c r="DL193" s="338"/>
    </row>
    <row r="194" spans="15:116">
      <c r="O194" s="121">
        <v>0</v>
      </c>
      <c r="P194" s="755">
        <f t="shared" si="67"/>
        <v>0</v>
      </c>
      <c r="Q194" s="125">
        <v>0</v>
      </c>
      <c r="R194" s="890">
        <f>IF(O195=0,0,         IF(OR(Currency1="AUD",Currency1="NZD",Currency1="GBP"),O194,   _xll.qDateNext(O194,"-2b",,,IF(Currency1="EUR","TGT","LON"))))</f>
        <v>0</v>
      </c>
      <c r="S194" s="879" t="str">
        <v/>
      </c>
      <c r="T194" s="879" t="str">
        <v/>
      </c>
      <c r="U194" s="879" t="str">
        <v/>
      </c>
      <c r="V194" s="879" t="str">
        <v/>
      </c>
      <c r="W194" s="879" t="str">
        <v/>
      </c>
      <c r="X194" s="879" t="str">
        <v/>
      </c>
      <c r="Y194" s="879" t="str">
        <v/>
      </c>
      <c r="Z194" s="879" t="str">
        <v/>
      </c>
      <c r="AA194" s="882">
        <f>IF($O195=0,0,        _xll.qDateNext($O194,AA$17,$AH$16,TRUE,Currency1))</f>
        <v>0</v>
      </c>
      <c r="AB194" s="882">
        <f>IF($O195=0,0,        _xll.qDateNext($O194,AB$17,$AH$16,TRUE,Currency1))</f>
        <v>0</v>
      </c>
      <c r="AC194" s="882">
        <f>IF($O195=0,0,        _xll.qDateNext($O194,AC$17,$AH$16,TRUE,Currency1))</f>
        <v>0</v>
      </c>
      <c r="AD194" s="882">
        <f>IF($O195=0,0,        _xll.qDateNext($O194,AD$17,$AH$16,TRUE,Currency1))</f>
        <v>0</v>
      </c>
      <c r="AE194" s="882">
        <f>IF($O195=0,0,        _xll.qDateNext($O194,AE$17,$AH$16,TRUE,Currency1))</f>
        <v>0</v>
      </c>
      <c r="AF194" s="882">
        <f>IF($O195=0,0,        _xll.qDateNext($O194,AF$17,$AH$16,TRUE,Currency1))</f>
        <v>0</v>
      </c>
      <c r="AG194" s="882">
        <f>IF($O195=0,0,        _xll.qDateNext($O194,AG$17,$AH$16,TRUE,Currency1))</f>
        <v>0</v>
      </c>
      <c r="AH194" s="882">
        <f>IF($O195=0,0,        _xll.qDateNext($O194,AH$17,$AH$16,TRUE,Currency1))</f>
        <v>0</v>
      </c>
      <c r="AI194" s="886">
        <f>IF($O195=0,0,           IF(FRM,_xll.qGetFwdRate(AI$14,$O194,AA194,"T",DCC_Leg1_Float),_xll.qGetFwdRate(AI$14,$O194,$O195,"T",DCC_Leg1_Float)))</f>
        <v>0</v>
      </c>
      <c r="AJ194" s="886">
        <f>IF($O195=0,0,           IF(FRM,_xll.qGetFwdRate(AJ$14,$O194,AB194,"T",DCC_Leg1_Float),_xll.qGetFwdRate(AJ$14,$O194,$O195,"T",DCC_Leg1_Float)))</f>
        <v>0</v>
      </c>
      <c r="AK194" s="886">
        <f t="shared" si="68"/>
        <v>0</v>
      </c>
      <c r="AL194" s="886">
        <f>IF($O195=0,0,           IF(FRM,_xll.qGetFwdRate(AL$14,$O194,AD194,"T",DCC_Leg1_Float),_xll.qGetFwdRate(AL$14,$O194,$O195,"T",DCC_Leg1_Float)))</f>
        <v>0</v>
      </c>
      <c r="AM194" s="886">
        <f t="shared" si="81"/>
        <v>0</v>
      </c>
      <c r="AN194" s="886">
        <f t="shared" si="82"/>
        <v>0</v>
      </c>
      <c r="AO194" s="886">
        <f>IF($O195=0,0,           IF(FRM,_xll.qGetFwdRate(AO$14,$O194,AG194,"T",DCC_Leg1_Float),_xll.qGetFwdRate(AO$14,$O194,$O195,"T",DCC_Leg1_Float)))</f>
        <v>0</v>
      </c>
      <c r="AP194" s="886">
        <f>IF($O195=0,0,           IF(FRM,_xll.qGetFwdRate(AP$14,$O194,AH194,"T",DCC_Leg1_Float),_xll.qGetFwdRate(AP$14,$O194,$O195,"T",DCC_Leg1_Float)))</f>
        <v>0</v>
      </c>
      <c r="AQ194" s="648">
        <f t="shared" si="83"/>
        <v>0</v>
      </c>
      <c r="AR194" s="648">
        <f t="shared" si="84"/>
        <v>0</v>
      </c>
      <c r="AS194" s="648">
        <f t="shared" si="85"/>
        <v>0</v>
      </c>
      <c r="AT194" s="648">
        <f t="shared" si="86"/>
        <v>0</v>
      </c>
      <c r="AU194" s="648">
        <f t="shared" si="87"/>
        <v>0</v>
      </c>
      <c r="AV194" s="648">
        <f t="shared" si="88"/>
        <v>0</v>
      </c>
      <c r="AW194" s="648">
        <f t="shared" si="89"/>
        <v>0</v>
      </c>
      <c r="AX194" s="648">
        <f t="shared" si="90"/>
        <v>0</v>
      </c>
      <c r="AY194" s="634">
        <v>0</v>
      </c>
      <c r="AZ194" s="616"/>
      <c r="BA194" s="619">
        <f>IF(O195=0,0,             IF(ISNUMBER(AZ194),AZ194,             IF(ISTEXT(AZ194),INDEX(AQ194:AX194,MATCH(AZ194,$AQ$17:$AX$17,0)),           IF(AY194="INT",_xll.qInterp(O195,AA194:AH194,AQ194:AX194),       INDEX(AQ194:AX194,MATCH(AY194,$AQ$17:$AX$17,0))))))</f>
        <v>0</v>
      </c>
      <c r="BB194" s="674">
        <v>100</v>
      </c>
      <c r="BC194" s="666">
        <f t="shared" si="69"/>
        <v>0</v>
      </c>
      <c r="BD194" s="268">
        <f>IF($O195=0,0,                IF(LEFT(DCC_Leg1_Fixed,2)="1/",uEvaluate(DCC_Leg1_Fixed),        _xll.qDateYears($O194,$O195,DCC_Leg1_Fixed)))</f>
        <v>0</v>
      </c>
      <c r="BE194" s="268">
        <f>IF($O195,_xll.qDateYears($O194,$O195,DCC_Leg1_Float),0)</f>
        <v>0</v>
      </c>
      <c r="BG194" s="332">
        <f t="shared" si="91"/>
        <v>0</v>
      </c>
      <c r="BH194" s="357">
        <f t="shared" si="92"/>
        <v>0</v>
      </c>
      <c r="BI194" s="527"/>
      <c r="BK194" s="324">
        <f t="shared" si="97"/>
        <v>0</v>
      </c>
      <c r="BM194" s="338"/>
      <c r="BN194" s="121">
        <v>0</v>
      </c>
      <c r="BO194" s="755">
        <f t="shared" si="70"/>
        <v>0</v>
      </c>
      <c r="BP194" s="339">
        <v>0</v>
      </c>
      <c r="BQ194" s="890">
        <f>IF(BN195=0,0,         IF(OR(Currency2="AUD",Currency1="NZD",Currency2="GBP"),BN194,   _xll.qDateNext(BN194,"-2b",,,IF(Currency2="EUR","TGT","LON"))))</f>
        <v>0</v>
      </c>
      <c r="BR194" s="879" t="str">
        <v/>
      </c>
      <c r="BS194" s="879" t="str">
        <v/>
      </c>
      <c r="BT194" s="879" t="str">
        <v/>
      </c>
      <c r="BU194" s="879" t="str">
        <v/>
      </c>
      <c r="BV194" s="879" t="str">
        <v/>
      </c>
      <c r="BW194" s="879" t="str">
        <v/>
      </c>
      <c r="BX194" s="879" t="str">
        <v/>
      </c>
      <c r="BY194" s="879" t="str">
        <v/>
      </c>
      <c r="BZ194" s="882">
        <f>IF($BN195=0,0,        _xll.qDateNext($BN194,BZ$17,$CG$16,TRUE,Currency2))</f>
        <v>0</v>
      </c>
      <c r="CA194" s="882">
        <f>IF($BN195=0,0,        _xll.qDateNext($BN194,CA$17,$CG$16,TRUE,Currency2))</f>
        <v>0</v>
      </c>
      <c r="CB194" s="882">
        <f>IF($BN195=0,0,        _xll.qDateNext($BN194,CB$17,$CG$16,TRUE,Currency2))</f>
        <v>0</v>
      </c>
      <c r="CC194" s="882">
        <f>IF($BN195=0,0,        _xll.qDateNext($BN194,CC$17,$CG$16,TRUE,Currency2))</f>
        <v>0</v>
      </c>
      <c r="CD194" s="882">
        <f>IF($BN195=0,0,        _xll.qDateNext($BN194,CD$17,$CG$16,TRUE,Currency2))</f>
        <v>0</v>
      </c>
      <c r="CE194" s="882">
        <f>IF($BN195=0,0,        _xll.qDateNext($BN194,CE$17,$CG$16,TRUE,Currency2))</f>
        <v>0</v>
      </c>
      <c r="CF194" s="882">
        <f>IF($BN195=0,0,        _xll.qDateNext($BN194,CF$17,$CG$16,TRUE,Currency2))</f>
        <v>0</v>
      </c>
      <c r="CG194" s="882">
        <f>IF($BN195=0,0,        _xll.qDateNext($BN194,CG$17,$CG$16,TRUE,Currency2))</f>
        <v>0</v>
      </c>
      <c r="CH194" s="886">
        <v>0</v>
      </c>
      <c r="CI194" s="886">
        <v>0</v>
      </c>
      <c r="CJ194" s="886">
        <v>0</v>
      </c>
      <c r="CK194" s="886">
        <v>0</v>
      </c>
      <c r="CL194" s="886">
        <f t="shared" si="93"/>
        <v>0</v>
      </c>
      <c r="CM194" s="886">
        <f t="shared" si="94"/>
        <v>0</v>
      </c>
      <c r="CN194" s="886">
        <v>0</v>
      </c>
      <c r="CO194" s="886">
        <v>0</v>
      </c>
      <c r="CP194" s="648">
        <f t="shared" si="71"/>
        <v>0</v>
      </c>
      <c r="CQ194" s="648">
        <f t="shared" si="72"/>
        <v>0</v>
      </c>
      <c r="CR194" s="648">
        <f t="shared" si="73"/>
        <v>0</v>
      </c>
      <c r="CS194" s="648">
        <f t="shared" si="74"/>
        <v>0</v>
      </c>
      <c r="CT194" s="648">
        <f t="shared" si="75"/>
        <v>0</v>
      </c>
      <c r="CU194" s="648">
        <f t="shared" si="76"/>
        <v>0</v>
      </c>
      <c r="CV194" s="648">
        <f t="shared" si="77"/>
        <v>0</v>
      </c>
      <c r="CW194" s="648">
        <f t="shared" si="78"/>
        <v>0</v>
      </c>
      <c r="CX194" s="634">
        <v>0</v>
      </c>
      <c r="CY194" s="616"/>
      <c r="CZ194" s="619">
        <f>IF(BN195=0,0,             IF(ISNUMBER(CY194),CY194,             IF(ISTEXT(CY194),INDEX(CP194:CW194,MATCH(CY194,$CP$17:$CW$17,0)),           IF(CX194="INT",_xll.qInterp(BN195,BZ194:CG194,CP194:CW194),       INDEX(CP194:CW194,MATCH(CX194,$CP$17:$CW$17,0))))))</f>
        <v>0</v>
      </c>
      <c r="DA194" s="755">
        <f t="shared" si="79"/>
        <v>0</v>
      </c>
      <c r="DB194" s="387">
        <f t="shared" si="80"/>
        <v>0</v>
      </c>
      <c r="DC194" s="268">
        <f>IF($BN195=0,0,         IF(LEFT(DCC_Leg2_Fixed,2)="1/",uEvaluate(DCC_Leg2_Fixed),         _xll.qDateYears($BN194,$BN195,DCC_Leg2_Fixed)))</f>
        <v>0</v>
      </c>
      <c r="DD194" s="268">
        <f>IF($BN195,_xll.qDateYears($BN194,$BN195,DCC_Leg2_Float),0)</f>
        <v>0</v>
      </c>
      <c r="DF194" s="332">
        <f t="shared" si="95"/>
        <v>0</v>
      </c>
      <c r="DG194" s="357">
        <f t="shared" si="96"/>
        <v>0</v>
      </c>
      <c r="DH194" s="527"/>
      <c r="DJ194" s="324">
        <f t="shared" si="98"/>
        <v>0</v>
      </c>
      <c r="DK194" s="529"/>
      <c r="DL194" s="338"/>
    </row>
    <row r="195" spans="15:116">
      <c r="O195" s="121">
        <v>0</v>
      </c>
      <c r="P195" s="755">
        <f t="shared" si="67"/>
        <v>0</v>
      </c>
      <c r="Q195" s="125">
        <v>0</v>
      </c>
      <c r="R195" s="890">
        <f>IF(O196=0,0,         IF(OR(Currency1="AUD",Currency1="NZD",Currency1="GBP"),O195,   _xll.qDateNext(O195,"-2b",,,IF(Currency1="EUR","TGT","LON"))))</f>
        <v>0</v>
      </c>
      <c r="S195" s="879" t="str">
        <v/>
      </c>
      <c r="T195" s="879" t="str">
        <v/>
      </c>
      <c r="U195" s="879" t="str">
        <v/>
      </c>
      <c r="V195" s="879" t="str">
        <v/>
      </c>
      <c r="W195" s="879" t="str">
        <v/>
      </c>
      <c r="X195" s="879" t="str">
        <v/>
      </c>
      <c r="Y195" s="879" t="str">
        <v/>
      </c>
      <c r="Z195" s="879" t="str">
        <v/>
      </c>
      <c r="AA195" s="882">
        <f>IF($O196=0,0,        _xll.qDateNext($O195,AA$17,$AH$16,TRUE,Currency1))</f>
        <v>0</v>
      </c>
      <c r="AB195" s="882">
        <f>IF($O196=0,0,        _xll.qDateNext($O195,AB$17,$AH$16,TRUE,Currency1))</f>
        <v>0</v>
      </c>
      <c r="AC195" s="882">
        <f>IF($O196=0,0,        _xll.qDateNext($O195,AC$17,$AH$16,TRUE,Currency1))</f>
        <v>0</v>
      </c>
      <c r="AD195" s="882">
        <f>IF($O196=0,0,        _xll.qDateNext($O195,AD$17,$AH$16,TRUE,Currency1))</f>
        <v>0</v>
      </c>
      <c r="AE195" s="882">
        <f>IF($O196=0,0,        _xll.qDateNext($O195,AE$17,$AH$16,TRUE,Currency1))</f>
        <v>0</v>
      </c>
      <c r="AF195" s="882">
        <f>IF($O196=0,0,        _xll.qDateNext($O195,AF$17,$AH$16,TRUE,Currency1))</f>
        <v>0</v>
      </c>
      <c r="AG195" s="882">
        <f>IF($O196=0,0,        _xll.qDateNext($O195,AG$17,$AH$16,TRUE,Currency1))</f>
        <v>0</v>
      </c>
      <c r="AH195" s="882">
        <f>IF($O196=0,0,        _xll.qDateNext($O195,AH$17,$AH$16,TRUE,Currency1))</f>
        <v>0</v>
      </c>
      <c r="AI195" s="886">
        <f>IF($O196=0,0,           IF(FRM,_xll.qGetFwdRate(AI$14,$O195,AA195,"T",DCC_Leg1_Float),_xll.qGetFwdRate(AI$14,$O195,$O196,"T",DCC_Leg1_Float)))</f>
        <v>0</v>
      </c>
      <c r="AJ195" s="886">
        <f>IF($O196=0,0,           IF(FRM,_xll.qGetFwdRate(AJ$14,$O195,AB195,"T",DCC_Leg1_Float),_xll.qGetFwdRate(AJ$14,$O195,$O196,"T",DCC_Leg1_Float)))</f>
        <v>0</v>
      </c>
      <c r="AK195" s="886">
        <f t="shared" si="68"/>
        <v>0</v>
      </c>
      <c r="AL195" s="886">
        <f>IF($O196=0,0,           IF(FRM,_xll.qGetFwdRate(AL$14,$O195,AD195,"T",DCC_Leg1_Float),_xll.qGetFwdRate(AL$14,$O195,$O196,"T",DCC_Leg1_Float)))</f>
        <v>0</v>
      </c>
      <c r="AM195" s="886">
        <f t="shared" si="81"/>
        <v>0</v>
      </c>
      <c r="AN195" s="886">
        <f t="shared" si="82"/>
        <v>0</v>
      </c>
      <c r="AO195" s="886">
        <f>IF($O196=0,0,           IF(FRM,_xll.qGetFwdRate(AO$14,$O195,AG195,"T",DCC_Leg1_Float),_xll.qGetFwdRate(AO$14,$O195,$O196,"T",DCC_Leg1_Float)))</f>
        <v>0</v>
      </c>
      <c r="AP195" s="886">
        <f>IF($O196=0,0,           IF(FRM,_xll.qGetFwdRate(AP$14,$O195,AH195,"T",DCC_Leg1_Float),_xll.qGetFwdRate(AP$14,$O195,$O196,"T",DCC_Leg1_Float)))</f>
        <v>0</v>
      </c>
      <c r="AQ195" s="648">
        <f t="shared" si="83"/>
        <v>0</v>
      </c>
      <c r="AR195" s="648">
        <f t="shared" si="84"/>
        <v>0</v>
      </c>
      <c r="AS195" s="648">
        <f t="shared" si="85"/>
        <v>0</v>
      </c>
      <c r="AT195" s="648">
        <f t="shared" si="86"/>
        <v>0</v>
      </c>
      <c r="AU195" s="648">
        <f t="shared" si="87"/>
        <v>0</v>
      </c>
      <c r="AV195" s="648">
        <f t="shared" si="88"/>
        <v>0</v>
      </c>
      <c r="AW195" s="648">
        <f t="shared" si="89"/>
        <v>0</v>
      </c>
      <c r="AX195" s="648">
        <f t="shared" si="90"/>
        <v>0</v>
      </c>
      <c r="AY195" s="634">
        <v>0</v>
      </c>
      <c r="AZ195" s="616"/>
      <c r="BA195" s="619">
        <f>IF(O196=0,0,             IF(ISNUMBER(AZ195),AZ195,             IF(ISTEXT(AZ195),INDEX(AQ195:AX195,MATCH(AZ195,$AQ$17:$AX$17,0)),           IF(AY195="INT",_xll.qInterp(O196,AA195:AH195,AQ195:AX195),       INDEX(AQ195:AX195,MATCH(AY195,$AQ$17:$AX$17,0))))))</f>
        <v>0</v>
      </c>
      <c r="BB195" s="674">
        <v>100</v>
      </c>
      <c r="BC195" s="666">
        <f t="shared" si="69"/>
        <v>0</v>
      </c>
      <c r="BD195" s="268">
        <f>IF($O196=0,0,                IF(LEFT(DCC_Leg1_Fixed,2)="1/",uEvaluate(DCC_Leg1_Fixed),        _xll.qDateYears($O195,$O196,DCC_Leg1_Fixed)))</f>
        <v>0</v>
      </c>
      <c r="BE195" s="268">
        <f>IF($O196,_xll.qDateYears($O195,$O196,DCC_Leg1_Float),0)</f>
        <v>0</v>
      </c>
      <c r="BG195" s="332">
        <f t="shared" si="91"/>
        <v>0</v>
      </c>
      <c r="BH195" s="357">
        <f t="shared" si="92"/>
        <v>0</v>
      </c>
      <c r="BI195" s="527"/>
      <c r="BK195" s="324">
        <f t="shared" si="97"/>
        <v>0</v>
      </c>
      <c r="BM195" s="338"/>
      <c r="BN195" s="121">
        <v>0</v>
      </c>
      <c r="BO195" s="755">
        <f t="shared" si="70"/>
        <v>0</v>
      </c>
      <c r="BP195" s="339">
        <v>0</v>
      </c>
      <c r="BQ195" s="890">
        <f>IF(BN196=0,0,         IF(OR(Currency2="AUD",Currency1="NZD",Currency2="GBP"),BN195,   _xll.qDateNext(BN195,"-2b",,,IF(Currency2="EUR","TGT","LON"))))</f>
        <v>0</v>
      </c>
      <c r="BR195" s="879" t="str">
        <v/>
      </c>
      <c r="BS195" s="879" t="str">
        <v/>
      </c>
      <c r="BT195" s="879" t="str">
        <v/>
      </c>
      <c r="BU195" s="879" t="str">
        <v/>
      </c>
      <c r="BV195" s="879" t="str">
        <v/>
      </c>
      <c r="BW195" s="879" t="str">
        <v/>
      </c>
      <c r="BX195" s="879" t="str">
        <v/>
      </c>
      <c r="BY195" s="879" t="str">
        <v/>
      </c>
      <c r="BZ195" s="882">
        <f>IF($BN196=0,0,        _xll.qDateNext($BN195,BZ$17,$CG$16,TRUE,Currency2))</f>
        <v>0</v>
      </c>
      <c r="CA195" s="882">
        <f>IF($BN196=0,0,        _xll.qDateNext($BN195,CA$17,$CG$16,TRUE,Currency2))</f>
        <v>0</v>
      </c>
      <c r="CB195" s="882">
        <f>IF($BN196=0,0,        _xll.qDateNext($BN195,CB$17,$CG$16,TRUE,Currency2))</f>
        <v>0</v>
      </c>
      <c r="CC195" s="882">
        <f>IF($BN196=0,0,        _xll.qDateNext($BN195,CC$17,$CG$16,TRUE,Currency2))</f>
        <v>0</v>
      </c>
      <c r="CD195" s="882">
        <f>IF($BN196=0,0,        _xll.qDateNext($BN195,CD$17,$CG$16,TRUE,Currency2))</f>
        <v>0</v>
      </c>
      <c r="CE195" s="882">
        <f>IF($BN196=0,0,        _xll.qDateNext($BN195,CE$17,$CG$16,TRUE,Currency2))</f>
        <v>0</v>
      </c>
      <c r="CF195" s="882">
        <f>IF($BN196=0,0,        _xll.qDateNext($BN195,CF$17,$CG$16,TRUE,Currency2))</f>
        <v>0</v>
      </c>
      <c r="CG195" s="882">
        <f>IF($BN196=0,0,        _xll.qDateNext($BN195,CG$17,$CG$16,TRUE,Currency2))</f>
        <v>0</v>
      </c>
      <c r="CH195" s="886">
        <v>0</v>
      </c>
      <c r="CI195" s="886">
        <v>0</v>
      </c>
      <c r="CJ195" s="886">
        <v>0</v>
      </c>
      <c r="CK195" s="886">
        <v>0</v>
      </c>
      <c r="CL195" s="886">
        <f t="shared" si="93"/>
        <v>0</v>
      </c>
      <c r="CM195" s="886">
        <f t="shared" si="94"/>
        <v>0</v>
      </c>
      <c r="CN195" s="886">
        <v>0</v>
      </c>
      <c r="CO195" s="886">
        <v>0</v>
      </c>
      <c r="CP195" s="648">
        <f t="shared" si="71"/>
        <v>0</v>
      </c>
      <c r="CQ195" s="648">
        <f t="shared" si="72"/>
        <v>0</v>
      </c>
      <c r="CR195" s="648">
        <f t="shared" si="73"/>
        <v>0</v>
      </c>
      <c r="CS195" s="648">
        <f t="shared" si="74"/>
        <v>0</v>
      </c>
      <c r="CT195" s="648">
        <f t="shared" si="75"/>
        <v>0</v>
      </c>
      <c r="CU195" s="648">
        <f t="shared" si="76"/>
        <v>0</v>
      </c>
      <c r="CV195" s="648">
        <f t="shared" si="77"/>
        <v>0</v>
      </c>
      <c r="CW195" s="648">
        <f t="shared" si="78"/>
        <v>0</v>
      </c>
      <c r="CX195" s="634">
        <v>0</v>
      </c>
      <c r="CY195" s="616"/>
      <c r="CZ195" s="619">
        <f>IF(BN196=0,0,             IF(ISNUMBER(CY195),CY195,             IF(ISTEXT(CY195),INDEX(CP195:CW195,MATCH(CY195,$CP$17:$CW$17,0)),           IF(CX195="INT",_xll.qInterp(BN196,BZ195:CG195,CP195:CW195),       INDEX(CP195:CW195,MATCH(CX195,$CP$17:$CW$17,0))))))</f>
        <v>0</v>
      </c>
      <c r="DA195" s="755">
        <f t="shared" si="79"/>
        <v>0</v>
      </c>
      <c r="DB195" s="387">
        <f t="shared" si="80"/>
        <v>0</v>
      </c>
      <c r="DC195" s="268">
        <f>IF($BN196=0,0,         IF(LEFT(DCC_Leg2_Fixed,2)="1/",uEvaluate(DCC_Leg2_Fixed),         _xll.qDateYears($BN195,$BN196,DCC_Leg2_Fixed)))</f>
        <v>0</v>
      </c>
      <c r="DD195" s="268">
        <f>IF($BN196,_xll.qDateYears($BN195,$BN196,DCC_Leg2_Float),0)</f>
        <v>0</v>
      </c>
      <c r="DF195" s="332">
        <f t="shared" si="95"/>
        <v>0</v>
      </c>
      <c r="DG195" s="357">
        <f t="shared" si="96"/>
        <v>0</v>
      </c>
      <c r="DH195" s="527"/>
      <c r="DJ195" s="324">
        <f t="shared" si="98"/>
        <v>0</v>
      </c>
      <c r="DK195" s="529"/>
      <c r="DL195" s="338"/>
    </row>
    <row r="196" spans="15:116">
      <c r="O196" s="121">
        <v>0</v>
      </c>
      <c r="P196" s="755">
        <f t="shared" si="67"/>
        <v>0</v>
      </c>
      <c r="Q196" s="125">
        <v>0</v>
      </c>
      <c r="R196" s="890">
        <f>IF(O197=0,0,         IF(OR(Currency1="AUD",Currency1="NZD",Currency1="GBP"),O196,   _xll.qDateNext(O196,"-2b",,,IF(Currency1="EUR","TGT","LON"))))</f>
        <v>0</v>
      </c>
      <c r="S196" s="879" t="str">
        <v/>
      </c>
      <c r="T196" s="879" t="str">
        <v/>
      </c>
      <c r="U196" s="879" t="str">
        <v/>
      </c>
      <c r="V196" s="879" t="str">
        <v/>
      </c>
      <c r="W196" s="879" t="str">
        <v/>
      </c>
      <c r="X196" s="879" t="str">
        <v/>
      </c>
      <c r="Y196" s="879" t="str">
        <v/>
      </c>
      <c r="Z196" s="879" t="str">
        <v/>
      </c>
      <c r="AA196" s="882">
        <f>IF($O197=0,0,        _xll.qDateNext($O196,AA$17,$AH$16,TRUE,Currency1))</f>
        <v>0</v>
      </c>
      <c r="AB196" s="882">
        <f>IF($O197=0,0,        _xll.qDateNext($O196,AB$17,$AH$16,TRUE,Currency1))</f>
        <v>0</v>
      </c>
      <c r="AC196" s="882">
        <f>IF($O197=0,0,        _xll.qDateNext($O196,AC$17,$AH$16,TRUE,Currency1))</f>
        <v>0</v>
      </c>
      <c r="AD196" s="882">
        <f>IF($O197=0,0,        _xll.qDateNext($O196,AD$17,$AH$16,TRUE,Currency1))</f>
        <v>0</v>
      </c>
      <c r="AE196" s="882">
        <f>IF($O197=0,0,        _xll.qDateNext($O196,AE$17,$AH$16,TRUE,Currency1))</f>
        <v>0</v>
      </c>
      <c r="AF196" s="882">
        <f>IF($O197=0,0,        _xll.qDateNext($O196,AF$17,$AH$16,TRUE,Currency1))</f>
        <v>0</v>
      </c>
      <c r="AG196" s="882">
        <f>IF($O197=0,0,        _xll.qDateNext($O196,AG$17,$AH$16,TRUE,Currency1))</f>
        <v>0</v>
      </c>
      <c r="AH196" s="882">
        <f>IF($O197=0,0,        _xll.qDateNext($O196,AH$17,$AH$16,TRUE,Currency1))</f>
        <v>0</v>
      </c>
      <c r="AI196" s="886">
        <f>IF($O197=0,0,           IF(FRM,_xll.qGetFwdRate(AI$14,$O196,AA196,"T",DCC_Leg1_Float),_xll.qGetFwdRate(AI$14,$O196,$O197,"T",DCC_Leg1_Float)))</f>
        <v>0</v>
      </c>
      <c r="AJ196" s="886">
        <f>IF($O197=0,0,           IF(FRM,_xll.qGetFwdRate(AJ$14,$O196,AB196,"T",DCC_Leg1_Float),_xll.qGetFwdRate(AJ$14,$O196,$O197,"T",DCC_Leg1_Float)))</f>
        <v>0</v>
      </c>
      <c r="AK196" s="886">
        <f t="shared" si="68"/>
        <v>0</v>
      </c>
      <c r="AL196" s="886">
        <f>IF($O197=0,0,           IF(FRM,_xll.qGetFwdRate(AL$14,$O196,AD196,"T",DCC_Leg1_Float),_xll.qGetFwdRate(AL$14,$O196,$O197,"T",DCC_Leg1_Float)))</f>
        <v>0</v>
      </c>
      <c r="AM196" s="886">
        <f t="shared" si="81"/>
        <v>0</v>
      </c>
      <c r="AN196" s="886">
        <f t="shared" si="82"/>
        <v>0</v>
      </c>
      <c r="AO196" s="886">
        <f>IF($O197=0,0,           IF(FRM,_xll.qGetFwdRate(AO$14,$O196,AG196,"T",DCC_Leg1_Float),_xll.qGetFwdRate(AO$14,$O196,$O197,"T",DCC_Leg1_Float)))</f>
        <v>0</v>
      </c>
      <c r="AP196" s="886">
        <f>IF($O197=0,0,           IF(FRM,_xll.qGetFwdRate(AP$14,$O196,AH196,"T",DCC_Leg1_Float),_xll.qGetFwdRate(AP$14,$O196,$O197,"T",DCC_Leg1_Float)))</f>
        <v>0</v>
      </c>
      <c r="AQ196" s="648">
        <f t="shared" si="83"/>
        <v>0</v>
      </c>
      <c r="AR196" s="648">
        <f t="shared" si="84"/>
        <v>0</v>
      </c>
      <c r="AS196" s="648">
        <f t="shared" si="85"/>
        <v>0</v>
      </c>
      <c r="AT196" s="648">
        <f t="shared" si="86"/>
        <v>0</v>
      </c>
      <c r="AU196" s="648">
        <f t="shared" si="87"/>
        <v>0</v>
      </c>
      <c r="AV196" s="648">
        <f t="shared" si="88"/>
        <v>0</v>
      </c>
      <c r="AW196" s="648">
        <f t="shared" si="89"/>
        <v>0</v>
      </c>
      <c r="AX196" s="648">
        <f t="shared" si="90"/>
        <v>0</v>
      </c>
      <c r="AY196" s="634">
        <v>0</v>
      </c>
      <c r="AZ196" s="616"/>
      <c r="BA196" s="619">
        <f>IF(O197=0,0,             IF(ISNUMBER(AZ196),AZ196,             IF(ISTEXT(AZ196),INDEX(AQ196:AX196,MATCH(AZ196,$AQ$17:$AX$17,0)),           IF(AY196="INT",_xll.qInterp(O197,AA196:AH196,AQ196:AX196),       INDEX(AQ196:AX196,MATCH(AY196,$AQ$17:$AX$17,0))))))</f>
        <v>0</v>
      </c>
      <c r="BB196" s="674">
        <v>100</v>
      </c>
      <c r="BC196" s="666">
        <f t="shared" si="69"/>
        <v>0</v>
      </c>
      <c r="BD196" s="268">
        <f>IF($O197=0,0,                IF(LEFT(DCC_Leg1_Fixed,2)="1/",uEvaluate(DCC_Leg1_Fixed),        _xll.qDateYears($O196,$O197,DCC_Leg1_Fixed)))</f>
        <v>0</v>
      </c>
      <c r="BE196" s="268">
        <f>IF($O197,_xll.qDateYears($O196,$O197,DCC_Leg1_Float),0)</f>
        <v>0</v>
      </c>
      <c r="BG196" s="332">
        <f t="shared" si="91"/>
        <v>0</v>
      </c>
      <c r="BH196" s="357">
        <f t="shared" si="92"/>
        <v>0</v>
      </c>
      <c r="BI196" s="527"/>
      <c r="BK196" s="324">
        <f t="shared" si="97"/>
        <v>0</v>
      </c>
      <c r="BM196" s="338"/>
      <c r="BN196" s="121">
        <v>0</v>
      </c>
      <c r="BO196" s="755">
        <f t="shared" si="70"/>
        <v>0</v>
      </c>
      <c r="BP196" s="339">
        <v>0</v>
      </c>
      <c r="BQ196" s="890">
        <f>IF(BN197=0,0,         IF(OR(Currency2="AUD",Currency1="NZD",Currency2="GBP"),BN196,   _xll.qDateNext(BN196,"-2b",,,IF(Currency2="EUR","TGT","LON"))))</f>
        <v>0</v>
      </c>
      <c r="BR196" s="879" t="str">
        <v/>
      </c>
      <c r="BS196" s="879" t="str">
        <v/>
      </c>
      <c r="BT196" s="879" t="str">
        <v/>
      </c>
      <c r="BU196" s="879" t="str">
        <v/>
      </c>
      <c r="BV196" s="879" t="str">
        <v/>
      </c>
      <c r="BW196" s="879" t="str">
        <v/>
      </c>
      <c r="BX196" s="879" t="str">
        <v/>
      </c>
      <c r="BY196" s="879" t="str">
        <v/>
      </c>
      <c r="BZ196" s="882">
        <f>IF($BN197=0,0,        _xll.qDateNext($BN196,BZ$17,$CG$16,TRUE,Currency2))</f>
        <v>0</v>
      </c>
      <c r="CA196" s="882">
        <f>IF($BN197=0,0,        _xll.qDateNext($BN196,CA$17,$CG$16,TRUE,Currency2))</f>
        <v>0</v>
      </c>
      <c r="CB196" s="882">
        <f>IF($BN197=0,0,        _xll.qDateNext($BN196,CB$17,$CG$16,TRUE,Currency2))</f>
        <v>0</v>
      </c>
      <c r="CC196" s="882">
        <f>IF($BN197=0,0,        _xll.qDateNext($BN196,CC$17,$CG$16,TRUE,Currency2))</f>
        <v>0</v>
      </c>
      <c r="CD196" s="882">
        <f>IF($BN197=0,0,        _xll.qDateNext($BN196,CD$17,$CG$16,TRUE,Currency2))</f>
        <v>0</v>
      </c>
      <c r="CE196" s="882">
        <f>IF($BN197=0,0,        _xll.qDateNext($BN196,CE$17,$CG$16,TRUE,Currency2))</f>
        <v>0</v>
      </c>
      <c r="CF196" s="882">
        <f>IF($BN197=0,0,        _xll.qDateNext($BN196,CF$17,$CG$16,TRUE,Currency2))</f>
        <v>0</v>
      </c>
      <c r="CG196" s="882">
        <f>IF($BN197=0,0,        _xll.qDateNext($BN196,CG$17,$CG$16,TRUE,Currency2))</f>
        <v>0</v>
      </c>
      <c r="CH196" s="886">
        <v>0</v>
      </c>
      <c r="CI196" s="886">
        <v>0</v>
      </c>
      <c r="CJ196" s="886">
        <v>0</v>
      </c>
      <c r="CK196" s="886">
        <v>0</v>
      </c>
      <c r="CL196" s="886">
        <f t="shared" si="93"/>
        <v>0</v>
      </c>
      <c r="CM196" s="886">
        <f t="shared" si="94"/>
        <v>0</v>
      </c>
      <c r="CN196" s="886">
        <v>0</v>
      </c>
      <c r="CO196" s="886">
        <v>0</v>
      </c>
      <c r="CP196" s="648">
        <f t="shared" si="71"/>
        <v>0</v>
      </c>
      <c r="CQ196" s="648">
        <f t="shared" si="72"/>
        <v>0</v>
      </c>
      <c r="CR196" s="648">
        <f t="shared" si="73"/>
        <v>0</v>
      </c>
      <c r="CS196" s="648">
        <f t="shared" si="74"/>
        <v>0</v>
      </c>
      <c r="CT196" s="648">
        <f t="shared" si="75"/>
        <v>0</v>
      </c>
      <c r="CU196" s="648">
        <f t="shared" si="76"/>
        <v>0</v>
      </c>
      <c r="CV196" s="648">
        <f t="shared" si="77"/>
        <v>0</v>
      </c>
      <c r="CW196" s="648">
        <f t="shared" si="78"/>
        <v>0</v>
      </c>
      <c r="CX196" s="634">
        <v>0</v>
      </c>
      <c r="CY196" s="616"/>
      <c r="CZ196" s="619">
        <f>IF(BN197=0,0,             IF(ISNUMBER(CY196),CY196,             IF(ISTEXT(CY196),INDEX(CP196:CW196,MATCH(CY196,$CP$17:$CW$17,0)),           IF(CX196="INT",_xll.qInterp(BN197,BZ196:CG196,CP196:CW196),       INDEX(CP196:CW196,MATCH(CX196,$CP$17:$CW$17,0))))))</f>
        <v>0</v>
      </c>
      <c r="DA196" s="755">
        <f t="shared" si="79"/>
        <v>0</v>
      </c>
      <c r="DB196" s="387">
        <f t="shared" si="80"/>
        <v>0</v>
      </c>
      <c r="DC196" s="268">
        <f>IF($BN197=0,0,         IF(LEFT(DCC_Leg2_Fixed,2)="1/",uEvaluate(DCC_Leg2_Fixed),         _xll.qDateYears($BN196,$BN197,DCC_Leg2_Fixed)))</f>
        <v>0</v>
      </c>
      <c r="DD196" s="268">
        <f>IF($BN197,_xll.qDateYears($BN196,$BN197,DCC_Leg2_Float),0)</f>
        <v>0</v>
      </c>
      <c r="DF196" s="332">
        <f t="shared" si="95"/>
        <v>0</v>
      </c>
      <c r="DG196" s="357">
        <f t="shared" si="96"/>
        <v>0</v>
      </c>
      <c r="DH196" s="527"/>
      <c r="DJ196" s="324">
        <f t="shared" si="98"/>
        <v>0</v>
      </c>
      <c r="DK196" s="529"/>
      <c r="DL196" s="338"/>
    </row>
    <row r="197" spans="15:116">
      <c r="O197" s="121">
        <v>0</v>
      </c>
      <c r="P197" s="755">
        <f t="shared" si="67"/>
        <v>0</v>
      </c>
      <c r="Q197" s="125">
        <v>0</v>
      </c>
      <c r="R197" s="890">
        <f>IF(O198=0,0,         IF(OR(Currency1="AUD",Currency1="NZD",Currency1="GBP"),O197,   _xll.qDateNext(O197,"-2b",,,IF(Currency1="EUR","TGT","LON"))))</f>
        <v>0</v>
      </c>
      <c r="S197" s="879" t="str">
        <v/>
      </c>
      <c r="T197" s="879" t="str">
        <v/>
      </c>
      <c r="U197" s="879" t="str">
        <v/>
      </c>
      <c r="V197" s="879" t="str">
        <v/>
      </c>
      <c r="W197" s="879" t="str">
        <v/>
      </c>
      <c r="X197" s="879" t="str">
        <v/>
      </c>
      <c r="Y197" s="879" t="str">
        <v/>
      </c>
      <c r="Z197" s="879" t="str">
        <v/>
      </c>
      <c r="AA197" s="882">
        <f>IF($O198=0,0,        _xll.qDateNext($O197,AA$17,$AH$16,TRUE,Currency1))</f>
        <v>0</v>
      </c>
      <c r="AB197" s="882">
        <f>IF($O198=0,0,        _xll.qDateNext($O197,AB$17,$AH$16,TRUE,Currency1))</f>
        <v>0</v>
      </c>
      <c r="AC197" s="882">
        <f>IF($O198=0,0,        _xll.qDateNext($O197,AC$17,$AH$16,TRUE,Currency1))</f>
        <v>0</v>
      </c>
      <c r="AD197" s="882">
        <f>IF($O198=0,0,        _xll.qDateNext($O197,AD$17,$AH$16,TRUE,Currency1))</f>
        <v>0</v>
      </c>
      <c r="AE197" s="882">
        <f>IF($O198=0,0,        _xll.qDateNext($O197,AE$17,$AH$16,TRUE,Currency1))</f>
        <v>0</v>
      </c>
      <c r="AF197" s="882">
        <f>IF($O198=0,0,        _xll.qDateNext($O197,AF$17,$AH$16,TRUE,Currency1))</f>
        <v>0</v>
      </c>
      <c r="AG197" s="882">
        <f>IF($O198=0,0,        _xll.qDateNext($O197,AG$17,$AH$16,TRUE,Currency1))</f>
        <v>0</v>
      </c>
      <c r="AH197" s="882">
        <f>IF($O198=0,0,        _xll.qDateNext($O197,AH$17,$AH$16,TRUE,Currency1))</f>
        <v>0</v>
      </c>
      <c r="AI197" s="886">
        <f>IF($O198=0,0,           IF(FRM,_xll.qGetFwdRate(AI$14,$O197,AA197,"T",DCC_Leg1_Float),_xll.qGetFwdRate(AI$14,$O197,$O198,"T",DCC_Leg1_Float)))</f>
        <v>0</v>
      </c>
      <c r="AJ197" s="886">
        <f>IF($O198=0,0,           IF(FRM,_xll.qGetFwdRate(AJ$14,$O197,AB197,"T",DCC_Leg1_Float),_xll.qGetFwdRate(AJ$14,$O197,$O198,"T",DCC_Leg1_Float)))</f>
        <v>0</v>
      </c>
      <c r="AK197" s="886">
        <f t="shared" si="68"/>
        <v>0</v>
      </c>
      <c r="AL197" s="886">
        <f>IF($O198=0,0,           IF(FRM,_xll.qGetFwdRate(AL$14,$O197,AD197,"T",DCC_Leg1_Float),_xll.qGetFwdRate(AL$14,$O197,$O198,"T",DCC_Leg1_Float)))</f>
        <v>0</v>
      </c>
      <c r="AM197" s="886">
        <f t="shared" si="81"/>
        <v>0</v>
      </c>
      <c r="AN197" s="886">
        <f t="shared" si="82"/>
        <v>0</v>
      </c>
      <c r="AO197" s="886">
        <f>IF($O198=0,0,           IF(FRM,_xll.qGetFwdRate(AO$14,$O197,AG197,"T",DCC_Leg1_Float),_xll.qGetFwdRate(AO$14,$O197,$O198,"T",DCC_Leg1_Float)))</f>
        <v>0</v>
      </c>
      <c r="AP197" s="886">
        <f>IF($O198=0,0,           IF(FRM,_xll.qGetFwdRate(AP$14,$O197,AH197,"T",DCC_Leg1_Float),_xll.qGetFwdRate(AP$14,$O197,$O198,"T",DCC_Leg1_Float)))</f>
        <v>0</v>
      </c>
      <c r="AQ197" s="648">
        <f t="shared" si="83"/>
        <v>0</v>
      </c>
      <c r="AR197" s="648">
        <f t="shared" si="84"/>
        <v>0</v>
      </c>
      <c r="AS197" s="648">
        <f t="shared" si="85"/>
        <v>0</v>
      </c>
      <c r="AT197" s="648">
        <f t="shared" si="86"/>
        <v>0</v>
      </c>
      <c r="AU197" s="648">
        <f t="shared" si="87"/>
        <v>0</v>
      </c>
      <c r="AV197" s="648">
        <f t="shared" si="88"/>
        <v>0</v>
      </c>
      <c r="AW197" s="648">
        <f t="shared" si="89"/>
        <v>0</v>
      </c>
      <c r="AX197" s="648">
        <f t="shared" si="90"/>
        <v>0</v>
      </c>
      <c r="AY197" s="634">
        <v>0</v>
      </c>
      <c r="AZ197" s="616"/>
      <c r="BA197" s="619">
        <f>IF(O198=0,0,             IF(ISNUMBER(AZ197),AZ197,             IF(ISTEXT(AZ197),INDEX(AQ197:AX197,MATCH(AZ197,$AQ$17:$AX$17,0)),           IF(AY197="INT",_xll.qInterp(O198,AA197:AH197,AQ197:AX197),       INDEX(AQ197:AX197,MATCH(AY197,$AQ$17:$AX$17,0))))))</f>
        <v>0</v>
      </c>
      <c r="BB197" s="674">
        <v>100</v>
      </c>
      <c r="BC197" s="666">
        <f t="shared" si="69"/>
        <v>0</v>
      </c>
      <c r="BD197" s="268">
        <f>IF($O198=0,0,                IF(LEFT(DCC_Leg1_Fixed,2)="1/",uEvaluate(DCC_Leg1_Fixed),        _xll.qDateYears($O197,$O198,DCC_Leg1_Fixed)))</f>
        <v>0</v>
      </c>
      <c r="BE197" s="268">
        <f>IF($O198,_xll.qDateYears($O197,$O198,DCC_Leg1_Float),0)</f>
        <v>0</v>
      </c>
      <c r="BG197" s="332">
        <f t="shared" si="91"/>
        <v>0</v>
      </c>
      <c r="BH197" s="357">
        <f t="shared" si="92"/>
        <v>0</v>
      </c>
      <c r="BI197" s="527"/>
      <c r="BK197" s="324">
        <f t="shared" si="97"/>
        <v>0</v>
      </c>
      <c r="BM197" s="338"/>
      <c r="BN197" s="121">
        <v>0</v>
      </c>
      <c r="BO197" s="755">
        <f t="shared" si="70"/>
        <v>0</v>
      </c>
      <c r="BP197" s="339">
        <v>0</v>
      </c>
      <c r="BQ197" s="890">
        <f>IF(BN198=0,0,         IF(OR(Currency2="AUD",Currency1="NZD",Currency2="GBP"),BN197,   _xll.qDateNext(BN197,"-2b",,,IF(Currency2="EUR","TGT","LON"))))</f>
        <v>0</v>
      </c>
      <c r="BR197" s="879" t="str">
        <v/>
      </c>
      <c r="BS197" s="879" t="str">
        <v/>
      </c>
      <c r="BT197" s="879" t="str">
        <v/>
      </c>
      <c r="BU197" s="879" t="str">
        <v/>
      </c>
      <c r="BV197" s="879" t="str">
        <v/>
      </c>
      <c r="BW197" s="879" t="str">
        <v/>
      </c>
      <c r="BX197" s="879" t="str">
        <v/>
      </c>
      <c r="BY197" s="879" t="str">
        <v/>
      </c>
      <c r="BZ197" s="882">
        <f>IF($BN198=0,0,        _xll.qDateNext($BN197,BZ$17,$CG$16,TRUE,Currency2))</f>
        <v>0</v>
      </c>
      <c r="CA197" s="882">
        <f>IF($BN198=0,0,        _xll.qDateNext($BN197,CA$17,$CG$16,TRUE,Currency2))</f>
        <v>0</v>
      </c>
      <c r="CB197" s="882">
        <f>IF($BN198=0,0,        _xll.qDateNext($BN197,CB$17,$CG$16,TRUE,Currency2))</f>
        <v>0</v>
      </c>
      <c r="CC197" s="882">
        <f>IF($BN198=0,0,        _xll.qDateNext($BN197,CC$17,$CG$16,TRUE,Currency2))</f>
        <v>0</v>
      </c>
      <c r="CD197" s="882">
        <f>IF($BN198=0,0,        _xll.qDateNext($BN197,CD$17,$CG$16,TRUE,Currency2))</f>
        <v>0</v>
      </c>
      <c r="CE197" s="882">
        <f>IF($BN198=0,0,        _xll.qDateNext($BN197,CE$17,$CG$16,TRUE,Currency2))</f>
        <v>0</v>
      </c>
      <c r="CF197" s="882">
        <f>IF($BN198=0,0,        _xll.qDateNext($BN197,CF$17,$CG$16,TRUE,Currency2))</f>
        <v>0</v>
      </c>
      <c r="CG197" s="882">
        <f>IF($BN198=0,0,        _xll.qDateNext($BN197,CG$17,$CG$16,TRUE,Currency2))</f>
        <v>0</v>
      </c>
      <c r="CH197" s="886">
        <v>0</v>
      </c>
      <c r="CI197" s="886">
        <v>0</v>
      </c>
      <c r="CJ197" s="886">
        <v>0</v>
      </c>
      <c r="CK197" s="886">
        <v>0</v>
      </c>
      <c r="CL197" s="886">
        <f t="shared" si="93"/>
        <v>0</v>
      </c>
      <c r="CM197" s="886">
        <f t="shared" si="94"/>
        <v>0</v>
      </c>
      <c r="CN197" s="886">
        <v>0</v>
      </c>
      <c r="CO197" s="886">
        <v>0</v>
      </c>
      <c r="CP197" s="648">
        <f t="shared" si="71"/>
        <v>0</v>
      </c>
      <c r="CQ197" s="648">
        <f t="shared" si="72"/>
        <v>0</v>
      </c>
      <c r="CR197" s="648">
        <f t="shared" si="73"/>
        <v>0</v>
      </c>
      <c r="CS197" s="648">
        <f t="shared" si="74"/>
        <v>0</v>
      </c>
      <c r="CT197" s="648">
        <f t="shared" si="75"/>
        <v>0</v>
      </c>
      <c r="CU197" s="648">
        <f t="shared" si="76"/>
        <v>0</v>
      </c>
      <c r="CV197" s="648">
        <f t="shared" si="77"/>
        <v>0</v>
      </c>
      <c r="CW197" s="648">
        <f t="shared" si="78"/>
        <v>0</v>
      </c>
      <c r="CX197" s="634">
        <v>0</v>
      </c>
      <c r="CY197" s="616"/>
      <c r="CZ197" s="619">
        <f>IF(BN198=0,0,             IF(ISNUMBER(CY197),CY197,             IF(ISTEXT(CY197),INDEX(CP197:CW197,MATCH(CY197,$CP$17:$CW$17,0)),           IF(CX197="INT",_xll.qInterp(BN198,BZ197:CG197,CP197:CW197),       INDEX(CP197:CW197,MATCH(CX197,$CP$17:$CW$17,0))))))</f>
        <v>0</v>
      </c>
      <c r="DA197" s="755">
        <f t="shared" si="79"/>
        <v>0</v>
      </c>
      <c r="DB197" s="387">
        <f t="shared" si="80"/>
        <v>0</v>
      </c>
      <c r="DC197" s="268">
        <f>IF($BN198=0,0,         IF(LEFT(DCC_Leg2_Fixed,2)="1/",uEvaluate(DCC_Leg2_Fixed),         _xll.qDateYears($BN197,$BN198,DCC_Leg2_Fixed)))</f>
        <v>0</v>
      </c>
      <c r="DD197" s="268">
        <f>IF($BN198,_xll.qDateYears($BN197,$BN198,DCC_Leg2_Float),0)</f>
        <v>0</v>
      </c>
      <c r="DF197" s="332">
        <f t="shared" si="95"/>
        <v>0</v>
      </c>
      <c r="DG197" s="357">
        <f t="shared" si="96"/>
        <v>0</v>
      </c>
      <c r="DH197" s="527"/>
      <c r="DJ197" s="324">
        <f t="shared" si="98"/>
        <v>0</v>
      </c>
      <c r="DK197" s="529"/>
      <c r="DL197" s="338"/>
    </row>
    <row r="198" spans="15:116">
      <c r="O198" s="121">
        <v>0</v>
      </c>
      <c r="P198" s="755">
        <f t="shared" si="67"/>
        <v>0</v>
      </c>
      <c r="Q198" s="125">
        <v>0</v>
      </c>
      <c r="R198" s="890">
        <f>IF(O199=0,0,         IF(OR(Currency1="AUD",Currency1="NZD",Currency1="GBP"),O198,   _xll.qDateNext(O198,"-2b",,,IF(Currency1="EUR","TGT","LON"))))</f>
        <v>0</v>
      </c>
      <c r="S198" s="879" t="str">
        <v/>
      </c>
      <c r="T198" s="879" t="str">
        <v/>
      </c>
      <c r="U198" s="879" t="str">
        <v/>
      </c>
      <c r="V198" s="879" t="str">
        <v/>
      </c>
      <c r="W198" s="879" t="str">
        <v/>
      </c>
      <c r="X198" s="879" t="str">
        <v/>
      </c>
      <c r="Y198" s="879" t="str">
        <v/>
      </c>
      <c r="Z198" s="879" t="str">
        <v/>
      </c>
      <c r="AA198" s="882">
        <f>IF($O199=0,0,        _xll.qDateNext($O198,AA$17,$AH$16,TRUE,Currency1))</f>
        <v>0</v>
      </c>
      <c r="AB198" s="882">
        <f>IF($O199=0,0,        _xll.qDateNext($O198,AB$17,$AH$16,TRUE,Currency1))</f>
        <v>0</v>
      </c>
      <c r="AC198" s="882">
        <f>IF($O199=0,0,        _xll.qDateNext($O198,AC$17,$AH$16,TRUE,Currency1))</f>
        <v>0</v>
      </c>
      <c r="AD198" s="882">
        <f>IF($O199=0,0,        _xll.qDateNext($O198,AD$17,$AH$16,TRUE,Currency1))</f>
        <v>0</v>
      </c>
      <c r="AE198" s="882">
        <f>IF($O199=0,0,        _xll.qDateNext($O198,AE$17,$AH$16,TRUE,Currency1))</f>
        <v>0</v>
      </c>
      <c r="AF198" s="882">
        <f>IF($O199=0,0,        _xll.qDateNext($O198,AF$17,$AH$16,TRUE,Currency1))</f>
        <v>0</v>
      </c>
      <c r="AG198" s="882">
        <f>IF($O199=0,0,        _xll.qDateNext($O198,AG$17,$AH$16,TRUE,Currency1))</f>
        <v>0</v>
      </c>
      <c r="AH198" s="882">
        <f>IF($O199=0,0,        _xll.qDateNext($O198,AH$17,$AH$16,TRUE,Currency1))</f>
        <v>0</v>
      </c>
      <c r="AI198" s="886">
        <f>IF($O199=0,0,           IF(FRM,_xll.qGetFwdRate(AI$14,$O198,AA198,"T",DCC_Leg1_Float),_xll.qGetFwdRate(AI$14,$O198,$O199,"T",DCC_Leg1_Float)))</f>
        <v>0</v>
      </c>
      <c r="AJ198" s="886">
        <f>IF($O199=0,0,           IF(FRM,_xll.qGetFwdRate(AJ$14,$O198,AB198,"T",DCC_Leg1_Float),_xll.qGetFwdRate(AJ$14,$O198,$O199,"T",DCC_Leg1_Float)))</f>
        <v>0</v>
      </c>
      <c r="AK198" s="886">
        <f t="shared" si="68"/>
        <v>0</v>
      </c>
      <c r="AL198" s="886">
        <f>IF($O199=0,0,           IF(FRM,_xll.qGetFwdRate(AL$14,$O198,AD198,"T",DCC_Leg1_Float),_xll.qGetFwdRate(AL$14,$O198,$O199,"T",DCC_Leg1_Float)))</f>
        <v>0</v>
      </c>
      <c r="AM198" s="886">
        <f t="shared" si="81"/>
        <v>0</v>
      </c>
      <c r="AN198" s="886">
        <f t="shared" si="82"/>
        <v>0</v>
      </c>
      <c r="AO198" s="886">
        <f>IF($O199=0,0,           IF(FRM,_xll.qGetFwdRate(AO$14,$O198,AG198,"T",DCC_Leg1_Float),_xll.qGetFwdRate(AO$14,$O198,$O199,"T",DCC_Leg1_Float)))</f>
        <v>0</v>
      </c>
      <c r="AP198" s="886">
        <f>IF($O199=0,0,           IF(FRM,_xll.qGetFwdRate(AP$14,$O198,AH198,"T",DCC_Leg1_Float),_xll.qGetFwdRate(AP$14,$O198,$O199,"T",DCC_Leg1_Float)))</f>
        <v>0</v>
      </c>
      <c r="AQ198" s="648">
        <f t="shared" si="83"/>
        <v>0</v>
      </c>
      <c r="AR198" s="648">
        <f t="shared" si="84"/>
        <v>0</v>
      </c>
      <c r="AS198" s="648">
        <f t="shared" si="85"/>
        <v>0</v>
      </c>
      <c r="AT198" s="648">
        <f t="shared" si="86"/>
        <v>0</v>
      </c>
      <c r="AU198" s="648">
        <f t="shared" si="87"/>
        <v>0</v>
      </c>
      <c r="AV198" s="648">
        <f t="shared" si="88"/>
        <v>0</v>
      </c>
      <c r="AW198" s="648">
        <f t="shared" si="89"/>
        <v>0</v>
      </c>
      <c r="AX198" s="648">
        <f t="shared" si="90"/>
        <v>0</v>
      </c>
      <c r="AY198" s="634">
        <v>0</v>
      </c>
      <c r="AZ198" s="616"/>
      <c r="BA198" s="619">
        <f>IF(O199=0,0,             IF(ISNUMBER(AZ198),AZ198,             IF(ISTEXT(AZ198),INDEX(AQ198:AX198,MATCH(AZ198,$AQ$17:$AX$17,0)),           IF(AY198="INT",_xll.qInterp(O199,AA198:AH198,AQ198:AX198),       INDEX(AQ198:AX198,MATCH(AY198,$AQ$17:$AX$17,0))))))</f>
        <v>0</v>
      </c>
      <c r="BB198" s="674">
        <v>100</v>
      </c>
      <c r="BC198" s="666">
        <f t="shared" si="69"/>
        <v>0</v>
      </c>
      <c r="BD198" s="268">
        <f>IF($O199=0,0,                IF(LEFT(DCC_Leg1_Fixed,2)="1/",uEvaluate(DCC_Leg1_Fixed),        _xll.qDateYears($O198,$O199,DCC_Leg1_Fixed)))</f>
        <v>0</v>
      </c>
      <c r="BE198" s="268">
        <f>IF($O199,_xll.qDateYears($O198,$O199,DCC_Leg1_Float),0)</f>
        <v>0</v>
      </c>
      <c r="BG198" s="332">
        <f t="shared" si="91"/>
        <v>0</v>
      </c>
      <c r="BH198" s="357">
        <f t="shared" si="92"/>
        <v>0</v>
      </c>
      <c r="BI198" s="527"/>
      <c r="BK198" s="324">
        <f t="shared" si="97"/>
        <v>0</v>
      </c>
      <c r="BM198" s="338"/>
      <c r="BN198" s="121">
        <v>0</v>
      </c>
      <c r="BO198" s="755">
        <f t="shared" si="70"/>
        <v>0</v>
      </c>
      <c r="BP198" s="339">
        <v>0</v>
      </c>
      <c r="BQ198" s="890">
        <f>IF(BN199=0,0,         IF(OR(Currency2="AUD",Currency1="NZD",Currency2="GBP"),BN198,   _xll.qDateNext(BN198,"-2b",,,IF(Currency2="EUR","TGT","LON"))))</f>
        <v>0</v>
      </c>
      <c r="BR198" s="879" t="str">
        <v/>
      </c>
      <c r="BS198" s="879" t="str">
        <v/>
      </c>
      <c r="BT198" s="879" t="str">
        <v/>
      </c>
      <c r="BU198" s="879" t="str">
        <v/>
      </c>
      <c r="BV198" s="879" t="str">
        <v/>
      </c>
      <c r="BW198" s="879" t="str">
        <v/>
      </c>
      <c r="BX198" s="879" t="str">
        <v/>
      </c>
      <c r="BY198" s="879" t="str">
        <v/>
      </c>
      <c r="BZ198" s="882">
        <f>IF($BN199=0,0,        _xll.qDateNext($BN198,BZ$17,$CG$16,TRUE,Currency2))</f>
        <v>0</v>
      </c>
      <c r="CA198" s="882">
        <f>IF($BN199=0,0,        _xll.qDateNext($BN198,CA$17,$CG$16,TRUE,Currency2))</f>
        <v>0</v>
      </c>
      <c r="CB198" s="882">
        <f>IF($BN199=0,0,        _xll.qDateNext($BN198,CB$17,$CG$16,TRUE,Currency2))</f>
        <v>0</v>
      </c>
      <c r="CC198" s="882">
        <f>IF($BN199=0,0,        _xll.qDateNext($BN198,CC$17,$CG$16,TRUE,Currency2))</f>
        <v>0</v>
      </c>
      <c r="CD198" s="882">
        <f>IF($BN199=0,0,        _xll.qDateNext($BN198,CD$17,$CG$16,TRUE,Currency2))</f>
        <v>0</v>
      </c>
      <c r="CE198" s="882">
        <f>IF($BN199=0,0,        _xll.qDateNext($BN198,CE$17,$CG$16,TRUE,Currency2))</f>
        <v>0</v>
      </c>
      <c r="CF198" s="882">
        <f>IF($BN199=0,0,        _xll.qDateNext($BN198,CF$17,$CG$16,TRUE,Currency2))</f>
        <v>0</v>
      </c>
      <c r="CG198" s="882">
        <f>IF($BN199=0,0,        _xll.qDateNext($BN198,CG$17,$CG$16,TRUE,Currency2))</f>
        <v>0</v>
      </c>
      <c r="CH198" s="886">
        <v>0</v>
      </c>
      <c r="CI198" s="886">
        <v>0</v>
      </c>
      <c r="CJ198" s="886">
        <v>0</v>
      </c>
      <c r="CK198" s="886">
        <v>0</v>
      </c>
      <c r="CL198" s="886">
        <f t="shared" si="93"/>
        <v>0</v>
      </c>
      <c r="CM198" s="886">
        <f t="shared" si="94"/>
        <v>0</v>
      </c>
      <c r="CN198" s="886">
        <v>0</v>
      </c>
      <c r="CO198" s="886">
        <v>0</v>
      </c>
      <c r="CP198" s="648">
        <f t="shared" si="71"/>
        <v>0</v>
      </c>
      <c r="CQ198" s="648">
        <f t="shared" si="72"/>
        <v>0</v>
      </c>
      <c r="CR198" s="648">
        <f t="shared" si="73"/>
        <v>0</v>
      </c>
      <c r="CS198" s="648">
        <f t="shared" si="74"/>
        <v>0</v>
      </c>
      <c r="CT198" s="648">
        <f t="shared" si="75"/>
        <v>0</v>
      </c>
      <c r="CU198" s="648">
        <f t="shared" si="76"/>
        <v>0</v>
      </c>
      <c r="CV198" s="648">
        <f t="shared" si="77"/>
        <v>0</v>
      </c>
      <c r="CW198" s="648">
        <f t="shared" si="78"/>
        <v>0</v>
      </c>
      <c r="CX198" s="634">
        <v>0</v>
      </c>
      <c r="CY198" s="616"/>
      <c r="CZ198" s="619">
        <f>IF(BN199=0,0,             IF(ISNUMBER(CY198),CY198,             IF(ISTEXT(CY198),INDEX(CP198:CW198,MATCH(CY198,$CP$17:$CW$17,0)),           IF(CX198="INT",_xll.qInterp(BN199,BZ198:CG198,CP198:CW198),       INDEX(CP198:CW198,MATCH(CX198,$CP$17:$CW$17,0))))))</f>
        <v>0</v>
      </c>
      <c r="DA198" s="755">
        <f t="shared" si="79"/>
        <v>0</v>
      </c>
      <c r="DB198" s="387">
        <f t="shared" si="80"/>
        <v>0</v>
      </c>
      <c r="DC198" s="268">
        <f>IF($BN199=0,0,         IF(LEFT(DCC_Leg2_Fixed,2)="1/",uEvaluate(DCC_Leg2_Fixed),         _xll.qDateYears($BN198,$BN199,DCC_Leg2_Fixed)))</f>
        <v>0</v>
      </c>
      <c r="DD198" s="268">
        <f>IF($BN199,_xll.qDateYears($BN198,$BN199,DCC_Leg2_Float),0)</f>
        <v>0</v>
      </c>
      <c r="DF198" s="332">
        <f t="shared" si="95"/>
        <v>0</v>
      </c>
      <c r="DG198" s="357">
        <f t="shared" si="96"/>
        <v>0</v>
      </c>
      <c r="DH198" s="527"/>
      <c r="DJ198" s="324">
        <f t="shared" si="98"/>
        <v>0</v>
      </c>
      <c r="DK198" s="529"/>
      <c r="DL198" s="338"/>
    </row>
    <row r="199" spans="15:116">
      <c r="O199" s="121">
        <v>0</v>
      </c>
      <c r="P199" s="755">
        <f t="shared" si="67"/>
        <v>0</v>
      </c>
      <c r="Q199" s="125">
        <v>0</v>
      </c>
      <c r="R199" s="890">
        <f>IF(O200=0,0,         IF(OR(Currency1="AUD",Currency1="NZD",Currency1="GBP"),O199,   _xll.qDateNext(O199,"-2b",,,IF(Currency1="EUR","TGT","LON"))))</f>
        <v>0</v>
      </c>
      <c r="S199" s="879" t="str">
        <v/>
      </c>
      <c r="T199" s="879" t="str">
        <v/>
      </c>
      <c r="U199" s="879" t="str">
        <v/>
      </c>
      <c r="V199" s="879" t="str">
        <v/>
      </c>
      <c r="W199" s="879" t="str">
        <v/>
      </c>
      <c r="X199" s="879" t="str">
        <v/>
      </c>
      <c r="Y199" s="879" t="str">
        <v/>
      </c>
      <c r="Z199" s="879" t="str">
        <v/>
      </c>
      <c r="AA199" s="882">
        <f>IF($O200=0,0,        _xll.qDateNext($O199,AA$17,$AH$16,TRUE,Currency1))</f>
        <v>0</v>
      </c>
      <c r="AB199" s="882">
        <f>IF($O200=0,0,        _xll.qDateNext($O199,AB$17,$AH$16,TRUE,Currency1))</f>
        <v>0</v>
      </c>
      <c r="AC199" s="882">
        <f>IF($O200=0,0,        _xll.qDateNext($O199,AC$17,$AH$16,TRUE,Currency1))</f>
        <v>0</v>
      </c>
      <c r="AD199" s="882">
        <f>IF($O200=0,0,        _xll.qDateNext($O199,AD$17,$AH$16,TRUE,Currency1))</f>
        <v>0</v>
      </c>
      <c r="AE199" s="882">
        <f>IF($O200=0,0,        _xll.qDateNext($O199,AE$17,$AH$16,TRUE,Currency1))</f>
        <v>0</v>
      </c>
      <c r="AF199" s="882">
        <f>IF($O200=0,0,        _xll.qDateNext($O199,AF$17,$AH$16,TRUE,Currency1))</f>
        <v>0</v>
      </c>
      <c r="AG199" s="882">
        <f>IF($O200=0,0,        _xll.qDateNext($O199,AG$17,$AH$16,TRUE,Currency1))</f>
        <v>0</v>
      </c>
      <c r="AH199" s="882">
        <f>IF($O200=0,0,        _xll.qDateNext($O199,AH$17,$AH$16,TRUE,Currency1))</f>
        <v>0</v>
      </c>
      <c r="AI199" s="886">
        <f>IF($O200=0,0,           IF(FRM,_xll.qGetFwdRate(AI$14,$O199,AA199,"T",DCC_Leg1_Float),_xll.qGetFwdRate(AI$14,$O199,$O200,"T",DCC_Leg1_Float)))</f>
        <v>0</v>
      </c>
      <c r="AJ199" s="886">
        <f>IF($O200=0,0,           IF(FRM,_xll.qGetFwdRate(AJ$14,$O199,AB199,"T",DCC_Leg1_Float),_xll.qGetFwdRate(AJ$14,$O199,$O200,"T",DCC_Leg1_Float)))</f>
        <v>0</v>
      </c>
      <c r="AK199" s="886">
        <f t="shared" si="68"/>
        <v>0</v>
      </c>
      <c r="AL199" s="886">
        <f>IF($O200=0,0,           IF(FRM,_xll.qGetFwdRate(AL$14,$O199,AD199,"T",DCC_Leg1_Float),_xll.qGetFwdRate(AL$14,$O199,$O200,"T",DCC_Leg1_Float)))</f>
        <v>0</v>
      </c>
      <c r="AM199" s="886">
        <f t="shared" si="81"/>
        <v>0</v>
      </c>
      <c r="AN199" s="886">
        <f t="shared" si="82"/>
        <v>0</v>
      </c>
      <c r="AO199" s="886">
        <f>IF($O200=0,0,           IF(FRM,_xll.qGetFwdRate(AO$14,$O199,AG199,"T",DCC_Leg1_Float),_xll.qGetFwdRate(AO$14,$O199,$O200,"T",DCC_Leg1_Float)))</f>
        <v>0</v>
      </c>
      <c r="AP199" s="886">
        <f>IF($O200=0,0,           IF(FRM,_xll.qGetFwdRate(AP$14,$O199,AH199,"T",DCC_Leg1_Float),_xll.qGetFwdRate(AP$14,$O199,$O200,"T",DCC_Leg1_Float)))</f>
        <v>0</v>
      </c>
      <c r="AQ199" s="648">
        <f t="shared" si="83"/>
        <v>0</v>
      </c>
      <c r="AR199" s="648">
        <f t="shared" si="84"/>
        <v>0</v>
      </c>
      <c r="AS199" s="648">
        <f t="shared" si="85"/>
        <v>0</v>
      </c>
      <c r="AT199" s="648">
        <f t="shared" si="86"/>
        <v>0</v>
      </c>
      <c r="AU199" s="648">
        <f t="shared" si="87"/>
        <v>0</v>
      </c>
      <c r="AV199" s="648">
        <f t="shared" si="88"/>
        <v>0</v>
      </c>
      <c r="AW199" s="648">
        <f t="shared" si="89"/>
        <v>0</v>
      </c>
      <c r="AX199" s="648">
        <f t="shared" si="90"/>
        <v>0</v>
      </c>
      <c r="AY199" s="634">
        <v>0</v>
      </c>
      <c r="AZ199" s="616"/>
      <c r="BA199" s="619">
        <f>IF(O200=0,0,             IF(ISNUMBER(AZ199),AZ199,             IF(ISTEXT(AZ199),INDEX(AQ199:AX199,MATCH(AZ199,$AQ$17:$AX$17,0)),           IF(AY199="INT",_xll.qInterp(O200,AA199:AH199,AQ199:AX199),       INDEX(AQ199:AX199,MATCH(AY199,$AQ$17:$AX$17,0))))))</f>
        <v>0</v>
      </c>
      <c r="BB199" s="674">
        <v>100</v>
      </c>
      <c r="BC199" s="666">
        <f t="shared" si="69"/>
        <v>0</v>
      </c>
      <c r="BD199" s="268">
        <f>IF($O200=0,0,                IF(LEFT(DCC_Leg1_Fixed,2)="1/",uEvaluate(DCC_Leg1_Fixed),        _xll.qDateYears($O199,$O200,DCC_Leg1_Fixed)))</f>
        <v>0</v>
      </c>
      <c r="BE199" s="268">
        <f>IF($O200,_xll.qDateYears($O199,$O200,DCC_Leg1_Float),0)</f>
        <v>0</v>
      </c>
      <c r="BG199" s="332">
        <f t="shared" si="91"/>
        <v>0</v>
      </c>
      <c r="BH199" s="357">
        <f t="shared" si="92"/>
        <v>0</v>
      </c>
      <c r="BI199" s="527"/>
      <c r="BK199" s="324">
        <f t="shared" si="97"/>
        <v>0</v>
      </c>
      <c r="BM199" s="338"/>
      <c r="BN199" s="121">
        <v>0</v>
      </c>
      <c r="BO199" s="755">
        <f t="shared" si="70"/>
        <v>0</v>
      </c>
      <c r="BP199" s="339">
        <v>0</v>
      </c>
      <c r="BQ199" s="890">
        <f>IF(BN200=0,0,         IF(OR(Currency2="AUD",Currency1="NZD",Currency2="GBP"),BN199,   _xll.qDateNext(BN199,"-2b",,,IF(Currency2="EUR","TGT","LON"))))</f>
        <v>0</v>
      </c>
      <c r="BR199" s="879" t="str">
        <v/>
      </c>
      <c r="BS199" s="879" t="str">
        <v/>
      </c>
      <c r="BT199" s="879" t="str">
        <v/>
      </c>
      <c r="BU199" s="879" t="str">
        <v/>
      </c>
      <c r="BV199" s="879" t="str">
        <v/>
      </c>
      <c r="BW199" s="879" t="str">
        <v/>
      </c>
      <c r="BX199" s="879" t="str">
        <v/>
      </c>
      <c r="BY199" s="879" t="str">
        <v/>
      </c>
      <c r="BZ199" s="882">
        <f>IF($BN200=0,0,        _xll.qDateNext($BN199,BZ$17,$CG$16,TRUE,Currency2))</f>
        <v>0</v>
      </c>
      <c r="CA199" s="882">
        <f>IF($BN200=0,0,        _xll.qDateNext($BN199,CA$17,$CG$16,TRUE,Currency2))</f>
        <v>0</v>
      </c>
      <c r="CB199" s="882">
        <f>IF($BN200=0,0,        _xll.qDateNext($BN199,CB$17,$CG$16,TRUE,Currency2))</f>
        <v>0</v>
      </c>
      <c r="CC199" s="882">
        <f>IF($BN200=0,0,        _xll.qDateNext($BN199,CC$17,$CG$16,TRUE,Currency2))</f>
        <v>0</v>
      </c>
      <c r="CD199" s="882">
        <f>IF($BN200=0,0,        _xll.qDateNext($BN199,CD$17,$CG$16,TRUE,Currency2))</f>
        <v>0</v>
      </c>
      <c r="CE199" s="882">
        <f>IF($BN200=0,0,        _xll.qDateNext($BN199,CE$17,$CG$16,TRUE,Currency2))</f>
        <v>0</v>
      </c>
      <c r="CF199" s="882">
        <f>IF($BN200=0,0,        _xll.qDateNext($BN199,CF$17,$CG$16,TRUE,Currency2))</f>
        <v>0</v>
      </c>
      <c r="CG199" s="882">
        <f>IF($BN200=0,0,        _xll.qDateNext($BN199,CG$17,$CG$16,TRUE,Currency2))</f>
        <v>0</v>
      </c>
      <c r="CH199" s="886">
        <v>0</v>
      </c>
      <c r="CI199" s="886">
        <v>0</v>
      </c>
      <c r="CJ199" s="886">
        <v>0</v>
      </c>
      <c r="CK199" s="886">
        <v>0</v>
      </c>
      <c r="CL199" s="886">
        <f t="shared" si="93"/>
        <v>0</v>
      </c>
      <c r="CM199" s="886">
        <f t="shared" si="94"/>
        <v>0</v>
      </c>
      <c r="CN199" s="886">
        <v>0</v>
      </c>
      <c r="CO199" s="886">
        <v>0</v>
      </c>
      <c r="CP199" s="648">
        <f t="shared" si="71"/>
        <v>0</v>
      </c>
      <c r="CQ199" s="648">
        <f t="shared" si="72"/>
        <v>0</v>
      </c>
      <c r="CR199" s="648">
        <f t="shared" si="73"/>
        <v>0</v>
      </c>
      <c r="CS199" s="648">
        <f t="shared" si="74"/>
        <v>0</v>
      </c>
      <c r="CT199" s="648">
        <f t="shared" si="75"/>
        <v>0</v>
      </c>
      <c r="CU199" s="648">
        <f t="shared" si="76"/>
        <v>0</v>
      </c>
      <c r="CV199" s="648">
        <f t="shared" si="77"/>
        <v>0</v>
      </c>
      <c r="CW199" s="648">
        <f t="shared" si="78"/>
        <v>0</v>
      </c>
      <c r="CX199" s="634">
        <v>0</v>
      </c>
      <c r="CY199" s="616"/>
      <c r="CZ199" s="619">
        <f>IF(BN200=0,0,             IF(ISNUMBER(CY199),CY199,             IF(ISTEXT(CY199),INDEX(CP199:CW199,MATCH(CY199,$CP$17:$CW$17,0)),           IF(CX199="INT",_xll.qInterp(BN200,BZ199:CG199,CP199:CW199),       INDEX(CP199:CW199,MATCH(CX199,$CP$17:$CW$17,0))))))</f>
        <v>0</v>
      </c>
      <c r="DA199" s="755">
        <f t="shared" si="79"/>
        <v>0</v>
      </c>
      <c r="DB199" s="387">
        <f t="shared" si="80"/>
        <v>0</v>
      </c>
      <c r="DC199" s="268">
        <f>IF($BN200=0,0,         IF(LEFT(DCC_Leg2_Fixed,2)="1/",uEvaluate(DCC_Leg2_Fixed),         _xll.qDateYears($BN199,$BN200,DCC_Leg2_Fixed)))</f>
        <v>0</v>
      </c>
      <c r="DD199" s="268">
        <f>IF($BN200,_xll.qDateYears($BN199,$BN200,DCC_Leg2_Float),0)</f>
        <v>0</v>
      </c>
      <c r="DF199" s="332">
        <f t="shared" si="95"/>
        <v>0</v>
      </c>
      <c r="DG199" s="357">
        <f t="shared" si="96"/>
        <v>0</v>
      </c>
      <c r="DH199" s="527"/>
      <c r="DJ199" s="324">
        <f t="shared" si="98"/>
        <v>0</v>
      </c>
      <c r="DK199" s="529"/>
      <c r="DL199" s="338"/>
    </row>
    <row r="200" spans="15:116">
      <c r="O200" s="121">
        <v>0</v>
      </c>
      <c r="P200" s="755">
        <f t="shared" si="67"/>
        <v>0</v>
      </c>
      <c r="Q200" s="125">
        <v>0</v>
      </c>
      <c r="R200" s="890">
        <f>IF(O201=0,0,         IF(OR(Currency1="AUD",Currency1="NZD",Currency1="GBP"),O200,   _xll.qDateNext(O200,"-2b",,,IF(Currency1="EUR","TGT","LON"))))</f>
        <v>0</v>
      </c>
      <c r="S200" s="879" t="str">
        <v/>
      </c>
      <c r="T200" s="879" t="str">
        <v/>
      </c>
      <c r="U200" s="879" t="str">
        <v/>
      </c>
      <c r="V200" s="879" t="str">
        <v/>
      </c>
      <c r="W200" s="879" t="str">
        <v/>
      </c>
      <c r="X200" s="879" t="str">
        <v/>
      </c>
      <c r="Y200" s="879" t="str">
        <v/>
      </c>
      <c r="Z200" s="879" t="str">
        <v/>
      </c>
      <c r="AA200" s="882">
        <f>IF($O201=0,0,        _xll.qDateNext($O200,AA$17,$AH$16,TRUE,Currency1))</f>
        <v>0</v>
      </c>
      <c r="AB200" s="882">
        <f>IF($O201=0,0,        _xll.qDateNext($O200,AB$17,$AH$16,TRUE,Currency1))</f>
        <v>0</v>
      </c>
      <c r="AC200" s="882">
        <f>IF($O201=0,0,        _xll.qDateNext($O200,AC$17,$AH$16,TRUE,Currency1))</f>
        <v>0</v>
      </c>
      <c r="AD200" s="882">
        <f>IF($O201=0,0,        _xll.qDateNext($O200,AD$17,$AH$16,TRUE,Currency1))</f>
        <v>0</v>
      </c>
      <c r="AE200" s="882">
        <f>IF($O201=0,0,        _xll.qDateNext($O200,AE$17,$AH$16,TRUE,Currency1))</f>
        <v>0</v>
      </c>
      <c r="AF200" s="882">
        <f>IF($O201=0,0,        _xll.qDateNext($O200,AF$17,$AH$16,TRUE,Currency1))</f>
        <v>0</v>
      </c>
      <c r="AG200" s="882">
        <f>IF($O201=0,0,        _xll.qDateNext($O200,AG$17,$AH$16,TRUE,Currency1))</f>
        <v>0</v>
      </c>
      <c r="AH200" s="882">
        <f>IF($O201=0,0,        _xll.qDateNext($O200,AH$17,$AH$16,TRUE,Currency1))</f>
        <v>0</v>
      </c>
      <c r="AI200" s="886">
        <f>IF($O201=0,0,           IF(FRM,_xll.qGetFwdRate(AI$14,$O200,AA200,"T",DCC_Leg1_Float),_xll.qGetFwdRate(AI$14,$O200,$O201,"T",DCC_Leg1_Float)))</f>
        <v>0</v>
      </c>
      <c r="AJ200" s="886">
        <f>IF($O201=0,0,           IF(FRM,_xll.qGetFwdRate(AJ$14,$O200,AB200,"T",DCC_Leg1_Float),_xll.qGetFwdRate(AJ$14,$O200,$O201,"T",DCC_Leg1_Float)))</f>
        <v>0</v>
      </c>
      <c r="AK200" s="886">
        <f t="shared" si="68"/>
        <v>0</v>
      </c>
      <c r="AL200" s="886">
        <f>IF($O201=0,0,           IF(FRM,_xll.qGetFwdRate(AL$14,$O200,AD200,"T",DCC_Leg1_Float),_xll.qGetFwdRate(AL$14,$O200,$O201,"T",DCC_Leg1_Float)))</f>
        <v>0</v>
      </c>
      <c r="AM200" s="886">
        <f t="shared" si="81"/>
        <v>0</v>
      </c>
      <c r="AN200" s="886">
        <f t="shared" si="82"/>
        <v>0</v>
      </c>
      <c r="AO200" s="886">
        <f>IF($O201=0,0,           IF(FRM,_xll.qGetFwdRate(AO$14,$O200,AG200,"T",DCC_Leg1_Float),_xll.qGetFwdRate(AO$14,$O200,$O201,"T",DCC_Leg1_Float)))</f>
        <v>0</v>
      </c>
      <c r="AP200" s="886">
        <f>IF($O201=0,0,           IF(FRM,_xll.qGetFwdRate(AP$14,$O200,AH200,"T",DCC_Leg1_Float),_xll.qGetFwdRate(AP$14,$O200,$O201,"T",DCC_Leg1_Float)))</f>
        <v>0</v>
      </c>
      <c r="AQ200" s="648">
        <f t="shared" si="83"/>
        <v>0</v>
      </c>
      <c r="AR200" s="648">
        <f t="shared" si="84"/>
        <v>0</v>
      </c>
      <c r="AS200" s="648">
        <f t="shared" si="85"/>
        <v>0</v>
      </c>
      <c r="AT200" s="648">
        <f t="shared" si="86"/>
        <v>0</v>
      </c>
      <c r="AU200" s="648">
        <f t="shared" si="87"/>
        <v>0</v>
      </c>
      <c r="AV200" s="648">
        <f t="shared" si="88"/>
        <v>0</v>
      </c>
      <c r="AW200" s="648">
        <f t="shared" si="89"/>
        <v>0</v>
      </c>
      <c r="AX200" s="648">
        <f t="shared" si="90"/>
        <v>0</v>
      </c>
      <c r="AY200" s="634">
        <v>0</v>
      </c>
      <c r="AZ200" s="616"/>
      <c r="BA200" s="619">
        <f>IF(O201=0,0,             IF(ISNUMBER(AZ200),AZ200,             IF(ISTEXT(AZ200),INDEX(AQ200:AX200,MATCH(AZ200,$AQ$17:$AX$17,0)),           IF(AY200="INT",_xll.qInterp(O201,AA200:AH200,AQ200:AX200),       INDEX(AQ200:AX200,MATCH(AY200,$AQ$17:$AX$17,0))))))</f>
        <v>0</v>
      </c>
      <c r="BB200" s="674">
        <v>100</v>
      </c>
      <c r="BC200" s="666">
        <f t="shared" si="69"/>
        <v>0</v>
      </c>
      <c r="BD200" s="268">
        <f>IF($O201=0,0,                IF(LEFT(DCC_Leg1_Fixed,2)="1/",uEvaluate(DCC_Leg1_Fixed),        _xll.qDateYears($O200,$O201,DCC_Leg1_Fixed)))</f>
        <v>0</v>
      </c>
      <c r="BE200" s="268">
        <f>IF($O201,_xll.qDateYears($O200,$O201,DCC_Leg1_Float),0)</f>
        <v>0</v>
      </c>
      <c r="BG200" s="332">
        <f t="shared" si="91"/>
        <v>0</v>
      </c>
      <c r="BH200" s="357">
        <f t="shared" si="92"/>
        <v>0</v>
      </c>
      <c r="BI200" s="527"/>
      <c r="BK200" s="324">
        <f t="shared" si="97"/>
        <v>0</v>
      </c>
      <c r="BM200" s="338"/>
      <c r="BN200" s="121">
        <v>0</v>
      </c>
      <c r="BO200" s="755">
        <f t="shared" si="70"/>
        <v>0</v>
      </c>
      <c r="BP200" s="339">
        <v>0</v>
      </c>
      <c r="BQ200" s="890">
        <f>IF(BN201=0,0,         IF(OR(Currency2="AUD",Currency1="NZD",Currency2="GBP"),BN200,   _xll.qDateNext(BN200,"-2b",,,IF(Currency2="EUR","TGT","LON"))))</f>
        <v>0</v>
      </c>
      <c r="BR200" s="879" t="str">
        <v/>
      </c>
      <c r="BS200" s="879" t="str">
        <v/>
      </c>
      <c r="BT200" s="879" t="str">
        <v/>
      </c>
      <c r="BU200" s="879" t="str">
        <v/>
      </c>
      <c r="BV200" s="879" t="str">
        <v/>
      </c>
      <c r="BW200" s="879" t="str">
        <v/>
      </c>
      <c r="BX200" s="879" t="str">
        <v/>
      </c>
      <c r="BY200" s="879" t="str">
        <v/>
      </c>
      <c r="BZ200" s="882">
        <f>IF($BN201=0,0,        _xll.qDateNext($BN200,BZ$17,$CG$16,TRUE,Currency2))</f>
        <v>0</v>
      </c>
      <c r="CA200" s="882">
        <f>IF($BN201=0,0,        _xll.qDateNext($BN200,CA$17,$CG$16,TRUE,Currency2))</f>
        <v>0</v>
      </c>
      <c r="CB200" s="882">
        <f>IF($BN201=0,0,        _xll.qDateNext($BN200,CB$17,$CG$16,TRUE,Currency2))</f>
        <v>0</v>
      </c>
      <c r="CC200" s="882">
        <f>IF($BN201=0,0,        _xll.qDateNext($BN200,CC$17,$CG$16,TRUE,Currency2))</f>
        <v>0</v>
      </c>
      <c r="CD200" s="882">
        <f>IF($BN201=0,0,        _xll.qDateNext($BN200,CD$17,$CG$16,TRUE,Currency2))</f>
        <v>0</v>
      </c>
      <c r="CE200" s="882">
        <f>IF($BN201=0,0,        _xll.qDateNext($BN200,CE$17,$CG$16,TRUE,Currency2))</f>
        <v>0</v>
      </c>
      <c r="CF200" s="882">
        <f>IF($BN201=0,0,        _xll.qDateNext($BN200,CF$17,$CG$16,TRUE,Currency2))</f>
        <v>0</v>
      </c>
      <c r="CG200" s="882">
        <f>IF($BN201=0,0,        _xll.qDateNext($BN200,CG$17,$CG$16,TRUE,Currency2))</f>
        <v>0</v>
      </c>
      <c r="CH200" s="886">
        <v>0</v>
      </c>
      <c r="CI200" s="886">
        <v>0</v>
      </c>
      <c r="CJ200" s="886">
        <v>0</v>
      </c>
      <c r="CK200" s="886">
        <v>0</v>
      </c>
      <c r="CL200" s="886">
        <f t="shared" si="93"/>
        <v>0</v>
      </c>
      <c r="CM200" s="886">
        <f t="shared" si="94"/>
        <v>0</v>
      </c>
      <c r="CN200" s="886">
        <v>0</v>
      </c>
      <c r="CO200" s="886">
        <v>0</v>
      </c>
      <c r="CP200" s="648">
        <f t="shared" si="71"/>
        <v>0</v>
      </c>
      <c r="CQ200" s="648">
        <f t="shared" si="72"/>
        <v>0</v>
      </c>
      <c r="CR200" s="648">
        <f t="shared" si="73"/>
        <v>0</v>
      </c>
      <c r="CS200" s="648">
        <f t="shared" si="74"/>
        <v>0</v>
      </c>
      <c r="CT200" s="648">
        <f t="shared" si="75"/>
        <v>0</v>
      </c>
      <c r="CU200" s="648">
        <f t="shared" si="76"/>
        <v>0</v>
      </c>
      <c r="CV200" s="648">
        <f t="shared" si="77"/>
        <v>0</v>
      </c>
      <c r="CW200" s="648">
        <f t="shared" si="78"/>
        <v>0</v>
      </c>
      <c r="CX200" s="634">
        <v>0</v>
      </c>
      <c r="CY200" s="616"/>
      <c r="CZ200" s="619">
        <f>IF(BN201=0,0,             IF(ISNUMBER(CY200),CY200,             IF(ISTEXT(CY200),INDEX(CP200:CW200,MATCH(CY200,$CP$17:$CW$17,0)),           IF(CX200="INT",_xll.qInterp(BN201,BZ200:CG200,CP200:CW200),       INDEX(CP200:CW200,MATCH(CX200,$CP$17:$CW$17,0))))))</f>
        <v>0</v>
      </c>
      <c r="DA200" s="755">
        <f t="shared" si="79"/>
        <v>0</v>
      </c>
      <c r="DB200" s="387">
        <f t="shared" si="80"/>
        <v>0</v>
      </c>
      <c r="DC200" s="268">
        <f>IF($BN201=0,0,         IF(LEFT(DCC_Leg2_Fixed,2)="1/",uEvaluate(DCC_Leg2_Fixed),         _xll.qDateYears($BN200,$BN201,DCC_Leg2_Fixed)))</f>
        <v>0</v>
      </c>
      <c r="DD200" s="268">
        <f>IF($BN201,_xll.qDateYears($BN200,$BN201,DCC_Leg2_Float),0)</f>
        <v>0</v>
      </c>
      <c r="DF200" s="332">
        <f t="shared" si="95"/>
        <v>0</v>
      </c>
      <c r="DG200" s="357">
        <f t="shared" si="96"/>
        <v>0</v>
      </c>
      <c r="DH200" s="527"/>
      <c r="DJ200" s="324">
        <f t="shared" si="98"/>
        <v>0</v>
      </c>
      <c r="DK200" s="529"/>
      <c r="DL200" s="338"/>
    </row>
    <row r="201" spans="15:116">
      <c r="O201" s="121">
        <v>0</v>
      </c>
      <c r="P201" s="755">
        <f t="shared" si="67"/>
        <v>0</v>
      </c>
      <c r="Q201" s="125">
        <v>0</v>
      </c>
      <c r="R201" s="890">
        <f>IF(O202=0,0,         IF(OR(Currency1="AUD",Currency1="NZD",Currency1="GBP"),O201,   _xll.qDateNext(O201,"-2b",,,IF(Currency1="EUR","TGT","LON"))))</f>
        <v>0</v>
      </c>
      <c r="S201" s="879" t="str">
        <v/>
      </c>
      <c r="T201" s="879" t="str">
        <v/>
      </c>
      <c r="U201" s="879" t="str">
        <v/>
      </c>
      <c r="V201" s="879" t="str">
        <v/>
      </c>
      <c r="W201" s="879" t="str">
        <v/>
      </c>
      <c r="X201" s="879" t="str">
        <v/>
      </c>
      <c r="Y201" s="879" t="str">
        <v/>
      </c>
      <c r="Z201" s="879" t="str">
        <v/>
      </c>
      <c r="AA201" s="882">
        <f>IF($O202=0,0,        _xll.qDateNext($O201,AA$17,$AH$16,TRUE,Currency1))</f>
        <v>0</v>
      </c>
      <c r="AB201" s="882">
        <f>IF($O202=0,0,        _xll.qDateNext($O201,AB$17,$AH$16,TRUE,Currency1))</f>
        <v>0</v>
      </c>
      <c r="AC201" s="882">
        <f>IF($O202=0,0,        _xll.qDateNext($O201,AC$17,$AH$16,TRUE,Currency1))</f>
        <v>0</v>
      </c>
      <c r="AD201" s="882">
        <f>IF($O202=0,0,        _xll.qDateNext($O201,AD$17,$AH$16,TRUE,Currency1))</f>
        <v>0</v>
      </c>
      <c r="AE201" s="882">
        <f>IF($O202=0,0,        _xll.qDateNext($O201,AE$17,$AH$16,TRUE,Currency1))</f>
        <v>0</v>
      </c>
      <c r="AF201" s="882">
        <f>IF($O202=0,0,        _xll.qDateNext($O201,AF$17,$AH$16,TRUE,Currency1))</f>
        <v>0</v>
      </c>
      <c r="AG201" s="882">
        <f>IF($O202=0,0,        _xll.qDateNext($O201,AG$17,$AH$16,TRUE,Currency1))</f>
        <v>0</v>
      </c>
      <c r="AH201" s="882">
        <f>IF($O202=0,0,        _xll.qDateNext($O201,AH$17,$AH$16,TRUE,Currency1))</f>
        <v>0</v>
      </c>
      <c r="AI201" s="886">
        <f>IF($O202=0,0,           IF(FRM,_xll.qGetFwdRate(AI$14,$O201,AA201,"T",DCC_Leg1_Float),_xll.qGetFwdRate(AI$14,$O201,$O202,"T",DCC_Leg1_Float)))</f>
        <v>0</v>
      </c>
      <c r="AJ201" s="886">
        <f>IF($O202=0,0,           IF(FRM,_xll.qGetFwdRate(AJ$14,$O201,AB201,"T",DCC_Leg1_Float),_xll.qGetFwdRate(AJ$14,$O201,$O202,"T",DCC_Leg1_Float)))</f>
        <v>0</v>
      </c>
      <c r="AK201" s="886">
        <f t="shared" si="68"/>
        <v>0</v>
      </c>
      <c r="AL201" s="886">
        <f>IF($O202=0,0,           IF(FRM,_xll.qGetFwdRate(AL$14,$O201,AD201,"T",DCC_Leg1_Float),_xll.qGetFwdRate(AL$14,$O201,$O202,"T",DCC_Leg1_Float)))</f>
        <v>0</v>
      </c>
      <c r="AM201" s="886">
        <f t="shared" si="81"/>
        <v>0</v>
      </c>
      <c r="AN201" s="886">
        <f t="shared" si="82"/>
        <v>0</v>
      </c>
      <c r="AO201" s="886">
        <f>IF($O202=0,0,           IF(FRM,_xll.qGetFwdRate(AO$14,$O201,AG201,"T",DCC_Leg1_Float),_xll.qGetFwdRate(AO$14,$O201,$O202,"T",DCC_Leg1_Float)))</f>
        <v>0</v>
      </c>
      <c r="AP201" s="886">
        <f>IF($O202=0,0,           IF(FRM,_xll.qGetFwdRate(AP$14,$O201,AH201,"T",DCC_Leg1_Float),_xll.qGetFwdRate(AP$14,$O201,$O202,"T",DCC_Leg1_Float)))</f>
        <v>0</v>
      </c>
      <c r="AQ201" s="648">
        <f t="shared" si="83"/>
        <v>0</v>
      </c>
      <c r="AR201" s="648">
        <f t="shared" si="84"/>
        <v>0</v>
      </c>
      <c r="AS201" s="648">
        <f t="shared" si="85"/>
        <v>0</v>
      </c>
      <c r="AT201" s="648">
        <f t="shared" si="86"/>
        <v>0</v>
      </c>
      <c r="AU201" s="648">
        <f t="shared" si="87"/>
        <v>0</v>
      </c>
      <c r="AV201" s="648">
        <f t="shared" si="88"/>
        <v>0</v>
      </c>
      <c r="AW201" s="648">
        <f t="shared" si="89"/>
        <v>0</v>
      </c>
      <c r="AX201" s="648">
        <f t="shared" si="90"/>
        <v>0</v>
      </c>
      <c r="AY201" s="634">
        <v>0</v>
      </c>
      <c r="AZ201" s="616"/>
      <c r="BA201" s="619">
        <f>IF(O202=0,0,             IF(ISNUMBER(AZ201),AZ201,             IF(ISTEXT(AZ201),INDEX(AQ201:AX201,MATCH(AZ201,$AQ$17:$AX$17,0)),           IF(AY201="INT",_xll.qInterp(O202,AA201:AH201,AQ201:AX201),       INDEX(AQ201:AX201,MATCH(AY201,$AQ$17:$AX$17,0))))))</f>
        <v>0</v>
      </c>
      <c r="BB201" s="674">
        <v>100</v>
      </c>
      <c r="BC201" s="666">
        <f t="shared" si="69"/>
        <v>0</v>
      </c>
      <c r="BD201" s="268">
        <f>IF($O202=0,0,                IF(LEFT(DCC_Leg1_Fixed,2)="1/",uEvaluate(DCC_Leg1_Fixed),        _xll.qDateYears($O201,$O202,DCC_Leg1_Fixed)))</f>
        <v>0</v>
      </c>
      <c r="BE201" s="268">
        <f>IF($O202,_xll.qDateYears($O201,$O202,DCC_Leg1_Float),0)</f>
        <v>0</v>
      </c>
      <c r="BG201" s="332">
        <f t="shared" si="91"/>
        <v>0</v>
      </c>
      <c r="BH201" s="357">
        <f t="shared" si="92"/>
        <v>0</v>
      </c>
      <c r="BI201" s="527"/>
      <c r="BK201" s="324">
        <f t="shared" si="97"/>
        <v>0</v>
      </c>
      <c r="BM201" s="338"/>
      <c r="BN201" s="121">
        <v>0</v>
      </c>
      <c r="BO201" s="755">
        <f t="shared" si="70"/>
        <v>0</v>
      </c>
      <c r="BP201" s="339">
        <v>0</v>
      </c>
      <c r="BQ201" s="890">
        <f>IF(BN202=0,0,         IF(OR(Currency2="AUD",Currency1="NZD",Currency2="GBP"),BN201,   _xll.qDateNext(BN201,"-2b",,,IF(Currency2="EUR","TGT","LON"))))</f>
        <v>0</v>
      </c>
      <c r="BR201" s="879" t="str">
        <v/>
      </c>
      <c r="BS201" s="879" t="str">
        <v/>
      </c>
      <c r="BT201" s="879" t="str">
        <v/>
      </c>
      <c r="BU201" s="879" t="str">
        <v/>
      </c>
      <c r="BV201" s="879" t="str">
        <v/>
      </c>
      <c r="BW201" s="879" t="str">
        <v/>
      </c>
      <c r="BX201" s="879" t="str">
        <v/>
      </c>
      <c r="BY201" s="879" t="str">
        <v/>
      </c>
      <c r="BZ201" s="882">
        <f>IF($BN202=0,0,        _xll.qDateNext($BN201,BZ$17,$CG$16,TRUE,Currency2))</f>
        <v>0</v>
      </c>
      <c r="CA201" s="882">
        <f>IF($BN202=0,0,        _xll.qDateNext($BN201,CA$17,$CG$16,TRUE,Currency2))</f>
        <v>0</v>
      </c>
      <c r="CB201" s="882">
        <f>IF($BN202=0,0,        _xll.qDateNext($BN201,CB$17,$CG$16,TRUE,Currency2))</f>
        <v>0</v>
      </c>
      <c r="CC201" s="882">
        <f>IF($BN202=0,0,        _xll.qDateNext($BN201,CC$17,$CG$16,TRUE,Currency2))</f>
        <v>0</v>
      </c>
      <c r="CD201" s="882">
        <f>IF($BN202=0,0,        _xll.qDateNext($BN201,CD$17,$CG$16,TRUE,Currency2))</f>
        <v>0</v>
      </c>
      <c r="CE201" s="882">
        <f>IF($BN202=0,0,        _xll.qDateNext($BN201,CE$17,$CG$16,TRUE,Currency2))</f>
        <v>0</v>
      </c>
      <c r="CF201" s="882">
        <f>IF($BN202=0,0,        _xll.qDateNext($BN201,CF$17,$CG$16,TRUE,Currency2))</f>
        <v>0</v>
      </c>
      <c r="CG201" s="882">
        <f>IF($BN202=0,0,        _xll.qDateNext($BN201,CG$17,$CG$16,TRUE,Currency2))</f>
        <v>0</v>
      </c>
      <c r="CH201" s="886">
        <v>0</v>
      </c>
      <c r="CI201" s="886">
        <v>0</v>
      </c>
      <c r="CJ201" s="886">
        <v>0</v>
      </c>
      <c r="CK201" s="886">
        <v>0</v>
      </c>
      <c r="CL201" s="886">
        <f t="shared" si="93"/>
        <v>0</v>
      </c>
      <c r="CM201" s="886">
        <f t="shared" si="94"/>
        <v>0</v>
      </c>
      <c r="CN201" s="886">
        <v>0</v>
      </c>
      <c r="CO201" s="886">
        <v>0</v>
      </c>
      <c r="CP201" s="648">
        <f t="shared" si="71"/>
        <v>0</v>
      </c>
      <c r="CQ201" s="648">
        <f t="shared" si="72"/>
        <v>0</v>
      </c>
      <c r="CR201" s="648">
        <f t="shared" si="73"/>
        <v>0</v>
      </c>
      <c r="CS201" s="648">
        <f t="shared" si="74"/>
        <v>0</v>
      </c>
      <c r="CT201" s="648">
        <f t="shared" si="75"/>
        <v>0</v>
      </c>
      <c r="CU201" s="648">
        <f t="shared" si="76"/>
        <v>0</v>
      </c>
      <c r="CV201" s="648">
        <f t="shared" si="77"/>
        <v>0</v>
      </c>
      <c r="CW201" s="648">
        <f t="shared" si="78"/>
        <v>0</v>
      </c>
      <c r="CX201" s="634">
        <v>0</v>
      </c>
      <c r="CY201" s="616"/>
      <c r="CZ201" s="619">
        <f>IF(BN202=0,0,             IF(ISNUMBER(CY201),CY201,             IF(ISTEXT(CY201),INDEX(CP201:CW201,MATCH(CY201,$CP$17:$CW$17,0)),           IF(CX201="INT",_xll.qInterp(BN202,BZ201:CG201,CP201:CW201),       INDEX(CP201:CW201,MATCH(CX201,$CP$17:$CW$17,0))))))</f>
        <v>0</v>
      </c>
      <c r="DA201" s="755">
        <f t="shared" si="79"/>
        <v>0</v>
      </c>
      <c r="DB201" s="387">
        <f t="shared" si="80"/>
        <v>0</v>
      </c>
      <c r="DC201" s="268">
        <f>IF($BN202=0,0,         IF(LEFT(DCC_Leg2_Fixed,2)="1/",uEvaluate(DCC_Leg2_Fixed),         _xll.qDateYears($BN201,$BN202,DCC_Leg2_Fixed)))</f>
        <v>0</v>
      </c>
      <c r="DD201" s="268">
        <f>IF($BN202,_xll.qDateYears($BN201,$BN202,DCC_Leg2_Float),0)</f>
        <v>0</v>
      </c>
      <c r="DF201" s="332">
        <f t="shared" si="95"/>
        <v>0</v>
      </c>
      <c r="DG201" s="357">
        <f t="shared" si="96"/>
        <v>0</v>
      </c>
      <c r="DH201" s="527"/>
      <c r="DJ201" s="324">
        <f t="shared" si="98"/>
        <v>0</v>
      </c>
      <c r="DK201" s="529"/>
      <c r="DL201" s="338"/>
    </row>
    <row r="202" spans="15:116">
      <c r="O202" s="121">
        <v>0</v>
      </c>
      <c r="P202" s="755">
        <f t="shared" si="67"/>
        <v>0</v>
      </c>
      <c r="Q202" s="125">
        <v>0</v>
      </c>
      <c r="R202" s="890">
        <f>IF(O203=0,0,         IF(OR(Currency1="AUD",Currency1="NZD",Currency1="GBP"),O202,   _xll.qDateNext(O202,"-2b",,,IF(Currency1="EUR","TGT","LON"))))</f>
        <v>0</v>
      </c>
      <c r="S202" s="879" t="str">
        <v/>
      </c>
      <c r="T202" s="879" t="str">
        <v/>
      </c>
      <c r="U202" s="879" t="str">
        <v/>
      </c>
      <c r="V202" s="879" t="str">
        <v/>
      </c>
      <c r="W202" s="879" t="str">
        <v/>
      </c>
      <c r="X202" s="879" t="str">
        <v/>
      </c>
      <c r="Y202" s="879" t="str">
        <v/>
      </c>
      <c r="Z202" s="879" t="str">
        <v/>
      </c>
      <c r="AA202" s="882">
        <f>IF($O203=0,0,        _xll.qDateNext($O202,AA$17,$AH$16,TRUE,Currency1))</f>
        <v>0</v>
      </c>
      <c r="AB202" s="882">
        <f>IF($O203=0,0,        _xll.qDateNext($O202,AB$17,$AH$16,TRUE,Currency1))</f>
        <v>0</v>
      </c>
      <c r="AC202" s="882">
        <f>IF($O203=0,0,        _xll.qDateNext($O202,AC$17,$AH$16,TRUE,Currency1))</f>
        <v>0</v>
      </c>
      <c r="AD202" s="882">
        <f>IF($O203=0,0,        _xll.qDateNext($O202,AD$17,$AH$16,TRUE,Currency1))</f>
        <v>0</v>
      </c>
      <c r="AE202" s="882">
        <f>IF($O203=0,0,        _xll.qDateNext($O202,AE$17,$AH$16,TRUE,Currency1))</f>
        <v>0</v>
      </c>
      <c r="AF202" s="882">
        <f>IF($O203=0,0,        _xll.qDateNext($O202,AF$17,$AH$16,TRUE,Currency1))</f>
        <v>0</v>
      </c>
      <c r="AG202" s="882">
        <f>IF($O203=0,0,        _xll.qDateNext($O202,AG$17,$AH$16,TRUE,Currency1))</f>
        <v>0</v>
      </c>
      <c r="AH202" s="882">
        <f>IF($O203=0,0,        _xll.qDateNext($O202,AH$17,$AH$16,TRUE,Currency1))</f>
        <v>0</v>
      </c>
      <c r="AI202" s="886">
        <f>IF($O203=0,0,           IF(FRM,_xll.qGetFwdRate(AI$14,$O202,AA202,"T",DCC_Leg1_Float),_xll.qGetFwdRate(AI$14,$O202,$O203,"T",DCC_Leg1_Float)))</f>
        <v>0</v>
      </c>
      <c r="AJ202" s="886">
        <f>IF($O203=0,0,           IF(FRM,_xll.qGetFwdRate(AJ$14,$O202,AB202,"T",DCC_Leg1_Float),_xll.qGetFwdRate(AJ$14,$O202,$O203,"T",DCC_Leg1_Float)))</f>
        <v>0</v>
      </c>
      <c r="AK202" s="886">
        <f t="shared" si="68"/>
        <v>0</v>
      </c>
      <c r="AL202" s="886">
        <f>IF($O203=0,0,           IF(FRM,_xll.qGetFwdRate(AL$14,$O202,AD202,"T",DCC_Leg1_Float),_xll.qGetFwdRate(AL$14,$O202,$O203,"T",DCC_Leg1_Float)))</f>
        <v>0</v>
      </c>
      <c r="AM202" s="886">
        <f t="shared" si="81"/>
        <v>0</v>
      </c>
      <c r="AN202" s="886">
        <f t="shared" si="82"/>
        <v>0</v>
      </c>
      <c r="AO202" s="886">
        <f>IF($O203=0,0,           IF(FRM,_xll.qGetFwdRate(AO$14,$O202,AG202,"T",DCC_Leg1_Float),_xll.qGetFwdRate(AO$14,$O202,$O203,"T",DCC_Leg1_Float)))</f>
        <v>0</v>
      </c>
      <c r="AP202" s="886">
        <f>IF($O203=0,0,           IF(FRM,_xll.qGetFwdRate(AP$14,$O202,AH202,"T",DCC_Leg1_Float),_xll.qGetFwdRate(AP$14,$O202,$O203,"T",DCC_Leg1_Float)))</f>
        <v>0</v>
      </c>
      <c r="AQ202" s="648">
        <f t="shared" si="83"/>
        <v>0</v>
      </c>
      <c r="AR202" s="648">
        <f t="shared" si="84"/>
        <v>0</v>
      </c>
      <c r="AS202" s="648">
        <f t="shared" si="85"/>
        <v>0</v>
      </c>
      <c r="AT202" s="648">
        <f t="shared" si="86"/>
        <v>0</v>
      </c>
      <c r="AU202" s="648">
        <f t="shared" si="87"/>
        <v>0</v>
      </c>
      <c r="AV202" s="648">
        <f t="shared" si="88"/>
        <v>0</v>
      </c>
      <c r="AW202" s="648">
        <f t="shared" si="89"/>
        <v>0</v>
      </c>
      <c r="AX202" s="648">
        <f t="shared" si="90"/>
        <v>0</v>
      </c>
      <c r="AY202" s="634">
        <v>0</v>
      </c>
      <c r="AZ202" s="616"/>
      <c r="BA202" s="619">
        <f>IF(O203=0,0,             IF(ISNUMBER(AZ202),AZ202,             IF(ISTEXT(AZ202),INDEX(AQ202:AX202,MATCH(AZ202,$AQ$17:$AX$17,0)),           IF(AY202="INT",_xll.qInterp(O203,AA202:AH202,AQ202:AX202),       INDEX(AQ202:AX202,MATCH(AY202,$AQ$17:$AX$17,0))))))</f>
        <v>0</v>
      </c>
      <c r="BB202" s="674">
        <v>100</v>
      </c>
      <c r="BC202" s="666">
        <f t="shared" si="69"/>
        <v>0</v>
      </c>
      <c r="BD202" s="268">
        <f>IF($O203=0,0,                IF(LEFT(DCC_Leg1_Fixed,2)="1/",uEvaluate(DCC_Leg1_Fixed),        _xll.qDateYears($O202,$O203,DCC_Leg1_Fixed)))</f>
        <v>0</v>
      </c>
      <c r="BE202" s="268">
        <f>IF($O203,_xll.qDateYears($O202,$O203,DCC_Leg1_Float),0)</f>
        <v>0</v>
      </c>
      <c r="BG202" s="332">
        <f t="shared" si="91"/>
        <v>0</v>
      </c>
      <c r="BH202" s="357">
        <f t="shared" si="92"/>
        <v>0</v>
      </c>
      <c r="BI202" s="527"/>
      <c r="BK202" s="324">
        <f t="shared" si="97"/>
        <v>0</v>
      </c>
      <c r="BM202" s="338"/>
      <c r="BN202" s="121">
        <v>0</v>
      </c>
      <c r="BO202" s="755">
        <f t="shared" si="70"/>
        <v>0</v>
      </c>
      <c r="BP202" s="339">
        <v>0</v>
      </c>
      <c r="BQ202" s="890">
        <f>IF(BN203=0,0,         IF(OR(Currency2="AUD",Currency1="NZD",Currency2="GBP"),BN202,   _xll.qDateNext(BN202,"-2b",,,IF(Currency2="EUR","TGT","LON"))))</f>
        <v>0</v>
      </c>
      <c r="BR202" s="879" t="str">
        <v/>
      </c>
      <c r="BS202" s="879" t="str">
        <v/>
      </c>
      <c r="BT202" s="879" t="str">
        <v/>
      </c>
      <c r="BU202" s="879" t="str">
        <v/>
      </c>
      <c r="BV202" s="879" t="str">
        <v/>
      </c>
      <c r="BW202" s="879" t="str">
        <v/>
      </c>
      <c r="BX202" s="879" t="str">
        <v/>
      </c>
      <c r="BY202" s="879" t="str">
        <v/>
      </c>
      <c r="BZ202" s="882">
        <f>IF($BN203=0,0,        _xll.qDateNext($BN202,BZ$17,$CG$16,TRUE,Currency2))</f>
        <v>0</v>
      </c>
      <c r="CA202" s="882">
        <f>IF($BN203=0,0,        _xll.qDateNext($BN202,CA$17,$CG$16,TRUE,Currency2))</f>
        <v>0</v>
      </c>
      <c r="CB202" s="882">
        <f>IF($BN203=0,0,        _xll.qDateNext($BN202,CB$17,$CG$16,TRUE,Currency2))</f>
        <v>0</v>
      </c>
      <c r="CC202" s="882">
        <f>IF($BN203=0,0,        _xll.qDateNext($BN202,CC$17,$CG$16,TRUE,Currency2))</f>
        <v>0</v>
      </c>
      <c r="CD202" s="882">
        <f>IF($BN203=0,0,        _xll.qDateNext($BN202,CD$17,$CG$16,TRUE,Currency2))</f>
        <v>0</v>
      </c>
      <c r="CE202" s="882">
        <f>IF($BN203=0,0,        _xll.qDateNext($BN202,CE$17,$CG$16,TRUE,Currency2))</f>
        <v>0</v>
      </c>
      <c r="CF202" s="882">
        <f>IF($BN203=0,0,        _xll.qDateNext($BN202,CF$17,$CG$16,TRUE,Currency2))</f>
        <v>0</v>
      </c>
      <c r="CG202" s="882">
        <f>IF($BN203=0,0,        _xll.qDateNext($BN202,CG$17,$CG$16,TRUE,Currency2))</f>
        <v>0</v>
      </c>
      <c r="CH202" s="886">
        <v>0</v>
      </c>
      <c r="CI202" s="886">
        <v>0</v>
      </c>
      <c r="CJ202" s="886">
        <v>0</v>
      </c>
      <c r="CK202" s="886">
        <v>0</v>
      </c>
      <c r="CL202" s="886">
        <f t="shared" si="93"/>
        <v>0</v>
      </c>
      <c r="CM202" s="886">
        <f t="shared" si="94"/>
        <v>0</v>
      </c>
      <c r="CN202" s="886">
        <v>0</v>
      </c>
      <c r="CO202" s="886">
        <v>0</v>
      </c>
      <c r="CP202" s="648">
        <f t="shared" si="71"/>
        <v>0</v>
      </c>
      <c r="CQ202" s="648">
        <f t="shared" si="72"/>
        <v>0</v>
      </c>
      <c r="CR202" s="648">
        <f t="shared" si="73"/>
        <v>0</v>
      </c>
      <c r="CS202" s="648">
        <f t="shared" si="74"/>
        <v>0</v>
      </c>
      <c r="CT202" s="648">
        <f t="shared" si="75"/>
        <v>0</v>
      </c>
      <c r="CU202" s="648">
        <f t="shared" si="76"/>
        <v>0</v>
      </c>
      <c r="CV202" s="648">
        <f t="shared" si="77"/>
        <v>0</v>
      </c>
      <c r="CW202" s="648">
        <f t="shared" si="78"/>
        <v>0</v>
      </c>
      <c r="CX202" s="634">
        <v>0</v>
      </c>
      <c r="CY202" s="616"/>
      <c r="CZ202" s="619">
        <f>IF(BN203=0,0,             IF(ISNUMBER(CY202),CY202,             IF(ISTEXT(CY202),INDEX(CP202:CW202,MATCH(CY202,$CP$17:$CW$17,0)),           IF(CX202="INT",_xll.qInterp(BN203,BZ202:CG202,CP202:CW202),       INDEX(CP202:CW202,MATCH(CX202,$CP$17:$CW$17,0))))))</f>
        <v>0</v>
      </c>
      <c r="DA202" s="755">
        <f t="shared" si="79"/>
        <v>0</v>
      </c>
      <c r="DB202" s="387">
        <f t="shared" si="80"/>
        <v>0</v>
      </c>
      <c r="DC202" s="268">
        <f>IF($BN203=0,0,         IF(LEFT(DCC_Leg2_Fixed,2)="1/",uEvaluate(DCC_Leg2_Fixed),         _xll.qDateYears($BN202,$BN203,DCC_Leg2_Fixed)))</f>
        <v>0</v>
      </c>
      <c r="DD202" s="268">
        <f>IF($BN203,_xll.qDateYears($BN202,$BN203,DCC_Leg2_Float),0)</f>
        <v>0</v>
      </c>
      <c r="DF202" s="332">
        <f t="shared" si="95"/>
        <v>0</v>
      </c>
      <c r="DG202" s="357">
        <f t="shared" si="96"/>
        <v>0</v>
      </c>
      <c r="DH202" s="527"/>
      <c r="DJ202" s="324">
        <f t="shared" si="98"/>
        <v>0</v>
      </c>
      <c r="DK202" s="529"/>
      <c r="DL202" s="338"/>
    </row>
    <row r="203" spans="15:116">
      <c r="O203" s="121">
        <v>0</v>
      </c>
      <c r="P203" s="755">
        <f t="shared" si="67"/>
        <v>0</v>
      </c>
      <c r="Q203" s="125">
        <v>0</v>
      </c>
      <c r="R203" s="890">
        <f>IF(O204=0,0,         IF(OR(Currency1="AUD",Currency1="NZD",Currency1="GBP"),O203,   _xll.qDateNext(O203,"-2b",,,IF(Currency1="EUR","TGT","LON"))))</f>
        <v>0</v>
      </c>
      <c r="S203" s="879" t="str">
        <v/>
      </c>
      <c r="T203" s="879" t="str">
        <v/>
      </c>
      <c r="U203" s="879" t="str">
        <v/>
      </c>
      <c r="V203" s="879" t="str">
        <v/>
      </c>
      <c r="W203" s="879" t="str">
        <v/>
      </c>
      <c r="X203" s="879" t="str">
        <v/>
      </c>
      <c r="Y203" s="879" t="str">
        <v/>
      </c>
      <c r="Z203" s="879" t="str">
        <v/>
      </c>
      <c r="AA203" s="882">
        <f>IF($O204=0,0,        _xll.qDateNext($O203,AA$17,$AH$16,TRUE,Currency1))</f>
        <v>0</v>
      </c>
      <c r="AB203" s="882">
        <f>IF($O204=0,0,        _xll.qDateNext($O203,AB$17,$AH$16,TRUE,Currency1))</f>
        <v>0</v>
      </c>
      <c r="AC203" s="882">
        <f>IF($O204=0,0,        _xll.qDateNext($O203,AC$17,$AH$16,TRUE,Currency1))</f>
        <v>0</v>
      </c>
      <c r="AD203" s="882">
        <f>IF($O204=0,0,        _xll.qDateNext($O203,AD$17,$AH$16,TRUE,Currency1))</f>
        <v>0</v>
      </c>
      <c r="AE203" s="882">
        <f>IF($O204=0,0,        _xll.qDateNext($O203,AE$17,$AH$16,TRUE,Currency1))</f>
        <v>0</v>
      </c>
      <c r="AF203" s="882">
        <f>IF($O204=0,0,        _xll.qDateNext($O203,AF$17,$AH$16,TRUE,Currency1))</f>
        <v>0</v>
      </c>
      <c r="AG203" s="882">
        <f>IF($O204=0,0,        _xll.qDateNext($O203,AG$17,$AH$16,TRUE,Currency1))</f>
        <v>0</v>
      </c>
      <c r="AH203" s="882">
        <f>IF($O204=0,0,        _xll.qDateNext($O203,AH$17,$AH$16,TRUE,Currency1))</f>
        <v>0</v>
      </c>
      <c r="AI203" s="886">
        <f>IF($O204=0,0,           IF(FRM,_xll.qGetFwdRate(AI$14,$O203,AA203,"T",DCC_Leg1_Float),_xll.qGetFwdRate(AI$14,$O203,$O204,"T",DCC_Leg1_Float)))</f>
        <v>0</v>
      </c>
      <c r="AJ203" s="886">
        <f>IF($O204=0,0,           IF(FRM,_xll.qGetFwdRate(AJ$14,$O203,AB203,"T",DCC_Leg1_Float),_xll.qGetFwdRate(AJ$14,$O203,$O204,"T",DCC_Leg1_Float)))</f>
        <v>0</v>
      </c>
      <c r="AK203" s="886">
        <f t="shared" si="68"/>
        <v>0</v>
      </c>
      <c r="AL203" s="886">
        <f>IF($O204=0,0,           IF(FRM,_xll.qGetFwdRate(AL$14,$O203,AD203,"T",DCC_Leg1_Float),_xll.qGetFwdRate(AL$14,$O203,$O204,"T",DCC_Leg1_Float)))</f>
        <v>0</v>
      </c>
      <c r="AM203" s="886">
        <f t="shared" si="81"/>
        <v>0</v>
      </c>
      <c r="AN203" s="886">
        <f t="shared" si="82"/>
        <v>0</v>
      </c>
      <c r="AO203" s="886">
        <f>IF($O204=0,0,           IF(FRM,_xll.qGetFwdRate(AO$14,$O203,AG203,"T",DCC_Leg1_Float),_xll.qGetFwdRate(AO$14,$O203,$O204,"T",DCC_Leg1_Float)))</f>
        <v>0</v>
      </c>
      <c r="AP203" s="886">
        <f>IF($O204=0,0,           IF(FRM,_xll.qGetFwdRate(AP$14,$O203,AH203,"T",DCC_Leg1_Float),_xll.qGetFwdRate(AP$14,$O203,$O204,"T",DCC_Leg1_Float)))</f>
        <v>0</v>
      </c>
      <c r="AQ203" s="648">
        <f t="shared" si="83"/>
        <v>0</v>
      </c>
      <c r="AR203" s="648">
        <f t="shared" si="84"/>
        <v>0</v>
      </c>
      <c r="AS203" s="648">
        <f t="shared" si="85"/>
        <v>0</v>
      </c>
      <c r="AT203" s="648">
        <f t="shared" si="86"/>
        <v>0</v>
      </c>
      <c r="AU203" s="648">
        <f t="shared" si="87"/>
        <v>0</v>
      </c>
      <c r="AV203" s="648">
        <f t="shared" si="88"/>
        <v>0</v>
      </c>
      <c r="AW203" s="648">
        <f t="shared" si="89"/>
        <v>0</v>
      </c>
      <c r="AX203" s="648">
        <f t="shared" si="90"/>
        <v>0</v>
      </c>
      <c r="AY203" s="634">
        <v>0</v>
      </c>
      <c r="AZ203" s="616"/>
      <c r="BA203" s="619">
        <f>IF(O204=0,0,             IF(ISNUMBER(AZ203),AZ203,             IF(ISTEXT(AZ203),INDEX(AQ203:AX203,MATCH(AZ203,$AQ$17:$AX$17,0)),           IF(AY203="INT",_xll.qInterp(O204,AA203:AH203,AQ203:AX203),       INDEX(AQ203:AX203,MATCH(AY203,$AQ$17:$AX$17,0))))))</f>
        <v>0</v>
      </c>
      <c r="BB203" s="674">
        <v>100</v>
      </c>
      <c r="BC203" s="666">
        <f t="shared" si="69"/>
        <v>0</v>
      </c>
      <c r="BD203" s="268">
        <f>IF($O204=0,0,                IF(LEFT(DCC_Leg1_Fixed,2)="1/",uEvaluate(DCC_Leg1_Fixed),        _xll.qDateYears($O203,$O204,DCC_Leg1_Fixed)))</f>
        <v>0</v>
      </c>
      <c r="BE203" s="268">
        <f>IF($O204,_xll.qDateYears($O203,$O204,DCC_Leg1_Float),0)</f>
        <v>0</v>
      </c>
      <c r="BG203" s="332">
        <f t="shared" si="91"/>
        <v>0</v>
      </c>
      <c r="BH203" s="357">
        <f t="shared" si="92"/>
        <v>0</v>
      </c>
      <c r="BI203" s="527"/>
      <c r="BK203" s="324">
        <f t="shared" si="97"/>
        <v>0</v>
      </c>
      <c r="BM203" s="338"/>
      <c r="BN203" s="121">
        <v>0</v>
      </c>
      <c r="BO203" s="755">
        <f t="shared" si="70"/>
        <v>0</v>
      </c>
      <c r="BP203" s="339">
        <v>0</v>
      </c>
      <c r="BQ203" s="890">
        <f>IF(BN204=0,0,         IF(OR(Currency2="AUD",Currency1="NZD",Currency2="GBP"),BN203,   _xll.qDateNext(BN203,"-2b",,,IF(Currency2="EUR","TGT","LON"))))</f>
        <v>0</v>
      </c>
      <c r="BR203" s="879" t="str">
        <v/>
      </c>
      <c r="BS203" s="879" t="str">
        <v/>
      </c>
      <c r="BT203" s="879" t="str">
        <v/>
      </c>
      <c r="BU203" s="879" t="str">
        <v/>
      </c>
      <c r="BV203" s="879" t="str">
        <v/>
      </c>
      <c r="BW203" s="879" t="str">
        <v/>
      </c>
      <c r="BX203" s="879" t="str">
        <v/>
      </c>
      <c r="BY203" s="879" t="str">
        <v/>
      </c>
      <c r="BZ203" s="882">
        <f>IF($BN204=0,0,        _xll.qDateNext($BN203,BZ$17,$CG$16,TRUE,Currency2))</f>
        <v>0</v>
      </c>
      <c r="CA203" s="882">
        <f>IF($BN204=0,0,        _xll.qDateNext($BN203,CA$17,$CG$16,TRUE,Currency2))</f>
        <v>0</v>
      </c>
      <c r="CB203" s="882">
        <f>IF($BN204=0,0,        _xll.qDateNext($BN203,CB$17,$CG$16,TRUE,Currency2))</f>
        <v>0</v>
      </c>
      <c r="CC203" s="882">
        <f>IF($BN204=0,0,        _xll.qDateNext($BN203,CC$17,$CG$16,TRUE,Currency2))</f>
        <v>0</v>
      </c>
      <c r="CD203" s="882">
        <f>IF($BN204=0,0,        _xll.qDateNext($BN203,CD$17,$CG$16,TRUE,Currency2))</f>
        <v>0</v>
      </c>
      <c r="CE203" s="882">
        <f>IF($BN204=0,0,        _xll.qDateNext($BN203,CE$17,$CG$16,TRUE,Currency2))</f>
        <v>0</v>
      </c>
      <c r="CF203" s="882">
        <f>IF($BN204=0,0,        _xll.qDateNext($BN203,CF$17,$CG$16,TRUE,Currency2))</f>
        <v>0</v>
      </c>
      <c r="CG203" s="882">
        <f>IF($BN204=0,0,        _xll.qDateNext($BN203,CG$17,$CG$16,TRUE,Currency2))</f>
        <v>0</v>
      </c>
      <c r="CH203" s="886">
        <v>0</v>
      </c>
      <c r="CI203" s="886">
        <v>0</v>
      </c>
      <c r="CJ203" s="886">
        <v>0</v>
      </c>
      <c r="CK203" s="886">
        <v>0</v>
      </c>
      <c r="CL203" s="886">
        <f t="shared" si="93"/>
        <v>0</v>
      </c>
      <c r="CM203" s="886">
        <f t="shared" si="94"/>
        <v>0</v>
      </c>
      <c r="CN203" s="886">
        <v>0</v>
      </c>
      <c r="CO203" s="886">
        <v>0</v>
      </c>
      <c r="CP203" s="648">
        <f t="shared" si="71"/>
        <v>0</v>
      </c>
      <c r="CQ203" s="648">
        <f t="shared" si="72"/>
        <v>0</v>
      </c>
      <c r="CR203" s="648">
        <f t="shared" si="73"/>
        <v>0</v>
      </c>
      <c r="CS203" s="648">
        <f t="shared" si="74"/>
        <v>0</v>
      </c>
      <c r="CT203" s="648">
        <f t="shared" si="75"/>
        <v>0</v>
      </c>
      <c r="CU203" s="648">
        <f t="shared" si="76"/>
        <v>0</v>
      </c>
      <c r="CV203" s="648">
        <f t="shared" si="77"/>
        <v>0</v>
      </c>
      <c r="CW203" s="648">
        <f t="shared" si="78"/>
        <v>0</v>
      </c>
      <c r="CX203" s="634">
        <v>0</v>
      </c>
      <c r="CY203" s="616"/>
      <c r="CZ203" s="619">
        <f>IF(BN204=0,0,             IF(ISNUMBER(CY203),CY203,             IF(ISTEXT(CY203),INDEX(CP203:CW203,MATCH(CY203,$CP$17:$CW$17,0)),           IF(CX203="INT",_xll.qInterp(BN204,BZ203:CG203,CP203:CW203),       INDEX(CP203:CW203,MATCH(CX203,$CP$17:$CW$17,0))))))</f>
        <v>0</v>
      </c>
      <c r="DA203" s="755">
        <f t="shared" si="79"/>
        <v>0</v>
      </c>
      <c r="DB203" s="387">
        <f t="shared" si="80"/>
        <v>0</v>
      </c>
      <c r="DC203" s="268">
        <f>IF($BN204=0,0,         IF(LEFT(DCC_Leg2_Fixed,2)="1/",uEvaluate(DCC_Leg2_Fixed),         _xll.qDateYears($BN203,$BN204,DCC_Leg2_Fixed)))</f>
        <v>0</v>
      </c>
      <c r="DD203" s="268">
        <f>IF($BN204,_xll.qDateYears($BN203,$BN204,DCC_Leg2_Float),0)</f>
        <v>0</v>
      </c>
      <c r="DF203" s="332">
        <f t="shared" si="95"/>
        <v>0</v>
      </c>
      <c r="DG203" s="357">
        <f t="shared" si="96"/>
        <v>0</v>
      </c>
      <c r="DH203" s="527"/>
      <c r="DJ203" s="324">
        <f t="shared" si="98"/>
        <v>0</v>
      </c>
      <c r="DK203" s="529"/>
      <c r="DL203" s="338"/>
    </row>
    <row r="204" spans="15:116">
      <c r="O204" s="121">
        <v>0</v>
      </c>
      <c r="P204" s="755">
        <f t="shared" si="67"/>
        <v>0</v>
      </c>
      <c r="Q204" s="125">
        <v>0</v>
      </c>
      <c r="R204" s="890">
        <f>IF(O205=0,0,         IF(OR(Currency1="AUD",Currency1="NZD",Currency1="GBP"),O204,   _xll.qDateNext(O204,"-2b",,,IF(Currency1="EUR","TGT","LON"))))</f>
        <v>0</v>
      </c>
      <c r="S204" s="879" t="str">
        <v/>
      </c>
      <c r="T204" s="879" t="str">
        <v/>
      </c>
      <c r="U204" s="879" t="str">
        <v/>
      </c>
      <c r="V204" s="879" t="str">
        <v/>
      </c>
      <c r="W204" s="879" t="str">
        <v/>
      </c>
      <c r="X204" s="879" t="str">
        <v/>
      </c>
      <c r="Y204" s="879" t="str">
        <v/>
      </c>
      <c r="Z204" s="879" t="str">
        <v/>
      </c>
      <c r="AA204" s="882">
        <f>IF($O205=0,0,        _xll.qDateNext($O204,AA$17,$AH$16,TRUE,Currency1))</f>
        <v>0</v>
      </c>
      <c r="AB204" s="882">
        <f>IF($O205=0,0,        _xll.qDateNext($O204,AB$17,$AH$16,TRUE,Currency1))</f>
        <v>0</v>
      </c>
      <c r="AC204" s="882">
        <f>IF($O205=0,0,        _xll.qDateNext($O204,AC$17,$AH$16,TRUE,Currency1))</f>
        <v>0</v>
      </c>
      <c r="AD204" s="882">
        <f>IF($O205=0,0,        _xll.qDateNext($O204,AD$17,$AH$16,TRUE,Currency1))</f>
        <v>0</v>
      </c>
      <c r="AE204" s="882">
        <f>IF($O205=0,0,        _xll.qDateNext($O204,AE$17,$AH$16,TRUE,Currency1))</f>
        <v>0</v>
      </c>
      <c r="AF204" s="882">
        <f>IF($O205=0,0,        _xll.qDateNext($O204,AF$17,$AH$16,TRUE,Currency1))</f>
        <v>0</v>
      </c>
      <c r="AG204" s="882">
        <f>IF($O205=0,0,        _xll.qDateNext($O204,AG$17,$AH$16,TRUE,Currency1))</f>
        <v>0</v>
      </c>
      <c r="AH204" s="882">
        <f>IF($O205=0,0,        _xll.qDateNext($O204,AH$17,$AH$16,TRUE,Currency1))</f>
        <v>0</v>
      </c>
      <c r="AI204" s="886">
        <f>IF($O205=0,0,           IF(FRM,_xll.qGetFwdRate(AI$14,$O204,AA204,"T",DCC_Leg1_Float),_xll.qGetFwdRate(AI$14,$O204,$O205,"T",DCC_Leg1_Float)))</f>
        <v>0</v>
      </c>
      <c r="AJ204" s="886">
        <f>IF($O205=0,0,           IF(FRM,_xll.qGetFwdRate(AJ$14,$O204,AB204,"T",DCC_Leg1_Float),_xll.qGetFwdRate(AJ$14,$O204,$O205,"T",DCC_Leg1_Float)))</f>
        <v>0</v>
      </c>
      <c r="AK204" s="886">
        <f t="shared" si="68"/>
        <v>0</v>
      </c>
      <c r="AL204" s="886">
        <f>IF($O205=0,0,           IF(FRM,_xll.qGetFwdRate(AL$14,$O204,AD204,"T",DCC_Leg1_Float),_xll.qGetFwdRate(AL$14,$O204,$O205,"T",DCC_Leg1_Float)))</f>
        <v>0</v>
      </c>
      <c r="AM204" s="886">
        <f t="shared" si="81"/>
        <v>0</v>
      </c>
      <c r="AN204" s="886">
        <f t="shared" si="82"/>
        <v>0</v>
      </c>
      <c r="AO204" s="886">
        <f>IF($O205=0,0,           IF(FRM,_xll.qGetFwdRate(AO$14,$O204,AG204,"T",DCC_Leg1_Float),_xll.qGetFwdRate(AO$14,$O204,$O205,"T",DCC_Leg1_Float)))</f>
        <v>0</v>
      </c>
      <c r="AP204" s="886">
        <f>IF($O205=0,0,           IF(FRM,_xll.qGetFwdRate(AP$14,$O204,AH204,"T",DCC_Leg1_Float),_xll.qGetFwdRate(AP$14,$O204,$O205,"T",DCC_Leg1_Float)))</f>
        <v>0</v>
      </c>
      <c r="AQ204" s="648">
        <f t="shared" si="83"/>
        <v>0</v>
      </c>
      <c r="AR204" s="648">
        <f t="shared" si="84"/>
        <v>0</v>
      </c>
      <c r="AS204" s="648">
        <f t="shared" si="85"/>
        <v>0</v>
      </c>
      <c r="AT204" s="648">
        <f t="shared" si="86"/>
        <v>0</v>
      </c>
      <c r="AU204" s="648">
        <f t="shared" si="87"/>
        <v>0</v>
      </c>
      <c r="AV204" s="648">
        <f t="shared" si="88"/>
        <v>0</v>
      </c>
      <c r="AW204" s="648">
        <f t="shared" si="89"/>
        <v>0</v>
      </c>
      <c r="AX204" s="648">
        <f t="shared" si="90"/>
        <v>0</v>
      </c>
      <c r="AY204" s="634">
        <v>0</v>
      </c>
      <c r="AZ204" s="616"/>
      <c r="BA204" s="619">
        <f>IF(O205=0,0,             IF(ISNUMBER(AZ204),AZ204,             IF(ISTEXT(AZ204),INDEX(AQ204:AX204,MATCH(AZ204,$AQ$17:$AX$17,0)),           IF(AY204="INT",_xll.qInterp(O205,AA204:AH204,AQ204:AX204),       INDEX(AQ204:AX204,MATCH(AY204,$AQ$17:$AX$17,0))))))</f>
        <v>0</v>
      </c>
      <c r="BB204" s="674">
        <v>100</v>
      </c>
      <c r="BC204" s="666">
        <f t="shared" si="69"/>
        <v>0</v>
      </c>
      <c r="BD204" s="268">
        <f>IF($O205=0,0,                IF(LEFT(DCC_Leg1_Fixed,2)="1/",uEvaluate(DCC_Leg1_Fixed),        _xll.qDateYears($O204,$O205,DCC_Leg1_Fixed)))</f>
        <v>0</v>
      </c>
      <c r="BE204" s="268">
        <f>IF($O205,_xll.qDateYears($O204,$O205,DCC_Leg1_Float),0)</f>
        <v>0</v>
      </c>
      <c r="BG204" s="332">
        <f t="shared" si="91"/>
        <v>0</v>
      </c>
      <c r="BH204" s="357">
        <f t="shared" si="92"/>
        <v>0</v>
      </c>
      <c r="BI204" s="527"/>
      <c r="BK204" s="324">
        <f t="shared" si="97"/>
        <v>0</v>
      </c>
      <c r="BM204" s="338"/>
      <c r="BN204" s="121">
        <v>0</v>
      </c>
      <c r="BO204" s="755">
        <f t="shared" si="70"/>
        <v>0</v>
      </c>
      <c r="BP204" s="339">
        <v>0</v>
      </c>
      <c r="BQ204" s="890">
        <f>IF(BN205=0,0,         IF(OR(Currency2="AUD",Currency1="NZD",Currency2="GBP"),BN204,   _xll.qDateNext(BN204,"-2b",,,IF(Currency2="EUR","TGT","LON"))))</f>
        <v>0</v>
      </c>
      <c r="BR204" s="879" t="str">
        <v/>
      </c>
      <c r="BS204" s="879" t="str">
        <v/>
      </c>
      <c r="BT204" s="879" t="str">
        <v/>
      </c>
      <c r="BU204" s="879" t="str">
        <v/>
      </c>
      <c r="BV204" s="879" t="str">
        <v/>
      </c>
      <c r="BW204" s="879" t="str">
        <v/>
      </c>
      <c r="BX204" s="879" t="str">
        <v/>
      </c>
      <c r="BY204" s="879" t="str">
        <v/>
      </c>
      <c r="BZ204" s="882">
        <f>IF($BN205=0,0,        _xll.qDateNext($BN204,BZ$17,$CG$16,TRUE,Currency2))</f>
        <v>0</v>
      </c>
      <c r="CA204" s="882">
        <f>IF($BN205=0,0,        _xll.qDateNext($BN204,CA$17,$CG$16,TRUE,Currency2))</f>
        <v>0</v>
      </c>
      <c r="CB204" s="882">
        <f>IF($BN205=0,0,        _xll.qDateNext($BN204,CB$17,$CG$16,TRUE,Currency2))</f>
        <v>0</v>
      </c>
      <c r="CC204" s="882">
        <f>IF($BN205=0,0,        _xll.qDateNext($BN204,CC$17,$CG$16,TRUE,Currency2))</f>
        <v>0</v>
      </c>
      <c r="CD204" s="882">
        <f>IF($BN205=0,0,        _xll.qDateNext($BN204,CD$17,$CG$16,TRUE,Currency2))</f>
        <v>0</v>
      </c>
      <c r="CE204" s="882">
        <f>IF($BN205=0,0,        _xll.qDateNext($BN204,CE$17,$CG$16,TRUE,Currency2))</f>
        <v>0</v>
      </c>
      <c r="CF204" s="882">
        <f>IF($BN205=0,0,        _xll.qDateNext($BN204,CF$17,$CG$16,TRUE,Currency2))</f>
        <v>0</v>
      </c>
      <c r="CG204" s="882">
        <f>IF($BN205=0,0,        _xll.qDateNext($BN204,CG$17,$CG$16,TRUE,Currency2))</f>
        <v>0</v>
      </c>
      <c r="CH204" s="886">
        <v>0</v>
      </c>
      <c r="CI204" s="886">
        <v>0</v>
      </c>
      <c r="CJ204" s="886">
        <v>0</v>
      </c>
      <c r="CK204" s="886">
        <v>0</v>
      </c>
      <c r="CL204" s="886">
        <f t="shared" si="93"/>
        <v>0</v>
      </c>
      <c r="CM204" s="886">
        <f t="shared" si="94"/>
        <v>0</v>
      </c>
      <c r="CN204" s="886">
        <v>0</v>
      </c>
      <c r="CO204" s="886">
        <v>0</v>
      </c>
      <c r="CP204" s="648">
        <f t="shared" si="71"/>
        <v>0</v>
      </c>
      <c r="CQ204" s="648">
        <f t="shared" si="72"/>
        <v>0</v>
      </c>
      <c r="CR204" s="648">
        <f t="shared" si="73"/>
        <v>0</v>
      </c>
      <c r="CS204" s="648">
        <f t="shared" si="74"/>
        <v>0</v>
      </c>
      <c r="CT204" s="648">
        <f t="shared" si="75"/>
        <v>0</v>
      </c>
      <c r="CU204" s="648">
        <f t="shared" si="76"/>
        <v>0</v>
      </c>
      <c r="CV204" s="648">
        <f t="shared" si="77"/>
        <v>0</v>
      </c>
      <c r="CW204" s="648">
        <f t="shared" si="78"/>
        <v>0</v>
      </c>
      <c r="CX204" s="634">
        <v>0</v>
      </c>
      <c r="CY204" s="616"/>
      <c r="CZ204" s="619">
        <f>IF(BN205=0,0,             IF(ISNUMBER(CY204),CY204,             IF(ISTEXT(CY204),INDEX(CP204:CW204,MATCH(CY204,$CP$17:$CW$17,0)),           IF(CX204="INT",_xll.qInterp(BN205,BZ204:CG204,CP204:CW204),       INDEX(CP204:CW204,MATCH(CX204,$CP$17:$CW$17,0))))))</f>
        <v>0</v>
      </c>
      <c r="DA204" s="755">
        <f t="shared" si="79"/>
        <v>0</v>
      </c>
      <c r="DB204" s="387">
        <f t="shared" si="80"/>
        <v>0</v>
      </c>
      <c r="DC204" s="268">
        <f>IF($BN205=0,0,         IF(LEFT(DCC_Leg2_Fixed,2)="1/",uEvaluate(DCC_Leg2_Fixed),         _xll.qDateYears($BN204,$BN205,DCC_Leg2_Fixed)))</f>
        <v>0</v>
      </c>
      <c r="DD204" s="268">
        <f>IF($BN205,_xll.qDateYears($BN204,$BN205,DCC_Leg2_Float),0)</f>
        <v>0</v>
      </c>
      <c r="DF204" s="332">
        <f t="shared" si="95"/>
        <v>0</v>
      </c>
      <c r="DG204" s="357">
        <f t="shared" si="96"/>
        <v>0</v>
      </c>
      <c r="DH204" s="527"/>
      <c r="DJ204" s="324">
        <f t="shared" si="98"/>
        <v>0</v>
      </c>
      <c r="DK204" s="529"/>
      <c r="DL204" s="338"/>
    </row>
    <row r="205" spans="15:116">
      <c r="O205" s="121">
        <v>0</v>
      </c>
      <c r="P205" s="755">
        <f t="shared" si="67"/>
        <v>0</v>
      </c>
      <c r="Q205" s="125">
        <v>0</v>
      </c>
      <c r="R205" s="890">
        <f>IF(O206=0,0,         IF(OR(Currency1="AUD",Currency1="NZD",Currency1="GBP"),O205,   _xll.qDateNext(O205,"-2b",,,IF(Currency1="EUR","TGT","LON"))))</f>
        <v>0</v>
      </c>
      <c r="S205" s="879" t="str">
        <v/>
      </c>
      <c r="T205" s="879" t="str">
        <v/>
      </c>
      <c r="U205" s="879" t="str">
        <v/>
      </c>
      <c r="V205" s="879" t="str">
        <v/>
      </c>
      <c r="W205" s="879" t="str">
        <v/>
      </c>
      <c r="X205" s="879" t="str">
        <v/>
      </c>
      <c r="Y205" s="879" t="str">
        <v/>
      </c>
      <c r="Z205" s="879" t="str">
        <v/>
      </c>
      <c r="AA205" s="882">
        <f>IF($O206=0,0,        _xll.qDateNext($O205,AA$17,$AH$16,TRUE,Currency1))</f>
        <v>0</v>
      </c>
      <c r="AB205" s="882">
        <f>IF($O206=0,0,        _xll.qDateNext($O205,AB$17,$AH$16,TRUE,Currency1))</f>
        <v>0</v>
      </c>
      <c r="AC205" s="882">
        <f>IF($O206=0,0,        _xll.qDateNext($O205,AC$17,$AH$16,TRUE,Currency1))</f>
        <v>0</v>
      </c>
      <c r="AD205" s="882">
        <f>IF($O206=0,0,        _xll.qDateNext($O205,AD$17,$AH$16,TRUE,Currency1))</f>
        <v>0</v>
      </c>
      <c r="AE205" s="882">
        <f>IF($O206=0,0,        _xll.qDateNext($O205,AE$17,$AH$16,TRUE,Currency1))</f>
        <v>0</v>
      </c>
      <c r="AF205" s="882">
        <f>IF($O206=0,0,        _xll.qDateNext($O205,AF$17,$AH$16,TRUE,Currency1))</f>
        <v>0</v>
      </c>
      <c r="AG205" s="882">
        <f>IF($O206=0,0,        _xll.qDateNext($O205,AG$17,$AH$16,TRUE,Currency1))</f>
        <v>0</v>
      </c>
      <c r="AH205" s="882">
        <f>IF($O206=0,0,        _xll.qDateNext($O205,AH$17,$AH$16,TRUE,Currency1))</f>
        <v>0</v>
      </c>
      <c r="AI205" s="886">
        <f>IF($O206=0,0,           IF(FRM,_xll.qGetFwdRate(AI$14,$O205,AA205,"T",DCC_Leg1_Float),_xll.qGetFwdRate(AI$14,$O205,$O206,"T",DCC_Leg1_Float)))</f>
        <v>0</v>
      </c>
      <c r="AJ205" s="886">
        <f>IF($O206=0,0,           IF(FRM,_xll.qGetFwdRate(AJ$14,$O205,AB205,"T",DCC_Leg1_Float),_xll.qGetFwdRate(AJ$14,$O205,$O206,"T",DCC_Leg1_Float)))</f>
        <v>0</v>
      </c>
      <c r="AK205" s="886">
        <f t="shared" si="68"/>
        <v>0</v>
      </c>
      <c r="AL205" s="886">
        <f>IF($O206=0,0,           IF(FRM,_xll.qGetFwdRate(AL$14,$O205,AD205,"T",DCC_Leg1_Float),_xll.qGetFwdRate(AL$14,$O205,$O206,"T",DCC_Leg1_Float)))</f>
        <v>0</v>
      </c>
      <c r="AM205" s="886">
        <f t="shared" si="81"/>
        <v>0</v>
      </c>
      <c r="AN205" s="886">
        <f t="shared" si="82"/>
        <v>0</v>
      </c>
      <c r="AO205" s="886">
        <f>IF($O206=0,0,           IF(FRM,_xll.qGetFwdRate(AO$14,$O205,AG205,"T",DCC_Leg1_Float),_xll.qGetFwdRate(AO$14,$O205,$O206,"T",DCC_Leg1_Float)))</f>
        <v>0</v>
      </c>
      <c r="AP205" s="886">
        <f>IF($O206=0,0,           IF(FRM,_xll.qGetFwdRate(AP$14,$O205,AH205,"T",DCC_Leg1_Float),_xll.qGetFwdRate(AP$14,$O205,$O206,"T",DCC_Leg1_Float)))</f>
        <v>0</v>
      </c>
      <c r="AQ205" s="648">
        <f t="shared" si="83"/>
        <v>0</v>
      </c>
      <c r="AR205" s="648">
        <f t="shared" si="84"/>
        <v>0</v>
      </c>
      <c r="AS205" s="648">
        <f t="shared" si="85"/>
        <v>0</v>
      </c>
      <c r="AT205" s="648">
        <f t="shared" si="86"/>
        <v>0</v>
      </c>
      <c r="AU205" s="648">
        <f t="shared" si="87"/>
        <v>0</v>
      </c>
      <c r="AV205" s="648">
        <f t="shared" si="88"/>
        <v>0</v>
      </c>
      <c r="AW205" s="648">
        <f t="shared" si="89"/>
        <v>0</v>
      </c>
      <c r="AX205" s="648">
        <f t="shared" si="90"/>
        <v>0</v>
      </c>
      <c r="AY205" s="634">
        <v>0</v>
      </c>
      <c r="AZ205" s="616"/>
      <c r="BA205" s="619">
        <f>IF(O206=0,0,             IF(ISNUMBER(AZ205),AZ205,             IF(ISTEXT(AZ205),INDEX(AQ205:AX205,MATCH(AZ205,$AQ$17:$AX$17,0)),           IF(AY205="INT",_xll.qInterp(O206,AA205:AH205,AQ205:AX205),       INDEX(AQ205:AX205,MATCH(AY205,$AQ$17:$AX$17,0))))))</f>
        <v>0</v>
      </c>
      <c r="BB205" s="674">
        <v>100</v>
      </c>
      <c r="BC205" s="666">
        <f t="shared" si="69"/>
        <v>0</v>
      </c>
      <c r="BD205" s="268">
        <f>IF($O206=0,0,                IF(LEFT(DCC_Leg1_Fixed,2)="1/",uEvaluate(DCC_Leg1_Fixed),        _xll.qDateYears($O205,$O206,DCC_Leg1_Fixed)))</f>
        <v>0</v>
      </c>
      <c r="BE205" s="268">
        <f>IF($O206,_xll.qDateYears($O205,$O206,DCC_Leg1_Float),0)</f>
        <v>0</v>
      </c>
      <c r="BG205" s="332">
        <f t="shared" si="91"/>
        <v>0</v>
      </c>
      <c r="BH205" s="357">
        <f t="shared" si="92"/>
        <v>0</v>
      </c>
      <c r="BI205" s="527"/>
      <c r="BK205" s="324">
        <f t="shared" si="97"/>
        <v>0</v>
      </c>
      <c r="BM205" s="338"/>
      <c r="BN205" s="121">
        <v>0</v>
      </c>
      <c r="BO205" s="755">
        <f t="shared" si="70"/>
        <v>0</v>
      </c>
      <c r="BP205" s="339">
        <v>0</v>
      </c>
      <c r="BQ205" s="890">
        <f>IF(BN206=0,0,         IF(OR(Currency2="AUD",Currency1="NZD",Currency2="GBP"),BN205,   _xll.qDateNext(BN205,"-2b",,,IF(Currency2="EUR","TGT","LON"))))</f>
        <v>0</v>
      </c>
      <c r="BR205" s="879" t="str">
        <v/>
      </c>
      <c r="BS205" s="879" t="str">
        <v/>
      </c>
      <c r="BT205" s="879" t="str">
        <v/>
      </c>
      <c r="BU205" s="879" t="str">
        <v/>
      </c>
      <c r="BV205" s="879" t="str">
        <v/>
      </c>
      <c r="BW205" s="879" t="str">
        <v/>
      </c>
      <c r="BX205" s="879" t="str">
        <v/>
      </c>
      <c r="BY205" s="879" t="str">
        <v/>
      </c>
      <c r="BZ205" s="882">
        <f>IF($BN206=0,0,        _xll.qDateNext($BN205,BZ$17,$CG$16,TRUE,Currency2))</f>
        <v>0</v>
      </c>
      <c r="CA205" s="882">
        <f>IF($BN206=0,0,        _xll.qDateNext($BN205,CA$17,$CG$16,TRUE,Currency2))</f>
        <v>0</v>
      </c>
      <c r="CB205" s="882">
        <f>IF($BN206=0,0,        _xll.qDateNext($BN205,CB$17,$CG$16,TRUE,Currency2))</f>
        <v>0</v>
      </c>
      <c r="CC205" s="882">
        <f>IF($BN206=0,0,        _xll.qDateNext($BN205,CC$17,$CG$16,TRUE,Currency2))</f>
        <v>0</v>
      </c>
      <c r="CD205" s="882">
        <f>IF($BN206=0,0,        _xll.qDateNext($BN205,CD$17,$CG$16,TRUE,Currency2))</f>
        <v>0</v>
      </c>
      <c r="CE205" s="882">
        <f>IF($BN206=0,0,        _xll.qDateNext($BN205,CE$17,$CG$16,TRUE,Currency2))</f>
        <v>0</v>
      </c>
      <c r="CF205" s="882">
        <f>IF($BN206=0,0,        _xll.qDateNext($BN205,CF$17,$CG$16,TRUE,Currency2))</f>
        <v>0</v>
      </c>
      <c r="CG205" s="882">
        <f>IF($BN206=0,0,        _xll.qDateNext($BN205,CG$17,$CG$16,TRUE,Currency2))</f>
        <v>0</v>
      </c>
      <c r="CH205" s="886">
        <v>0</v>
      </c>
      <c r="CI205" s="886">
        <v>0</v>
      </c>
      <c r="CJ205" s="886">
        <v>0</v>
      </c>
      <c r="CK205" s="886">
        <v>0</v>
      </c>
      <c r="CL205" s="886">
        <f t="shared" si="93"/>
        <v>0</v>
      </c>
      <c r="CM205" s="886">
        <f t="shared" si="94"/>
        <v>0</v>
      </c>
      <c r="CN205" s="886">
        <v>0</v>
      </c>
      <c r="CO205" s="886">
        <v>0</v>
      </c>
      <c r="CP205" s="648">
        <f t="shared" si="71"/>
        <v>0</v>
      </c>
      <c r="CQ205" s="648">
        <f t="shared" si="72"/>
        <v>0</v>
      </c>
      <c r="CR205" s="648">
        <f t="shared" si="73"/>
        <v>0</v>
      </c>
      <c r="CS205" s="648">
        <f t="shared" si="74"/>
        <v>0</v>
      </c>
      <c r="CT205" s="648">
        <f t="shared" si="75"/>
        <v>0</v>
      </c>
      <c r="CU205" s="648">
        <f t="shared" si="76"/>
        <v>0</v>
      </c>
      <c r="CV205" s="648">
        <f t="shared" si="77"/>
        <v>0</v>
      </c>
      <c r="CW205" s="648">
        <f t="shared" si="78"/>
        <v>0</v>
      </c>
      <c r="CX205" s="634">
        <v>0</v>
      </c>
      <c r="CY205" s="616"/>
      <c r="CZ205" s="619">
        <f>IF(BN206=0,0,             IF(ISNUMBER(CY205),CY205,             IF(ISTEXT(CY205),INDEX(CP205:CW205,MATCH(CY205,$CP$17:$CW$17,0)),           IF(CX205="INT",_xll.qInterp(BN206,BZ205:CG205,CP205:CW205),       INDEX(CP205:CW205,MATCH(CX205,$CP$17:$CW$17,0))))))</f>
        <v>0</v>
      </c>
      <c r="DA205" s="755">
        <f t="shared" si="79"/>
        <v>0</v>
      </c>
      <c r="DB205" s="387">
        <f t="shared" si="80"/>
        <v>0</v>
      </c>
      <c r="DC205" s="268">
        <f>IF($BN206=0,0,         IF(LEFT(DCC_Leg2_Fixed,2)="1/",uEvaluate(DCC_Leg2_Fixed),         _xll.qDateYears($BN205,$BN206,DCC_Leg2_Fixed)))</f>
        <v>0</v>
      </c>
      <c r="DD205" s="268">
        <f>IF($BN206,_xll.qDateYears($BN205,$BN206,DCC_Leg2_Float),0)</f>
        <v>0</v>
      </c>
      <c r="DF205" s="332">
        <f t="shared" si="95"/>
        <v>0</v>
      </c>
      <c r="DG205" s="357">
        <f t="shared" si="96"/>
        <v>0</v>
      </c>
      <c r="DH205" s="527"/>
      <c r="DJ205" s="324">
        <f t="shared" si="98"/>
        <v>0</v>
      </c>
      <c r="DK205" s="529"/>
      <c r="DL205" s="338"/>
    </row>
    <row r="206" spans="15:116">
      <c r="O206" s="121">
        <v>0</v>
      </c>
      <c r="P206" s="755">
        <f t="shared" si="67"/>
        <v>0</v>
      </c>
      <c r="Q206" s="125">
        <v>0</v>
      </c>
      <c r="R206" s="890">
        <f>IF(O207=0,0,         IF(OR(Currency1="AUD",Currency1="NZD",Currency1="GBP"),O206,   _xll.qDateNext(O206,"-2b",,,IF(Currency1="EUR","TGT","LON"))))</f>
        <v>0</v>
      </c>
      <c r="S206" s="879" t="str">
        <v/>
      </c>
      <c r="T206" s="879" t="str">
        <v/>
      </c>
      <c r="U206" s="879" t="str">
        <v/>
      </c>
      <c r="V206" s="879" t="str">
        <v/>
      </c>
      <c r="W206" s="879" t="str">
        <v/>
      </c>
      <c r="X206" s="879" t="str">
        <v/>
      </c>
      <c r="Y206" s="879" t="str">
        <v/>
      </c>
      <c r="Z206" s="879" t="str">
        <v/>
      </c>
      <c r="AA206" s="882">
        <f>IF($O207=0,0,        _xll.qDateNext($O206,AA$17,$AH$16,TRUE,Currency1))</f>
        <v>0</v>
      </c>
      <c r="AB206" s="882">
        <f>IF($O207=0,0,        _xll.qDateNext($O206,AB$17,$AH$16,TRUE,Currency1))</f>
        <v>0</v>
      </c>
      <c r="AC206" s="882">
        <f>IF($O207=0,0,        _xll.qDateNext($O206,AC$17,$AH$16,TRUE,Currency1))</f>
        <v>0</v>
      </c>
      <c r="AD206" s="882">
        <f>IF($O207=0,0,        _xll.qDateNext($O206,AD$17,$AH$16,TRUE,Currency1))</f>
        <v>0</v>
      </c>
      <c r="AE206" s="882">
        <f>IF($O207=0,0,        _xll.qDateNext($O206,AE$17,$AH$16,TRUE,Currency1))</f>
        <v>0</v>
      </c>
      <c r="AF206" s="882">
        <f>IF($O207=0,0,        _xll.qDateNext($O206,AF$17,$AH$16,TRUE,Currency1))</f>
        <v>0</v>
      </c>
      <c r="AG206" s="882">
        <f>IF($O207=0,0,        _xll.qDateNext($O206,AG$17,$AH$16,TRUE,Currency1))</f>
        <v>0</v>
      </c>
      <c r="AH206" s="882">
        <f>IF($O207=0,0,        _xll.qDateNext($O206,AH$17,$AH$16,TRUE,Currency1))</f>
        <v>0</v>
      </c>
      <c r="AI206" s="886">
        <f>IF($O207=0,0,           IF(FRM,_xll.qGetFwdRate(AI$14,$O206,AA206,"T",DCC_Leg1_Float),_xll.qGetFwdRate(AI$14,$O206,$O207,"T",DCC_Leg1_Float)))</f>
        <v>0</v>
      </c>
      <c r="AJ206" s="886">
        <f>IF($O207=0,0,           IF(FRM,_xll.qGetFwdRate(AJ$14,$O206,AB206,"T",DCC_Leg1_Float),_xll.qGetFwdRate(AJ$14,$O206,$O207,"T",DCC_Leg1_Float)))</f>
        <v>0</v>
      </c>
      <c r="AK206" s="886">
        <f t="shared" si="68"/>
        <v>0</v>
      </c>
      <c r="AL206" s="886">
        <f>IF($O207=0,0,           IF(FRM,_xll.qGetFwdRate(AL$14,$O206,AD206,"T",DCC_Leg1_Float),_xll.qGetFwdRate(AL$14,$O206,$O207,"T",DCC_Leg1_Float)))</f>
        <v>0</v>
      </c>
      <c r="AM206" s="886">
        <f t="shared" si="81"/>
        <v>0</v>
      </c>
      <c r="AN206" s="886">
        <f t="shared" si="82"/>
        <v>0</v>
      </c>
      <c r="AO206" s="886">
        <f>IF($O207=0,0,           IF(FRM,_xll.qGetFwdRate(AO$14,$O206,AG206,"T",DCC_Leg1_Float),_xll.qGetFwdRate(AO$14,$O206,$O207,"T",DCC_Leg1_Float)))</f>
        <v>0</v>
      </c>
      <c r="AP206" s="886">
        <f>IF($O207=0,0,           IF(FRM,_xll.qGetFwdRate(AP$14,$O206,AH206,"T",DCC_Leg1_Float),_xll.qGetFwdRate(AP$14,$O206,$O207,"T",DCC_Leg1_Float)))</f>
        <v>0</v>
      </c>
      <c r="AQ206" s="648">
        <f t="shared" si="83"/>
        <v>0</v>
      </c>
      <c r="AR206" s="648">
        <f t="shared" si="84"/>
        <v>0</v>
      </c>
      <c r="AS206" s="648">
        <f t="shared" si="85"/>
        <v>0</v>
      </c>
      <c r="AT206" s="648">
        <f t="shared" si="86"/>
        <v>0</v>
      </c>
      <c r="AU206" s="648">
        <f t="shared" si="87"/>
        <v>0</v>
      </c>
      <c r="AV206" s="648">
        <f t="shared" si="88"/>
        <v>0</v>
      </c>
      <c r="AW206" s="648">
        <f t="shared" si="89"/>
        <v>0</v>
      </c>
      <c r="AX206" s="648">
        <f t="shared" si="90"/>
        <v>0</v>
      </c>
      <c r="AY206" s="634">
        <v>0</v>
      </c>
      <c r="AZ206" s="616"/>
      <c r="BA206" s="619">
        <f>IF(O207=0,0,             IF(ISNUMBER(AZ206),AZ206,             IF(ISTEXT(AZ206),INDEX(AQ206:AX206,MATCH(AZ206,$AQ$17:$AX$17,0)),           IF(AY206="INT",_xll.qInterp(O207,AA206:AH206,AQ206:AX206),       INDEX(AQ206:AX206,MATCH(AY206,$AQ$17:$AX$17,0))))))</f>
        <v>0</v>
      </c>
      <c r="BB206" s="674">
        <v>100</v>
      </c>
      <c r="BC206" s="666">
        <f t="shared" si="69"/>
        <v>0</v>
      </c>
      <c r="BD206" s="268">
        <f>IF($O207=0,0,                IF(LEFT(DCC_Leg1_Fixed,2)="1/",uEvaluate(DCC_Leg1_Fixed),        _xll.qDateYears($O206,$O207,DCC_Leg1_Fixed)))</f>
        <v>0</v>
      </c>
      <c r="BE206" s="268">
        <f>IF($O207,_xll.qDateYears($O206,$O207,DCC_Leg1_Float),0)</f>
        <v>0</v>
      </c>
      <c r="BG206" s="332">
        <f t="shared" si="91"/>
        <v>0</v>
      </c>
      <c r="BH206" s="357">
        <f t="shared" si="92"/>
        <v>0</v>
      </c>
      <c r="BI206" s="527"/>
      <c r="BK206" s="324">
        <f t="shared" si="97"/>
        <v>0</v>
      </c>
      <c r="BM206" s="338"/>
      <c r="BN206" s="121">
        <v>0</v>
      </c>
      <c r="BO206" s="755">
        <f t="shared" si="70"/>
        <v>0</v>
      </c>
      <c r="BP206" s="339">
        <v>0</v>
      </c>
      <c r="BQ206" s="890">
        <f>IF(BN207=0,0,         IF(OR(Currency2="AUD",Currency1="NZD",Currency2="GBP"),BN206,   _xll.qDateNext(BN206,"-2b",,,IF(Currency2="EUR","TGT","LON"))))</f>
        <v>0</v>
      </c>
      <c r="BR206" s="879" t="str">
        <v/>
      </c>
      <c r="BS206" s="879" t="str">
        <v/>
      </c>
      <c r="BT206" s="879" t="str">
        <v/>
      </c>
      <c r="BU206" s="879" t="str">
        <v/>
      </c>
      <c r="BV206" s="879" t="str">
        <v/>
      </c>
      <c r="BW206" s="879" t="str">
        <v/>
      </c>
      <c r="BX206" s="879" t="str">
        <v/>
      </c>
      <c r="BY206" s="879" t="str">
        <v/>
      </c>
      <c r="BZ206" s="882">
        <f>IF($BN207=0,0,        _xll.qDateNext($BN206,BZ$17,$CG$16,TRUE,Currency2))</f>
        <v>0</v>
      </c>
      <c r="CA206" s="882">
        <f>IF($BN207=0,0,        _xll.qDateNext($BN206,CA$17,$CG$16,TRUE,Currency2))</f>
        <v>0</v>
      </c>
      <c r="CB206" s="882">
        <f>IF($BN207=0,0,        _xll.qDateNext($BN206,CB$17,$CG$16,TRUE,Currency2))</f>
        <v>0</v>
      </c>
      <c r="CC206" s="882">
        <f>IF($BN207=0,0,        _xll.qDateNext($BN206,CC$17,$CG$16,TRUE,Currency2))</f>
        <v>0</v>
      </c>
      <c r="CD206" s="882">
        <f>IF($BN207=0,0,        _xll.qDateNext($BN206,CD$17,$CG$16,TRUE,Currency2))</f>
        <v>0</v>
      </c>
      <c r="CE206" s="882">
        <f>IF($BN207=0,0,        _xll.qDateNext($BN206,CE$17,$CG$16,TRUE,Currency2))</f>
        <v>0</v>
      </c>
      <c r="CF206" s="882">
        <f>IF($BN207=0,0,        _xll.qDateNext($BN206,CF$17,$CG$16,TRUE,Currency2))</f>
        <v>0</v>
      </c>
      <c r="CG206" s="882">
        <f>IF($BN207=0,0,        _xll.qDateNext($BN206,CG$17,$CG$16,TRUE,Currency2))</f>
        <v>0</v>
      </c>
      <c r="CH206" s="886">
        <v>0</v>
      </c>
      <c r="CI206" s="886">
        <v>0</v>
      </c>
      <c r="CJ206" s="886">
        <v>0</v>
      </c>
      <c r="CK206" s="886">
        <v>0</v>
      </c>
      <c r="CL206" s="886">
        <f t="shared" si="93"/>
        <v>0</v>
      </c>
      <c r="CM206" s="886">
        <f t="shared" si="94"/>
        <v>0</v>
      </c>
      <c r="CN206" s="886">
        <v>0</v>
      </c>
      <c r="CO206" s="886">
        <v>0</v>
      </c>
      <c r="CP206" s="648">
        <f t="shared" si="71"/>
        <v>0</v>
      </c>
      <c r="CQ206" s="648">
        <f t="shared" si="72"/>
        <v>0</v>
      </c>
      <c r="CR206" s="648">
        <f t="shared" si="73"/>
        <v>0</v>
      </c>
      <c r="CS206" s="648">
        <f t="shared" si="74"/>
        <v>0</v>
      </c>
      <c r="CT206" s="648">
        <f t="shared" si="75"/>
        <v>0</v>
      </c>
      <c r="CU206" s="648">
        <f t="shared" si="76"/>
        <v>0</v>
      </c>
      <c r="CV206" s="648">
        <f t="shared" si="77"/>
        <v>0</v>
      </c>
      <c r="CW206" s="648">
        <f t="shared" si="78"/>
        <v>0</v>
      </c>
      <c r="CX206" s="634">
        <v>0</v>
      </c>
      <c r="CY206" s="616"/>
      <c r="CZ206" s="619">
        <f>IF(BN207=0,0,             IF(ISNUMBER(CY206),CY206,             IF(ISTEXT(CY206),INDEX(CP206:CW206,MATCH(CY206,$CP$17:$CW$17,0)),           IF(CX206="INT",_xll.qInterp(BN207,BZ206:CG206,CP206:CW206),       INDEX(CP206:CW206,MATCH(CX206,$CP$17:$CW$17,0))))))</f>
        <v>0</v>
      </c>
      <c r="DA206" s="755">
        <f t="shared" si="79"/>
        <v>0</v>
      </c>
      <c r="DB206" s="387">
        <f t="shared" si="80"/>
        <v>0</v>
      </c>
      <c r="DC206" s="268">
        <f>IF($BN207=0,0,         IF(LEFT(DCC_Leg2_Fixed,2)="1/",uEvaluate(DCC_Leg2_Fixed),         _xll.qDateYears($BN206,$BN207,DCC_Leg2_Fixed)))</f>
        <v>0</v>
      </c>
      <c r="DD206" s="268">
        <f>IF($BN207,_xll.qDateYears($BN206,$BN207,DCC_Leg2_Float),0)</f>
        <v>0</v>
      </c>
      <c r="DF206" s="332">
        <f t="shared" si="95"/>
        <v>0</v>
      </c>
      <c r="DG206" s="357">
        <f t="shared" si="96"/>
        <v>0</v>
      </c>
      <c r="DH206" s="527"/>
      <c r="DJ206" s="324">
        <f t="shared" si="98"/>
        <v>0</v>
      </c>
      <c r="DK206" s="529"/>
      <c r="DL206" s="338"/>
    </row>
    <row r="207" spans="15:116">
      <c r="O207" s="121">
        <v>0</v>
      </c>
      <c r="P207" s="755">
        <f t="shared" si="67"/>
        <v>0</v>
      </c>
      <c r="Q207" s="125">
        <v>0</v>
      </c>
      <c r="R207" s="890">
        <f>IF(O208=0,0,         IF(OR(Currency1="AUD",Currency1="NZD",Currency1="GBP"),O207,   _xll.qDateNext(O207,"-2b",,,IF(Currency1="EUR","TGT","LON"))))</f>
        <v>0</v>
      </c>
      <c r="S207" s="879" t="str">
        <v/>
      </c>
      <c r="T207" s="879" t="str">
        <v/>
      </c>
      <c r="U207" s="879" t="str">
        <v/>
      </c>
      <c r="V207" s="879" t="str">
        <v/>
      </c>
      <c r="W207" s="879" t="str">
        <v/>
      </c>
      <c r="X207" s="879" t="str">
        <v/>
      </c>
      <c r="Y207" s="879" t="str">
        <v/>
      </c>
      <c r="Z207" s="879" t="str">
        <v/>
      </c>
      <c r="AA207" s="882">
        <f>IF($O208=0,0,        _xll.qDateNext($O207,AA$17,$AH$16,TRUE,Currency1))</f>
        <v>0</v>
      </c>
      <c r="AB207" s="882">
        <f>IF($O208=0,0,        _xll.qDateNext($O207,AB$17,$AH$16,TRUE,Currency1))</f>
        <v>0</v>
      </c>
      <c r="AC207" s="882">
        <f>IF($O208=0,0,        _xll.qDateNext($O207,AC$17,$AH$16,TRUE,Currency1))</f>
        <v>0</v>
      </c>
      <c r="AD207" s="882">
        <f>IF($O208=0,0,        _xll.qDateNext($O207,AD$17,$AH$16,TRUE,Currency1))</f>
        <v>0</v>
      </c>
      <c r="AE207" s="882">
        <f>IF($O208=0,0,        _xll.qDateNext($O207,AE$17,$AH$16,TRUE,Currency1))</f>
        <v>0</v>
      </c>
      <c r="AF207" s="882">
        <f>IF($O208=0,0,        _xll.qDateNext($O207,AF$17,$AH$16,TRUE,Currency1))</f>
        <v>0</v>
      </c>
      <c r="AG207" s="882">
        <f>IF($O208=0,0,        _xll.qDateNext($O207,AG$17,$AH$16,TRUE,Currency1))</f>
        <v>0</v>
      </c>
      <c r="AH207" s="882">
        <f>IF($O208=0,0,        _xll.qDateNext($O207,AH$17,$AH$16,TRUE,Currency1))</f>
        <v>0</v>
      </c>
      <c r="AI207" s="886">
        <f>IF($O208=0,0,           IF(FRM,_xll.qGetFwdRate(AI$14,$O207,AA207,"T",DCC_Leg1_Float),_xll.qGetFwdRate(AI$14,$O207,$O208,"T",DCC_Leg1_Float)))</f>
        <v>0</v>
      </c>
      <c r="AJ207" s="886">
        <f>IF($O208=0,0,           IF(FRM,_xll.qGetFwdRate(AJ$14,$O207,AB207,"T",DCC_Leg1_Float),_xll.qGetFwdRate(AJ$14,$O207,$O208,"T",DCC_Leg1_Float)))</f>
        <v>0</v>
      </c>
      <c r="AK207" s="886">
        <f t="shared" si="68"/>
        <v>0</v>
      </c>
      <c r="AL207" s="886">
        <f>IF($O208=0,0,           IF(FRM,_xll.qGetFwdRate(AL$14,$O207,AD207,"T",DCC_Leg1_Float),_xll.qGetFwdRate(AL$14,$O207,$O208,"T",DCC_Leg1_Float)))</f>
        <v>0</v>
      </c>
      <c r="AM207" s="886">
        <f t="shared" si="81"/>
        <v>0</v>
      </c>
      <c r="AN207" s="886">
        <f t="shared" si="82"/>
        <v>0</v>
      </c>
      <c r="AO207" s="886">
        <f>IF($O208=0,0,           IF(FRM,_xll.qGetFwdRate(AO$14,$O207,AG207,"T",DCC_Leg1_Float),_xll.qGetFwdRate(AO$14,$O207,$O208,"T",DCC_Leg1_Float)))</f>
        <v>0</v>
      </c>
      <c r="AP207" s="886">
        <f>IF($O208=0,0,           IF(FRM,_xll.qGetFwdRate(AP$14,$O207,AH207,"T",DCC_Leg1_Float),_xll.qGetFwdRate(AP$14,$O207,$O208,"T",DCC_Leg1_Float)))</f>
        <v>0</v>
      </c>
      <c r="AQ207" s="648">
        <f t="shared" si="83"/>
        <v>0</v>
      </c>
      <c r="AR207" s="648">
        <f t="shared" si="84"/>
        <v>0</v>
      </c>
      <c r="AS207" s="648">
        <f t="shared" si="85"/>
        <v>0</v>
      </c>
      <c r="AT207" s="648">
        <f t="shared" si="86"/>
        <v>0</v>
      </c>
      <c r="AU207" s="648">
        <f t="shared" si="87"/>
        <v>0</v>
      </c>
      <c r="AV207" s="648">
        <f t="shared" si="88"/>
        <v>0</v>
      </c>
      <c r="AW207" s="648">
        <f t="shared" si="89"/>
        <v>0</v>
      </c>
      <c r="AX207" s="648">
        <f t="shared" si="90"/>
        <v>0</v>
      </c>
      <c r="AY207" s="634">
        <v>0</v>
      </c>
      <c r="AZ207" s="616"/>
      <c r="BA207" s="619">
        <f>IF(O208=0,0,             IF(ISNUMBER(AZ207),AZ207,             IF(ISTEXT(AZ207),INDEX(AQ207:AX207,MATCH(AZ207,$AQ$17:$AX$17,0)),           IF(AY207="INT",_xll.qInterp(O208,AA207:AH207,AQ207:AX207),       INDEX(AQ207:AX207,MATCH(AY207,$AQ$17:$AX$17,0))))))</f>
        <v>0</v>
      </c>
      <c r="BB207" s="674">
        <v>100</v>
      </c>
      <c r="BC207" s="666">
        <f t="shared" si="69"/>
        <v>0</v>
      </c>
      <c r="BD207" s="268">
        <f>IF($O208=0,0,                IF(LEFT(DCC_Leg1_Fixed,2)="1/",uEvaluate(DCC_Leg1_Fixed),        _xll.qDateYears($O207,$O208,DCC_Leg1_Fixed)))</f>
        <v>0</v>
      </c>
      <c r="BE207" s="268">
        <f>IF($O208,_xll.qDateYears($O207,$O208,DCC_Leg1_Float),0)</f>
        <v>0</v>
      </c>
      <c r="BG207" s="332">
        <f t="shared" si="91"/>
        <v>0</v>
      </c>
      <c r="BH207" s="357">
        <f t="shared" si="92"/>
        <v>0</v>
      </c>
      <c r="BI207" s="527"/>
      <c r="BK207" s="324">
        <f t="shared" si="97"/>
        <v>0</v>
      </c>
      <c r="BM207" s="338"/>
      <c r="BN207" s="121">
        <v>0</v>
      </c>
      <c r="BO207" s="755">
        <f t="shared" si="70"/>
        <v>0</v>
      </c>
      <c r="BP207" s="339">
        <v>0</v>
      </c>
      <c r="BQ207" s="890">
        <f>IF(BN208=0,0,         IF(OR(Currency2="AUD",Currency1="NZD",Currency2="GBP"),BN207,   _xll.qDateNext(BN207,"-2b",,,IF(Currency2="EUR","TGT","LON"))))</f>
        <v>0</v>
      </c>
      <c r="BR207" s="879" t="str">
        <v/>
      </c>
      <c r="BS207" s="879" t="str">
        <v/>
      </c>
      <c r="BT207" s="879" t="str">
        <v/>
      </c>
      <c r="BU207" s="879" t="str">
        <v/>
      </c>
      <c r="BV207" s="879" t="str">
        <v/>
      </c>
      <c r="BW207" s="879" t="str">
        <v/>
      </c>
      <c r="BX207" s="879" t="str">
        <v/>
      </c>
      <c r="BY207" s="879" t="str">
        <v/>
      </c>
      <c r="BZ207" s="882">
        <f>IF($BN208=0,0,        _xll.qDateNext($BN207,BZ$17,$CG$16,TRUE,Currency2))</f>
        <v>0</v>
      </c>
      <c r="CA207" s="882">
        <f>IF($BN208=0,0,        _xll.qDateNext($BN207,CA$17,$CG$16,TRUE,Currency2))</f>
        <v>0</v>
      </c>
      <c r="CB207" s="882">
        <f>IF($BN208=0,0,        _xll.qDateNext($BN207,CB$17,$CG$16,TRUE,Currency2))</f>
        <v>0</v>
      </c>
      <c r="CC207" s="882">
        <f>IF($BN208=0,0,        _xll.qDateNext($BN207,CC$17,$CG$16,TRUE,Currency2))</f>
        <v>0</v>
      </c>
      <c r="CD207" s="882">
        <f>IF($BN208=0,0,        _xll.qDateNext($BN207,CD$17,$CG$16,TRUE,Currency2))</f>
        <v>0</v>
      </c>
      <c r="CE207" s="882">
        <f>IF($BN208=0,0,        _xll.qDateNext($BN207,CE$17,$CG$16,TRUE,Currency2))</f>
        <v>0</v>
      </c>
      <c r="CF207" s="882">
        <f>IF($BN208=0,0,        _xll.qDateNext($BN207,CF$17,$CG$16,TRUE,Currency2))</f>
        <v>0</v>
      </c>
      <c r="CG207" s="882">
        <f>IF($BN208=0,0,        _xll.qDateNext($BN207,CG$17,$CG$16,TRUE,Currency2))</f>
        <v>0</v>
      </c>
      <c r="CH207" s="886">
        <v>0</v>
      </c>
      <c r="CI207" s="886">
        <v>0</v>
      </c>
      <c r="CJ207" s="886">
        <v>0</v>
      </c>
      <c r="CK207" s="886">
        <v>0</v>
      </c>
      <c r="CL207" s="886">
        <f t="shared" si="93"/>
        <v>0</v>
      </c>
      <c r="CM207" s="886">
        <f t="shared" si="94"/>
        <v>0</v>
      </c>
      <c r="CN207" s="886">
        <v>0</v>
      </c>
      <c r="CO207" s="886">
        <v>0</v>
      </c>
      <c r="CP207" s="648">
        <f t="shared" si="71"/>
        <v>0</v>
      </c>
      <c r="CQ207" s="648">
        <f t="shared" si="72"/>
        <v>0</v>
      </c>
      <c r="CR207" s="648">
        <f t="shared" si="73"/>
        <v>0</v>
      </c>
      <c r="CS207" s="648">
        <f t="shared" si="74"/>
        <v>0</v>
      </c>
      <c r="CT207" s="648">
        <f t="shared" si="75"/>
        <v>0</v>
      </c>
      <c r="CU207" s="648">
        <f t="shared" si="76"/>
        <v>0</v>
      </c>
      <c r="CV207" s="648">
        <f t="shared" si="77"/>
        <v>0</v>
      </c>
      <c r="CW207" s="648">
        <f t="shared" si="78"/>
        <v>0</v>
      </c>
      <c r="CX207" s="634">
        <v>0</v>
      </c>
      <c r="CY207" s="616"/>
      <c r="CZ207" s="619">
        <f>IF(BN208=0,0,             IF(ISNUMBER(CY207),CY207,             IF(ISTEXT(CY207),INDEX(CP207:CW207,MATCH(CY207,$CP$17:$CW$17,0)),           IF(CX207="INT",_xll.qInterp(BN208,BZ207:CG207,CP207:CW207),       INDEX(CP207:CW207,MATCH(CX207,$CP$17:$CW$17,0))))))</f>
        <v>0</v>
      </c>
      <c r="DA207" s="755">
        <f t="shared" si="79"/>
        <v>0</v>
      </c>
      <c r="DB207" s="387">
        <f t="shared" si="80"/>
        <v>0</v>
      </c>
      <c r="DC207" s="268">
        <f>IF($BN208=0,0,         IF(LEFT(DCC_Leg2_Fixed,2)="1/",uEvaluate(DCC_Leg2_Fixed),         _xll.qDateYears($BN207,$BN208,DCC_Leg2_Fixed)))</f>
        <v>0</v>
      </c>
      <c r="DD207" s="268">
        <f>IF($BN208,_xll.qDateYears($BN207,$BN208,DCC_Leg2_Float),0)</f>
        <v>0</v>
      </c>
      <c r="DF207" s="332">
        <f t="shared" si="95"/>
        <v>0</v>
      </c>
      <c r="DG207" s="357">
        <f t="shared" si="96"/>
        <v>0</v>
      </c>
      <c r="DH207" s="527"/>
      <c r="DJ207" s="324">
        <f t="shared" si="98"/>
        <v>0</v>
      </c>
      <c r="DK207" s="529"/>
      <c r="DL207" s="338"/>
    </row>
    <row r="208" spans="15:116">
      <c r="O208" s="121">
        <v>0</v>
      </c>
      <c r="P208" s="755">
        <f t="shared" si="67"/>
        <v>0</v>
      </c>
      <c r="Q208" s="125">
        <v>0</v>
      </c>
      <c r="R208" s="890">
        <f>IF(O209=0,0,         IF(OR(Currency1="AUD",Currency1="NZD",Currency1="GBP"),O208,   _xll.qDateNext(O208,"-2b",,,IF(Currency1="EUR","TGT","LON"))))</f>
        <v>0</v>
      </c>
      <c r="S208" s="879" t="str">
        <v/>
      </c>
      <c r="T208" s="879" t="str">
        <v/>
      </c>
      <c r="U208" s="879" t="str">
        <v/>
      </c>
      <c r="V208" s="879" t="str">
        <v/>
      </c>
      <c r="W208" s="879" t="str">
        <v/>
      </c>
      <c r="X208" s="879" t="str">
        <v/>
      </c>
      <c r="Y208" s="879" t="str">
        <v/>
      </c>
      <c r="Z208" s="879" t="str">
        <v/>
      </c>
      <c r="AA208" s="882">
        <f>IF($O209=0,0,        _xll.qDateNext($O208,AA$17,$AH$16,TRUE,Currency1))</f>
        <v>0</v>
      </c>
      <c r="AB208" s="882">
        <f>IF($O209=0,0,        _xll.qDateNext($O208,AB$17,$AH$16,TRUE,Currency1))</f>
        <v>0</v>
      </c>
      <c r="AC208" s="882">
        <f>IF($O209=0,0,        _xll.qDateNext($O208,AC$17,$AH$16,TRUE,Currency1))</f>
        <v>0</v>
      </c>
      <c r="AD208" s="882">
        <f>IF($O209=0,0,        _xll.qDateNext($O208,AD$17,$AH$16,TRUE,Currency1))</f>
        <v>0</v>
      </c>
      <c r="AE208" s="882">
        <f>IF($O209=0,0,        _xll.qDateNext($O208,AE$17,$AH$16,TRUE,Currency1))</f>
        <v>0</v>
      </c>
      <c r="AF208" s="882">
        <f>IF($O209=0,0,        _xll.qDateNext($O208,AF$17,$AH$16,TRUE,Currency1))</f>
        <v>0</v>
      </c>
      <c r="AG208" s="882">
        <f>IF($O209=0,0,        _xll.qDateNext($O208,AG$17,$AH$16,TRUE,Currency1))</f>
        <v>0</v>
      </c>
      <c r="AH208" s="882">
        <f>IF($O209=0,0,        _xll.qDateNext($O208,AH$17,$AH$16,TRUE,Currency1))</f>
        <v>0</v>
      </c>
      <c r="AI208" s="886">
        <f>IF($O209=0,0,           IF(FRM,_xll.qGetFwdRate(AI$14,$O208,AA208,"T",DCC_Leg1_Float),_xll.qGetFwdRate(AI$14,$O208,$O209,"T",DCC_Leg1_Float)))</f>
        <v>0</v>
      </c>
      <c r="AJ208" s="886">
        <f>IF($O209=0,0,           IF(FRM,_xll.qGetFwdRate(AJ$14,$O208,AB208,"T",DCC_Leg1_Float),_xll.qGetFwdRate(AJ$14,$O208,$O209,"T",DCC_Leg1_Float)))</f>
        <v>0</v>
      </c>
      <c r="AK208" s="886">
        <f t="shared" si="68"/>
        <v>0</v>
      </c>
      <c r="AL208" s="886">
        <f>IF($O209=0,0,           IF(FRM,_xll.qGetFwdRate(AL$14,$O208,AD208,"T",DCC_Leg1_Float),_xll.qGetFwdRate(AL$14,$O208,$O209,"T",DCC_Leg1_Float)))</f>
        <v>0</v>
      </c>
      <c r="AM208" s="886">
        <f t="shared" si="81"/>
        <v>0</v>
      </c>
      <c r="AN208" s="886">
        <f t="shared" si="82"/>
        <v>0</v>
      </c>
      <c r="AO208" s="886">
        <f>IF($O209=0,0,           IF(FRM,_xll.qGetFwdRate(AO$14,$O208,AG208,"T",DCC_Leg1_Float),_xll.qGetFwdRate(AO$14,$O208,$O209,"T",DCC_Leg1_Float)))</f>
        <v>0</v>
      </c>
      <c r="AP208" s="886">
        <f>IF($O209=0,0,           IF(FRM,_xll.qGetFwdRate(AP$14,$O208,AH208,"T",DCC_Leg1_Float),_xll.qGetFwdRate(AP$14,$O208,$O209,"T",DCC_Leg1_Float)))</f>
        <v>0</v>
      </c>
      <c r="AQ208" s="648">
        <f t="shared" si="83"/>
        <v>0</v>
      </c>
      <c r="AR208" s="648">
        <f t="shared" si="84"/>
        <v>0</v>
      </c>
      <c r="AS208" s="648">
        <f t="shared" si="85"/>
        <v>0</v>
      </c>
      <c r="AT208" s="648">
        <f t="shared" si="86"/>
        <v>0</v>
      </c>
      <c r="AU208" s="648">
        <f t="shared" si="87"/>
        <v>0</v>
      </c>
      <c r="AV208" s="648">
        <f t="shared" si="88"/>
        <v>0</v>
      </c>
      <c r="AW208" s="648">
        <f t="shared" si="89"/>
        <v>0</v>
      </c>
      <c r="AX208" s="648">
        <f t="shared" si="90"/>
        <v>0</v>
      </c>
      <c r="AY208" s="634">
        <v>0</v>
      </c>
      <c r="AZ208" s="616"/>
      <c r="BA208" s="619">
        <f>IF(O209=0,0,             IF(ISNUMBER(AZ208),AZ208,             IF(ISTEXT(AZ208),INDEX(AQ208:AX208,MATCH(AZ208,$AQ$17:$AX$17,0)),           IF(AY208="INT",_xll.qInterp(O209,AA208:AH208,AQ208:AX208),       INDEX(AQ208:AX208,MATCH(AY208,$AQ$17:$AX$17,0))))))</f>
        <v>0</v>
      </c>
      <c r="BB208" s="674">
        <v>100</v>
      </c>
      <c r="BC208" s="666">
        <f t="shared" si="69"/>
        <v>0</v>
      </c>
      <c r="BD208" s="268">
        <f>IF($O209=0,0,                IF(LEFT(DCC_Leg1_Fixed,2)="1/",uEvaluate(DCC_Leg1_Fixed),        _xll.qDateYears($O208,$O209,DCC_Leg1_Fixed)))</f>
        <v>0</v>
      </c>
      <c r="BE208" s="268">
        <f>IF($O209,_xll.qDateYears($O208,$O209,DCC_Leg1_Float),0)</f>
        <v>0</v>
      </c>
      <c r="BG208" s="332">
        <f t="shared" si="91"/>
        <v>0</v>
      </c>
      <c r="BH208" s="357">
        <f t="shared" si="92"/>
        <v>0</v>
      </c>
      <c r="BI208" s="527"/>
      <c r="BK208" s="324">
        <f t="shared" si="97"/>
        <v>0</v>
      </c>
      <c r="BM208" s="338"/>
      <c r="BN208" s="121">
        <v>0</v>
      </c>
      <c r="BO208" s="755">
        <f t="shared" si="70"/>
        <v>0</v>
      </c>
      <c r="BP208" s="339">
        <v>0</v>
      </c>
      <c r="BQ208" s="890">
        <f>IF(BN209=0,0,         IF(OR(Currency2="AUD",Currency1="NZD",Currency2="GBP"),BN208,   _xll.qDateNext(BN208,"-2b",,,IF(Currency2="EUR","TGT","LON"))))</f>
        <v>0</v>
      </c>
      <c r="BR208" s="879" t="str">
        <v/>
      </c>
      <c r="BS208" s="879" t="str">
        <v/>
      </c>
      <c r="BT208" s="879" t="str">
        <v/>
      </c>
      <c r="BU208" s="879" t="str">
        <v/>
      </c>
      <c r="BV208" s="879" t="str">
        <v/>
      </c>
      <c r="BW208" s="879" t="str">
        <v/>
      </c>
      <c r="BX208" s="879" t="str">
        <v/>
      </c>
      <c r="BY208" s="879" t="str">
        <v/>
      </c>
      <c r="BZ208" s="882">
        <f>IF($BN209=0,0,        _xll.qDateNext($BN208,BZ$17,$CG$16,TRUE,Currency2))</f>
        <v>0</v>
      </c>
      <c r="CA208" s="882">
        <f>IF($BN209=0,0,        _xll.qDateNext($BN208,CA$17,$CG$16,TRUE,Currency2))</f>
        <v>0</v>
      </c>
      <c r="CB208" s="882">
        <f>IF($BN209=0,0,        _xll.qDateNext($BN208,CB$17,$CG$16,TRUE,Currency2))</f>
        <v>0</v>
      </c>
      <c r="CC208" s="882">
        <f>IF($BN209=0,0,        _xll.qDateNext($BN208,CC$17,$CG$16,TRUE,Currency2))</f>
        <v>0</v>
      </c>
      <c r="CD208" s="882">
        <f>IF($BN209=0,0,        _xll.qDateNext($BN208,CD$17,$CG$16,TRUE,Currency2))</f>
        <v>0</v>
      </c>
      <c r="CE208" s="882">
        <f>IF($BN209=0,0,        _xll.qDateNext($BN208,CE$17,$CG$16,TRUE,Currency2))</f>
        <v>0</v>
      </c>
      <c r="CF208" s="882">
        <f>IF($BN209=0,0,        _xll.qDateNext($BN208,CF$17,$CG$16,TRUE,Currency2))</f>
        <v>0</v>
      </c>
      <c r="CG208" s="882">
        <f>IF($BN209=0,0,        _xll.qDateNext($BN208,CG$17,$CG$16,TRUE,Currency2))</f>
        <v>0</v>
      </c>
      <c r="CH208" s="886">
        <v>0</v>
      </c>
      <c r="CI208" s="886">
        <v>0</v>
      </c>
      <c r="CJ208" s="886">
        <v>0</v>
      </c>
      <c r="CK208" s="886">
        <v>0</v>
      </c>
      <c r="CL208" s="886">
        <f t="shared" si="93"/>
        <v>0</v>
      </c>
      <c r="CM208" s="886">
        <f t="shared" si="94"/>
        <v>0</v>
      </c>
      <c r="CN208" s="886">
        <v>0</v>
      </c>
      <c r="CO208" s="886">
        <v>0</v>
      </c>
      <c r="CP208" s="648">
        <f t="shared" si="71"/>
        <v>0</v>
      </c>
      <c r="CQ208" s="648">
        <f t="shared" si="72"/>
        <v>0</v>
      </c>
      <c r="CR208" s="648">
        <f t="shared" si="73"/>
        <v>0</v>
      </c>
      <c r="CS208" s="648">
        <f t="shared" si="74"/>
        <v>0</v>
      </c>
      <c r="CT208" s="648">
        <f t="shared" si="75"/>
        <v>0</v>
      </c>
      <c r="CU208" s="648">
        <f t="shared" si="76"/>
        <v>0</v>
      </c>
      <c r="CV208" s="648">
        <f t="shared" si="77"/>
        <v>0</v>
      </c>
      <c r="CW208" s="648">
        <f t="shared" si="78"/>
        <v>0</v>
      </c>
      <c r="CX208" s="634">
        <v>0</v>
      </c>
      <c r="CY208" s="616"/>
      <c r="CZ208" s="619">
        <f>IF(BN209=0,0,             IF(ISNUMBER(CY208),CY208,             IF(ISTEXT(CY208),INDEX(CP208:CW208,MATCH(CY208,$CP$17:$CW$17,0)),           IF(CX208="INT",_xll.qInterp(BN209,BZ208:CG208,CP208:CW208),       INDEX(CP208:CW208,MATCH(CX208,$CP$17:$CW$17,0))))))</f>
        <v>0</v>
      </c>
      <c r="DA208" s="755">
        <f t="shared" si="79"/>
        <v>0</v>
      </c>
      <c r="DB208" s="387">
        <f t="shared" si="80"/>
        <v>0</v>
      </c>
      <c r="DC208" s="268">
        <f>IF($BN209=0,0,         IF(LEFT(DCC_Leg2_Fixed,2)="1/",uEvaluate(DCC_Leg2_Fixed),         _xll.qDateYears($BN208,$BN209,DCC_Leg2_Fixed)))</f>
        <v>0</v>
      </c>
      <c r="DD208" s="268">
        <f>IF($BN209,_xll.qDateYears($BN208,$BN209,DCC_Leg2_Float),0)</f>
        <v>0</v>
      </c>
      <c r="DF208" s="332">
        <f t="shared" si="95"/>
        <v>0</v>
      </c>
      <c r="DG208" s="357">
        <f t="shared" si="96"/>
        <v>0</v>
      </c>
      <c r="DH208" s="527"/>
      <c r="DJ208" s="324">
        <f t="shared" si="98"/>
        <v>0</v>
      </c>
      <c r="DK208" s="529"/>
      <c r="DL208" s="338"/>
    </row>
    <row r="209" spans="15:116">
      <c r="O209" s="121">
        <v>0</v>
      </c>
      <c r="P209" s="755">
        <f t="shared" si="67"/>
        <v>0</v>
      </c>
      <c r="Q209" s="125">
        <v>0</v>
      </c>
      <c r="R209" s="890">
        <f>IF(O210=0,0,         IF(OR(Currency1="AUD",Currency1="NZD",Currency1="GBP"),O209,   _xll.qDateNext(O209,"-2b",,,IF(Currency1="EUR","TGT","LON"))))</f>
        <v>0</v>
      </c>
      <c r="S209" s="879" t="str">
        <v/>
      </c>
      <c r="T209" s="879" t="str">
        <v/>
      </c>
      <c r="U209" s="879" t="str">
        <v/>
      </c>
      <c r="V209" s="879" t="str">
        <v/>
      </c>
      <c r="W209" s="879" t="str">
        <v/>
      </c>
      <c r="X209" s="879" t="str">
        <v/>
      </c>
      <c r="Y209" s="879" t="str">
        <v/>
      </c>
      <c r="Z209" s="879" t="str">
        <v/>
      </c>
      <c r="AA209" s="882">
        <f>IF($O210=0,0,        _xll.qDateNext($O209,AA$17,$AH$16,TRUE,Currency1))</f>
        <v>0</v>
      </c>
      <c r="AB209" s="882">
        <f>IF($O210=0,0,        _xll.qDateNext($O209,AB$17,$AH$16,TRUE,Currency1))</f>
        <v>0</v>
      </c>
      <c r="AC209" s="882">
        <f>IF($O210=0,0,        _xll.qDateNext($O209,AC$17,$AH$16,TRUE,Currency1))</f>
        <v>0</v>
      </c>
      <c r="AD209" s="882">
        <f>IF($O210=0,0,        _xll.qDateNext($O209,AD$17,$AH$16,TRUE,Currency1))</f>
        <v>0</v>
      </c>
      <c r="AE209" s="882">
        <f>IF($O210=0,0,        _xll.qDateNext($O209,AE$17,$AH$16,TRUE,Currency1))</f>
        <v>0</v>
      </c>
      <c r="AF209" s="882">
        <f>IF($O210=0,0,        _xll.qDateNext($O209,AF$17,$AH$16,TRUE,Currency1))</f>
        <v>0</v>
      </c>
      <c r="AG209" s="882">
        <f>IF($O210=0,0,        _xll.qDateNext($O209,AG$17,$AH$16,TRUE,Currency1))</f>
        <v>0</v>
      </c>
      <c r="AH209" s="882">
        <f>IF($O210=0,0,        _xll.qDateNext($O209,AH$17,$AH$16,TRUE,Currency1))</f>
        <v>0</v>
      </c>
      <c r="AI209" s="886">
        <f>IF($O210=0,0,           IF(FRM,_xll.qGetFwdRate(AI$14,$O209,AA209,"T",DCC_Leg1_Float),_xll.qGetFwdRate(AI$14,$O209,$O210,"T",DCC_Leg1_Float)))</f>
        <v>0</v>
      </c>
      <c r="AJ209" s="886">
        <f>IF($O210=0,0,           IF(FRM,_xll.qGetFwdRate(AJ$14,$O209,AB209,"T",DCC_Leg1_Float),_xll.qGetFwdRate(AJ$14,$O209,$O210,"T",DCC_Leg1_Float)))</f>
        <v>0</v>
      </c>
      <c r="AK209" s="886">
        <f t="shared" si="68"/>
        <v>0</v>
      </c>
      <c r="AL209" s="886">
        <f>IF($O210=0,0,           IF(FRM,_xll.qGetFwdRate(AL$14,$O209,AD209,"T",DCC_Leg1_Float),_xll.qGetFwdRate(AL$14,$O209,$O210,"T",DCC_Leg1_Float)))</f>
        <v>0</v>
      </c>
      <c r="AM209" s="886">
        <f t="shared" si="81"/>
        <v>0</v>
      </c>
      <c r="AN209" s="886">
        <f t="shared" si="82"/>
        <v>0</v>
      </c>
      <c r="AO209" s="886">
        <f>IF($O210=0,0,           IF(FRM,_xll.qGetFwdRate(AO$14,$O209,AG209,"T",DCC_Leg1_Float),_xll.qGetFwdRate(AO$14,$O209,$O210,"T",DCC_Leg1_Float)))</f>
        <v>0</v>
      </c>
      <c r="AP209" s="886">
        <f>IF($O210=0,0,           IF(FRM,_xll.qGetFwdRate(AP$14,$O209,AH209,"T",DCC_Leg1_Float),_xll.qGetFwdRate(AP$14,$O209,$O210,"T",DCC_Leg1_Float)))</f>
        <v>0</v>
      </c>
      <c r="AQ209" s="648">
        <f t="shared" si="83"/>
        <v>0</v>
      </c>
      <c r="AR209" s="648">
        <f t="shared" si="84"/>
        <v>0</v>
      </c>
      <c r="AS209" s="648">
        <f t="shared" si="85"/>
        <v>0</v>
      </c>
      <c r="AT209" s="648">
        <f t="shared" si="86"/>
        <v>0</v>
      </c>
      <c r="AU209" s="648">
        <f t="shared" si="87"/>
        <v>0</v>
      </c>
      <c r="AV209" s="648">
        <f t="shared" si="88"/>
        <v>0</v>
      </c>
      <c r="AW209" s="648">
        <f t="shared" si="89"/>
        <v>0</v>
      </c>
      <c r="AX209" s="648">
        <f t="shared" si="90"/>
        <v>0</v>
      </c>
      <c r="AY209" s="634">
        <v>0</v>
      </c>
      <c r="AZ209" s="616"/>
      <c r="BA209" s="619">
        <f>IF(O210=0,0,             IF(ISNUMBER(AZ209),AZ209,             IF(ISTEXT(AZ209),INDEX(AQ209:AX209,MATCH(AZ209,$AQ$17:$AX$17,0)),           IF(AY209="INT",_xll.qInterp(O210,AA209:AH209,AQ209:AX209),       INDEX(AQ209:AX209,MATCH(AY209,$AQ$17:$AX$17,0))))))</f>
        <v>0</v>
      </c>
      <c r="BB209" s="674">
        <v>100</v>
      </c>
      <c r="BC209" s="666">
        <f t="shared" si="69"/>
        <v>0</v>
      </c>
      <c r="BD209" s="268">
        <f>IF($O210=0,0,                IF(LEFT(DCC_Leg1_Fixed,2)="1/",uEvaluate(DCC_Leg1_Fixed),        _xll.qDateYears($O209,$O210,DCC_Leg1_Fixed)))</f>
        <v>0</v>
      </c>
      <c r="BE209" s="268">
        <f>IF($O210,_xll.qDateYears($O209,$O210,DCC_Leg1_Float),0)</f>
        <v>0</v>
      </c>
      <c r="BG209" s="332">
        <f t="shared" si="91"/>
        <v>0</v>
      </c>
      <c r="BH209" s="357">
        <f t="shared" si="92"/>
        <v>0</v>
      </c>
      <c r="BI209" s="527"/>
      <c r="BK209" s="324">
        <f t="shared" si="97"/>
        <v>0</v>
      </c>
      <c r="BM209" s="338"/>
      <c r="BN209" s="121">
        <v>0</v>
      </c>
      <c r="BO209" s="755">
        <f t="shared" si="70"/>
        <v>0</v>
      </c>
      <c r="BP209" s="339">
        <v>0</v>
      </c>
      <c r="BQ209" s="890">
        <f>IF(BN210=0,0,         IF(OR(Currency2="AUD",Currency1="NZD",Currency2="GBP"),BN209,   _xll.qDateNext(BN209,"-2b",,,IF(Currency2="EUR","TGT","LON"))))</f>
        <v>0</v>
      </c>
      <c r="BR209" s="879" t="str">
        <v/>
      </c>
      <c r="BS209" s="879" t="str">
        <v/>
      </c>
      <c r="BT209" s="879" t="str">
        <v/>
      </c>
      <c r="BU209" s="879" t="str">
        <v/>
      </c>
      <c r="BV209" s="879" t="str">
        <v/>
      </c>
      <c r="BW209" s="879" t="str">
        <v/>
      </c>
      <c r="BX209" s="879" t="str">
        <v/>
      </c>
      <c r="BY209" s="879" t="str">
        <v/>
      </c>
      <c r="BZ209" s="882">
        <f>IF($BN210=0,0,        _xll.qDateNext($BN209,BZ$17,$CG$16,TRUE,Currency2))</f>
        <v>0</v>
      </c>
      <c r="CA209" s="882">
        <f>IF($BN210=0,0,        _xll.qDateNext($BN209,CA$17,$CG$16,TRUE,Currency2))</f>
        <v>0</v>
      </c>
      <c r="CB209" s="882">
        <f>IF($BN210=0,0,        _xll.qDateNext($BN209,CB$17,$CG$16,TRUE,Currency2))</f>
        <v>0</v>
      </c>
      <c r="CC209" s="882">
        <f>IF($BN210=0,0,        _xll.qDateNext($BN209,CC$17,$CG$16,TRUE,Currency2))</f>
        <v>0</v>
      </c>
      <c r="CD209" s="882">
        <f>IF($BN210=0,0,        _xll.qDateNext($BN209,CD$17,$CG$16,TRUE,Currency2))</f>
        <v>0</v>
      </c>
      <c r="CE209" s="882">
        <f>IF($BN210=0,0,        _xll.qDateNext($BN209,CE$17,$CG$16,TRUE,Currency2))</f>
        <v>0</v>
      </c>
      <c r="CF209" s="882">
        <f>IF($BN210=0,0,        _xll.qDateNext($BN209,CF$17,$CG$16,TRUE,Currency2))</f>
        <v>0</v>
      </c>
      <c r="CG209" s="882">
        <f>IF($BN210=0,0,        _xll.qDateNext($BN209,CG$17,$CG$16,TRUE,Currency2))</f>
        <v>0</v>
      </c>
      <c r="CH209" s="886">
        <v>0</v>
      </c>
      <c r="CI209" s="886">
        <v>0</v>
      </c>
      <c r="CJ209" s="886">
        <v>0</v>
      </c>
      <c r="CK209" s="886">
        <v>0</v>
      </c>
      <c r="CL209" s="886">
        <f t="shared" si="93"/>
        <v>0</v>
      </c>
      <c r="CM209" s="886">
        <f t="shared" si="94"/>
        <v>0</v>
      </c>
      <c r="CN209" s="886">
        <v>0</v>
      </c>
      <c r="CO209" s="886">
        <v>0</v>
      </c>
      <c r="CP209" s="648">
        <f t="shared" si="71"/>
        <v>0</v>
      </c>
      <c r="CQ209" s="648">
        <f t="shared" si="72"/>
        <v>0</v>
      </c>
      <c r="CR209" s="648">
        <f t="shared" si="73"/>
        <v>0</v>
      </c>
      <c r="CS209" s="648">
        <f t="shared" si="74"/>
        <v>0</v>
      </c>
      <c r="CT209" s="648">
        <f t="shared" si="75"/>
        <v>0</v>
      </c>
      <c r="CU209" s="648">
        <f t="shared" si="76"/>
        <v>0</v>
      </c>
      <c r="CV209" s="648">
        <f t="shared" si="77"/>
        <v>0</v>
      </c>
      <c r="CW209" s="648">
        <f t="shared" si="78"/>
        <v>0</v>
      </c>
      <c r="CX209" s="634">
        <v>0</v>
      </c>
      <c r="CY209" s="616"/>
      <c r="CZ209" s="619">
        <f>IF(BN210=0,0,             IF(ISNUMBER(CY209),CY209,             IF(ISTEXT(CY209),INDEX(CP209:CW209,MATCH(CY209,$CP$17:$CW$17,0)),           IF(CX209="INT",_xll.qInterp(BN210,BZ209:CG209,CP209:CW209),       INDEX(CP209:CW209,MATCH(CX209,$CP$17:$CW$17,0))))))</f>
        <v>0</v>
      </c>
      <c r="DA209" s="755">
        <f t="shared" si="79"/>
        <v>0</v>
      </c>
      <c r="DB209" s="387">
        <f t="shared" si="80"/>
        <v>0</v>
      </c>
      <c r="DC209" s="268">
        <f>IF($BN210=0,0,         IF(LEFT(DCC_Leg2_Fixed,2)="1/",uEvaluate(DCC_Leg2_Fixed),         _xll.qDateYears($BN209,$BN210,DCC_Leg2_Fixed)))</f>
        <v>0</v>
      </c>
      <c r="DD209" s="268">
        <f>IF($BN210,_xll.qDateYears($BN209,$BN210,DCC_Leg2_Float),0)</f>
        <v>0</v>
      </c>
      <c r="DF209" s="332">
        <f t="shared" si="95"/>
        <v>0</v>
      </c>
      <c r="DG209" s="357">
        <f t="shared" si="96"/>
        <v>0</v>
      </c>
      <c r="DH209" s="527"/>
      <c r="DJ209" s="324">
        <f t="shared" si="98"/>
        <v>0</v>
      </c>
      <c r="DK209" s="529"/>
      <c r="DL209" s="338"/>
    </row>
    <row r="210" spans="15:116">
      <c r="O210" s="121">
        <v>0</v>
      </c>
      <c r="P210" s="755">
        <f t="shared" ref="P210:P273" si="99">IF(O211,O211-O210,0)</f>
        <v>0</v>
      </c>
      <c r="Q210" s="125">
        <v>0</v>
      </c>
      <c r="R210" s="890">
        <f>IF(O211=0,0,         IF(OR(Currency1="AUD",Currency1="NZD",Currency1="GBP"),O210,   _xll.qDateNext(O210,"-2b",,,IF(Currency1="EUR","TGT","LON"))))</f>
        <v>0</v>
      </c>
      <c r="S210" s="879" t="str">
        <v/>
      </c>
      <c r="T210" s="879" t="str">
        <v/>
      </c>
      <c r="U210" s="879" t="str">
        <v/>
      </c>
      <c r="V210" s="879" t="str">
        <v/>
      </c>
      <c r="W210" s="879" t="str">
        <v/>
      </c>
      <c r="X210" s="879" t="str">
        <v/>
      </c>
      <c r="Y210" s="879" t="str">
        <v/>
      </c>
      <c r="Z210" s="879" t="str">
        <v/>
      </c>
      <c r="AA210" s="882">
        <f>IF($O211=0,0,        _xll.qDateNext($O210,AA$17,$AH$16,TRUE,Currency1))</f>
        <v>0</v>
      </c>
      <c r="AB210" s="882">
        <f>IF($O211=0,0,        _xll.qDateNext($O210,AB$17,$AH$16,TRUE,Currency1))</f>
        <v>0</v>
      </c>
      <c r="AC210" s="882">
        <f>IF($O211=0,0,        _xll.qDateNext($O210,AC$17,$AH$16,TRUE,Currency1))</f>
        <v>0</v>
      </c>
      <c r="AD210" s="882">
        <f>IF($O211=0,0,        _xll.qDateNext($O210,AD$17,$AH$16,TRUE,Currency1))</f>
        <v>0</v>
      </c>
      <c r="AE210" s="882">
        <f>IF($O211=0,0,        _xll.qDateNext($O210,AE$17,$AH$16,TRUE,Currency1))</f>
        <v>0</v>
      </c>
      <c r="AF210" s="882">
        <f>IF($O211=0,0,        _xll.qDateNext($O210,AF$17,$AH$16,TRUE,Currency1))</f>
        <v>0</v>
      </c>
      <c r="AG210" s="882">
        <f>IF($O211=0,0,        _xll.qDateNext($O210,AG$17,$AH$16,TRUE,Currency1))</f>
        <v>0</v>
      </c>
      <c r="AH210" s="882">
        <f>IF($O211=0,0,        _xll.qDateNext($O210,AH$17,$AH$16,TRUE,Currency1))</f>
        <v>0</v>
      </c>
      <c r="AI210" s="886">
        <f>IF($O211=0,0,           IF(FRM,_xll.qGetFwdRate(AI$14,$O210,AA210,"T",DCC_Leg1_Float),_xll.qGetFwdRate(AI$14,$O210,$O211,"T",DCC_Leg1_Float)))</f>
        <v>0</v>
      </c>
      <c r="AJ210" s="886">
        <f>IF($O211=0,0,           IF(FRM,_xll.qGetFwdRate(AJ$14,$O210,AB210,"T",DCC_Leg1_Float),_xll.qGetFwdRate(AJ$14,$O210,$O211,"T",DCC_Leg1_Float)))</f>
        <v>0</v>
      </c>
      <c r="AK210" s="886">
        <f t="shared" ref="AK210:AK273" si="100">AVERAGE(AJ210,AL210)</f>
        <v>0</v>
      </c>
      <c r="AL210" s="886">
        <f>IF($O211=0,0,           IF(FRM,_xll.qGetFwdRate(AL$14,$O210,AD210,"T",DCC_Leg1_Float),_xll.qGetFwdRate(AL$14,$O210,$O211,"T",DCC_Leg1_Float)))</f>
        <v>0</v>
      </c>
      <c r="AM210" s="886">
        <f t="shared" si="81"/>
        <v>0</v>
      </c>
      <c r="AN210" s="886">
        <f t="shared" si="82"/>
        <v>0</v>
      </c>
      <c r="AO210" s="886">
        <f>IF($O211=0,0,           IF(FRM,_xll.qGetFwdRate(AO$14,$O210,AG210,"T",DCC_Leg1_Float),_xll.qGetFwdRate(AO$14,$O210,$O211,"T",DCC_Leg1_Float)))</f>
        <v>0</v>
      </c>
      <c r="AP210" s="886">
        <f>IF($O211=0,0,           IF(FRM,_xll.qGetFwdRate(AP$14,$O210,AH210,"T",DCC_Leg1_Float),_xll.qGetFwdRate(AP$14,$O210,$O211,"T",DCC_Leg1_Float)))</f>
        <v>0</v>
      </c>
      <c r="AQ210" s="648">
        <f t="shared" si="83"/>
        <v>0</v>
      </c>
      <c r="AR210" s="648">
        <f t="shared" si="84"/>
        <v>0</v>
      </c>
      <c r="AS210" s="648">
        <f t="shared" si="85"/>
        <v>0</v>
      </c>
      <c r="AT210" s="648">
        <f t="shared" si="86"/>
        <v>0</v>
      </c>
      <c r="AU210" s="648">
        <f t="shared" si="87"/>
        <v>0</v>
      </c>
      <c r="AV210" s="648">
        <f t="shared" si="88"/>
        <v>0</v>
      </c>
      <c r="AW210" s="648">
        <f t="shared" si="89"/>
        <v>0</v>
      </c>
      <c r="AX210" s="648">
        <f t="shared" si="90"/>
        <v>0</v>
      </c>
      <c r="AY210" s="634">
        <v>0</v>
      </c>
      <c r="AZ210" s="616"/>
      <c r="BA210" s="619">
        <f>IF(O211=0,0,             IF(ISNUMBER(AZ210),AZ210,             IF(ISTEXT(AZ210),INDEX(AQ210:AX210,MATCH(AZ210,$AQ$17:$AX$17,0)),           IF(AY210="INT",_xll.qInterp(O211,AA210:AH210,AQ210:AX210),       INDEX(AQ210:AX210,MATCH(AY210,$AQ$17:$AX$17,0))))))</f>
        <v>0</v>
      </c>
      <c r="BB210" s="674">
        <v>100</v>
      </c>
      <c r="BC210" s="666">
        <f t="shared" ref="BC210:BC273" si="101">IF(O211,BB210*1000000*$BE$11,0)</f>
        <v>0</v>
      </c>
      <c r="BD210" s="268">
        <f>IF($O211=0,0,                IF(LEFT(DCC_Leg1_Fixed,2)="1/",uEvaluate(DCC_Leg1_Fixed),        _xll.qDateYears($O210,$O211,DCC_Leg1_Fixed)))</f>
        <v>0</v>
      </c>
      <c r="BE210" s="268">
        <f>IF($O211,_xll.qDateYears($O210,$O211,DCC_Leg1_Float),0)</f>
        <v>0</v>
      </c>
      <c r="BG210" s="332">
        <f t="shared" si="91"/>
        <v>0</v>
      </c>
      <c r="BH210" s="357">
        <f t="shared" si="92"/>
        <v>0</v>
      </c>
      <c r="BI210" s="527"/>
      <c r="BK210" s="324">
        <f t="shared" si="97"/>
        <v>0</v>
      </c>
      <c r="BM210" s="338"/>
      <c r="BN210" s="121">
        <v>0</v>
      </c>
      <c r="BO210" s="755">
        <f t="shared" ref="BO210:BO273" si="102">IF(BN211,BN211-BN210,0)</f>
        <v>0</v>
      </c>
      <c r="BP210" s="339">
        <v>0</v>
      </c>
      <c r="BQ210" s="890">
        <f>IF(BN211=0,0,         IF(OR(Currency2="AUD",Currency1="NZD",Currency2="GBP"),BN210,   _xll.qDateNext(BN210,"-2b",,,IF(Currency2="EUR","TGT","LON"))))</f>
        <v>0</v>
      </c>
      <c r="BR210" s="879" t="str">
        <v/>
      </c>
      <c r="BS210" s="879" t="str">
        <v/>
      </c>
      <c r="BT210" s="879" t="str">
        <v/>
      </c>
      <c r="BU210" s="879" t="str">
        <v/>
      </c>
      <c r="BV210" s="879" t="str">
        <v/>
      </c>
      <c r="BW210" s="879" t="str">
        <v/>
      </c>
      <c r="BX210" s="879" t="str">
        <v/>
      </c>
      <c r="BY210" s="879" t="str">
        <v/>
      </c>
      <c r="BZ210" s="882">
        <f>IF($BN211=0,0,        _xll.qDateNext($BN210,BZ$17,$CG$16,TRUE,Currency2))</f>
        <v>0</v>
      </c>
      <c r="CA210" s="882">
        <f>IF($BN211=0,0,        _xll.qDateNext($BN210,CA$17,$CG$16,TRUE,Currency2))</f>
        <v>0</v>
      </c>
      <c r="CB210" s="882">
        <f>IF($BN211=0,0,        _xll.qDateNext($BN210,CB$17,$CG$16,TRUE,Currency2))</f>
        <v>0</v>
      </c>
      <c r="CC210" s="882">
        <f>IF($BN211=0,0,        _xll.qDateNext($BN210,CC$17,$CG$16,TRUE,Currency2))</f>
        <v>0</v>
      </c>
      <c r="CD210" s="882">
        <f>IF($BN211=0,0,        _xll.qDateNext($BN210,CD$17,$CG$16,TRUE,Currency2))</f>
        <v>0</v>
      </c>
      <c r="CE210" s="882">
        <f>IF($BN211=0,0,        _xll.qDateNext($BN210,CE$17,$CG$16,TRUE,Currency2))</f>
        <v>0</v>
      </c>
      <c r="CF210" s="882">
        <f>IF($BN211=0,0,        _xll.qDateNext($BN210,CF$17,$CG$16,TRUE,Currency2))</f>
        <v>0</v>
      </c>
      <c r="CG210" s="882">
        <f>IF($BN211=0,0,        _xll.qDateNext($BN210,CG$17,$CG$16,TRUE,Currency2))</f>
        <v>0</v>
      </c>
      <c r="CH210" s="886">
        <v>0</v>
      </c>
      <c r="CI210" s="886">
        <v>0</v>
      </c>
      <c r="CJ210" s="886">
        <v>0</v>
      </c>
      <c r="CK210" s="886">
        <v>0</v>
      </c>
      <c r="CL210" s="886">
        <f t="shared" si="93"/>
        <v>0</v>
      </c>
      <c r="CM210" s="886">
        <f t="shared" si="94"/>
        <v>0</v>
      </c>
      <c r="CN210" s="886">
        <v>0</v>
      </c>
      <c r="CO210" s="886">
        <v>0</v>
      </c>
      <c r="CP210" s="648">
        <f t="shared" ref="CP210:CP273" si="103">IF($BN210=0,0,      IF(ISNUMBER(BR210),BR210,CH210))</f>
        <v>0</v>
      </c>
      <c r="CQ210" s="648">
        <f t="shared" ref="CQ210:CQ273" si="104">IF($BN210=0,0,      IF(ISNUMBER(BS210),BS210,CI210))</f>
        <v>0</v>
      </c>
      <c r="CR210" s="648">
        <f t="shared" ref="CR210:CR273" si="105">IF($BN210=0,0,      IF(ISNUMBER(BT210),BT210,CJ210))</f>
        <v>0</v>
      </c>
      <c r="CS210" s="648">
        <f t="shared" ref="CS210:CS273" si="106">IF($BN210=0,0,      IF(ISNUMBER(BU210),BU210,CK210))</f>
        <v>0</v>
      </c>
      <c r="CT210" s="648">
        <f t="shared" ref="CT210:CT273" si="107">IF($BN210=0,0,      IF(ISNUMBER(BV210),BV210,CL210))</f>
        <v>0</v>
      </c>
      <c r="CU210" s="648">
        <f t="shared" ref="CU210:CU273" si="108">IF($BN210=0,0,      IF(ISNUMBER(BW210),BW210,CM210))</f>
        <v>0</v>
      </c>
      <c r="CV210" s="648">
        <f t="shared" ref="CV210:CV273" si="109">IF($BN210=0,0,      IF(ISNUMBER(BX210),BX210,CN210))</f>
        <v>0</v>
      </c>
      <c r="CW210" s="648">
        <f t="shared" ref="CW210:CW273" si="110">IF($BN210=0,0,      IF(ISNUMBER(BY210),BY210,CO210))</f>
        <v>0</v>
      </c>
      <c r="CX210" s="634">
        <v>0</v>
      </c>
      <c r="CY210" s="616"/>
      <c r="CZ210" s="619">
        <f>IF(BN211=0,0,             IF(ISNUMBER(CY210),CY210,             IF(ISTEXT(CY210),INDEX(CP210:CW210,MATCH(CY210,$CP$17:$CW$17,0)),           IF(CX210="INT",_xll.qInterp(BN211,BZ210:CG210,CP210:CW210),       INDEX(CP210:CW210,MATCH(CX210,$CP$17:$CW$17,0))))))</f>
        <v>0</v>
      </c>
      <c r="DA210" s="755">
        <f t="shared" ref="DA210:DA273" si="111">IF(BN211,INDEX($BB$18:$BB$516,MATCH(BN210,OFFSET($O$18,0,0,$BE$12,1)))*FaceFX,0)</f>
        <v>0</v>
      </c>
      <c r="DB210" s="387">
        <f t="shared" ref="DB210:DB273" si="112">IF(BN210,DA210*1000000*$DD$11,0)</f>
        <v>0</v>
      </c>
      <c r="DC210" s="268">
        <f>IF($BN211=0,0,         IF(LEFT(DCC_Leg2_Fixed,2)="1/",uEvaluate(DCC_Leg2_Fixed),         _xll.qDateYears($BN210,$BN211,DCC_Leg2_Fixed)))</f>
        <v>0</v>
      </c>
      <c r="DD210" s="268">
        <f>IF($BN211,_xll.qDateYears($BN210,$BN211,DCC_Leg2_Float),0)</f>
        <v>0</v>
      </c>
      <c r="DF210" s="332">
        <f t="shared" si="95"/>
        <v>0</v>
      </c>
      <c r="DG210" s="357">
        <f t="shared" si="96"/>
        <v>0</v>
      </c>
      <c r="DH210" s="527"/>
      <c r="DJ210" s="324">
        <f t="shared" si="98"/>
        <v>0</v>
      </c>
      <c r="DK210" s="529"/>
      <c r="DL210" s="338"/>
    </row>
    <row r="211" spans="15:116">
      <c r="O211" s="121">
        <v>0</v>
      </c>
      <c r="P211" s="755">
        <f t="shared" si="99"/>
        <v>0</v>
      </c>
      <c r="Q211" s="125">
        <v>0</v>
      </c>
      <c r="R211" s="890">
        <f>IF(O212=0,0,         IF(OR(Currency1="AUD",Currency1="NZD",Currency1="GBP"),O211,   _xll.qDateNext(O211,"-2b",,,IF(Currency1="EUR","TGT","LON"))))</f>
        <v>0</v>
      </c>
      <c r="S211" s="879" t="str">
        <v/>
      </c>
      <c r="T211" s="879" t="str">
        <v/>
      </c>
      <c r="U211" s="879" t="str">
        <v/>
      </c>
      <c r="V211" s="879" t="str">
        <v/>
      </c>
      <c r="W211" s="879" t="str">
        <v/>
      </c>
      <c r="X211" s="879" t="str">
        <v/>
      </c>
      <c r="Y211" s="879" t="str">
        <v/>
      </c>
      <c r="Z211" s="879" t="str">
        <v/>
      </c>
      <c r="AA211" s="882">
        <f>IF($O212=0,0,        _xll.qDateNext($O211,AA$17,$AH$16,TRUE,Currency1))</f>
        <v>0</v>
      </c>
      <c r="AB211" s="882">
        <f>IF($O212=0,0,        _xll.qDateNext($O211,AB$17,$AH$16,TRUE,Currency1))</f>
        <v>0</v>
      </c>
      <c r="AC211" s="882">
        <f>IF($O212=0,0,        _xll.qDateNext($O211,AC$17,$AH$16,TRUE,Currency1))</f>
        <v>0</v>
      </c>
      <c r="AD211" s="882">
        <f>IF($O212=0,0,        _xll.qDateNext($O211,AD$17,$AH$16,TRUE,Currency1))</f>
        <v>0</v>
      </c>
      <c r="AE211" s="882">
        <f>IF($O212=0,0,        _xll.qDateNext($O211,AE$17,$AH$16,TRUE,Currency1))</f>
        <v>0</v>
      </c>
      <c r="AF211" s="882">
        <f>IF($O212=0,0,        _xll.qDateNext($O211,AF$17,$AH$16,TRUE,Currency1))</f>
        <v>0</v>
      </c>
      <c r="AG211" s="882">
        <f>IF($O212=0,0,        _xll.qDateNext($O211,AG$17,$AH$16,TRUE,Currency1))</f>
        <v>0</v>
      </c>
      <c r="AH211" s="882">
        <f>IF($O212=0,0,        _xll.qDateNext($O211,AH$17,$AH$16,TRUE,Currency1))</f>
        <v>0</v>
      </c>
      <c r="AI211" s="886">
        <f>IF($O212=0,0,           IF(FRM,_xll.qGetFwdRate(AI$14,$O211,AA211,"T",DCC_Leg1_Float),_xll.qGetFwdRate(AI$14,$O211,$O212,"T",DCC_Leg1_Float)))</f>
        <v>0</v>
      </c>
      <c r="AJ211" s="886">
        <f>IF($O212=0,0,           IF(FRM,_xll.qGetFwdRate(AJ$14,$O211,AB211,"T",DCC_Leg1_Float),_xll.qGetFwdRate(AJ$14,$O211,$O212,"T",DCC_Leg1_Float)))</f>
        <v>0</v>
      </c>
      <c r="AK211" s="886">
        <f t="shared" si="100"/>
        <v>0</v>
      </c>
      <c r="AL211" s="886">
        <f>IF($O212=0,0,           IF(FRM,_xll.qGetFwdRate(AL$14,$O211,AD211,"T",DCC_Leg1_Float),_xll.qGetFwdRate(AL$14,$O211,$O212,"T",DCC_Leg1_Float)))</f>
        <v>0</v>
      </c>
      <c r="AM211" s="886">
        <f t="shared" ref="AM211:AM274" si="113">(AO211-AL211)/3+AL211</f>
        <v>0</v>
      </c>
      <c r="AN211" s="886">
        <f t="shared" ref="AN211:AN274" si="114">AVERAGE(AM211,AO211)</f>
        <v>0</v>
      </c>
      <c r="AO211" s="886">
        <f>IF($O212=0,0,           IF(FRM,_xll.qGetFwdRate(AO$14,$O211,AG211,"T",DCC_Leg1_Float),_xll.qGetFwdRate(AO$14,$O211,$O212,"T",DCC_Leg1_Float)))</f>
        <v>0</v>
      </c>
      <c r="AP211" s="886">
        <f>IF($O212=0,0,           IF(FRM,_xll.qGetFwdRate(AP$14,$O211,AH211,"T",DCC_Leg1_Float),_xll.qGetFwdRate(AP$14,$O211,$O212,"T",DCC_Leg1_Float)))</f>
        <v>0</v>
      </c>
      <c r="AQ211" s="648">
        <f t="shared" ref="AQ211:AQ274" si="115">IF(ISNUMBER(S211),S211,AI211)</f>
        <v>0</v>
      </c>
      <c r="AR211" s="648">
        <f t="shared" ref="AR211:AR274" si="116">IF(ISNUMBER(T211),T211,AJ211)</f>
        <v>0</v>
      </c>
      <c r="AS211" s="648">
        <f t="shared" ref="AS211:AS274" si="117">IF(ISNUMBER(U211),U211,AK211)</f>
        <v>0</v>
      </c>
      <c r="AT211" s="648">
        <f t="shared" ref="AT211:AT274" si="118">IF(ISNUMBER(V211),V211,AL211)</f>
        <v>0</v>
      </c>
      <c r="AU211" s="648">
        <f t="shared" ref="AU211:AU274" si="119">IF(ISNUMBER(W211),W211,AM211)</f>
        <v>0</v>
      </c>
      <c r="AV211" s="648">
        <f t="shared" ref="AV211:AV274" si="120">IF(ISNUMBER(X211),X211,AN211)</f>
        <v>0</v>
      </c>
      <c r="AW211" s="648">
        <f t="shared" ref="AW211:AW274" si="121">IF(ISNUMBER(Y211),Y211,AO211)</f>
        <v>0</v>
      </c>
      <c r="AX211" s="648">
        <f t="shared" ref="AX211:AX274" si="122">IF(ISNUMBER(Z211),Z211,AP211)</f>
        <v>0</v>
      </c>
      <c r="AY211" s="634">
        <v>0</v>
      </c>
      <c r="AZ211" s="616"/>
      <c r="BA211" s="619">
        <f>IF(O212=0,0,             IF(ISNUMBER(AZ211),AZ211,             IF(ISTEXT(AZ211),INDEX(AQ211:AX211,MATCH(AZ211,$AQ$17:$AX$17,0)),           IF(AY211="INT",_xll.qInterp(O212,AA211:AH211,AQ211:AX211),       INDEX(AQ211:AX211,MATCH(AY211,$AQ$17:$AX$17,0))))))</f>
        <v>0</v>
      </c>
      <c r="BB211" s="674">
        <v>100</v>
      </c>
      <c r="BC211" s="666">
        <f t="shared" si="101"/>
        <v>0</v>
      </c>
      <c r="BD211" s="268">
        <f>IF($O212=0,0,                IF(LEFT(DCC_Leg1_Fixed,2)="1/",uEvaluate(DCC_Leg1_Fixed),        _xll.qDateYears($O211,$O212,DCC_Leg1_Fixed)))</f>
        <v>0</v>
      </c>
      <c r="BE211" s="268">
        <f>IF($O212,_xll.qDateYears($O211,$O212,DCC_Leg1_Float),0)</f>
        <v>0</v>
      </c>
      <c r="BG211" s="332">
        <f t="shared" ref="BG211:BG274" si="123">IF(Principal1?,$BC210-$BC211,       0)</f>
        <v>0</v>
      </c>
      <c r="BH211" s="357">
        <f t="shared" ref="BH211:BH274" si="124">IF(GenType_1a="Fixed",GenRate_1a%*$BC210*BD210,          IF(GenType_1a="Float",$BC210*(BA210%+GenRate_1a%%)*$BE210,        IF(GenType_1a="bp (Fixed)",GenRate_1a%%*$BD210*$BC210,   IF(GenType_1a="bp (Float)",GenRate_1a%%*$BC210*$BE210,0))))</f>
        <v>0</v>
      </c>
      <c r="BI211" s="527"/>
      <c r="BK211" s="324">
        <f t="shared" si="97"/>
        <v>0</v>
      </c>
      <c r="BM211" s="338"/>
      <c r="BN211" s="121">
        <v>0</v>
      </c>
      <c r="BO211" s="755">
        <f t="shared" si="102"/>
        <v>0</v>
      </c>
      <c r="BP211" s="339">
        <v>0</v>
      </c>
      <c r="BQ211" s="890">
        <f>IF(BN212=0,0,         IF(OR(Currency2="AUD",Currency1="NZD",Currency2="GBP"),BN211,   _xll.qDateNext(BN211,"-2b",,,IF(Currency2="EUR","TGT","LON"))))</f>
        <v>0</v>
      </c>
      <c r="BR211" s="879" t="str">
        <v/>
      </c>
      <c r="BS211" s="879" t="str">
        <v/>
      </c>
      <c r="BT211" s="879" t="str">
        <v/>
      </c>
      <c r="BU211" s="879" t="str">
        <v/>
      </c>
      <c r="BV211" s="879" t="str">
        <v/>
      </c>
      <c r="BW211" s="879" t="str">
        <v/>
      </c>
      <c r="BX211" s="879" t="str">
        <v/>
      </c>
      <c r="BY211" s="879" t="str">
        <v/>
      </c>
      <c r="BZ211" s="882">
        <f>IF($BN212=0,0,        _xll.qDateNext($BN211,BZ$17,$CG$16,TRUE,Currency2))</f>
        <v>0</v>
      </c>
      <c r="CA211" s="882">
        <f>IF($BN212=0,0,        _xll.qDateNext($BN211,CA$17,$CG$16,TRUE,Currency2))</f>
        <v>0</v>
      </c>
      <c r="CB211" s="882">
        <f>IF($BN212=0,0,        _xll.qDateNext($BN211,CB$17,$CG$16,TRUE,Currency2))</f>
        <v>0</v>
      </c>
      <c r="CC211" s="882">
        <f>IF($BN212=0,0,        _xll.qDateNext($BN211,CC$17,$CG$16,TRUE,Currency2))</f>
        <v>0</v>
      </c>
      <c r="CD211" s="882">
        <f>IF($BN212=0,0,        _xll.qDateNext($BN211,CD$17,$CG$16,TRUE,Currency2))</f>
        <v>0</v>
      </c>
      <c r="CE211" s="882">
        <f>IF($BN212=0,0,        _xll.qDateNext($BN211,CE$17,$CG$16,TRUE,Currency2))</f>
        <v>0</v>
      </c>
      <c r="CF211" s="882">
        <f>IF($BN212=0,0,        _xll.qDateNext($BN211,CF$17,$CG$16,TRUE,Currency2))</f>
        <v>0</v>
      </c>
      <c r="CG211" s="882">
        <f>IF($BN212=0,0,        _xll.qDateNext($BN211,CG$17,$CG$16,TRUE,Currency2))</f>
        <v>0</v>
      </c>
      <c r="CH211" s="886">
        <v>0</v>
      </c>
      <c r="CI211" s="886">
        <v>0</v>
      </c>
      <c r="CJ211" s="886">
        <v>0</v>
      </c>
      <c r="CK211" s="886">
        <v>0</v>
      </c>
      <c r="CL211" s="886">
        <f t="shared" ref="CL211:CL274" si="125">(CN211-CK211)/3+CK211</f>
        <v>0</v>
      </c>
      <c r="CM211" s="886">
        <f t="shared" ref="CM211:CM274" si="126">AVERAGE(CL211,CN211)</f>
        <v>0</v>
      </c>
      <c r="CN211" s="886">
        <v>0</v>
      </c>
      <c r="CO211" s="886">
        <v>0</v>
      </c>
      <c r="CP211" s="648">
        <f t="shared" si="103"/>
        <v>0</v>
      </c>
      <c r="CQ211" s="648">
        <f t="shared" si="104"/>
        <v>0</v>
      </c>
      <c r="CR211" s="648">
        <f t="shared" si="105"/>
        <v>0</v>
      </c>
      <c r="CS211" s="648">
        <f t="shared" si="106"/>
        <v>0</v>
      </c>
      <c r="CT211" s="648">
        <f t="shared" si="107"/>
        <v>0</v>
      </c>
      <c r="CU211" s="648">
        <f t="shared" si="108"/>
        <v>0</v>
      </c>
      <c r="CV211" s="648">
        <f t="shared" si="109"/>
        <v>0</v>
      </c>
      <c r="CW211" s="648">
        <f t="shared" si="110"/>
        <v>0</v>
      </c>
      <c r="CX211" s="634">
        <v>0</v>
      </c>
      <c r="CY211" s="616"/>
      <c r="CZ211" s="619">
        <f>IF(BN212=0,0,             IF(ISNUMBER(CY211),CY211,             IF(ISTEXT(CY211),INDEX(CP211:CW211,MATCH(CY211,$CP$17:$CW$17,0)),           IF(CX211="INT",_xll.qInterp(BN212,BZ211:CG211,CP211:CW211),       INDEX(CP211:CW211,MATCH(CX211,$CP$17:$CW$17,0))))))</f>
        <v>0</v>
      </c>
      <c r="DA211" s="755">
        <f t="shared" si="111"/>
        <v>0</v>
      </c>
      <c r="DB211" s="387">
        <f t="shared" si="112"/>
        <v>0</v>
      </c>
      <c r="DC211" s="268">
        <f>IF($BN212=0,0,         IF(LEFT(DCC_Leg2_Fixed,2)="1/",uEvaluate(DCC_Leg2_Fixed),         _xll.qDateYears($BN211,$BN212,DCC_Leg2_Fixed)))</f>
        <v>0</v>
      </c>
      <c r="DD211" s="268">
        <f>IF($BN212,_xll.qDateYears($BN211,$BN212,DCC_Leg2_Float),0)</f>
        <v>0</v>
      </c>
      <c r="DF211" s="332">
        <f t="shared" ref="DF211:DF274" si="127">IF(Principal2?,$DB210-$DB211,       0)</f>
        <v>0</v>
      </c>
      <c r="DG211" s="357">
        <f t="shared" ref="DG211:DG274" si="128">IF(GenType_2a="Fixed",GenRate_2a%*$DB210*DC210,          IF(GenType_2a="Float",$DB210*(CZ210%+GenRate_2a%%)*$DD210,        IF(GenType_2a="bp (Fixed)",GenRate_2a%%*$DC210*$DB210,   IF(GenType_2a="bp (Float)",GenRate_2a%%*$DB210*$DD210,0))))</f>
        <v>0</v>
      </c>
      <c r="DH211" s="527"/>
      <c r="DJ211" s="324">
        <f t="shared" si="98"/>
        <v>0</v>
      </c>
      <c r="DK211" s="529"/>
      <c r="DL211" s="338"/>
    </row>
    <row r="212" spans="15:116">
      <c r="O212" s="121">
        <v>0</v>
      </c>
      <c r="P212" s="755">
        <f t="shared" si="99"/>
        <v>0</v>
      </c>
      <c r="Q212" s="125">
        <v>0</v>
      </c>
      <c r="R212" s="890">
        <f>IF(O213=0,0,         IF(OR(Currency1="AUD",Currency1="NZD",Currency1="GBP"),O212,   _xll.qDateNext(O212,"-2b",,,IF(Currency1="EUR","TGT","LON"))))</f>
        <v>0</v>
      </c>
      <c r="S212" s="879" t="str">
        <v/>
      </c>
      <c r="T212" s="879" t="str">
        <v/>
      </c>
      <c r="U212" s="879" t="str">
        <v/>
      </c>
      <c r="V212" s="879" t="str">
        <v/>
      </c>
      <c r="W212" s="879" t="str">
        <v/>
      </c>
      <c r="X212" s="879" t="str">
        <v/>
      </c>
      <c r="Y212" s="879" t="str">
        <v/>
      </c>
      <c r="Z212" s="879" t="str">
        <v/>
      </c>
      <c r="AA212" s="882">
        <f>IF($O213=0,0,        _xll.qDateNext($O212,AA$17,$AH$16,TRUE,Currency1))</f>
        <v>0</v>
      </c>
      <c r="AB212" s="882">
        <f>IF($O213=0,0,        _xll.qDateNext($O212,AB$17,$AH$16,TRUE,Currency1))</f>
        <v>0</v>
      </c>
      <c r="AC212" s="882">
        <f>IF($O213=0,0,        _xll.qDateNext($O212,AC$17,$AH$16,TRUE,Currency1))</f>
        <v>0</v>
      </c>
      <c r="AD212" s="882">
        <f>IF($O213=0,0,        _xll.qDateNext($O212,AD$17,$AH$16,TRUE,Currency1))</f>
        <v>0</v>
      </c>
      <c r="AE212" s="882">
        <f>IF($O213=0,0,        _xll.qDateNext($O212,AE$17,$AH$16,TRUE,Currency1))</f>
        <v>0</v>
      </c>
      <c r="AF212" s="882">
        <f>IF($O213=0,0,        _xll.qDateNext($O212,AF$17,$AH$16,TRUE,Currency1))</f>
        <v>0</v>
      </c>
      <c r="AG212" s="882">
        <f>IF($O213=0,0,        _xll.qDateNext($O212,AG$17,$AH$16,TRUE,Currency1))</f>
        <v>0</v>
      </c>
      <c r="AH212" s="882">
        <f>IF($O213=0,0,        _xll.qDateNext($O212,AH$17,$AH$16,TRUE,Currency1))</f>
        <v>0</v>
      </c>
      <c r="AI212" s="886">
        <f>IF($O213=0,0,           IF(FRM,_xll.qGetFwdRate(AI$14,$O212,AA212,"T",DCC_Leg1_Float),_xll.qGetFwdRate(AI$14,$O212,$O213,"T",DCC_Leg1_Float)))</f>
        <v>0</v>
      </c>
      <c r="AJ212" s="886">
        <f>IF($O213=0,0,           IF(FRM,_xll.qGetFwdRate(AJ$14,$O212,AB212,"T",DCC_Leg1_Float),_xll.qGetFwdRate(AJ$14,$O212,$O213,"T",DCC_Leg1_Float)))</f>
        <v>0</v>
      </c>
      <c r="AK212" s="886">
        <f t="shared" si="100"/>
        <v>0</v>
      </c>
      <c r="AL212" s="886">
        <f>IF($O213=0,0,           IF(FRM,_xll.qGetFwdRate(AL$14,$O212,AD212,"T",DCC_Leg1_Float),_xll.qGetFwdRate(AL$14,$O212,$O213,"T",DCC_Leg1_Float)))</f>
        <v>0</v>
      </c>
      <c r="AM212" s="886">
        <f t="shared" si="113"/>
        <v>0</v>
      </c>
      <c r="AN212" s="886">
        <f t="shared" si="114"/>
        <v>0</v>
      </c>
      <c r="AO212" s="886">
        <f>IF($O213=0,0,           IF(FRM,_xll.qGetFwdRate(AO$14,$O212,AG212,"T",DCC_Leg1_Float),_xll.qGetFwdRate(AO$14,$O212,$O213,"T",DCC_Leg1_Float)))</f>
        <v>0</v>
      </c>
      <c r="AP212" s="886">
        <f>IF($O213=0,0,           IF(FRM,_xll.qGetFwdRate(AP$14,$O212,AH212,"T",DCC_Leg1_Float),_xll.qGetFwdRate(AP$14,$O212,$O213,"T",DCC_Leg1_Float)))</f>
        <v>0</v>
      </c>
      <c r="AQ212" s="648">
        <f t="shared" si="115"/>
        <v>0</v>
      </c>
      <c r="AR212" s="648">
        <f t="shared" si="116"/>
        <v>0</v>
      </c>
      <c r="AS212" s="648">
        <f t="shared" si="117"/>
        <v>0</v>
      </c>
      <c r="AT212" s="648">
        <f t="shared" si="118"/>
        <v>0</v>
      </c>
      <c r="AU212" s="648">
        <f t="shared" si="119"/>
        <v>0</v>
      </c>
      <c r="AV212" s="648">
        <f t="shared" si="120"/>
        <v>0</v>
      </c>
      <c r="AW212" s="648">
        <f t="shared" si="121"/>
        <v>0</v>
      </c>
      <c r="AX212" s="648">
        <f t="shared" si="122"/>
        <v>0</v>
      </c>
      <c r="AY212" s="634">
        <v>0</v>
      </c>
      <c r="AZ212" s="616"/>
      <c r="BA212" s="619">
        <f>IF(O213=0,0,             IF(ISNUMBER(AZ212),AZ212,             IF(ISTEXT(AZ212),INDEX(AQ212:AX212,MATCH(AZ212,$AQ$17:$AX$17,0)),           IF(AY212="INT",_xll.qInterp(O213,AA212:AH212,AQ212:AX212),       INDEX(AQ212:AX212,MATCH(AY212,$AQ$17:$AX$17,0))))))</f>
        <v>0</v>
      </c>
      <c r="BB212" s="674">
        <v>100</v>
      </c>
      <c r="BC212" s="666">
        <f t="shared" si="101"/>
        <v>0</v>
      </c>
      <c r="BD212" s="268">
        <f>IF($O213=0,0,                IF(LEFT(DCC_Leg1_Fixed,2)="1/",uEvaluate(DCC_Leg1_Fixed),        _xll.qDateYears($O212,$O213,DCC_Leg1_Fixed)))</f>
        <v>0</v>
      </c>
      <c r="BE212" s="268">
        <f>IF($O213,_xll.qDateYears($O212,$O213,DCC_Leg1_Float),0)</f>
        <v>0</v>
      </c>
      <c r="BG212" s="332">
        <f t="shared" si="123"/>
        <v>0</v>
      </c>
      <c r="BH212" s="357">
        <f t="shared" si="124"/>
        <v>0</v>
      </c>
      <c r="BI212" s="527"/>
      <c r="BK212" s="324">
        <f t="shared" si="97"/>
        <v>0</v>
      </c>
      <c r="BM212" s="338"/>
      <c r="BN212" s="121">
        <v>0</v>
      </c>
      <c r="BO212" s="755">
        <f t="shared" si="102"/>
        <v>0</v>
      </c>
      <c r="BP212" s="339">
        <v>0</v>
      </c>
      <c r="BQ212" s="890">
        <f>IF(BN213=0,0,         IF(OR(Currency2="AUD",Currency1="NZD",Currency2="GBP"),BN212,   _xll.qDateNext(BN212,"-2b",,,IF(Currency2="EUR","TGT","LON"))))</f>
        <v>0</v>
      </c>
      <c r="BR212" s="879" t="str">
        <v/>
      </c>
      <c r="BS212" s="879" t="str">
        <v/>
      </c>
      <c r="BT212" s="879" t="str">
        <v/>
      </c>
      <c r="BU212" s="879" t="str">
        <v/>
      </c>
      <c r="BV212" s="879" t="str">
        <v/>
      </c>
      <c r="BW212" s="879" t="str">
        <v/>
      </c>
      <c r="BX212" s="879" t="str">
        <v/>
      </c>
      <c r="BY212" s="879" t="str">
        <v/>
      </c>
      <c r="BZ212" s="882">
        <f>IF($BN213=0,0,        _xll.qDateNext($BN212,BZ$17,$CG$16,TRUE,Currency2))</f>
        <v>0</v>
      </c>
      <c r="CA212" s="882">
        <f>IF($BN213=0,0,        _xll.qDateNext($BN212,CA$17,$CG$16,TRUE,Currency2))</f>
        <v>0</v>
      </c>
      <c r="CB212" s="882">
        <f>IF($BN213=0,0,        _xll.qDateNext($BN212,CB$17,$CG$16,TRUE,Currency2))</f>
        <v>0</v>
      </c>
      <c r="CC212" s="882">
        <f>IF($BN213=0,0,        _xll.qDateNext($BN212,CC$17,$CG$16,TRUE,Currency2))</f>
        <v>0</v>
      </c>
      <c r="CD212" s="882">
        <f>IF($BN213=0,0,        _xll.qDateNext($BN212,CD$17,$CG$16,TRUE,Currency2))</f>
        <v>0</v>
      </c>
      <c r="CE212" s="882">
        <f>IF($BN213=0,0,        _xll.qDateNext($BN212,CE$17,$CG$16,TRUE,Currency2))</f>
        <v>0</v>
      </c>
      <c r="CF212" s="882">
        <f>IF($BN213=0,0,        _xll.qDateNext($BN212,CF$17,$CG$16,TRUE,Currency2))</f>
        <v>0</v>
      </c>
      <c r="CG212" s="882">
        <f>IF($BN213=0,0,        _xll.qDateNext($BN212,CG$17,$CG$16,TRUE,Currency2))</f>
        <v>0</v>
      </c>
      <c r="CH212" s="886">
        <v>0</v>
      </c>
      <c r="CI212" s="886">
        <v>0</v>
      </c>
      <c r="CJ212" s="886">
        <v>0</v>
      </c>
      <c r="CK212" s="886">
        <v>0</v>
      </c>
      <c r="CL212" s="886">
        <f t="shared" si="125"/>
        <v>0</v>
      </c>
      <c r="CM212" s="886">
        <f t="shared" si="126"/>
        <v>0</v>
      </c>
      <c r="CN212" s="886">
        <v>0</v>
      </c>
      <c r="CO212" s="886">
        <v>0</v>
      </c>
      <c r="CP212" s="648">
        <f t="shared" si="103"/>
        <v>0</v>
      </c>
      <c r="CQ212" s="648">
        <f t="shared" si="104"/>
        <v>0</v>
      </c>
      <c r="CR212" s="648">
        <f t="shared" si="105"/>
        <v>0</v>
      </c>
      <c r="CS212" s="648">
        <f t="shared" si="106"/>
        <v>0</v>
      </c>
      <c r="CT212" s="648">
        <f t="shared" si="107"/>
        <v>0</v>
      </c>
      <c r="CU212" s="648">
        <f t="shared" si="108"/>
        <v>0</v>
      </c>
      <c r="CV212" s="648">
        <f t="shared" si="109"/>
        <v>0</v>
      </c>
      <c r="CW212" s="648">
        <f t="shared" si="110"/>
        <v>0</v>
      </c>
      <c r="CX212" s="634">
        <v>0</v>
      </c>
      <c r="CY212" s="616"/>
      <c r="CZ212" s="619">
        <f>IF(BN213=0,0,             IF(ISNUMBER(CY212),CY212,             IF(ISTEXT(CY212),INDEX(CP212:CW212,MATCH(CY212,$CP$17:$CW$17,0)),           IF(CX212="INT",_xll.qInterp(BN213,BZ212:CG212,CP212:CW212),       INDEX(CP212:CW212,MATCH(CX212,$CP$17:$CW$17,0))))))</f>
        <v>0</v>
      </c>
      <c r="DA212" s="755">
        <f t="shared" si="111"/>
        <v>0</v>
      </c>
      <c r="DB212" s="387">
        <f t="shared" si="112"/>
        <v>0</v>
      </c>
      <c r="DC212" s="268">
        <f>IF($BN213=0,0,         IF(LEFT(DCC_Leg2_Fixed,2)="1/",uEvaluate(DCC_Leg2_Fixed),         _xll.qDateYears($BN212,$BN213,DCC_Leg2_Fixed)))</f>
        <v>0</v>
      </c>
      <c r="DD212" s="268">
        <f>IF($BN213,_xll.qDateYears($BN212,$BN213,DCC_Leg2_Float),0)</f>
        <v>0</v>
      </c>
      <c r="DF212" s="332">
        <f t="shared" si="127"/>
        <v>0</v>
      </c>
      <c r="DG212" s="357">
        <f t="shared" si="128"/>
        <v>0</v>
      </c>
      <c r="DH212" s="527"/>
      <c r="DJ212" s="324">
        <f t="shared" si="98"/>
        <v>0</v>
      </c>
      <c r="DK212" s="529"/>
      <c r="DL212" s="338"/>
    </row>
    <row r="213" spans="15:116">
      <c r="O213" s="121">
        <v>0</v>
      </c>
      <c r="P213" s="755">
        <f t="shared" si="99"/>
        <v>0</v>
      </c>
      <c r="Q213" s="125">
        <v>0</v>
      </c>
      <c r="R213" s="890">
        <f>IF(O214=0,0,         IF(OR(Currency1="AUD",Currency1="NZD",Currency1="GBP"),O213,   _xll.qDateNext(O213,"-2b",,,IF(Currency1="EUR","TGT","LON"))))</f>
        <v>0</v>
      </c>
      <c r="S213" s="879" t="str">
        <v/>
      </c>
      <c r="T213" s="879" t="str">
        <v/>
      </c>
      <c r="U213" s="879" t="str">
        <v/>
      </c>
      <c r="V213" s="879" t="str">
        <v/>
      </c>
      <c r="W213" s="879" t="str">
        <v/>
      </c>
      <c r="X213" s="879" t="str">
        <v/>
      </c>
      <c r="Y213" s="879" t="str">
        <v/>
      </c>
      <c r="Z213" s="879" t="str">
        <v/>
      </c>
      <c r="AA213" s="882">
        <f>IF($O214=0,0,        _xll.qDateNext($O213,AA$17,$AH$16,TRUE,Currency1))</f>
        <v>0</v>
      </c>
      <c r="AB213" s="882">
        <f>IF($O214=0,0,        _xll.qDateNext($O213,AB$17,$AH$16,TRUE,Currency1))</f>
        <v>0</v>
      </c>
      <c r="AC213" s="882">
        <f>IF($O214=0,0,        _xll.qDateNext($O213,AC$17,$AH$16,TRUE,Currency1))</f>
        <v>0</v>
      </c>
      <c r="AD213" s="882">
        <f>IF($O214=0,0,        _xll.qDateNext($O213,AD$17,$AH$16,TRUE,Currency1))</f>
        <v>0</v>
      </c>
      <c r="AE213" s="882">
        <f>IF($O214=0,0,        _xll.qDateNext($O213,AE$17,$AH$16,TRUE,Currency1))</f>
        <v>0</v>
      </c>
      <c r="AF213" s="882">
        <f>IF($O214=0,0,        _xll.qDateNext($O213,AF$17,$AH$16,TRUE,Currency1))</f>
        <v>0</v>
      </c>
      <c r="AG213" s="882">
        <f>IF($O214=0,0,        _xll.qDateNext($O213,AG$17,$AH$16,TRUE,Currency1))</f>
        <v>0</v>
      </c>
      <c r="AH213" s="882">
        <f>IF($O214=0,0,        _xll.qDateNext($O213,AH$17,$AH$16,TRUE,Currency1))</f>
        <v>0</v>
      </c>
      <c r="AI213" s="886">
        <f>IF($O214=0,0,           IF(FRM,_xll.qGetFwdRate(AI$14,$O213,AA213,"T",DCC_Leg1_Float),_xll.qGetFwdRate(AI$14,$O213,$O214,"T",DCC_Leg1_Float)))</f>
        <v>0</v>
      </c>
      <c r="AJ213" s="886">
        <f>IF($O214=0,0,           IF(FRM,_xll.qGetFwdRate(AJ$14,$O213,AB213,"T",DCC_Leg1_Float),_xll.qGetFwdRate(AJ$14,$O213,$O214,"T",DCC_Leg1_Float)))</f>
        <v>0</v>
      </c>
      <c r="AK213" s="886">
        <f t="shared" si="100"/>
        <v>0</v>
      </c>
      <c r="AL213" s="886">
        <f>IF($O214=0,0,           IF(FRM,_xll.qGetFwdRate(AL$14,$O213,AD213,"T",DCC_Leg1_Float),_xll.qGetFwdRate(AL$14,$O213,$O214,"T",DCC_Leg1_Float)))</f>
        <v>0</v>
      </c>
      <c r="AM213" s="886">
        <f t="shared" si="113"/>
        <v>0</v>
      </c>
      <c r="AN213" s="886">
        <f t="shared" si="114"/>
        <v>0</v>
      </c>
      <c r="AO213" s="886">
        <f>IF($O214=0,0,           IF(FRM,_xll.qGetFwdRate(AO$14,$O213,AG213,"T",DCC_Leg1_Float),_xll.qGetFwdRate(AO$14,$O213,$O214,"T",DCC_Leg1_Float)))</f>
        <v>0</v>
      </c>
      <c r="AP213" s="886">
        <f>IF($O214=0,0,           IF(FRM,_xll.qGetFwdRate(AP$14,$O213,AH213,"T",DCC_Leg1_Float),_xll.qGetFwdRate(AP$14,$O213,$O214,"T",DCC_Leg1_Float)))</f>
        <v>0</v>
      </c>
      <c r="AQ213" s="648">
        <f t="shared" si="115"/>
        <v>0</v>
      </c>
      <c r="AR213" s="648">
        <f t="shared" si="116"/>
        <v>0</v>
      </c>
      <c r="AS213" s="648">
        <f t="shared" si="117"/>
        <v>0</v>
      </c>
      <c r="AT213" s="648">
        <f t="shared" si="118"/>
        <v>0</v>
      </c>
      <c r="AU213" s="648">
        <f t="shared" si="119"/>
        <v>0</v>
      </c>
      <c r="AV213" s="648">
        <f t="shared" si="120"/>
        <v>0</v>
      </c>
      <c r="AW213" s="648">
        <f t="shared" si="121"/>
        <v>0</v>
      </c>
      <c r="AX213" s="648">
        <f t="shared" si="122"/>
        <v>0</v>
      </c>
      <c r="AY213" s="634">
        <v>0</v>
      </c>
      <c r="AZ213" s="616"/>
      <c r="BA213" s="619">
        <f>IF(O214=0,0,             IF(ISNUMBER(AZ213),AZ213,             IF(ISTEXT(AZ213),INDEX(AQ213:AX213,MATCH(AZ213,$AQ$17:$AX$17,0)),           IF(AY213="INT",_xll.qInterp(O214,AA213:AH213,AQ213:AX213),       INDEX(AQ213:AX213,MATCH(AY213,$AQ$17:$AX$17,0))))))</f>
        <v>0</v>
      </c>
      <c r="BB213" s="674">
        <v>100</v>
      </c>
      <c r="BC213" s="666">
        <f t="shared" si="101"/>
        <v>0</v>
      </c>
      <c r="BD213" s="268">
        <f>IF($O214=0,0,                IF(LEFT(DCC_Leg1_Fixed,2)="1/",uEvaluate(DCC_Leg1_Fixed),        _xll.qDateYears($O213,$O214,DCC_Leg1_Fixed)))</f>
        <v>0</v>
      </c>
      <c r="BE213" s="268">
        <f>IF($O214,_xll.qDateYears($O213,$O214,DCC_Leg1_Float),0)</f>
        <v>0</v>
      </c>
      <c r="BG213" s="332">
        <f t="shared" si="123"/>
        <v>0</v>
      </c>
      <c r="BH213" s="357">
        <f t="shared" si="124"/>
        <v>0</v>
      </c>
      <c r="BI213" s="527"/>
      <c r="BK213" s="324">
        <f t="shared" si="97"/>
        <v>0</v>
      </c>
      <c r="BM213" s="338"/>
      <c r="BN213" s="121">
        <v>0</v>
      </c>
      <c r="BO213" s="755">
        <f t="shared" si="102"/>
        <v>0</v>
      </c>
      <c r="BP213" s="339">
        <v>0</v>
      </c>
      <c r="BQ213" s="890">
        <f>IF(BN214=0,0,         IF(OR(Currency2="AUD",Currency1="NZD",Currency2="GBP"),BN213,   _xll.qDateNext(BN213,"-2b",,,IF(Currency2="EUR","TGT","LON"))))</f>
        <v>0</v>
      </c>
      <c r="BR213" s="879" t="str">
        <v/>
      </c>
      <c r="BS213" s="879" t="str">
        <v/>
      </c>
      <c r="BT213" s="879" t="str">
        <v/>
      </c>
      <c r="BU213" s="879" t="str">
        <v/>
      </c>
      <c r="BV213" s="879" t="str">
        <v/>
      </c>
      <c r="BW213" s="879" t="str">
        <v/>
      </c>
      <c r="BX213" s="879" t="str">
        <v/>
      </c>
      <c r="BY213" s="879" t="str">
        <v/>
      </c>
      <c r="BZ213" s="882">
        <f>IF($BN214=0,0,        _xll.qDateNext($BN213,BZ$17,$CG$16,TRUE,Currency2))</f>
        <v>0</v>
      </c>
      <c r="CA213" s="882">
        <f>IF($BN214=0,0,        _xll.qDateNext($BN213,CA$17,$CG$16,TRUE,Currency2))</f>
        <v>0</v>
      </c>
      <c r="CB213" s="882">
        <f>IF($BN214=0,0,        _xll.qDateNext($BN213,CB$17,$CG$16,TRUE,Currency2))</f>
        <v>0</v>
      </c>
      <c r="CC213" s="882">
        <f>IF($BN214=0,0,        _xll.qDateNext($BN213,CC$17,$CG$16,TRUE,Currency2))</f>
        <v>0</v>
      </c>
      <c r="CD213" s="882">
        <f>IF($BN214=0,0,        _xll.qDateNext($BN213,CD$17,$CG$16,TRUE,Currency2))</f>
        <v>0</v>
      </c>
      <c r="CE213" s="882">
        <f>IF($BN214=0,0,        _xll.qDateNext($BN213,CE$17,$CG$16,TRUE,Currency2))</f>
        <v>0</v>
      </c>
      <c r="CF213" s="882">
        <f>IF($BN214=0,0,        _xll.qDateNext($BN213,CF$17,$CG$16,TRUE,Currency2))</f>
        <v>0</v>
      </c>
      <c r="CG213" s="882">
        <f>IF($BN214=0,0,        _xll.qDateNext($BN213,CG$17,$CG$16,TRUE,Currency2))</f>
        <v>0</v>
      </c>
      <c r="CH213" s="886">
        <v>0</v>
      </c>
      <c r="CI213" s="886">
        <v>0</v>
      </c>
      <c r="CJ213" s="886">
        <v>0</v>
      </c>
      <c r="CK213" s="886">
        <v>0</v>
      </c>
      <c r="CL213" s="886">
        <f t="shared" si="125"/>
        <v>0</v>
      </c>
      <c r="CM213" s="886">
        <f t="shared" si="126"/>
        <v>0</v>
      </c>
      <c r="CN213" s="886">
        <v>0</v>
      </c>
      <c r="CO213" s="886">
        <v>0</v>
      </c>
      <c r="CP213" s="648">
        <f t="shared" si="103"/>
        <v>0</v>
      </c>
      <c r="CQ213" s="648">
        <f t="shared" si="104"/>
        <v>0</v>
      </c>
      <c r="CR213" s="648">
        <f t="shared" si="105"/>
        <v>0</v>
      </c>
      <c r="CS213" s="648">
        <f t="shared" si="106"/>
        <v>0</v>
      </c>
      <c r="CT213" s="648">
        <f t="shared" si="107"/>
        <v>0</v>
      </c>
      <c r="CU213" s="648">
        <f t="shared" si="108"/>
        <v>0</v>
      </c>
      <c r="CV213" s="648">
        <f t="shared" si="109"/>
        <v>0</v>
      </c>
      <c r="CW213" s="648">
        <f t="shared" si="110"/>
        <v>0</v>
      </c>
      <c r="CX213" s="634">
        <v>0</v>
      </c>
      <c r="CY213" s="616"/>
      <c r="CZ213" s="619">
        <f>IF(BN214=0,0,             IF(ISNUMBER(CY213),CY213,             IF(ISTEXT(CY213),INDEX(CP213:CW213,MATCH(CY213,$CP$17:$CW$17,0)),           IF(CX213="INT",_xll.qInterp(BN214,BZ213:CG213,CP213:CW213),       INDEX(CP213:CW213,MATCH(CX213,$CP$17:$CW$17,0))))))</f>
        <v>0</v>
      </c>
      <c r="DA213" s="755">
        <f t="shared" si="111"/>
        <v>0</v>
      </c>
      <c r="DB213" s="387">
        <f t="shared" si="112"/>
        <v>0</v>
      </c>
      <c r="DC213" s="268">
        <f>IF($BN214=0,0,         IF(LEFT(DCC_Leg2_Fixed,2)="1/",uEvaluate(DCC_Leg2_Fixed),         _xll.qDateYears($BN213,$BN214,DCC_Leg2_Fixed)))</f>
        <v>0</v>
      </c>
      <c r="DD213" s="268">
        <f>IF($BN214,_xll.qDateYears($BN213,$BN214,DCC_Leg2_Float),0)</f>
        <v>0</v>
      </c>
      <c r="DF213" s="332">
        <f t="shared" si="127"/>
        <v>0</v>
      </c>
      <c r="DG213" s="357">
        <f t="shared" si="128"/>
        <v>0</v>
      </c>
      <c r="DH213" s="527"/>
      <c r="DJ213" s="324">
        <f t="shared" si="98"/>
        <v>0</v>
      </c>
      <c r="DK213" s="529"/>
      <c r="DL213" s="338"/>
    </row>
    <row r="214" spans="15:116">
      <c r="O214" s="121">
        <v>0</v>
      </c>
      <c r="P214" s="755">
        <f t="shared" si="99"/>
        <v>0</v>
      </c>
      <c r="Q214" s="125">
        <v>0</v>
      </c>
      <c r="R214" s="890">
        <f>IF(O215=0,0,         IF(OR(Currency1="AUD",Currency1="NZD",Currency1="GBP"),O214,   _xll.qDateNext(O214,"-2b",,,IF(Currency1="EUR","TGT","LON"))))</f>
        <v>0</v>
      </c>
      <c r="S214" s="879" t="str">
        <v/>
      </c>
      <c r="T214" s="879" t="str">
        <v/>
      </c>
      <c r="U214" s="879" t="str">
        <v/>
      </c>
      <c r="V214" s="879" t="str">
        <v/>
      </c>
      <c r="W214" s="879" t="str">
        <v/>
      </c>
      <c r="X214" s="879" t="str">
        <v/>
      </c>
      <c r="Y214" s="879" t="str">
        <v/>
      </c>
      <c r="Z214" s="879" t="str">
        <v/>
      </c>
      <c r="AA214" s="882">
        <f>IF($O215=0,0,        _xll.qDateNext($O214,AA$17,$AH$16,TRUE,Currency1))</f>
        <v>0</v>
      </c>
      <c r="AB214" s="882">
        <f>IF($O215=0,0,        _xll.qDateNext($O214,AB$17,$AH$16,TRUE,Currency1))</f>
        <v>0</v>
      </c>
      <c r="AC214" s="882">
        <f>IF($O215=0,0,        _xll.qDateNext($O214,AC$17,$AH$16,TRUE,Currency1))</f>
        <v>0</v>
      </c>
      <c r="AD214" s="882">
        <f>IF($O215=0,0,        _xll.qDateNext($O214,AD$17,$AH$16,TRUE,Currency1))</f>
        <v>0</v>
      </c>
      <c r="AE214" s="882">
        <f>IF($O215=0,0,        _xll.qDateNext($O214,AE$17,$AH$16,TRUE,Currency1))</f>
        <v>0</v>
      </c>
      <c r="AF214" s="882">
        <f>IF($O215=0,0,        _xll.qDateNext($O214,AF$17,$AH$16,TRUE,Currency1))</f>
        <v>0</v>
      </c>
      <c r="AG214" s="882">
        <f>IF($O215=0,0,        _xll.qDateNext($O214,AG$17,$AH$16,TRUE,Currency1))</f>
        <v>0</v>
      </c>
      <c r="AH214" s="882">
        <f>IF($O215=0,0,        _xll.qDateNext($O214,AH$17,$AH$16,TRUE,Currency1))</f>
        <v>0</v>
      </c>
      <c r="AI214" s="886">
        <f>IF($O215=0,0,           IF(FRM,_xll.qGetFwdRate(AI$14,$O214,AA214,"T",DCC_Leg1_Float),_xll.qGetFwdRate(AI$14,$O214,$O215,"T",DCC_Leg1_Float)))</f>
        <v>0</v>
      </c>
      <c r="AJ214" s="886">
        <f>IF($O215=0,0,           IF(FRM,_xll.qGetFwdRate(AJ$14,$O214,AB214,"T",DCC_Leg1_Float),_xll.qGetFwdRate(AJ$14,$O214,$O215,"T",DCC_Leg1_Float)))</f>
        <v>0</v>
      </c>
      <c r="AK214" s="886">
        <f t="shared" si="100"/>
        <v>0</v>
      </c>
      <c r="AL214" s="886">
        <f>IF($O215=0,0,           IF(FRM,_xll.qGetFwdRate(AL$14,$O214,AD214,"T",DCC_Leg1_Float),_xll.qGetFwdRate(AL$14,$O214,$O215,"T",DCC_Leg1_Float)))</f>
        <v>0</v>
      </c>
      <c r="AM214" s="886">
        <f t="shared" si="113"/>
        <v>0</v>
      </c>
      <c r="AN214" s="886">
        <f t="shared" si="114"/>
        <v>0</v>
      </c>
      <c r="AO214" s="886">
        <f>IF($O215=0,0,           IF(FRM,_xll.qGetFwdRate(AO$14,$O214,AG214,"T",DCC_Leg1_Float),_xll.qGetFwdRate(AO$14,$O214,$O215,"T",DCC_Leg1_Float)))</f>
        <v>0</v>
      </c>
      <c r="AP214" s="886">
        <f>IF($O215=0,0,           IF(FRM,_xll.qGetFwdRate(AP$14,$O214,AH214,"T",DCC_Leg1_Float),_xll.qGetFwdRate(AP$14,$O214,$O215,"T",DCC_Leg1_Float)))</f>
        <v>0</v>
      </c>
      <c r="AQ214" s="648">
        <f t="shared" si="115"/>
        <v>0</v>
      </c>
      <c r="AR214" s="648">
        <f t="shared" si="116"/>
        <v>0</v>
      </c>
      <c r="AS214" s="648">
        <f t="shared" si="117"/>
        <v>0</v>
      </c>
      <c r="AT214" s="648">
        <f t="shared" si="118"/>
        <v>0</v>
      </c>
      <c r="AU214" s="648">
        <f t="shared" si="119"/>
        <v>0</v>
      </c>
      <c r="AV214" s="648">
        <f t="shared" si="120"/>
        <v>0</v>
      </c>
      <c r="AW214" s="648">
        <f t="shared" si="121"/>
        <v>0</v>
      </c>
      <c r="AX214" s="648">
        <f t="shared" si="122"/>
        <v>0</v>
      </c>
      <c r="AY214" s="634">
        <v>0</v>
      </c>
      <c r="AZ214" s="616"/>
      <c r="BA214" s="619">
        <f>IF(O215=0,0,             IF(ISNUMBER(AZ214),AZ214,             IF(ISTEXT(AZ214),INDEX(AQ214:AX214,MATCH(AZ214,$AQ$17:$AX$17,0)),           IF(AY214="INT",_xll.qInterp(O215,AA214:AH214,AQ214:AX214),       INDEX(AQ214:AX214,MATCH(AY214,$AQ$17:$AX$17,0))))))</f>
        <v>0</v>
      </c>
      <c r="BB214" s="674">
        <v>100</v>
      </c>
      <c r="BC214" s="666">
        <f t="shared" si="101"/>
        <v>0</v>
      </c>
      <c r="BD214" s="268">
        <f>IF($O215=0,0,                IF(LEFT(DCC_Leg1_Fixed,2)="1/",uEvaluate(DCC_Leg1_Fixed),        _xll.qDateYears($O214,$O215,DCC_Leg1_Fixed)))</f>
        <v>0</v>
      </c>
      <c r="BE214" s="268">
        <f>IF($O215,_xll.qDateYears($O214,$O215,DCC_Leg1_Float),0)</f>
        <v>0</v>
      </c>
      <c r="BG214" s="332">
        <f t="shared" si="123"/>
        <v>0</v>
      </c>
      <c r="BH214" s="357">
        <f t="shared" si="124"/>
        <v>0</v>
      </c>
      <c r="BI214" s="527"/>
      <c r="BK214" s="324">
        <f t="shared" si="97"/>
        <v>0</v>
      </c>
      <c r="BM214" s="338"/>
      <c r="BN214" s="121">
        <v>0</v>
      </c>
      <c r="BO214" s="755">
        <f t="shared" si="102"/>
        <v>0</v>
      </c>
      <c r="BP214" s="339">
        <v>0</v>
      </c>
      <c r="BQ214" s="890">
        <f>IF(BN215=0,0,         IF(OR(Currency2="AUD",Currency1="NZD",Currency2="GBP"),BN214,   _xll.qDateNext(BN214,"-2b",,,IF(Currency2="EUR","TGT","LON"))))</f>
        <v>0</v>
      </c>
      <c r="BR214" s="879" t="str">
        <v/>
      </c>
      <c r="BS214" s="879" t="str">
        <v/>
      </c>
      <c r="BT214" s="879" t="str">
        <v/>
      </c>
      <c r="BU214" s="879" t="str">
        <v/>
      </c>
      <c r="BV214" s="879" t="str">
        <v/>
      </c>
      <c r="BW214" s="879" t="str">
        <v/>
      </c>
      <c r="BX214" s="879" t="str">
        <v/>
      </c>
      <c r="BY214" s="879" t="str">
        <v/>
      </c>
      <c r="BZ214" s="882">
        <f>IF($BN215=0,0,        _xll.qDateNext($BN214,BZ$17,$CG$16,TRUE,Currency2))</f>
        <v>0</v>
      </c>
      <c r="CA214" s="882">
        <f>IF($BN215=0,0,        _xll.qDateNext($BN214,CA$17,$CG$16,TRUE,Currency2))</f>
        <v>0</v>
      </c>
      <c r="CB214" s="882">
        <f>IF($BN215=0,0,        _xll.qDateNext($BN214,CB$17,$CG$16,TRUE,Currency2))</f>
        <v>0</v>
      </c>
      <c r="CC214" s="882">
        <f>IF($BN215=0,0,        _xll.qDateNext($BN214,CC$17,$CG$16,TRUE,Currency2))</f>
        <v>0</v>
      </c>
      <c r="CD214" s="882">
        <f>IF($BN215=0,0,        _xll.qDateNext($BN214,CD$17,$CG$16,TRUE,Currency2))</f>
        <v>0</v>
      </c>
      <c r="CE214" s="882">
        <f>IF($BN215=0,0,        _xll.qDateNext($BN214,CE$17,$CG$16,TRUE,Currency2))</f>
        <v>0</v>
      </c>
      <c r="CF214" s="882">
        <f>IF($BN215=0,0,        _xll.qDateNext($BN214,CF$17,$CG$16,TRUE,Currency2))</f>
        <v>0</v>
      </c>
      <c r="CG214" s="882">
        <f>IF($BN215=0,0,        _xll.qDateNext($BN214,CG$17,$CG$16,TRUE,Currency2))</f>
        <v>0</v>
      </c>
      <c r="CH214" s="886">
        <v>0</v>
      </c>
      <c r="CI214" s="886">
        <v>0</v>
      </c>
      <c r="CJ214" s="886">
        <v>0</v>
      </c>
      <c r="CK214" s="886">
        <v>0</v>
      </c>
      <c r="CL214" s="886">
        <f t="shared" si="125"/>
        <v>0</v>
      </c>
      <c r="CM214" s="886">
        <f t="shared" si="126"/>
        <v>0</v>
      </c>
      <c r="CN214" s="886">
        <v>0</v>
      </c>
      <c r="CO214" s="886">
        <v>0</v>
      </c>
      <c r="CP214" s="648">
        <f t="shared" si="103"/>
        <v>0</v>
      </c>
      <c r="CQ214" s="648">
        <f t="shared" si="104"/>
        <v>0</v>
      </c>
      <c r="CR214" s="648">
        <f t="shared" si="105"/>
        <v>0</v>
      </c>
      <c r="CS214" s="648">
        <f t="shared" si="106"/>
        <v>0</v>
      </c>
      <c r="CT214" s="648">
        <f t="shared" si="107"/>
        <v>0</v>
      </c>
      <c r="CU214" s="648">
        <f t="shared" si="108"/>
        <v>0</v>
      </c>
      <c r="CV214" s="648">
        <f t="shared" si="109"/>
        <v>0</v>
      </c>
      <c r="CW214" s="648">
        <f t="shared" si="110"/>
        <v>0</v>
      </c>
      <c r="CX214" s="634">
        <v>0</v>
      </c>
      <c r="CY214" s="616"/>
      <c r="CZ214" s="619">
        <f>IF(BN215=0,0,             IF(ISNUMBER(CY214),CY214,             IF(ISTEXT(CY214),INDEX(CP214:CW214,MATCH(CY214,$CP$17:$CW$17,0)),           IF(CX214="INT",_xll.qInterp(BN215,BZ214:CG214,CP214:CW214),       INDEX(CP214:CW214,MATCH(CX214,$CP$17:$CW$17,0))))))</f>
        <v>0</v>
      </c>
      <c r="DA214" s="755">
        <f t="shared" si="111"/>
        <v>0</v>
      </c>
      <c r="DB214" s="387">
        <f t="shared" si="112"/>
        <v>0</v>
      </c>
      <c r="DC214" s="268">
        <f>IF($BN215=0,0,         IF(LEFT(DCC_Leg2_Fixed,2)="1/",uEvaluate(DCC_Leg2_Fixed),         _xll.qDateYears($BN214,$BN215,DCC_Leg2_Fixed)))</f>
        <v>0</v>
      </c>
      <c r="DD214" s="268">
        <f>IF($BN215,_xll.qDateYears($BN214,$BN215,DCC_Leg2_Float),0)</f>
        <v>0</v>
      </c>
      <c r="DF214" s="332">
        <f t="shared" si="127"/>
        <v>0</v>
      </c>
      <c r="DG214" s="357">
        <f t="shared" si="128"/>
        <v>0</v>
      </c>
      <c r="DH214" s="527"/>
      <c r="DJ214" s="324">
        <f t="shared" si="98"/>
        <v>0</v>
      </c>
      <c r="DK214" s="529"/>
      <c r="DL214" s="338"/>
    </row>
    <row r="215" spans="15:116">
      <c r="O215" s="121">
        <v>0</v>
      </c>
      <c r="P215" s="755">
        <f t="shared" si="99"/>
        <v>0</v>
      </c>
      <c r="Q215" s="125">
        <v>0</v>
      </c>
      <c r="R215" s="890">
        <f>IF(O216=0,0,         IF(OR(Currency1="AUD",Currency1="NZD",Currency1="GBP"),O215,   _xll.qDateNext(O215,"-2b",,,IF(Currency1="EUR","TGT","LON"))))</f>
        <v>0</v>
      </c>
      <c r="S215" s="879" t="str">
        <v/>
      </c>
      <c r="T215" s="879" t="str">
        <v/>
      </c>
      <c r="U215" s="879" t="str">
        <v/>
      </c>
      <c r="V215" s="879" t="str">
        <v/>
      </c>
      <c r="W215" s="879" t="str">
        <v/>
      </c>
      <c r="X215" s="879" t="str">
        <v/>
      </c>
      <c r="Y215" s="879" t="str">
        <v/>
      </c>
      <c r="Z215" s="879" t="str">
        <v/>
      </c>
      <c r="AA215" s="882">
        <f>IF($O216=0,0,        _xll.qDateNext($O215,AA$17,$AH$16,TRUE,Currency1))</f>
        <v>0</v>
      </c>
      <c r="AB215" s="882">
        <f>IF($O216=0,0,        _xll.qDateNext($O215,AB$17,$AH$16,TRUE,Currency1))</f>
        <v>0</v>
      </c>
      <c r="AC215" s="882">
        <f>IF($O216=0,0,        _xll.qDateNext($O215,AC$17,$AH$16,TRUE,Currency1))</f>
        <v>0</v>
      </c>
      <c r="AD215" s="882">
        <f>IF($O216=0,0,        _xll.qDateNext($O215,AD$17,$AH$16,TRUE,Currency1))</f>
        <v>0</v>
      </c>
      <c r="AE215" s="882">
        <f>IF($O216=0,0,        _xll.qDateNext($O215,AE$17,$AH$16,TRUE,Currency1))</f>
        <v>0</v>
      </c>
      <c r="AF215" s="882">
        <f>IF($O216=0,0,        _xll.qDateNext($O215,AF$17,$AH$16,TRUE,Currency1))</f>
        <v>0</v>
      </c>
      <c r="AG215" s="882">
        <f>IF($O216=0,0,        _xll.qDateNext($O215,AG$17,$AH$16,TRUE,Currency1))</f>
        <v>0</v>
      </c>
      <c r="AH215" s="882">
        <f>IF($O216=0,0,        _xll.qDateNext($O215,AH$17,$AH$16,TRUE,Currency1))</f>
        <v>0</v>
      </c>
      <c r="AI215" s="886">
        <f>IF($O216=0,0,           IF(FRM,_xll.qGetFwdRate(AI$14,$O215,AA215,"T",DCC_Leg1_Float),_xll.qGetFwdRate(AI$14,$O215,$O216,"T",DCC_Leg1_Float)))</f>
        <v>0</v>
      </c>
      <c r="AJ215" s="886">
        <f>IF($O216=0,0,           IF(FRM,_xll.qGetFwdRate(AJ$14,$O215,AB215,"T",DCC_Leg1_Float),_xll.qGetFwdRate(AJ$14,$O215,$O216,"T",DCC_Leg1_Float)))</f>
        <v>0</v>
      </c>
      <c r="AK215" s="886">
        <f t="shared" si="100"/>
        <v>0</v>
      </c>
      <c r="AL215" s="886">
        <f>IF($O216=0,0,           IF(FRM,_xll.qGetFwdRate(AL$14,$O215,AD215,"T",DCC_Leg1_Float),_xll.qGetFwdRate(AL$14,$O215,$O216,"T",DCC_Leg1_Float)))</f>
        <v>0</v>
      </c>
      <c r="AM215" s="886">
        <f t="shared" si="113"/>
        <v>0</v>
      </c>
      <c r="AN215" s="886">
        <f t="shared" si="114"/>
        <v>0</v>
      </c>
      <c r="AO215" s="886">
        <f>IF($O216=0,0,           IF(FRM,_xll.qGetFwdRate(AO$14,$O215,AG215,"T",DCC_Leg1_Float),_xll.qGetFwdRate(AO$14,$O215,$O216,"T",DCC_Leg1_Float)))</f>
        <v>0</v>
      </c>
      <c r="AP215" s="886">
        <f>IF($O216=0,0,           IF(FRM,_xll.qGetFwdRate(AP$14,$O215,AH215,"T",DCC_Leg1_Float),_xll.qGetFwdRate(AP$14,$O215,$O216,"T",DCC_Leg1_Float)))</f>
        <v>0</v>
      </c>
      <c r="AQ215" s="648">
        <f t="shared" si="115"/>
        <v>0</v>
      </c>
      <c r="AR215" s="648">
        <f t="shared" si="116"/>
        <v>0</v>
      </c>
      <c r="AS215" s="648">
        <f t="shared" si="117"/>
        <v>0</v>
      </c>
      <c r="AT215" s="648">
        <f t="shared" si="118"/>
        <v>0</v>
      </c>
      <c r="AU215" s="648">
        <f t="shared" si="119"/>
        <v>0</v>
      </c>
      <c r="AV215" s="648">
        <f t="shared" si="120"/>
        <v>0</v>
      </c>
      <c r="AW215" s="648">
        <f t="shared" si="121"/>
        <v>0</v>
      </c>
      <c r="AX215" s="648">
        <f t="shared" si="122"/>
        <v>0</v>
      </c>
      <c r="AY215" s="634">
        <v>0</v>
      </c>
      <c r="AZ215" s="616"/>
      <c r="BA215" s="619">
        <f>IF(O216=0,0,             IF(ISNUMBER(AZ215),AZ215,             IF(ISTEXT(AZ215),INDEX(AQ215:AX215,MATCH(AZ215,$AQ$17:$AX$17,0)),           IF(AY215="INT",_xll.qInterp(O216,AA215:AH215,AQ215:AX215),       INDEX(AQ215:AX215,MATCH(AY215,$AQ$17:$AX$17,0))))))</f>
        <v>0</v>
      </c>
      <c r="BB215" s="674">
        <v>100</v>
      </c>
      <c r="BC215" s="666">
        <f t="shared" si="101"/>
        <v>0</v>
      </c>
      <c r="BD215" s="268">
        <f>IF($O216=0,0,                IF(LEFT(DCC_Leg1_Fixed,2)="1/",uEvaluate(DCC_Leg1_Fixed),        _xll.qDateYears($O215,$O216,DCC_Leg1_Fixed)))</f>
        <v>0</v>
      </c>
      <c r="BE215" s="268">
        <f>IF($O216,_xll.qDateYears($O215,$O216,DCC_Leg1_Float),0)</f>
        <v>0</v>
      </c>
      <c r="BG215" s="332">
        <f t="shared" si="123"/>
        <v>0</v>
      </c>
      <c r="BH215" s="357">
        <f t="shared" si="124"/>
        <v>0</v>
      </c>
      <c r="BI215" s="527"/>
      <c r="BK215" s="324">
        <f t="shared" si="97"/>
        <v>0</v>
      </c>
      <c r="BM215" s="338"/>
      <c r="BN215" s="121">
        <v>0</v>
      </c>
      <c r="BO215" s="755">
        <f t="shared" si="102"/>
        <v>0</v>
      </c>
      <c r="BP215" s="339">
        <v>0</v>
      </c>
      <c r="BQ215" s="890">
        <f>IF(BN216=0,0,         IF(OR(Currency2="AUD",Currency1="NZD",Currency2="GBP"),BN215,   _xll.qDateNext(BN215,"-2b",,,IF(Currency2="EUR","TGT","LON"))))</f>
        <v>0</v>
      </c>
      <c r="BR215" s="879" t="str">
        <v/>
      </c>
      <c r="BS215" s="879" t="str">
        <v/>
      </c>
      <c r="BT215" s="879" t="str">
        <v/>
      </c>
      <c r="BU215" s="879" t="str">
        <v/>
      </c>
      <c r="BV215" s="879" t="str">
        <v/>
      </c>
      <c r="BW215" s="879" t="str">
        <v/>
      </c>
      <c r="BX215" s="879" t="str">
        <v/>
      </c>
      <c r="BY215" s="879" t="str">
        <v/>
      </c>
      <c r="BZ215" s="882">
        <f>IF($BN216=0,0,        _xll.qDateNext($BN215,BZ$17,$CG$16,TRUE,Currency2))</f>
        <v>0</v>
      </c>
      <c r="CA215" s="882">
        <f>IF($BN216=0,0,        _xll.qDateNext($BN215,CA$17,$CG$16,TRUE,Currency2))</f>
        <v>0</v>
      </c>
      <c r="CB215" s="882">
        <f>IF($BN216=0,0,        _xll.qDateNext($BN215,CB$17,$CG$16,TRUE,Currency2))</f>
        <v>0</v>
      </c>
      <c r="CC215" s="882">
        <f>IF($BN216=0,0,        _xll.qDateNext($BN215,CC$17,$CG$16,TRUE,Currency2))</f>
        <v>0</v>
      </c>
      <c r="CD215" s="882">
        <f>IF($BN216=0,0,        _xll.qDateNext($BN215,CD$17,$CG$16,TRUE,Currency2))</f>
        <v>0</v>
      </c>
      <c r="CE215" s="882">
        <f>IF($BN216=0,0,        _xll.qDateNext($BN215,CE$17,$CG$16,TRUE,Currency2))</f>
        <v>0</v>
      </c>
      <c r="CF215" s="882">
        <f>IF($BN216=0,0,        _xll.qDateNext($BN215,CF$17,$CG$16,TRUE,Currency2))</f>
        <v>0</v>
      </c>
      <c r="CG215" s="882">
        <f>IF($BN216=0,0,        _xll.qDateNext($BN215,CG$17,$CG$16,TRUE,Currency2))</f>
        <v>0</v>
      </c>
      <c r="CH215" s="886">
        <v>0</v>
      </c>
      <c r="CI215" s="886">
        <v>0</v>
      </c>
      <c r="CJ215" s="886">
        <v>0</v>
      </c>
      <c r="CK215" s="886">
        <v>0</v>
      </c>
      <c r="CL215" s="886">
        <f t="shared" si="125"/>
        <v>0</v>
      </c>
      <c r="CM215" s="886">
        <f t="shared" si="126"/>
        <v>0</v>
      </c>
      <c r="CN215" s="886">
        <v>0</v>
      </c>
      <c r="CO215" s="886">
        <v>0</v>
      </c>
      <c r="CP215" s="648">
        <f t="shared" si="103"/>
        <v>0</v>
      </c>
      <c r="CQ215" s="648">
        <f t="shared" si="104"/>
        <v>0</v>
      </c>
      <c r="CR215" s="648">
        <f t="shared" si="105"/>
        <v>0</v>
      </c>
      <c r="CS215" s="648">
        <f t="shared" si="106"/>
        <v>0</v>
      </c>
      <c r="CT215" s="648">
        <f t="shared" si="107"/>
        <v>0</v>
      </c>
      <c r="CU215" s="648">
        <f t="shared" si="108"/>
        <v>0</v>
      </c>
      <c r="CV215" s="648">
        <f t="shared" si="109"/>
        <v>0</v>
      </c>
      <c r="CW215" s="648">
        <f t="shared" si="110"/>
        <v>0</v>
      </c>
      <c r="CX215" s="634">
        <v>0</v>
      </c>
      <c r="CY215" s="616"/>
      <c r="CZ215" s="619">
        <f>IF(BN216=0,0,             IF(ISNUMBER(CY215),CY215,             IF(ISTEXT(CY215),INDEX(CP215:CW215,MATCH(CY215,$CP$17:$CW$17,0)),           IF(CX215="INT",_xll.qInterp(BN216,BZ215:CG215,CP215:CW215),       INDEX(CP215:CW215,MATCH(CX215,$CP$17:$CW$17,0))))))</f>
        <v>0</v>
      </c>
      <c r="DA215" s="755">
        <f t="shared" si="111"/>
        <v>0</v>
      </c>
      <c r="DB215" s="387">
        <f t="shared" si="112"/>
        <v>0</v>
      </c>
      <c r="DC215" s="268">
        <f>IF($BN216=0,0,         IF(LEFT(DCC_Leg2_Fixed,2)="1/",uEvaluate(DCC_Leg2_Fixed),         _xll.qDateYears($BN215,$BN216,DCC_Leg2_Fixed)))</f>
        <v>0</v>
      </c>
      <c r="DD215" s="268">
        <f>IF($BN216,_xll.qDateYears($BN215,$BN216,DCC_Leg2_Float),0)</f>
        <v>0</v>
      </c>
      <c r="DF215" s="332">
        <f t="shared" si="127"/>
        <v>0</v>
      </c>
      <c r="DG215" s="357">
        <f t="shared" si="128"/>
        <v>0</v>
      </c>
      <c r="DH215" s="527"/>
      <c r="DJ215" s="324">
        <f t="shared" si="98"/>
        <v>0</v>
      </c>
      <c r="DK215" s="529"/>
      <c r="DL215" s="338"/>
    </row>
    <row r="216" spans="15:116">
      <c r="O216" s="121">
        <v>0</v>
      </c>
      <c r="P216" s="755">
        <f t="shared" si="99"/>
        <v>0</v>
      </c>
      <c r="Q216" s="125">
        <v>0</v>
      </c>
      <c r="R216" s="890">
        <f>IF(O217=0,0,         IF(OR(Currency1="AUD",Currency1="NZD",Currency1="GBP"),O216,   _xll.qDateNext(O216,"-2b",,,IF(Currency1="EUR","TGT","LON"))))</f>
        <v>0</v>
      </c>
      <c r="S216" s="879" t="str">
        <v/>
      </c>
      <c r="T216" s="879" t="str">
        <v/>
      </c>
      <c r="U216" s="879" t="str">
        <v/>
      </c>
      <c r="V216" s="879" t="str">
        <v/>
      </c>
      <c r="W216" s="879" t="str">
        <v/>
      </c>
      <c r="X216" s="879" t="str">
        <v/>
      </c>
      <c r="Y216" s="879" t="str">
        <v/>
      </c>
      <c r="Z216" s="879" t="str">
        <v/>
      </c>
      <c r="AA216" s="882">
        <f>IF($O217=0,0,        _xll.qDateNext($O216,AA$17,$AH$16,TRUE,Currency1))</f>
        <v>0</v>
      </c>
      <c r="AB216" s="882">
        <f>IF($O217=0,0,        _xll.qDateNext($O216,AB$17,$AH$16,TRUE,Currency1))</f>
        <v>0</v>
      </c>
      <c r="AC216" s="882">
        <f>IF($O217=0,0,        _xll.qDateNext($O216,AC$17,$AH$16,TRUE,Currency1))</f>
        <v>0</v>
      </c>
      <c r="AD216" s="882">
        <f>IF($O217=0,0,        _xll.qDateNext($O216,AD$17,$AH$16,TRUE,Currency1))</f>
        <v>0</v>
      </c>
      <c r="AE216" s="882">
        <f>IF($O217=0,0,        _xll.qDateNext($O216,AE$17,$AH$16,TRUE,Currency1))</f>
        <v>0</v>
      </c>
      <c r="AF216" s="882">
        <f>IF($O217=0,0,        _xll.qDateNext($O216,AF$17,$AH$16,TRUE,Currency1))</f>
        <v>0</v>
      </c>
      <c r="AG216" s="882">
        <f>IF($O217=0,0,        _xll.qDateNext($O216,AG$17,$AH$16,TRUE,Currency1))</f>
        <v>0</v>
      </c>
      <c r="AH216" s="882">
        <f>IF($O217=0,0,        _xll.qDateNext($O216,AH$17,$AH$16,TRUE,Currency1))</f>
        <v>0</v>
      </c>
      <c r="AI216" s="886">
        <f>IF($O217=0,0,           IF(FRM,_xll.qGetFwdRate(AI$14,$O216,AA216,"T",DCC_Leg1_Float),_xll.qGetFwdRate(AI$14,$O216,$O217,"T",DCC_Leg1_Float)))</f>
        <v>0</v>
      </c>
      <c r="AJ216" s="886">
        <f>IF($O217=0,0,           IF(FRM,_xll.qGetFwdRate(AJ$14,$O216,AB216,"T",DCC_Leg1_Float),_xll.qGetFwdRate(AJ$14,$O216,$O217,"T",DCC_Leg1_Float)))</f>
        <v>0</v>
      </c>
      <c r="AK216" s="886">
        <f t="shared" si="100"/>
        <v>0</v>
      </c>
      <c r="AL216" s="886">
        <f>IF($O217=0,0,           IF(FRM,_xll.qGetFwdRate(AL$14,$O216,AD216,"T",DCC_Leg1_Float),_xll.qGetFwdRate(AL$14,$O216,$O217,"T",DCC_Leg1_Float)))</f>
        <v>0</v>
      </c>
      <c r="AM216" s="886">
        <f t="shared" si="113"/>
        <v>0</v>
      </c>
      <c r="AN216" s="886">
        <f t="shared" si="114"/>
        <v>0</v>
      </c>
      <c r="AO216" s="886">
        <f>IF($O217=0,0,           IF(FRM,_xll.qGetFwdRate(AO$14,$O216,AG216,"T",DCC_Leg1_Float),_xll.qGetFwdRate(AO$14,$O216,$O217,"T",DCC_Leg1_Float)))</f>
        <v>0</v>
      </c>
      <c r="AP216" s="886">
        <f>IF($O217=0,0,           IF(FRM,_xll.qGetFwdRate(AP$14,$O216,AH216,"T",DCC_Leg1_Float),_xll.qGetFwdRate(AP$14,$O216,$O217,"T",DCC_Leg1_Float)))</f>
        <v>0</v>
      </c>
      <c r="AQ216" s="648">
        <f t="shared" si="115"/>
        <v>0</v>
      </c>
      <c r="AR216" s="648">
        <f t="shared" si="116"/>
        <v>0</v>
      </c>
      <c r="AS216" s="648">
        <f t="shared" si="117"/>
        <v>0</v>
      </c>
      <c r="AT216" s="648">
        <f t="shared" si="118"/>
        <v>0</v>
      </c>
      <c r="AU216" s="648">
        <f t="shared" si="119"/>
        <v>0</v>
      </c>
      <c r="AV216" s="648">
        <f t="shared" si="120"/>
        <v>0</v>
      </c>
      <c r="AW216" s="648">
        <f t="shared" si="121"/>
        <v>0</v>
      </c>
      <c r="AX216" s="648">
        <f t="shared" si="122"/>
        <v>0</v>
      </c>
      <c r="AY216" s="634">
        <v>0</v>
      </c>
      <c r="AZ216" s="616"/>
      <c r="BA216" s="619">
        <f>IF(O217=0,0,             IF(ISNUMBER(AZ216),AZ216,             IF(ISTEXT(AZ216),INDEX(AQ216:AX216,MATCH(AZ216,$AQ$17:$AX$17,0)),           IF(AY216="INT",_xll.qInterp(O217,AA216:AH216,AQ216:AX216),       INDEX(AQ216:AX216,MATCH(AY216,$AQ$17:$AX$17,0))))))</f>
        <v>0</v>
      </c>
      <c r="BB216" s="674">
        <v>100</v>
      </c>
      <c r="BC216" s="666">
        <f t="shared" si="101"/>
        <v>0</v>
      </c>
      <c r="BD216" s="268">
        <f>IF($O217=0,0,                IF(LEFT(DCC_Leg1_Fixed,2)="1/",uEvaluate(DCC_Leg1_Fixed),        _xll.qDateYears($O216,$O217,DCC_Leg1_Fixed)))</f>
        <v>0</v>
      </c>
      <c r="BE216" s="268">
        <f>IF($O217,_xll.qDateYears($O216,$O217,DCC_Leg1_Float),0)</f>
        <v>0</v>
      </c>
      <c r="BG216" s="332">
        <f t="shared" si="123"/>
        <v>0</v>
      </c>
      <c r="BH216" s="357">
        <f t="shared" si="124"/>
        <v>0</v>
      </c>
      <c r="BI216" s="527"/>
      <c r="BK216" s="324">
        <f t="shared" si="97"/>
        <v>0</v>
      </c>
      <c r="BM216" s="338"/>
      <c r="BN216" s="121">
        <v>0</v>
      </c>
      <c r="BO216" s="755">
        <f t="shared" si="102"/>
        <v>0</v>
      </c>
      <c r="BP216" s="339">
        <v>0</v>
      </c>
      <c r="BQ216" s="890">
        <f>IF(BN217=0,0,         IF(OR(Currency2="AUD",Currency1="NZD",Currency2="GBP"),BN216,   _xll.qDateNext(BN216,"-2b",,,IF(Currency2="EUR","TGT","LON"))))</f>
        <v>0</v>
      </c>
      <c r="BR216" s="879" t="str">
        <v/>
      </c>
      <c r="BS216" s="879" t="str">
        <v/>
      </c>
      <c r="BT216" s="879" t="str">
        <v/>
      </c>
      <c r="BU216" s="879" t="str">
        <v/>
      </c>
      <c r="BV216" s="879" t="str">
        <v/>
      </c>
      <c r="BW216" s="879" t="str">
        <v/>
      </c>
      <c r="BX216" s="879" t="str">
        <v/>
      </c>
      <c r="BY216" s="879" t="str">
        <v/>
      </c>
      <c r="BZ216" s="882">
        <f>IF($BN217=0,0,        _xll.qDateNext($BN216,BZ$17,$CG$16,TRUE,Currency2))</f>
        <v>0</v>
      </c>
      <c r="CA216" s="882">
        <f>IF($BN217=0,0,        _xll.qDateNext($BN216,CA$17,$CG$16,TRUE,Currency2))</f>
        <v>0</v>
      </c>
      <c r="CB216" s="882">
        <f>IF($BN217=0,0,        _xll.qDateNext($BN216,CB$17,$CG$16,TRUE,Currency2))</f>
        <v>0</v>
      </c>
      <c r="CC216" s="882">
        <f>IF($BN217=0,0,        _xll.qDateNext($BN216,CC$17,$CG$16,TRUE,Currency2))</f>
        <v>0</v>
      </c>
      <c r="CD216" s="882">
        <f>IF($BN217=0,0,        _xll.qDateNext($BN216,CD$17,$CG$16,TRUE,Currency2))</f>
        <v>0</v>
      </c>
      <c r="CE216" s="882">
        <f>IF($BN217=0,0,        _xll.qDateNext($BN216,CE$17,$CG$16,TRUE,Currency2))</f>
        <v>0</v>
      </c>
      <c r="CF216" s="882">
        <f>IF($BN217=0,0,        _xll.qDateNext($BN216,CF$17,$CG$16,TRUE,Currency2))</f>
        <v>0</v>
      </c>
      <c r="CG216" s="882">
        <f>IF($BN217=0,0,        _xll.qDateNext($BN216,CG$17,$CG$16,TRUE,Currency2))</f>
        <v>0</v>
      </c>
      <c r="CH216" s="886">
        <v>0</v>
      </c>
      <c r="CI216" s="886">
        <v>0</v>
      </c>
      <c r="CJ216" s="886">
        <v>0</v>
      </c>
      <c r="CK216" s="886">
        <v>0</v>
      </c>
      <c r="CL216" s="886">
        <f t="shared" si="125"/>
        <v>0</v>
      </c>
      <c r="CM216" s="886">
        <f t="shared" si="126"/>
        <v>0</v>
      </c>
      <c r="CN216" s="886">
        <v>0</v>
      </c>
      <c r="CO216" s="886">
        <v>0</v>
      </c>
      <c r="CP216" s="648">
        <f t="shared" si="103"/>
        <v>0</v>
      </c>
      <c r="CQ216" s="648">
        <f t="shared" si="104"/>
        <v>0</v>
      </c>
      <c r="CR216" s="648">
        <f t="shared" si="105"/>
        <v>0</v>
      </c>
      <c r="CS216" s="648">
        <f t="shared" si="106"/>
        <v>0</v>
      </c>
      <c r="CT216" s="648">
        <f t="shared" si="107"/>
        <v>0</v>
      </c>
      <c r="CU216" s="648">
        <f t="shared" si="108"/>
        <v>0</v>
      </c>
      <c r="CV216" s="648">
        <f t="shared" si="109"/>
        <v>0</v>
      </c>
      <c r="CW216" s="648">
        <f t="shared" si="110"/>
        <v>0</v>
      </c>
      <c r="CX216" s="634">
        <v>0</v>
      </c>
      <c r="CY216" s="616"/>
      <c r="CZ216" s="619">
        <f>IF(BN217=0,0,             IF(ISNUMBER(CY216),CY216,             IF(ISTEXT(CY216),INDEX(CP216:CW216,MATCH(CY216,$CP$17:$CW$17,0)),           IF(CX216="INT",_xll.qInterp(BN217,BZ216:CG216,CP216:CW216),       INDEX(CP216:CW216,MATCH(CX216,$CP$17:$CW$17,0))))))</f>
        <v>0</v>
      </c>
      <c r="DA216" s="755">
        <f t="shared" si="111"/>
        <v>0</v>
      </c>
      <c r="DB216" s="387">
        <f t="shared" si="112"/>
        <v>0</v>
      </c>
      <c r="DC216" s="268">
        <f>IF($BN217=0,0,         IF(LEFT(DCC_Leg2_Fixed,2)="1/",uEvaluate(DCC_Leg2_Fixed),         _xll.qDateYears($BN216,$BN217,DCC_Leg2_Fixed)))</f>
        <v>0</v>
      </c>
      <c r="DD216" s="268">
        <f>IF($BN217,_xll.qDateYears($BN216,$BN217,DCC_Leg2_Float),0)</f>
        <v>0</v>
      </c>
      <c r="DF216" s="332">
        <f t="shared" si="127"/>
        <v>0</v>
      </c>
      <c r="DG216" s="357">
        <f t="shared" si="128"/>
        <v>0</v>
      </c>
      <c r="DH216" s="527"/>
      <c r="DJ216" s="324">
        <f t="shared" si="98"/>
        <v>0</v>
      </c>
      <c r="DK216" s="529"/>
      <c r="DL216" s="338"/>
    </row>
    <row r="217" spans="15:116">
      <c r="O217" s="121">
        <v>0</v>
      </c>
      <c r="P217" s="755">
        <f t="shared" si="99"/>
        <v>0</v>
      </c>
      <c r="Q217" s="125">
        <v>0</v>
      </c>
      <c r="R217" s="890">
        <f>IF(O218=0,0,         IF(OR(Currency1="AUD",Currency1="NZD",Currency1="GBP"),O217,   _xll.qDateNext(O217,"-2b",,,IF(Currency1="EUR","TGT","LON"))))</f>
        <v>0</v>
      </c>
      <c r="S217" s="879" t="str">
        <v/>
      </c>
      <c r="T217" s="879" t="str">
        <v/>
      </c>
      <c r="U217" s="879" t="str">
        <v/>
      </c>
      <c r="V217" s="879" t="str">
        <v/>
      </c>
      <c r="W217" s="879" t="str">
        <v/>
      </c>
      <c r="X217" s="879" t="str">
        <v/>
      </c>
      <c r="Y217" s="879" t="str">
        <v/>
      </c>
      <c r="Z217" s="879" t="str">
        <v/>
      </c>
      <c r="AA217" s="882">
        <f>IF($O218=0,0,        _xll.qDateNext($O217,AA$17,$AH$16,TRUE,Currency1))</f>
        <v>0</v>
      </c>
      <c r="AB217" s="882">
        <f>IF($O218=0,0,        _xll.qDateNext($O217,AB$17,$AH$16,TRUE,Currency1))</f>
        <v>0</v>
      </c>
      <c r="AC217" s="882">
        <f>IF($O218=0,0,        _xll.qDateNext($O217,AC$17,$AH$16,TRUE,Currency1))</f>
        <v>0</v>
      </c>
      <c r="AD217" s="882">
        <f>IF($O218=0,0,        _xll.qDateNext($O217,AD$17,$AH$16,TRUE,Currency1))</f>
        <v>0</v>
      </c>
      <c r="AE217" s="882">
        <f>IF($O218=0,0,        _xll.qDateNext($O217,AE$17,$AH$16,TRUE,Currency1))</f>
        <v>0</v>
      </c>
      <c r="AF217" s="882">
        <f>IF($O218=0,0,        _xll.qDateNext($O217,AF$17,$AH$16,TRUE,Currency1))</f>
        <v>0</v>
      </c>
      <c r="AG217" s="882">
        <f>IF($O218=0,0,        _xll.qDateNext($O217,AG$17,$AH$16,TRUE,Currency1))</f>
        <v>0</v>
      </c>
      <c r="AH217" s="882">
        <f>IF($O218=0,0,        _xll.qDateNext($O217,AH$17,$AH$16,TRUE,Currency1))</f>
        <v>0</v>
      </c>
      <c r="AI217" s="886">
        <f>IF($O218=0,0,           IF(FRM,_xll.qGetFwdRate(AI$14,$O217,AA217,"T",DCC_Leg1_Float),_xll.qGetFwdRate(AI$14,$O217,$O218,"T",DCC_Leg1_Float)))</f>
        <v>0</v>
      </c>
      <c r="AJ217" s="886">
        <f>IF($O218=0,0,           IF(FRM,_xll.qGetFwdRate(AJ$14,$O217,AB217,"T",DCC_Leg1_Float),_xll.qGetFwdRate(AJ$14,$O217,$O218,"T",DCC_Leg1_Float)))</f>
        <v>0</v>
      </c>
      <c r="AK217" s="886">
        <f t="shared" si="100"/>
        <v>0</v>
      </c>
      <c r="AL217" s="886">
        <f>IF($O218=0,0,           IF(FRM,_xll.qGetFwdRate(AL$14,$O217,AD217,"T",DCC_Leg1_Float),_xll.qGetFwdRate(AL$14,$O217,$O218,"T",DCC_Leg1_Float)))</f>
        <v>0</v>
      </c>
      <c r="AM217" s="886">
        <f t="shared" si="113"/>
        <v>0</v>
      </c>
      <c r="AN217" s="886">
        <f t="shared" si="114"/>
        <v>0</v>
      </c>
      <c r="AO217" s="886">
        <f>IF($O218=0,0,           IF(FRM,_xll.qGetFwdRate(AO$14,$O217,AG217,"T",DCC_Leg1_Float),_xll.qGetFwdRate(AO$14,$O217,$O218,"T",DCC_Leg1_Float)))</f>
        <v>0</v>
      </c>
      <c r="AP217" s="886">
        <f>IF($O218=0,0,           IF(FRM,_xll.qGetFwdRate(AP$14,$O217,AH217,"T",DCC_Leg1_Float),_xll.qGetFwdRate(AP$14,$O217,$O218,"T",DCC_Leg1_Float)))</f>
        <v>0</v>
      </c>
      <c r="AQ217" s="648">
        <f t="shared" si="115"/>
        <v>0</v>
      </c>
      <c r="AR217" s="648">
        <f t="shared" si="116"/>
        <v>0</v>
      </c>
      <c r="AS217" s="648">
        <f t="shared" si="117"/>
        <v>0</v>
      </c>
      <c r="AT217" s="648">
        <f t="shared" si="118"/>
        <v>0</v>
      </c>
      <c r="AU217" s="648">
        <f t="shared" si="119"/>
        <v>0</v>
      </c>
      <c r="AV217" s="648">
        <f t="shared" si="120"/>
        <v>0</v>
      </c>
      <c r="AW217" s="648">
        <f t="shared" si="121"/>
        <v>0</v>
      </c>
      <c r="AX217" s="648">
        <f t="shared" si="122"/>
        <v>0</v>
      </c>
      <c r="AY217" s="634">
        <v>0</v>
      </c>
      <c r="AZ217" s="616"/>
      <c r="BA217" s="619">
        <f>IF(O218=0,0,             IF(ISNUMBER(AZ217),AZ217,             IF(ISTEXT(AZ217),INDEX(AQ217:AX217,MATCH(AZ217,$AQ$17:$AX$17,0)),           IF(AY217="INT",_xll.qInterp(O218,AA217:AH217,AQ217:AX217),       INDEX(AQ217:AX217,MATCH(AY217,$AQ$17:$AX$17,0))))))</f>
        <v>0</v>
      </c>
      <c r="BB217" s="674">
        <v>100</v>
      </c>
      <c r="BC217" s="666">
        <f t="shared" si="101"/>
        <v>0</v>
      </c>
      <c r="BD217" s="268">
        <f>IF($O218=0,0,                IF(LEFT(DCC_Leg1_Fixed,2)="1/",uEvaluate(DCC_Leg1_Fixed),        _xll.qDateYears($O217,$O218,DCC_Leg1_Fixed)))</f>
        <v>0</v>
      </c>
      <c r="BE217" s="268">
        <f>IF($O218,_xll.qDateYears($O217,$O218,DCC_Leg1_Float),0)</f>
        <v>0</v>
      </c>
      <c r="BG217" s="332">
        <f t="shared" si="123"/>
        <v>0</v>
      </c>
      <c r="BH217" s="357">
        <f t="shared" si="124"/>
        <v>0</v>
      </c>
      <c r="BI217" s="527"/>
      <c r="BK217" s="324">
        <f t="shared" si="97"/>
        <v>0</v>
      </c>
      <c r="BM217" s="338"/>
      <c r="BN217" s="121">
        <v>0</v>
      </c>
      <c r="BO217" s="755">
        <f t="shared" si="102"/>
        <v>0</v>
      </c>
      <c r="BP217" s="339">
        <v>0</v>
      </c>
      <c r="BQ217" s="890">
        <f>IF(BN218=0,0,         IF(OR(Currency2="AUD",Currency1="NZD",Currency2="GBP"),BN217,   _xll.qDateNext(BN217,"-2b",,,IF(Currency2="EUR","TGT","LON"))))</f>
        <v>0</v>
      </c>
      <c r="BR217" s="879" t="str">
        <v/>
      </c>
      <c r="BS217" s="879" t="str">
        <v/>
      </c>
      <c r="BT217" s="879" t="str">
        <v/>
      </c>
      <c r="BU217" s="879" t="str">
        <v/>
      </c>
      <c r="BV217" s="879" t="str">
        <v/>
      </c>
      <c r="BW217" s="879" t="str">
        <v/>
      </c>
      <c r="BX217" s="879" t="str">
        <v/>
      </c>
      <c r="BY217" s="879" t="str">
        <v/>
      </c>
      <c r="BZ217" s="882">
        <f>IF($BN218=0,0,        _xll.qDateNext($BN217,BZ$17,$CG$16,TRUE,Currency2))</f>
        <v>0</v>
      </c>
      <c r="CA217" s="882">
        <f>IF($BN218=0,0,        _xll.qDateNext($BN217,CA$17,$CG$16,TRUE,Currency2))</f>
        <v>0</v>
      </c>
      <c r="CB217" s="882">
        <f>IF($BN218=0,0,        _xll.qDateNext($BN217,CB$17,$CG$16,TRUE,Currency2))</f>
        <v>0</v>
      </c>
      <c r="CC217" s="882">
        <f>IF($BN218=0,0,        _xll.qDateNext($BN217,CC$17,$CG$16,TRUE,Currency2))</f>
        <v>0</v>
      </c>
      <c r="CD217" s="882">
        <f>IF($BN218=0,0,        _xll.qDateNext($BN217,CD$17,$CG$16,TRUE,Currency2))</f>
        <v>0</v>
      </c>
      <c r="CE217" s="882">
        <f>IF($BN218=0,0,        _xll.qDateNext($BN217,CE$17,$CG$16,TRUE,Currency2))</f>
        <v>0</v>
      </c>
      <c r="CF217" s="882">
        <f>IF($BN218=0,0,        _xll.qDateNext($BN217,CF$17,$CG$16,TRUE,Currency2))</f>
        <v>0</v>
      </c>
      <c r="CG217" s="882">
        <f>IF($BN218=0,0,        _xll.qDateNext($BN217,CG$17,$CG$16,TRUE,Currency2))</f>
        <v>0</v>
      </c>
      <c r="CH217" s="886">
        <v>0</v>
      </c>
      <c r="CI217" s="886">
        <v>0</v>
      </c>
      <c r="CJ217" s="886">
        <v>0</v>
      </c>
      <c r="CK217" s="886">
        <v>0</v>
      </c>
      <c r="CL217" s="886">
        <f t="shared" si="125"/>
        <v>0</v>
      </c>
      <c r="CM217" s="886">
        <f t="shared" si="126"/>
        <v>0</v>
      </c>
      <c r="CN217" s="886">
        <v>0</v>
      </c>
      <c r="CO217" s="886">
        <v>0</v>
      </c>
      <c r="CP217" s="648">
        <f t="shared" si="103"/>
        <v>0</v>
      </c>
      <c r="CQ217" s="648">
        <f t="shared" si="104"/>
        <v>0</v>
      </c>
      <c r="CR217" s="648">
        <f t="shared" si="105"/>
        <v>0</v>
      </c>
      <c r="CS217" s="648">
        <f t="shared" si="106"/>
        <v>0</v>
      </c>
      <c r="CT217" s="648">
        <f t="shared" si="107"/>
        <v>0</v>
      </c>
      <c r="CU217" s="648">
        <f t="shared" si="108"/>
        <v>0</v>
      </c>
      <c r="CV217" s="648">
        <f t="shared" si="109"/>
        <v>0</v>
      </c>
      <c r="CW217" s="648">
        <f t="shared" si="110"/>
        <v>0</v>
      </c>
      <c r="CX217" s="634">
        <v>0</v>
      </c>
      <c r="CY217" s="616"/>
      <c r="CZ217" s="619">
        <f>IF(BN218=0,0,             IF(ISNUMBER(CY217),CY217,             IF(ISTEXT(CY217),INDEX(CP217:CW217,MATCH(CY217,$CP$17:$CW$17,0)),           IF(CX217="INT",_xll.qInterp(BN218,BZ217:CG217,CP217:CW217),       INDEX(CP217:CW217,MATCH(CX217,$CP$17:$CW$17,0))))))</f>
        <v>0</v>
      </c>
      <c r="DA217" s="755">
        <f t="shared" si="111"/>
        <v>0</v>
      </c>
      <c r="DB217" s="387">
        <f t="shared" si="112"/>
        <v>0</v>
      </c>
      <c r="DC217" s="268">
        <f>IF($BN218=0,0,         IF(LEFT(DCC_Leg2_Fixed,2)="1/",uEvaluate(DCC_Leg2_Fixed),         _xll.qDateYears($BN217,$BN218,DCC_Leg2_Fixed)))</f>
        <v>0</v>
      </c>
      <c r="DD217" s="268">
        <f>IF($BN218,_xll.qDateYears($BN217,$BN218,DCC_Leg2_Float),0)</f>
        <v>0</v>
      </c>
      <c r="DF217" s="332">
        <f t="shared" si="127"/>
        <v>0</v>
      </c>
      <c r="DG217" s="357">
        <f t="shared" si="128"/>
        <v>0</v>
      </c>
      <c r="DH217" s="527"/>
      <c r="DJ217" s="324">
        <f t="shared" si="98"/>
        <v>0</v>
      </c>
      <c r="DK217" s="529"/>
      <c r="DL217" s="338"/>
    </row>
    <row r="218" spans="15:116">
      <c r="O218" s="121">
        <v>0</v>
      </c>
      <c r="P218" s="755">
        <f t="shared" si="99"/>
        <v>0</v>
      </c>
      <c r="Q218" s="125">
        <v>0</v>
      </c>
      <c r="R218" s="890">
        <f>IF(O219=0,0,         IF(OR(Currency1="AUD",Currency1="NZD",Currency1="GBP"),O218,   _xll.qDateNext(O218,"-2b",,,IF(Currency1="EUR","TGT","LON"))))</f>
        <v>0</v>
      </c>
      <c r="S218" s="879" t="str">
        <v/>
      </c>
      <c r="T218" s="879" t="str">
        <v/>
      </c>
      <c r="U218" s="879" t="str">
        <v/>
      </c>
      <c r="V218" s="879" t="str">
        <v/>
      </c>
      <c r="W218" s="879" t="str">
        <v/>
      </c>
      <c r="X218" s="879" t="str">
        <v/>
      </c>
      <c r="Y218" s="879" t="str">
        <v/>
      </c>
      <c r="Z218" s="879" t="str">
        <v/>
      </c>
      <c r="AA218" s="882">
        <f>IF($O219=0,0,        _xll.qDateNext($O218,AA$17,$AH$16,TRUE,Currency1))</f>
        <v>0</v>
      </c>
      <c r="AB218" s="882">
        <f>IF($O219=0,0,        _xll.qDateNext($O218,AB$17,$AH$16,TRUE,Currency1))</f>
        <v>0</v>
      </c>
      <c r="AC218" s="882">
        <f>IF($O219=0,0,        _xll.qDateNext($O218,AC$17,$AH$16,TRUE,Currency1))</f>
        <v>0</v>
      </c>
      <c r="AD218" s="882">
        <f>IF($O219=0,0,        _xll.qDateNext($O218,AD$17,$AH$16,TRUE,Currency1))</f>
        <v>0</v>
      </c>
      <c r="AE218" s="882">
        <f>IF($O219=0,0,        _xll.qDateNext($O218,AE$17,$AH$16,TRUE,Currency1))</f>
        <v>0</v>
      </c>
      <c r="AF218" s="882">
        <f>IF($O219=0,0,        _xll.qDateNext($O218,AF$17,$AH$16,TRUE,Currency1))</f>
        <v>0</v>
      </c>
      <c r="AG218" s="882">
        <f>IF($O219=0,0,        _xll.qDateNext($O218,AG$17,$AH$16,TRUE,Currency1))</f>
        <v>0</v>
      </c>
      <c r="AH218" s="882">
        <f>IF($O219=0,0,        _xll.qDateNext($O218,AH$17,$AH$16,TRUE,Currency1))</f>
        <v>0</v>
      </c>
      <c r="AI218" s="886">
        <f>IF($O219=0,0,           IF(FRM,_xll.qGetFwdRate(AI$14,$O218,AA218,"T",DCC_Leg1_Float),_xll.qGetFwdRate(AI$14,$O218,$O219,"T",DCC_Leg1_Float)))</f>
        <v>0</v>
      </c>
      <c r="AJ218" s="886">
        <f>IF($O219=0,0,           IF(FRM,_xll.qGetFwdRate(AJ$14,$O218,AB218,"T",DCC_Leg1_Float),_xll.qGetFwdRate(AJ$14,$O218,$O219,"T",DCC_Leg1_Float)))</f>
        <v>0</v>
      </c>
      <c r="AK218" s="886">
        <f t="shared" si="100"/>
        <v>0</v>
      </c>
      <c r="AL218" s="886">
        <f>IF($O219=0,0,           IF(FRM,_xll.qGetFwdRate(AL$14,$O218,AD218,"T",DCC_Leg1_Float),_xll.qGetFwdRate(AL$14,$O218,$O219,"T",DCC_Leg1_Float)))</f>
        <v>0</v>
      </c>
      <c r="AM218" s="886">
        <f t="shared" si="113"/>
        <v>0</v>
      </c>
      <c r="AN218" s="886">
        <f t="shared" si="114"/>
        <v>0</v>
      </c>
      <c r="AO218" s="886">
        <f>IF($O219=0,0,           IF(FRM,_xll.qGetFwdRate(AO$14,$O218,AG218,"T",DCC_Leg1_Float),_xll.qGetFwdRate(AO$14,$O218,$O219,"T",DCC_Leg1_Float)))</f>
        <v>0</v>
      </c>
      <c r="AP218" s="886">
        <f>IF($O219=0,0,           IF(FRM,_xll.qGetFwdRate(AP$14,$O218,AH218,"T",DCC_Leg1_Float),_xll.qGetFwdRate(AP$14,$O218,$O219,"T",DCC_Leg1_Float)))</f>
        <v>0</v>
      </c>
      <c r="AQ218" s="648">
        <f t="shared" si="115"/>
        <v>0</v>
      </c>
      <c r="AR218" s="648">
        <f t="shared" si="116"/>
        <v>0</v>
      </c>
      <c r="AS218" s="648">
        <f t="shared" si="117"/>
        <v>0</v>
      </c>
      <c r="AT218" s="648">
        <f t="shared" si="118"/>
        <v>0</v>
      </c>
      <c r="AU218" s="648">
        <f t="shared" si="119"/>
        <v>0</v>
      </c>
      <c r="AV218" s="648">
        <f t="shared" si="120"/>
        <v>0</v>
      </c>
      <c r="AW218" s="648">
        <f t="shared" si="121"/>
        <v>0</v>
      </c>
      <c r="AX218" s="648">
        <f t="shared" si="122"/>
        <v>0</v>
      </c>
      <c r="AY218" s="634">
        <v>0</v>
      </c>
      <c r="AZ218" s="616"/>
      <c r="BA218" s="619">
        <f>IF(O219=0,0,             IF(ISNUMBER(AZ218),AZ218,             IF(ISTEXT(AZ218),INDEX(AQ218:AX218,MATCH(AZ218,$AQ$17:$AX$17,0)),           IF(AY218="INT",_xll.qInterp(O219,AA218:AH218,AQ218:AX218),       INDEX(AQ218:AX218,MATCH(AY218,$AQ$17:$AX$17,0))))))</f>
        <v>0</v>
      </c>
      <c r="BB218" s="674">
        <v>100</v>
      </c>
      <c r="BC218" s="666">
        <f t="shared" si="101"/>
        <v>0</v>
      </c>
      <c r="BD218" s="268">
        <f>IF($O219=0,0,                IF(LEFT(DCC_Leg1_Fixed,2)="1/",uEvaluate(DCC_Leg1_Fixed),        _xll.qDateYears($O218,$O219,DCC_Leg1_Fixed)))</f>
        <v>0</v>
      </c>
      <c r="BE218" s="268">
        <f>IF($O219,_xll.qDateYears($O218,$O219,DCC_Leg1_Float),0)</f>
        <v>0</v>
      </c>
      <c r="BG218" s="332">
        <f t="shared" si="123"/>
        <v>0</v>
      </c>
      <c r="BH218" s="357">
        <f t="shared" si="124"/>
        <v>0</v>
      </c>
      <c r="BI218" s="527"/>
      <c r="BK218" s="324">
        <f t="shared" si="97"/>
        <v>0</v>
      </c>
      <c r="BM218" s="338"/>
      <c r="BN218" s="121">
        <v>0</v>
      </c>
      <c r="BO218" s="755">
        <f t="shared" si="102"/>
        <v>0</v>
      </c>
      <c r="BP218" s="339">
        <v>0</v>
      </c>
      <c r="BQ218" s="890">
        <f>IF(BN219=0,0,         IF(OR(Currency2="AUD",Currency1="NZD",Currency2="GBP"),BN218,   _xll.qDateNext(BN218,"-2b",,,IF(Currency2="EUR","TGT","LON"))))</f>
        <v>0</v>
      </c>
      <c r="BR218" s="879" t="str">
        <v/>
      </c>
      <c r="BS218" s="879" t="str">
        <v/>
      </c>
      <c r="BT218" s="879" t="str">
        <v/>
      </c>
      <c r="BU218" s="879" t="str">
        <v/>
      </c>
      <c r="BV218" s="879" t="str">
        <v/>
      </c>
      <c r="BW218" s="879" t="str">
        <v/>
      </c>
      <c r="BX218" s="879" t="str">
        <v/>
      </c>
      <c r="BY218" s="879" t="str">
        <v/>
      </c>
      <c r="BZ218" s="882">
        <f>IF($BN219=0,0,        _xll.qDateNext($BN218,BZ$17,$CG$16,TRUE,Currency2))</f>
        <v>0</v>
      </c>
      <c r="CA218" s="882">
        <f>IF($BN219=0,0,        _xll.qDateNext($BN218,CA$17,$CG$16,TRUE,Currency2))</f>
        <v>0</v>
      </c>
      <c r="CB218" s="882">
        <f>IF($BN219=0,0,        _xll.qDateNext($BN218,CB$17,$CG$16,TRUE,Currency2))</f>
        <v>0</v>
      </c>
      <c r="CC218" s="882">
        <f>IF($BN219=0,0,        _xll.qDateNext($BN218,CC$17,$CG$16,TRUE,Currency2))</f>
        <v>0</v>
      </c>
      <c r="CD218" s="882">
        <f>IF($BN219=0,0,        _xll.qDateNext($BN218,CD$17,$CG$16,TRUE,Currency2))</f>
        <v>0</v>
      </c>
      <c r="CE218" s="882">
        <f>IF($BN219=0,0,        _xll.qDateNext($BN218,CE$17,$CG$16,TRUE,Currency2))</f>
        <v>0</v>
      </c>
      <c r="CF218" s="882">
        <f>IF($BN219=0,0,        _xll.qDateNext($BN218,CF$17,$CG$16,TRUE,Currency2))</f>
        <v>0</v>
      </c>
      <c r="CG218" s="882">
        <f>IF($BN219=0,0,        _xll.qDateNext($BN218,CG$17,$CG$16,TRUE,Currency2))</f>
        <v>0</v>
      </c>
      <c r="CH218" s="886">
        <v>0</v>
      </c>
      <c r="CI218" s="886">
        <v>0</v>
      </c>
      <c r="CJ218" s="886">
        <v>0</v>
      </c>
      <c r="CK218" s="886">
        <v>0</v>
      </c>
      <c r="CL218" s="886">
        <f t="shared" si="125"/>
        <v>0</v>
      </c>
      <c r="CM218" s="886">
        <f t="shared" si="126"/>
        <v>0</v>
      </c>
      <c r="CN218" s="886">
        <v>0</v>
      </c>
      <c r="CO218" s="886">
        <v>0</v>
      </c>
      <c r="CP218" s="648">
        <f t="shared" si="103"/>
        <v>0</v>
      </c>
      <c r="CQ218" s="648">
        <f t="shared" si="104"/>
        <v>0</v>
      </c>
      <c r="CR218" s="648">
        <f t="shared" si="105"/>
        <v>0</v>
      </c>
      <c r="CS218" s="648">
        <f t="shared" si="106"/>
        <v>0</v>
      </c>
      <c r="CT218" s="648">
        <f t="shared" si="107"/>
        <v>0</v>
      </c>
      <c r="CU218" s="648">
        <f t="shared" si="108"/>
        <v>0</v>
      </c>
      <c r="CV218" s="648">
        <f t="shared" si="109"/>
        <v>0</v>
      </c>
      <c r="CW218" s="648">
        <f t="shared" si="110"/>
        <v>0</v>
      </c>
      <c r="CX218" s="634">
        <v>0</v>
      </c>
      <c r="CY218" s="616"/>
      <c r="CZ218" s="619">
        <f>IF(BN219=0,0,             IF(ISNUMBER(CY218),CY218,             IF(ISTEXT(CY218),INDEX(CP218:CW218,MATCH(CY218,$CP$17:$CW$17,0)),           IF(CX218="INT",_xll.qInterp(BN219,BZ218:CG218,CP218:CW218),       INDEX(CP218:CW218,MATCH(CX218,$CP$17:$CW$17,0))))))</f>
        <v>0</v>
      </c>
      <c r="DA218" s="755">
        <f t="shared" si="111"/>
        <v>0</v>
      </c>
      <c r="DB218" s="387">
        <f t="shared" si="112"/>
        <v>0</v>
      </c>
      <c r="DC218" s="268">
        <f>IF($BN219=0,0,         IF(LEFT(DCC_Leg2_Fixed,2)="1/",uEvaluate(DCC_Leg2_Fixed),         _xll.qDateYears($BN218,$BN219,DCC_Leg2_Fixed)))</f>
        <v>0</v>
      </c>
      <c r="DD218" s="268">
        <f>IF($BN219,_xll.qDateYears($BN218,$BN219,DCC_Leg2_Float),0)</f>
        <v>0</v>
      </c>
      <c r="DF218" s="332">
        <f t="shared" si="127"/>
        <v>0</v>
      </c>
      <c r="DG218" s="357">
        <f t="shared" si="128"/>
        <v>0</v>
      </c>
      <c r="DH218" s="527"/>
      <c r="DJ218" s="324">
        <f t="shared" si="98"/>
        <v>0</v>
      </c>
      <c r="DK218" s="529"/>
      <c r="DL218" s="338"/>
    </row>
    <row r="219" spans="15:116">
      <c r="O219" s="121">
        <v>0</v>
      </c>
      <c r="P219" s="755">
        <f t="shared" si="99"/>
        <v>0</v>
      </c>
      <c r="Q219" s="125">
        <v>0</v>
      </c>
      <c r="R219" s="890">
        <f>IF(O220=0,0,         IF(OR(Currency1="AUD",Currency1="NZD",Currency1="GBP"),O219,   _xll.qDateNext(O219,"-2b",,,IF(Currency1="EUR","TGT","LON"))))</f>
        <v>0</v>
      </c>
      <c r="S219" s="879" t="str">
        <v/>
      </c>
      <c r="T219" s="879" t="str">
        <v/>
      </c>
      <c r="U219" s="879" t="str">
        <v/>
      </c>
      <c r="V219" s="879" t="str">
        <v/>
      </c>
      <c r="W219" s="879" t="str">
        <v/>
      </c>
      <c r="X219" s="879" t="str">
        <v/>
      </c>
      <c r="Y219" s="879" t="str">
        <v/>
      </c>
      <c r="Z219" s="879" t="str">
        <v/>
      </c>
      <c r="AA219" s="882">
        <f>IF($O220=0,0,        _xll.qDateNext($O219,AA$17,$AH$16,TRUE,Currency1))</f>
        <v>0</v>
      </c>
      <c r="AB219" s="882">
        <f>IF($O220=0,0,        _xll.qDateNext($O219,AB$17,$AH$16,TRUE,Currency1))</f>
        <v>0</v>
      </c>
      <c r="AC219" s="882">
        <f>IF($O220=0,0,        _xll.qDateNext($O219,AC$17,$AH$16,TRUE,Currency1))</f>
        <v>0</v>
      </c>
      <c r="AD219" s="882">
        <f>IF($O220=0,0,        _xll.qDateNext($O219,AD$17,$AH$16,TRUE,Currency1))</f>
        <v>0</v>
      </c>
      <c r="AE219" s="882">
        <f>IF($O220=0,0,        _xll.qDateNext($O219,AE$17,$AH$16,TRUE,Currency1))</f>
        <v>0</v>
      </c>
      <c r="AF219" s="882">
        <f>IF($O220=0,0,        _xll.qDateNext($O219,AF$17,$AH$16,TRUE,Currency1))</f>
        <v>0</v>
      </c>
      <c r="AG219" s="882">
        <f>IF($O220=0,0,        _xll.qDateNext($O219,AG$17,$AH$16,TRUE,Currency1))</f>
        <v>0</v>
      </c>
      <c r="AH219" s="882">
        <f>IF($O220=0,0,        _xll.qDateNext($O219,AH$17,$AH$16,TRUE,Currency1))</f>
        <v>0</v>
      </c>
      <c r="AI219" s="886">
        <f>IF($O220=0,0,           IF(FRM,_xll.qGetFwdRate(AI$14,$O219,AA219,"T",DCC_Leg1_Float),_xll.qGetFwdRate(AI$14,$O219,$O220,"T",DCC_Leg1_Float)))</f>
        <v>0</v>
      </c>
      <c r="AJ219" s="886">
        <f>IF($O220=0,0,           IF(FRM,_xll.qGetFwdRate(AJ$14,$O219,AB219,"T",DCC_Leg1_Float),_xll.qGetFwdRate(AJ$14,$O219,$O220,"T",DCC_Leg1_Float)))</f>
        <v>0</v>
      </c>
      <c r="AK219" s="886">
        <f t="shared" si="100"/>
        <v>0</v>
      </c>
      <c r="AL219" s="886">
        <f>IF($O220=0,0,           IF(FRM,_xll.qGetFwdRate(AL$14,$O219,AD219,"T",DCC_Leg1_Float),_xll.qGetFwdRate(AL$14,$O219,$O220,"T",DCC_Leg1_Float)))</f>
        <v>0</v>
      </c>
      <c r="AM219" s="886">
        <f t="shared" si="113"/>
        <v>0</v>
      </c>
      <c r="AN219" s="886">
        <f t="shared" si="114"/>
        <v>0</v>
      </c>
      <c r="AO219" s="886">
        <f>IF($O220=0,0,           IF(FRM,_xll.qGetFwdRate(AO$14,$O219,AG219,"T",DCC_Leg1_Float),_xll.qGetFwdRate(AO$14,$O219,$O220,"T",DCC_Leg1_Float)))</f>
        <v>0</v>
      </c>
      <c r="AP219" s="886">
        <f>IF($O220=0,0,           IF(FRM,_xll.qGetFwdRate(AP$14,$O219,AH219,"T",DCC_Leg1_Float),_xll.qGetFwdRate(AP$14,$O219,$O220,"T",DCC_Leg1_Float)))</f>
        <v>0</v>
      </c>
      <c r="AQ219" s="648">
        <f t="shared" si="115"/>
        <v>0</v>
      </c>
      <c r="AR219" s="648">
        <f t="shared" si="116"/>
        <v>0</v>
      </c>
      <c r="AS219" s="648">
        <f t="shared" si="117"/>
        <v>0</v>
      </c>
      <c r="AT219" s="648">
        <f t="shared" si="118"/>
        <v>0</v>
      </c>
      <c r="AU219" s="648">
        <f t="shared" si="119"/>
        <v>0</v>
      </c>
      <c r="AV219" s="648">
        <f t="shared" si="120"/>
        <v>0</v>
      </c>
      <c r="AW219" s="648">
        <f t="shared" si="121"/>
        <v>0</v>
      </c>
      <c r="AX219" s="648">
        <f t="shared" si="122"/>
        <v>0</v>
      </c>
      <c r="AY219" s="634">
        <v>0</v>
      </c>
      <c r="AZ219" s="616"/>
      <c r="BA219" s="619">
        <f>IF(O220=0,0,             IF(ISNUMBER(AZ219),AZ219,             IF(ISTEXT(AZ219),INDEX(AQ219:AX219,MATCH(AZ219,$AQ$17:$AX$17,0)),           IF(AY219="INT",_xll.qInterp(O220,AA219:AH219,AQ219:AX219),       INDEX(AQ219:AX219,MATCH(AY219,$AQ$17:$AX$17,0))))))</f>
        <v>0</v>
      </c>
      <c r="BB219" s="674">
        <v>100</v>
      </c>
      <c r="BC219" s="666">
        <f t="shared" si="101"/>
        <v>0</v>
      </c>
      <c r="BD219" s="268">
        <f>IF($O220=0,0,                IF(LEFT(DCC_Leg1_Fixed,2)="1/",uEvaluate(DCC_Leg1_Fixed),        _xll.qDateYears($O219,$O220,DCC_Leg1_Fixed)))</f>
        <v>0</v>
      </c>
      <c r="BE219" s="268">
        <f>IF($O220,_xll.qDateYears($O219,$O220,DCC_Leg1_Float),0)</f>
        <v>0</v>
      </c>
      <c r="BG219" s="332">
        <f t="shared" si="123"/>
        <v>0</v>
      </c>
      <c r="BH219" s="357">
        <f t="shared" si="124"/>
        <v>0</v>
      </c>
      <c r="BI219" s="527"/>
      <c r="BK219" s="324">
        <f t="shared" si="97"/>
        <v>0</v>
      </c>
      <c r="BM219" s="338"/>
      <c r="BN219" s="121">
        <v>0</v>
      </c>
      <c r="BO219" s="755">
        <f t="shared" si="102"/>
        <v>0</v>
      </c>
      <c r="BP219" s="339">
        <v>0</v>
      </c>
      <c r="BQ219" s="890">
        <f>IF(BN220=0,0,         IF(OR(Currency2="AUD",Currency1="NZD",Currency2="GBP"),BN219,   _xll.qDateNext(BN219,"-2b",,,IF(Currency2="EUR","TGT","LON"))))</f>
        <v>0</v>
      </c>
      <c r="BR219" s="879" t="str">
        <v/>
      </c>
      <c r="BS219" s="879" t="str">
        <v/>
      </c>
      <c r="BT219" s="879" t="str">
        <v/>
      </c>
      <c r="BU219" s="879" t="str">
        <v/>
      </c>
      <c r="BV219" s="879" t="str">
        <v/>
      </c>
      <c r="BW219" s="879" t="str">
        <v/>
      </c>
      <c r="BX219" s="879" t="str">
        <v/>
      </c>
      <c r="BY219" s="879" t="str">
        <v/>
      </c>
      <c r="BZ219" s="882">
        <f>IF($BN220=0,0,        _xll.qDateNext($BN219,BZ$17,$CG$16,TRUE,Currency2))</f>
        <v>0</v>
      </c>
      <c r="CA219" s="882">
        <f>IF($BN220=0,0,        _xll.qDateNext($BN219,CA$17,$CG$16,TRUE,Currency2))</f>
        <v>0</v>
      </c>
      <c r="CB219" s="882">
        <f>IF($BN220=0,0,        _xll.qDateNext($BN219,CB$17,$CG$16,TRUE,Currency2))</f>
        <v>0</v>
      </c>
      <c r="CC219" s="882">
        <f>IF($BN220=0,0,        _xll.qDateNext($BN219,CC$17,$CG$16,TRUE,Currency2))</f>
        <v>0</v>
      </c>
      <c r="CD219" s="882">
        <f>IF($BN220=0,0,        _xll.qDateNext($BN219,CD$17,$CG$16,TRUE,Currency2))</f>
        <v>0</v>
      </c>
      <c r="CE219" s="882">
        <f>IF($BN220=0,0,        _xll.qDateNext($BN219,CE$17,$CG$16,TRUE,Currency2))</f>
        <v>0</v>
      </c>
      <c r="CF219" s="882">
        <f>IF($BN220=0,0,        _xll.qDateNext($BN219,CF$17,$CG$16,TRUE,Currency2))</f>
        <v>0</v>
      </c>
      <c r="CG219" s="882">
        <f>IF($BN220=0,0,        _xll.qDateNext($BN219,CG$17,$CG$16,TRUE,Currency2))</f>
        <v>0</v>
      </c>
      <c r="CH219" s="886">
        <v>0</v>
      </c>
      <c r="CI219" s="886">
        <v>0</v>
      </c>
      <c r="CJ219" s="886">
        <v>0</v>
      </c>
      <c r="CK219" s="886">
        <v>0</v>
      </c>
      <c r="CL219" s="886">
        <f t="shared" si="125"/>
        <v>0</v>
      </c>
      <c r="CM219" s="886">
        <f t="shared" si="126"/>
        <v>0</v>
      </c>
      <c r="CN219" s="886">
        <v>0</v>
      </c>
      <c r="CO219" s="886">
        <v>0</v>
      </c>
      <c r="CP219" s="648">
        <f t="shared" si="103"/>
        <v>0</v>
      </c>
      <c r="CQ219" s="648">
        <f t="shared" si="104"/>
        <v>0</v>
      </c>
      <c r="CR219" s="648">
        <f t="shared" si="105"/>
        <v>0</v>
      </c>
      <c r="CS219" s="648">
        <f t="shared" si="106"/>
        <v>0</v>
      </c>
      <c r="CT219" s="648">
        <f t="shared" si="107"/>
        <v>0</v>
      </c>
      <c r="CU219" s="648">
        <f t="shared" si="108"/>
        <v>0</v>
      </c>
      <c r="CV219" s="648">
        <f t="shared" si="109"/>
        <v>0</v>
      </c>
      <c r="CW219" s="648">
        <f t="shared" si="110"/>
        <v>0</v>
      </c>
      <c r="CX219" s="634">
        <v>0</v>
      </c>
      <c r="CY219" s="616"/>
      <c r="CZ219" s="619">
        <f>IF(BN220=0,0,             IF(ISNUMBER(CY219),CY219,             IF(ISTEXT(CY219),INDEX(CP219:CW219,MATCH(CY219,$CP$17:$CW$17,0)),           IF(CX219="INT",_xll.qInterp(BN220,BZ219:CG219,CP219:CW219),       INDEX(CP219:CW219,MATCH(CX219,$CP$17:$CW$17,0))))))</f>
        <v>0</v>
      </c>
      <c r="DA219" s="755">
        <f t="shared" si="111"/>
        <v>0</v>
      </c>
      <c r="DB219" s="387">
        <f t="shared" si="112"/>
        <v>0</v>
      </c>
      <c r="DC219" s="268">
        <f>IF($BN220=0,0,         IF(LEFT(DCC_Leg2_Fixed,2)="1/",uEvaluate(DCC_Leg2_Fixed),         _xll.qDateYears($BN219,$BN220,DCC_Leg2_Fixed)))</f>
        <v>0</v>
      </c>
      <c r="DD219" s="268">
        <f>IF($BN220,_xll.qDateYears($BN219,$BN220,DCC_Leg2_Float),0)</f>
        <v>0</v>
      </c>
      <c r="DF219" s="332">
        <f t="shared" si="127"/>
        <v>0</v>
      </c>
      <c r="DG219" s="357">
        <f t="shared" si="128"/>
        <v>0</v>
      </c>
      <c r="DH219" s="527"/>
      <c r="DJ219" s="324">
        <f t="shared" si="98"/>
        <v>0</v>
      </c>
      <c r="DK219" s="529"/>
      <c r="DL219" s="338"/>
    </row>
    <row r="220" spans="15:116">
      <c r="O220" s="121">
        <v>0</v>
      </c>
      <c r="P220" s="755">
        <f t="shared" si="99"/>
        <v>0</v>
      </c>
      <c r="Q220" s="125">
        <v>0</v>
      </c>
      <c r="R220" s="890">
        <f>IF(O221=0,0,         IF(OR(Currency1="AUD",Currency1="NZD",Currency1="GBP"),O220,   _xll.qDateNext(O220,"-2b",,,IF(Currency1="EUR","TGT","LON"))))</f>
        <v>0</v>
      </c>
      <c r="S220" s="879" t="str">
        <v/>
      </c>
      <c r="T220" s="879" t="str">
        <v/>
      </c>
      <c r="U220" s="879" t="str">
        <v/>
      </c>
      <c r="V220" s="879" t="str">
        <v/>
      </c>
      <c r="W220" s="879" t="str">
        <v/>
      </c>
      <c r="X220" s="879" t="str">
        <v/>
      </c>
      <c r="Y220" s="879" t="str">
        <v/>
      </c>
      <c r="Z220" s="879" t="str">
        <v/>
      </c>
      <c r="AA220" s="882">
        <f>IF($O221=0,0,        _xll.qDateNext($O220,AA$17,$AH$16,TRUE,Currency1))</f>
        <v>0</v>
      </c>
      <c r="AB220" s="882">
        <f>IF($O221=0,0,        _xll.qDateNext($O220,AB$17,$AH$16,TRUE,Currency1))</f>
        <v>0</v>
      </c>
      <c r="AC220" s="882">
        <f>IF($O221=0,0,        _xll.qDateNext($O220,AC$17,$AH$16,TRUE,Currency1))</f>
        <v>0</v>
      </c>
      <c r="AD220" s="882">
        <f>IF($O221=0,0,        _xll.qDateNext($O220,AD$17,$AH$16,TRUE,Currency1))</f>
        <v>0</v>
      </c>
      <c r="AE220" s="882">
        <f>IF($O221=0,0,        _xll.qDateNext($O220,AE$17,$AH$16,TRUE,Currency1))</f>
        <v>0</v>
      </c>
      <c r="AF220" s="882">
        <f>IF($O221=0,0,        _xll.qDateNext($O220,AF$17,$AH$16,TRUE,Currency1))</f>
        <v>0</v>
      </c>
      <c r="AG220" s="882">
        <f>IF($O221=0,0,        _xll.qDateNext($O220,AG$17,$AH$16,TRUE,Currency1))</f>
        <v>0</v>
      </c>
      <c r="AH220" s="882">
        <f>IF($O221=0,0,        _xll.qDateNext($O220,AH$17,$AH$16,TRUE,Currency1))</f>
        <v>0</v>
      </c>
      <c r="AI220" s="886">
        <f>IF($O221=0,0,           IF(FRM,_xll.qGetFwdRate(AI$14,$O220,AA220,"T",DCC_Leg1_Float),_xll.qGetFwdRate(AI$14,$O220,$O221,"T",DCC_Leg1_Float)))</f>
        <v>0</v>
      </c>
      <c r="AJ220" s="886">
        <f>IF($O221=0,0,           IF(FRM,_xll.qGetFwdRate(AJ$14,$O220,AB220,"T",DCC_Leg1_Float),_xll.qGetFwdRate(AJ$14,$O220,$O221,"T",DCC_Leg1_Float)))</f>
        <v>0</v>
      </c>
      <c r="AK220" s="886">
        <f t="shared" si="100"/>
        <v>0</v>
      </c>
      <c r="AL220" s="886">
        <f>IF($O221=0,0,           IF(FRM,_xll.qGetFwdRate(AL$14,$O220,AD220,"T",DCC_Leg1_Float),_xll.qGetFwdRate(AL$14,$O220,$O221,"T",DCC_Leg1_Float)))</f>
        <v>0</v>
      </c>
      <c r="AM220" s="886">
        <f t="shared" si="113"/>
        <v>0</v>
      </c>
      <c r="AN220" s="886">
        <f t="shared" si="114"/>
        <v>0</v>
      </c>
      <c r="AO220" s="886">
        <f>IF($O221=0,0,           IF(FRM,_xll.qGetFwdRate(AO$14,$O220,AG220,"T",DCC_Leg1_Float),_xll.qGetFwdRate(AO$14,$O220,$O221,"T",DCC_Leg1_Float)))</f>
        <v>0</v>
      </c>
      <c r="AP220" s="886">
        <f>IF($O221=0,0,           IF(FRM,_xll.qGetFwdRate(AP$14,$O220,AH220,"T",DCC_Leg1_Float),_xll.qGetFwdRate(AP$14,$O220,$O221,"T",DCC_Leg1_Float)))</f>
        <v>0</v>
      </c>
      <c r="AQ220" s="648">
        <f t="shared" si="115"/>
        <v>0</v>
      </c>
      <c r="AR220" s="648">
        <f t="shared" si="116"/>
        <v>0</v>
      </c>
      <c r="AS220" s="648">
        <f t="shared" si="117"/>
        <v>0</v>
      </c>
      <c r="AT220" s="648">
        <f t="shared" si="118"/>
        <v>0</v>
      </c>
      <c r="AU220" s="648">
        <f t="shared" si="119"/>
        <v>0</v>
      </c>
      <c r="AV220" s="648">
        <f t="shared" si="120"/>
        <v>0</v>
      </c>
      <c r="AW220" s="648">
        <f t="shared" si="121"/>
        <v>0</v>
      </c>
      <c r="AX220" s="648">
        <f t="shared" si="122"/>
        <v>0</v>
      </c>
      <c r="AY220" s="634">
        <v>0</v>
      </c>
      <c r="AZ220" s="616"/>
      <c r="BA220" s="619">
        <f>IF(O221=0,0,             IF(ISNUMBER(AZ220),AZ220,             IF(ISTEXT(AZ220),INDEX(AQ220:AX220,MATCH(AZ220,$AQ$17:$AX$17,0)),           IF(AY220="INT",_xll.qInterp(O221,AA220:AH220,AQ220:AX220),       INDEX(AQ220:AX220,MATCH(AY220,$AQ$17:$AX$17,0))))))</f>
        <v>0</v>
      </c>
      <c r="BB220" s="674">
        <v>100</v>
      </c>
      <c r="BC220" s="666">
        <f t="shared" si="101"/>
        <v>0</v>
      </c>
      <c r="BD220" s="268">
        <f>IF($O221=0,0,                IF(LEFT(DCC_Leg1_Fixed,2)="1/",uEvaluate(DCC_Leg1_Fixed),        _xll.qDateYears($O220,$O221,DCC_Leg1_Fixed)))</f>
        <v>0</v>
      </c>
      <c r="BE220" s="268">
        <f>IF($O221,_xll.qDateYears($O220,$O221,DCC_Leg1_Float),0)</f>
        <v>0</v>
      </c>
      <c r="BG220" s="332">
        <f t="shared" si="123"/>
        <v>0</v>
      </c>
      <c r="BH220" s="357">
        <f t="shared" si="124"/>
        <v>0</v>
      </c>
      <c r="BI220" s="527"/>
      <c r="BK220" s="324">
        <f t="shared" si="97"/>
        <v>0</v>
      </c>
      <c r="BM220" s="338"/>
      <c r="BN220" s="121">
        <v>0</v>
      </c>
      <c r="BO220" s="755">
        <f t="shared" si="102"/>
        <v>0</v>
      </c>
      <c r="BP220" s="339">
        <v>0</v>
      </c>
      <c r="BQ220" s="890">
        <f>IF(BN221=0,0,         IF(OR(Currency2="AUD",Currency1="NZD",Currency2="GBP"),BN220,   _xll.qDateNext(BN220,"-2b",,,IF(Currency2="EUR","TGT","LON"))))</f>
        <v>0</v>
      </c>
      <c r="BR220" s="879" t="str">
        <v/>
      </c>
      <c r="BS220" s="879" t="str">
        <v/>
      </c>
      <c r="BT220" s="879" t="str">
        <v/>
      </c>
      <c r="BU220" s="879" t="str">
        <v/>
      </c>
      <c r="BV220" s="879" t="str">
        <v/>
      </c>
      <c r="BW220" s="879" t="str">
        <v/>
      </c>
      <c r="BX220" s="879" t="str">
        <v/>
      </c>
      <c r="BY220" s="879" t="str">
        <v/>
      </c>
      <c r="BZ220" s="882">
        <f>IF($BN221=0,0,        _xll.qDateNext($BN220,BZ$17,$CG$16,TRUE,Currency2))</f>
        <v>0</v>
      </c>
      <c r="CA220" s="882">
        <f>IF($BN221=0,0,        _xll.qDateNext($BN220,CA$17,$CG$16,TRUE,Currency2))</f>
        <v>0</v>
      </c>
      <c r="CB220" s="882">
        <f>IF($BN221=0,0,        _xll.qDateNext($BN220,CB$17,$CG$16,TRUE,Currency2))</f>
        <v>0</v>
      </c>
      <c r="CC220" s="882">
        <f>IF($BN221=0,0,        _xll.qDateNext($BN220,CC$17,$CG$16,TRUE,Currency2))</f>
        <v>0</v>
      </c>
      <c r="CD220" s="882">
        <f>IF($BN221=0,0,        _xll.qDateNext($BN220,CD$17,$CG$16,TRUE,Currency2))</f>
        <v>0</v>
      </c>
      <c r="CE220" s="882">
        <f>IF($BN221=0,0,        _xll.qDateNext($BN220,CE$17,$CG$16,TRUE,Currency2))</f>
        <v>0</v>
      </c>
      <c r="CF220" s="882">
        <f>IF($BN221=0,0,        _xll.qDateNext($BN220,CF$17,$CG$16,TRUE,Currency2))</f>
        <v>0</v>
      </c>
      <c r="CG220" s="882">
        <f>IF($BN221=0,0,        _xll.qDateNext($BN220,CG$17,$CG$16,TRUE,Currency2))</f>
        <v>0</v>
      </c>
      <c r="CH220" s="886">
        <v>0</v>
      </c>
      <c r="CI220" s="886">
        <v>0</v>
      </c>
      <c r="CJ220" s="886">
        <v>0</v>
      </c>
      <c r="CK220" s="886">
        <v>0</v>
      </c>
      <c r="CL220" s="886">
        <f t="shared" si="125"/>
        <v>0</v>
      </c>
      <c r="CM220" s="886">
        <f t="shared" si="126"/>
        <v>0</v>
      </c>
      <c r="CN220" s="886">
        <v>0</v>
      </c>
      <c r="CO220" s="886">
        <v>0</v>
      </c>
      <c r="CP220" s="648">
        <f t="shared" si="103"/>
        <v>0</v>
      </c>
      <c r="CQ220" s="648">
        <f t="shared" si="104"/>
        <v>0</v>
      </c>
      <c r="CR220" s="648">
        <f t="shared" si="105"/>
        <v>0</v>
      </c>
      <c r="CS220" s="648">
        <f t="shared" si="106"/>
        <v>0</v>
      </c>
      <c r="CT220" s="648">
        <f t="shared" si="107"/>
        <v>0</v>
      </c>
      <c r="CU220" s="648">
        <f t="shared" si="108"/>
        <v>0</v>
      </c>
      <c r="CV220" s="648">
        <f t="shared" si="109"/>
        <v>0</v>
      </c>
      <c r="CW220" s="648">
        <f t="shared" si="110"/>
        <v>0</v>
      </c>
      <c r="CX220" s="634">
        <v>0</v>
      </c>
      <c r="CY220" s="616"/>
      <c r="CZ220" s="619">
        <f>IF(BN221=0,0,             IF(ISNUMBER(CY220),CY220,             IF(ISTEXT(CY220),INDEX(CP220:CW220,MATCH(CY220,$CP$17:$CW$17,0)),           IF(CX220="INT",_xll.qInterp(BN221,BZ220:CG220,CP220:CW220),       INDEX(CP220:CW220,MATCH(CX220,$CP$17:$CW$17,0))))))</f>
        <v>0</v>
      </c>
      <c r="DA220" s="755">
        <f t="shared" si="111"/>
        <v>0</v>
      </c>
      <c r="DB220" s="387">
        <f t="shared" si="112"/>
        <v>0</v>
      </c>
      <c r="DC220" s="268">
        <f>IF($BN221=0,0,         IF(LEFT(DCC_Leg2_Fixed,2)="1/",uEvaluate(DCC_Leg2_Fixed),         _xll.qDateYears($BN220,$BN221,DCC_Leg2_Fixed)))</f>
        <v>0</v>
      </c>
      <c r="DD220" s="268">
        <f>IF($BN221,_xll.qDateYears($BN220,$BN221,DCC_Leg2_Float),0)</f>
        <v>0</v>
      </c>
      <c r="DF220" s="332">
        <f t="shared" si="127"/>
        <v>0</v>
      </c>
      <c r="DG220" s="357">
        <f t="shared" si="128"/>
        <v>0</v>
      </c>
      <c r="DH220" s="527"/>
      <c r="DJ220" s="324">
        <f t="shared" si="98"/>
        <v>0</v>
      </c>
      <c r="DK220" s="529"/>
      <c r="DL220" s="338"/>
    </row>
    <row r="221" spans="15:116">
      <c r="O221" s="121">
        <v>0</v>
      </c>
      <c r="P221" s="755">
        <f t="shared" si="99"/>
        <v>0</v>
      </c>
      <c r="Q221" s="125">
        <v>0</v>
      </c>
      <c r="R221" s="890">
        <f>IF(O222=0,0,         IF(OR(Currency1="AUD",Currency1="NZD",Currency1="GBP"),O221,   _xll.qDateNext(O221,"-2b",,,IF(Currency1="EUR","TGT","LON"))))</f>
        <v>0</v>
      </c>
      <c r="S221" s="879" t="str">
        <v/>
      </c>
      <c r="T221" s="879" t="str">
        <v/>
      </c>
      <c r="U221" s="879" t="str">
        <v/>
      </c>
      <c r="V221" s="879" t="str">
        <v/>
      </c>
      <c r="W221" s="879" t="str">
        <v/>
      </c>
      <c r="X221" s="879" t="str">
        <v/>
      </c>
      <c r="Y221" s="879" t="str">
        <v/>
      </c>
      <c r="Z221" s="879" t="str">
        <v/>
      </c>
      <c r="AA221" s="882">
        <f>IF($O222=0,0,        _xll.qDateNext($O221,AA$17,$AH$16,TRUE,Currency1))</f>
        <v>0</v>
      </c>
      <c r="AB221" s="882">
        <f>IF($O222=0,0,        _xll.qDateNext($O221,AB$17,$AH$16,TRUE,Currency1))</f>
        <v>0</v>
      </c>
      <c r="AC221" s="882">
        <f>IF($O222=0,0,        _xll.qDateNext($O221,AC$17,$AH$16,TRUE,Currency1))</f>
        <v>0</v>
      </c>
      <c r="AD221" s="882">
        <f>IF($O222=0,0,        _xll.qDateNext($O221,AD$17,$AH$16,TRUE,Currency1))</f>
        <v>0</v>
      </c>
      <c r="AE221" s="882">
        <f>IF($O222=0,0,        _xll.qDateNext($O221,AE$17,$AH$16,TRUE,Currency1))</f>
        <v>0</v>
      </c>
      <c r="AF221" s="882">
        <f>IF($O222=0,0,        _xll.qDateNext($O221,AF$17,$AH$16,TRUE,Currency1))</f>
        <v>0</v>
      </c>
      <c r="AG221" s="882">
        <f>IF($O222=0,0,        _xll.qDateNext($O221,AG$17,$AH$16,TRUE,Currency1))</f>
        <v>0</v>
      </c>
      <c r="AH221" s="882">
        <f>IF($O222=0,0,        _xll.qDateNext($O221,AH$17,$AH$16,TRUE,Currency1))</f>
        <v>0</v>
      </c>
      <c r="AI221" s="886">
        <f>IF($O222=0,0,           IF(FRM,_xll.qGetFwdRate(AI$14,$O221,AA221,"T",DCC_Leg1_Float),_xll.qGetFwdRate(AI$14,$O221,$O222,"T",DCC_Leg1_Float)))</f>
        <v>0</v>
      </c>
      <c r="AJ221" s="886">
        <f>IF($O222=0,0,           IF(FRM,_xll.qGetFwdRate(AJ$14,$O221,AB221,"T",DCC_Leg1_Float),_xll.qGetFwdRate(AJ$14,$O221,$O222,"T",DCC_Leg1_Float)))</f>
        <v>0</v>
      </c>
      <c r="AK221" s="886">
        <f t="shared" si="100"/>
        <v>0</v>
      </c>
      <c r="AL221" s="886">
        <f>IF($O222=0,0,           IF(FRM,_xll.qGetFwdRate(AL$14,$O221,AD221,"T",DCC_Leg1_Float),_xll.qGetFwdRate(AL$14,$O221,$O222,"T",DCC_Leg1_Float)))</f>
        <v>0</v>
      </c>
      <c r="AM221" s="886">
        <f t="shared" si="113"/>
        <v>0</v>
      </c>
      <c r="AN221" s="886">
        <f t="shared" si="114"/>
        <v>0</v>
      </c>
      <c r="AO221" s="886">
        <f>IF($O222=0,0,           IF(FRM,_xll.qGetFwdRate(AO$14,$O221,AG221,"T",DCC_Leg1_Float),_xll.qGetFwdRate(AO$14,$O221,$O222,"T",DCC_Leg1_Float)))</f>
        <v>0</v>
      </c>
      <c r="AP221" s="886">
        <f>IF($O222=0,0,           IF(FRM,_xll.qGetFwdRate(AP$14,$O221,AH221,"T",DCC_Leg1_Float),_xll.qGetFwdRate(AP$14,$O221,$O222,"T",DCC_Leg1_Float)))</f>
        <v>0</v>
      </c>
      <c r="AQ221" s="648">
        <f t="shared" si="115"/>
        <v>0</v>
      </c>
      <c r="AR221" s="648">
        <f t="shared" si="116"/>
        <v>0</v>
      </c>
      <c r="AS221" s="648">
        <f t="shared" si="117"/>
        <v>0</v>
      </c>
      <c r="AT221" s="648">
        <f t="shared" si="118"/>
        <v>0</v>
      </c>
      <c r="AU221" s="648">
        <f t="shared" si="119"/>
        <v>0</v>
      </c>
      <c r="AV221" s="648">
        <f t="shared" si="120"/>
        <v>0</v>
      </c>
      <c r="AW221" s="648">
        <f t="shared" si="121"/>
        <v>0</v>
      </c>
      <c r="AX221" s="648">
        <f t="shared" si="122"/>
        <v>0</v>
      </c>
      <c r="AY221" s="634">
        <v>0</v>
      </c>
      <c r="AZ221" s="616"/>
      <c r="BA221" s="619">
        <f>IF(O222=0,0,             IF(ISNUMBER(AZ221),AZ221,             IF(ISTEXT(AZ221),INDEX(AQ221:AX221,MATCH(AZ221,$AQ$17:$AX$17,0)),           IF(AY221="INT",_xll.qInterp(O222,AA221:AH221,AQ221:AX221),       INDEX(AQ221:AX221,MATCH(AY221,$AQ$17:$AX$17,0))))))</f>
        <v>0</v>
      </c>
      <c r="BB221" s="674">
        <v>100</v>
      </c>
      <c r="BC221" s="666">
        <f t="shared" si="101"/>
        <v>0</v>
      </c>
      <c r="BD221" s="268">
        <f>IF($O222=0,0,                IF(LEFT(DCC_Leg1_Fixed,2)="1/",uEvaluate(DCC_Leg1_Fixed),        _xll.qDateYears($O221,$O222,DCC_Leg1_Fixed)))</f>
        <v>0</v>
      </c>
      <c r="BE221" s="268">
        <f>IF($O222,_xll.qDateYears($O221,$O222,DCC_Leg1_Float),0)</f>
        <v>0</v>
      </c>
      <c r="BG221" s="332">
        <f t="shared" si="123"/>
        <v>0</v>
      </c>
      <c r="BH221" s="357">
        <f t="shared" si="124"/>
        <v>0</v>
      </c>
      <c r="BI221" s="527"/>
      <c r="BK221" s="324">
        <f t="shared" si="97"/>
        <v>0</v>
      </c>
      <c r="BM221" s="338"/>
      <c r="BN221" s="121">
        <v>0</v>
      </c>
      <c r="BO221" s="755">
        <f t="shared" si="102"/>
        <v>0</v>
      </c>
      <c r="BP221" s="339">
        <v>0</v>
      </c>
      <c r="BQ221" s="890">
        <f>IF(BN222=0,0,         IF(OR(Currency2="AUD",Currency1="NZD",Currency2="GBP"),BN221,   _xll.qDateNext(BN221,"-2b",,,IF(Currency2="EUR","TGT","LON"))))</f>
        <v>0</v>
      </c>
      <c r="BR221" s="879" t="str">
        <v/>
      </c>
      <c r="BS221" s="879" t="str">
        <v/>
      </c>
      <c r="BT221" s="879" t="str">
        <v/>
      </c>
      <c r="BU221" s="879" t="str">
        <v/>
      </c>
      <c r="BV221" s="879" t="str">
        <v/>
      </c>
      <c r="BW221" s="879" t="str">
        <v/>
      </c>
      <c r="BX221" s="879" t="str">
        <v/>
      </c>
      <c r="BY221" s="879" t="str">
        <v/>
      </c>
      <c r="BZ221" s="882">
        <f>IF($BN222=0,0,        _xll.qDateNext($BN221,BZ$17,$CG$16,TRUE,Currency2))</f>
        <v>0</v>
      </c>
      <c r="CA221" s="882">
        <f>IF($BN222=0,0,        _xll.qDateNext($BN221,CA$17,$CG$16,TRUE,Currency2))</f>
        <v>0</v>
      </c>
      <c r="CB221" s="882">
        <f>IF($BN222=0,0,        _xll.qDateNext($BN221,CB$17,$CG$16,TRUE,Currency2))</f>
        <v>0</v>
      </c>
      <c r="CC221" s="882">
        <f>IF($BN222=0,0,        _xll.qDateNext($BN221,CC$17,$CG$16,TRUE,Currency2))</f>
        <v>0</v>
      </c>
      <c r="CD221" s="882">
        <f>IF($BN222=0,0,        _xll.qDateNext($BN221,CD$17,$CG$16,TRUE,Currency2))</f>
        <v>0</v>
      </c>
      <c r="CE221" s="882">
        <f>IF($BN222=0,0,        _xll.qDateNext($BN221,CE$17,$CG$16,TRUE,Currency2))</f>
        <v>0</v>
      </c>
      <c r="CF221" s="882">
        <f>IF($BN222=0,0,        _xll.qDateNext($BN221,CF$17,$CG$16,TRUE,Currency2))</f>
        <v>0</v>
      </c>
      <c r="CG221" s="882">
        <f>IF($BN222=0,0,        _xll.qDateNext($BN221,CG$17,$CG$16,TRUE,Currency2))</f>
        <v>0</v>
      </c>
      <c r="CH221" s="886">
        <v>0</v>
      </c>
      <c r="CI221" s="886">
        <v>0</v>
      </c>
      <c r="CJ221" s="886">
        <v>0</v>
      </c>
      <c r="CK221" s="886">
        <v>0</v>
      </c>
      <c r="CL221" s="886">
        <f t="shared" si="125"/>
        <v>0</v>
      </c>
      <c r="CM221" s="886">
        <f t="shared" si="126"/>
        <v>0</v>
      </c>
      <c r="CN221" s="886">
        <v>0</v>
      </c>
      <c r="CO221" s="886">
        <v>0</v>
      </c>
      <c r="CP221" s="648">
        <f t="shared" si="103"/>
        <v>0</v>
      </c>
      <c r="CQ221" s="648">
        <f t="shared" si="104"/>
        <v>0</v>
      </c>
      <c r="CR221" s="648">
        <f t="shared" si="105"/>
        <v>0</v>
      </c>
      <c r="CS221" s="648">
        <f t="shared" si="106"/>
        <v>0</v>
      </c>
      <c r="CT221" s="648">
        <f t="shared" si="107"/>
        <v>0</v>
      </c>
      <c r="CU221" s="648">
        <f t="shared" si="108"/>
        <v>0</v>
      </c>
      <c r="CV221" s="648">
        <f t="shared" si="109"/>
        <v>0</v>
      </c>
      <c r="CW221" s="648">
        <f t="shared" si="110"/>
        <v>0</v>
      </c>
      <c r="CX221" s="634">
        <v>0</v>
      </c>
      <c r="CY221" s="616"/>
      <c r="CZ221" s="619">
        <f>IF(BN222=0,0,             IF(ISNUMBER(CY221),CY221,             IF(ISTEXT(CY221),INDEX(CP221:CW221,MATCH(CY221,$CP$17:$CW$17,0)),           IF(CX221="INT",_xll.qInterp(BN222,BZ221:CG221,CP221:CW221),       INDEX(CP221:CW221,MATCH(CX221,$CP$17:$CW$17,0))))))</f>
        <v>0</v>
      </c>
      <c r="DA221" s="755">
        <f t="shared" si="111"/>
        <v>0</v>
      </c>
      <c r="DB221" s="387">
        <f t="shared" si="112"/>
        <v>0</v>
      </c>
      <c r="DC221" s="268">
        <f>IF($BN222=0,0,         IF(LEFT(DCC_Leg2_Fixed,2)="1/",uEvaluate(DCC_Leg2_Fixed),         _xll.qDateYears($BN221,$BN222,DCC_Leg2_Fixed)))</f>
        <v>0</v>
      </c>
      <c r="DD221" s="268">
        <f>IF($BN222,_xll.qDateYears($BN221,$BN222,DCC_Leg2_Float),0)</f>
        <v>0</v>
      </c>
      <c r="DF221" s="332">
        <f t="shared" si="127"/>
        <v>0</v>
      </c>
      <c r="DG221" s="357">
        <f t="shared" si="128"/>
        <v>0</v>
      </c>
      <c r="DH221" s="527"/>
      <c r="DJ221" s="324">
        <f t="shared" si="98"/>
        <v>0</v>
      </c>
      <c r="DK221" s="529"/>
      <c r="DL221" s="338"/>
    </row>
    <row r="222" spans="15:116">
      <c r="O222" s="121">
        <v>0</v>
      </c>
      <c r="P222" s="755">
        <f t="shared" si="99"/>
        <v>0</v>
      </c>
      <c r="Q222" s="125">
        <v>0</v>
      </c>
      <c r="R222" s="890">
        <f>IF(O223=0,0,         IF(OR(Currency1="AUD",Currency1="NZD",Currency1="GBP"),O222,   _xll.qDateNext(O222,"-2b",,,IF(Currency1="EUR","TGT","LON"))))</f>
        <v>0</v>
      </c>
      <c r="S222" s="879" t="str">
        <v/>
      </c>
      <c r="T222" s="879" t="str">
        <v/>
      </c>
      <c r="U222" s="879" t="str">
        <v/>
      </c>
      <c r="V222" s="879" t="str">
        <v/>
      </c>
      <c r="W222" s="879" t="str">
        <v/>
      </c>
      <c r="X222" s="879" t="str">
        <v/>
      </c>
      <c r="Y222" s="879" t="str">
        <v/>
      </c>
      <c r="Z222" s="879" t="str">
        <v/>
      </c>
      <c r="AA222" s="882">
        <f>IF($O223=0,0,        _xll.qDateNext($O222,AA$17,$AH$16,TRUE,Currency1))</f>
        <v>0</v>
      </c>
      <c r="AB222" s="882">
        <f>IF($O223=0,0,        _xll.qDateNext($O222,AB$17,$AH$16,TRUE,Currency1))</f>
        <v>0</v>
      </c>
      <c r="AC222" s="882">
        <f>IF($O223=0,0,        _xll.qDateNext($O222,AC$17,$AH$16,TRUE,Currency1))</f>
        <v>0</v>
      </c>
      <c r="AD222" s="882">
        <f>IF($O223=0,0,        _xll.qDateNext($O222,AD$17,$AH$16,TRUE,Currency1))</f>
        <v>0</v>
      </c>
      <c r="AE222" s="882">
        <f>IF($O223=0,0,        _xll.qDateNext($O222,AE$17,$AH$16,TRUE,Currency1))</f>
        <v>0</v>
      </c>
      <c r="AF222" s="882">
        <f>IF($O223=0,0,        _xll.qDateNext($O222,AF$17,$AH$16,TRUE,Currency1))</f>
        <v>0</v>
      </c>
      <c r="AG222" s="882">
        <f>IF($O223=0,0,        _xll.qDateNext($O222,AG$17,$AH$16,TRUE,Currency1))</f>
        <v>0</v>
      </c>
      <c r="AH222" s="882">
        <f>IF($O223=0,0,        _xll.qDateNext($O222,AH$17,$AH$16,TRUE,Currency1))</f>
        <v>0</v>
      </c>
      <c r="AI222" s="886">
        <f>IF($O223=0,0,           IF(FRM,_xll.qGetFwdRate(AI$14,$O222,AA222,"T",DCC_Leg1_Float),_xll.qGetFwdRate(AI$14,$O222,$O223,"T",DCC_Leg1_Float)))</f>
        <v>0</v>
      </c>
      <c r="AJ222" s="886">
        <f>IF($O223=0,0,           IF(FRM,_xll.qGetFwdRate(AJ$14,$O222,AB222,"T",DCC_Leg1_Float),_xll.qGetFwdRate(AJ$14,$O222,$O223,"T",DCC_Leg1_Float)))</f>
        <v>0</v>
      </c>
      <c r="AK222" s="886">
        <f t="shared" si="100"/>
        <v>0</v>
      </c>
      <c r="AL222" s="886">
        <f>IF($O223=0,0,           IF(FRM,_xll.qGetFwdRate(AL$14,$O222,AD222,"T",DCC_Leg1_Float),_xll.qGetFwdRate(AL$14,$O222,$O223,"T",DCC_Leg1_Float)))</f>
        <v>0</v>
      </c>
      <c r="AM222" s="886">
        <f t="shared" si="113"/>
        <v>0</v>
      </c>
      <c r="AN222" s="886">
        <f t="shared" si="114"/>
        <v>0</v>
      </c>
      <c r="AO222" s="886">
        <f>IF($O223=0,0,           IF(FRM,_xll.qGetFwdRate(AO$14,$O222,AG222,"T",DCC_Leg1_Float),_xll.qGetFwdRate(AO$14,$O222,$O223,"T",DCC_Leg1_Float)))</f>
        <v>0</v>
      </c>
      <c r="AP222" s="886">
        <f>IF($O223=0,0,           IF(FRM,_xll.qGetFwdRate(AP$14,$O222,AH222,"T",DCC_Leg1_Float),_xll.qGetFwdRate(AP$14,$O222,$O223,"T",DCC_Leg1_Float)))</f>
        <v>0</v>
      </c>
      <c r="AQ222" s="648">
        <f t="shared" si="115"/>
        <v>0</v>
      </c>
      <c r="AR222" s="648">
        <f t="shared" si="116"/>
        <v>0</v>
      </c>
      <c r="AS222" s="648">
        <f t="shared" si="117"/>
        <v>0</v>
      </c>
      <c r="AT222" s="648">
        <f t="shared" si="118"/>
        <v>0</v>
      </c>
      <c r="AU222" s="648">
        <f t="shared" si="119"/>
        <v>0</v>
      </c>
      <c r="AV222" s="648">
        <f t="shared" si="120"/>
        <v>0</v>
      </c>
      <c r="AW222" s="648">
        <f t="shared" si="121"/>
        <v>0</v>
      </c>
      <c r="AX222" s="648">
        <f t="shared" si="122"/>
        <v>0</v>
      </c>
      <c r="AY222" s="634">
        <v>0</v>
      </c>
      <c r="AZ222" s="616"/>
      <c r="BA222" s="619">
        <f>IF(O223=0,0,             IF(ISNUMBER(AZ222),AZ222,             IF(ISTEXT(AZ222),INDEX(AQ222:AX222,MATCH(AZ222,$AQ$17:$AX$17,0)),           IF(AY222="INT",_xll.qInterp(O223,AA222:AH222,AQ222:AX222),       INDEX(AQ222:AX222,MATCH(AY222,$AQ$17:$AX$17,0))))))</f>
        <v>0</v>
      </c>
      <c r="BB222" s="674">
        <v>100</v>
      </c>
      <c r="BC222" s="666">
        <f t="shared" si="101"/>
        <v>0</v>
      </c>
      <c r="BD222" s="268">
        <f>IF($O223=0,0,                IF(LEFT(DCC_Leg1_Fixed,2)="1/",uEvaluate(DCC_Leg1_Fixed),        _xll.qDateYears($O222,$O223,DCC_Leg1_Fixed)))</f>
        <v>0</v>
      </c>
      <c r="BE222" s="268">
        <f>IF($O223,_xll.qDateYears($O222,$O223,DCC_Leg1_Float),0)</f>
        <v>0</v>
      </c>
      <c r="BG222" s="332">
        <f t="shared" si="123"/>
        <v>0</v>
      </c>
      <c r="BH222" s="357">
        <f t="shared" si="124"/>
        <v>0</v>
      </c>
      <c r="BI222" s="527"/>
      <c r="BK222" s="324">
        <f t="shared" si="97"/>
        <v>0</v>
      </c>
      <c r="BM222" s="338"/>
      <c r="BN222" s="121">
        <v>0</v>
      </c>
      <c r="BO222" s="755">
        <f t="shared" si="102"/>
        <v>0</v>
      </c>
      <c r="BP222" s="339">
        <v>0</v>
      </c>
      <c r="BQ222" s="890">
        <f>IF(BN223=0,0,         IF(OR(Currency2="AUD",Currency1="NZD",Currency2="GBP"),BN222,   _xll.qDateNext(BN222,"-2b",,,IF(Currency2="EUR","TGT","LON"))))</f>
        <v>0</v>
      </c>
      <c r="BR222" s="879" t="str">
        <v/>
      </c>
      <c r="BS222" s="879" t="str">
        <v/>
      </c>
      <c r="BT222" s="879" t="str">
        <v/>
      </c>
      <c r="BU222" s="879" t="str">
        <v/>
      </c>
      <c r="BV222" s="879" t="str">
        <v/>
      </c>
      <c r="BW222" s="879" t="str">
        <v/>
      </c>
      <c r="BX222" s="879" t="str">
        <v/>
      </c>
      <c r="BY222" s="879" t="str">
        <v/>
      </c>
      <c r="BZ222" s="882">
        <f>IF($BN223=0,0,        _xll.qDateNext($BN222,BZ$17,$CG$16,TRUE,Currency2))</f>
        <v>0</v>
      </c>
      <c r="CA222" s="882">
        <f>IF($BN223=0,0,        _xll.qDateNext($BN222,CA$17,$CG$16,TRUE,Currency2))</f>
        <v>0</v>
      </c>
      <c r="CB222" s="882">
        <f>IF($BN223=0,0,        _xll.qDateNext($BN222,CB$17,$CG$16,TRUE,Currency2))</f>
        <v>0</v>
      </c>
      <c r="CC222" s="882">
        <f>IF($BN223=0,0,        _xll.qDateNext($BN222,CC$17,$CG$16,TRUE,Currency2))</f>
        <v>0</v>
      </c>
      <c r="CD222" s="882">
        <f>IF($BN223=0,0,        _xll.qDateNext($BN222,CD$17,$CG$16,TRUE,Currency2))</f>
        <v>0</v>
      </c>
      <c r="CE222" s="882">
        <f>IF($BN223=0,0,        _xll.qDateNext($BN222,CE$17,$CG$16,TRUE,Currency2))</f>
        <v>0</v>
      </c>
      <c r="CF222" s="882">
        <f>IF($BN223=0,0,        _xll.qDateNext($BN222,CF$17,$CG$16,TRUE,Currency2))</f>
        <v>0</v>
      </c>
      <c r="CG222" s="882">
        <f>IF($BN223=0,0,        _xll.qDateNext($BN222,CG$17,$CG$16,TRUE,Currency2))</f>
        <v>0</v>
      </c>
      <c r="CH222" s="886">
        <v>0</v>
      </c>
      <c r="CI222" s="886">
        <v>0</v>
      </c>
      <c r="CJ222" s="886">
        <v>0</v>
      </c>
      <c r="CK222" s="886">
        <v>0</v>
      </c>
      <c r="CL222" s="886">
        <f t="shared" si="125"/>
        <v>0</v>
      </c>
      <c r="CM222" s="886">
        <f t="shared" si="126"/>
        <v>0</v>
      </c>
      <c r="CN222" s="886">
        <v>0</v>
      </c>
      <c r="CO222" s="886">
        <v>0</v>
      </c>
      <c r="CP222" s="648">
        <f t="shared" si="103"/>
        <v>0</v>
      </c>
      <c r="CQ222" s="648">
        <f t="shared" si="104"/>
        <v>0</v>
      </c>
      <c r="CR222" s="648">
        <f t="shared" si="105"/>
        <v>0</v>
      </c>
      <c r="CS222" s="648">
        <f t="shared" si="106"/>
        <v>0</v>
      </c>
      <c r="CT222" s="648">
        <f t="shared" si="107"/>
        <v>0</v>
      </c>
      <c r="CU222" s="648">
        <f t="shared" si="108"/>
        <v>0</v>
      </c>
      <c r="CV222" s="648">
        <f t="shared" si="109"/>
        <v>0</v>
      </c>
      <c r="CW222" s="648">
        <f t="shared" si="110"/>
        <v>0</v>
      </c>
      <c r="CX222" s="634">
        <v>0</v>
      </c>
      <c r="CY222" s="616"/>
      <c r="CZ222" s="619">
        <f>IF(BN223=0,0,             IF(ISNUMBER(CY222),CY222,             IF(ISTEXT(CY222),INDEX(CP222:CW222,MATCH(CY222,$CP$17:$CW$17,0)),           IF(CX222="INT",_xll.qInterp(BN223,BZ222:CG222,CP222:CW222),       INDEX(CP222:CW222,MATCH(CX222,$CP$17:$CW$17,0))))))</f>
        <v>0</v>
      </c>
      <c r="DA222" s="755">
        <f t="shared" si="111"/>
        <v>0</v>
      </c>
      <c r="DB222" s="387">
        <f t="shared" si="112"/>
        <v>0</v>
      </c>
      <c r="DC222" s="268">
        <f>IF($BN223=0,0,         IF(LEFT(DCC_Leg2_Fixed,2)="1/",uEvaluate(DCC_Leg2_Fixed),         _xll.qDateYears($BN222,$BN223,DCC_Leg2_Fixed)))</f>
        <v>0</v>
      </c>
      <c r="DD222" s="268">
        <f>IF($BN223,_xll.qDateYears($BN222,$BN223,DCC_Leg2_Float),0)</f>
        <v>0</v>
      </c>
      <c r="DF222" s="332">
        <f t="shared" si="127"/>
        <v>0</v>
      </c>
      <c r="DG222" s="357">
        <f t="shared" si="128"/>
        <v>0</v>
      </c>
      <c r="DH222" s="527"/>
      <c r="DJ222" s="324">
        <f t="shared" si="98"/>
        <v>0</v>
      </c>
      <c r="DK222" s="529"/>
      <c r="DL222" s="338"/>
    </row>
    <row r="223" spans="15:116">
      <c r="O223" s="121">
        <v>0</v>
      </c>
      <c r="P223" s="755">
        <f t="shared" si="99"/>
        <v>0</v>
      </c>
      <c r="Q223" s="125">
        <v>0</v>
      </c>
      <c r="R223" s="890">
        <f>IF(O224=0,0,         IF(OR(Currency1="AUD",Currency1="NZD",Currency1="GBP"),O223,   _xll.qDateNext(O223,"-2b",,,IF(Currency1="EUR","TGT","LON"))))</f>
        <v>0</v>
      </c>
      <c r="S223" s="879" t="str">
        <v/>
      </c>
      <c r="T223" s="879" t="str">
        <v/>
      </c>
      <c r="U223" s="879" t="str">
        <v/>
      </c>
      <c r="V223" s="879" t="str">
        <v/>
      </c>
      <c r="W223" s="879" t="str">
        <v/>
      </c>
      <c r="X223" s="879" t="str">
        <v/>
      </c>
      <c r="Y223" s="879" t="str">
        <v/>
      </c>
      <c r="Z223" s="879" t="str">
        <v/>
      </c>
      <c r="AA223" s="882">
        <f>IF($O224=0,0,        _xll.qDateNext($O223,AA$17,$AH$16,TRUE,Currency1))</f>
        <v>0</v>
      </c>
      <c r="AB223" s="882">
        <f>IF($O224=0,0,        _xll.qDateNext($O223,AB$17,$AH$16,TRUE,Currency1))</f>
        <v>0</v>
      </c>
      <c r="AC223" s="882">
        <f>IF($O224=0,0,        _xll.qDateNext($O223,AC$17,$AH$16,TRUE,Currency1))</f>
        <v>0</v>
      </c>
      <c r="AD223" s="882">
        <f>IF($O224=0,0,        _xll.qDateNext($O223,AD$17,$AH$16,TRUE,Currency1))</f>
        <v>0</v>
      </c>
      <c r="AE223" s="882">
        <f>IF($O224=0,0,        _xll.qDateNext($O223,AE$17,$AH$16,TRUE,Currency1))</f>
        <v>0</v>
      </c>
      <c r="AF223" s="882">
        <f>IF($O224=0,0,        _xll.qDateNext($O223,AF$17,$AH$16,TRUE,Currency1))</f>
        <v>0</v>
      </c>
      <c r="AG223" s="882">
        <f>IF($O224=0,0,        _xll.qDateNext($O223,AG$17,$AH$16,TRUE,Currency1))</f>
        <v>0</v>
      </c>
      <c r="AH223" s="882">
        <f>IF($O224=0,0,        _xll.qDateNext($O223,AH$17,$AH$16,TRUE,Currency1))</f>
        <v>0</v>
      </c>
      <c r="AI223" s="886">
        <f>IF($O224=0,0,           IF(FRM,_xll.qGetFwdRate(AI$14,$O223,AA223,"T",DCC_Leg1_Float),_xll.qGetFwdRate(AI$14,$O223,$O224,"T",DCC_Leg1_Float)))</f>
        <v>0</v>
      </c>
      <c r="AJ223" s="886">
        <f>IF($O224=0,0,           IF(FRM,_xll.qGetFwdRate(AJ$14,$O223,AB223,"T",DCC_Leg1_Float),_xll.qGetFwdRate(AJ$14,$O223,$O224,"T",DCC_Leg1_Float)))</f>
        <v>0</v>
      </c>
      <c r="AK223" s="886">
        <f t="shared" si="100"/>
        <v>0</v>
      </c>
      <c r="AL223" s="886">
        <f>IF($O224=0,0,           IF(FRM,_xll.qGetFwdRate(AL$14,$O223,AD223,"T",DCC_Leg1_Float),_xll.qGetFwdRate(AL$14,$O223,$O224,"T",DCC_Leg1_Float)))</f>
        <v>0</v>
      </c>
      <c r="AM223" s="886">
        <f t="shared" si="113"/>
        <v>0</v>
      </c>
      <c r="AN223" s="886">
        <f t="shared" si="114"/>
        <v>0</v>
      </c>
      <c r="AO223" s="886">
        <f>IF($O224=0,0,           IF(FRM,_xll.qGetFwdRate(AO$14,$O223,AG223,"T",DCC_Leg1_Float),_xll.qGetFwdRate(AO$14,$O223,$O224,"T",DCC_Leg1_Float)))</f>
        <v>0</v>
      </c>
      <c r="AP223" s="886">
        <f>IF($O224=0,0,           IF(FRM,_xll.qGetFwdRate(AP$14,$O223,AH223,"T",DCC_Leg1_Float),_xll.qGetFwdRate(AP$14,$O223,$O224,"T",DCC_Leg1_Float)))</f>
        <v>0</v>
      </c>
      <c r="AQ223" s="648">
        <f t="shared" si="115"/>
        <v>0</v>
      </c>
      <c r="AR223" s="648">
        <f t="shared" si="116"/>
        <v>0</v>
      </c>
      <c r="AS223" s="648">
        <f t="shared" si="117"/>
        <v>0</v>
      </c>
      <c r="AT223" s="648">
        <f t="shared" si="118"/>
        <v>0</v>
      </c>
      <c r="AU223" s="648">
        <f t="shared" si="119"/>
        <v>0</v>
      </c>
      <c r="AV223" s="648">
        <f t="shared" si="120"/>
        <v>0</v>
      </c>
      <c r="AW223" s="648">
        <f t="shared" si="121"/>
        <v>0</v>
      </c>
      <c r="AX223" s="648">
        <f t="shared" si="122"/>
        <v>0</v>
      </c>
      <c r="AY223" s="634">
        <v>0</v>
      </c>
      <c r="AZ223" s="616"/>
      <c r="BA223" s="619">
        <f>IF(O224=0,0,             IF(ISNUMBER(AZ223),AZ223,             IF(ISTEXT(AZ223),INDEX(AQ223:AX223,MATCH(AZ223,$AQ$17:$AX$17,0)),           IF(AY223="INT",_xll.qInterp(O224,AA223:AH223,AQ223:AX223),       INDEX(AQ223:AX223,MATCH(AY223,$AQ$17:$AX$17,0))))))</f>
        <v>0</v>
      </c>
      <c r="BB223" s="674">
        <v>100</v>
      </c>
      <c r="BC223" s="666">
        <f t="shared" si="101"/>
        <v>0</v>
      </c>
      <c r="BD223" s="268">
        <f>IF($O224=0,0,                IF(LEFT(DCC_Leg1_Fixed,2)="1/",uEvaluate(DCC_Leg1_Fixed),        _xll.qDateYears($O223,$O224,DCC_Leg1_Fixed)))</f>
        <v>0</v>
      </c>
      <c r="BE223" s="268">
        <f>IF($O224,_xll.qDateYears($O223,$O224,DCC_Leg1_Float),0)</f>
        <v>0</v>
      </c>
      <c r="BG223" s="332">
        <f t="shared" si="123"/>
        <v>0</v>
      </c>
      <c r="BH223" s="357">
        <f t="shared" si="124"/>
        <v>0</v>
      </c>
      <c r="BI223" s="527"/>
      <c r="BK223" s="324">
        <f t="shared" si="97"/>
        <v>0</v>
      </c>
      <c r="BM223" s="338"/>
      <c r="BN223" s="121">
        <v>0</v>
      </c>
      <c r="BO223" s="755">
        <f t="shared" si="102"/>
        <v>0</v>
      </c>
      <c r="BP223" s="339">
        <v>0</v>
      </c>
      <c r="BQ223" s="890">
        <f>IF(BN224=0,0,         IF(OR(Currency2="AUD",Currency1="NZD",Currency2="GBP"),BN223,   _xll.qDateNext(BN223,"-2b",,,IF(Currency2="EUR","TGT","LON"))))</f>
        <v>0</v>
      </c>
      <c r="BR223" s="879" t="str">
        <v/>
      </c>
      <c r="BS223" s="879" t="str">
        <v/>
      </c>
      <c r="BT223" s="879" t="str">
        <v/>
      </c>
      <c r="BU223" s="879" t="str">
        <v/>
      </c>
      <c r="BV223" s="879" t="str">
        <v/>
      </c>
      <c r="BW223" s="879" t="str">
        <v/>
      </c>
      <c r="BX223" s="879" t="str">
        <v/>
      </c>
      <c r="BY223" s="879" t="str">
        <v/>
      </c>
      <c r="BZ223" s="882">
        <f>IF($BN224=0,0,        _xll.qDateNext($BN223,BZ$17,$CG$16,TRUE,Currency2))</f>
        <v>0</v>
      </c>
      <c r="CA223" s="882">
        <f>IF($BN224=0,0,        _xll.qDateNext($BN223,CA$17,$CG$16,TRUE,Currency2))</f>
        <v>0</v>
      </c>
      <c r="CB223" s="882">
        <f>IF($BN224=0,0,        _xll.qDateNext($BN223,CB$17,$CG$16,TRUE,Currency2))</f>
        <v>0</v>
      </c>
      <c r="CC223" s="882">
        <f>IF($BN224=0,0,        _xll.qDateNext($BN223,CC$17,$CG$16,TRUE,Currency2))</f>
        <v>0</v>
      </c>
      <c r="CD223" s="882">
        <f>IF($BN224=0,0,        _xll.qDateNext($BN223,CD$17,$CG$16,TRUE,Currency2))</f>
        <v>0</v>
      </c>
      <c r="CE223" s="882">
        <f>IF($BN224=0,0,        _xll.qDateNext($BN223,CE$17,$CG$16,TRUE,Currency2))</f>
        <v>0</v>
      </c>
      <c r="CF223" s="882">
        <f>IF($BN224=0,0,        _xll.qDateNext($BN223,CF$17,$CG$16,TRUE,Currency2))</f>
        <v>0</v>
      </c>
      <c r="CG223" s="882">
        <f>IF($BN224=0,0,        _xll.qDateNext($BN223,CG$17,$CG$16,TRUE,Currency2))</f>
        <v>0</v>
      </c>
      <c r="CH223" s="886">
        <v>0</v>
      </c>
      <c r="CI223" s="886">
        <v>0</v>
      </c>
      <c r="CJ223" s="886">
        <v>0</v>
      </c>
      <c r="CK223" s="886">
        <v>0</v>
      </c>
      <c r="CL223" s="886">
        <f t="shared" si="125"/>
        <v>0</v>
      </c>
      <c r="CM223" s="886">
        <f t="shared" si="126"/>
        <v>0</v>
      </c>
      <c r="CN223" s="886">
        <v>0</v>
      </c>
      <c r="CO223" s="886">
        <v>0</v>
      </c>
      <c r="CP223" s="648">
        <f t="shared" si="103"/>
        <v>0</v>
      </c>
      <c r="CQ223" s="648">
        <f t="shared" si="104"/>
        <v>0</v>
      </c>
      <c r="CR223" s="648">
        <f t="shared" si="105"/>
        <v>0</v>
      </c>
      <c r="CS223" s="648">
        <f t="shared" si="106"/>
        <v>0</v>
      </c>
      <c r="CT223" s="648">
        <f t="shared" si="107"/>
        <v>0</v>
      </c>
      <c r="CU223" s="648">
        <f t="shared" si="108"/>
        <v>0</v>
      </c>
      <c r="CV223" s="648">
        <f t="shared" si="109"/>
        <v>0</v>
      </c>
      <c r="CW223" s="648">
        <f t="shared" si="110"/>
        <v>0</v>
      </c>
      <c r="CX223" s="634">
        <v>0</v>
      </c>
      <c r="CY223" s="616"/>
      <c r="CZ223" s="619">
        <f>IF(BN224=0,0,             IF(ISNUMBER(CY223),CY223,             IF(ISTEXT(CY223),INDEX(CP223:CW223,MATCH(CY223,$CP$17:$CW$17,0)),           IF(CX223="INT",_xll.qInterp(BN224,BZ223:CG223,CP223:CW223),       INDEX(CP223:CW223,MATCH(CX223,$CP$17:$CW$17,0))))))</f>
        <v>0</v>
      </c>
      <c r="DA223" s="755">
        <f t="shared" si="111"/>
        <v>0</v>
      </c>
      <c r="DB223" s="387">
        <f t="shared" si="112"/>
        <v>0</v>
      </c>
      <c r="DC223" s="268">
        <f>IF($BN224=0,0,         IF(LEFT(DCC_Leg2_Fixed,2)="1/",uEvaluate(DCC_Leg2_Fixed),         _xll.qDateYears($BN223,$BN224,DCC_Leg2_Fixed)))</f>
        <v>0</v>
      </c>
      <c r="DD223" s="268">
        <f>IF($BN224,_xll.qDateYears($BN223,$BN224,DCC_Leg2_Float),0)</f>
        <v>0</v>
      </c>
      <c r="DF223" s="332">
        <f t="shared" si="127"/>
        <v>0</v>
      </c>
      <c r="DG223" s="357">
        <f t="shared" si="128"/>
        <v>0</v>
      </c>
      <c r="DH223" s="527"/>
      <c r="DJ223" s="324">
        <f t="shared" si="98"/>
        <v>0</v>
      </c>
      <c r="DK223" s="529"/>
      <c r="DL223" s="338"/>
    </row>
    <row r="224" spans="15:116">
      <c r="O224" s="121">
        <v>0</v>
      </c>
      <c r="P224" s="755">
        <f t="shared" si="99"/>
        <v>0</v>
      </c>
      <c r="Q224" s="125">
        <v>0</v>
      </c>
      <c r="R224" s="890">
        <f>IF(O225=0,0,         IF(OR(Currency1="AUD",Currency1="NZD",Currency1="GBP"),O224,   _xll.qDateNext(O224,"-2b",,,IF(Currency1="EUR","TGT","LON"))))</f>
        <v>0</v>
      </c>
      <c r="S224" s="879" t="str">
        <v/>
      </c>
      <c r="T224" s="879" t="str">
        <v/>
      </c>
      <c r="U224" s="879" t="str">
        <v/>
      </c>
      <c r="V224" s="879" t="str">
        <v/>
      </c>
      <c r="W224" s="879" t="str">
        <v/>
      </c>
      <c r="X224" s="879" t="str">
        <v/>
      </c>
      <c r="Y224" s="879" t="str">
        <v/>
      </c>
      <c r="Z224" s="879" t="str">
        <v/>
      </c>
      <c r="AA224" s="882">
        <f>IF($O225=0,0,        _xll.qDateNext($O224,AA$17,$AH$16,TRUE,Currency1))</f>
        <v>0</v>
      </c>
      <c r="AB224" s="882">
        <f>IF($O225=0,0,        _xll.qDateNext($O224,AB$17,$AH$16,TRUE,Currency1))</f>
        <v>0</v>
      </c>
      <c r="AC224" s="882">
        <f>IF($O225=0,0,        _xll.qDateNext($O224,AC$17,$AH$16,TRUE,Currency1))</f>
        <v>0</v>
      </c>
      <c r="AD224" s="882">
        <f>IF($O225=0,0,        _xll.qDateNext($O224,AD$17,$AH$16,TRUE,Currency1))</f>
        <v>0</v>
      </c>
      <c r="AE224" s="882">
        <f>IF($O225=0,0,        _xll.qDateNext($O224,AE$17,$AH$16,TRUE,Currency1))</f>
        <v>0</v>
      </c>
      <c r="AF224" s="882">
        <f>IF($O225=0,0,        _xll.qDateNext($O224,AF$17,$AH$16,TRUE,Currency1))</f>
        <v>0</v>
      </c>
      <c r="AG224" s="882">
        <f>IF($O225=0,0,        _xll.qDateNext($O224,AG$17,$AH$16,TRUE,Currency1))</f>
        <v>0</v>
      </c>
      <c r="AH224" s="882">
        <f>IF($O225=0,0,        _xll.qDateNext($O224,AH$17,$AH$16,TRUE,Currency1))</f>
        <v>0</v>
      </c>
      <c r="AI224" s="886">
        <f>IF($O225=0,0,           IF(FRM,_xll.qGetFwdRate(AI$14,$O224,AA224,"T",DCC_Leg1_Float),_xll.qGetFwdRate(AI$14,$O224,$O225,"T",DCC_Leg1_Float)))</f>
        <v>0</v>
      </c>
      <c r="AJ224" s="886">
        <f>IF($O225=0,0,           IF(FRM,_xll.qGetFwdRate(AJ$14,$O224,AB224,"T",DCC_Leg1_Float),_xll.qGetFwdRate(AJ$14,$O224,$O225,"T",DCC_Leg1_Float)))</f>
        <v>0</v>
      </c>
      <c r="AK224" s="886">
        <f t="shared" si="100"/>
        <v>0</v>
      </c>
      <c r="AL224" s="886">
        <f>IF($O225=0,0,           IF(FRM,_xll.qGetFwdRate(AL$14,$O224,AD224,"T",DCC_Leg1_Float),_xll.qGetFwdRate(AL$14,$O224,$O225,"T",DCC_Leg1_Float)))</f>
        <v>0</v>
      </c>
      <c r="AM224" s="886">
        <f t="shared" si="113"/>
        <v>0</v>
      </c>
      <c r="AN224" s="886">
        <f t="shared" si="114"/>
        <v>0</v>
      </c>
      <c r="AO224" s="886">
        <f>IF($O225=0,0,           IF(FRM,_xll.qGetFwdRate(AO$14,$O224,AG224,"T",DCC_Leg1_Float),_xll.qGetFwdRate(AO$14,$O224,$O225,"T",DCC_Leg1_Float)))</f>
        <v>0</v>
      </c>
      <c r="AP224" s="886">
        <f>IF($O225=0,0,           IF(FRM,_xll.qGetFwdRate(AP$14,$O224,AH224,"T",DCC_Leg1_Float),_xll.qGetFwdRate(AP$14,$O224,$O225,"T",DCC_Leg1_Float)))</f>
        <v>0</v>
      </c>
      <c r="AQ224" s="648">
        <f t="shared" si="115"/>
        <v>0</v>
      </c>
      <c r="AR224" s="648">
        <f t="shared" si="116"/>
        <v>0</v>
      </c>
      <c r="AS224" s="648">
        <f t="shared" si="117"/>
        <v>0</v>
      </c>
      <c r="AT224" s="648">
        <f t="shared" si="118"/>
        <v>0</v>
      </c>
      <c r="AU224" s="648">
        <f t="shared" si="119"/>
        <v>0</v>
      </c>
      <c r="AV224" s="648">
        <f t="shared" si="120"/>
        <v>0</v>
      </c>
      <c r="AW224" s="648">
        <f t="shared" si="121"/>
        <v>0</v>
      </c>
      <c r="AX224" s="648">
        <f t="shared" si="122"/>
        <v>0</v>
      </c>
      <c r="AY224" s="634">
        <v>0</v>
      </c>
      <c r="AZ224" s="616"/>
      <c r="BA224" s="619">
        <f>IF(O225=0,0,             IF(ISNUMBER(AZ224),AZ224,             IF(ISTEXT(AZ224),INDEX(AQ224:AX224,MATCH(AZ224,$AQ$17:$AX$17,0)),           IF(AY224="INT",_xll.qInterp(O225,AA224:AH224,AQ224:AX224),       INDEX(AQ224:AX224,MATCH(AY224,$AQ$17:$AX$17,0))))))</f>
        <v>0</v>
      </c>
      <c r="BB224" s="674">
        <v>100</v>
      </c>
      <c r="BC224" s="666">
        <f t="shared" si="101"/>
        <v>0</v>
      </c>
      <c r="BD224" s="268">
        <f>IF($O225=0,0,                IF(LEFT(DCC_Leg1_Fixed,2)="1/",uEvaluate(DCC_Leg1_Fixed),        _xll.qDateYears($O224,$O225,DCC_Leg1_Fixed)))</f>
        <v>0</v>
      </c>
      <c r="BE224" s="268">
        <f>IF($O225,_xll.qDateYears($O224,$O225,DCC_Leg1_Float),0)</f>
        <v>0</v>
      </c>
      <c r="BG224" s="332">
        <f t="shared" si="123"/>
        <v>0</v>
      </c>
      <c r="BH224" s="357">
        <f t="shared" si="124"/>
        <v>0</v>
      </c>
      <c r="BI224" s="527"/>
      <c r="BK224" s="324">
        <f t="shared" si="97"/>
        <v>0</v>
      </c>
      <c r="BM224" s="338"/>
      <c r="BN224" s="121">
        <v>0</v>
      </c>
      <c r="BO224" s="755">
        <f t="shared" si="102"/>
        <v>0</v>
      </c>
      <c r="BP224" s="339">
        <v>0</v>
      </c>
      <c r="BQ224" s="890">
        <f>IF(BN225=0,0,         IF(OR(Currency2="AUD",Currency1="NZD",Currency2="GBP"),BN224,   _xll.qDateNext(BN224,"-2b",,,IF(Currency2="EUR","TGT","LON"))))</f>
        <v>0</v>
      </c>
      <c r="BR224" s="879" t="str">
        <v/>
      </c>
      <c r="BS224" s="879" t="str">
        <v/>
      </c>
      <c r="BT224" s="879" t="str">
        <v/>
      </c>
      <c r="BU224" s="879" t="str">
        <v/>
      </c>
      <c r="BV224" s="879" t="str">
        <v/>
      </c>
      <c r="BW224" s="879" t="str">
        <v/>
      </c>
      <c r="BX224" s="879" t="str">
        <v/>
      </c>
      <c r="BY224" s="879" t="str">
        <v/>
      </c>
      <c r="BZ224" s="882">
        <f>IF($BN225=0,0,        _xll.qDateNext($BN224,BZ$17,$CG$16,TRUE,Currency2))</f>
        <v>0</v>
      </c>
      <c r="CA224" s="882">
        <f>IF($BN225=0,0,        _xll.qDateNext($BN224,CA$17,$CG$16,TRUE,Currency2))</f>
        <v>0</v>
      </c>
      <c r="CB224" s="882">
        <f>IF($BN225=0,0,        _xll.qDateNext($BN224,CB$17,$CG$16,TRUE,Currency2))</f>
        <v>0</v>
      </c>
      <c r="CC224" s="882">
        <f>IF($BN225=0,0,        _xll.qDateNext($BN224,CC$17,$CG$16,TRUE,Currency2))</f>
        <v>0</v>
      </c>
      <c r="CD224" s="882">
        <f>IF($BN225=0,0,        _xll.qDateNext($BN224,CD$17,$CG$16,TRUE,Currency2))</f>
        <v>0</v>
      </c>
      <c r="CE224" s="882">
        <f>IF($BN225=0,0,        _xll.qDateNext($BN224,CE$17,$CG$16,TRUE,Currency2))</f>
        <v>0</v>
      </c>
      <c r="CF224" s="882">
        <f>IF($BN225=0,0,        _xll.qDateNext($BN224,CF$17,$CG$16,TRUE,Currency2))</f>
        <v>0</v>
      </c>
      <c r="CG224" s="882">
        <f>IF($BN225=0,0,        _xll.qDateNext($BN224,CG$17,$CG$16,TRUE,Currency2))</f>
        <v>0</v>
      </c>
      <c r="CH224" s="886">
        <v>0</v>
      </c>
      <c r="CI224" s="886">
        <v>0</v>
      </c>
      <c r="CJ224" s="886">
        <v>0</v>
      </c>
      <c r="CK224" s="886">
        <v>0</v>
      </c>
      <c r="CL224" s="886">
        <f t="shared" si="125"/>
        <v>0</v>
      </c>
      <c r="CM224" s="886">
        <f t="shared" si="126"/>
        <v>0</v>
      </c>
      <c r="CN224" s="886">
        <v>0</v>
      </c>
      <c r="CO224" s="886">
        <v>0</v>
      </c>
      <c r="CP224" s="648">
        <f t="shared" si="103"/>
        <v>0</v>
      </c>
      <c r="CQ224" s="648">
        <f t="shared" si="104"/>
        <v>0</v>
      </c>
      <c r="CR224" s="648">
        <f t="shared" si="105"/>
        <v>0</v>
      </c>
      <c r="CS224" s="648">
        <f t="shared" si="106"/>
        <v>0</v>
      </c>
      <c r="CT224" s="648">
        <f t="shared" si="107"/>
        <v>0</v>
      </c>
      <c r="CU224" s="648">
        <f t="shared" si="108"/>
        <v>0</v>
      </c>
      <c r="CV224" s="648">
        <f t="shared" si="109"/>
        <v>0</v>
      </c>
      <c r="CW224" s="648">
        <f t="shared" si="110"/>
        <v>0</v>
      </c>
      <c r="CX224" s="634">
        <v>0</v>
      </c>
      <c r="CY224" s="616"/>
      <c r="CZ224" s="619">
        <f>IF(BN225=0,0,             IF(ISNUMBER(CY224),CY224,             IF(ISTEXT(CY224),INDEX(CP224:CW224,MATCH(CY224,$CP$17:$CW$17,0)),           IF(CX224="INT",_xll.qInterp(BN225,BZ224:CG224,CP224:CW224),       INDEX(CP224:CW224,MATCH(CX224,$CP$17:$CW$17,0))))))</f>
        <v>0</v>
      </c>
      <c r="DA224" s="755">
        <f t="shared" si="111"/>
        <v>0</v>
      </c>
      <c r="DB224" s="387">
        <f t="shared" si="112"/>
        <v>0</v>
      </c>
      <c r="DC224" s="268">
        <f>IF($BN225=0,0,         IF(LEFT(DCC_Leg2_Fixed,2)="1/",uEvaluate(DCC_Leg2_Fixed),         _xll.qDateYears($BN224,$BN225,DCC_Leg2_Fixed)))</f>
        <v>0</v>
      </c>
      <c r="DD224" s="268">
        <f>IF($BN225,_xll.qDateYears($BN224,$BN225,DCC_Leg2_Float),0)</f>
        <v>0</v>
      </c>
      <c r="DF224" s="332">
        <f t="shared" si="127"/>
        <v>0</v>
      </c>
      <c r="DG224" s="357">
        <f t="shared" si="128"/>
        <v>0</v>
      </c>
      <c r="DH224" s="527"/>
      <c r="DJ224" s="324">
        <f t="shared" si="98"/>
        <v>0</v>
      </c>
      <c r="DK224" s="529"/>
      <c r="DL224" s="338"/>
    </row>
    <row r="225" spans="15:116">
      <c r="O225" s="121">
        <v>0</v>
      </c>
      <c r="P225" s="755">
        <f t="shared" si="99"/>
        <v>0</v>
      </c>
      <c r="Q225" s="125">
        <v>0</v>
      </c>
      <c r="R225" s="890">
        <f>IF(O226=0,0,         IF(OR(Currency1="AUD",Currency1="NZD",Currency1="GBP"),O225,   _xll.qDateNext(O225,"-2b",,,IF(Currency1="EUR","TGT","LON"))))</f>
        <v>0</v>
      </c>
      <c r="S225" s="879" t="str">
        <v/>
      </c>
      <c r="T225" s="879" t="str">
        <v/>
      </c>
      <c r="U225" s="879" t="str">
        <v/>
      </c>
      <c r="V225" s="879" t="str">
        <v/>
      </c>
      <c r="W225" s="879" t="str">
        <v/>
      </c>
      <c r="X225" s="879" t="str">
        <v/>
      </c>
      <c r="Y225" s="879" t="str">
        <v/>
      </c>
      <c r="Z225" s="879" t="str">
        <v/>
      </c>
      <c r="AA225" s="882">
        <f>IF($O226=0,0,        _xll.qDateNext($O225,AA$17,$AH$16,TRUE,Currency1))</f>
        <v>0</v>
      </c>
      <c r="AB225" s="882">
        <f>IF($O226=0,0,        _xll.qDateNext($O225,AB$17,$AH$16,TRUE,Currency1))</f>
        <v>0</v>
      </c>
      <c r="AC225" s="882">
        <f>IF($O226=0,0,        _xll.qDateNext($O225,AC$17,$AH$16,TRUE,Currency1))</f>
        <v>0</v>
      </c>
      <c r="AD225" s="882">
        <f>IF($O226=0,0,        _xll.qDateNext($O225,AD$17,$AH$16,TRUE,Currency1))</f>
        <v>0</v>
      </c>
      <c r="AE225" s="882">
        <f>IF($O226=0,0,        _xll.qDateNext($O225,AE$17,$AH$16,TRUE,Currency1))</f>
        <v>0</v>
      </c>
      <c r="AF225" s="882">
        <f>IF($O226=0,0,        _xll.qDateNext($O225,AF$17,$AH$16,TRUE,Currency1))</f>
        <v>0</v>
      </c>
      <c r="AG225" s="882">
        <f>IF($O226=0,0,        _xll.qDateNext($O225,AG$17,$AH$16,TRUE,Currency1))</f>
        <v>0</v>
      </c>
      <c r="AH225" s="882">
        <f>IF($O226=0,0,        _xll.qDateNext($O225,AH$17,$AH$16,TRUE,Currency1))</f>
        <v>0</v>
      </c>
      <c r="AI225" s="886">
        <f>IF($O226=0,0,           IF(FRM,_xll.qGetFwdRate(AI$14,$O225,AA225,"T",DCC_Leg1_Float),_xll.qGetFwdRate(AI$14,$O225,$O226,"T",DCC_Leg1_Float)))</f>
        <v>0</v>
      </c>
      <c r="AJ225" s="886">
        <f>IF($O226=0,0,           IF(FRM,_xll.qGetFwdRate(AJ$14,$O225,AB225,"T",DCC_Leg1_Float),_xll.qGetFwdRate(AJ$14,$O225,$O226,"T",DCC_Leg1_Float)))</f>
        <v>0</v>
      </c>
      <c r="AK225" s="886">
        <f t="shared" si="100"/>
        <v>0</v>
      </c>
      <c r="AL225" s="886">
        <f>IF($O226=0,0,           IF(FRM,_xll.qGetFwdRate(AL$14,$O225,AD225,"T",DCC_Leg1_Float),_xll.qGetFwdRate(AL$14,$O225,$O226,"T",DCC_Leg1_Float)))</f>
        <v>0</v>
      </c>
      <c r="AM225" s="886">
        <f t="shared" si="113"/>
        <v>0</v>
      </c>
      <c r="AN225" s="886">
        <f t="shared" si="114"/>
        <v>0</v>
      </c>
      <c r="AO225" s="886">
        <f>IF($O226=0,0,           IF(FRM,_xll.qGetFwdRate(AO$14,$O225,AG225,"T",DCC_Leg1_Float),_xll.qGetFwdRate(AO$14,$O225,$O226,"T",DCC_Leg1_Float)))</f>
        <v>0</v>
      </c>
      <c r="AP225" s="886">
        <f>IF($O226=0,0,           IF(FRM,_xll.qGetFwdRate(AP$14,$O225,AH225,"T",DCC_Leg1_Float),_xll.qGetFwdRate(AP$14,$O225,$O226,"T",DCC_Leg1_Float)))</f>
        <v>0</v>
      </c>
      <c r="AQ225" s="648">
        <f t="shared" si="115"/>
        <v>0</v>
      </c>
      <c r="AR225" s="648">
        <f t="shared" si="116"/>
        <v>0</v>
      </c>
      <c r="AS225" s="648">
        <f t="shared" si="117"/>
        <v>0</v>
      </c>
      <c r="AT225" s="648">
        <f t="shared" si="118"/>
        <v>0</v>
      </c>
      <c r="AU225" s="648">
        <f t="shared" si="119"/>
        <v>0</v>
      </c>
      <c r="AV225" s="648">
        <f t="shared" si="120"/>
        <v>0</v>
      </c>
      <c r="AW225" s="648">
        <f t="shared" si="121"/>
        <v>0</v>
      </c>
      <c r="AX225" s="648">
        <f t="shared" si="122"/>
        <v>0</v>
      </c>
      <c r="AY225" s="634">
        <v>0</v>
      </c>
      <c r="AZ225" s="616"/>
      <c r="BA225" s="619">
        <f>IF(O226=0,0,             IF(ISNUMBER(AZ225),AZ225,             IF(ISTEXT(AZ225),INDEX(AQ225:AX225,MATCH(AZ225,$AQ$17:$AX$17,0)),           IF(AY225="INT",_xll.qInterp(O226,AA225:AH225,AQ225:AX225),       INDEX(AQ225:AX225,MATCH(AY225,$AQ$17:$AX$17,0))))))</f>
        <v>0</v>
      </c>
      <c r="BB225" s="674">
        <v>100</v>
      </c>
      <c r="BC225" s="666">
        <f t="shared" si="101"/>
        <v>0</v>
      </c>
      <c r="BD225" s="268">
        <f>IF($O226=0,0,                IF(LEFT(DCC_Leg1_Fixed,2)="1/",uEvaluate(DCC_Leg1_Fixed),        _xll.qDateYears($O225,$O226,DCC_Leg1_Fixed)))</f>
        <v>0</v>
      </c>
      <c r="BE225" s="268">
        <f>IF($O226,_xll.qDateYears($O225,$O226,DCC_Leg1_Float),0)</f>
        <v>0</v>
      </c>
      <c r="BG225" s="332">
        <f t="shared" si="123"/>
        <v>0</v>
      </c>
      <c r="BH225" s="357">
        <f t="shared" si="124"/>
        <v>0</v>
      </c>
      <c r="BI225" s="527"/>
      <c r="BK225" s="324">
        <f t="shared" si="97"/>
        <v>0</v>
      </c>
      <c r="BM225" s="338"/>
      <c r="BN225" s="121">
        <v>0</v>
      </c>
      <c r="BO225" s="755">
        <f t="shared" si="102"/>
        <v>0</v>
      </c>
      <c r="BP225" s="339">
        <v>0</v>
      </c>
      <c r="BQ225" s="890">
        <f>IF(BN226=0,0,         IF(OR(Currency2="AUD",Currency1="NZD",Currency2="GBP"),BN225,   _xll.qDateNext(BN225,"-2b",,,IF(Currency2="EUR","TGT","LON"))))</f>
        <v>0</v>
      </c>
      <c r="BR225" s="879" t="str">
        <v/>
      </c>
      <c r="BS225" s="879" t="str">
        <v/>
      </c>
      <c r="BT225" s="879" t="str">
        <v/>
      </c>
      <c r="BU225" s="879" t="str">
        <v/>
      </c>
      <c r="BV225" s="879" t="str">
        <v/>
      </c>
      <c r="BW225" s="879" t="str">
        <v/>
      </c>
      <c r="BX225" s="879" t="str">
        <v/>
      </c>
      <c r="BY225" s="879" t="str">
        <v/>
      </c>
      <c r="BZ225" s="882">
        <f>IF($BN226=0,0,        _xll.qDateNext($BN225,BZ$17,$CG$16,TRUE,Currency2))</f>
        <v>0</v>
      </c>
      <c r="CA225" s="882">
        <f>IF($BN226=0,0,        _xll.qDateNext($BN225,CA$17,$CG$16,TRUE,Currency2))</f>
        <v>0</v>
      </c>
      <c r="CB225" s="882">
        <f>IF($BN226=0,0,        _xll.qDateNext($BN225,CB$17,$CG$16,TRUE,Currency2))</f>
        <v>0</v>
      </c>
      <c r="CC225" s="882">
        <f>IF($BN226=0,0,        _xll.qDateNext($BN225,CC$17,$CG$16,TRUE,Currency2))</f>
        <v>0</v>
      </c>
      <c r="CD225" s="882">
        <f>IF($BN226=0,0,        _xll.qDateNext($BN225,CD$17,$CG$16,TRUE,Currency2))</f>
        <v>0</v>
      </c>
      <c r="CE225" s="882">
        <f>IF($BN226=0,0,        _xll.qDateNext($BN225,CE$17,$CG$16,TRUE,Currency2))</f>
        <v>0</v>
      </c>
      <c r="CF225" s="882">
        <f>IF($BN226=0,0,        _xll.qDateNext($BN225,CF$17,$CG$16,TRUE,Currency2))</f>
        <v>0</v>
      </c>
      <c r="CG225" s="882">
        <f>IF($BN226=0,0,        _xll.qDateNext($BN225,CG$17,$CG$16,TRUE,Currency2))</f>
        <v>0</v>
      </c>
      <c r="CH225" s="886">
        <v>0</v>
      </c>
      <c r="CI225" s="886">
        <v>0</v>
      </c>
      <c r="CJ225" s="886">
        <v>0</v>
      </c>
      <c r="CK225" s="886">
        <v>0</v>
      </c>
      <c r="CL225" s="886">
        <f t="shared" si="125"/>
        <v>0</v>
      </c>
      <c r="CM225" s="886">
        <f t="shared" si="126"/>
        <v>0</v>
      </c>
      <c r="CN225" s="886">
        <v>0</v>
      </c>
      <c r="CO225" s="886">
        <v>0</v>
      </c>
      <c r="CP225" s="648">
        <f t="shared" si="103"/>
        <v>0</v>
      </c>
      <c r="CQ225" s="648">
        <f t="shared" si="104"/>
        <v>0</v>
      </c>
      <c r="CR225" s="648">
        <f t="shared" si="105"/>
        <v>0</v>
      </c>
      <c r="CS225" s="648">
        <f t="shared" si="106"/>
        <v>0</v>
      </c>
      <c r="CT225" s="648">
        <f t="shared" si="107"/>
        <v>0</v>
      </c>
      <c r="CU225" s="648">
        <f t="shared" si="108"/>
        <v>0</v>
      </c>
      <c r="CV225" s="648">
        <f t="shared" si="109"/>
        <v>0</v>
      </c>
      <c r="CW225" s="648">
        <f t="shared" si="110"/>
        <v>0</v>
      </c>
      <c r="CX225" s="634">
        <v>0</v>
      </c>
      <c r="CY225" s="616"/>
      <c r="CZ225" s="619">
        <f>IF(BN226=0,0,             IF(ISNUMBER(CY225),CY225,             IF(ISTEXT(CY225),INDEX(CP225:CW225,MATCH(CY225,$CP$17:$CW$17,0)),           IF(CX225="INT",_xll.qInterp(BN226,BZ225:CG225,CP225:CW225),       INDEX(CP225:CW225,MATCH(CX225,$CP$17:$CW$17,0))))))</f>
        <v>0</v>
      </c>
      <c r="DA225" s="755">
        <f t="shared" si="111"/>
        <v>0</v>
      </c>
      <c r="DB225" s="387">
        <f t="shared" si="112"/>
        <v>0</v>
      </c>
      <c r="DC225" s="268">
        <f>IF($BN226=0,0,         IF(LEFT(DCC_Leg2_Fixed,2)="1/",uEvaluate(DCC_Leg2_Fixed),         _xll.qDateYears($BN225,$BN226,DCC_Leg2_Fixed)))</f>
        <v>0</v>
      </c>
      <c r="DD225" s="268">
        <f>IF($BN226,_xll.qDateYears($BN225,$BN226,DCC_Leg2_Float),0)</f>
        <v>0</v>
      </c>
      <c r="DF225" s="332">
        <f t="shared" si="127"/>
        <v>0</v>
      </c>
      <c r="DG225" s="357">
        <f t="shared" si="128"/>
        <v>0</v>
      </c>
      <c r="DH225" s="527"/>
      <c r="DJ225" s="324">
        <f t="shared" si="98"/>
        <v>0</v>
      </c>
      <c r="DK225" s="529"/>
      <c r="DL225" s="338"/>
    </row>
    <row r="226" spans="15:116">
      <c r="O226" s="121">
        <v>0</v>
      </c>
      <c r="P226" s="755">
        <f t="shared" si="99"/>
        <v>0</v>
      </c>
      <c r="Q226" s="125">
        <v>0</v>
      </c>
      <c r="R226" s="890">
        <f>IF(O227=0,0,         IF(OR(Currency1="AUD",Currency1="NZD",Currency1="GBP"),O226,   _xll.qDateNext(O226,"-2b",,,IF(Currency1="EUR","TGT","LON"))))</f>
        <v>0</v>
      </c>
      <c r="S226" s="879" t="str">
        <v/>
      </c>
      <c r="T226" s="879" t="str">
        <v/>
      </c>
      <c r="U226" s="879" t="str">
        <v/>
      </c>
      <c r="V226" s="879" t="str">
        <v/>
      </c>
      <c r="W226" s="879" t="str">
        <v/>
      </c>
      <c r="X226" s="879" t="str">
        <v/>
      </c>
      <c r="Y226" s="879" t="str">
        <v/>
      </c>
      <c r="Z226" s="879" t="str">
        <v/>
      </c>
      <c r="AA226" s="882">
        <f>IF($O227=0,0,        _xll.qDateNext($O226,AA$17,$AH$16,TRUE,Currency1))</f>
        <v>0</v>
      </c>
      <c r="AB226" s="882">
        <f>IF($O227=0,0,        _xll.qDateNext($O226,AB$17,$AH$16,TRUE,Currency1))</f>
        <v>0</v>
      </c>
      <c r="AC226" s="882">
        <f>IF($O227=0,0,        _xll.qDateNext($O226,AC$17,$AH$16,TRUE,Currency1))</f>
        <v>0</v>
      </c>
      <c r="AD226" s="882">
        <f>IF($O227=0,0,        _xll.qDateNext($O226,AD$17,$AH$16,TRUE,Currency1))</f>
        <v>0</v>
      </c>
      <c r="AE226" s="882">
        <f>IF($O227=0,0,        _xll.qDateNext($O226,AE$17,$AH$16,TRUE,Currency1))</f>
        <v>0</v>
      </c>
      <c r="AF226" s="882">
        <f>IF($O227=0,0,        _xll.qDateNext($O226,AF$17,$AH$16,TRUE,Currency1))</f>
        <v>0</v>
      </c>
      <c r="AG226" s="882">
        <f>IF($O227=0,0,        _xll.qDateNext($O226,AG$17,$AH$16,TRUE,Currency1))</f>
        <v>0</v>
      </c>
      <c r="AH226" s="882">
        <f>IF($O227=0,0,        _xll.qDateNext($O226,AH$17,$AH$16,TRUE,Currency1))</f>
        <v>0</v>
      </c>
      <c r="AI226" s="886">
        <f>IF($O227=0,0,           IF(FRM,_xll.qGetFwdRate(AI$14,$O226,AA226,"T",DCC_Leg1_Float),_xll.qGetFwdRate(AI$14,$O226,$O227,"T",DCC_Leg1_Float)))</f>
        <v>0</v>
      </c>
      <c r="AJ226" s="886">
        <f>IF($O227=0,0,           IF(FRM,_xll.qGetFwdRate(AJ$14,$O226,AB226,"T",DCC_Leg1_Float),_xll.qGetFwdRate(AJ$14,$O226,$O227,"T",DCC_Leg1_Float)))</f>
        <v>0</v>
      </c>
      <c r="AK226" s="886">
        <f t="shared" si="100"/>
        <v>0</v>
      </c>
      <c r="AL226" s="886">
        <f>IF($O227=0,0,           IF(FRM,_xll.qGetFwdRate(AL$14,$O226,AD226,"T",DCC_Leg1_Float),_xll.qGetFwdRate(AL$14,$O226,$O227,"T",DCC_Leg1_Float)))</f>
        <v>0</v>
      </c>
      <c r="AM226" s="886">
        <f t="shared" si="113"/>
        <v>0</v>
      </c>
      <c r="AN226" s="886">
        <f t="shared" si="114"/>
        <v>0</v>
      </c>
      <c r="AO226" s="886">
        <f>IF($O227=0,0,           IF(FRM,_xll.qGetFwdRate(AO$14,$O226,AG226,"T",DCC_Leg1_Float),_xll.qGetFwdRate(AO$14,$O226,$O227,"T",DCC_Leg1_Float)))</f>
        <v>0</v>
      </c>
      <c r="AP226" s="886">
        <f>IF($O227=0,0,           IF(FRM,_xll.qGetFwdRate(AP$14,$O226,AH226,"T",DCC_Leg1_Float),_xll.qGetFwdRate(AP$14,$O226,$O227,"T",DCC_Leg1_Float)))</f>
        <v>0</v>
      </c>
      <c r="AQ226" s="648">
        <f t="shared" si="115"/>
        <v>0</v>
      </c>
      <c r="AR226" s="648">
        <f t="shared" si="116"/>
        <v>0</v>
      </c>
      <c r="AS226" s="648">
        <f t="shared" si="117"/>
        <v>0</v>
      </c>
      <c r="AT226" s="648">
        <f t="shared" si="118"/>
        <v>0</v>
      </c>
      <c r="AU226" s="648">
        <f t="shared" si="119"/>
        <v>0</v>
      </c>
      <c r="AV226" s="648">
        <f t="shared" si="120"/>
        <v>0</v>
      </c>
      <c r="AW226" s="648">
        <f t="shared" si="121"/>
        <v>0</v>
      </c>
      <c r="AX226" s="648">
        <f t="shared" si="122"/>
        <v>0</v>
      </c>
      <c r="AY226" s="634">
        <v>0</v>
      </c>
      <c r="AZ226" s="616"/>
      <c r="BA226" s="619">
        <f>IF(O227=0,0,             IF(ISNUMBER(AZ226),AZ226,             IF(ISTEXT(AZ226),INDEX(AQ226:AX226,MATCH(AZ226,$AQ$17:$AX$17,0)),           IF(AY226="INT",_xll.qInterp(O227,AA226:AH226,AQ226:AX226),       INDEX(AQ226:AX226,MATCH(AY226,$AQ$17:$AX$17,0))))))</f>
        <v>0</v>
      </c>
      <c r="BB226" s="674">
        <v>100</v>
      </c>
      <c r="BC226" s="666">
        <f t="shared" si="101"/>
        <v>0</v>
      </c>
      <c r="BD226" s="268">
        <f>IF($O227=0,0,                IF(LEFT(DCC_Leg1_Fixed,2)="1/",uEvaluate(DCC_Leg1_Fixed),        _xll.qDateYears($O226,$O227,DCC_Leg1_Fixed)))</f>
        <v>0</v>
      </c>
      <c r="BE226" s="268">
        <f>IF($O227,_xll.qDateYears($O226,$O227,DCC_Leg1_Float),0)</f>
        <v>0</v>
      </c>
      <c r="BG226" s="332">
        <f t="shared" si="123"/>
        <v>0</v>
      </c>
      <c r="BH226" s="357">
        <f t="shared" si="124"/>
        <v>0</v>
      </c>
      <c r="BI226" s="527"/>
      <c r="BK226" s="324">
        <f t="shared" si="97"/>
        <v>0</v>
      </c>
      <c r="BM226" s="338"/>
      <c r="BN226" s="121">
        <v>0</v>
      </c>
      <c r="BO226" s="755">
        <f t="shared" si="102"/>
        <v>0</v>
      </c>
      <c r="BP226" s="339">
        <v>0</v>
      </c>
      <c r="BQ226" s="890">
        <f>IF(BN227=0,0,         IF(OR(Currency2="AUD",Currency1="NZD",Currency2="GBP"),BN226,   _xll.qDateNext(BN226,"-2b",,,IF(Currency2="EUR","TGT","LON"))))</f>
        <v>0</v>
      </c>
      <c r="BR226" s="879" t="str">
        <v/>
      </c>
      <c r="BS226" s="879" t="str">
        <v/>
      </c>
      <c r="BT226" s="879" t="str">
        <v/>
      </c>
      <c r="BU226" s="879" t="str">
        <v/>
      </c>
      <c r="BV226" s="879" t="str">
        <v/>
      </c>
      <c r="BW226" s="879" t="str">
        <v/>
      </c>
      <c r="BX226" s="879" t="str">
        <v/>
      </c>
      <c r="BY226" s="879" t="str">
        <v/>
      </c>
      <c r="BZ226" s="882">
        <f>IF($BN227=0,0,        _xll.qDateNext($BN226,BZ$17,$CG$16,TRUE,Currency2))</f>
        <v>0</v>
      </c>
      <c r="CA226" s="882">
        <f>IF($BN227=0,0,        _xll.qDateNext($BN226,CA$17,$CG$16,TRUE,Currency2))</f>
        <v>0</v>
      </c>
      <c r="CB226" s="882">
        <f>IF($BN227=0,0,        _xll.qDateNext($BN226,CB$17,$CG$16,TRUE,Currency2))</f>
        <v>0</v>
      </c>
      <c r="CC226" s="882">
        <f>IF($BN227=0,0,        _xll.qDateNext($BN226,CC$17,$CG$16,TRUE,Currency2))</f>
        <v>0</v>
      </c>
      <c r="CD226" s="882">
        <f>IF($BN227=0,0,        _xll.qDateNext($BN226,CD$17,$CG$16,TRUE,Currency2))</f>
        <v>0</v>
      </c>
      <c r="CE226" s="882">
        <f>IF($BN227=0,0,        _xll.qDateNext($BN226,CE$17,$CG$16,TRUE,Currency2))</f>
        <v>0</v>
      </c>
      <c r="CF226" s="882">
        <f>IF($BN227=0,0,        _xll.qDateNext($BN226,CF$17,$CG$16,TRUE,Currency2))</f>
        <v>0</v>
      </c>
      <c r="CG226" s="882">
        <f>IF($BN227=0,0,        _xll.qDateNext($BN226,CG$17,$CG$16,TRUE,Currency2))</f>
        <v>0</v>
      </c>
      <c r="CH226" s="886">
        <v>0</v>
      </c>
      <c r="CI226" s="886">
        <v>0</v>
      </c>
      <c r="CJ226" s="886">
        <v>0</v>
      </c>
      <c r="CK226" s="886">
        <v>0</v>
      </c>
      <c r="CL226" s="886">
        <f t="shared" si="125"/>
        <v>0</v>
      </c>
      <c r="CM226" s="886">
        <f t="shared" si="126"/>
        <v>0</v>
      </c>
      <c r="CN226" s="886">
        <v>0</v>
      </c>
      <c r="CO226" s="886">
        <v>0</v>
      </c>
      <c r="CP226" s="648">
        <f t="shared" si="103"/>
        <v>0</v>
      </c>
      <c r="CQ226" s="648">
        <f t="shared" si="104"/>
        <v>0</v>
      </c>
      <c r="CR226" s="648">
        <f t="shared" si="105"/>
        <v>0</v>
      </c>
      <c r="CS226" s="648">
        <f t="shared" si="106"/>
        <v>0</v>
      </c>
      <c r="CT226" s="648">
        <f t="shared" si="107"/>
        <v>0</v>
      </c>
      <c r="CU226" s="648">
        <f t="shared" si="108"/>
        <v>0</v>
      </c>
      <c r="CV226" s="648">
        <f t="shared" si="109"/>
        <v>0</v>
      </c>
      <c r="CW226" s="648">
        <f t="shared" si="110"/>
        <v>0</v>
      </c>
      <c r="CX226" s="634">
        <v>0</v>
      </c>
      <c r="CY226" s="616"/>
      <c r="CZ226" s="619">
        <f>IF(BN227=0,0,             IF(ISNUMBER(CY226),CY226,             IF(ISTEXT(CY226),INDEX(CP226:CW226,MATCH(CY226,$CP$17:$CW$17,0)),           IF(CX226="INT",_xll.qInterp(BN227,BZ226:CG226,CP226:CW226),       INDEX(CP226:CW226,MATCH(CX226,$CP$17:$CW$17,0))))))</f>
        <v>0</v>
      </c>
      <c r="DA226" s="755">
        <f t="shared" si="111"/>
        <v>0</v>
      </c>
      <c r="DB226" s="387">
        <f t="shared" si="112"/>
        <v>0</v>
      </c>
      <c r="DC226" s="268">
        <f>IF($BN227=0,0,         IF(LEFT(DCC_Leg2_Fixed,2)="1/",uEvaluate(DCC_Leg2_Fixed),         _xll.qDateYears($BN226,$BN227,DCC_Leg2_Fixed)))</f>
        <v>0</v>
      </c>
      <c r="DD226" s="268">
        <f>IF($BN227,_xll.qDateYears($BN226,$BN227,DCC_Leg2_Float),0)</f>
        <v>0</v>
      </c>
      <c r="DF226" s="332">
        <f t="shared" si="127"/>
        <v>0</v>
      </c>
      <c r="DG226" s="357">
        <f t="shared" si="128"/>
        <v>0</v>
      </c>
      <c r="DH226" s="527"/>
      <c r="DJ226" s="324">
        <f t="shared" si="98"/>
        <v>0</v>
      </c>
      <c r="DK226" s="529"/>
      <c r="DL226" s="338"/>
    </row>
    <row r="227" spans="15:116">
      <c r="O227" s="121">
        <v>0</v>
      </c>
      <c r="P227" s="755">
        <f t="shared" si="99"/>
        <v>0</v>
      </c>
      <c r="Q227" s="125">
        <v>0</v>
      </c>
      <c r="R227" s="890">
        <f>IF(O228=0,0,         IF(OR(Currency1="AUD",Currency1="NZD",Currency1="GBP"),O227,   _xll.qDateNext(O227,"-2b",,,IF(Currency1="EUR","TGT","LON"))))</f>
        <v>0</v>
      </c>
      <c r="S227" s="879" t="str">
        <v/>
      </c>
      <c r="T227" s="879" t="str">
        <v/>
      </c>
      <c r="U227" s="879" t="str">
        <v/>
      </c>
      <c r="V227" s="879" t="str">
        <v/>
      </c>
      <c r="W227" s="879" t="str">
        <v/>
      </c>
      <c r="X227" s="879" t="str">
        <v/>
      </c>
      <c r="Y227" s="879" t="str">
        <v/>
      </c>
      <c r="Z227" s="879" t="str">
        <v/>
      </c>
      <c r="AA227" s="882">
        <f>IF($O228=0,0,        _xll.qDateNext($O227,AA$17,$AH$16,TRUE,Currency1))</f>
        <v>0</v>
      </c>
      <c r="AB227" s="882">
        <f>IF($O228=0,0,        _xll.qDateNext($O227,AB$17,$AH$16,TRUE,Currency1))</f>
        <v>0</v>
      </c>
      <c r="AC227" s="882">
        <f>IF($O228=0,0,        _xll.qDateNext($O227,AC$17,$AH$16,TRUE,Currency1))</f>
        <v>0</v>
      </c>
      <c r="AD227" s="882">
        <f>IF($O228=0,0,        _xll.qDateNext($O227,AD$17,$AH$16,TRUE,Currency1))</f>
        <v>0</v>
      </c>
      <c r="AE227" s="882">
        <f>IF($O228=0,0,        _xll.qDateNext($O227,AE$17,$AH$16,TRUE,Currency1))</f>
        <v>0</v>
      </c>
      <c r="AF227" s="882">
        <f>IF($O228=0,0,        _xll.qDateNext($O227,AF$17,$AH$16,TRUE,Currency1))</f>
        <v>0</v>
      </c>
      <c r="AG227" s="882">
        <f>IF($O228=0,0,        _xll.qDateNext($O227,AG$17,$AH$16,TRUE,Currency1))</f>
        <v>0</v>
      </c>
      <c r="AH227" s="882">
        <f>IF($O228=0,0,        _xll.qDateNext($O227,AH$17,$AH$16,TRUE,Currency1))</f>
        <v>0</v>
      </c>
      <c r="AI227" s="886">
        <f>IF($O228=0,0,           IF(FRM,_xll.qGetFwdRate(AI$14,$O227,AA227,"T",DCC_Leg1_Float),_xll.qGetFwdRate(AI$14,$O227,$O228,"T",DCC_Leg1_Float)))</f>
        <v>0</v>
      </c>
      <c r="AJ227" s="886">
        <f>IF($O228=0,0,           IF(FRM,_xll.qGetFwdRate(AJ$14,$O227,AB227,"T",DCC_Leg1_Float),_xll.qGetFwdRate(AJ$14,$O227,$O228,"T",DCC_Leg1_Float)))</f>
        <v>0</v>
      </c>
      <c r="AK227" s="886">
        <f t="shared" si="100"/>
        <v>0</v>
      </c>
      <c r="AL227" s="886">
        <f>IF($O228=0,0,           IF(FRM,_xll.qGetFwdRate(AL$14,$O227,AD227,"T",DCC_Leg1_Float),_xll.qGetFwdRate(AL$14,$O227,$O228,"T",DCC_Leg1_Float)))</f>
        <v>0</v>
      </c>
      <c r="AM227" s="886">
        <f t="shared" si="113"/>
        <v>0</v>
      </c>
      <c r="AN227" s="886">
        <f t="shared" si="114"/>
        <v>0</v>
      </c>
      <c r="AO227" s="886">
        <f>IF($O228=0,0,           IF(FRM,_xll.qGetFwdRate(AO$14,$O227,AG227,"T",DCC_Leg1_Float),_xll.qGetFwdRate(AO$14,$O227,$O228,"T",DCC_Leg1_Float)))</f>
        <v>0</v>
      </c>
      <c r="AP227" s="886">
        <f>IF($O228=0,0,           IF(FRM,_xll.qGetFwdRate(AP$14,$O227,AH227,"T",DCC_Leg1_Float),_xll.qGetFwdRate(AP$14,$O227,$O228,"T",DCC_Leg1_Float)))</f>
        <v>0</v>
      </c>
      <c r="AQ227" s="648">
        <f t="shared" si="115"/>
        <v>0</v>
      </c>
      <c r="AR227" s="648">
        <f t="shared" si="116"/>
        <v>0</v>
      </c>
      <c r="AS227" s="648">
        <f t="shared" si="117"/>
        <v>0</v>
      </c>
      <c r="AT227" s="648">
        <f t="shared" si="118"/>
        <v>0</v>
      </c>
      <c r="AU227" s="648">
        <f t="shared" si="119"/>
        <v>0</v>
      </c>
      <c r="AV227" s="648">
        <f t="shared" si="120"/>
        <v>0</v>
      </c>
      <c r="AW227" s="648">
        <f t="shared" si="121"/>
        <v>0</v>
      </c>
      <c r="AX227" s="648">
        <f t="shared" si="122"/>
        <v>0</v>
      </c>
      <c r="AY227" s="634">
        <v>0</v>
      </c>
      <c r="AZ227" s="616"/>
      <c r="BA227" s="619">
        <f>IF(O228=0,0,             IF(ISNUMBER(AZ227),AZ227,             IF(ISTEXT(AZ227),INDEX(AQ227:AX227,MATCH(AZ227,$AQ$17:$AX$17,0)),           IF(AY227="INT",_xll.qInterp(O228,AA227:AH227,AQ227:AX227),       INDEX(AQ227:AX227,MATCH(AY227,$AQ$17:$AX$17,0))))))</f>
        <v>0</v>
      </c>
      <c r="BB227" s="674">
        <v>100</v>
      </c>
      <c r="BC227" s="666">
        <f t="shared" si="101"/>
        <v>0</v>
      </c>
      <c r="BD227" s="268">
        <f>IF($O228=0,0,                IF(LEFT(DCC_Leg1_Fixed,2)="1/",uEvaluate(DCC_Leg1_Fixed),        _xll.qDateYears($O227,$O228,DCC_Leg1_Fixed)))</f>
        <v>0</v>
      </c>
      <c r="BE227" s="268">
        <f>IF($O228,_xll.qDateYears($O227,$O228,DCC_Leg1_Float),0)</f>
        <v>0</v>
      </c>
      <c r="BG227" s="332">
        <f t="shared" si="123"/>
        <v>0</v>
      </c>
      <c r="BH227" s="357">
        <f t="shared" si="124"/>
        <v>0</v>
      </c>
      <c r="BI227" s="527"/>
      <c r="BK227" s="324">
        <f t="shared" si="97"/>
        <v>0</v>
      </c>
      <c r="BM227" s="338"/>
      <c r="BN227" s="121">
        <v>0</v>
      </c>
      <c r="BO227" s="755">
        <f t="shared" si="102"/>
        <v>0</v>
      </c>
      <c r="BP227" s="339">
        <v>0</v>
      </c>
      <c r="BQ227" s="890">
        <f>IF(BN228=0,0,         IF(OR(Currency2="AUD",Currency1="NZD",Currency2="GBP"),BN227,   _xll.qDateNext(BN227,"-2b",,,IF(Currency2="EUR","TGT","LON"))))</f>
        <v>0</v>
      </c>
      <c r="BR227" s="879" t="str">
        <v/>
      </c>
      <c r="BS227" s="879" t="str">
        <v/>
      </c>
      <c r="BT227" s="879" t="str">
        <v/>
      </c>
      <c r="BU227" s="879" t="str">
        <v/>
      </c>
      <c r="BV227" s="879" t="str">
        <v/>
      </c>
      <c r="BW227" s="879" t="str">
        <v/>
      </c>
      <c r="BX227" s="879" t="str">
        <v/>
      </c>
      <c r="BY227" s="879" t="str">
        <v/>
      </c>
      <c r="BZ227" s="882">
        <f>IF($BN228=0,0,        _xll.qDateNext($BN227,BZ$17,$CG$16,TRUE,Currency2))</f>
        <v>0</v>
      </c>
      <c r="CA227" s="882">
        <f>IF($BN228=0,0,        _xll.qDateNext($BN227,CA$17,$CG$16,TRUE,Currency2))</f>
        <v>0</v>
      </c>
      <c r="CB227" s="882">
        <f>IF($BN228=0,0,        _xll.qDateNext($BN227,CB$17,$CG$16,TRUE,Currency2))</f>
        <v>0</v>
      </c>
      <c r="CC227" s="882">
        <f>IF($BN228=0,0,        _xll.qDateNext($BN227,CC$17,$CG$16,TRUE,Currency2))</f>
        <v>0</v>
      </c>
      <c r="CD227" s="882">
        <f>IF($BN228=0,0,        _xll.qDateNext($BN227,CD$17,$CG$16,TRUE,Currency2))</f>
        <v>0</v>
      </c>
      <c r="CE227" s="882">
        <f>IF($BN228=0,0,        _xll.qDateNext($BN227,CE$17,$CG$16,TRUE,Currency2))</f>
        <v>0</v>
      </c>
      <c r="CF227" s="882">
        <f>IF($BN228=0,0,        _xll.qDateNext($BN227,CF$17,$CG$16,TRUE,Currency2))</f>
        <v>0</v>
      </c>
      <c r="CG227" s="882">
        <f>IF($BN228=0,0,        _xll.qDateNext($BN227,CG$17,$CG$16,TRUE,Currency2))</f>
        <v>0</v>
      </c>
      <c r="CH227" s="886">
        <v>0</v>
      </c>
      <c r="CI227" s="886">
        <v>0</v>
      </c>
      <c r="CJ227" s="886">
        <v>0</v>
      </c>
      <c r="CK227" s="886">
        <v>0</v>
      </c>
      <c r="CL227" s="886">
        <f t="shared" si="125"/>
        <v>0</v>
      </c>
      <c r="CM227" s="886">
        <f t="shared" si="126"/>
        <v>0</v>
      </c>
      <c r="CN227" s="886">
        <v>0</v>
      </c>
      <c r="CO227" s="886">
        <v>0</v>
      </c>
      <c r="CP227" s="648">
        <f t="shared" si="103"/>
        <v>0</v>
      </c>
      <c r="CQ227" s="648">
        <f t="shared" si="104"/>
        <v>0</v>
      </c>
      <c r="CR227" s="648">
        <f t="shared" si="105"/>
        <v>0</v>
      </c>
      <c r="CS227" s="648">
        <f t="shared" si="106"/>
        <v>0</v>
      </c>
      <c r="CT227" s="648">
        <f t="shared" si="107"/>
        <v>0</v>
      </c>
      <c r="CU227" s="648">
        <f t="shared" si="108"/>
        <v>0</v>
      </c>
      <c r="CV227" s="648">
        <f t="shared" si="109"/>
        <v>0</v>
      </c>
      <c r="CW227" s="648">
        <f t="shared" si="110"/>
        <v>0</v>
      </c>
      <c r="CX227" s="634">
        <v>0</v>
      </c>
      <c r="CY227" s="616"/>
      <c r="CZ227" s="619">
        <f>IF(BN228=0,0,             IF(ISNUMBER(CY227),CY227,             IF(ISTEXT(CY227),INDEX(CP227:CW227,MATCH(CY227,$CP$17:$CW$17,0)),           IF(CX227="INT",_xll.qInterp(BN228,BZ227:CG227,CP227:CW227),       INDEX(CP227:CW227,MATCH(CX227,$CP$17:$CW$17,0))))))</f>
        <v>0</v>
      </c>
      <c r="DA227" s="755">
        <f t="shared" si="111"/>
        <v>0</v>
      </c>
      <c r="DB227" s="387">
        <f t="shared" si="112"/>
        <v>0</v>
      </c>
      <c r="DC227" s="268">
        <f>IF($BN228=0,0,         IF(LEFT(DCC_Leg2_Fixed,2)="1/",uEvaluate(DCC_Leg2_Fixed),         _xll.qDateYears($BN227,$BN228,DCC_Leg2_Fixed)))</f>
        <v>0</v>
      </c>
      <c r="DD227" s="268">
        <f>IF($BN228,_xll.qDateYears($BN227,$BN228,DCC_Leg2_Float),0)</f>
        <v>0</v>
      </c>
      <c r="DF227" s="332">
        <f t="shared" si="127"/>
        <v>0</v>
      </c>
      <c r="DG227" s="357">
        <f t="shared" si="128"/>
        <v>0</v>
      </c>
      <c r="DH227" s="527"/>
      <c r="DJ227" s="324">
        <f t="shared" si="98"/>
        <v>0</v>
      </c>
      <c r="DK227" s="529"/>
      <c r="DL227" s="338"/>
    </row>
    <row r="228" spans="15:116">
      <c r="O228" s="121">
        <v>0</v>
      </c>
      <c r="P228" s="755">
        <f t="shared" si="99"/>
        <v>0</v>
      </c>
      <c r="Q228" s="125">
        <v>0</v>
      </c>
      <c r="R228" s="890">
        <f>IF(O229=0,0,         IF(OR(Currency1="AUD",Currency1="NZD",Currency1="GBP"),O228,   _xll.qDateNext(O228,"-2b",,,IF(Currency1="EUR","TGT","LON"))))</f>
        <v>0</v>
      </c>
      <c r="S228" s="879" t="str">
        <v/>
      </c>
      <c r="T228" s="879" t="str">
        <v/>
      </c>
      <c r="U228" s="879" t="str">
        <v/>
      </c>
      <c r="V228" s="879" t="str">
        <v/>
      </c>
      <c r="W228" s="879" t="str">
        <v/>
      </c>
      <c r="X228" s="879" t="str">
        <v/>
      </c>
      <c r="Y228" s="879" t="str">
        <v/>
      </c>
      <c r="Z228" s="879" t="str">
        <v/>
      </c>
      <c r="AA228" s="882">
        <f>IF($O229=0,0,        _xll.qDateNext($O228,AA$17,$AH$16,TRUE,Currency1))</f>
        <v>0</v>
      </c>
      <c r="AB228" s="882">
        <f>IF($O229=0,0,        _xll.qDateNext($O228,AB$17,$AH$16,TRUE,Currency1))</f>
        <v>0</v>
      </c>
      <c r="AC228" s="882">
        <f>IF($O229=0,0,        _xll.qDateNext($O228,AC$17,$AH$16,TRUE,Currency1))</f>
        <v>0</v>
      </c>
      <c r="AD228" s="882">
        <f>IF($O229=0,0,        _xll.qDateNext($O228,AD$17,$AH$16,TRUE,Currency1))</f>
        <v>0</v>
      </c>
      <c r="AE228" s="882">
        <f>IF($O229=0,0,        _xll.qDateNext($O228,AE$17,$AH$16,TRUE,Currency1))</f>
        <v>0</v>
      </c>
      <c r="AF228" s="882">
        <f>IF($O229=0,0,        _xll.qDateNext($O228,AF$17,$AH$16,TRUE,Currency1))</f>
        <v>0</v>
      </c>
      <c r="AG228" s="882">
        <f>IF($O229=0,0,        _xll.qDateNext($O228,AG$17,$AH$16,TRUE,Currency1))</f>
        <v>0</v>
      </c>
      <c r="AH228" s="882">
        <f>IF($O229=0,0,        _xll.qDateNext($O228,AH$17,$AH$16,TRUE,Currency1))</f>
        <v>0</v>
      </c>
      <c r="AI228" s="886">
        <f>IF($O229=0,0,           IF(FRM,_xll.qGetFwdRate(AI$14,$O228,AA228,"T",DCC_Leg1_Float),_xll.qGetFwdRate(AI$14,$O228,$O229,"T",DCC_Leg1_Float)))</f>
        <v>0</v>
      </c>
      <c r="AJ228" s="886">
        <f>IF($O229=0,0,           IF(FRM,_xll.qGetFwdRate(AJ$14,$O228,AB228,"T",DCC_Leg1_Float),_xll.qGetFwdRate(AJ$14,$O228,$O229,"T",DCC_Leg1_Float)))</f>
        <v>0</v>
      </c>
      <c r="AK228" s="886">
        <f t="shared" si="100"/>
        <v>0</v>
      </c>
      <c r="AL228" s="886">
        <f>IF($O229=0,0,           IF(FRM,_xll.qGetFwdRate(AL$14,$O228,AD228,"T",DCC_Leg1_Float),_xll.qGetFwdRate(AL$14,$O228,$O229,"T",DCC_Leg1_Float)))</f>
        <v>0</v>
      </c>
      <c r="AM228" s="886">
        <f t="shared" si="113"/>
        <v>0</v>
      </c>
      <c r="AN228" s="886">
        <f t="shared" si="114"/>
        <v>0</v>
      </c>
      <c r="AO228" s="886">
        <f>IF($O229=0,0,           IF(FRM,_xll.qGetFwdRate(AO$14,$O228,AG228,"T",DCC_Leg1_Float),_xll.qGetFwdRate(AO$14,$O228,$O229,"T",DCC_Leg1_Float)))</f>
        <v>0</v>
      </c>
      <c r="AP228" s="886">
        <f>IF($O229=0,0,           IF(FRM,_xll.qGetFwdRate(AP$14,$O228,AH228,"T",DCC_Leg1_Float),_xll.qGetFwdRate(AP$14,$O228,$O229,"T",DCC_Leg1_Float)))</f>
        <v>0</v>
      </c>
      <c r="AQ228" s="648">
        <f t="shared" si="115"/>
        <v>0</v>
      </c>
      <c r="AR228" s="648">
        <f t="shared" si="116"/>
        <v>0</v>
      </c>
      <c r="AS228" s="648">
        <f t="shared" si="117"/>
        <v>0</v>
      </c>
      <c r="AT228" s="648">
        <f t="shared" si="118"/>
        <v>0</v>
      </c>
      <c r="AU228" s="648">
        <f t="shared" si="119"/>
        <v>0</v>
      </c>
      <c r="AV228" s="648">
        <f t="shared" si="120"/>
        <v>0</v>
      </c>
      <c r="AW228" s="648">
        <f t="shared" si="121"/>
        <v>0</v>
      </c>
      <c r="AX228" s="648">
        <f t="shared" si="122"/>
        <v>0</v>
      </c>
      <c r="AY228" s="634">
        <v>0</v>
      </c>
      <c r="AZ228" s="616"/>
      <c r="BA228" s="619">
        <f>IF(O229=0,0,             IF(ISNUMBER(AZ228),AZ228,             IF(ISTEXT(AZ228),INDEX(AQ228:AX228,MATCH(AZ228,$AQ$17:$AX$17,0)),           IF(AY228="INT",_xll.qInterp(O229,AA228:AH228,AQ228:AX228),       INDEX(AQ228:AX228,MATCH(AY228,$AQ$17:$AX$17,0))))))</f>
        <v>0</v>
      </c>
      <c r="BB228" s="674">
        <v>100</v>
      </c>
      <c r="BC228" s="666">
        <f t="shared" si="101"/>
        <v>0</v>
      </c>
      <c r="BD228" s="268">
        <f>IF($O229=0,0,                IF(LEFT(DCC_Leg1_Fixed,2)="1/",uEvaluate(DCC_Leg1_Fixed),        _xll.qDateYears($O228,$O229,DCC_Leg1_Fixed)))</f>
        <v>0</v>
      </c>
      <c r="BE228" s="268">
        <f>IF($O229,_xll.qDateYears($O228,$O229,DCC_Leg1_Float),0)</f>
        <v>0</v>
      </c>
      <c r="BG228" s="332">
        <f t="shared" si="123"/>
        <v>0</v>
      </c>
      <c r="BH228" s="357">
        <f t="shared" si="124"/>
        <v>0</v>
      </c>
      <c r="BI228" s="527"/>
      <c r="BK228" s="324">
        <f t="shared" si="97"/>
        <v>0</v>
      </c>
      <c r="BM228" s="338"/>
      <c r="BN228" s="121">
        <v>0</v>
      </c>
      <c r="BO228" s="755">
        <f t="shared" si="102"/>
        <v>0</v>
      </c>
      <c r="BP228" s="339">
        <v>0</v>
      </c>
      <c r="BQ228" s="890">
        <f>IF(BN229=0,0,         IF(OR(Currency2="AUD",Currency1="NZD",Currency2="GBP"),BN228,   _xll.qDateNext(BN228,"-2b",,,IF(Currency2="EUR","TGT","LON"))))</f>
        <v>0</v>
      </c>
      <c r="BR228" s="879" t="str">
        <v/>
      </c>
      <c r="BS228" s="879" t="str">
        <v/>
      </c>
      <c r="BT228" s="879" t="str">
        <v/>
      </c>
      <c r="BU228" s="879" t="str">
        <v/>
      </c>
      <c r="BV228" s="879" t="str">
        <v/>
      </c>
      <c r="BW228" s="879" t="str">
        <v/>
      </c>
      <c r="BX228" s="879" t="str">
        <v/>
      </c>
      <c r="BY228" s="879" t="str">
        <v/>
      </c>
      <c r="BZ228" s="882">
        <f>IF($BN229=0,0,        _xll.qDateNext($BN228,BZ$17,$CG$16,TRUE,Currency2))</f>
        <v>0</v>
      </c>
      <c r="CA228" s="882">
        <f>IF($BN229=0,0,        _xll.qDateNext($BN228,CA$17,$CG$16,TRUE,Currency2))</f>
        <v>0</v>
      </c>
      <c r="CB228" s="882">
        <f>IF($BN229=0,0,        _xll.qDateNext($BN228,CB$17,$CG$16,TRUE,Currency2))</f>
        <v>0</v>
      </c>
      <c r="CC228" s="882">
        <f>IF($BN229=0,0,        _xll.qDateNext($BN228,CC$17,$CG$16,TRUE,Currency2))</f>
        <v>0</v>
      </c>
      <c r="CD228" s="882">
        <f>IF($BN229=0,0,        _xll.qDateNext($BN228,CD$17,$CG$16,TRUE,Currency2))</f>
        <v>0</v>
      </c>
      <c r="CE228" s="882">
        <f>IF($BN229=0,0,        _xll.qDateNext($BN228,CE$17,$CG$16,TRUE,Currency2))</f>
        <v>0</v>
      </c>
      <c r="CF228" s="882">
        <f>IF($BN229=0,0,        _xll.qDateNext($BN228,CF$17,$CG$16,TRUE,Currency2))</f>
        <v>0</v>
      </c>
      <c r="CG228" s="882">
        <f>IF($BN229=0,0,        _xll.qDateNext($BN228,CG$17,$CG$16,TRUE,Currency2))</f>
        <v>0</v>
      </c>
      <c r="CH228" s="886">
        <v>0</v>
      </c>
      <c r="CI228" s="886">
        <v>0</v>
      </c>
      <c r="CJ228" s="886">
        <v>0</v>
      </c>
      <c r="CK228" s="886">
        <v>0</v>
      </c>
      <c r="CL228" s="886">
        <f t="shared" si="125"/>
        <v>0</v>
      </c>
      <c r="CM228" s="886">
        <f t="shared" si="126"/>
        <v>0</v>
      </c>
      <c r="CN228" s="886">
        <v>0</v>
      </c>
      <c r="CO228" s="886">
        <v>0</v>
      </c>
      <c r="CP228" s="648">
        <f t="shared" si="103"/>
        <v>0</v>
      </c>
      <c r="CQ228" s="648">
        <f t="shared" si="104"/>
        <v>0</v>
      </c>
      <c r="CR228" s="648">
        <f t="shared" si="105"/>
        <v>0</v>
      </c>
      <c r="CS228" s="648">
        <f t="shared" si="106"/>
        <v>0</v>
      </c>
      <c r="CT228" s="648">
        <f t="shared" si="107"/>
        <v>0</v>
      </c>
      <c r="CU228" s="648">
        <f t="shared" si="108"/>
        <v>0</v>
      </c>
      <c r="CV228" s="648">
        <f t="shared" si="109"/>
        <v>0</v>
      </c>
      <c r="CW228" s="648">
        <f t="shared" si="110"/>
        <v>0</v>
      </c>
      <c r="CX228" s="634">
        <v>0</v>
      </c>
      <c r="CY228" s="616"/>
      <c r="CZ228" s="619">
        <f>IF(BN229=0,0,             IF(ISNUMBER(CY228),CY228,             IF(ISTEXT(CY228),INDEX(CP228:CW228,MATCH(CY228,$CP$17:$CW$17,0)),           IF(CX228="INT",_xll.qInterp(BN229,BZ228:CG228,CP228:CW228),       INDEX(CP228:CW228,MATCH(CX228,$CP$17:$CW$17,0))))))</f>
        <v>0</v>
      </c>
      <c r="DA228" s="755">
        <f t="shared" si="111"/>
        <v>0</v>
      </c>
      <c r="DB228" s="387">
        <f t="shared" si="112"/>
        <v>0</v>
      </c>
      <c r="DC228" s="268">
        <f>IF($BN229=0,0,         IF(LEFT(DCC_Leg2_Fixed,2)="1/",uEvaluate(DCC_Leg2_Fixed),         _xll.qDateYears($BN228,$BN229,DCC_Leg2_Fixed)))</f>
        <v>0</v>
      </c>
      <c r="DD228" s="268">
        <f>IF($BN229,_xll.qDateYears($BN228,$BN229,DCC_Leg2_Float),0)</f>
        <v>0</v>
      </c>
      <c r="DF228" s="332">
        <f t="shared" si="127"/>
        <v>0</v>
      </c>
      <c r="DG228" s="357">
        <f t="shared" si="128"/>
        <v>0</v>
      </c>
      <c r="DH228" s="527"/>
      <c r="DJ228" s="324">
        <f t="shared" si="98"/>
        <v>0</v>
      </c>
      <c r="DK228" s="529"/>
      <c r="DL228" s="338"/>
    </row>
    <row r="229" spans="15:116">
      <c r="O229" s="121">
        <v>0</v>
      </c>
      <c r="P229" s="755">
        <f t="shared" si="99"/>
        <v>0</v>
      </c>
      <c r="Q229" s="125">
        <v>0</v>
      </c>
      <c r="R229" s="890">
        <f>IF(O230=0,0,         IF(OR(Currency1="AUD",Currency1="NZD",Currency1="GBP"),O229,   _xll.qDateNext(O229,"-2b",,,IF(Currency1="EUR","TGT","LON"))))</f>
        <v>0</v>
      </c>
      <c r="S229" s="879" t="str">
        <v/>
      </c>
      <c r="T229" s="879" t="str">
        <v/>
      </c>
      <c r="U229" s="879" t="str">
        <v/>
      </c>
      <c r="V229" s="879" t="str">
        <v/>
      </c>
      <c r="W229" s="879" t="str">
        <v/>
      </c>
      <c r="X229" s="879" t="str">
        <v/>
      </c>
      <c r="Y229" s="879" t="str">
        <v/>
      </c>
      <c r="Z229" s="879" t="str">
        <v/>
      </c>
      <c r="AA229" s="882">
        <f>IF($O230=0,0,        _xll.qDateNext($O229,AA$17,$AH$16,TRUE,Currency1))</f>
        <v>0</v>
      </c>
      <c r="AB229" s="882">
        <f>IF($O230=0,0,        _xll.qDateNext($O229,AB$17,$AH$16,TRUE,Currency1))</f>
        <v>0</v>
      </c>
      <c r="AC229" s="882">
        <f>IF($O230=0,0,        _xll.qDateNext($O229,AC$17,$AH$16,TRUE,Currency1))</f>
        <v>0</v>
      </c>
      <c r="AD229" s="882">
        <f>IF($O230=0,0,        _xll.qDateNext($O229,AD$17,$AH$16,TRUE,Currency1))</f>
        <v>0</v>
      </c>
      <c r="AE229" s="882">
        <f>IF($O230=0,0,        _xll.qDateNext($O229,AE$17,$AH$16,TRUE,Currency1))</f>
        <v>0</v>
      </c>
      <c r="AF229" s="882">
        <f>IF($O230=0,0,        _xll.qDateNext($O229,AF$17,$AH$16,TRUE,Currency1))</f>
        <v>0</v>
      </c>
      <c r="AG229" s="882">
        <f>IF($O230=0,0,        _xll.qDateNext($O229,AG$17,$AH$16,TRUE,Currency1))</f>
        <v>0</v>
      </c>
      <c r="AH229" s="882">
        <f>IF($O230=0,0,        _xll.qDateNext($O229,AH$17,$AH$16,TRUE,Currency1))</f>
        <v>0</v>
      </c>
      <c r="AI229" s="886">
        <f>IF($O230=0,0,           IF(FRM,_xll.qGetFwdRate(AI$14,$O229,AA229,"T",DCC_Leg1_Float),_xll.qGetFwdRate(AI$14,$O229,$O230,"T",DCC_Leg1_Float)))</f>
        <v>0</v>
      </c>
      <c r="AJ229" s="886">
        <f>IF($O230=0,0,           IF(FRM,_xll.qGetFwdRate(AJ$14,$O229,AB229,"T",DCC_Leg1_Float),_xll.qGetFwdRate(AJ$14,$O229,$O230,"T",DCC_Leg1_Float)))</f>
        <v>0</v>
      </c>
      <c r="AK229" s="886">
        <f t="shared" si="100"/>
        <v>0</v>
      </c>
      <c r="AL229" s="886">
        <f>IF($O230=0,0,           IF(FRM,_xll.qGetFwdRate(AL$14,$O229,AD229,"T",DCC_Leg1_Float),_xll.qGetFwdRate(AL$14,$O229,$O230,"T",DCC_Leg1_Float)))</f>
        <v>0</v>
      </c>
      <c r="AM229" s="886">
        <f t="shared" si="113"/>
        <v>0</v>
      </c>
      <c r="AN229" s="886">
        <f t="shared" si="114"/>
        <v>0</v>
      </c>
      <c r="AO229" s="886">
        <f>IF($O230=0,0,           IF(FRM,_xll.qGetFwdRate(AO$14,$O229,AG229,"T",DCC_Leg1_Float),_xll.qGetFwdRate(AO$14,$O229,$O230,"T",DCC_Leg1_Float)))</f>
        <v>0</v>
      </c>
      <c r="AP229" s="886">
        <f>IF($O230=0,0,           IF(FRM,_xll.qGetFwdRate(AP$14,$O229,AH229,"T",DCC_Leg1_Float),_xll.qGetFwdRate(AP$14,$O229,$O230,"T",DCC_Leg1_Float)))</f>
        <v>0</v>
      </c>
      <c r="AQ229" s="648">
        <f t="shared" si="115"/>
        <v>0</v>
      </c>
      <c r="AR229" s="648">
        <f t="shared" si="116"/>
        <v>0</v>
      </c>
      <c r="AS229" s="648">
        <f t="shared" si="117"/>
        <v>0</v>
      </c>
      <c r="AT229" s="648">
        <f t="shared" si="118"/>
        <v>0</v>
      </c>
      <c r="AU229" s="648">
        <f t="shared" si="119"/>
        <v>0</v>
      </c>
      <c r="AV229" s="648">
        <f t="shared" si="120"/>
        <v>0</v>
      </c>
      <c r="AW229" s="648">
        <f t="shared" si="121"/>
        <v>0</v>
      </c>
      <c r="AX229" s="648">
        <f t="shared" si="122"/>
        <v>0</v>
      </c>
      <c r="AY229" s="634">
        <v>0</v>
      </c>
      <c r="AZ229" s="616"/>
      <c r="BA229" s="619">
        <f>IF(O230=0,0,             IF(ISNUMBER(AZ229),AZ229,             IF(ISTEXT(AZ229),INDEX(AQ229:AX229,MATCH(AZ229,$AQ$17:$AX$17,0)),           IF(AY229="INT",_xll.qInterp(O230,AA229:AH229,AQ229:AX229),       INDEX(AQ229:AX229,MATCH(AY229,$AQ$17:$AX$17,0))))))</f>
        <v>0</v>
      </c>
      <c r="BB229" s="674">
        <v>100</v>
      </c>
      <c r="BC229" s="666">
        <f t="shared" si="101"/>
        <v>0</v>
      </c>
      <c r="BD229" s="268">
        <f>IF($O230=0,0,                IF(LEFT(DCC_Leg1_Fixed,2)="1/",uEvaluate(DCC_Leg1_Fixed),        _xll.qDateYears($O229,$O230,DCC_Leg1_Fixed)))</f>
        <v>0</v>
      </c>
      <c r="BE229" s="268">
        <f>IF($O230,_xll.qDateYears($O229,$O230,DCC_Leg1_Float),0)</f>
        <v>0</v>
      </c>
      <c r="BG229" s="332">
        <f t="shared" si="123"/>
        <v>0</v>
      </c>
      <c r="BH229" s="357">
        <f t="shared" si="124"/>
        <v>0</v>
      </c>
      <c r="BI229" s="527"/>
      <c r="BK229" s="324">
        <f t="shared" si="97"/>
        <v>0</v>
      </c>
      <c r="BM229" s="338"/>
      <c r="BN229" s="121">
        <v>0</v>
      </c>
      <c r="BO229" s="755">
        <f t="shared" si="102"/>
        <v>0</v>
      </c>
      <c r="BP229" s="339">
        <v>0</v>
      </c>
      <c r="BQ229" s="890">
        <f>IF(BN230=0,0,         IF(OR(Currency2="AUD",Currency1="NZD",Currency2="GBP"),BN229,   _xll.qDateNext(BN229,"-2b",,,IF(Currency2="EUR","TGT","LON"))))</f>
        <v>0</v>
      </c>
      <c r="BR229" s="879" t="str">
        <v/>
      </c>
      <c r="BS229" s="879" t="str">
        <v/>
      </c>
      <c r="BT229" s="879" t="str">
        <v/>
      </c>
      <c r="BU229" s="879" t="str">
        <v/>
      </c>
      <c r="BV229" s="879" t="str">
        <v/>
      </c>
      <c r="BW229" s="879" t="str">
        <v/>
      </c>
      <c r="BX229" s="879" t="str">
        <v/>
      </c>
      <c r="BY229" s="879" t="str">
        <v/>
      </c>
      <c r="BZ229" s="882">
        <f>IF($BN230=0,0,        _xll.qDateNext($BN229,BZ$17,$CG$16,TRUE,Currency2))</f>
        <v>0</v>
      </c>
      <c r="CA229" s="882">
        <f>IF($BN230=0,0,        _xll.qDateNext($BN229,CA$17,$CG$16,TRUE,Currency2))</f>
        <v>0</v>
      </c>
      <c r="CB229" s="882">
        <f>IF($BN230=0,0,        _xll.qDateNext($BN229,CB$17,$CG$16,TRUE,Currency2))</f>
        <v>0</v>
      </c>
      <c r="CC229" s="882">
        <f>IF($BN230=0,0,        _xll.qDateNext($BN229,CC$17,$CG$16,TRUE,Currency2))</f>
        <v>0</v>
      </c>
      <c r="CD229" s="882">
        <f>IF($BN230=0,0,        _xll.qDateNext($BN229,CD$17,$CG$16,TRUE,Currency2))</f>
        <v>0</v>
      </c>
      <c r="CE229" s="882">
        <f>IF($BN230=0,0,        _xll.qDateNext($BN229,CE$17,$CG$16,TRUE,Currency2))</f>
        <v>0</v>
      </c>
      <c r="CF229" s="882">
        <f>IF($BN230=0,0,        _xll.qDateNext($BN229,CF$17,$CG$16,TRUE,Currency2))</f>
        <v>0</v>
      </c>
      <c r="CG229" s="882">
        <f>IF($BN230=0,0,        _xll.qDateNext($BN229,CG$17,$CG$16,TRUE,Currency2))</f>
        <v>0</v>
      </c>
      <c r="CH229" s="886">
        <v>0</v>
      </c>
      <c r="CI229" s="886">
        <v>0</v>
      </c>
      <c r="CJ229" s="886">
        <v>0</v>
      </c>
      <c r="CK229" s="886">
        <v>0</v>
      </c>
      <c r="CL229" s="886">
        <f t="shared" si="125"/>
        <v>0</v>
      </c>
      <c r="CM229" s="886">
        <f t="shared" si="126"/>
        <v>0</v>
      </c>
      <c r="CN229" s="886">
        <v>0</v>
      </c>
      <c r="CO229" s="886">
        <v>0</v>
      </c>
      <c r="CP229" s="648">
        <f t="shared" si="103"/>
        <v>0</v>
      </c>
      <c r="CQ229" s="648">
        <f t="shared" si="104"/>
        <v>0</v>
      </c>
      <c r="CR229" s="648">
        <f t="shared" si="105"/>
        <v>0</v>
      </c>
      <c r="CS229" s="648">
        <f t="shared" si="106"/>
        <v>0</v>
      </c>
      <c r="CT229" s="648">
        <f t="shared" si="107"/>
        <v>0</v>
      </c>
      <c r="CU229" s="648">
        <f t="shared" si="108"/>
        <v>0</v>
      </c>
      <c r="CV229" s="648">
        <f t="shared" si="109"/>
        <v>0</v>
      </c>
      <c r="CW229" s="648">
        <f t="shared" si="110"/>
        <v>0</v>
      </c>
      <c r="CX229" s="634">
        <v>0</v>
      </c>
      <c r="CY229" s="616"/>
      <c r="CZ229" s="619">
        <f>IF(BN230=0,0,             IF(ISNUMBER(CY229),CY229,             IF(ISTEXT(CY229),INDEX(CP229:CW229,MATCH(CY229,$CP$17:$CW$17,0)),           IF(CX229="INT",_xll.qInterp(BN230,BZ229:CG229,CP229:CW229),       INDEX(CP229:CW229,MATCH(CX229,$CP$17:$CW$17,0))))))</f>
        <v>0</v>
      </c>
      <c r="DA229" s="755">
        <f t="shared" si="111"/>
        <v>0</v>
      </c>
      <c r="DB229" s="387">
        <f t="shared" si="112"/>
        <v>0</v>
      </c>
      <c r="DC229" s="268">
        <f>IF($BN230=0,0,         IF(LEFT(DCC_Leg2_Fixed,2)="1/",uEvaluate(DCC_Leg2_Fixed),         _xll.qDateYears($BN229,$BN230,DCC_Leg2_Fixed)))</f>
        <v>0</v>
      </c>
      <c r="DD229" s="268">
        <f>IF($BN230,_xll.qDateYears($BN229,$BN230,DCC_Leg2_Float),0)</f>
        <v>0</v>
      </c>
      <c r="DF229" s="332">
        <f t="shared" si="127"/>
        <v>0</v>
      </c>
      <c r="DG229" s="357">
        <f t="shared" si="128"/>
        <v>0</v>
      </c>
      <c r="DH229" s="527"/>
      <c r="DJ229" s="324">
        <f t="shared" si="98"/>
        <v>0</v>
      </c>
      <c r="DK229" s="529"/>
      <c r="DL229" s="338"/>
    </row>
    <row r="230" spans="15:116">
      <c r="O230" s="121">
        <v>0</v>
      </c>
      <c r="P230" s="755">
        <f t="shared" si="99"/>
        <v>0</v>
      </c>
      <c r="Q230" s="125">
        <v>0</v>
      </c>
      <c r="R230" s="890">
        <f>IF(O231=0,0,         IF(OR(Currency1="AUD",Currency1="NZD",Currency1="GBP"),O230,   _xll.qDateNext(O230,"-2b",,,IF(Currency1="EUR","TGT","LON"))))</f>
        <v>0</v>
      </c>
      <c r="S230" s="879" t="str">
        <v/>
      </c>
      <c r="T230" s="879" t="str">
        <v/>
      </c>
      <c r="U230" s="879" t="str">
        <v/>
      </c>
      <c r="V230" s="879" t="str">
        <v/>
      </c>
      <c r="W230" s="879" t="str">
        <v/>
      </c>
      <c r="X230" s="879" t="str">
        <v/>
      </c>
      <c r="Y230" s="879" t="str">
        <v/>
      </c>
      <c r="Z230" s="879" t="str">
        <v/>
      </c>
      <c r="AA230" s="882">
        <f>IF($O231=0,0,        _xll.qDateNext($O230,AA$17,$AH$16,TRUE,Currency1))</f>
        <v>0</v>
      </c>
      <c r="AB230" s="882">
        <f>IF($O231=0,0,        _xll.qDateNext($O230,AB$17,$AH$16,TRUE,Currency1))</f>
        <v>0</v>
      </c>
      <c r="AC230" s="882">
        <f>IF($O231=0,0,        _xll.qDateNext($O230,AC$17,$AH$16,TRUE,Currency1))</f>
        <v>0</v>
      </c>
      <c r="AD230" s="882">
        <f>IF($O231=0,0,        _xll.qDateNext($O230,AD$17,$AH$16,TRUE,Currency1))</f>
        <v>0</v>
      </c>
      <c r="AE230" s="882">
        <f>IF($O231=0,0,        _xll.qDateNext($O230,AE$17,$AH$16,TRUE,Currency1))</f>
        <v>0</v>
      </c>
      <c r="AF230" s="882">
        <f>IF($O231=0,0,        _xll.qDateNext($O230,AF$17,$AH$16,TRUE,Currency1))</f>
        <v>0</v>
      </c>
      <c r="AG230" s="882">
        <f>IF($O231=0,0,        _xll.qDateNext($O230,AG$17,$AH$16,TRUE,Currency1))</f>
        <v>0</v>
      </c>
      <c r="AH230" s="882">
        <f>IF($O231=0,0,        _xll.qDateNext($O230,AH$17,$AH$16,TRUE,Currency1))</f>
        <v>0</v>
      </c>
      <c r="AI230" s="886">
        <f>IF($O231=0,0,           IF(FRM,_xll.qGetFwdRate(AI$14,$O230,AA230,"T",DCC_Leg1_Float),_xll.qGetFwdRate(AI$14,$O230,$O231,"T",DCC_Leg1_Float)))</f>
        <v>0</v>
      </c>
      <c r="AJ230" s="886">
        <f>IF($O231=0,0,           IF(FRM,_xll.qGetFwdRate(AJ$14,$O230,AB230,"T",DCC_Leg1_Float),_xll.qGetFwdRate(AJ$14,$O230,$O231,"T",DCC_Leg1_Float)))</f>
        <v>0</v>
      </c>
      <c r="AK230" s="886">
        <f t="shared" si="100"/>
        <v>0</v>
      </c>
      <c r="AL230" s="886">
        <f>IF($O231=0,0,           IF(FRM,_xll.qGetFwdRate(AL$14,$O230,AD230,"T",DCC_Leg1_Float),_xll.qGetFwdRate(AL$14,$O230,$O231,"T",DCC_Leg1_Float)))</f>
        <v>0</v>
      </c>
      <c r="AM230" s="886">
        <f t="shared" si="113"/>
        <v>0</v>
      </c>
      <c r="AN230" s="886">
        <f t="shared" si="114"/>
        <v>0</v>
      </c>
      <c r="AO230" s="886">
        <f>IF($O231=0,0,           IF(FRM,_xll.qGetFwdRate(AO$14,$O230,AG230,"T",DCC_Leg1_Float),_xll.qGetFwdRate(AO$14,$O230,$O231,"T",DCC_Leg1_Float)))</f>
        <v>0</v>
      </c>
      <c r="AP230" s="886">
        <f>IF($O231=0,0,           IF(FRM,_xll.qGetFwdRate(AP$14,$O230,AH230,"T",DCC_Leg1_Float),_xll.qGetFwdRate(AP$14,$O230,$O231,"T",DCC_Leg1_Float)))</f>
        <v>0</v>
      </c>
      <c r="AQ230" s="648">
        <f t="shared" si="115"/>
        <v>0</v>
      </c>
      <c r="AR230" s="648">
        <f t="shared" si="116"/>
        <v>0</v>
      </c>
      <c r="AS230" s="648">
        <f t="shared" si="117"/>
        <v>0</v>
      </c>
      <c r="AT230" s="648">
        <f t="shared" si="118"/>
        <v>0</v>
      </c>
      <c r="AU230" s="648">
        <f t="shared" si="119"/>
        <v>0</v>
      </c>
      <c r="AV230" s="648">
        <f t="shared" si="120"/>
        <v>0</v>
      </c>
      <c r="AW230" s="648">
        <f t="shared" si="121"/>
        <v>0</v>
      </c>
      <c r="AX230" s="648">
        <f t="shared" si="122"/>
        <v>0</v>
      </c>
      <c r="AY230" s="634">
        <v>0</v>
      </c>
      <c r="AZ230" s="616"/>
      <c r="BA230" s="619">
        <f>IF(O231=0,0,             IF(ISNUMBER(AZ230),AZ230,             IF(ISTEXT(AZ230),INDEX(AQ230:AX230,MATCH(AZ230,$AQ$17:$AX$17,0)),           IF(AY230="INT",_xll.qInterp(O231,AA230:AH230,AQ230:AX230),       INDEX(AQ230:AX230,MATCH(AY230,$AQ$17:$AX$17,0))))))</f>
        <v>0</v>
      </c>
      <c r="BB230" s="674">
        <v>100</v>
      </c>
      <c r="BC230" s="666">
        <f t="shared" si="101"/>
        <v>0</v>
      </c>
      <c r="BD230" s="268">
        <f>IF($O231=0,0,                IF(LEFT(DCC_Leg1_Fixed,2)="1/",uEvaluate(DCC_Leg1_Fixed),        _xll.qDateYears($O230,$O231,DCC_Leg1_Fixed)))</f>
        <v>0</v>
      </c>
      <c r="BE230" s="268">
        <f>IF($O231,_xll.qDateYears($O230,$O231,DCC_Leg1_Float),0)</f>
        <v>0</v>
      </c>
      <c r="BG230" s="332">
        <f t="shared" si="123"/>
        <v>0</v>
      </c>
      <c r="BH230" s="357">
        <f t="shared" si="124"/>
        <v>0</v>
      </c>
      <c r="BI230" s="527"/>
      <c r="BK230" s="324">
        <f t="shared" si="97"/>
        <v>0</v>
      </c>
      <c r="BM230" s="338"/>
      <c r="BN230" s="121">
        <v>0</v>
      </c>
      <c r="BO230" s="755">
        <f t="shared" si="102"/>
        <v>0</v>
      </c>
      <c r="BP230" s="339">
        <v>0</v>
      </c>
      <c r="BQ230" s="890">
        <f>IF(BN231=0,0,         IF(OR(Currency2="AUD",Currency1="NZD",Currency2="GBP"),BN230,   _xll.qDateNext(BN230,"-2b",,,IF(Currency2="EUR","TGT","LON"))))</f>
        <v>0</v>
      </c>
      <c r="BR230" s="879" t="str">
        <v/>
      </c>
      <c r="BS230" s="879" t="str">
        <v/>
      </c>
      <c r="BT230" s="879" t="str">
        <v/>
      </c>
      <c r="BU230" s="879" t="str">
        <v/>
      </c>
      <c r="BV230" s="879" t="str">
        <v/>
      </c>
      <c r="BW230" s="879" t="str">
        <v/>
      </c>
      <c r="BX230" s="879" t="str">
        <v/>
      </c>
      <c r="BY230" s="879" t="str">
        <v/>
      </c>
      <c r="BZ230" s="882">
        <f>IF($BN231=0,0,        _xll.qDateNext($BN230,BZ$17,$CG$16,TRUE,Currency2))</f>
        <v>0</v>
      </c>
      <c r="CA230" s="882">
        <f>IF($BN231=0,0,        _xll.qDateNext($BN230,CA$17,$CG$16,TRUE,Currency2))</f>
        <v>0</v>
      </c>
      <c r="CB230" s="882">
        <f>IF($BN231=0,0,        _xll.qDateNext($BN230,CB$17,$CG$16,TRUE,Currency2))</f>
        <v>0</v>
      </c>
      <c r="CC230" s="882">
        <f>IF($BN231=0,0,        _xll.qDateNext($BN230,CC$17,$CG$16,TRUE,Currency2))</f>
        <v>0</v>
      </c>
      <c r="CD230" s="882">
        <f>IF($BN231=0,0,        _xll.qDateNext($BN230,CD$17,$CG$16,TRUE,Currency2))</f>
        <v>0</v>
      </c>
      <c r="CE230" s="882">
        <f>IF($BN231=0,0,        _xll.qDateNext($BN230,CE$17,$CG$16,TRUE,Currency2))</f>
        <v>0</v>
      </c>
      <c r="CF230" s="882">
        <f>IF($BN231=0,0,        _xll.qDateNext($BN230,CF$17,$CG$16,TRUE,Currency2))</f>
        <v>0</v>
      </c>
      <c r="CG230" s="882">
        <f>IF($BN231=0,0,        _xll.qDateNext($BN230,CG$17,$CG$16,TRUE,Currency2))</f>
        <v>0</v>
      </c>
      <c r="CH230" s="886">
        <v>0</v>
      </c>
      <c r="CI230" s="886">
        <v>0</v>
      </c>
      <c r="CJ230" s="886">
        <v>0</v>
      </c>
      <c r="CK230" s="886">
        <v>0</v>
      </c>
      <c r="CL230" s="886">
        <f t="shared" si="125"/>
        <v>0</v>
      </c>
      <c r="CM230" s="886">
        <f t="shared" si="126"/>
        <v>0</v>
      </c>
      <c r="CN230" s="886">
        <v>0</v>
      </c>
      <c r="CO230" s="886">
        <v>0</v>
      </c>
      <c r="CP230" s="648">
        <f t="shared" si="103"/>
        <v>0</v>
      </c>
      <c r="CQ230" s="648">
        <f t="shared" si="104"/>
        <v>0</v>
      </c>
      <c r="CR230" s="648">
        <f t="shared" si="105"/>
        <v>0</v>
      </c>
      <c r="CS230" s="648">
        <f t="shared" si="106"/>
        <v>0</v>
      </c>
      <c r="CT230" s="648">
        <f t="shared" si="107"/>
        <v>0</v>
      </c>
      <c r="CU230" s="648">
        <f t="shared" si="108"/>
        <v>0</v>
      </c>
      <c r="CV230" s="648">
        <f t="shared" si="109"/>
        <v>0</v>
      </c>
      <c r="CW230" s="648">
        <f t="shared" si="110"/>
        <v>0</v>
      </c>
      <c r="CX230" s="634">
        <v>0</v>
      </c>
      <c r="CY230" s="616"/>
      <c r="CZ230" s="619">
        <f>IF(BN231=0,0,             IF(ISNUMBER(CY230),CY230,             IF(ISTEXT(CY230),INDEX(CP230:CW230,MATCH(CY230,$CP$17:$CW$17,0)),           IF(CX230="INT",_xll.qInterp(BN231,BZ230:CG230,CP230:CW230),       INDEX(CP230:CW230,MATCH(CX230,$CP$17:$CW$17,0))))))</f>
        <v>0</v>
      </c>
      <c r="DA230" s="755">
        <f t="shared" si="111"/>
        <v>0</v>
      </c>
      <c r="DB230" s="387">
        <f t="shared" si="112"/>
        <v>0</v>
      </c>
      <c r="DC230" s="268">
        <f>IF($BN231=0,0,         IF(LEFT(DCC_Leg2_Fixed,2)="1/",uEvaluate(DCC_Leg2_Fixed),         _xll.qDateYears($BN230,$BN231,DCC_Leg2_Fixed)))</f>
        <v>0</v>
      </c>
      <c r="DD230" s="268">
        <f>IF($BN231,_xll.qDateYears($BN230,$BN231,DCC_Leg2_Float),0)</f>
        <v>0</v>
      </c>
      <c r="DF230" s="332">
        <f t="shared" si="127"/>
        <v>0</v>
      </c>
      <c r="DG230" s="357">
        <f t="shared" si="128"/>
        <v>0</v>
      </c>
      <c r="DH230" s="527"/>
      <c r="DJ230" s="324">
        <f t="shared" si="98"/>
        <v>0</v>
      </c>
      <c r="DK230" s="529"/>
      <c r="DL230" s="338"/>
    </row>
    <row r="231" spans="15:116">
      <c r="O231" s="121">
        <v>0</v>
      </c>
      <c r="P231" s="755">
        <f t="shared" si="99"/>
        <v>0</v>
      </c>
      <c r="Q231" s="125">
        <v>0</v>
      </c>
      <c r="R231" s="890">
        <f>IF(O232=0,0,         IF(OR(Currency1="AUD",Currency1="NZD",Currency1="GBP"),O231,   _xll.qDateNext(O231,"-2b",,,IF(Currency1="EUR","TGT","LON"))))</f>
        <v>0</v>
      </c>
      <c r="S231" s="879" t="str">
        <v/>
      </c>
      <c r="T231" s="879" t="str">
        <v/>
      </c>
      <c r="U231" s="879" t="str">
        <v/>
      </c>
      <c r="V231" s="879" t="str">
        <v/>
      </c>
      <c r="W231" s="879" t="str">
        <v/>
      </c>
      <c r="X231" s="879" t="str">
        <v/>
      </c>
      <c r="Y231" s="879" t="str">
        <v/>
      </c>
      <c r="Z231" s="879" t="str">
        <v/>
      </c>
      <c r="AA231" s="882">
        <f>IF($O232=0,0,        _xll.qDateNext($O231,AA$17,$AH$16,TRUE,Currency1))</f>
        <v>0</v>
      </c>
      <c r="AB231" s="882">
        <f>IF($O232=0,0,        _xll.qDateNext($O231,AB$17,$AH$16,TRUE,Currency1))</f>
        <v>0</v>
      </c>
      <c r="AC231" s="882">
        <f>IF($O232=0,0,        _xll.qDateNext($O231,AC$17,$AH$16,TRUE,Currency1))</f>
        <v>0</v>
      </c>
      <c r="AD231" s="882">
        <f>IF($O232=0,0,        _xll.qDateNext($O231,AD$17,$AH$16,TRUE,Currency1))</f>
        <v>0</v>
      </c>
      <c r="AE231" s="882">
        <f>IF($O232=0,0,        _xll.qDateNext($O231,AE$17,$AH$16,TRUE,Currency1))</f>
        <v>0</v>
      </c>
      <c r="AF231" s="882">
        <f>IF($O232=0,0,        _xll.qDateNext($O231,AF$17,$AH$16,TRUE,Currency1))</f>
        <v>0</v>
      </c>
      <c r="AG231" s="882">
        <f>IF($O232=0,0,        _xll.qDateNext($O231,AG$17,$AH$16,TRUE,Currency1))</f>
        <v>0</v>
      </c>
      <c r="AH231" s="882">
        <f>IF($O232=0,0,        _xll.qDateNext($O231,AH$17,$AH$16,TRUE,Currency1))</f>
        <v>0</v>
      </c>
      <c r="AI231" s="886">
        <f>IF($O232=0,0,           IF(FRM,_xll.qGetFwdRate(AI$14,$O231,AA231,"T",DCC_Leg1_Float),_xll.qGetFwdRate(AI$14,$O231,$O232,"T",DCC_Leg1_Float)))</f>
        <v>0</v>
      </c>
      <c r="AJ231" s="886">
        <f>IF($O232=0,0,           IF(FRM,_xll.qGetFwdRate(AJ$14,$O231,AB231,"T",DCC_Leg1_Float),_xll.qGetFwdRate(AJ$14,$O231,$O232,"T",DCC_Leg1_Float)))</f>
        <v>0</v>
      </c>
      <c r="AK231" s="886">
        <f t="shared" si="100"/>
        <v>0</v>
      </c>
      <c r="AL231" s="886">
        <f>IF($O232=0,0,           IF(FRM,_xll.qGetFwdRate(AL$14,$O231,AD231,"T",DCC_Leg1_Float),_xll.qGetFwdRate(AL$14,$O231,$O232,"T",DCC_Leg1_Float)))</f>
        <v>0</v>
      </c>
      <c r="AM231" s="886">
        <f t="shared" si="113"/>
        <v>0</v>
      </c>
      <c r="AN231" s="886">
        <f t="shared" si="114"/>
        <v>0</v>
      </c>
      <c r="AO231" s="886">
        <f>IF($O232=0,0,           IF(FRM,_xll.qGetFwdRate(AO$14,$O231,AG231,"T",DCC_Leg1_Float),_xll.qGetFwdRate(AO$14,$O231,$O232,"T",DCC_Leg1_Float)))</f>
        <v>0</v>
      </c>
      <c r="AP231" s="886">
        <f>IF($O232=0,0,           IF(FRM,_xll.qGetFwdRate(AP$14,$O231,AH231,"T",DCC_Leg1_Float),_xll.qGetFwdRate(AP$14,$O231,$O232,"T",DCC_Leg1_Float)))</f>
        <v>0</v>
      </c>
      <c r="AQ231" s="648">
        <f t="shared" si="115"/>
        <v>0</v>
      </c>
      <c r="AR231" s="648">
        <f t="shared" si="116"/>
        <v>0</v>
      </c>
      <c r="AS231" s="648">
        <f t="shared" si="117"/>
        <v>0</v>
      </c>
      <c r="AT231" s="648">
        <f t="shared" si="118"/>
        <v>0</v>
      </c>
      <c r="AU231" s="648">
        <f t="shared" si="119"/>
        <v>0</v>
      </c>
      <c r="AV231" s="648">
        <f t="shared" si="120"/>
        <v>0</v>
      </c>
      <c r="AW231" s="648">
        <f t="shared" si="121"/>
        <v>0</v>
      </c>
      <c r="AX231" s="648">
        <f t="shared" si="122"/>
        <v>0</v>
      </c>
      <c r="AY231" s="634">
        <v>0</v>
      </c>
      <c r="AZ231" s="616"/>
      <c r="BA231" s="619">
        <f>IF(O232=0,0,             IF(ISNUMBER(AZ231),AZ231,             IF(ISTEXT(AZ231),INDEX(AQ231:AX231,MATCH(AZ231,$AQ$17:$AX$17,0)),           IF(AY231="INT",_xll.qInterp(O232,AA231:AH231,AQ231:AX231),       INDEX(AQ231:AX231,MATCH(AY231,$AQ$17:$AX$17,0))))))</f>
        <v>0</v>
      </c>
      <c r="BB231" s="674">
        <v>100</v>
      </c>
      <c r="BC231" s="666">
        <f t="shared" si="101"/>
        <v>0</v>
      </c>
      <c r="BD231" s="268">
        <f>IF($O232=0,0,                IF(LEFT(DCC_Leg1_Fixed,2)="1/",uEvaluate(DCC_Leg1_Fixed),        _xll.qDateYears($O231,$O232,DCC_Leg1_Fixed)))</f>
        <v>0</v>
      </c>
      <c r="BE231" s="268">
        <f>IF($O232,_xll.qDateYears($O231,$O232,DCC_Leg1_Float),0)</f>
        <v>0</v>
      </c>
      <c r="BG231" s="332">
        <f t="shared" si="123"/>
        <v>0</v>
      </c>
      <c r="BH231" s="357">
        <f t="shared" si="124"/>
        <v>0</v>
      </c>
      <c r="BI231" s="527"/>
      <c r="BK231" s="324">
        <f t="shared" si="97"/>
        <v>0</v>
      </c>
      <c r="BM231" s="338"/>
      <c r="BN231" s="121">
        <v>0</v>
      </c>
      <c r="BO231" s="755">
        <f t="shared" si="102"/>
        <v>0</v>
      </c>
      <c r="BP231" s="339">
        <v>0</v>
      </c>
      <c r="BQ231" s="890">
        <f>IF(BN232=0,0,         IF(OR(Currency2="AUD",Currency1="NZD",Currency2="GBP"),BN231,   _xll.qDateNext(BN231,"-2b",,,IF(Currency2="EUR","TGT","LON"))))</f>
        <v>0</v>
      </c>
      <c r="BR231" s="879" t="str">
        <v/>
      </c>
      <c r="BS231" s="879" t="str">
        <v/>
      </c>
      <c r="BT231" s="879" t="str">
        <v/>
      </c>
      <c r="BU231" s="879" t="str">
        <v/>
      </c>
      <c r="BV231" s="879" t="str">
        <v/>
      </c>
      <c r="BW231" s="879" t="str">
        <v/>
      </c>
      <c r="BX231" s="879" t="str">
        <v/>
      </c>
      <c r="BY231" s="879" t="str">
        <v/>
      </c>
      <c r="BZ231" s="882">
        <f>IF($BN232=0,0,        _xll.qDateNext($BN231,BZ$17,$CG$16,TRUE,Currency2))</f>
        <v>0</v>
      </c>
      <c r="CA231" s="882">
        <f>IF($BN232=0,0,        _xll.qDateNext($BN231,CA$17,$CG$16,TRUE,Currency2))</f>
        <v>0</v>
      </c>
      <c r="CB231" s="882">
        <f>IF($BN232=0,0,        _xll.qDateNext($BN231,CB$17,$CG$16,TRUE,Currency2))</f>
        <v>0</v>
      </c>
      <c r="CC231" s="882">
        <f>IF($BN232=0,0,        _xll.qDateNext($BN231,CC$17,$CG$16,TRUE,Currency2))</f>
        <v>0</v>
      </c>
      <c r="CD231" s="882">
        <f>IF($BN232=0,0,        _xll.qDateNext($BN231,CD$17,$CG$16,TRUE,Currency2))</f>
        <v>0</v>
      </c>
      <c r="CE231" s="882">
        <f>IF($BN232=0,0,        _xll.qDateNext($BN231,CE$17,$CG$16,TRUE,Currency2))</f>
        <v>0</v>
      </c>
      <c r="CF231" s="882">
        <f>IF($BN232=0,0,        _xll.qDateNext($BN231,CF$17,$CG$16,TRUE,Currency2))</f>
        <v>0</v>
      </c>
      <c r="CG231" s="882">
        <f>IF($BN232=0,0,        _xll.qDateNext($BN231,CG$17,$CG$16,TRUE,Currency2))</f>
        <v>0</v>
      </c>
      <c r="CH231" s="886">
        <v>0</v>
      </c>
      <c r="CI231" s="886">
        <v>0</v>
      </c>
      <c r="CJ231" s="886">
        <v>0</v>
      </c>
      <c r="CK231" s="886">
        <v>0</v>
      </c>
      <c r="CL231" s="886">
        <f t="shared" si="125"/>
        <v>0</v>
      </c>
      <c r="CM231" s="886">
        <f t="shared" si="126"/>
        <v>0</v>
      </c>
      <c r="CN231" s="886">
        <v>0</v>
      </c>
      <c r="CO231" s="886">
        <v>0</v>
      </c>
      <c r="CP231" s="648">
        <f t="shared" si="103"/>
        <v>0</v>
      </c>
      <c r="CQ231" s="648">
        <f t="shared" si="104"/>
        <v>0</v>
      </c>
      <c r="CR231" s="648">
        <f t="shared" si="105"/>
        <v>0</v>
      </c>
      <c r="CS231" s="648">
        <f t="shared" si="106"/>
        <v>0</v>
      </c>
      <c r="CT231" s="648">
        <f t="shared" si="107"/>
        <v>0</v>
      </c>
      <c r="CU231" s="648">
        <f t="shared" si="108"/>
        <v>0</v>
      </c>
      <c r="CV231" s="648">
        <f t="shared" si="109"/>
        <v>0</v>
      </c>
      <c r="CW231" s="648">
        <f t="shared" si="110"/>
        <v>0</v>
      </c>
      <c r="CX231" s="634">
        <v>0</v>
      </c>
      <c r="CY231" s="616"/>
      <c r="CZ231" s="619">
        <f>IF(BN232=0,0,             IF(ISNUMBER(CY231),CY231,             IF(ISTEXT(CY231),INDEX(CP231:CW231,MATCH(CY231,$CP$17:$CW$17,0)),           IF(CX231="INT",_xll.qInterp(BN232,BZ231:CG231,CP231:CW231),       INDEX(CP231:CW231,MATCH(CX231,$CP$17:$CW$17,0))))))</f>
        <v>0</v>
      </c>
      <c r="DA231" s="755">
        <f t="shared" si="111"/>
        <v>0</v>
      </c>
      <c r="DB231" s="387">
        <f t="shared" si="112"/>
        <v>0</v>
      </c>
      <c r="DC231" s="268">
        <f>IF($BN232=0,0,         IF(LEFT(DCC_Leg2_Fixed,2)="1/",uEvaluate(DCC_Leg2_Fixed),         _xll.qDateYears($BN231,$BN232,DCC_Leg2_Fixed)))</f>
        <v>0</v>
      </c>
      <c r="DD231" s="268">
        <f>IF($BN232,_xll.qDateYears($BN231,$BN232,DCC_Leg2_Float),0)</f>
        <v>0</v>
      </c>
      <c r="DF231" s="332">
        <f t="shared" si="127"/>
        <v>0</v>
      </c>
      <c r="DG231" s="357">
        <f t="shared" si="128"/>
        <v>0</v>
      </c>
      <c r="DH231" s="527"/>
      <c r="DJ231" s="324">
        <f t="shared" si="98"/>
        <v>0</v>
      </c>
      <c r="DK231" s="529"/>
      <c r="DL231" s="338"/>
    </row>
    <row r="232" spans="15:116">
      <c r="O232" s="121">
        <v>0</v>
      </c>
      <c r="P232" s="755">
        <f t="shared" si="99"/>
        <v>0</v>
      </c>
      <c r="Q232" s="125">
        <v>0</v>
      </c>
      <c r="R232" s="890">
        <f>IF(O233=0,0,         IF(OR(Currency1="AUD",Currency1="NZD",Currency1="GBP"),O232,   _xll.qDateNext(O232,"-2b",,,IF(Currency1="EUR","TGT","LON"))))</f>
        <v>0</v>
      </c>
      <c r="S232" s="879" t="str">
        <v/>
      </c>
      <c r="T232" s="879" t="str">
        <v/>
      </c>
      <c r="U232" s="879" t="str">
        <v/>
      </c>
      <c r="V232" s="879" t="str">
        <v/>
      </c>
      <c r="W232" s="879" t="str">
        <v/>
      </c>
      <c r="X232" s="879" t="str">
        <v/>
      </c>
      <c r="Y232" s="879" t="str">
        <v/>
      </c>
      <c r="Z232" s="879" t="str">
        <v/>
      </c>
      <c r="AA232" s="882">
        <f>IF($O233=0,0,        _xll.qDateNext($O232,AA$17,$AH$16,TRUE,Currency1))</f>
        <v>0</v>
      </c>
      <c r="AB232" s="882">
        <f>IF($O233=0,0,        _xll.qDateNext($O232,AB$17,$AH$16,TRUE,Currency1))</f>
        <v>0</v>
      </c>
      <c r="AC232" s="882">
        <f>IF($O233=0,0,        _xll.qDateNext($O232,AC$17,$AH$16,TRUE,Currency1))</f>
        <v>0</v>
      </c>
      <c r="AD232" s="882">
        <f>IF($O233=0,0,        _xll.qDateNext($O232,AD$17,$AH$16,TRUE,Currency1))</f>
        <v>0</v>
      </c>
      <c r="AE232" s="882">
        <f>IF($O233=0,0,        _xll.qDateNext($O232,AE$17,$AH$16,TRUE,Currency1))</f>
        <v>0</v>
      </c>
      <c r="AF232" s="882">
        <f>IF($O233=0,0,        _xll.qDateNext($O232,AF$17,$AH$16,TRUE,Currency1))</f>
        <v>0</v>
      </c>
      <c r="AG232" s="882">
        <f>IF($O233=0,0,        _xll.qDateNext($O232,AG$17,$AH$16,TRUE,Currency1))</f>
        <v>0</v>
      </c>
      <c r="AH232" s="882">
        <f>IF($O233=0,0,        _xll.qDateNext($O232,AH$17,$AH$16,TRUE,Currency1))</f>
        <v>0</v>
      </c>
      <c r="AI232" s="886">
        <f>IF($O233=0,0,           IF(FRM,_xll.qGetFwdRate(AI$14,$O232,AA232,"T",DCC_Leg1_Float),_xll.qGetFwdRate(AI$14,$O232,$O233,"T",DCC_Leg1_Float)))</f>
        <v>0</v>
      </c>
      <c r="AJ232" s="886">
        <f>IF($O233=0,0,           IF(FRM,_xll.qGetFwdRate(AJ$14,$O232,AB232,"T",DCC_Leg1_Float),_xll.qGetFwdRate(AJ$14,$O232,$O233,"T",DCC_Leg1_Float)))</f>
        <v>0</v>
      </c>
      <c r="AK232" s="886">
        <f t="shared" si="100"/>
        <v>0</v>
      </c>
      <c r="AL232" s="886">
        <f>IF($O233=0,0,           IF(FRM,_xll.qGetFwdRate(AL$14,$O232,AD232,"T",DCC_Leg1_Float),_xll.qGetFwdRate(AL$14,$O232,$O233,"T",DCC_Leg1_Float)))</f>
        <v>0</v>
      </c>
      <c r="AM232" s="886">
        <f t="shared" si="113"/>
        <v>0</v>
      </c>
      <c r="AN232" s="886">
        <f t="shared" si="114"/>
        <v>0</v>
      </c>
      <c r="AO232" s="886">
        <f>IF($O233=0,0,           IF(FRM,_xll.qGetFwdRate(AO$14,$O232,AG232,"T",DCC_Leg1_Float),_xll.qGetFwdRate(AO$14,$O232,$O233,"T",DCC_Leg1_Float)))</f>
        <v>0</v>
      </c>
      <c r="AP232" s="886">
        <f>IF($O233=0,0,           IF(FRM,_xll.qGetFwdRate(AP$14,$O232,AH232,"T",DCC_Leg1_Float),_xll.qGetFwdRate(AP$14,$O232,$O233,"T",DCC_Leg1_Float)))</f>
        <v>0</v>
      </c>
      <c r="AQ232" s="648">
        <f t="shared" si="115"/>
        <v>0</v>
      </c>
      <c r="AR232" s="648">
        <f t="shared" si="116"/>
        <v>0</v>
      </c>
      <c r="AS232" s="648">
        <f t="shared" si="117"/>
        <v>0</v>
      </c>
      <c r="AT232" s="648">
        <f t="shared" si="118"/>
        <v>0</v>
      </c>
      <c r="AU232" s="648">
        <f t="shared" si="119"/>
        <v>0</v>
      </c>
      <c r="AV232" s="648">
        <f t="shared" si="120"/>
        <v>0</v>
      </c>
      <c r="AW232" s="648">
        <f t="shared" si="121"/>
        <v>0</v>
      </c>
      <c r="AX232" s="648">
        <f t="shared" si="122"/>
        <v>0</v>
      </c>
      <c r="AY232" s="634">
        <v>0</v>
      </c>
      <c r="AZ232" s="616"/>
      <c r="BA232" s="619">
        <f>IF(O233=0,0,             IF(ISNUMBER(AZ232),AZ232,             IF(ISTEXT(AZ232),INDEX(AQ232:AX232,MATCH(AZ232,$AQ$17:$AX$17,0)),           IF(AY232="INT",_xll.qInterp(O233,AA232:AH232,AQ232:AX232),       INDEX(AQ232:AX232,MATCH(AY232,$AQ$17:$AX$17,0))))))</f>
        <v>0</v>
      </c>
      <c r="BB232" s="674">
        <v>100</v>
      </c>
      <c r="BC232" s="666">
        <f t="shared" si="101"/>
        <v>0</v>
      </c>
      <c r="BD232" s="268">
        <f>IF($O233=0,0,                IF(LEFT(DCC_Leg1_Fixed,2)="1/",uEvaluate(DCC_Leg1_Fixed),        _xll.qDateYears($O232,$O233,DCC_Leg1_Fixed)))</f>
        <v>0</v>
      </c>
      <c r="BE232" s="268">
        <f>IF($O233,_xll.qDateYears($O232,$O233,DCC_Leg1_Float),0)</f>
        <v>0</v>
      </c>
      <c r="BG232" s="332">
        <f t="shared" si="123"/>
        <v>0</v>
      </c>
      <c r="BH232" s="357">
        <f t="shared" si="124"/>
        <v>0</v>
      </c>
      <c r="BI232" s="527"/>
      <c r="BK232" s="324">
        <f t="shared" ref="BK232:BK295" si="129">SUM(BG232:BI232)</f>
        <v>0</v>
      </c>
      <c r="BM232" s="338"/>
      <c r="BN232" s="121">
        <v>0</v>
      </c>
      <c r="BO232" s="755">
        <f t="shared" si="102"/>
        <v>0</v>
      </c>
      <c r="BP232" s="339">
        <v>0</v>
      </c>
      <c r="BQ232" s="890">
        <f>IF(BN233=0,0,         IF(OR(Currency2="AUD",Currency1="NZD",Currency2="GBP"),BN232,   _xll.qDateNext(BN232,"-2b",,,IF(Currency2="EUR","TGT","LON"))))</f>
        <v>0</v>
      </c>
      <c r="BR232" s="879" t="str">
        <v/>
      </c>
      <c r="BS232" s="879" t="str">
        <v/>
      </c>
      <c r="BT232" s="879" t="str">
        <v/>
      </c>
      <c r="BU232" s="879" t="str">
        <v/>
      </c>
      <c r="BV232" s="879" t="str">
        <v/>
      </c>
      <c r="BW232" s="879" t="str">
        <v/>
      </c>
      <c r="BX232" s="879" t="str">
        <v/>
      </c>
      <c r="BY232" s="879" t="str">
        <v/>
      </c>
      <c r="BZ232" s="882">
        <f>IF($BN233=0,0,        _xll.qDateNext($BN232,BZ$17,$CG$16,TRUE,Currency2))</f>
        <v>0</v>
      </c>
      <c r="CA232" s="882">
        <f>IF($BN233=0,0,        _xll.qDateNext($BN232,CA$17,$CG$16,TRUE,Currency2))</f>
        <v>0</v>
      </c>
      <c r="CB232" s="882">
        <f>IF($BN233=0,0,        _xll.qDateNext($BN232,CB$17,$CG$16,TRUE,Currency2))</f>
        <v>0</v>
      </c>
      <c r="CC232" s="882">
        <f>IF($BN233=0,0,        _xll.qDateNext($BN232,CC$17,$CG$16,TRUE,Currency2))</f>
        <v>0</v>
      </c>
      <c r="CD232" s="882">
        <f>IF($BN233=0,0,        _xll.qDateNext($BN232,CD$17,$CG$16,TRUE,Currency2))</f>
        <v>0</v>
      </c>
      <c r="CE232" s="882">
        <f>IF($BN233=0,0,        _xll.qDateNext($BN232,CE$17,$CG$16,TRUE,Currency2))</f>
        <v>0</v>
      </c>
      <c r="CF232" s="882">
        <f>IF($BN233=0,0,        _xll.qDateNext($BN232,CF$17,$CG$16,TRUE,Currency2))</f>
        <v>0</v>
      </c>
      <c r="CG232" s="882">
        <f>IF($BN233=0,0,        _xll.qDateNext($BN232,CG$17,$CG$16,TRUE,Currency2))</f>
        <v>0</v>
      </c>
      <c r="CH232" s="886">
        <v>0</v>
      </c>
      <c r="CI232" s="886">
        <v>0</v>
      </c>
      <c r="CJ232" s="886">
        <v>0</v>
      </c>
      <c r="CK232" s="886">
        <v>0</v>
      </c>
      <c r="CL232" s="886">
        <f t="shared" si="125"/>
        <v>0</v>
      </c>
      <c r="CM232" s="886">
        <f t="shared" si="126"/>
        <v>0</v>
      </c>
      <c r="CN232" s="886">
        <v>0</v>
      </c>
      <c r="CO232" s="886">
        <v>0</v>
      </c>
      <c r="CP232" s="648">
        <f t="shared" si="103"/>
        <v>0</v>
      </c>
      <c r="CQ232" s="648">
        <f t="shared" si="104"/>
        <v>0</v>
      </c>
      <c r="CR232" s="648">
        <f t="shared" si="105"/>
        <v>0</v>
      </c>
      <c r="CS232" s="648">
        <f t="shared" si="106"/>
        <v>0</v>
      </c>
      <c r="CT232" s="648">
        <f t="shared" si="107"/>
        <v>0</v>
      </c>
      <c r="CU232" s="648">
        <f t="shared" si="108"/>
        <v>0</v>
      </c>
      <c r="CV232" s="648">
        <f t="shared" si="109"/>
        <v>0</v>
      </c>
      <c r="CW232" s="648">
        <f t="shared" si="110"/>
        <v>0</v>
      </c>
      <c r="CX232" s="634">
        <v>0</v>
      </c>
      <c r="CY232" s="616"/>
      <c r="CZ232" s="619">
        <f>IF(BN233=0,0,             IF(ISNUMBER(CY232),CY232,             IF(ISTEXT(CY232),INDEX(CP232:CW232,MATCH(CY232,$CP$17:$CW$17,0)),           IF(CX232="INT",_xll.qInterp(BN233,BZ232:CG232,CP232:CW232),       INDEX(CP232:CW232,MATCH(CX232,$CP$17:$CW$17,0))))))</f>
        <v>0</v>
      </c>
      <c r="DA232" s="755">
        <f t="shared" si="111"/>
        <v>0</v>
      </c>
      <c r="DB232" s="387">
        <f t="shared" si="112"/>
        <v>0</v>
      </c>
      <c r="DC232" s="268">
        <f>IF($BN233=0,0,         IF(LEFT(DCC_Leg2_Fixed,2)="1/",uEvaluate(DCC_Leg2_Fixed),         _xll.qDateYears($BN232,$BN233,DCC_Leg2_Fixed)))</f>
        <v>0</v>
      </c>
      <c r="DD232" s="268">
        <f>IF($BN233,_xll.qDateYears($BN232,$BN233,DCC_Leg2_Float),0)</f>
        <v>0</v>
      </c>
      <c r="DF232" s="332">
        <f t="shared" si="127"/>
        <v>0</v>
      </c>
      <c r="DG232" s="357">
        <f t="shared" si="128"/>
        <v>0</v>
      </c>
      <c r="DH232" s="527"/>
      <c r="DJ232" s="324">
        <f t="shared" si="98"/>
        <v>0</v>
      </c>
      <c r="DK232" s="529"/>
      <c r="DL232" s="338"/>
    </row>
    <row r="233" spans="15:116">
      <c r="O233" s="121">
        <v>0</v>
      </c>
      <c r="P233" s="755">
        <f t="shared" si="99"/>
        <v>0</v>
      </c>
      <c r="Q233" s="125">
        <v>0</v>
      </c>
      <c r="R233" s="890">
        <f>IF(O234=0,0,         IF(OR(Currency1="AUD",Currency1="NZD",Currency1="GBP"),O233,   _xll.qDateNext(O233,"-2b",,,IF(Currency1="EUR","TGT","LON"))))</f>
        <v>0</v>
      </c>
      <c r="S233" s="879" t="str">
        <v/>
      </c>
      <c r="T233" s="879" t="str">
        <v/>
      </c>
      <c r="U233" s="879" t="str">
        <v/>
      </c>
      <c r="V233" s="879" t="str">
        <v/>
      </c>
      <c r="W233" s="879" t="str">
        <v/>
      </c>
      <c r="X233" s="879" t="str">
        <v/>
      </c>
      <c r="Y233" s="879" t="str">
        <v/>
      </c>
      <c r="Z233" s="879" t="str">
        <v/>
      </c>
      <c r="AA233" s="882">
        <f>IF($O234=0,0,        _xll.qDateNext($O233,AA$17,$AH$16,TRUE,Currency1))</f>
        <v>0</v>
      </c>
      <c r="AB233" s="882">
        <f>IF($O234=0,0,        _xll.qDateNext($O233,AB$17,$AH$16,TRUE,Currency1))</f>
        <v>0</v>
      </c>
      <c r="AC233" s="882">
        <f>IF($O234=0,0,        _xll.qDateNext($O233,AC$17,$AH$16,TRUE,Currency1))</f>
        <v>0</v>
      </c>
      <c r="AD233" s="882">
        <f>IF($O234=0,0,        _xll.qDateNext($O233,AD$17,$AH$16,TRUE,Currency1))</f>
        <v>0</v>
      </c>
      <c r="AE233" s="882">
        <f>IF($O234=0,0,        _xll.qDateNext($O233,AE$17,$AH$16,TRUE,Currency1))</f>
        <v>0</v>
      </c>
      <c r="AF233" s="882">
        <f>IF($O234=0,0,        _xll.qDateNext($O233,AF$17,$AH$16,TRUE,Currency1))</f>
        <v>0</v>
      </c>
      <c r="AG233" s="882">
        <f>IF($O234=0,0,        _xll.qDateNext($O233,AG$17,$AH$16,TRUE,Currency1))</f>
        <v>0</v>
      </c>
      <c r="AH233" s="882">
        <f>IF($O234=0,0,        _xll.qDateNext($O233,AH$17,$AH$16,TRUE,Currency1))</f>
        <v>0</v>
      </c>
      <c r="AI233" s="886">
        <f>IF($O234=0,0,           IF(FRM,_xll.qGetFwdRate(AI$14,$O233,AA233,"T",DCC_Leg1_Float),_xll.qGetFwdRate(AI$14,$O233,$O234,"T",DCC_Leg1_Float)))</f>
        <v>0</v>
      </c>
      <c r="AJ233" s="886">
        <f>IF($O234=0,0,           IF(FRM,_xll.qGetFwdRate(AJ$14,$O233,AB233,"T",DCC_Leg1_Float),_xll.qGetFwdRate(AJ$14,$O233,$O234,"T",DCC_Leg1_Float)))</f>
        <v>0</v>
      </c>
      <c r="AK233" s="886">
        <f t="shared" si="100"/>
        <v>0</v>
      </c>
      <c r="AL233" s="886">
        <f>IF($O234=0,0,           IF(FRM,_xll.qGetFwdRate(AL$14,$O233,AD233,"T",DCC_Leg1_Float),_xll.qGetFwdRate(AL$14,$O233,$O234,"T",DCC_Leg1_Float)))</f>
        <v>0</v>
      </c>
      <c r="AM233" s="886">
        <f t="shared" si="113"/>
        <v>0</v>
      </c>
      <c r="AN233" s="886">
        <f t="shared" si="114"/>
        <v>0</v>
      </c>
      <c r="AO233" s="886">
        <f>IF($O234=0,0,           IF(FRM,_xll.qGetFwdRate(AO$14,$O233,AG233,"T",DCC_Leg1_Float),_xll.qGetFwdRate(AO$14,$O233,$O234,"T",DCC_Leg1_Float)))</f>
        <v>0</v>
      </c>
      <c r="AP233" s="886">
        <f>IF($O234=0,0,           IF(FRM,_xll.qGetFwdRate(AP$14,$O233,AH233,"T",DCC_Leg1_Float),_xll.qGetFwdRate(AP$14,$O233,$O234,"T",DCC_Leg1_Float)))</f>
        <v>0</v>
      </c>
      <c r="AQ233" s="648">
        <f t="shared" si="115"/>
        <v>0</v>
      </c>
      <c r="AR233" s="648">
        <f t="shared" si="116"/>
        <v>0</v>
      </c>
      <c r="AS233" s="648">
        <f t="shared" si="117"/>
        <v>0</v>
      </c>
      <c r="AT233" s="648">
        <f t="shared" si="118"/>
        <v>0</v>
      </c>
      <c r="AU233" s="648">
        <f t="shared" si="119"/>
        <v>0</v>
      </c>
      <c r="AV233" s="648">
        <f t="shared" si="120"/>
        <v>0</v>
      </c>
      <c r="AW233" s="648">
        <f t="shared" si="121"/>
        <v>0</v>
      </c>
      <c r="AX233" s="648">
        <f t="shared" si="122"/>
        <v>0</v>
      </c>
      <c r="AY233" s="634">
        <v>0</v>
      </c>
      <c r="AZ233" s="616"/>
      <c r="BA233" s="619">
        <f>IF(O234=0,0,             IF(ISNUMBER(AZ233),AZ233,             IF(ISTEXT(AZ233),INDEX(AQ233:AX233,MATCH(AZ233,$AQ$17:$AX$17,0)),           IF(AY233="INT",_xll.qInterp(O234,AA233:AH233,AQ233:AX233),       INDEX(AQ233:AX233,MATCH(AY233,$AQ$17:$AX$17,0))))))</f>
        <v>0</v>
      </c>
      <c r="BB233" s="674">
        <v>100</v>
      </c>
      <c r="BC233" s="666">
        <f t="shared" si="101"/>
        <v>0</v>
      </c>
      <c r="BD233" s="268">
        <f>IF($O234=0,0,                IF(LEFT(DCC_Leg1_Fixed,2)="1/",uEvaluate(DCC_Leg1_Fixed),        _xll.qDateYears($O233,$O234,DCC_Leg1_Fixed)))</f>
        <v>0</v>
      </c>
      <c r="BE233" s="268">
        <f>IF($O234,_xll.qDateYears($O233,$O234,DCC_Leg1_Float),0)</f>
        <v>0</v>
      </c>
      <c r="BG233" s="332">
        <f t="shared" si="123"/>
        <v>0</v>
      </c>
      <c r="BH233" s="357">
        <f t="shared" si="124"/>
        <v>0</v>
      </c>
      <c r="BI233" s="527"/>
      <c r="BK233" s="324">
        <f t="shared" si="129"/>
        <v>0</v>
      </c>
      <c r="BM233" s="338"/>
      <c r="BN233" s="121">
        <v>0</v>
      </c>
      <c r="BO233" s="755">
        <f t="shared" si="102"/>
        <v>0</v>
      </c>
      <c r="BP233" s="339">
        <v>0</v>
      </c>
      <c r="BQ233" s="890">
        <f>IF(BN234=0,0,         IF(OR(Currency2="AUD",Currency1="NZD",Currency2="GBP"),BN233,   _xll.qDateNext(BN233,"-2b",,,IF(Currency2="EUR","TGT","LON"))))</f>
        <v>0</v>
      </c>
      <c r="BR233" s="879" t="str">
        <v/>
      </c>
      <c r="BS233" s="879" t="str">
        <v/>
      </c>
      <c r="BT233" s="879" t="str">
        <v/>
      </c>
      <c r="BU233" s="879" t="str">
        <v/>
      </c>
      <c r="BV233" s="879" t="str">
        <v/>
      </c>
      <c r="BW233" s="879" t="str">
        <v/>
      </c>
      <c r="BX233" s="879" t="str">
        <v/>
      </c>
      <c r="BY233" s="879" t="str">
        <v/>
      </c>
      <c r="BZ233" s="882">
        <f>IF($BN234=0,0,        _xll.qDateNext($BN233,BZ$17,$CG$16,TRUE,Currency2))</f>
        <v>0</v>
      </c>
      <c r="CA233" s="882">
        <f>IF($BN234=0,0,        _xll.qDateNext($BN233,CA$17,$CG$16,TRUE,Currency2))</f>
        <v>0</v>
      </c>
      <c r="CB233" s="882">
        <f>IF($BN234=0,0,        _xll.qDateNext($BN233,CB$17,$CG$16,TRUE,Currency2))</f>
        <v>0</v>
      </c>
      <c r="CC233" s="882">
        <f>IF($BN234=0,0,        _xll.qDateNext($BN233,CC$17,$CG$16,TRUE,Currency2))</f>
        <v>0</v>
      </c>
      <c r="CD233" s="882">
        <f>IF($BN234=0,0,        _xll.qDateNext($BN233,CD$17,$CG$16,TRUE,Currency2))</f>
        <v>0</v>
      </c>
      <c r="CE233" s="882">
        <f>IF($BN234=0,0,        _xll.qDateNext($BN233,CE$17,$CG$16,TRUE,Currency2))</f>
        <v>0</v>
      </c>
      <c r="CF233" s="882">
        <f>IF($BN234=0,0,        _xll.qDateNext($BN233,CF$17,$CG$16,TRUE,Currency2))</f>
        <v>0</v>
      </c>
      <c r="CG233" s="882">
        <f>IF($BN234=0,0,        _xll.qDateNext($BN233,CG$17,$CG$16,TRUE,Currency2))</f>
        <v>0</v>
      </c>
      <c r="CH233" s="886">
        <v>0</v>
      </c>
      <c r="CI233" s="886">
        <v>0</v>
      </c>
      <c r="CJ233" s="886">
        <v>0</v>
      </c>
      <c r="CK233" s="886">
        <v>0</v>
      </c>
      <c r="CL233" s="886">
        <f t="shared" si="125"/>
        <v>0</v>
      </c>
      <c r="CM233" s="886">
        <f t="shared" si="126"/>
        <v>0</v>
      </c>
      <c r="CN233" s="886">
        <v>0</v>
      </c>
      <c r="CO233" s="886">
        <v>0</v>
      </c>
      <c r="CP233" s="648">
        <f t="shared" si="103"/>
        <v>0</v>
      </c>
      <c r="CQ233" s="648">
        <f t="shared" si="104"/>
        <v>0</v>
      </c>
      <c r="CR233" s="648">
        <f t="shared" si="105"/>
        <v>0</v>
      </c>
      <c r="CS233" s="648">
        <f t="shared" si="106"/>
        <v>0</v>
      </c>
      <c r="CT233" s="648">
        <f t="shared" si="107"/>
        <v>0</v>
      </c>
      <c r="CU233" s="648">
        <f t="shared" si="108"/>
        <v>0</v>
      </c>
      <c r="CV233" s="648">
        <f t="shared" si="109"/>
        <v>0</v>
      </c>
      <c r="CW233" s="648">
        <f t="shared" si="110"/>
        <v>0</v>
      </c>
      <c r="CX233" s="634">
        <v>0</v>
      </c>
      <c r="CY233" s="616"/>
      <c r="CZ233" s="619">
        <f>IF(BN234=0,0,             IF(ISNUMBER(CY233),CY233,             IF(ISTEXT(CY233),INDEX(CP233:CW233,MATCH(CY233,$CP$17:$CW$17,0)),           IF(CX233="INT",_xll.qInterp(BN234,BZ233:CG233,CP233:CW233),       INDEX(CP233:CW233,MATCH(CX233,$CP$17:$CW$17,0))))))</f>
        <v>0</v>
      </c>
      <c r="DA233" s="755">
        <f t="shared" si="111"/>
        <v>0</v>
      </c>
      <c r="DB233" s="387">
        <f t="shared" si="112"/>
        <v>0</v>
      </c>
      <c r="DC233" s="268">
        <f>IF($BN234=0,0,         IF(LEFT(DCC_Leg2_Fixed,2)="1/",uEvaluate(DCC_Leg2_Fixed),         _xll.qDateYears($BN233,$BN234,DCC_Leg2_Fixed)))</f>
        <v>0</v>
      </c>
      <c r="DD233" s="268">
        <f>IF($BN234,_xll.qDateYears($BN233,$BN234,DCC_Leg2_Float),0)</f>
        <v>0</v>
      </c>
      <c r="DF233" s="332">
        <f t="shared" si="127"/>
        <v>0</v>
      </c>
      <c r="DG233" s="357">
        <f t="shared" si="128"/>
        <v>0</v>
      </c>
      <c r="DH233" s="527"/>
      <c r="DJ233" s="324">
        <f t="shared" ref="DJ233:DJ296" si="130">SUM(DF233:DH233)</f>
        <v>0</v>
      </c>
      <c r="DK233" s="529"/>
      <c r="DL233" s="338"/>
    </row>
    <row r="234" spans="15:116">
      <c r="O234" s="121">
        <v>0</v>
      </c>
      <c r="P234" s="755">
        <f t="shared" si="99"/>
        <v>0</v>
      </c>
      <c r="Q234" s="125">
        <v>0</v>
      </c>
      <c r="R234" s="890">
        <f>IF(O235=0,0,         IF(OR(Currency1="AUD",Currency1="NZD",Currency1="GBP"),O234,   _xll.qDateNext(O234,"-2b",,,IF(Currency1="EUR","TGT","LON"))))</f>
        <v>0</v>
      </c>
      <c r="S234" s="879" t="str">
        <v/>
      </c>
      <c r="T234" s="879" t="str">
        <v/>
      </c>
      <c r="U234" s="879" t="str">
        <v/>
      </c>
      <c r="V234" s="879" t="str">
        <v/>
      </c>
      <c r="W234" s="879" t="str">
        <v/>
      </c>
      <c r="X234" s="879" t="str">
        <v/>
      </c>
      <c r="Y234" s="879" t="str">
        <v/>
      </c>
      <c r="Z234" s="879" t="str">
        <v/>
      </c>
      <c r="AA234" s="882">
        <f>IF($O235=0,0,        _xll.qDateNext($O234,AA$17,$AH$16,TRUE,Currency1))</f>
        <v>0</v>
      </c>
      <c r="AB234" s="882">
        <f>IF($O235=0,0,        _xll.qDateNext($O234,AB$17,$AH$16,TRUE,Currency1))</f>
        <v>0</v>
      </c>
      <c r="AC234" s="882">
        <f>IF($O235=0,0,        _xll.qDateNext($O234,AC$17,$AH$16,TRUE,Currency1))</f>
        <v>0</v>
      </c>
      <c r="AD234" s="882">
        <f>IF($O235=0,0,        _xll.qDateNext($O234,AD$17,$AH$16,TRUE,Currency1))</f>
        <v>0</v>
      </c>
      <c r="AE234" s="882">
        <f>IF($O235=0,0,        _xll.qDateNext($O234,AE$17,$AH$16,TRUE,Currency1))</f>
        <v>0</v>
      </c>
      <c r="AF234" s="882">
        <f>IF($O235=0,0,        _xll.qDateNext($O234,AF$17,$AH$16,TRUE,Currency1))</f>
        <v>0</v>
      </c>
      <c r="AG234" s="882">
        <f>IF($O235=0,0,        _xll.qDateNext($O234,AG$17,$AH$16,TRUE,Currency1))</f>
        <v>0</v>
      </c>
      <c r="AH234" s="882">
        <f>IF($O235=0,0,        _xll.qDateNext($O234,AH$17,$AH$16,TRUE,Currency1))</f>
        <v>0</v>
      </c>
      <c r="AI234" s="886">
        <f>IF($O235=0,0,           IF(FRM,_xll.qGetFwdRate(AI$14,$O234,AA234,"T",DCC_Leg1_Float),_xll.qGetFwdRate(AI$14,$O234,$O235,"T",DCC_Leg1_Float)))</f>
        <v>0</v>
      </c>
      <c r="AJ234" s="886">
        <f>IF($O235=0,0,           IF(FRM,_xll.qGetFwdRate(AJ$14,$O234,AB234,"T",DCC_Leg1_Float),_xll.qGetFwdRate(AJ$14,$O234,$O235,"T",DCC_Leg1_Float)))</f>
        <v>0</v>
      </c>
      <c r="AK234" s="886">
        <f t="shared" si="100"/>
        <v>0</v>
      </c>
      <c r="AL234" s="886">
        <f>IF($O235=0,0,           IF(FRM,_xll.qGetFwdRate(AL$14,$O234,AD234,"T",DCC_Leg1_Float),_xll.qGetFwdRate(AL$14,$O234,$O235,"T",DCC_Leg1_Float)))</f>
        <v>0</v>
      </c>
      <c r="AM234" s="886">
        <f t="shared" si="113"/>
        <v>0</v>
      </c>
      <c r="AN234" s="886">
        <f t="shared" si="114"/>
        <v>0</v>
      </c>
      <c r="AO234" s="886">
        <f>IF($O235=0,0,           IF(FRM,_xll.qGetFwdRate(AO$14,$O234,AG234,"T",DCC_Leg1_Float),_xll.qGetFwdRate(AO$14,$O234,$O235,"T",DCC_Leg1_Float)))</f>
        <v>0</v>
      </c>
      <c r="AP234" s="886">
        <f>IF($O235=0,0,           IF(FRM,_xll.qGetFwdRate(AP$14,$O234,AH234,"T",DCC_Leg1_Float),_xll.qGetFwdRate(AP$14,$O234,$O235,"T",DCC_Leg1_Float)))</f>
        <v>0</v>
      </c>
      <c r="AQ234" s="648">
        <f t="shared" si="115"/>
        <v>0</v>
      </c>
      <c r="AR234" s="648">
        <f t="shared" si="116"/>
        <v>0</v>
      </c>
      <c r="AS234" s="648">
        <f t="shared" si="117"/>
        <v>0</v>
      </c>
      <c r="AT234" s="648">
        <f t="shared" si="118"/>
        <v>0</v>
      </c>
      <c r="AU234" s="648">
        <f t="shared" si="119"/>
        <v>0</v>
      </c>
      <c r="AV234" s="648">
        <f t="shared" si="120"/>
        <v>0</v>
      </c>
      <c r="AW234" s="648">
        <f t="shared" si="121"/>
        <v>0</v>
      </c>
      <c r="AX234" s="648">
        <f t="shared" si="122"/>
        <v>0</v>
      </c>
      <c r="AY234" s="634">
        <v>0</v>
      </c>
      <c r="AZ234" s="616"/>
      <c r="BA234" s="619">
        <f>IF(O235=0,0,             IF(ISNUMBER(AZ234),AZ234,             IF(ISTEXT(AZ234),INDEX(AQ234:AX234,MATCH(AZ234,$AQ$17:$AX$17,0)),           IF(AY234="INT",_xll.qInterp(O235,AA234:AH234,AQ234:AX234),       INDEX(AQ234:AX234,MATCH(AY234,$AQ$17:$AX$17,0))))))</f>
        <v>0</v>
      </c>
      <c r="BB234" s="674">
        <v>100</v>
      </c>
      <c r="BC234" s="666">
        <f t="shared" si="101"/>
        <v>0</v>
      </c>
      <c r="BD234" s="268">
        <f>IF($O235=0,0,                IF(LEFT(DCC_Leg1_Fixed,2)="1/",uEvaluate(DCC_Leg1_Fixed),        _xll.qDateYears($O234,$O235,DCC_Leg1_Fixed)))</f>
        <v>0</v>
      </c>
      <c r="BE234" s="268">
        <f>IF($O235,_xll.qDateYears($O234,$O235,DCC_Leg1_Float),0)</f>
        <v>0</v>
      </c>
      <c r="BG234" s="332">
        <f t="shared" si="123"/>
        <v>0</v>
      </c>
      <c r="BH234" s="357">
        <f t="shared" si="124"/>
        <v>0</v>
      </c>
      <c r="BI234" s="527"/>
      <c r="BK234" s="324">
        <f t="shared" si="129"/>
        <v>0</v>
      </c>
      <c r="BM234" s="338"/>
      <c r="BN234" s="121">
        <v>0</v>
      </c>
      <c r="BO234" s="755">
        <f t="shared" si="102"/>
        <v>0</v>
      </c>
      <c r="BP234" s="339">
        <v>0</v>
      </c>
      <c r="BQ234" s="890">
        <f>IF(BN235=0,0,         IF(OR(Currency2="AUD",Currency1="NZD",Currency2="GBP"),BN234,   _xll.qDateNext(BN234,"-2b",,,IF(Currency2="EUR","TGT","LON"))))</f>
        <v>0</v>
      </c>
      <c r="BR234" s="879" t="str">
        <v/>
      </c>
      <c r="BS234" s="879" t="str">
        <v/>
      </c>
      <c r="BT234" s="879" t="str">
        <v/>
      </c>
      <c r="BU234" s="879" t="str">
        <v/>
      </c>
      <c r="BV234" s="879" t="str">
        <v/>
      </c>
      <c r="BW234" s="879" t="str">
        <v/>
      </c>
      <c r="BX234" s="879" t="str">
        <v/>
      </c>
      <c r="BY234" s="879" t="str">
        <v/>
      </c>
      <c r="BZ234" s="882">
        <f>IF($BN235=0,0,        _xll.qDateNext($BN234,BZ$17,$CG$16,TRUE,Currency2))</f>
        <v>0</v>
      </c>
      <c r="CA234" s="882">
        <f>IF($BN235=0,0,        _xll.qDateNext($BN234,CA$17,$CG$16,TRUE,Currency2))</f>
        <v>0</v>
      </c>
      <c r="CB234" s="882">
        <f>IF($BN235=0,0,        _xll.qDateNext($BN234,CB$17,$CG$16,TRUE,Currency2))</f>
        <v>0</v>
      </c>
      <c r="CC234" s="882">
        <f>IF($BN235=0,0,        _xll.qDateNext($BN234,CC$17,$CG$16,TRUE,Currency2))</f>
        <v>0</v>
      </c>
      <c r="CD234" s="882">
        <f>IF($BN235=0,0,        _xll.qDateNext($BN234,CD$17,$CG$16,TRUE,Currency2))</f>
        <v>0</v>
      </c>
      <c r="CE234" s="882">
        <f>IF($BN235=0,0,        _xll.qDateNext($BN234,CE$17,$CG$16,TRUE,Currency2))</f>
        <v>0</v>
      </c>
      <c r="CF234" s="882">
        <f>IF($BN235=0,0,        _xll.qDateNext($BN234,CF$17,$CG$16,TRUE,Currency2))</f>
        <v>0</v>
      </c>
      <c r="CG234" s="882">
        <f>IF($BN235=0,0,        _xll.qDateNext($BN234,CG$17,$CG$16,TRUE,Currency2))</f>
        <v>0</v>
      </c>
      <c r="CH234" s="886">
        <v>0</v>
      </c>
      <c r="CI234" s="886">
        <v>0</v>
      </c>
      <c r="CJ234" s="886">
        <v>0</v>
      </c>
      <c r="CK234" s="886">
        <v>0</v>
      </c>
      <c r="CL234" s="886">
        <f t="shared" si="125"/>
        <v>0</v>
      </c>
      <c r="CM234" s="886">
        <f t="shared" si="126"/>
        <v>0</v>
      </c>
      <c r="CN234" s="886">
        <v>0</v>
      </c>
      <c r="CO234" s="886">
        <v>0</v>
      </c>
      <c r="CP234" s="648">
        <f t="shared" si="103"/>
        <v>0</v>
      </c>
      <c r="CQ234" s="648">
        <f t="shared" si="104"/>
        <v>0</v>
      </c>
      <c r="CR234" s="648">
        <f t="shared" si="105"/>
        <v>0</v>
      </c>
      <c r="CS234" s="648">
        <f t="shared" si="106"/>
        <v>0</v>
      </c>
      <c r="CT234" s="648">
        <f t="shared" si="107"/>
        <v>0</v>
      </c>
      <c r="CU234" s="648">
        <f t="shared" si="108"/>
        <v>0</v>
      </c>
      <c r="CV234" s="648">
        <f t="shared" si="109"/>
        <v>0</v>
      </c>
      <c r="CW234" s="648">
        <f t="shared" si="110"/>
        <v>0</v>
      </c>
      <c r="CX234" s="634">
        <v>0</v>
      </c>
      <c r="CY234" s="616"/>
      <c r="CZ234" s="619">
        <f>IF(BN235=0,0,             IF(ISNUMBER(CY234),CY234,             IF(ISTEXT(CY234),INDEX(CP234:CW234,MATCH(CY234,$CP$17:$CW$17,0)),           IF(CX234="INT",_xll.qInterp(BN235,BZ234:CG234,CP234:CW234),       INDEX(CP234:CW234,MATCH(CX234,$CP$17:$CW$17,0))))))</f>
        <v>0</v>
      </c>
      <c r="DA234" s="755">
        <f t="shared" si="111"/>
        <v>0</v>
      </c>
      <c r="DB234" s="387">
        <f t="shared" si="112"/>
        <v>0</v>
      </c>
      <c r="DC234" s="268">
        <f>IF($BN235=0,0,         IF(LEFT(DCC_Leg2_Fixed,2)="1/",uEvaluate(DCC_Leg2_Fixed),         _xll.qDateYears($BN234,$BN235,DCC_Leg2_Fixed)))</f>
        <v>0</v>
      </c>
      <c r="DD234" s="268">
        <f>IF($BN235,_xll.qDateYears($BN234,$BN235,DCC_Leg2_Float),0)</f>
        <v>0</v>
      </c>
      <c r="DF234" s="332">
        <f t="shared" si="127"/>
        <v>0</v>
      </c>
      <c r="DG234" s="357">
        <f t="shared" si="128"/>
        <v>0</v>
      </c>
      <c r="DH234" s="527"/>
      <c r="DJ234" s="324">
        <f t="shared" si="130"/>
        <v>0</v>
      </c>
      <c r="DK234" s="529"/>
      <c r="DL234" s="338"/>
    </row>
    <row r="235" spans="15:116">
      <c r="O235" s="121">
        <v>0</v>
      </c>
      <c r="P235" s="755">
        <f t="shared" si="99"/>
        <v>0</v>
      </c>
      <c r="Q235" s="125">
        <v>0</v>
      </c>
      <c r="R235" s="890">
        <f>IF(O236=0,0,         IF(OR(Currency1="AUD",Currency1="NZD",Currency1="GBP"),O235,   _xll.qDateNext(O235,"-2b",,,IF(Currency1="EUR","TGT","LON"))))</f>
        <v>0</v>
      </c>
      <c r="S235" s="879" t="str">
        <v/>
      </c>
      <c r="T235" s="879" t="str">
        <v/>
      </c>
      <c r="U235" s="879" t="str">
        <v/>
      </c>
      <c r="V235" s="879" t="str">
        <v/>
      </c>
      <c r="W235" s="879" t="str">
        <v/>
      </c>
      <c r="X235" s="879" t="str">
        <v/>
      </c>
      <c r="Y235" s="879" t="str">
        <v/>
      </c>
      <c r="Z235" s="879" t="str">
        <v/>
      </c>
      <c r="AA235" s="882">
        <f>IF($O236=0,0,        _xll.qDateNext($O235,AA$17,$AH$16,TRUE,Currency1))</f>
        <v>0</v>
      </c>
      <c r="AB235" s="882">
        <f>IF($O236=0,0,        _xll.qDateNext($O235,AB$17,$AH$16,TRUE,Currency1))</f>
        <v>0</v>
      </c>
      <c r="AC235" s="882">
        <f>IF($O236=0,0,        _xll.qDateNext($O235,AC$17,$AH$16,TRUE,Currency1))</f>
        <v>0</v>
      </c>
      <c r="AD235" s="882">
        <f>IF($O236=0,0,        _xll.qDateNext($O235,AD$17,$AH$16,TRUE,Currency1))</f>
        <v>0</v>
      </c>
      <c r="AE235" s="882">
        <f>IF($O236=0,0,        _xll.qDateNext($O235,AE$17,$AH$16,TRUE,Currency1))</f>
        <v>0</v>
      </c>
      <c r="AF235" s="882">
        <f>IF($O236=0,0,        _xll.qDateNext($O235,AF$17,$AH$16,TRUE,Currency1))</f>
        <v>0</v>
      </c>
      <c r="AG235" s="882">
        <f>IF($O236=0,0,        _xll.qDateNext($O235,AG$17,$AH$16,TRUE,Currency1))</f>
        <v>0</v>
      </c>
      <c r="AH235" s="882">
        <f>IF($O236=0,0,        _xll.qDateNext($O235,AH$17,$AH$16,TRUE,Currency1))</f>
        <v>0</v>
      </c>
      <c r="AI235" s="886">
        <f>IF($O236=0,0,           IF(FRM,_xll.qGetFwdRate(AI$14,$O235,AA235,"T",DCC_Leg1_Float),_xll.qGetFwdRate(AI$14,$O235,$O236,"T",DCC_Leg1_Float)))</f>
        <v>0</v>
      </c>
      <c r="AJ235" s="886">
        <f>IF($O236=0,0,           IF(FRM,_xll.qGetFwdRate(AJ$14,$O235,AB235,"T",DCC_Leg1_Float),_xll.qGetFwdRate(AJ$14,$O235,$O236,"T",DCC_Leg1_Float)))</f>
        <v>0</v>
      </c>
      <c r="AK235" s="886">
        <f t="shared" si="100"/>
        <v>0</v>
      </c>
      <c r="AL235" s="886">
        <f>IF($O236=0,0,           IF(FRM,_xll.qGetFwdRate(AL$14,$O235,AD235,"T",DCC_Leg1_Float),_xll.qGetFwdRate(AL$14,$O235,$O236,"T",DCC_Leg1_Float)))</f>
        <v>0</v>
      </c>
      <c r="AM235" s="886">
        <f t="shared" si="113"/>
        <v>0</v>
      </c>
      <c r="AN235" s="886">
        <f t="shared" si="114"/>
        <v>0</v>
      </c>
      <c r="AO235" s="886">
        <f>IF($O236=0,0,           IF(FRM,_xll.qGetFwdRate(AO$14,$O235,AG235,"T",DCC_Leg1_Float),_xll.qGetFwdRate(AO$14,$O235,$O236,"T",DCC_Leg1_Float)))</f>
        <v>0</v>
      </c>
      <c r="AP235" s="886">
        <f>IF($O236=0,0,           IF(FRM,_xll.qGetFwdRate(AP$14,$O235,AH235,"T",DCC_Leg1_Float),_xll.qGetFwdRate(AP$14,$O235,$O236,"T",DCC_Leg1_Float)))</f>
        <v>0</v>
      </c>
      <c r="AQ235" s="648">
        <f t="shared" si="115"/>
        <v>0</v>
      </c>
      <c r="AR235" s="648">
        <f t="shared" si="116"/>
        <v>0</v>
      </c>
      <c r="AS235" s="648">
        <f t="shared" si="117"/>
        <v>0</v>
      </c>
      <c r="AT235" s="648">
        <f t="shared" si="118"/>
        <v>0</v>
      </c>
      <c r="AU235" s="648">
        <f t="shared" si="119"/>
        <v>0</v>
      </c>
      <c r="AV235" s="648">
        <f t="shared" si="120"/>
        <v>0</v>
      </c>
      <c r="AW235" s="648">
        <f t="shared" si="121"/>
        <v>0</v>
      </c>
      <c r="AX235" s="648">
        <f t="shared" si="122"/>
        <v>0</v>
      </c>
      <c r="AY235" s="634">
        <v>0</v>
      </c>
      <c r="AZ235" s="616"/>
      <c r="BA235" s="619">
        <f>IF(O236=0,0,             IF(ISNUMBER(AZ235),AZ235,             IF(ISTEXT(AZ235),INDEX(AQ235:AX235,MATCH(AZ235,$AQ$17:$AX$17,0)),           IF(AY235="INT",_xll.qInterp(O236,AA235:AH235,AQ235:AX235),       INDEX(AQ235:AX235,MATCH(AY235,$AQ$17:$AX$17,0))))))</f>
        <v>0</v>
      </c>
      <c r="BB235" s="674">
        <v>100</v>
      </c>
      <c r="BC235" s="666">
        <f t="shared" si="101"/>
        <v>0</v>
      </c>
      <c r="BD235" s="268">
        <f>IF($O236=0,0,                IF(LEFT(DCC_Leg1_Fixed,2)="1/",uEvaluate(DCC_Leg1_Fixed),        _xll.qDateYears($O235,$O236,DCC_Leg1_Fixed)))</f>
        <v>0</v>
      </c>
      <c r="BE235" s="268">
        <f>IF($O236,_xll.qDateYears($O235,$O236,DCC_Leg1_Float),0)</f>
        <v>0</v>
      </c>
      <c r="BG235" s="332">
        <f t="shared" si="123"/>
        <v>0</v>
      </c>
      <c r="BH235" s="357">
        <f t="shared" si="124"/>
        <v>0</v>
      </c>
      <c r="BI235" s="527"/>
      <c r="BK235" s="324">
        <f t="shared" si="129"/>
        <v>0</v>
      </c>
      <c r="BM235" s="338"/>
      <c r="BN235" s="121">
        <v>0</v>
      </c>
      <c r="BO235" s="755">
        <f t="shared" si="102"/>
        <v>0</v>
      </c>
      <c r="BP235" s="339">
        <v>0</v>
      </c>
      <c r="BQ235" s="890">
        <f>IF(BN236=0,0,         IF(OR(Currency2="AUD",Currency1="NZD",Currency2="GBP"),BN235,   _xll.qDateNext(BN235,"-2b",,,IF(Currency2="EUR","TGT","LON"))))</f>
        <v>0</v>
      </c>
      <c r="BR235" s="879" t="str">
        <v/>
      </c>
      <c r="BS235" s="879" t="str">
        <v/>
      </c>
      <c r="BT235" s="879" t="str">
        <v/>
      </c>
      <c r="BU235" s="879" t="str">
        <v/>
      </c>
      <c r="BV235" s="879" t="str">
        <v/>
      </c>
      <c r="BW235" s="879" t="str">
        <v/>
      </c>
      <c r="BX235" s="879" t="str">
        <v/>
      </c>
      <c r="BY235" s="879" t="str">
        <v/>
      </c>
      <c r="BZ235" s="882">
        <f>IF($BN236=0,0,        _xll.qDateNext($BN235,BZ$17,$CG$16,TRUE,Currency2))</f>
        <v>0</v>
      </c>
      <c r="CA235" s="882">
        <f>IF($BN236=0,0,        _xll.qDateNext($BN235,CA$17,$CG$16,TRUE,Currency2))</f>
        <v>0</v>
      </c>
      <c r="CB235" s="882">
        <f>IF($BN236=0,0,        _xll.qDateNext($BN235,CB$17,$CG$16,TRUE,Currency2))</f>
        <v>0</v>
      </c>
      <c r="CC235" s="882">
        <f>IF($BN236=0,0,        _xll.qDateNext($BN235,CC$17,$CG$16,TRUE,Currency2))</f>
        <v>0</v>
      </c>
      <c r="CD235" s="882">
        <f>IF($BN236=0,0,        _xll.qDateNext($BN235,CD$17,$CG$16,TRUE,Currency2))</f>
        <v>0</v>
      </c>
      <c r="CE235" s="882">
        <f>IF($BN236=0,0,        _xll.qDateNext($BN235,CE$17,$CG$16,TRUE,Currency2))</f>
        <v>0</v>
      </c>
      <c r="CF235" s="882">
        <f>IF($BN236=0,0,        _xll.qDateNext($BN235,CF$17,$CG$16,TRUE,Currency2))</f>
        <v>0</v>
      </c>
      <c r="CG235" s="882">
        <f>IF($BN236=0,0,        _xll.qDateNext($BN235,CG$17,$CG$16,TRUE,Currency2))</f>
        <v>0</v>
      </c>
      <c r="CH235" s="886">
        <v>0</v>
      </c>
      <c r="CI235" s="886">
        <v>0</v>
      </c>
      <c r="CJ235" s="886">
        <v>0</v>
      </c>
      <c r="CK235" s="886">
        <v>0</v>
      </c>
      <c r="CL235" s="886">
        <f t="shared" si="125"/>
        <v>0</v>
      </c>
      <c r="CM235" s="886">
        <f t="shared" si="126"/>
        <v>0</v>
      </c>
      <c r="CN235" s="886">
        <v>0</v>
      </c>
      <c r="CO235" s="886">
        <v>0</v>
      </c>
      <c r="CP235" s="648">
        <f t="shared" si="103"/>
        <v>0</v>
      </c>
      <c r="CQ235" s="648">
        <f t="shared" si="104"/>
        <v>0</v>
      </c>
      <c r="CR235" s="648">
        <f t="shared" si="105"/>
        <v>0</v>
      </c>
      <c r="CS235" s="648">
        <f t="shared" si="106"/>
        <v>0</v>
      </c>
      <c r="CT235" s="648">
        <f t="shared" si="107"/>
        <v>0</v>
      </c>
      <c r="CU235" s="648">
        <f t="shared" si="108"/>
        <v>0</v>
      </c>
      <c r="CV235" s="648">
        <f t="shared" si="109"/>
        <v>0</v>
      </c>
      <c r="CW235" s="648">
        <f t="shared" si="110"/>
        <v>0</v>
      </c>
      <c r="CX235" s="634">
        <v>0</v>
      </c>
      <c r="CY235" s="616"/>
      <c r="CZ235" s="619">
        <f>IF(BN236=0,0,             IF(ISNUMBER(CY235),CY235,             IF(ISTEXT(CY235),INDEX(CP235:CW235,MATCH(CY235,$CP$17:$CW$17,0)),           IF(CX235="INT",_xll.qInterp(BN236,BZ235:CG235,CP235:CW235),       INDEX(CP235:CW235,MATCH(CX235,$CP$17:$CW$17,0))))))</f>
        <v>0</v>
      </c>
      <c r="DA235" s="755">
        <f t="shared" si="111"/>
        <v>0</v>
      </c>
      <c r="DB235" s="387">
        <f t="shared" si="112"/>
        <v>0</v>
      </c>
      <c r="DC235" s="268">
        <f>IF($BN236=0,0,         IF(LEFT(DCC_Leg2_Fixed,2)="1/",uEvaluate(DCC_Leg2_Fixed),         _xll.qDateYears($BN235,$BN236,DCC_Leg2_Fixed)))</f>
        <v>0</v>
      </c>
      <c r="DD235" s="268">
        <f>IF($BN236,_xll.qDateYears($BN235,$BN236,DCC_Leg2_Float),0)</f>
        <v>0</v>
      </c>
      <c r="DF235" s="332">
        <f t="shared" si="127"/>
        <v>0</v>
      </c>
      <c r="DG235" s="357">
        <f t="shared" si="128"/>
        <v>0</v>
      </c>
      <c r="DH235" s="527"/>
      <c r="DJ235" s="324">
        <f t="shared" si="130"/>
        <v>0</v>
      </c>
      <c r="DK235" s="529"/>
      <c r="DL235" s="338"/>
    </row>
    <row r="236" spans="15:116">
      <c r="O236" s="121">
        <v>0</v>
      </c>
      <c r="P236" s="755">
        <f t="shared" si="99"/>
        <v>0</v>
      </c>
      <c r="Q236" s="125">
        <v>0</v>
      </c>
      <c r="R236" s="890">
        <f>IF(O237=0,0,         IF(OR(Currency1="AUD",Currency1="NZD",Currency1="GBP"),O236,   _xll.qDateNext(O236,"-2b",,,IF(Currency1="EUR","TGT","LON"))))</f>
        <v>0</v>
      </c>
      <c r="S236" s="879" t="str">
        <v/>
      </c>
      <c r="T236" s="879" t="str">
        <v/>
      </c>
      <c r="U236" s="879" t="str">
        <v/>
      </c>
      <c r="V236" s="879" t="str">
        <v/>
      </c>
      <c r="W236" s="879" t="str">
        <v/>
      </c>
      <c r="X236" s="879" t="str">
        <v/>
      </c>
      <c r="Y236" s="879" t="str">
        <v/>
      </c>
      <c r="Z236" s="879" t="str">
        <v/>
      </c>
      <c r="AA236" s="882">
        <f>IF($O237=0,0,        _xll.qDateNext($O236,AA$17,$AH$16,TRUE,Currency1))</f>
        <v>0</v>
      </c>
      <c r="AB236" s="882">
        <f>IF($O237=0,0,        _xll.qDateNext($O236,AB$17,$AH$16,TRUE,Currency1))</f>
        <v>0</v>
      </c>
      <c r="AC236" s="882">
        <f>IF($O237=0,0,        _xll.qDateNext($O236,AC$17,$AH$16,TRUE,Currency1))</f>
        <v>0</v>
      </c>
      <c r="AD236" s="882">
        <f>IF($O237=0,0,        _xll.qDateNext($O236,AD$17,$AH$16,TRUE,Currency1))</f>
        <v>0</v>
      </c>
      <c r="AE236" s="882">
        <f>IF($O237=0,0,        _xll.qDateNext($O236,AE$17,$AH$16,TRUE,Currency1))</f>
        <v>0</v>
      </c>
      <c r="AF236" s="882">
        <f>IF($O237=0,0,        _xll.qDateNext($O236,AF$17,$AH$16,TRUE,Currency1))</f>
        <v>0</v>
      </c>
      <c r="AG236" s="882">
        <f>IF($O237=0,0,        _xll.qDateNext($O236,AG$17,$AH$16,TRUE,Currency1))</f>
        <v>0</v>
      </c>
      <c r="AH236" s="882">
        <f>IF($O237=0,0,        _xll.qDateNext($O236,AH$17,$AH$16,TRUE,Currency1))</f>
        <v>0</v>
      </c>
      <c r="AI236" s="886">
        <f>IF($O237=0,0,           IF(FRM,_xll.qGetFwdRate(AI$14,$O236,AA236,"T",DCC_Leg1_Float),_xll.qGetFwdRate(AI$14,$O236,$O237,"T",DCC_Leg1_Float)))</f>
        <v>0</v>
      </c>
      <c r="AJ236" s="886">
        <f>IF($O237=0,0,           IF(FRM,_xll.qGetFwdRate(AJ$14,$O236,AB236,"T",DCC_Leg1_Float),_xll.qGetFwdRate(AJ$14,$O236,$O237,"T",DCC_Leg1_Float)))</f>
        <v>0</v>
      </c>
      <c r="AK236" s="886">
        <f t="shared" si="100"/>
        <v>0</v>
      </c>
      <c r="AL236" s="886">
        <f>IF($O237=0,0,           IF(FRM,_xll.qGetFwdRate(AL$14,$O236,AD236,"T",DCC_Leg1_Float),_xll.qGetFwdRate(AL$14,$O236,$O237,"T",DCC_Leg1_Float)))</f>
        <v>0</v>
      </c>
      <c r="AM236" s="886">
        <f t="shared" si="113"/>
        <v>0</v>
      </c>
      <c r="AN236" s="886">
        <f t="shared" si="114"/>
        <v>0</v>
      </c>
      <c r="AO236" s="886">
        <f>IF($O237=0,0,           IF(FRM,_xll.qGetFwdRate(AO$14,$O236,AG236,"T",DCC_Leg1_Float),_xll.qGetFwdRate(AO$14,$O236,$O237,"T",DCC_Leg1_Float)))</f>
        <v>0</v>
      </c>
      <c r="AP236" s="886">
        <f>IF($O237=0,0,           IF(FRM,_xll.qGetFwdRate(AP$14,$O236,AH236,"T",DCC_Leg1_Float),_xll.qGetFwdRate(AP$14,$O236,$O237,"T",DCC_Leg1_Float)))</f>
        <v>0</v>
      </c>
      <c r="AQ236" s="648">
        <f t="shared" si="115"/>
        <v>0</v>
      </c>
      <c r="AR236" s="648">
        <f t="shared" si="116"/>
        <v>0</v>
      </c>
      <c r="AS236" s="648">
        <f t="shared" si="117"/>
        <v>0</v>
      </c>
      <c r="AT236" s="648">
        <f t="shared" si="118"/>
        <v>0</v>
      </c>
      <c r="AU236" s="648">
        <f t="shared" si="119"/>
        <v>0</v>
      </c>
      <c r="AV236" s="648">
        <f t="shared" si="120"/>
        <v>0</v>
      </c>
      <c r="AW236" s="648">
        <f t="shared" si="121"/>
        <v>0</v>
      </c>
      <c r="AX236" s="648">
        <f t="shared" si="122"/>
        <v>0</v>
      </c>
      <c r="AY236" s="634">
        <v>0</v>
      </c>
      <c r="AZ236" s="616"/>
      <c r="BA236" s="619">
        <f>IF(O237=0,0,             IF(ISNUMBER(AZ236),AZ236,             IF(ISTEXT(AZ236),INDEX(AQ236:AX236,MATCH(AZ236,$AQ$17:$AX$17,0)),           IF(AY236="INT",_xll.qInterp(O237,AA236:AH236,AQ236:AX236),       INDEX(AQ236:AX236,MATCH(AY236,$AQ$17:$AX$17,0))))))</f>
        <v>0</v>
      </c>
      <c r="BB236" s="674">
        <v>100</v>
      </c>
      <c r="BC236" s="666">
        <f t="shared" si="101"/>
        <v>0</v>
      </c>
      <c r="BD236" s="268">
        <f>IF($O237=0,0,                IF(LEFT(DCC_Leg1_Fixed,2)="1/",uEvaluate(DCC_Leg1_Fixed),        _xll.qDateYears($O236,$O237,DCC_Leg1_Fixed)))</f>
        <v>0</v>
      </c>
      <c r="BE236" s="268">
        <f>IF($O237,_xll.qDateYears($O236,$O237,DCC_Leg1_Float),0)</f>
        <v>0</v>
      </c>
      <c r="BG236" s="332">
        <f t="shared" si="123"/>
        <v>0</v>
      </c>
      <c r="BH236" s="357">
        <f t="shared" si="124"/>
        <v>0</v>
      </c>
      <c r="BI236" s="527"/>
      <c r="BK236" s="324">
        <f t="shared" si="129"/>
        <v>0</v>
      </c>
      <c r="BM236" s="338"/>
      <c r="BN236" s="121">
        <v>0</v>
      </c>
      <c r="BO236" s="755">
        <f t="shared" si="102"/>
        <v>0</v>
      </c>
      <c r="BP236" s="339">
        <v>0</v>
      </c>
      <c r="BQ236" s="890">
        <f>IF(BN237=0,0,         IF(OR(Currency2="AUD",Currency1="NZD",Currency2="GBP"),BN236,   _xll.qDateNext(BN236,"-2b",,,IF(Currency2="EUR","TGT","LON"))))</f>
        <v>0</v>
      </c>
      <c r="BR236" s="879" t="str">
        <v/>
      </c>
      <c r="BS236" s="879" t="str">
        <v/>
      </c>
      <c r="BT236" s="879" t="str">
        <v/>
      </c>
      <c r="BU236" s="879" t="str">
        <v/>
      </c>
      <c r="BV236" s="879" t="str">
        <v/>
      </c>
      <c r="BW236" s="879" t="str">
        <v/>
      </c>
      <c r="BX236" s="879" t="str">
        <v/>
      </c>
      <c r="BY236" s="879" t="str">
        <v/>
      </c>
      <c r="BZ236" s="882">
        <f>IF($BN237=0,0,        _xll.qDateNext($BN236,BZ$17,$CG$16,TRUE,Currency2))</f>
        <v>0</v>
      </c>
      <c r="CA236" s="882">
        <f>IF($BN237=0,0,        _xll.qDateNext($BN236,CA$17,$CG$16,TRUE,Currency2))</f>
        <v>0</v>
      </c>
      <c r="CB236" s="882">
        <f>IF($BN237=0,0,        _xll.qDateNext($BN236,CB$17,$CG$16,TRUE,Currency2))</f>
        <v>0</v>
      </c>
      <c r="CC236" s="882">
        <f>IF($BN237=0,0,        _xll.qDateNext($BN236,CC$17,$CG$16,TRUE,Currency2))</f>
        <v>0</v>
      </c>
      <c r="CD236" s="882">
        <f>IF($BN237=0,0,        _xll.qDateNext($BN236,CD$17,$CG$16,TRUE,Currency2))</f>
        <v>0</v>
      </c>
      <c r="CE236" s="882">
        <f>IF($BN237=0,0,        _xll.qDateNext($BN236,CE$17,$CG$16,TRUE,Currency2))</f>
        <v>0</v>
      </c>
      <c r="CF236" s="882">
        <f>IF($BN237=0,0,        _xll.qDateNext($BN236,CF$17,$CG$16,TRUE,Currency2))</f>
        <v>0</v>
      </c>
      <c r="CG236" s="882">
        <f>IF($BN237=0,0,        _xll.qDateNext($BN236,CG$17,$CG$16,TRUE,Currency2))</f>
        <v>0</v>
      </c>
      <c r="CH236" s="886">
        <v>0</v>
      </c>
      <c r="CI236" s="886">
        <v>0</v>
      </c>
      <c r="CJ236" s="886">
        <v>0</v>
      </c>
      <c r="CK236" s="886">
        <v>0</v>
      </c>
      <c r="CL236" s="886">
        <f t="shared" si="125"/>
        <v>0</v>
      </c>
      <c r="CM236" s="886">
        <f t="shared" si="126"/>
        <v>0</v>
      </c>
      <c r="CN236" s="886">
        <v>0</v>
      </c>
      <c r="CO236" s="886">
        <v>0</v>
      </c>
      <c r="CP236" s="648">
        <f t="shared" si="103"/>
        <v>0</v>
      </c>
      <c r="CQ236" s="648">
        <f t="shared" si="104"/>
        <v>0</v>
      </c>
      <c r="CR236" s="648">
        <f t="shared" si="105"/>
        <v>0</v>
      </c>
      <c r="CS236" s="648">
        <f t="shared" si="106"/>
        <v>0</v>
      </c>
      <c r="CT236" s="648">
        <f t="shared" si="107"/>
        <v>0</v>
      </c>
      <c r="CU236" s="648">
        <f t="shared" si="108"/>
        <v>0</v>
      </c>
      <c r="CV236" s="648">
        <f t="shared" si="109"/>
        <v>0</v>
      </c>
      <c r="CW236" s="648">
        <f t="shared" si="110"/>
        <v>0</v>
      </c>
      <c r="CX236" s="634">
        <v>0</v>
      </c>
      <c r="CY236" s="616"/>
      <c r="CZ236" s="619">
        <f>IF(BN237=0,0,             IF(ISNUMBER(CY236),CY236,             IF(ISTEXT(CY236),INDEX(CP236:CW236,MATCH(CY236,$CP$17:$CW$17,0)),           IF(CX236="INT",_xll.qInterp(BN237,BZ236:CG236,CP236:CW236),       INDEX(CP236:CW236,MATCH(CX236,$CP$17:$CW$17,0))))))</f>
        <v>0</v>
      </c>
      <c r="DA236" s="755">
        <f t="shared" si="111"/>
        <v>0</v>
      </c>
      <c r="DB236" s="387">
        <f t="shared" si="112"/>
        <v>0</v>
      </c>
      <c r="DC236" s="268">
        <f>IF($BN237=0,0,         IF(LEFT(DCC_Leg2_Fixed,2)="1/",uEvaluate(DCC_Leg2_Fixed),         _xll.qDateYears($BN236,$BN237,DCC_Leg2_Fixed)))</f>
        <v>0</v>
      </c>
      <c r="DD236" s="268">
        <f>IF($BN237,_xll.qDateYears($BN236,$BN237,DCC_Leg2_Float),0)</f>
        <v>0</v>
      </c>
      <c r="DF236" s="332">
        <f t="shared" si="127"/>
        <v>0</v>
      </c>
      <c r="DG236" s="357">
        <f t="shared" si="128"/>
        <v>0</v>
      </c>
      <c r="DH236" s="527"/>
      <c r="DJ236" s="324">
        <f t="shared" si="130"/>
        <v>0</v>
      </c>
      <c r="DK236" s="529"/>
      <c r="DL236" s="338"/>
    </row>
    <row r="237" spans="15:116">
      <c r="O237" s="121">
        <v>0</v>
      </c>
      <c r="P237" s="755">
        <f t="shared" si="99"/>
        <v>0</v>
      </c>
      <c r="Q237" s="125">
        <v>0</v>
      </c>
      <c r="R237" s="890">
        <f>IF(O238=0,0,         IF(OR(Currency1="AUD",Currency1="NZD",Currency1="GBP"),O237,   _xll.qDateNext(O237,"-2b",,,IF(Currency1="EUR","TGT","LON"))))</f>
        <v>0</v>
      </c>
      <c r="S237" s="879" t="str">
        <v/>
      </c>
      <c r="T237" s="879" t="str">
        <v/>
      </c>
      <c r="U237" s="879" t="str">
        <v/>
      </c>
      <c r="V237" s="879" t="str">
        <v/>
      </c>
      <c r="W237" s="879" t="str">
        <v/>
      </c>
      <c r="X237" s="879" t="str">
        <v/>
      </c>
      <c r="Y237" s="879" t="str">
        <v/>
      </c>
      <c r="Z237" s="879" t="str">
        <v/>
      </c>
      <c r="AA237" s="882">
        <f>IF($O238=0,0,        _xll.qDateNext($O237,AA$17,$AH$16,TRUE,Currency1))</f>
        <v>0</v>
      </c>
      <c r="AB237" s="882">
        <f>IF($O238=0,0,        _xll.qDateNext($O237,AB$17,$AH$16,TRUE,Currency1))</f>
        <v>0</v>
      </c>
      <c r="AC237" s="882">
        <f>IF($O238=0,0,        _xll.qDateNext($O237,AC$17,$AH$16,TRUE,Currency1))</f>
        <v>0</v>
      </c>
      <c r="AD237" s="882">
        <f>IF($O238=0,0,        _xll.qDateNext($O237,AD$17,$AH$16,TRUE,Currency1))</f>
        <v>0</v>
      </c>
      <c r="AE237" s="882">
        <f>IF($O238=0,0,        _xll.qDateNext($O237,AE$17,$AH$16,TRUE,Currency1))</f>
        <v>0</v>
      </c>
      <c r="AF237" s="882">
        <f>IF($O238=0,0,        _xll.qDateNext($O237,AF$17,$AH$16,TRUE,Currency1))</f>
        <v>0</v>
      </c>
      <c r="AG237" s="882">
        <f>IF($O238=0,0,        _xll.qDateNext($O237,AG$17,$AH$16,TRUE,Currency1))</f>
        <v>0</v>
      </c>
      <c r="AH237" s="882">
        <f>IF($O238=0,0,        _xll.qDateNext($O237,AH$17,$AH$16,TRUE,Currency1))</f>
        <v>0</v>
      </c>
      <c r="AI237" s="886">
        <f>IF($O238=0,0,           IF(FRM,_xll.qGetFwdRate(AI$14,$O237,AA237,"T",DCC_Leg1_Float),_xll.qGetFwdRate(AI$14,$O237,$O238,"T",DCC_Leg1_Float)))</f>
        <v>0</v>
      </c>
      <c r="AJ237" s="886">
        <f>IF($O238=0,0,           IF(FRM,_xll.qGetFwdRate(AJ$14,$O237,AB237,"T",DCC_Leg1_Float),_xll.qGetFwdRate(AJ$14,$O237,$O238,"T",DCC_Leg1_Float)))</f>
        <v>0</v>
      </c>
      <c r="AK237" s="886">
        <f t="shared" si="100"/>
        <v>0</v>
      </c>
      <c r="AL237" s="886">
        <f>IF($O238=0,0,           IF(FRM,_xll.qGetFwdRate(AL$14,$O237,AD237,"T",DCC_Leg1_Float),_xll.qGetFwdRate(AL$14,$O237,$O238,"T",DCC_Leg1_Float)))</f>
        <v>0</v>
      </c>
      <c r="AM237" s="886">
        <f t="shared" si="113"/>
        <v>0</v>
      </c>
      <c r="AN237" s="886">
        <f t="shared" si="114"/>
        <v>0</v>
      </c>
      <c r="AO237" s="886">
        <f>IF($O238=0,0,           IF(FRM,_xll.qGetFwdRate(AO$14,$O237,AG237,"T",DCC_Leg1_Float),_xll.qGetFwdRate(AO$14,$O237,$O238,"T",DCC_Leg1_Float)))</f>
        <v>0</v>
      </c>
      <c r="AP237" s="886">
        <f>IF($O238=0,0,           IF(FRM,_xll.qGetFwdRate(AP$14,$O237,AH237,"T",DCC_Leg1_Float),_xll.qGetFwdRate(AP$14,$O237,$O238,"T",DCC_Leg1_Float)))</f>
        <v>0</v>
      </c>
      <c r="AQ237" s="648">
        <f t="shared" si="115"/>
        <v>0</v>
      </c>
      <c r="AR237" s="648">
        <f t="shared" si="116"/>
        <v>0</v>
      </c>
      <c r="AS237" s="648">
        <f t="shared" si="117"/>
        <v>0</v>
      </c>
      <c r="AT237" s="648">
        <f t="shared" si="118"/>
        <v>0</v>
      </c>
      <c r="AU237" s="648">
        <f t="shared" si="119"/>
        <v>0</v>
      </c>
      <c r="AV237" s="648">
        <f t="shared" si="120"/>
        <v>0</v>
      </c>
      <c r="AW237" s="648">
        <f t="shared" si="121"/>
        <v>0</v>
      </c>
      <c r="AX237" s="648">
        <f t="shared" si="122"/>
        <v>0</v>
      </c>
      <c r="AY237" s="634">
        <v>0</v>
      </c>
      <c r="AZ237" s="616"/>
      <c r="BA237" s="619">
        <f>IF(O238=0,0,             IF(ISNUMBER(AZ237),AZ237,             IF(ISTEXT(AZ237),INDEX(AQ237:AX237,MATCH(AZ237,$AQ$17:$AX$17,0)),           IF(AY237="INT",_xll.qInterp(O238,AA237:AH237,AQ237:AX237),       INDEX(AQ237:AX237,MATCH(AY237,$AQ$17:$AX$17,0))))))</f>
        <v>0</v>
      </c>
      <c r="BB237" s="674">
        <v>100</v>
      </c>
      <c r="BC237" s="666">
        <f t="shared" si="101"/>
        <v>0</v>
      </c>
      <c r="BD237" s="268">
        <f>IF($O238=0,0,                IF(LEFT(DCC_Leg1_Fixed,2)="1/",uEvaluate(DCC_Leg1_Fixed),        _xll.qDateYears($O237,$O238,DCC_Leg1_Fixed)))</f>
        <v>0</v>
      </c>
      <c r="BE237" s="268">
        <f>IF($O238,_xll.qDateYears($O237,$O238,DCC_Leg1_Float),0)</f>
        <v>0</v>
      </c>
      <c r="BG237" s="332">
        <f t="shared" si="123"/>
        <v>0</v>
      </c>
      <c r="BH237" s="357">
        <f t="shared" si="124"/>
        <v>0</v>
      </c>
      <c r="BI237" s="527"/>
      <c r="BK237" s="324">
        <f t="shared" si="129"/>
        <v>0</v>
      </c>
      <c r="BM237" s="338"/>
      <c r="BN237" s="121">
        <v>0</v>
      </c>
      <c r="BO237" s="755">
        <f t="shared" si="102"/>
        <v>0</v>
      </c>
      <c r="BP237" s="339">
        <v>0</v>
      </c>
      <c r="BQ237" s="890">
        <f>IF(BN238=0,0,         IF(OR(Currency2="AUD",Currency1="NZD",Currency2="GBP"),BN237,   _xll.qDateNext(BN237,"-2b",,,IF(Currency2="EUR","TGT","LON"))))</f>
        <v>0</v>
      </c>
      <c r="BR237" s="879" t="str">
        <v/>
      </c>
      <c r="BS237" s="879" t="str">
        <v/>
      </c>
      <c r="BT237" s="879" t="str">
        <v/>
      </c>
      <c r="BU237" s="879" t="str">
        <v/>
      </c>
      <c r="BV237" s="879" t="str">
        <v/>
      </c>
      <c r="BW237" s="879" t="str">
        <v/>
      </c>
      <c r="BX237" s="879" t="str">
        <v/>
      </c>
      <c r="BY237" s="879" t="str">
        <v/>
      </c>
      <c r="BZ237" s="882">
        <f>IF($BN238=0,0,        _xll.qDateNext($BN237,BZ$17,$CG$16,TRUE,Currency2))</f>
        <v>0</v>
      </c>
      <c r="CA237" s="882">
        <f>IF($BN238=0,0,        _xll.qDateNext($BN237,CA$17,$CG$16,TRUE,Currency2))</f>
        <v>0</v>
      </c>
      <c r="CB237" s="882">
        <f>IF($BN238=0,0,        _xll.qDateNext($BN237,CB$17,$CG$16,TRUE,Currency2))</f>
        <v>0</v>
      </c>
      <c r="CC237" s="882">
        <f>IF($BN238=0,0,        _xll.qDateNext($BN237,CC$17,$CG$16,TRUE,Currency2))</f>
        <v>0</v>
      </c>
      <c r="CD237" s="882">
        <f>IF($BN238=0,0,        _xll.qDateNext($BN237,CD$17,$CG$16,TRUE,Currency2))</f>
        <v>0</v>
      </c>
      <c r="CE237" s="882">
        <f>IF($BN238=0,0,        _xll.qDateNext($BN237,CE$17,$CG$16,TRUE,Currency2))</f>
        <v>0</v>
      </c>
      <c r="CF237" s="882">
        <f>IF($BN238=0,0,        _xll.qDateNext($BN237,CF$17,$CG$16,TRUE,Currency2))</f>
        <v>0</v>
      </c>
      <c r="CG237" s="882">
        <f>IF($BN238=0,0,        _xll.qDateNext($BN237,CG$17,$CG$16,TRUE,Currency2))</f>
        <v>0</v>
      </c>
      <c r="CH237" s="886">
        <v>0</v>
      </c>
      <c r="CI237" s="886">
        <v>0</v>
      </c>
      <c r="CJ237" s="886">
        <v>0</v>
      </c>
      <c r="CK237" s="886">
        <v>0</v>
      </c>
      <c r="CL237" s="886">
        <f t="shared" si="125"/>
        <v>0</v>
      </c>
      <c r="CM237" s="886">
        <f t="shared" si="126"/>
        <v>0</v>
      </c>
      <c r="CN237" s="886">
        <v>0</v>
      </c>
      <c r="CO237" s="886">
        <v>0</v>
      </c>
      <c r="CP237" s="648">
        <f t="shared" si="103"/>
        <v>0</v>
      </c>
      <c r="CQ237" s="648">
        <f t="shared" si="104"/>
        <v>0</v>
      </c>
      <c r="CR237" s="648">
        <f t="shared" si="105"/>
        <v>0</v>
      </c>
      <c r="CS237" s="648">
        <f t="shared" si="106"/>
        <v>0</v>
      </c>
      <c r="CT237" s="648">
        <f t="shared" si="107"/>
        <v>0</v>
      </c>
      <c r="CU237" s="648">
        <f t="shared" si="108"/>
        <v>0</v>
      </c>
      <c r="CV237" s="648">
        <f t="shared" si="109"/>
        <v>0</v>
      </c>
      <c r="CW237" s="648">
        <f t="shared" si="110"/>
        <v>0</v>
      </c>
      <c r="CX237" s="634">
        <v>0</v>
      </c>
      <c r="CY237" s="616"/>
      <c r="CZ237" s="619">
        <f>IF(BN238=0,0,             IF(ISNUMBER(CY237),CY237,             IF(ISTEXT(CY237),INDEX(CP237:CW237,MATCH(CY237,$CP$17:$CW$17,0)),           IF(CX237="INT",_xll.qInterp(BN238,BZ237:CG237,CP237:CW237),       INDEX(CP237:CW237,MATCH(CX237,$CP$17:$CW$17,0))))))</f>
        <v>0</v>
      </c>
      <c r="DA237" s="755">
        <f t="shared" si="111"/>
        <v>0</v>
      </c>
      <c r="DB237" s="387">
        <f t="shared" si="112"/>
        <v>0</v>
      </c>
      <c r="DC237" s="268">
        <f>IF($BN238=0,0,         IF(LEFT(DCC_Leg2_Fixed,2)="1/",uEvaluate(DCC_Leg2_Fixed),         _xll.qDateYears($BN237,$BN238,DCC_Leg2_Fixed)))</f>
        <v>0</v>
      </c>
      <c r="DD237" s="268">
        <f>IF($BN238,_xll.qDateYears($BN237,$BN238,DCC_Leg2_Float),0)</f>
        <v>0</v>
      </c>
      <c r="DF237" s="332">
        <f t="shared" si="127"/>
        <v>0</v>
      </c>
      <c r="DG237" s="357">
        <f t="shared" si="128"/>
        <v>0</v>
      </c>
      <c r="DH237" s="527"/>
      <c r="DJ237" s="324">
        <f t="shared" si="130"/>
        <v>0</v>
      </c>
      <c r="DK237" s="529"/>
      <c r="DL237" s="338"/>
    </row>
    <row r="238" spans="15:116">
      <c r="O238" s="121">
        <v>0</v>
      </c>
      <c r="P238" s="755">
        <f t="shared" si="99"/>
        <v>0</v>
      </c>
      <c r="Q238" s="125">
        <v>0</v>
      </c>
      <c r="R238" s="890">
        <f>IF(O239=0,0,         IF(OR(Currency1="AUD",Currency1="NZD",Currency1="GBP"),O238,   _xll.qDateNext(O238,"-2b",,,IF(Currency1="EUR","TGT","LON"))))</f>
        <v>0</v>
      </c>
      <c r="S238" s="879" t="str">
        <v/>
      </c>
      <c r="T238" s="879" t="str">
        <v/>
      </c>
      <c r="U238" s="879" t="str">
        <v/>
      </c>
      <c r="V238" s="879" t="str">
        <v/>
      </c>
      <c r="W238" s="879" t="str">
        <v/>
      </c>
      <c r="X238" s="879" t="str">
        <v/>
      </c>
      <c r="Y238" s="879" t="str">
        <v/>
      </c>
      <c r="Z238" s="879" t="str">
        <v/>
      </c>
      <c r="AA238" s="882">
        <f>IF($O239=0,0,        _xll.qDateNext($O238,AA$17,$AH$16,TRUE,Currency1))</f>
        <v>0</v>
      </c>
      <c r="AB238" s="882">
        <f>IF($O239=0,0,        _xll.qDateNext($O238,AB$17,$AH$16,TRUE,Currency1))</f>
        <v>0</v>
      </c>
      <c r="AC238" s="882">
        <f>IF($O239=0,0,        _xll.qDateNext($O238,AC$17,$AH$16,TRUE,Currency1))</f>
        <v>0</v>
      </c>
      <c r="AD238" s="882">
        <f>IF($O239=0,0,        _xll.qDateNext($O238,AD$17,$AH$16,TRUE,Currency1))</f>
        <v>0</v>
      </c>
      <c r="AE238" s="882">
        <f>IF($O239=0,0,        _xll.qDateNext($O238,AE$17,$AH$16,TRUE,Currency1))</f>
        <v>0</v>
      </c>
      <c r="AF238" s="882">
        <f>IF($O239=0,0,        _xll.qDateNext($O238,AF$17,$AH$16,TRUE,Currency1))</f>
        <v>0</v>
      </c>
      <c r="AG238" s="882">
        <f>IF($O239=0,0,        _xll.qDateNext($O238,AG$17,$AH$16,TRUE,Currency1))</f>
        <v>0</v>
      </c>
      <c r="AH238" s="882">
        <f>IF($O239=0,0,        _xll.qDateNext($O238,AH$17,$AH$16,TRUE,Currency1))</f>
        <v>0</v>
      </c>
      <c r="AI238" s="886">
        <f>IF($O239=0,0,           IF(FRM,_xll.qGetFwdRate(AI$14,$O238,AA238,"T",DCC_Leg1_Float),_xll.qGetFwdRate(AI$14,$O238,$O239,"T",DCC_Leg1_Float)))</f>
        <v>0</v>
      </c>
      <c r="AJ238" s="886">
        <f>IF($O239=0,0,           IF(FRM,_xll.qGetFwdRate(AJ$14,$O238,AB238,"T",DCC_Leg1_Float),_xll.qGetFwdRate(AJ$14,$O238,$O239,"T",DCC_Leg1_Float)))</f>
        <v>0</v>
      </c>
      <c r="AK238" s="886">
        <f t="shared" si="100"/>
        <v>0</v>
      </c>
      <c r="AL238" s="886">
        <f>IF($O239=0,0,           IF(FRM,_xll.qGetFwdRate(AL$14,$O238,AD238,"T",DCC_Leg1_Float),_xll.qGetFwdRate(AL$14,$O238,$O239,"T",DCC_Leg1_Float)))</f>
        <v>0</v>
      </c>
      <c r="AM238" s="886">
        <f t="shared" si="113"/>
        <v>0</v>
      </c>
      <c r="AN238" s="886">
        <f t="shared" si="114"/>
        <v>0</v>
      </c>
      <c r="AO238" s="886">
        <f>IF($O239=0,0,           IF(FRM,_xll.qGetFwdRate(AO$14,$O238,AG238,"T",DCC_Leg1_Float),_xll.qGetFwdRate(AO$14,$O238,$O239,"T",DCC_Leg1_Float)))</f>
        <v>0</v>
      </c>
      <c r="AP238" s="886">
        <f>IF($O239=0,0,           IF(FRM,_xll.qGetFwdRate(AP$14,$O238,AH238,"T",DCC_Leg1_Float),_xll.qGetFwdRate(AP$14,$O238,$O239,"T",DCC_Leg1_Float)))</f>
        <v>0</v>
      </c>
      <c r="AQ238" s="648">
        <f t="shared" si="115"/>
        <v>0</v>
      </c>
      <c r="AR238" s="648">
        <f t="shared" si="116"/>
        <v>0</v>
      </c>
      <c r="AS238" s="648">
        <f t="shared" si="117"/>
        <v>0</v>
      </c>
      <c r="AT238" s="648">
        <f t="shared" si="118"/>
        <v>0</v>
      </c>
      <c r="AU238" s="648">
        <f t="shared" si="119"/>
        <v>0</v>
      </c>
      <c r="AV238" s="648">
        <f t="shared" si="120"/>
        <v>0</v>
      </c>
      <c r="AW238" s="648">
        <f t="shared" si="121"/>
        <v>0</v>
      </c>
      <c r="AX238" s="648">
        <f t="shared" si="122"/>
        <v>0</v>
      </c>
      <c r="AY238" s="634">
        <v>0</v>
      </c>
      <c r="AZ238" s="616"/>
      <c r="BA238" s="619">
        <f>IF(O239=0,0,             IF(ISNUMBER(AZ238),AZ238,             IF(ISTEXT(AZ238),INDEX(AQ238:AX238,MATCH(AZ238,$AQ$17:$AX$17,0)),           IF(AY238="INT",_xll.qInterp(O239,AA238:AH238,AQ238:AX238),       INDEX(AQ238:AX238,MATCH(AY238,$AQ$17:$AX$17,0))))))</f>
        <v>0</v>
      </c>
      <c r="BB238" s="674">
        <v>100</v>
      </c>
      <c r="BC238" s="666">
        <f t="shared" si="101"/>
        <v>0</v>
      </c>
      <c r="BD238" s="268">
        <f>IF($O239=0,0,                IF(LEFT(DCC_Leg1_Fixed,2)="1/",uEvaluate(DCC_Leg1_Fixed),        _xll.qDateYears($O238,$O239,DCC_Leg1_Fixed)))</f>
        <v>0</v>
      </c>
      <c r="BE238" s="268">
        <f>IF($O239,_xll.qDateYears($O238,$O239,DCC_Leg1_Float),0)</f>
        <v>0</v>
      </c>
      <c r="BG238" s="332">
        <f t="shared" si="123"/>
        <v>0</v>
      </c>
      <c r="BH238" s="357">
        <f t="shared" si="124"/>
        <v>0</v>
      </c>
      <c r="BI238" s="527"/>
      <c r="BK238" s="324">
        <f t="shared" si="129"/>
        <v>0</v>
      </c>
      <c r="BM238" s="338"/>
      <c r="BN238" s="121">
        <v>0</v>
      </c>
      <c r="BO238" s="755">
        <f t="shared" si="102"/>
        <v>0</v>
      </c>
      <c r="BP238" s="339">
        <v>0</v>
      </c>
      <c r="BQ238" s="890">
        <f>IF(BN239=0,0,         IF(OR(Currency2="AUD",Currency1="NZD",Currency2="GBP"),BN238,   _xll.qDateNext(BN238,"-2b",,,IF(Currency2="EUR","TGT","LON"))))</f>
        <v>0</v>
      </c>
      <c r="BR238" s="879" t="str">
        <v/>
      </c>
      <c r="BS238" s="879" t="str">
        <v/>
      </c>
      <c r="BT238" s="879" t="str">
        <v/>
      </c>
      <c r="BU238" s="879" t="str">
        <v/>
      </c>
      <c r="BV238" s="879" t="str">
        <v/>
      </c>
      <c r="BW238" s="879" t="str">
        <v/>
      </c>
      <c r="BX238" s="879" t="str">
        <v/>
      </c>
      <c r="BY238" s="879" t="str">
        <v/>
      </c>
      <c r="BZ238" s="882">
        <f>IF($BN239=0,0,        _xll.qDateNext($BN238,BZ$17,$CG$16,TRUE,Currency2))</f>
        <v>0</v>
      </c>
      <c r="CA238" s="882">
        <f>IF($BN239=0,0,        _xll.qDateNext($BN238,CA$17,$CG$16,TRUE,Currency2))</f>
        <v>0</v>
      </c>
      <c r="CB238" s="882">
        <f>IF($BN239=0,0,        _xll.qDateNext($BN238,CB$17,$CG$16,TRUE,Currency2))</f>
        <v>0</v>
      </c>
      <c r="CC238" s="882">
        <f>IF($BN239=0,0,        _xll.qDateNext($BN238,CC$17,$CG$16,TRUE,Currency2))</f>
        <v>0</v>
      </c>
      <c r="CD238" s="882">
        <f>IF($BN239=0,0,        _xll.qDateNext($BN238,CD$17,$CG$16,TRUE,Currency2))</f>
        <v>0</v>
      </c>
      <c r="CE238" s="882">
        <f>IF($BN239=0,0,        _xll.qDateNext($BN238,CE$17,$CG$16,TRUE,Currency2))</f>
        <v>0</v>
      </c>
      <c r="CF238" s="882">
        <f>IF($BN239=0,0,        _xll.qDateNext($BN238,CF$17,$CG$16,TRUE,Currency2))</f>
        <v>0</v>
      </c>
      <c r="CG238" s="882">
        <f>IF($BN239=0,0,        _xll.qDateNext($BN238,CG$17,$CG$16,TRUE,Currency2))</f>
        <v>0</v>
      </c>
      <c r="CH238" s="886">
        <v>0</v>
      </c>
      <c r="CI238" s="886">
        <v>0</v>
      </c>
      <c r="CJ238" s="886">
        <v>0</v>
      </c>
      <c r="CK238" s="886">
        <v>0</v>
      </c>
      <c r="CL238" s="886">
        <f t="shared" si="125"/>
        <v>0</v>
      </c>
      <c r="CM238" s="886">
        <f t="shared" si="126"/>
        <v>0</v>
      </c>
      <c r="CN238" s="886">
        <v>0</v>
      </c>
      <c r="CO238" s="886">
        <v>0</v>
      </c>
      <c r="CP238" s="648">
        <f t="shared" si="103"/>
        <v>0</v>
      </c>
      <c r="CQ238" s="648">
        <f t="shared" si="104"/>
        <v>0</v>
      </c>
      <c r="CR238" s="648">
        <f t="shared" si="105"/>
        <v>0</v>
      </c>
      <c r="CS238" s="648">
        <f t="shared" si="106"/>
        <v>0</v>
      </c>
      <c r="CT238" s="648">
        <f t="shared" si="107"/>
        <v>0</v>
      </c>
      <c r="CU238" s="648">
        <f t="shared" si="108"/>
        <v>0</v>
      </c>
      <c r="CV238" s="648">
        <f t="shared" si="109"/>
        <v>0</v>
      </c>
      <c r="CW238" s="648">
        <f t="shared" si="110"/>
        <v>0</v>
      </c>
      <c r="CX238" s="634">
        <v>0</v>
      </c>
      <c r="CY238" s="616"/>
      <c r="CZ238" s="619">
        <f>IF(BN239=0,0,             IF(ISNUMBER(CY238),CY238,             IF(ISTEXT(CY238),INDEX(CP238:CW238,MATCH(CY238,$CP$17:$CW$17,0)),           IF(CX238="INT",_xll.qInterp(BN239,BZ238:CG238,CP238:CW238),       INDEX(CP238:CW238,MATCH(CX238,$CP$17:$CW$17,0))))))</f>
        <v>0</v>
      </c>
      <c r="DA238" s="755">
        <f t="shared" si="111"/>
        <v>0</v>
      </c>
      <c r="DB238" s="387">
        <f t="shared" si="112"/>
        <v>0</v>
      </c>
      <c r="DC238" s="268">
        <f>IF($BN239=0,0,         IF(LEFT(DCC_Leg2_Fixed,2)="1/",uEvaluate(DCC_Leg2_Fixed),         _xll.qDateYears($BN238,$BN239,DCC_Leg2_Fixed)))</f>
        <v>0</v>
      </c>
      <c r="DD238" s="268">
        <f>IF($BN239,_xll.qDateYears($BN238,$BN239,DCC_Leg2_Float),0)</f>
        <v>0</v>
      </c>
      <c r="DF238" s="332">
        <f t="shared" si="127"/>
        <v>0</v>
      </c>
      <c r="DG238" s="357">
        <f t="shared" si="128"/>
        <v>0</v>
      </c>
      <c r="DH238" s="527"/>
      <c r="DJ238" s="324">
        <f t="shared" si="130"/>
        <v>0</v>
      </c>
      <c r="DK238" s="529"/>
      <c r="DL238" s="338"/>
    </row>
    <row r="239" spans="15:116">
      <c r="O239" s="121">
        <v>0</v>
      </c>
      <c r="P239" s="755">
        <f t="shared" si="99"/>
        <v>0</v>
      </c>
      <c r="Q239" s="125">
        <v>0</v>
      </c>
      <c r="R239" s="890">
        <f>IF(O240=0,0,         IF(OR(Currency1="AUD",Currency1="NZD",Currency1="GBP"),O239,   _xll.qDateNext(O239,"-2b",,,IF(Currency1="EUR","TGT","LON"))))</f>
        <v>0</v>
      </c>
      <c r="S239" s="879" t="str">
        <v/>
      </c>
      <c r="T239" s="879" t="str">
        <v/>
      </c>
      <c r="U239" s="879" t="str">
        <v/>
      </c>
      <c r="V239" s="879" t="str">
        <v/>
      </c>
      <c r="W239" s="879" t="str">
        <v/>
      </c>
      <c r="X239" s="879" t="str">
        <v/>
      </c>
      <c r="Y239" s="879" t="str">
        <v/>
      </c>
      <c r="Z239" s="879" t="str">
        <v/>
      </c>
      <c r="AA239" s="882">
        <f>IF($O240=0,0,        _xll.qDateNext($O239,AA$17,$AH$16,TRUE,Currency1))</f>
        <v>0</v>
      </c>
      <c r="AB239" s="882">
        <f>IF($O240=0,0,        _xll.qDateNext($O239,AB$17,$AH$16,TRUE,Currency1))</f>
        <v>0</v>
      </c>
      <c r="AC239" s="882">
        <f>IF($O240=0,0,        _xll.qDateNext($O239,AC$17,$AH$16,TRUE,Currency1))</f>
        <v>0</v>
      </c>
      <c r="AD239" s="882">
        <f>IF($O240=0,0,        _xll.qDateNext($O239,AD$17,$AH$16,TRUE,Currency1))</f>
        <v>0</v>
      </c>
      <c r="AE239" s="882">
        <f>IF($O240=0,0,        _xll.qDateNext($O239,AE$17,$AH$16,TRUE,Currency1))</f>
        <v>0</v>
      </c>
      <c r="AF239" s="882">
        <f>IF($O240=0,0,        _xll.qDateNext($O239,AF$17,$AH$16,TRUE,Currency1))</f>
        <v>0</v>
      </c>
      <c r="AG239" s="882">
        <f>IF($O240=0,0,        _xll.qDateNext($O239,AG$17,$AH$16,TRUE,Currency1))</f>
        <v>0</v>
      </c>
      <c r="AH239" s="882">
        <f>IF($O240=0,0,        _xll.qDateNext($O239,AH$17,$AH$16,TRUE,Currency1))</f>
        <v>0</v>
      </c>
      <c r="AI239" s="886">
        <f>IF($O240=0,0,           IF(FRM,_xll.qGetFwdRate(AI$14,$O239,AA239,"T",DCC_Leg1_Float),_xll.qGetFwdRate(AI$14,$O239,$O240,"T",DCC_Leg1_Float)))</f>
        <v>0</v>
      </c>
      <c r="AJ239" s="886">
        <f>IF($O240=0,0,           IF(FRM,_xll.qGetFwdRate(AJ$14,$O239,AB239,"T",DCC_Leg1_Float),_xll.qGetFwdRate(AJ$14,$O239,$O240,"T",DCC_Leg1_Float)))</f>
        <v>0</v>
      </c>
      <c r="AK239" s="886">
        <f t="shared" si="100"/>
        <v>0</v>
      </c>
      <c r="AL239" s="886">
        <f>IF($O240=0,0,           IF(FRM,_xll.qGetFwdRate(AL$14,$O239,AD239,"T",DCC_Leg1_Float),_xll.qGetFwdRate(AL$14,$O239,$O240,"T",DCC_Leg1_Float)))</f>
        <v>0</v>
      </c>
      <c r="AM239" s="886">
        <f t="shared" si="113"/>
        <v>0</v>
      </c>
      <c r="AN239" s="886">
        <f t="shared" si="114"/>
        <v>0</v>
      </c>
      <c r="AO239" s="886">
        <f>IF($O240=0,0,           IF(FRM,_xll.qGetFwdRate(AO$14,$O239,AG239,"T",DCC_Leg1_Float),_xll.qGetFwdRate(AO$14,$O239,$O240,"T",DCC_Leg1_Float)))</f>
        <v>0</v>
      </c>
      <c r="AP239" s="886">
        <f>IF($O240=0,0,           IF(FRM,_xll.qGetFwdRate(AP$14,$O239,AH239,"T",DCC_Leg1_Float),_xll.qGetFwdRate(AP$14,$O239,$O240,"T",DCC_Leg1_Float)))</f>
        <v>0</v>
      </c>
      <c r="AQ239" s="648">
        <f t="shared" si="115"/>
        <v>0</v>
      </c>
      <c r="AR239" s="648">
        <f t="shared" si="116"/>
        <v>0</v>
      </c>
      <c r="AS239" s="648">
        <f t="shared" si="117"/>
        <v>0</v>
      </c>
      <c r="AT239" s="648">
        <f t="shared" si="118"/>
        <v>0</v>
      </c>
      <c r="AU239" s="648">
        <f t="shared" si="119"/>
        <v>0</v>
      </c>
      <c r="AV239" s="648">
        <f t="shared" si="120"/>
        <v>0</v>
      </c>
      <c r="AW239" s="648">
        <f t="shared" si="121"/>
        <v>0</v>
      </c>
      <c r="AX239" s="648">
        <f t="shared" si="122"/>
        <v>0</v>
      </c>
      <c r="AY239" s="634">
        <v>0</v>
      </c>
      <c r="AZ239" s="616"/>
      <c r="BA239" s="619">
        <f>IF(O240=0,0,             IF(ISNUMBER(AZ239),AZ239,             IF(ISTEXT(AZ239),INDEX(AQ239:AX239,MATCH(AZ239,$AQ$17:$AX$17,0)),           IF(AY239="INT",_xll.qInterp(O240,AA239:AH239,AQ239:AX239),       INDEX(AQ239:AX239,MATCH(AY239,$AQ$17:$AX$17,0))))))</f>
        <v>0</v>
      </c>
      <c r="BB239" s="674">
        <v>100</v>
      </c>
      <c r="BC239" s="666">
        <f t="shared" si="101"/>
        <v>0</v>
      </c>
      <c r="BD239" s="268">
        <f>IF($O240=0,0,                IF(LEFT(DCC_Leg1_Fixed,2)="1/",uEvaluate(DCC_Leg1_Fixed),        _xll.qDateYears($O239,$O240,DCC_Leg1_Fixed)))</f>
        <v>0</v>
      </c>
      <c r="BE239" s="268">
        <f>IF($O240,_xll.qDateYears($O239,$O240,DCC_Leg1_Float),0)</f>
        <v>0</v>
      </c>
      <c r="BG239" s="332">
        <f t="shared" si="123"/>
        <v>0</v>
      </c>
      <c r="BH239" s="357">
        <f t="shared" si="124"/>
        <v>0</v>
      </c>
      <c r="BI239" s="527"/>
      <c r="BK239" s="324">
        <f t="shared" si="129"/>
        <v>0</v>
      </c>
      <c r="BM239" s="338"/>
      <c r="BN239" s="121">
        <v>0</v>
      </c>
      <c r="BO239" s="755">
        <f t="shared" si="102"/>
        <v>0</v>
      </c>
      <c r="BP239" s="339">
        <v>0</v>
      </c>
      <c r="BQ239" s="890">
        <f>IF(BN240=0,0,         IF(OR(Currency2="AUD",Currency1="NZD",Currency2="GBP"),BN239,   _xll.qDateNext(BN239,"-2b",,,IF(Currency2="EUR","TGT","LON"))))</f>
        <v>0</v>
      </c>
      <c r="BR239" s="879" t="str">
        <v/>
      </c>
      <c r="BS239" s="879" t="str">
        <v/>
      </c>
      <c r="BT239" s="879" t="str">
        <v/>
      </c>
      <c r="BU239" s="879" t="str">
        <v/>
      </c>
      <c r="BV239" s="879" t="str">
        <v/>
      </c>
      <c r="BW239" s="879" t="str">
        <v/>
      </c>
      <c r="BX239" s="879" t="str">
        <v/>
      </c>
      <c r="BY239" s="879" t="str">
        <v/>
      </c>
      <c r="BZ239" s="882">
        <f>IF($BN240=0,0,        _xll.qDateNext($BN239,BZ$17,$CG$16,TRUE,Currency2))</f>
        <v>0</v>
      </c>
      <c r="CA239" s="882">
        <f>IF($BN240=0,0,        _xll.qDateNext($BN239,CA$17,$CG$16,TRUE,Currency2))</f>
        <v>0</v>
      </c>
      <c r="CB239" s="882">
        <f>IF($BN240=0,0,        _xll.qDateNext($BN239,CB$17,$CG$16,TRUE,Currency2))</f>
        <v>0</v>
      </c>
      <c r="CC239" s="882">
        <f>IF($BN240=0,0,        _xll.qDateNext($BN239,CC$17,$CG$16,TRUE,Currency2))</f>
        <v>0</v>
      </c>
      <c r="CD239" s="882">
        <f>IF($BN240=0,0,        _xll.qDateNext($BN239,CD$17,$CG$16,TRUE,Currency2))</f>
        <v>0</v>
      </c>
      <c r="CE239" s="882">
        <f>IF($BN240=0,0,        _xll.qDateNext($BN239,CE$17,$CG$16,TRUE,Currency2))</f>
        <v>0</v>
      </c>
      <c r="CF239" s="882">
        <f>IF($BN240=0,0,        _xll.qDateNext($BN239,CF$17,$CG$16,TRUE,Currency2))</f>
        <v>0</v>
      </c>
      <c r="CG239" s="882">
        <f>IF($BN240=0,0,        _xll.qDateNext($BN239,CG$17,$CG$16,TRUE,Currency2))</f>
        <v>0</v>
      </c>
      <c r="CH239" s="886">
        <v>0</v>
      </c>
      <c r="CI239" s="886">
        <v>0</v>
      </c>
      <c r="CJ239" s="886">
        <v>0</v>
      </c>
      <c r="CK239" s="886">
        <v>0</v>
      </c>
      <c r="CL239" s="886">
        <f t="shared" si="125"/>
        <v>0</v>
      </c>
      <c r="CM239" s="886">
        <f t="shared" si="126"/>
        <v>0</v>
      </c>
      <c r="CN239" s="886">
        <v>0</v>
      </c>
      <c r="CO239" s="886">
        <v>0</v>
      </c>
      <c r="CP239" s="648">
        <f t="shared" si="103"/>
        <v>0</v>
      </c>
      <c r="CQ239" s="648">
        <f t="shared" si="104"/>
        <v>0</v>
      </c>
      <c r="CR239" s="648">
        <f t="shared" si="105"/>
        <v>0</v>
      </c>
      <c r="CS239" s="648">
        <f t="shared" si="106"/>
        <v>0</v>
      </c>
      <c r="CT239" s="648">
        <f t="shared" si="107"/>
        <v>0</v>
      </c>
      <c r="CU239" s="648">
        <f t="shared" si="108"/>
        <v>0</v>
      </c>
      <c r="CV239" s="648">
        <f t="shared" si="109"/>
        <v>0</v>
      </c>
      <c r="CW239" s="648">
        <f t="shared" si="110"/>
        <v>0</v>
      </c>
      <c r="CX239" s="634">
        <v>0</v>
      </c>
      <c r="CY239" s="616"/>
      <c r="CZ239" s="619">
        <f>IF(BN240=0,0,             IF(ISNUMBER(CY239),CY239,             IF(ISTEXT(CY239),INDEX(CP239:CW239,MATCH(CY239,$CP$17:$CW$17,0)),           IF(CX239="INT",_xll.qInterp(BN240,BZ239:CG239,CP239:CW239),       INDEX(CP239:CW239,MATCH(CX239,$CP$17:$CW$17,0))))))</f>
        <v>0</v>
      </c>
      <c r="DA239" s="755">
        <f t="shared" si="111"/>
        <v>0</v>
      </c>
      <c r="DB239" s="387">
        <f t="shared" si="112"/>
        <v>0</v>
      </c>
      <c r="DC239" s="268">
        <f>IF($BN240=0,0,         IF(LEFT(DCC_Leg2_Fixed,2)="1/",uEvaluate(DCC_Leg2_Fixed),         _xll.qDateYears($BN239,$BN240,DCC_Leg2_Fixed)))</f>
        <v>0</v>
      </c>
      <c r="DD239" s="268">
        <f>IF($BN240,_xll.qDateYears($BN239,$BN240,DCC_Leg2_Float),0)</f>
        <v>0</v>
      </c>
      <c r="DF239" s="332">
        <f t="shared" si="127"/>
        <v>0</v>
      </c>
      <c r="DG239" s="357">
        <f t="shared" si="128"/>
        <v>0</v>
      </c>
      <c r="DH239" s="527"/>
      <c r="DJ239" s="324">
        <f t="shared" si="130"/>
        <v>0</v>
      </c>
      <c r="DK239" s="529"/>
      <c r="DL239" s="338"/>
    </row>
    <row r="240" spans="15:116">
      <c r="O240" s="121">
        <v>0</v>
      </c>
      <c r="P240" s="755">
        <f t="shared" si="99"/>
        <v>0</v>
      </c>
      <c r="Q240" s="125">
        <v>0</v>
      </c>
      <c r="R240" s="890">
        <f>IF(O241=0,0,         IF(OR(Currency1="AUD",Currency1="NZD",Currency1="GBP"),O240,   _xll.qDateNext(O240,"-2b",,,IF(Currency1="EUR","TGT","LON"))))</f>
        <v>0</v>
      </c>
      <c r="S240" s="879" t="str">
        <v/>
      </c>
      <c r="T240" s="879" t="str">
        <v/>
      </c>
      <c r="U240" s="879" t="str">
        <v/>
      </c>
      <c r="V240" s="879" t="str">
        <v/>
      </c>
      <c r="W240" s="879" t="str">
        <v/>
      </c>
      <c r="X240" s="879" t="str">
        <v/>
      </c>
      <c r="Y240" s="879" t="str">
        <v/>
      </c>
      <c r="Z240" s="879" t="str">
        <v/>
      </c>
      <c r="AA240" s="882">
        <f>IF($O241=0,0,        _xll.qDateNext($O240,AA$17,$AH$16,TRUE,Currency1))</f>
        <v>0</v>
      </c>
      <c r="AB240" s="882">
        <f>IF($O241=0,0,        _xll.qDateNext($O240,AB$17,$AH$16,TRUE,Currency1))</f>
        <v>0</v>
      </c>
      <c r="AC240" s="882">
        <f>IF($O241=0,0,        _xll.qDateNext($O240,AC$17,$AH$16,TRUE,Currency1))</f>
        <v>0</v>
      </c>
      <c r="AD240" s="882">
        <f>IF($O241=0,0,        _xll.qDateNext($O240,AD$17,$AH$16,TRUE,Currency1))</f>
        <v>0</v>
      </c>
      <c r="AE240" s="882">
        <f>IF($O241=0,0,        _xll.qDateNext($O240,AE$17,$AH$16,TRUE,Currency1))</f>
        <v>0</v>
      </c>
      <c r="AF240" s="882">
        <f>IF($O241=0,0,        _xll.qDateNext($O240,AF$17,$AH$16,TRUE,Currency1))</f>
        <v>0</v>
      </c>
      <c r="AG240" s="882">
        <f>IF($O241=0,0,        _xll.qDateNext($O240,AG$17,$AH$16,TRUE,Currency1))</f>
        <v>0</v>
      </c>
      <c r="AH240" s="882">
        <f>IF($O241=0,0,        _xll.qDateNext($O240,AH$17,$AH$16,TRUE,Currency1))</f>
        <v>0</v>
      </c>
      <c r="AI240" s="886">
        <f>IF($O241=0,0,           IF(FRM,_xll.qGetFwdRate(AI$14,$O240,AA240,"T",DCC_Leg1_Float),_xll.qGetFwdRate(AI$14,$O240,$O241,"T",DCC_Leg1_Float)))</f>
        <v>0</v>
      </c>
      <c r="AJ240" s="886">
        <f>IF($O241=0,0,           IF(FRM,_xll.qGetFwdRate(AJ$14,$O240,AB240,"T",DCC_Leg1_Float),_xll.qGetFwdRate(AJ$14,$O240,$O241,"T",DCC_Leg1_Float)))</f>
        <v>0</v>
      </c>
      <c r="AK240" s="886">
        <f t="shared" si="100"/>
        <v>0</v>
      </c>
      <c r="AL240" s="886">
        <f>IF($O241=0,0,           IF(FRM,_xll.qGetFwdRate(AL$14,$O240,AD240,"T",DCC_Leg1_Float),_xll.qGetFwdRate(AL$14,$O240,$O241,"T",DCC_Leg1_Float)))</f>
        <v>0</v>
      </c>
      <c r="AM240" s="886">
        <f t="shared" si="113"/>
        <v>0</v>
      </c>
      <c r="AN240" s="886">
        <f t="shared" si="114"/>
        <v>0</v>
      </c>
      <c r="AO240" s="886">
        <f>IF($O241=0,0,           IF(FRM,_xll.qGetFwdRate(AO$14,$O240,AG240,"T",DCC_Leg1_Float),_xll.qGetFwdRate(AO$14,$O240,$O241,"T",DCC_Leg1_Float)))</f>
        <v>0</v>
      </c>
      <c r="AP240" s="886">
        <f>IF($O241=0,0,           IF(FRM,_xll.qGetFwdRate(AP$14,$O240,AH240,"T",DCC_Leg1_Float),_xll.qGetFwdRate(AP$14,$O240,$O241,"T",DCC_Leg1_Float)))</f>
        <v>0</v>
      </c>
      <c r="AQ240" s="648">
        <f t="shared" si="115"/>
        <v>0</v>
      </c>
      <c r="AR240" s="648">
        <f t="shared" si="116"/>
        <v>0</v>
      </c>
      <c r="AS240" s="648">
        <f t="shared" si="117"/>
        <v>0</v>
      </c>
      <c r="AT240" s="648">
        <f t="shared" si="118"/>
        <v>0</v>
      </c>
      <c r="AU240" s="648">
        <f t="shared" si="119"/>
        <v>0</v>
      </c>
      <c r="AV240" s="648">
        <f t="shared" si="120"/>
        <v>0</v>
      </c>
      <c r="AW240" s="648">
        <f t="shared" si="121"/>
        <v>0</v>
      </c>
      <c r="AX240" s="648">
        <f t="shared" si="122"/>
        <v>0</v>
      </c>
      <c r="AY240" s="634">
        <v>0</v>
      </c>
      <c r="AZ240" s="616"/>
      <c r="BA240" s="619">
        <f>IF(O241=0,0,             IF(ISNUMBER(AZ240),AZ240,             IF(ISTEXT(AZ240),INDEX(AQ240:AX240,MATCH(AZ240,$AQ$17:$AX$17,0)),           IF(AY240="INT",_xll.qInterp(O241,AA240:AH240,AQ240:AX240),       INDEX(AQ240:AX240,MATCH(AY240,$AQ$17:$AX$17,0))))))</f>
        <v>0</v>
      </c>
      <c r="BB240" s="674">
        <v>100</v>
      </c>
      <c r="BC240" s="666">
        <f t="shared" si="101"/>
        <v>0</v>
      </c>
      <c r="BD240" s="268">
        <f>IF($O241=0,0,                IF(LEFT(DCC_Leg1_Fixed,2)="1/",uEvaluate(DCC_Leg1_Fixed),        _xll.qDateYears($O240,$O241,DCC_Leg1_Fixed)))</f>
        <v>0</v>
      </c>
      <c r="BE240" s="268">
        <f>IF($O241,_xll.qDateYears($O240,$O241,DCC_Leg1_Float),0)</f>
        <v>0</v>
      </c>
      <c r="BG240" s="332">
        <f t="shared" si="123"/>
        <v>0</v>
      </c>
      <c r="BH240" s="357">
        <f t="shared" si="124"/>
        <v>0</v>
      </c>
      <c r="BI240" s="527"/>
      <c r="BK240" s="324">
        <f t="shared" si="129"/>
        <v>0</v>
      </c>
      <c r="BM240" s="338"/>
      <c r="BN240" s="121">
        <v>0</v>
      </c>
      <c r="BO240" s="755">
        <f t="shared" si="102"/>
        <v>0</v>
      </c>
      <c r="BP240" s="339">
        <v>0</v>
      </c>
      <c r="BQ240" s="890">
        <f>IF(BN241=0,0,         IF(OR(Currency2="AUD",Currency1="NZD",Currency2="GBP"),BN240,   _xll.qDateNext(BN240,"-2b",,,IF(Currency2="EUR","TGT","LON"))))</f>
        <v>0</v>
      </c>
      <c r="BR240" s="879" t="str">
        <v/>
      </c>
      <c r="BS240" s="879" t="str">
        <v/>
      </c>
      <c r="BT240" s="879" t="str">
        <v/>
      </c>
      <c r="BU240" s="879" t="str">
        <v/>
      </c>
      <c r="BV240" s="879" t="str">
        <v/>
      </c>
      <c r="BW240" s="879" t="str">
        <v/>
      </c>
      <c r="BX240" s="879" t="str">
        <v/>
      </c>
      <c r="BY240" s="879" t="str">
        <v/>
      </c>
      <c r="BZ240" s="882">
        <f>IF($BN241=0,0,        _xll.qDateNext($BN240,BZ$17,$CG$16,TRUE,Currency2))</f>
        <v>0</v>
      </c>
      <c r="CA240" s="882">
        <f>IF($BN241=0,0,        _xll.qDateNext($BN240,CA$17,$CG$16,TRUE,Currency2))</f>
        <v>0</v>
      </c>
      <c r="CB240" s="882">
        <f>IF($BN241=0,0,        _xll.qDateNext($BN240,CB$17,$CG$16,TRUE,Currency2))</f>
        <v>0</v>
      </c>
      <c r="CC240" s="882">
        <f>IF($BN241=0,0,        _xll.qDateNext($BN240,CC$17,$CG$16,TRUE,Currency2))</f>
        <v>0</v>
      </c>
      <c r="CD240" s="882">
        <f>IF($BN241=0,0,        _xll.qDateNext($BN240,CD$17,$CG$16,TRUE,Currency2))</f>
        <v>0</v>
      </c>
      <c r="CE240" s="882">
        <f>IF($BN241=0,0,        _xll.qDateNext($BN240,CE$17,$CG$16,TRUE,Currency2))</f>
        <v>0</v>
      </c>
      <c r="CF240" s="882">
        <f>IF($BN241=0,0,        _xll.qDateNext($BN240,CF$17,$CG$16,TRUE,Currency2))</f>
        <v>0</v>
      </c>
      <c r="CG240" s="882">
        <f>IF($BN241=0,0,        _xll.qDateNext($BN240,CG$17,$CG$16,TRUE,Currency2))</f>
        <v>0</v>
      </c>
      <c r="CH240" s="886">
        <v>0</v>
      </c>
      <c r="CI240" s="886">
        <v>0</v>
      </c>
      <c r="CJ240" s="886">
        <v>0</v>
      </c>
      <c r="CK240" s="886">
        <v>0</v>
      </c>
      <c r="CL240" s="886">
        <f t="shared" si="125"/>
        <v>0</v>
      </c>
      <c r="CM240" s="886">
        <f t="shared" si="126"/>
        <v>0</v>
      </c>
      <c r="CN240" s="886">
        <v>0</v>
      </c>
      <c r="CO240" s="886">
        <v>0</v>
      </c>
      <c r="CP240" s="648">
        <f t="shared" si="103"/>
        <v>0</v>
      </c>
      <c r="CQ240" s="648">
        <f t="shared" si="104"/>
        <v>0</v>
      </c>
      <c r="CR240" s="648">
        <f t="shared" si="105"/>
        <v>0</v>
      </c>
      <c r="CS240" s="648">
        <f t="shared" si="106"/>
        <v>0</v>
      </c>
      <c r="CT240" s="648">
        <f t="shared" si="107"/>
        <v>0</v>
      </c>
      <c r="CU240" s="648">
        <f t="shared" si="108"/>
        <v>0</v>
      </c>
      <c r="CV240" s="648">
        <f t="shared" si="109"/>
        <v>0</v>
      </c>
      <c r="CW240" s="648">
        <f t="shared" si="110"/>
        <v>0</v>
      </c>
      <c r="CX240" s="634">
        <v>0</v>
      </c>
      <c r="CY240" s="616"/>
      <c r="CZ240" s="619">
        <f>IF(BN241=0,0,             IF(ISNUMBER(CY240),CY240,             IF(ISTEXT(CY240),INDEX(CP240:CW240,MATCH(CY240,$CP$17:$CW$17,0)),           IF(CX240="INT",_xll.qInterp(BN241,BZ240:CG240,CP240:CW240),       INDEX(CP240:CW240,MATCH(CX240,$CP$17:$CW$17,0))))))</f>
        <v>0</v>
      </c>
      <c r="DA240" s="755">
        <f t="shared" si="111"/>
        <v>0</v>
      </c>
      <c r="DB240" s="387">
        <f t="shared" si="112"/>
        <v>0</v>
      </c>
      <c r="DC240" s="268">
        <f>IF($BN241=0,0,         IF(LEFT(DCC_Leg2_Fixed,2)="1/",uEvaluate(DCC_Leg2_Fixed),         _xll.qDateYears($BN240,$BN241,DCC_Leg2_Fixed)))</f>
        <v>0</v>
      </c>
      <c r="DD240" s="268">
        <f>IF($BN241,_xll.qDateYears($BN240,$BN241,DCC_Leg2_Float),0)</f>
        <v>0</v>
      </c>
      <c r="DF240" s="332">
        <f t="shared" si="127"/>
        <v>0</v>
      </c>
      <c r="DG240" s="357">
        <f t="shared" si="128"/>
        <v>0</v>
      </c>
      <c r="DH240" s="527"/>
      <c r="DJ240" s="324">
        <f t="shared" si="130"/>
        <v>0</v>
      </c>
      <c r="DK240" s="529"/>
      <c r="DL240" s="338"/>
    </row>
    <row r="241" spans="15:116">
      <c r="O241" s="121">
        <v>0</v>
      </c>
      <c r="P241" s="755">
        <f t="shared" si="99"/>
        <v>0</v>
      </c>
      <c r="Q241" s="125">
        <v>0</v>
      </c>
      <c r="R241" s="890">
        <f>IF(O242=0,0,         IF(OR(Currency1="AUD",Currency1="NZD",Currency1="GBP"),O241,   _xll.qDateNext(O241,"-2b",,,IF(Currency1="EUR","TGT","LON"))))</f>
        <v>0</v>
      </c>
      <c r="S241" s="879" t="str">
        <v/>
      </c>
      <c r="T241" s="879" t="str">
        <v/>
      </c>
      <c r="U241" s="879" t="str">
        <v/>
      </c>
      <c r="V241" s="879" t="str">
        <v/>
      </c>
      <c r="W241" s="879" t="str">
        <v/>
      </c>
      <c r="X241" s="879" t="str">
        <v/>
      </c>
      <c r="Y241" s="879" t="str">
        <v/>
      </c>
      <c r="Z241" s="879" t="str">
        <v/>
      </c>
      <c r="AA241" s="882">
        <f>IF($O242=0,0,        _xll.qDateNext($O241,AA$17,$AH$16,TRUE,Currency1))</f>
        <v>0</v>
      </c>
      <c r="AB241" s="882">
        <f>IF($O242=0,0,        _xll.qDateNext($O241,AB$17,$AH$16,TRUE,Currency1))</f>
        <v>0</v>
      </c>
      <c r="AC241" s="882">
        <f>IF($O242=0,0,        _xll.qDateNext($O241,AC$17,$AH$16,TRUE,Currency1))</f>
        <v>0</v>
      </c>
      <c r="AD241" s="882">
        <f>IF($O242=0,0,        _xll.qDateNext($O241,AD$17,$AH$16,TRUE,Currency1))</f>
        <v>0</v>
      </c>
      <c r="AE241" s="882">
        <f>IF($O242=0,0,        _xll.qDateNext($O241,AE$17,$AH$16,TRUE,Currency1))</f>
        <v>0</v>
      </c>
      <c r="AF241" s="882">
        <f>IF($O242=0,0,        _xll.qDateNext($O241,AF$17,$AH$16,TRUE,Currency1))</f>
        <v>0</v>
      </c>
      <c r="AG241" s="882">
        <f>IF($O242=0,0,        _xll.qDateNext($O241,AG$17,$AH$16,TRUE,Currency1))</f>
        <v>0</v>
      </c>
      <c r="AH241" s="882">
        <f>IF($O242=0,0,        _xll.qDateNext($O241,AH$17,$AH$16,TRUE,Currency1))</f>
        <v>0</v>
      </c>
      <c r="AI241" s="886">
        <f>IF($O242=0,0,           IF(FRM,_xll.qGetFwdRate(AI$14,$O241,AA241,"T",DCC_Leg1_Float),_xll.qGetFwdRate(AI$14,$O241,$O242,"T",DCC_Leg1_Float)))</f>
        <v>0</v>
      </c>
      <c r="AJ241" s="886">
        <f>IF($O242=0,0,           IF(FRM,_xll.qGetFwdRate(AJ$14,$O241,AB241,"T",DCC_Leg1_Float),_xll.qGetFwdRate(AJ$14,$O241,$O242,"T",DCC_Leg1_Float)))</f>
        <v>0</v>
      </c>
      <c r="AK241" s="886">
        <f t="shared" si="100"/>
        <v>0</v>
      </c>
      <c r="AL241" s="886">
        <f>IF($O242=0,0,           IF(FRM,_xll.qGetFwdRate(AL$14,$O241,AD241,"T",DCC_Leg1_Float),_xll.qGetFwdRate(AL$14,$O241,$O242,"T",DCC_Leg1_Float)))</f>
        <v>0</v>
      </c>
      <c r="AM241" s="886">
        <f t="shared" si="113"/>
        <v>0</v>
      </c>
      <c r="AN241" s="886">
        <f t="shared" si="114"/>
        <v>0</v>
      </c>
      <c r="AO241" s="886">
        <f>IF($O242=0,0,           IF(FRM,_xll.qGetFwdRate(AO$14,$O241,AG241,"T",DCC_Leg1_Float),_xll.qGetFwdRate(AO$14,$O241,$O242,"T",DCC_Leg1_Float)))</f>
        <v>0</v>
      </c>
      <c r="AP241" s="886">
        <f>IF($O242=0,0,           IF(FRM,_xll.qGetFwdRate(AP$14,$O241,AH241,"T",DCC_Leg1_Float),_xll.qGetFwdRate(AP$14,$O241,$O242,"T",DCC_Leg1_Float)))</f>
        <v>0</v>
      </c>
      <c r="AQ241" s="648">
        <f t="shared" si="115"/>
        <v>0</v>
      </c>
      <c r="AR241" s="648">
        <f t="shared" si="116"/>
        <v>0</v>
      </c>
      <c r="AS241" s="648">
        <f t="shared" si="117"/>
        <v>0</v>
      </c>
      <c r="AT241" s="648">
        <f t="shared" si="118"/>
        <v>0</v>
      </c>
      <c r="AU241" s="648">
        <f t="shared" si="119"/>
        <v>0</v>
      </c>
      <c r="AV241" s="648">
        <f t="shared" si="120"/>
        <v>0</v>
      </c>
      <c r="AW241" s="648">
        <f t="shared" si="121"/>
        <v>0</v>
      </c>
      <c r="AX241" s="648">
        <f t="shared" si="122"/>
        <v>0</v>
      </c>
      <c r="AY241" s="634">
        <v>0</v>
      </c>
      <c r="AZ241" s="616"/>
      <c r="BA241" s="619">
        <f>IF(O242=0,0,             IF(ISNUMBER(AZ241),AZ241,             IF(ISTEXT(AZ241),INDEX(AQ241:AX241,MATCH(AZ241,$AQ$17:$AX$17,0)),           IF(AY241="INT",_xll.qInterp(O242,AA241:AH241,AQ241:AX241),       INDEX(AQ241:AX241,MATCH(AY241,$AQ$17:$AX$17,0))))))</f>
        <v>0</v>
      </c>
      <c r="BB241" s="674">
        <v>100</v>
      </c>
      <c r="BC241" s="666">
        <f t="shared" si="101"/>
        <v>0</v>
      </c>
      <c r="BD241" s="268">
        <f>IF($O242=0,0,                IF(LEFT(DCC_Leg1_Fixed,2)="1/",uEvaluate(DCC_Leg1_Fixed),        _xll.qDateYears($O241,$O242,DCC_Leg1_Fixed)))</f>
        <v>0</v>
      </c>
      <c r="BE241" s="268">
        <f>IF($O242,_xll.qDateYears($O241,$O242,DCC_Leg1_Float),0)</f>
        <v>0</v>
      </c>
      <c r="BG241" s="332">
        <f t="shared" si="123"/>
        <v>0</v>
      </c>
      <c r="BH241" s="357">
        <f t="shared" si="124"/>
        <v>0</v>
      </c>
      <c r="BI241" s="527"/>
      <c r="BK241" s="324">
        <f t="shared" si="129"/>
        <v>0</v>
      </c>
      <c r="BM241" s="338"/>
      <c r="BN241" s="121">
        <v>0</v>
      </c>
      <c r="BO241" s="755">
        <f t="shared" si="102"/>
        <v>0</v>
      </c>
      <c r="BP241" s="339">
        <v>0</v>
      </c>
      <c r="BQ241" s="890">
        <f>IF(BN242=0,0,         IF(OR(Currency2="AUD",Currency1="NZD",Currency2="GBP"),BN241,   _xll.qDateNext(BN241,"-2b",,,IF(Currency2="EUR","TGT","LON"))))</f>
        <v>0</v>
      </c>
      <c r="BR241" s="879" t="str">
        <v/>
      </c>
      <c r="BS241" s="879" t="str">
        <v/>
      </c>
      <c r="BT241" s="879" t="str">
        <v/>
      </c>
      <c r="BU241" s="879" t="str">
        <v/>
      </c>
      <c r="BV241" s="879" t="str">
        <v/>
      </c>
      <c r="BW241" s="879" t="str">
        <v/>
      </c>
      <c r="BX241" s="879" t="str">
        <v/>
      </c>
      <c r="BY241" s="879" t="str">
        <v/>
      </c>
      <c r="BZ241" s="882">
        <f>IF($BN242=0,0,        _xll.qDateNext($BN241,BZ$17,$CG$16,TRUE,Currency2))</f>
        <v>0</v>
      </c>
      <c r="CA241" s="882">
        <f>IF($BN242=0,0,        _xll.qDateNext($BN241,CA$17,$CG$16,TRUE,Currency2))</f>
        <v>0</v>
      </c>
      <c r="CB241" s="882">
        <f>IF($BN242=0,0,        _xll.qDateNext($BN241,CB$17,$CG$16,TRUE,Currency2))</f>
        <v>0</v>
      </c>
      <c r="CC241" s="882">
        <f>IF($BN242=0,0,        _xll.qDateNext($BN241,CC$17,$CG$16,TRUE,Currency2))</f>
        <v>0</v>
      </c>
      <c r="CD241" s="882">
        <f>IF($BN242=0,0,        _xll.qDateNext($BN241,CD$17,$CG$16,TRUE,Currency2))</f>
        <v>0</v>
      </c>
      <c r="CE241" s="882">
        <f>IF($BN242=0,0,        _xll.qDateNext($BN241,CE$17,$CG$16,TRUE,Currency2))</f>
        <v>0</v>
      </c>
      <c r="CF241" s="882">
        <f>IF($BN242=0,0,        _xll.qDateNext($BN241,CF$17,$CG$16,TRUE,Currency2))</f>
        <v>0</v>
      </c>
      <c r="CG241" s="882">
        <f>IF($BN242=0,0,        _xll.qDateNext($BN241,CG$17,$CG$16,TRUE,Currency2))</f>
        <v>0</v>
      </c>
      <c r="CH241" s="886">
        <v>0</v>
      </c>
      <c r="CI241" s="886">
        <v>0</v>
      </c>
      <c r="CJ241" s="886">
        <v>0</v>
      </c>
      <c r="CK241" s="886">
        <v>0</v>
      </c>
      <c r="CL241" s="886">
        <f t="shared" si="125"/>
        <v>0</v>
      </c>
      <c r="CM241" s="886">
        <f t="shared" si="126"/>
        <v>0</v>
      </c>
      <c r="CN241" s="886">
        <v>0</v>
      </c>
      <c r="CO241" s="886">
        <v>0</v>
      </c>
      <c r="CP241" s="648">
        <f t="shared" si="103"/>
        <v>0</v>
      </c>
      <c r="CQ241" s="648">
        <f t="shared" si="104"/>
        <v>0</v>
      </c>
      <c r="CR241" s="648">
        <f t="shared" si="105"/>
        <v>0</v>
      </c>
      <c r="CS241" s="648">
        <f t="shared" si="106"/>
        <v>0</v>
      </c>
      <c r="CT241" s="648">
        <f t="shared" si="107"/>
        <v>0</v>
      </c>
      <c r="CU241" s="648">
        <f t="shared" si="108"/>
        <v>0</v>
      </c>
      <c r="CV241" s="648">
        <f t="shared" si="109"/>
        <v>0</v>
      </c>
      <c r="CW241" s="648">
        <f t="shared" si="110"/>
        <v>0</v>
      </c>
      <c r="CX241" s="634">
        <v>0</v>
      </c>
      <c r="CY241" s="616"/>
      <c r="CZ241" s="619">
        <f>IF(BN242=0,0,             IF(ISNUMBER(CY241),CY241,             IF(ISTEXT(CY241),INDEX(CP241:CW241,MATCH(CY241,$CP$17:$CW$17,0)),           IF(CX241="INT",_xll.qInterp(BN242,BZ241:CG241,CP241:CW241),       INDEX(CP241:CW241,MATCH(CX241,$CP$17:$CW$17,0))))))</f>
        <v>0</v>
      </c>
      <c r="DA241" s="755">
        <f t="shared" si="111"/>
        <v>0</v>
      </c>
      <c r="DB241" s="387">
        <f t="shared" si="112"/>
        <v>0</v>
      </c>
      <c r="DC241" s="268">
        <f>IF($BN242=0,0,         IF(LEFT(DCC_Leg2_Fixed,2)="1/",uEvaluate(DCC_Leg2_Fixed),         _xll.qDateYears($BN241,$BN242,DCC_Leg2_Fixed)))</f>
        <v>0</v>
      </c>
      <c r="DD241" s="268">
        <f>IF($BN242,_xll.qDateYears($BN241,$BN242,DCC_Leg2_Float),0)</f>
        <v>0</v>
      </c>
      <c r="DF241" s="332">
        <f t="shared" si="127"/>
        <v>0</v>
      </c>
      <c r="DG241" s="357">
        <f t="shared" si="128"/>
        <v>0</v>
      </c>
      <c r="DH241" s="527"/>
      <c r="DJ241" s="324">
        <f t="shared" si="130"/>
        <v>0</v>
      </c>
      <c r="DK241" s="529"/>
      <c r="DL241" s="338"/>
    </row>
    <row r="242" spans="15:116">
      <c r="O242" s="121">
        <v>0</v>
      </c>
      <c r="P242" s="755">
        <f t="shared" si="99"/>
        <v>0</v>
      </c>
      <c r="Q242" s="125">
        <v>0</v>
      </c>
      <c r="R242" s="890">
        <f>IF(O243=0,0,         IF(OR(Currency1="AUD",Currency1="NZD",Currency1="GBP"),O242,   _xll.qDateNext(O242,"-2b",,,IF(Currency1="EUR","TGT","LON"))))</f>
        <v>0</v>
      </c>
      <c r="S242" s="879" t="str">
        <v/>
      </c>
      <c r="T242" s="879" t="str">
        <v/>
      </c>
      <c r="U242" s="879" t="str">
        <v/>
      </c>
      <c r="V242" s="879" t="str">
        <v/>
      </c>
      <c r="W242" s="879" t="str">
        <v/>
      </c>
      <c r="X242" s="879" t="str">
        <v/>
      </c>
      <c r="Y242" s="879" t="str">
        <v/>
      </c>
      <c r="Z242" s="879" t="str">
        <v/>
      </c>
      <c r="AA242" s="882">
        <f>IF($O243=0,0,        _xll.qDateNext($O242,AA$17,$AH$16,TRUE,Currency1))</f>
        <v>0</v>
      </c>
      <c r="AB242" s="882">
        <f>IF($O243=0,0,        _xll.qDateNext($O242,AB$17,$AH$16,TRUE,Currency1))</f>
        <v>0</v>
      </c>
      <c r="AC242" s="882">
        <f>IF($O243=0,0,        _xll.qDateNext($O242,AC$17,$AH$16,TRUE,Currency1))</f>
        <v>0</v>
      </c>
      <c r="AD242" s="882">
        <f>IF($O243=0,0,        _xll.qDateNext($O242,AD$17,$AH$16,TRUE,Currency1))</f>
        <v>0</v>
      </c>
      <c r="AE242" s="882">
        <f>IF($O243=0,0,        _xll.qDateNext($O242,AE$17,$AH$16,TRUE,Currency1))</f>
        <v>0</v>
      </c>
      <c r="AF242" s="882">
        <f>IF($O243=0,0,        _xll.qDateNext($O242,AF$17,$AH$16,TRUE,Currency1))</f>
        <v>0</v>
      </c>
      <c r="AG242" s="882">
        <f>IF($O243=0,0,        _xll.qDateNext($O242,AG$17,$AH$16,TRUE,Currency1))</f>
        <v>0</v>
      </c>
      <c r="AH242" s="882">
        <f>IF($O243=0,0,        _xll.qDateNext($O242,AH$17,$AH$16,TRUE,Currency1))</f>
        <v>0</v>
      </c>
      <c r="AI242" s="886">
        <f>IF($O243=0,0,           IF(FRM,_xll.qGetFwdRate(AI$14,$O242,AA242,"T",DCC_Leg1_Float),_xll.qGetFwdRate(AI$14,$O242,$O243,"T",DCC_Leg1_Float)))</f>
        <v>0</v>
      </c>
      <c r="AJ242" s="886">
        <f>IF($O243=0,0,           IF(FRM,_xll.qGetFwdRate(AJ$14,$O242,AB242,"T",DCC_Leg1_Float),_xll.qGetFwdRate(AJ$14,$O242,$O243,"T",DCC_Leg1_Float)))</f>
        <v>0</v>
      </c>
      <c r="AK242" s="886">
        <f t="shared" si="100"/>
        <v>0</v>
      </c>
      <c r="AL242" s="886">
        <f>IF($O243=0,0,           IF(FRM,_xll.qGetFwdRate(AL$14,$O242,AD242,"T",DCC_Leg1_Float),_xll.qGetFwdRate(AL$14,$O242,$O243,"T",DCC_Leg1_Float)))</f>
        <v>0</v>
      </c>
      <c r="AM242" s="886">
        <f t="shared" si="113"/>
        <v>0</v>
      </c>
      <c r="AN242" s="886">
        <f t="shared" si="114"/>
        <v>0</v>
      </c>
      <c r="AO242" s="886">
        <f>IF($O243=0,0,           IF(FRM,_xll.qGetFwdRate(AO$14,$O242,AG242,"T",DCC_Leg1_Float),_xll.qGetFwdRate(AO$14,$O242,$O243,"T",DCC_Leg1_Float)))</f>
        <v>0</v>
      </c>
      <c r="AP242" s="886">
        <f>IF($O243=0,0,           IF(FRM,_xll.qGetFwdRate(AP$14,$O242,AH242,"T",DCC_Leg1_Float),_xll.qGetFwdRate(AP$14,$O242,$O243,"T",DCC_Leg1_Float)))</f>
        <v>0</v>
      </c>
      <c r="AQ242" s="648">
        <f t="shared" si="115"/>
        <v>0</v>
      </c>
      <c r="AR242" s="648">
        <f t="shared" si="116"/>
        <v>0</v>
      </c>
      <c r="AS242" s="648">
        <f t="shared" si="117"/>
        <v>0</v>
      </c>
      <c r="AT242" s="648">
        <f t="shared" si="118"/>
        <v>0</v>
      </c>
      <c r="AU242" s="648">
        <f t="shared" si="119"/>
        <v>0</v>
      </c>
      <c r="AV242" s="648">
        <f t="shared" si="120"/>
        <v>0</v>
      </c>
      <c r="AW242" s="648">
        <f t="shared" si="121"/>
        <v>0</v>
      </c>
      <c r="AX242" s="648">
        <f t="shared" si="122"/>
        <v>0</v>
      </c>
      <c r="AY242" s="634">
        <v>0</v>
      </c>
      <c r="AZ242" s="616"/>
      <c r="BA242" s="619">
        <f>IF(O243=0,0,             IF(ISNUMBER(AZ242),AZ242,             IF(ISTEXT(AZ242),INDEX(AQ242:AX242,MATCH(AZ242,$AQ$17:$AX$17,0)),           IF(AY242="INT",_xll.qInterp(O243,AA242:AH242,AQ242:AX242),       INDEX(AQ242:AX242,MATCH(AY242,$AQ$17:$AX$17,0))))))</f>
        <v>0</v>
      </c>
      <c r="BB242" s="674">
        <v>100</v>
      </c>
      <c r="BC242" s="666">
        <f t="shared" si="101"/>
        <v>0</v>
      </c>
      <c r="BD242" s="268">
        <f>IF($O243=0,0,                IF(LEFT(DCC_Leg1_Fixed,2)="1/",uEvaluate(DCC_Leg1_Fixed),        _xll.qDateYears($O242,$O243,DCC_Leg1_Fixed)))</f>
        <v>0</v>
      </c>
      <c r="BE242" s="268">
        <f>IF($O243,_xll.qDateYears($O242,$O243,DCC_Leg1_Float),0)</f>
        <v>0</v>
      </c>
      <c r="BG242" s="332">
        <f t="shared" si="123"/>
        <v>0</v>
      </c>
      <c r="BH242" s="357">
        <f t="shared" si="124"/>
        <v>0</v>
      </c>
      <c r="BI242" s="527"/>
      <c r="BK242" s="324">
        <f t="shared" si="129"/>
        <v>0</v>
      </c>
      <c r="BM242" s="338"/>
      <c r="BN242" s="121">
        <v>0</v>
      </c>
      <c r="BO242" s="755">
        <f t="shared" si="102"/>
        <v>0</v>
      </c>
      <c r="BP242" s="339">
        <v>0</v>
      </c>
      <c r="BQ242" s="890">
        <f>IF(BN243=0,0,         IF(OR(Currency2="AUD",Currency1="NZD",Currency2="GBP"),BN242,   _xll.qDateNext(BN242,"-2b",,,IF(Currency2="EUR","TGT","LON"))))</f>
        <v>0</v>
      </c>
      <c r="BR242" s="879" t="str">
        <v/>
      </c>
      <c r="BS242" s="879" t="str">
        <v/>
      </c>
      <c r="BT242" s="879" t="str">
        <v/>
      </c>
      <c r="BU242" s="879" t="str">
        <v/>
      </c>
      <c r="BV242" s="879" t="str">
        <v/>
      </c>
      <c r="BW242" s="879" t="str">
        <v/>
      </c>
      <c r="BX242" s="879" t="str">
        <v/>
      </c>
      <c r="BY242" s="879" t="str">
        <v/>
      </c>
      <c r="BZ242" s="882">
        <f>IF($BN243=0,0,        _xll.qDateNext($BN242,BZ$17,$CG$16,TRUE,Currency2))</f>
        <v>0</v>
      </c>
      <c r="CA242" s="882">
        <f>IF($BN243=0,0,        _xll.qDateNext($BN242,CA$17,$CG$16,TRUE,Currency2))</f>
        <v>0</v>
      </c>
      <c r="CB242" s="882">
        <f>IF($BN243=0,0,        _xll.qDateNext($BN242,CB$17,$CG$16,TRUE,Currency2))</f>
        <v>0</v>
      </c>
      <c r="CC242" s="882">
        <f>IF($BN243=0,0,        _xll.qDateNext($BN242,CC$17,$CG$16,TRUE,Currency2))</f>
        <v>0</v>
      </c>
      <c r="CD242" s="882">
        <f>IF($BN243=0,0,        _xll.qDateNext($BN242,CD$17,$CG$16,TRUE,Currency2))</f>
        <v>0</v>
      </c>
      <c r="CE242" s="882">
        <f>IF($BN243=0,0,        _xll.qDateNext($BN242,CE$17,$CG$16,TRUE,Currency2))</f>
        <v>0</v>
      </c>
      <c r="CF242" s="882">
        <f>IF($BN243=0,0,        _xll.qDateNext($BN242,CF$17,$CG$16,TRUE,Currency2))</f>
        <v>0</v>
      </c>
      <c r="CG242" s="882">
        <f>IF($BN243=0,0,        _xll.qDateNext($BN242,CG$17,$CG$16,TRUE,Currency2))</f>
        <v>0</v>
      </c>
      <c r="CH242" s="886">
        <v>0</v>
      </c>
      <c r="CI242" s="886">
        <v>0</v>
      </c>
      <c r="CJ242" s="886">
        <v>0</v>
      </c>
      <c r="CK242" s="886">
        <v>0</v>
      </c>
      <c r="CL242" s="886">
        <f t="shared" si="125"/>
        <v>0</v>
      </c>
      <c r="CM242" s="886">
        <f t="shared" si="126"/>
        <v>0</v>
      </c>
      <c r="CN242" s="886">
        <v>0</v>
      </c>
      <c r="CO242" s="886">
        <v>0</v>
      </c>
      <c r="CP242" s="648">
        <f t="shared" si="103"/>
        <v>0</v>
      </c>
      <c r="CQ242" s="648">
        <f t="shared" si="104"/>
        <v>0</v>
      </c>
      <c r="CR242" s="648">
        <f t="shared" si="105"/>
        <v>0</v>
      </c>
      <c r="CS242" s="648">
        <f t="shared" si="106"/>
        <v>0</v>
      </c>
      <c r="CT242" s="648">
        <f t="shared" si="107"/>
        <v>0</v>
      </c>
      <c r="CU242" s="648">
        <f t="shared" si="108"/>
        <v>0</v>
      </c>
      <c r="CV242" s="648">
        <f t="shared" si="109"/>
        <v>0</v>
      </c>
      <c r="CW242" s="648">
        <f t="shared" si="110"/>
        <v>0</v>
      </c>
      <c r="CX242" s="634">
        <v>0</v>
      </c>
      <c r="CY242" s="616"/>
      <c r="CZ242" s="619">
        <f>IF(BN243=0,0,             IF(ISNUMBER(CY242),CY242,             IF(ISTEXT(CY242),INDEX(CP242:CW242,MATCH(CY242,$CP$17:$CW$17,0)),           IF(CX242="INT",_xll.qInterp(BN243,BZ242:CG242,CP242:CW242),       INDEX(CP242:CW242,MATCH(CX242,$CP$17:$CW$17,0))))))</f>
        <v>0</v>
      </c>
      <c r="DA242" s="755">
        <f t="shared" si="111"/>
        <v>0</v>
      </c>
      <c r="DB242" s="387">
        <f t="shared" si="112"/>
        <v>0</v>
      </c>
      <c r="DC242" s="268">
        <f>IF($BN243=0,0,         IF(LEFT(DCC_Leg2_Fixed,2)="1/",uEvaluate(DCC_Leg2_Fixed),         _xll.qDateYears($BN242,$BN243,DCC_Leg2_Fixed)))</f>
        <v>0</v>
      </c>
      <c r="DD242" s="268">
        <f>IF($BN243,_xll.qDateYears($BN242,$BN243,DCC_Leg2_Float),0)</f>
        <v>0</v>
      </c>
      <c r="DF242" s="332">
        <f t="shared" si="127"/>
        <v>0</v>
      </c>
      <c r="DG242" s="357">
        <f t="shared" si="128"/>
        <v>0</v>
      </c>
      <c r="DH242" s="527"/>
      <c r="DJ242" s="324">
        <f t="shared" si="130"/>
        <v>0</v>
      </c>
      <c r="DK242" s="529"/>
      <c r="DL242" s="338"/>
    </row>
    <row r="243" spans="15:116">
      <c r="O243" s="121">
        <v>0</v>
      </c>
      <c r="P243" s="755">
        <f t="shared" si="99"/>
        <v>0</v>
      </c>
      <c r="Q243" s="125">
        <v>0</v>
      </c>
      <c r="R243" s="890">
        <f>IF(O244=0,0,         IF(OR(Currency1="AUD",Currency1="NZD",Currency1="GBP"),O243,   _xll.qDateNext(O243,"-2b",,,IF(Currency1="EUR","TGT","LON"))))</f>
        <v>0</v>
      </c>
      <c r="S243" s="879" t="str">
        <v/>
      </c>
      <c r="T243" s="879" t="str">
        <v/>
      </c>
      <c r="U243" s="879" t="str">
        <v/>
      </c>
      <c r="V243" s="879" t="str">
        <v/>
      </c>
      <c r="W243" s="879" t="str">
        <v/>
      </c>
      <c r="X243" s="879" t="str">
        <v/>
      </c>
      <c r="Y243" s="879" t="str">
        <v/>
      </c>
      <c r="Z243" s="879" t="str">
        <v/>
      </c>
      <c r="AA243" s="882">
        <f>IF($O244=0,0,        _xll.qDateNext($O243,AA$17,$AH$16,TRUE,Currency1))</f>
        <v>0</v>
      </c>
      <c r="AB243" s="882">
        <f>IF($O244=0,0,        _xll.qDateNext($O243,AB$17,$AH$16,TRUE,Currency1))</f>
        <v>0</v>
      </c>
      <c r="AC243" s="882">
        <f>IF($O244=0,0,        _xll.qDateNext($O243,AC$17,$AH$16,TRUE,Currency1))</f>
        <v>0</v>
      </c>
      <c r="AD243" s="882">
        <f>IF($O244=0,0,        _xll.qDateNext($O243,AD$17,$AH$16,TRUE,Currency1))</f>
        <v>0</v>
      </c>
      <c r="AE243" s="882">
        <f>IF($O244=0,0,        _xll.qDateNext($O243,AE$17,$AH$16,TRUE,Currency1))</f>
        <v>0</v>
      </c>
      <c r="AF243" s="882">
        <f>IF($O244=0,0,        _xll.qDateNext($O243,AF$17,$AH$16,TRUE,Currency1))</f>
        <v>0</v>
      </c>
      <c r="AG243" s="882">
        <f>IF($O244=0,0,        _xll.qDateNext($O243,AG$17,$AH$16,TRUE,Currency1))</f>
        <v>0</v>
      </c>
      <c r="AH243" s="882">
        <f>IF($O244=0,0,        _xll.qDateNext($O243,AH$17,$AH$16,TRUE,Currency1))</f>
        <v>0</v>
      </c>
      <c r="AI243" s="886">
        <f>IF($O244=0,0,           IF(FRM,_xll.qGetFwdRate(AI$14,$O243,AA243,"T",DCC_Leg1_Float),_xll.qGetFwdRate(AI$14,$O243,$O244,"T",DCC_Leg1_Float)))</f>
        <v>0</v>
      </c>
      <c r="AJ243" s="886">
        <f>IF($O244=0,0,           IF(FRM,_xll.qGetFwdRate(AJ$14,$O243,AB243,"T",DCC_Leg1_Float),_xll.qGetFwdRate(AJ$14,$O243,$O244,"T",DCC_Leg1_Float)))</f>
        <v>0</v>
      </c>
      <c r="AK243" s="886">
        <f t="shared" si="100"/>
        <v>0</v>
      </c>
      <c r="AL243" s="886">
        <f>IF($O244=0,0,           IF(FRM,_xll.qGetFwdRate(AL$14,$O243,AD243,"T",DCC_Leg1_Float),_xll.qGetFwdRate(AL$14,$O243,$O244,"T",DCC_Leg1_Float)))</f>
        <v>0</v>
      </c>
      <c r="AM243" s="886">
        <f t="shared" si="113"/>
        <v>0</v>
      </c>
      <c r="AN243" s="886">
        <f t="shared" si="114"/>
        <v>0</v>
      </c>
      <c r="AO243" s="886">
        <f>IF($O244=0,0,           IF(FRM,_xll.qGetFwdRate(AO$14,$O243,AG243,"T",DCC_Leg1_Float),_xll.qGetFwdRate(AO$14,$O243,$O244,"T",DCC_Leg1_Float)))</f>
        <v>0</v>
      </c>
      <c r="AP243" s="886">
        <f>IF($O244=0,0,           IF(FRM,_xll.qGetFwdRate(AP$14,$O243,AH243,"T",DCC_Leg1_Float),_xll.qGetFwdRate(AP$14,$O243,$O244,"T",DCC_Leg1_Float)))</f>
        <v>0</v>
      </c>
      <c r="AQ243" s="648">
        <f t="shared" si="115"/>
        <v>0</v>
      </c>
      <c r="AR243" s="648">
        <f t="shared" si="116"/>
        <v>0</v>
      </c>
      <c r="AS243" s="648">
        <f t="shared" si="117"/>
        <v>0</v>
      </c>
      <c r="AT243" s="648">
        <f t="shared" si="118"/>
        <v>0</v>
      </c>
      <c r="AU243" s="648">
        <f t="shared" si="119"/>
        <v>0</v>
      </c>
      <c r="AV243" s="648">
        <f t="shared" si="120"/>
        <v>0</v>
      </c>
      <c r="AW243" s="648">
        <f t="shared" si="121"/>
        <v>0</v>
      </c>
      <c r="AX243" s="648">
        <f t="shared" si="122"/>
        <v>0</v>
      </c>
      <c r="AY243" s="634">
        <v>0</v>
      </c>
      <c r="AZ243" s="616"/>
      <c r="BA243" s="619">
        <f>IF(O244=0,0,             IF(ISNUMBER(AZ243),AZ243,             IF(ISTEXT(AZ243),INDEX(AQ243:AX243,MATCH(AZ243,$AQ$17:$AX$17,0)),           IF(AY243="INT",_xll.qInterp(O244,AA243:AH243,AQ243:AX243),       INDEX(AQ243:AX243,MATCH(AY243,$AQ$17:$AX$17,0))))))</f>
        <v>0</v>
      </c>
      <c r="BB243" s="674">
        <v>100</v>
      </c>
      <c r="BC243" s="666">
        <f t="shared" si="101"/>
        <v>0</v>
      </c>
      <c r="BD243" s="268">
        <f>IF($O244=0,0,                IF(LEFT(DCC_Leg1_Fixed,2)="1/",uEvaluate(DCC_Leg1_Fixed),        _xll.qDateYears($O243,$O244,DCC_Leg1_Fixed)))</f>
        <v>0</v>
      </c>
      <c r="BE243" s="268">
        <f>IF($O244,_xll.qDateYears($O243,$O244,DCC_Leg1_Float),0)</f>
        <v>0</v>
      </c>
      <c r="BG243" s="332">
        <f t="shared" si="123"/>
        <v>0</v>
      </c>
      <c r="BH243" s="357">
        <f t="shared" si="124"/>
        <v>0</v>
      </c>
      <c r="BI243" s="527"/>
      <c r="BK243" s="324">
        <f t="shared" si="129"/>
        <v>0</v>
      </c>
      <c r="BM243" s="338"/>
      <c r="BN243" s="121">
        <v>0</v>
      </c>
      <c r="BO243" s="755">
        <f t="shared" si="102"/>
        <v>0</v>
      </c>
      <c r="BP243" s="339">
        <v>0</v>
      </c>
      <c r="BQ243" s="890">
        <f>IF(BN244=0,0,         IF(OR(Currency2="AUD",Currency1="NZD",Currency2="GBP"),BN243,   _xll.qDateNext(BN243,"-2b",,,IF(Currency2="EUR","TGT","LON"))))</f>
        <v>0</v>
      </c>
      <c r="BR243" s="879" t="str">
        <v/>
      </c>
      <c r="BS243" s="879" t="str">
        <v/>
      </c>
      <c r="BT243" s="879" t="str">
        <v/>
      </c>
      <c r="BU243" s="879" t="str">
        <v/>
      </c>
      <c r="BV243" s="879" t="str">
        <v/>
      </c>
      <c r="BW243" s="879" t="str">
        <v/>
      </c>
      <c r="BX243" s="879" t="str">
        <v/>
      </c>
      <c r="BY243" s="879" t="str">
        <v/>
      </c>
      <c r="BZ243" s="882">
        <f>IF($BN244=0,0,        _xll.qDateNext($BN243,BZ$17,$CG$16,TRUE,Currency2))</f>
        <v>0</v>
      </c>
      <c r="CA243" s="882">
        <f>IF($BN244=0,0,        _xll.qDateNext($BN243,CA$17,$CG$16,TRUE,Currency2))</f>
        <v>0</v>
      </c>
      <c r="CB243" s="882">
        <f>IF($BN244=0,0,        _xll.qDateNext($BN243,CB$17,$CG$16,TRUE,Currency2))</f>
        <v>0</v>
      </c>
      <c r="CC243" s="882">
        <f>IF($BN244=0,0,        _xll.qDateNext($BN243,CC$17,$CG$16,TRUE,Currency2))</f>
        <v>0</v>
      </c>
      <c r="CD243" s="882">
        <f>IF($BN244=0,0,        _xll.qDateNext($BN243,CD$17,$CG$16,TRUE,Currency2))</f>
        <v>0</v>
      </c>
      <c r="CE243" s="882">
        <f>IF($BN244=0,0,        _xll.qDateNext($BN243,CE$17,$CG$16,TRUE,Currency2))</f>
        <v>0</v>
      </c>
      <c r="CF243" s="882">
        <f>IF($BN244=0,0,        _xll.qDateNext($BN243,CF$17,$CG$16,TRUE,Currency2))</f>
        <v>0</v>
      </c>
      <c r="CG243" s="882">
        <f>IF($BN244=0,0,        _xll.qDateNext($BN243,CG$17,$CG$16,TRUE,Currency2))</f>
        <v>0</v>
      </c>
      <c r="CH243" s="886">
        <v>0</v>
      </c>
      <c r="CI243" s="886">
        <v>0</v>
      </c>
      <c r="CJ243" s="886">
        <v>0</v>
      </c>
      <c r="CK243" s="886">
        <v>0</v>
      </c>
      <c r="CL243" s="886">
        <f t="shared" si="125"/>
        <v>0</v>
      </c>
      <c r="CM243" s="886">
        <f t="shared" si="126"/>
        <v>0</v>
      </c>
      <c r="CN243" s="886">
        <v>0</v>
      </c>
      <c r="CO243" s="886">
        <v>0</v>
      </c>
      <c r="CP243" s="648">
        <f t="shared" si="103"/>
        <v>0</v>
      </c>
      <c r="CQ243" s="648">
        <f t="shared" si="104"/>
        <v>0</v>
      </c>
      <c r="CR243" s="648">
        <f t="shared" si="105"/>
        <v>0</v>
      </c>
      <c r="CS243" s="648">
        <f t="shared" si="106"/>
        <v>0</v>
      </c>
      <c r="CT243" s="648">
        <f t="shared" si="107"/>
        <v>0</v>
      </c>
      <c r="CU243" s="648">
        <f t="shared" si="108"/>
        <v>0</v>
      </c>
      <c r="CV243" s="648">
        <f t="shared" si="109"/>
        <v>0</v>
      </c>
      <c r="CW243" s="648">
        <f t="shared" si="110"/>
        <v>0</v>
      </c>
      <c r="CX243" s="634">
        <v>0</v>
      </c>
      <c r="CY243" s="616"/>
      <c r="CZ243" s="619">
        <f>IF(BN244=0,0,             IF(ISNUMBER(CY243),CY243,             IF(ISTEXT(CY243),INDEX(CP243:CW243,MATCH(CY243,$CP$17:$CW$17,0)),           IF(CX243="INT",_xll.qInterp(BN244,BZ243:CG243,CP243:CW243),       INDEX(CP243:CW243,MATCH(CX243,$CP$17:$CW$17,0))))))</f>
        <v>0</v>
      </c>
      <c r="DA243" s="755">
        <f t="shared" si="111"/>
        <v>0</v>
      </c>
      <c r="DB243" s="387">
        <f t="shared" si="112"/>
        <v>0</v>
      </c>
      <c r="DC243" s="268">
        <f>IF($BN244=0,0,         IF(LEFT(DCC_Leg2_Fixed,2)="1/",uEvaluate(DCC_Leg2_Fixed),         _xll.qDateYears($BN243,$BN244,DCC_Leg2_Fixed)))</f>
        <v>0</v>
      </c>
      <c r="DD243" s="268">
        <f>IF($BN244,_xll.qDateYears($BN243,$BN244,DCC_Leg2_Float),0)</f>
        <v>0</v>
      </c>
      <c r="DF243" s="332">
        <f t="shared" si="127"/>
        <v>0</v>
      </c>
      <c r="DG243" s="357">
        <f t="shared" si="128"/>
        <v>0</v>
      </c>
      <c r="DH243" s="527"/>
      <c r="DJ243" s="324">
        <f t="shared" si="130"/>
        <v>0</v>
      </c>
      <c r="DK243" s="529"/>
      <c r="DL243" s="338"/>
    </row>
    <row r="244" spans="15:116">
      <c r="O244" s="121">
        <v>0</v>
      </c>
      <c r="P244" s="755">
        <f t="shared" si="99"/>
        <v>0</v>
      </c>
      <c r="Q244" s="125">
        <v>0</v>
      </c>
      <c r="R244" s="890">
        <f>IF(O245=0,0,         IF(OR(Currency1="AUD",Currency1="NZD",Currency1="GBP"),O244,   _xll.qDateNext(O244,"-2b",,,IF(Currency1="EUR","TGT","LON"))))</f>
        <v>0</v>
      </c>
      <c r="S244" s="879" t="str">
        <v/>
      </c>
      <c r="T244" s="879" t="str">
        <v/>
      </c>
      <c r="U244" s="879" t="str">
        <v/>
      </c>
      <c r="V244" s="879" t="str">
        <v/>
      </c>
      <c r="W244" s="879" t="str">
        <v/>
      </c>
      <c r="X244" s="879" t="str">
        <v/>
      </c>
      <c r="Y244" s="879" t="str">
        <v/>
      </c>
      <c r="Z244" s="879" t="str">
        <v/>
      </c>
      <c r="AA244" s="882">
        <f>IF($O245=0,0,        _xll.qDateNext($O244,AA$17,$AH$16,TRUE,Currency1))</f>
        <v>0</v>
      </c>
      <c r="AB244" s="882">
        <f>IF($O245=0,0,        _xll.qDateNext($O244,AB$17,$AH$16,TRUE,Currency1))</f>
        <v>0</v>
      </c>
      <c r="AC244" s="882">
        <f>IF($O245=0,0,        _xll.qDateNext($O244,AC$17,$AH$16,TRUE,Currency1))</f>
        <v>0</v>
      </c>
      <c r="AD244" s="882">
        <f>IF($O245=0,0,        _xll.qDateNext($O244,AD$17,$AH$16,TRUE,Currency1))</f>
        <v>0</v>
      </c>
      <c r="AE244" s="882">
        <f>IF($O245=0,0,        _xll.qDateNext($O244,AE$17,$AH$16,TRUE,Currency1))</f>
        <v>0</v>
      </c>
      <c r="AF244" s="882">
        <f>IF($O245=0,0,        _xll.qDateNext($O244,AF$17,$AH$16,TRUE,Currency1))</f>
        <v>0</v>
      </c>
      <c r="AG244" s="882">
        <f>IF($O245=0,0,        _xll.qDateNext($O244,AG$17,$AH$16,TRUE,Currency1))</f>
        <v>0</v>
      </c>
      <c r="AH244" s="882">
        <f>IF($O245=0,0,        _xll.qDateNext($O244,AH$17,$AH$16,TRUE,Currency1))</f>
        <v>0</v>
      </c>
      <c r="AI244" s="886">
        <f>IF($O245=0,0,           IF(FRM,_xll.qGetFwdRate(AI$14,$O244,AA244,"T",DCC_Leg1_Float),_xll.qGetFwdRate(AI$14,$O244,$O245,"T",DCC_Leg1_Float)))</f>
        <v>0</v>
      </c>
      <c r="AJ244" s="886">
        <f>IF($O245=0,0,           IF(FRM,_xll.qGetFwdRate(AJ$14,$O244,AB244,"T",DCC_Leg1_Float),_xll.qGetFwdRate(AJ$14,$O244,$O245,"T",DCC_Leg1_Float)))</f>
        <v>0</v>
      </c>
      <c r="AK244" s="886">
        <f t="shared" si="100"/>
        <v>0</v>
      </c>
      <c r="AL244" s="886">
        <f>IF($O245=0,0,           IF(FRM,_xll.qGetFwdRate(AL$14,$O244,AD244,"T",DCC_Leg1_Float),_xll.qGetFwdRate(AL$14,$O244,$O245,"T",DCC_Leg1_Float)))</f>
        <v>0</v>
      </c>
      <c r="AM244" s="886">
        <f t="shared" si="113"/>
        <v>0</v>
      </c>
      <c r="AN244" s="886">
        <f t="shared" si="114"/>
        <v>0</v>
      </c>
      <c r="AO244" s="886">
        <f>IF($O245=0,0,           IF(FRM,_xll.qGetFwdRate(AO$14,$O244,AG244,"T",DCC_Leg1_Float),_xll.qGetFwdRate(AO$14,$O244,$O245,"T",DCC_Leg1_Float)))</f>
        <v>0</v>
      </c>
      <c r="AP244" s="886">
        <f>IF($O245=0,0,           IF(FRM,_xll.qGetFwdRate(AP$14,$O244,AH244,"T",DCC_Leg1_Float),_xll.qGetFwdRate(AP$14,$O244,$O245,"T",DCC_Leg1_Float)))</f>
        <v>0</v>
      </c>
      <c r="AQ244" s="648">
        <f t="shared" si="115"/>
        <v>0</v>
      </c>
      <c r="AR244" s="648">
        <f t="shared" si="116"/>
        <v>0</v>
      </c>
      <c r="AS244" s="648">
        <f t="shared" si="117"/>
        <v>0</v>
      </c>
      <c r="AT244" s="648">
        <f t="shared" si="118"/>
        <v>0</v>
      </c>
      <c r="AU244" s="648">
        <f t="shared" si="119"/>
        <v>0</v>
      </c>
      <c r="AV244" s="648">
        <f t="shared" si="120"/>
        <v>0</v>
      </c>
      <c r="AW244" s="648">
        <f t="shared" si="121"/>
        <v>0</v>
      </c>
      <c r="AX244" s="648">
        <f t="shared" si="122"/>
        <v>0</v>
      </c>
      <c r="AY244" s="634">
        <v>0</v>
      </c>
      <c r="AZ244" s="616"/>
      <c r="BA244" s="619">
        <f>IF(O245=0,0,             IF(ISNUMBER(AZ244),AZ244,             IF(ISTEXT(AZ244),INDEX(AQ244:AX244,MATCH(AZ244,$AQ$17:$AX$17,0)),           IF(AY244="INT",_xll.qInterp(O245,AA244:AH244,AQ244:AX244),       INDEX(AQ244:AX244,MATCH(AY244,$AQ$17:$AX$17,0))))))</f>
        <v>0</v>
      </c>
      <c r="BB244" s="674">
        <v>100</v>
      </c>
      <c r="BC244" s="666">
        <f t="shared" si="101"/>
        <v>0</v>
      </c>
      <c r="BD244" s="268">
        <f>IF($O245=0,0,                IF(LEFT(DCC_Leg1_Fixed,2)="1/",uEvaluate(DCC_Leg1_Fixed),        _xll.qDateYears($O244,$O245,DCC_Leg1_Fixed)))</f>
        <v>0</v>
      </c>
      <c r="BE244" s="268">
        <f>IF($O245,_xll.qDateYears($O244,$O245,DCC_Leg1_Float),0)</f>
        <v>0</v>
      </c>
      <c r="BG244" s="332">
        <f t="shared" si="123"/>
        <v>0</v>
      </c>
      <c r="BH244" s="357">
        <f t="shared" si="124"/>
        <v>0</v>
      </c>
      <c r="BI244" s="527"/>
      <c r="BK244" s="324">
        <f t="shared" si="129"/>
        <v>0</v>
      </c>
      <c r="BM244" s="338"/>
      <c r="BN244" s="121">
        <v>0</v>
      </c>
      <c r="BO244" s="755">
        <f t="shared" si="102"/>
        <v>0</v>
      </c>
      <c r="BP244" s="339">
        <v>0</v>
      </c>
      <c r="BQ244" s="890">
        <f>IF(BN245=0,0,         IF(OR(Currency2="AUD",Currency1="NZD",Currency2="GBP"),BN244,   _xll.qDateNext(BN244,"-2b",,,IF(Currency2="EUR","TGT","LON"))))</f>
        <v>0</v>
      </c>
      <c r="BR244" s="879" t="str">
        <v/>
      </c>
      <c r="BS244" s="879" t="str">
        <v/>
      </c>
      <c r="BT244" s="879" t="str">
        <v/>
      </c>
      <c r="BU244" s="879" t="str">
        <v/>
      </c>
      <c r="BV244" s="879" t="str">
        <v/>
      </c>
      <c r="BW244" s="879" t="str">
        <v/>
      </c>
      <c r="BX244" s="879" t="str">
        <v/>
      </c>
      <c r="BY244" s="879" t="str">
        <v/>
      </c>
      <c r="BZ244" s="882">
        <f>IF($BN245=0,0,        _xll.qDateNext($BN244,BZ$17,$CG$16,TRUE,Currency2))</f>
        <v>0</v>
      </c>
      <c r="CA244" s="882">
        <f>IF($BN245=0,0,        _xll.qDateNext($BN244,CA$17,$CG$16,TRUE,Currency2))</f>
        <v>0</v>
      </c>
      <c r="CB244" s="882">
        <f>IF($BN245=0,0,        _xll.qDateNext($BN244,CB$17,$CG$16,TRUE,Currency2))</f>
        <v>0</v>
      </c>
      <c r="CC244" s="882">
        <f>IF($BN245=0,0,        _xll.qDateNext($BN244,CC$17,$CG$16,TRUE,Currency2))</f>
        <v>0</v>
      </c>
      <c r="CD244" s="882">
        <f>IF($BN245=0,0,        _xll.qDateNext($BN244,CD$17,$CG$16,TRUE,Currency2))</f>
        <v>0</v>
      </c>
      <c r="CE244" s="882">
        <f>IF($BN245=0,0,        _xll.qDateNext($BN244,CE$17,$CG$16,TRUE,Currency2))</f>
        <v>0</v>
      </c>
      <c r="CF244" s="882">
        <f>IF($BN245=0,0,        _xll.qDateNext($BN244,CF$17,$CG$16,TRUE,Currency2))</f>
        <v>0</v>
      </c>
      <c r="CG244" s="882">
        <f>IF($BN245=0,0,        _xll.qDateNext($BN244,CG$17,$CG$16,TRUE,Currency2))</f>
        <v>0</v>
      </c>
      <c r="CH244" s="886">
        <v>0</v>
      </c>
      <c r="CI244" s="886">
        <v>0</v>
      </c>
      <c r="CJ244" s="886">
        <v>0</v>
      </c>
      <c r="CK244" s="886">
        <v>0</v>
      </c>
      <c r="CL244" s="886">
        <f t="shared" si="125"/>
        <v>0</v>
      </c>
      <c r="CM244" s="886">
        <f t="shared" si="126"/>
        <v>0</v>
      </c>
      <c r="CN244" s="886">
        <v>0</v>
      </c>
      <c r="CO244" s="886">
        <v>0</v>
      </c>
      <c r="CP244" s="648">
        <f t="shared" si="103"/>
        <v>0</v>
      </c>
      <c r="CQ244" s="648">
        <f t="shared" si="104"/>
        <v>0</v>
      </c>
      <c r="CR244" s="648">
        <f t="shared" si="105"/>
        <v>0</v>
      </c>
      <c r="CS244" s="648">
        <f t="shared" si="106"/>
        <v>0</v>
      </c>
      <c r="CT244" s="648">
        <f t="shared" si="107"/>
        <v>0</v>
      </c>
      <c r="CU244" s="648">
        <f t="shared" si="108"/>
        <v>0</v>
      </c>
      <c r="CV244" s="648">
        <f t="shared" si="109"/>
        <v>0</v>
      </c>
      <c r="CW244" s="648">
        <f t="shared" si="110"/>
        <v>0</v>
      </c>
      <c r="CX244" s="634">
        <v>0</v>
      </c>
      <c r="CY244" s="616"/>
      <c r="CZ244" s="619">
        <f>IF(BN245=0,0,             IF(ISNUMBER(CY244),CY244,             IF(ISTEXT(CY244),INDEX(CP244:CW244,MATCH(CY244,$CP$17:$CW$17,0)),           IF(CX244="INT",_xll.qInterp(BN245,BZ244:CG244,CP244:CW244),       INDEX(CP244:CW244,MATCH(CX244,$CP$17:$CW$17,0))))))</f>
        <v>0</v>
      </c>
      <c r="DA244" s="755">
        <f t="shared" si="111"/>
        <v>0</v>
      </c>
      <c r="DB244" s="387">
        <f t="shared" si="112"/>
        <v>0</v>
      </c>
      <c r="DC244" s="268">
        <f>IF($BN245=0,0,         IF(LEFT(DCC_Leg2_Fixed,2)="1/",uEvaluate(DCC_Leg2_Fixed),         _xll.qDateYears($BN244,$BN245,DCC_Leg2_Fixed)))</f>
        <v>0</v>
      </c>
      <c r="DD244" s="268">
        <f>IF($BN245,_xll.qDateYears($BN244,$BN245,DCC_Leg2_Float),0)</f>
        <v>0</v>
      </c>
      <c r="DF244" s="332">
        <f t="shared" si="127"/>
        <v>0</v>
      </c>
      <c r="DG244" s="357">
        <f t="shared" si="128"/>
        <v>0</v>
      </c>
      <c r="DH244" s="527"/>
      <c r="DJ244" s="324">
        <f t="shared" si="130"/>
        <v>0</v>
      </c>
      <c r="DK244" s="529"/>
      <c r="DL244" s="338"/>
    </row>
    <row r="245" spans="15:116">
      <c r="O245" s="121">
        <v>0</v>
      </c>
      <c r="P245" s="755">
        <f t="shared" si="99"/>
        <v>0</v>
      </c>
      <c r="Q245" s="125">
        <v>0</v>
      </c>
      <c r="R245" s="890">
        <f>IF(O246=0,0,         IF(OR(Currency1="AUD",Currency1="NZD",Currency1="GBP"),O245,   _xll.qDateNext(O245,"-2b",,,IF(Currency1="EUR","TGT","LON"))))</f>
        <v>0</v>
      </c>
      <c r="S245" s="879" t="str">
        <v/>
      </c>
      <c r="T245" s="879" t="str">
        <v/>
      </c>
      <c r="U245" s="879" t="str">
        <v/>
      </c>
      <c r="V245" s="879" t="str">
        <v/>
      </c>
      <c r="W245" s="879" t="str">
        <v/>
      </c>
      <c r="X245" s="879" t="str">
        <v/>
      </c>
      <c r="Y245" s="879" t="str">
        <v/>
      </c>
      <c r="Z245" s="879" t="str">
        <v/>
      </c>
      <c r="AA245" s="882">
        <f>IF($O246=0,0,        _xll.qDateNext($O245,AA$17,$AH$16,TRUE,Currency1))</f>
        <v>0</v>
      </c>
      <c r="AB245" s="882">
        <f>IF($O246=0,0,        _xll.qDateNext($O245,AB$17,$AH$16,TRUE,Currency1))</f>
        <v>0</v>
      </c>
      <c r="AC245" s="882">
        <f>IF($O246=0,0,        _xll.qDateNext($O245,AC$17,$AH$16,TRUE,Currency1))</f>
        <v>0</v>
      </c>
      <c r="AD245" s="882">
        <f>IF($O246=0,0,        _xll.qDateNext($O245,AD$17,$AH$16,TRUE,Currency1))</f>
        <v>0</v>
      </c>
      <c r="AE245" s="882">
        <f>IF($O246=0,0,        _xll.qDateNext($O245,AE$17,$AH$16,TRUE,Currency1))</f>
        <v>0</v>
      </c>
      <c r="AF245" s="882">
        <f>IF($O246=0,0,        _xll.qDateNext($O245,AF$17,$AH$16,TRUE,Currency1))</f>
        <v>0</v>
      </c>
      <c r="AG245" s="882">
        <f>IF($O246=0,0,        _xll.qDateNext($O245,AG$17,$AH$16,TRUE,Currency1))</f>
        <v>0</v>
      </c>
      <c r="AH245" s="882">
        <f>IF($O246=0,0,        _xll.qDateNext($O245,AH$17,$AH$16,TRUE,Currency1))</f>
        <v>0</v>
      </c>
      <c r="AI245" s="886">
        <f>IF($O246=0,0,           IF(FRM,_xll.qGetFwdRate(AI$14,$O245,AA245,"T",DCC_Leg1_Float),_xll.qGetFwdRate(AI$14,$O245,$O246,"T",DCC_Leg1_Float)))</f>
        <v>0</v>
      </c>
      <c r="AJ245" s="886">
        <f>IF($O246=0,0,           IF(FRM,_xll.qGetFwdRate(AJ$14,$O245,AB245,"T",DCC_Leg1_Float),_xll.qGetFwdRate(AJ$14,$O245,$O246,"T",DCC_Leg1_Float)))</f>
        <v>0</v>
      </c>
      <c r="AK245" s="886">
        <f t="shared" si="100"/>
        <v>0</v>
      </c>
      <c r="AL245" s="886">
        <f>IF($O246=0,0,           IF(FRM,_xll.qGetFwdRate(AL$14,$O245,AD245,"T",DCC_Leg1_Float),_xll.qGetFwdRate(AL$14,$O245,$O246,"T",DCC_Leg1_Float)))</f>
        <v>0</v>
      </c>
      <c r="AM245" s="886">
        <f t="shared" si="113"/>
        <v>0</v>
      </c>
      <c r="AN245" s="886">
        <f t="shared" si="114"/>
        <v>0</v>
      </c>
      <c r="AO245" s="886">
        <f>IF($O246=0,0,           IF(FRM,_xll.qGetFwdRate(AO$14,$O245,AG245,"T",DCC_Leg1_Float),_xll.qGetFwdRate(AO$14,$O245,$O246,"T",DCC_Leg1_Float)))</f>
        <v>0</v>
      </c>
      <c r="AP245" s="886">
        <f>IF($O246=0,0,           IF(FRM,_xll.qGetFwdRate(AP$14,$O245,AH245,"T",DCC_Leg1_Float),_xll.qGetFwdRate(AP$14,$O245,$O246,"T",DCC_Leg1_Float)))</f>
        <v>0</v>
      </c>
      <c r="AQ245" s="648">
        <f t="shared" si="115"/>
        <v>0</v>
      </c>
      <c r="AR245" s="648">
        <f t="shared" si="116"/>
        <v>0</v>
      </c>
      <c r="AS245" s="648">
        <f t="shared" si="117"/>
        <v>0</v>
      </c>
      <c r="AT245" s="648">
        <f t="shared" si="118"/>
        <v>0</v>
      </c>
      <c r="AU245" s="648">
        <f t="shared" si="119"/>
        <v>0</v>
      </c>
      <c r="AV245" s="648">
        <f t="shared" si="120"/>
        <v>0</v>
      </c>
      <c r="AW245" s="648">
        <f t="shared" si="121"/>
        <v>0</v>
      </c>
      <c r="AX245" s="648">
        <f t="shared" si="122"/>
        <v>0</v>
      </c>
      <c r="AY245" s="634">
        <v>0</v>
      </c>
      <c r="AZ245" s="616"/>
      <c r="BA245" s="619">
        <f>IF(O246=0,0,             IF(ISNUMBER(AZ245),AZ245,             IF(ISTEXT(AZ245),INDEX(AQ245:AX245,MATCH(AZ245,$AQ$17:$AX$17,0)),           IF(AY245="INT",_xll.qInterp(O246,AA245:AH245,AQ245:AX245),       INDEX(AQ245:AX245,MATCH(AY245,$AQ$17:$AX$17,0))))))</f>
        <v>0</v>
      </c>
      <c r="BB245" s="674">
        <v>100</v>
      </c>
      <c r="BC245" s="666">
        <f t="shared" si="101"/>
        <v>0</v>
      </c>
      <c r="BD245" s="268">
        <f>IF($O246=0,0,                IF(LEFT(DCC_Leg1_Fixed,2)="1/",uEvaluate(DCC_Leg1_Fixed),        _xll.qDateYears($O245,$O246,DCC_Leg1_Fixed)))</f>
        <v>0</v>
      </c>
      <c r="BE245" s="268">
        <f>IF($O246,_xll.qDateYears($O245,$O246,DCC_Leg1_Float),0)</f>
        <v>0</v>
      </c>
      <c r="BG245" s="332">
        <f t="shared" si="123"/>
        <v>0</v>
      </c>
      <c r="BH245" s="357">
        <f t="shared" si="124"/>
        <v>0</v>
      </c>
      <c r="BI245" s="527"/>
      <c r="BK245" s="324">
        <f t="shared" si="129"/>
        <v>0</v>
      </c>
      <c r="BM245" s="338"/>
      <c r="BN245" s="121">
        <v>0</v>
      </c>
      <c r="BO245" s="755">
        <f t="shared" si="102"/>
        <v>0</v>
      </c>
      <c r="BP245" s="339">
        <v>0</v>
      </c>
      <c r="BQ245" s="890">
        <f>IF(BN246=0,0,         IF(OR(Currency2="AUD",Currency1="NZD",Currency2="GBP"),BN245,   _xll.qDateNext(BN245,"-2b",,,IF(Currency2="EUR","TGT","LON"))))</f>
        <v>0</v>
      </c>
      <c r="BR245" s="879" t="str">
        <v/>
      </c>
      <c r="BS245" s="879" t="str">
        <v/>
      </c>
      <c r="BT245" s="879" t="str">
        <v/>
      </c>
      <c r="BU245" s="879" t="str">
        <v/>
      </c>
      <c r="BV245" s="879" t="str">
        <v/>
      </c>
      <c r="BW245" s="879" t="str">
        <v/>
      </c>
      <c r="BX245" s="879" t="str">
        <v/>
      </c>
      <c r="BY245" s="879" t="str">
        <v/>
      </c>
      <c r="BZ245" s="882">
        <f>IF($BN246=0,0,        _xll.qDateNext($BN245,BZ$17,$CG$16,TRUE,Currency2))</f>
        <v>0</v>
      </c>
      <c r="CA245" s="882">
        <f>IF($BN246=0,0,        _xll.qDateNext($BN245,CA$17,$CG$16,TRUE,Currency2))</f>
        <v>0</v>
      </c>
      <c r="CB245" s="882">
        <f>IF($BN246=0,0,        _xll.qDateNext($BN245,CB$17,$CG$16,TRUE,Currency2))</f>
        <v>0</v>
      </c>
      <c r="CC245" s="882">
        <f>IF($BN246=0,0,        _xll.qDateNext($BN245,CC$17,$CG$16,TRUE,Currency2))</f>
        <v>0</v>
      </c>
      <c r="CD245" s="882">
        <f>IF($BN246=0,0,        _xll.qDateNext($BN245,CD$17,$CG$16,TRUE,Currency2))</f>
        <v>0</v>
      </c>
      <c r="CE245" s="882">
        <f>IF($BN246=0,0,        _xll.qDateNext($BN245,CE$17,$CG$16,TRUE,Currency2))</f>
        <v>0</v>
      </c>
      <c r="CF245" s="882">
        <f>IF($BN246=0,0,        _xll.qDateNext($BN245,CF$17,$CG$16,TRUE,Currency2))</f>
        <v>0</v>
      </c>
      <c r="CG245" s="882">
        <f>IF($BN246=0,0,        _xll.qDateNext($BN245,CG$17,$CG$16,TRUE,Currency2))</f>
        <v>0</v>
      </c>
      <c r="CH245" s="886">
        <v>0</v>
      </c>
      <c r="CI245" s="886">
        <v>0</v>
      </c>
      <c r="CJ245" s="886">
        <v>0</v>
      </c>
      <c r="CK245" s="886">
        <v>0</v>
      </c>
      <c r="CL245" s="886">
        <f t="shared" si="125"/>
        <v>0</v>
      </c>
      <c r="CM245" s="886">
        <f t="shared" si="126"/>
        <v>0</v>
      </c>
      <c r="CN245" s="886">
        <v>0</v>
      </c>
      <c r="CO245" s="886">
        <v>0</v>
      </c>
      <c r="CP245" s="648">
        <f t="shared" si="103"/>
        <v>0</v>
      </c>
      <c r="CQ245" s="648">
        <f t="shared" si="104"/>
        <v>0</v>
      </c>
      <c r="CR245" s="648">
        <f t="shared" si="105"/>
        <v>0</v>
      </c>
      <c r="CS245" s="648">
        <f t="shared" si="106"/>
        <v>0</v>
      </c>
      <c r="CT245" s="648">
        <f t="shared" si="107"/>
        <v>0</v>
      </c>
      <c r="CU245" s="648">
        <f t="shared" si="108"/>
        <v>0</v>
      </c>
      <c r="CV245" s="648">
        <f t="shared" si="109"/>
        <v>0</v>
      </c>
      <c r="CW245" s="648">
        <f t="shared" si="110"/>
        <v>0</v>
      </c>
      <c r="CX245" s="634">
        <v>0</v>
      </c>
      <c r="CY245" s="616"/>
      <c r="CZ245" s="619">
        <f>IF(BN246=0,0,             IF(ISNUMBER(CY245),CY245,             IF(ISTEXT(CY245),INDEX(CP245:CW245,MATCH(CY245,$CP$17:$CW$17,0)),           IF(CX245="INT",_xll.qInterp(BN246,BZ245:CG245,CP245:CW245),       INDEX(CP245:CW245,MATCH(CX245,$CP$17:$CW$17,0))))))</f>
        <v>0</v>
      </c>
      <c r="DA245" s="755">
        <f t="shared" si="111"/>
        <v>0</v>
      </c>
      <c r="DB245" s="387">
        <f t="shared" si="112"/>
        <v>0</v>
      </c>
      <c r="DC245" s="268">
        <f>IF($BN246=0,0,         IF(LEFT(DCC_Leg2_Fixed,2)="1/",uEvaluate(DCC_Leg2_Fixed),         _xll.qDateYears($BN245,$BN246,DCC_Leg2_Fixed)))</f>
        <v>0</v>
      </c>
      <c r="DD245" s="268">
        <f>IF($BN246,_xll.qDateYears($BN245,$BN246,DCC_Leg2_Float),0)</f>
        <v>0</v>
      </c>
      <c r="DF245" s="332">
        <f t="shared" si="127"/>
        <v>0</v>
      </c>
      <c r="DG245" s="357">
        <f t="shared" si="128"/>
        <v>0</v>
      </c>
      <c r="DH245" s="527"/>
      <c r="DJ245" s="324">
        <f t="shared" si="130"/>
        <v>0</v>
      </c>
      <c r="DK245" s="529"/>
      <c r="DL245" s="338"/>
    </row>
    <row r="246" spans="15:116">
      <c r="O246" s="121">
        <v>0</v>
      </c>
      <c r="P246" s="755">
        <f t="shared" si="99"/>
        <v>0</v>
      </c>
      <c r="Q246" s="125">
        <v>0</v>
      </c>
      <c r="R246" s="890">
        <f>IF(O247=0,0,         IF(OR(Currency1="AUD",Currency1="NZD",Currency1="GBP"),O246,   _xll.qDateNext(O246,"-2b",,,IF(Currency1="EUR","TGT","LON"))))</f>
        <v>0</v>
      </c>
      <c r="S246" s="879" t="str">
        <v/>
      </c>
      <c r="T246" s="879" t="str">
        <v/>
      </c>
      <c r="U246" s="879" t="str">
        <v/>
      </c>
      <c r="V246" s="879" t="str">
        <v/>
      </c>
      <c r="W246" s="879" t="str">
        <v/>
      </c>
      <c r="X246" s="879" t="str">
        <v/>
      </c>
      <c r="Y246" s="879" t="str">
        <v/>
      </c>
      <c r="Z246" s="879" t="str">
        <v/>
      </c>
      <c r="AA246" s="882">
        <f>IF($O247=0,0,        _xll.qDateNext($O246,AA$17,$AH$16,TRUE,Currency1))</f>
        <v>0</v>
      </c>
      <c r="AB246" s="882">
        <f>IF($O247=0,0,        _xll.qDateNext($O246,AB$17,$AH$16,TRUE,Currency1))</f>
        <v>0</v>
      </c>
      <c r="AC246" s="882">
        <f>IF($O247=0,0,        _xll.qDateNext($O246,AC$17,$AH$16,TRUE,Currency1))</f>
        <v>0</v>
      </c>
      <c r="AD246" s="882">
        <f>IF($O247=0,0,        _xll.qDateNext($O246,AD$17,$AH$16,TRUE,Currency1))</f>
        <v>0</v>
      </c>
      <c r="AE246" s="882">
        <f>IF($O247=0,0,        _xll.qDateNext($O246,AE$17,$AH$16,TRUE,Currency1))</f>
        <v>0</v>
      </c>
      <c r="AF246" s="882">
        <f>IF($O247=0,0,        _xll.qDateNext($O246,AF$17,$AH$16,TRUE,Currency1))</f>
        <v>0</v>
      </c>
      <c r="AG246" s="882">
        <f>IF($O247=0,0,        _xll.qDateNext($O246,AG$17,$AH$16,TRUE,Currency1))</f>
        <v>0</v>
      </c>
      <c r="AH246" s="882">
        <f>IF($O247=0,0,        _xll.qDateNext($O246,AH$17,$AH$16,TRUE,Currency1))</f>
        <v>0</v>
      </c>
      <c r="AI246" s="886">
        <f>IF($O247=0,0,           IF(FRM,_xll.qGetFwdRate(AI$14,$O246,AA246,"T",DCC_Leg1_Float),_xll.qGetFwdRate(AI$14,$O246,$O247,"T",DCC_Leg1_Float)))</f>
        <v>0</v>
      </c>
      <c r="AJ246" s="886">
        <f>IF($O247=0,0,           IF(FRM,_xll.qGetFwdRate(AJ$14,$O246,AB246,"T",DCC_Leg1_Float),_xll.qGetFwdRate(AJ$14,$O246,$O247,"T",DCC_Leg1_Float)))</f>
        <v>0</v>
      </c>
      <c r="AK246" s="886">
        <f t="shared" si="100"/>
        <v>0</v>
      </c>
      <c r="AL246" s="886">
        <f>IF($O247=0,0,           IF(FRM,_xll.qGetFwdRate(AL$14,$O246,AD246,"T",DCC_Leg1_Float),_xll.qGetFwdRate(AL$14,$O246,$O247,"T",DCC_Leg1_Float)))</f>
        <v>0</v>
      </c>
      <c r="AM246" s="886">
        <f t="shared" si="113"/>
        <v>0</v>
      </c>
      <c r="AN246" s="886">
        <f t="shared" si="114"/>
        <v>0</v>
      </c>
      <c r="AO246" s="886">
        <f>IF($O247=0,0,           IF(FRM,_xll.qGetFwdRate(AO$14,$O246,AG246,"T",DCC_Leg1_Float),_xll.qGetFwdRate(AO$14,$O246,$O247,"T",DCC_Leg1_Float)))</f>
        <v>0</v>
      </c>
      <c r="AP246" s="886">
        <f>IF($O247=0,0,           IF(FRM,_xll.qGetFwdRate(AP$14,$O246,AH246,"T",DCC_Leg1_Float),_xll.qGetFwdRate(AP$14,$O246,$O247,"T",DCC_Leg1_Float)))</f>
        <v>0</v>
      </c>
      <c r="AQ246" s="648">
        <f t="shared" si="115"/>
        <v>0</v>
      </c>
      <c r="AR246" s="648">
        <f t="shared" si="116"/>
        <v>0</v>
      </c>
      <c r="AS246" s="648">
        <f t="shared" si="117"/>
        <v>0</v>
      </c>
      <c r="AT246" s="648">
        <f t="shared" si="118"/>
        <v>0</v>
      </c>
      <c r="AU246" s="648">
        <f t="shared" si="119"/>
        <v>0</v>
      </c>
      <c r="AV246" s="648">
        <f t="shared" si="120"/>
        <v>0</v>
      </c>
      <c r="AW246" s="648">
        <f t="shared" si="121"/>
        <v>0</v>
      </c>
      <c r="AX246" s="648">
        <f t="shared" si="122"/>
        <v>0</v>
      </c>
      <c r="AY246" s="634">
        <v>0</v>
      </c>
      <c r="AZ246" s="616"/>
      <c r="BA246" s="619">
        <f>IF(O247=0,0,             IF(ISNUMBER(AZ246),AZ246,             IF(ISTEXT(AZ246),INDEX(AQ246:AX246,MATCH(AZ246,$AQ$17:$AX$17,0)),           IF(AY246="INT",_xll.qInterp(O247,AA246:AH246,AQ246:AX246),       INDEX(AQ246:AX246,MATCH(AY246,$AQ$17:$AX$17,0))))))</f>
        <v>0</v>
      </c>
      <c r="BB246" s="674">
        <v>100</v>
      </c>
      <c r="BC246" s="666">
        <f t="shared" si="101"/>
        <v>0</v>
      </c>
      <c r="BD246" s="268">
        <f>IF($O247=0,0,                IF(LEFT(DCC_Leg1_Fixed,2)="1/",uEvaluate(DCC_Leg1_Fixed),        _xll.qDateYears($O246,$O247,DCC_Leg1_Fixed)))</f>
        <v>0</v>
      </c>
      <c r="BE246" s="268">
        <f>IF($O247,_xll.qDateYears($O246,$O247,DCC_Leg1_Float),0)</f>
        <v>0</v>
      </c>
      <c r="BG246" s="332">
        <f t="shared" si="123"/>
        <v>0</v>
      </c>
      <c r="BH246" s="357">
        <f t="shared" si="124"/>
        <v>0</v>
      </c>
      <c r="BI246" s="527"/>
      <c r="BK246" s="324">
        <f t="shared" si="129"/>
        <v>0</v>
      </c>
      <c r="BM246" s="338"/>
      <c r="BN246" s="121">
        <v>0</v>
      </c>
      <c r="BO246" s="755">
        <f t="shared" si="102"/>
        <v>0</v>
      </c>
      <c r="BP246" s="339">
        <v>0</v>
      </c>
      <c r="BQ246" s="890">
        <f>IF(BN247=0,0,         IF(OR(Currency2="AUD",Currency1="NZD",Currency2="GBP"),BN246,   _xll.qDateNext(BN246,"-2b",,,IF(Currency2="EUR","TGT","LON"))))</f>
        <v>0</v>
      </c>
      <c r="BR246" s="879" t="str">
        <v/>
      </c>
      <c r="BS246" s="879" t="str">
        <v/>
      </c>
      <c r="BT246" s="879" t="str">
        <v/>
      </c>
      <c r="BU246" s="879" t="str">
        <v/>
      </c>
      <c r="BV246" s="879" t="str">
        <v/>
      </c>
      <c r="BW246" s="879" t="str">
        <v/>
      </c>
      <c r="BX246" s="879" t="str">
        <v/>
      </c>
      <c r="BY246" s="879" t="str">
        <v/>
      </c>
      <c r="BZ246" s="882">
        <f>IF($BN247=0,0,        _xll.qDateNext($BN246,BZ$17,$CG$16,TRUE,Currency2))</f>
        <v>0</v>
      </c>
      <c r="CA246" s="882">
        <f>IF($BN247=0,0,        _xll.qDateNext($BN246,CA$17,$CG$16,TRUE,Currency2))</f>
        <v>0</v>
      </c>
      <c r="CB246" s="882">
        <f>IF($BN247=0,0,        _xll.qDateNext($BN246,CB$17,$CG$16,TRUE,Currency2))</f>
        <v>0</v>
      </c>
      <c r="CC246" s="882">
        <f>IF($BN247=0,0,        _xll.qDateNext($BN246,CC$17,$CG$16,TRUE,Currency2))</f>
        <v>0</v>
      </c>
      <c r="CD246" s="882">
        <f>IF($BN247=0,0,        _xll.qDateNext($BN246,CD$17,$CG$16,TRUE,Currency2))</f>
        <v>0</v>
      </c>
      <c r="CE246" s="882">
        <f>IF($BN247=0,0,        _xll.qDateNext($BN246,CE$17,$CG$16,TRUE,Currency2))</f>
        <v>0</v>
      </c>
      <c r="CF246" s="882">
        <f>IF($BN247=0,0,        _xll.qDateNext($BN246,CF$17,$CG$16,TRUE,Currency2))</f>
        <v>0</v>
      </c>
      <c r="CG246" s="882">
        <f>IF($BN247=0,0,        _xll.qDateNext($BN246,CG$17,$CG$16,TRUE,Currency2))</f>
        <v>0</v>
      </c>
      <c r="CH246" s="886">
        <v>0</v>
      </c>
      <c r="CI246" s="886">
        <v>0</v>
      </c>
      <c r="CJ246" s="886">
        <v>0</v>
      </c>
      <c r="CK246" s="886">
        <v>0</v>
      </c>
      <c r="CL246" s="886">
        <f t="shared" si="125"/>
        <v>0</v>
      </c>
      <c r="CM246" s="886">
        <f t="shared" si="126"/>
        <v>0</v>
      </c>
      <c r="CN246" s="886">
        <v>0</v>
      </c>
      <c r="CO246" s="886">
        <v>0</v>
      </c>
      <c r="CP246" s="648">
        <f t="shared" si="103"/>
        <v>0</v>
      </c>
      <c r="CQ246" s="648">
        <f t="shared" si="104"/>
        <v>0</v>
      </c>
      <c r="CR246" s="648">
        <f t="shared" si="105"/>
        <v>0</v>
      </c>
      <c r="CS246" s="648">
        <f t="shared" si="106"/>
        <v>0</v>
      </c>
      <c r="CT246" s="648">
        <f t="shared" si="107"/>
        <v>0</v>
      </c>
      <c r="CU246" s="648">
        <f t="shared" si="108"/>
        <v>0</v>
      </c>
      <c r="CV246" s="648">
        <f t="shared" si="109"/>
        <v>0</v>
      </c>
      <c r="CW246" s="648">
        <f t="shared" si="110"/>
        <v>0</v>
      </c>
      <c r="CX246" s="634">
        <v>0</v>
      </c>
      <c r="CY246" s="616"/>
      <c r="CZ246" s="619">
        <f>IF(BN247=0,0,             IF(ISNUMBER(CY246),CY246,             IF(ISTEXT(CY246),INDEX(CP246:CW246,MATCH(CY246,$CP$17:$CW$17,0)),           IF(CX246="INT",_xll.qInterp(BN247,BZ246:CG246,CP246:CW246),       INDEX(CP246:CW246,MATCH(CX246,$CP$17:$CW$17,0))))))</f>
        <v>0</v>
      </c>
      <c r="DA246" s="755">
        <f t="shared" si="111"/>
        <v>0</v>
      </c>
      <c r="DB246" s="387">
        <f t="shared" si="112"/>
        <v>0</v>
      </c>
      <c r="DC246" s="268">
        <f>IF($BN247=0,0,         IF(LEFT(DCC_Leg2_Fixed,2)="1/",uEvaluate(DCC_Leg2_Fixed),         _xll.qDateYears($BN246,$BN247,DCC_Leg2_Fixed)))</f>
        <v>0</v>
      </c>
      <c r="DD246" s="268">
        <f>IF($BN247,_xll.qDateYears($BN246,$BN247,DCC_Leg2_Float),0)</f>
        <v>0</v>
      </c>
      <c r="DF246" s="332">
        <f t="shared" si="127"/>
        <v>0</v>
      </c>
      <c r="DG246" s="357">
        <f t="shared" si="128"/>
        <v>0</v>
      </c>
      <c r="DH246" s="527"/>
      <c r="DJ246" s="324">
        <f t="shared" si="130"/>
        <v>0</v>
      </c>
      <c r="DK246" s="529"/>
      <c r="DL246" s="338"/>
    </row>
    <row r="247" spans="15:116">
      <c r="O247" s="121">
        <v>0</v>
      </c>
      <c r="P247" s="755">
        <f t="shared" si="99"/>
        <v>0</v>
      </c>
      <c r="Q247" s="125">
        <v>0</v>
      </c>
      <c r="R247" s="890">
        <f>IF(O248=0,0,         IF(OR(Currency1="AUD",Currency1="NZD",Currency1="GBP"),O247,   _xll.qDateNext(O247,"-2b",,,IF(Currency1="EUR","TGT","LON"))))</f>
        <v>0</v>
      </c>
      <c r="S247" s="879" t="str">
        <v/>
      </c>
      <c r="T247" s="879" t="str">
        <v/>
      </c>
      <c r="U247" s="879" t="str">
        <v/>
      </c>
      <c r="V247" s="879" t="str">
        <v/>
      </c>
      <c r="W247" s="879" t="str">
        <v/>
      </c>
      <c r="X247" s="879" t="str">
        <v/>
      </c>
      <c r="Y247" s="879" t="str">
        <v/>
      </c>
      <c r="Z247" s="879" t="str">
        <v/>
      </c>
      <c r="AA247" s="882">
        <f>IF($O248=0,0,        _xll.qDateNext($O247,AA$17,$AH$16,TRUE,Currency1))</f>
        <v>0</v>
      </c>
      <c r="AB247" s="882">
        <f>IF($O248=0,0,        _xll.qDateNext($O247,AB$17,$AH$16,TRUE,Currency1))</f>
        <v>0</v>
      </c>
      <c r="AC247" s="882">
        <f>IF($O248=0,0,        _xll.qDateNext($O247,AC$17,$AH$16,TRUE,Currency1))</f>
        <v>0</v>
      </c>
      <c r="AD247" s="882">
        <f>IF($O248=0,0,        _xll.qDateNext($O247,AD$17,$AH$16,TRUE,Currency1))</f>
        <v>0</v>
      </c>
      <c r="AE247" s="882">
        <f>IF($O248=0,0,        _xll.qDateNext($O247,AE$17,$AH$16,TRUE,Currency1))</f>
        <v>0</v>
      </c>
      <c r="AF247" s="882">
        <f>IF($O248=0,0,        _xll.qDateNext($O247,AF$17,$AH$16,TRUE,Currency1))</f>
        <v>0</v>
      </c>
      <c r="AG247" s="882">
        <f>IF($O248=0,0,        _xll.qDateNext($O247,AG$17,$AH$16,TRUE,Currency1))</f>
        <v>0</v>
      </c>
      <c r="AH247" s="882">
        <f>IF($O248=0,0,        _xll.qDateNext($O247,AH$17,$AH$16,TRUE,Currency1))</f>
        <v>0</v>
      </c>
      <c r="AI247" s="886">
        <f>IF($O248=0,0,           IF(FRM,_xll.qGetFwdRate(AI$14,$O247,AA247,"T",DCC_Leg1_Float),_xll.qGetFwdRate(AI$14,$O247,$O248,"T",DCC_Leg1_Float)))</f>
        <v>0</v>
      </c>
      <c r="AJ247" s="886">
        <f>IF($O248=0,0,           IF(FRM,_xll.qGetFwdRate(AJ$14,$O247,AB247,"T",DCC_Leg1_Float),_xll.qGetFwdRate(AJ$14,$O247,$O248,"T",DCC_Leg1_Float)))</f>
        <v>0</v>
      </c>
      <c r="AK247" s="886">
        <f t="shared" si="100"/>
        <v>0</v>
      </c>
      <c r="AL247" s="886">
        <f>IF($O248=0,0,           IF(FRM,_xll.qGetFwdRate(AL$14,$O247,AD247,"T",DCC_Leg1_Float),_xll.qGetFwdRate(AL$14,$O247,$O248,"T",DCC_Leg1_Float)))</f>
        <v>0</v>
      </c>
      <c r="AM247" s="886">
        <f t="shared" si="113"/>
        <v>0</v>
      </c>
      <c r="AN247" s="886">
        <f t="shared" si="114"/>
        <v>0</v>
      </c>
      <c r="AO247" s="886">
        <f>IF($O248=0,0,           IF(FRM,_xll.qGetFwdRate(AO$14,$O247,AG247,"T",DCC_Leg1_Float),_xll.qGetFwdRate(AO$14,$O247,$O248,"T",DCC_Leg1_Float)))</f>
        <v>0</v>
      </c>
      <c r="AP247" s="886">
        <f>IF($O248=0,0,           IF(FRM,_xll.qGetFwdRate(AP$14,$O247,AH247,"T",DCC_Leg1_Float),_xll.qGetFwdRate(AP$14,$O247,$O248,"T",DCC_Leg1_Float)))</f>
        <v>0</v>
      </c>
      <c r="AQ247" s="648">
        <f t="shared" si="115"/>
        <v>0</v>
      </c>
      <c r="AR247" s="648">
        <f t="shared" si="116"/>
        <v>0</v>
      </c>
      <c r="AS247" s="648">
        <f t="shared" si="117"/>
        <v>0</v>
      </c>
      <c r="AT247" s="648">
        <f t="shared" si="118"/>
        <v>0</v>
      </c>
      <c r="AU247" s="648">
        <f t="shared" si="119"/>
        <v>0</v>
      </c>
      <c r="AV247" s="648">
        <f t="shared" si="120"/>
        <v>0</v>
      </c>
      <c r="AW247" s="648">
        <f t="shared" si="121"/>
        <v>0</v>
      </c>
      <c r="AX247" s="648">
        <f t="shared" si="122"/>
        <v>0</v>
      </c>
      <c r="AY247" s="634">
        <v>0</v>
      </c>
      <c r="AZ247" s="616"/>
      <c r="BA247" s="619">
        <f>IF(O248=0,0,             IF(ISNUMBER(AZ247),AZ247,             IF(ISTEXT(AZ247),INDEX(AQ247:AX247,MATCH(AZ247,$AQ$17:$AX$17,0)),           IF(AY247="INT",_xll.qInterp(O248,AA247:AH247,AQ247:AX247),       INDEX(AQ247:AX247,MATCH(AY247,$AQ$17:$AX$17,0))))))</f>
        <v>0</v>
      </c>
      <c r="BB247" s="674">
        <v>100</v>
      </c>
      <c r="BC247" s="666">
        <f t="shared" si="101"/>
        <v>0</v>
      </c>
      <c r="BD247" s="268">
        <f>IF($O248=0,0,                IF(LEFT(DCC_Leg1_Fixed,2)="1/",uEvaluate(DCC_Leg1_Fixed),        _xll.qDateYears($O247,$O248,DCC_Leg1_Fixed)))</f>
        <v>0</v>
      </c>
      <c r="BE247" s="268">
        <f>IF($O248,_xll.qDateYears($O247,$O248,DCC_Leg1_Float),0)</f>
        <v>0</v>
      </c>
      <c r="BG247" s="332">
        <f t="shared" si="123"/>
        <v>0</v>
      </c>
      <c r="BH247" s="357">
        <f t="shared" si="124"/>
        <v>0</v>
      </c>
      <c r="BI247" s="527"/>
      <c r="BK247" s="324">
        <f t="shared" si="129"/>
        <v>0</v>
      </c>
      <c r="BM247" s="338"/>
      <c r="BN247" s="121">
        <v>0</v>
      </c>
      <c r="BO247" s="755">
        <f t="shared" si="102"/>
        <v>0</v>
      </c>
      <c r="BP247" s="339">
        <v>0</v>
      </c>
      <c r="BQ247" s="890">
        <f>IF(BN248=0,0,         IF(OR(Currency2="AUD",Currency1="NZD",Currency2="GBP"),BN247,   _xll.qDateNext(BN247,"-2b",,,IF(Currency2="EUR","TGT","LON"))))</f>
        <v>0</v>
      </c>
      <c r="BR247" s="879" t="str">
        <v/>
      </c>
      <c r="BS247" s="879" t="str">
        <v/>
      </c>
      <c r="BT247" s="879" t="str">
        <v/>
      </c>
      <c r="BU247" s="879" t="str">
        <v/>
      </c>
      <c r="BV247" s="879" t="str">
        <v/>
      </c>
      <c r="BW247" s="879" t="str">
        <v/>
      </c>
      <c r="BX247" s="879" t="str">
        <v/>
      </c>
      <c r="BY247" s="879" t="str">
        <v/>
      </c>
      <c r="BZ247" s="882">
        <f>IF($BN248=0,0,        _xll.qDateNext($BN247,BZ$17,$CG$16,TRUE,Currency2))</f>
        <v>0</v>
      </c>
      <c r="CA247" s="882">
        <f>IF($BN248=0,0,        _xll.qDateNext($BN247,CA$17,$CG$16,TRUE,Currency2))</f>
        <v>0</v>
      </c>
      <c r="CB247" s="882">
        <f>IF($BN248=0,0,        _xll.qDateNext($BN247,CB$17,$CG$16,TRUE,Currency2))</f>
        <v>0</v>
      </c>
      <c r="CC247" s="882">
        <f>IF($BN248=0,0,        _xll.qDateNext($BN247,CC$17,$CG$16,TRUE,Currency2))</f>
        <v>0</v>
      </c>
      <c r="CD247" s="882">
        <f>IF($BN248=0,0,        _xll.qDateNext($BN247,CD$17,$CG$16,TRUE,Currency2))</f>
        <v>0</v>
      </c>
      <c r="CE247" s="882">
        <f>IF($BN248=0,0,        _xll.qDateNext($BN247,CE$17,$CG$16,TRUE,Currency2))</f>
        <v>0</v>
      </c>
      <c r="CF247" s="882">
        <f>IF($BN248=0,0,        _xll.qDateNext($BN247,CF$17,$CG$16,TRUE,Currency2))</f>
        <v>0</v>
      </c>
      <c r="CG247" s="882">
        <f>IF($BN248=0,0,        _xll.qDateNext($BN247,CG$17,$CG$16,TRUE,Currency2))</f>
        <v>0</v>
      </c>
      <c r="CH247" s="886">
        <v>0</v>
      </c>
      <c r="CI247" s="886">
        <v>0</v>
      </c>
      <c r="CJ247" s="886">
        <v>0</v>
      </c>
      <c r="CK247" s="886">
        <v>0</v>
      </c>
      <c r="CL247" s="886">
        <f t="shared" si="125"/>
        <v>0</v>
      </c>
      <c r="CM247" s="886">
        <f t="shared" si="126"/>
        <v>0</v>
      </c>
      <c r="CN247" s="886">
        <v>0</v>
      </c>
      <c r="CO247" s="886">
        <v>0</v>
      </c>
      <c r="CP247" s="648">
        <f t="shared" si="103"/>
        <v>0</v>
      </c>
      <c r="CQ247" s="648">
        <f t="shared" si="104"/>
        <v>0</v>
      </c>
      <c r="CR247" s="648">
        <f t="shared" si="105"/>
        <v>0</v>
      </c>
      <c r="CS247" s="648">
        <f t="shared" si="106"/>
        <v>0</v>
      </c>
      <c r="CT247" s="648">
        <f t="shared" si="107"/>
        <v>0</v>
      </c>
      <c r="CU247" s="648">
        <f t="shared" si="108"/>
        <v>0</v>
      </c>
      <c r="CV247" s="648">
        <f t="shared" si="109"/>
        <v>0</v>
      </c>
      <c r="CW247" s="648">
        <f t="shared" si="110"/>
        <v>0</v>
      </c>
      <c r="CX247" s="634">
        <v>0</v>
      </c>
      <c r="CY247" s="616"/>
      <c r="CZ247" s="619">
        <f>IF(BN248=0,0,             IF(ISNUMBER(CY247),CY247,             IF(ISTEXT(CY247),INDEX(CP247:CW247,MATCH(CY247,$CP$17:$CW$17,0)),           IF(CX247="INT",_xll.qInterp(BN248,BZ247:CG247,CP247:CW247),       INDEX(CP247:CW247,MATCH(CX247,$CP$17:$CW$17,0))))))</f>
        <v>0</v>
      </c>
      <c r="DA247" s="755">
        <f t="shared" si="111"/>
        <v>0</v>
      </c>
      <c r="DB247" s="387">
        <f t="shared" si="112"/>
        <v>0</v>
      </c>
      <c r="DC247" s="268">
        <f>IF($BN248=0,0,         IF(LEFT(DCC_Leg2_Fixed,2)="1/",uEvaluate(DCC_Leg2_Fixed),         _xll.qDateYears($BN247,$BN248,DCC_Leg2_Fixed)))</f>
        <v>0</v>
      </c>
      <c r="DD247" s="268">
        <f>IF($BN248,_xll.qDateYears($BN247,$BN248,DCC_Leg2_Float),0)</f>
        <v>0</v>
      </c>
      <c r="DF247" s="332">
        <f t="shared" si="127"/>
        <v>0</v>
      </c>
      <c r="DG247" s="357">
        <f t="shared" si="128"/>
        <v>0</v>
      </c>
      <c r="DH247" s="527"/>
      <c r="DJ247" s="324">
        <f t="shared" si="130"/>
        <v>0</v>
      </c>
      <c r="DK247" s="529"/>
      <c r="DL247" s="338"/>
    </row>
    <row r="248" spans="15:116">
      <c r="O248" s="121">
        <v>0</v>
      </c>
      <c r="P248" s="755">
        <f t="shared" si="99"/>
        <v>0</v>
      </c>
      <c r="Q248" s="125">
        <v>0</v>
      </c>
      <c r="R248" s="890">
        <f>IF(O249=0,0,         IF(OR(Currency1="AUD",Currency1="NZD",Currency1="GBP"),O248,   _xll.qDateNext(O248,"-2b",,,IF(Currency1="EUR","TGT","LON"))))</f>
        <v>0</v>
      </c>
      <c r="S248" s="879" t="str">
        <v/>
      </c>
      <c r="T248" s="879" t="str">
        <v/>
      </c>
      <c r="U248" s="879" t="str">
        <v/>
      </c>
      <c r="V248" s="879" t="str">
        <v/>
      </c>
      <c r="W248" s="879" t="str">
        <v/>
      </c>
      <c r="X248" s="879" t="str">
        <v/>
      </c>
      <c r="Y248" s="879" t="str">
        <v/>
      </c>
      <c r="Z248" s="879" t="str">
        <v/>
      </c>
      <c r="AA248" s="882">
        <f>IF($O249=0,0,        _xll.qDateNext($O248,AA$17,$AH$16,TRUE,Currency1))</f>
        <v>0</v>
      </c>
      <c r="AB248" s="882">
        <f>IF($O249=0,0,        _xll.qDateNext($O248,AB$17,$AH$16,TRUE,Currency1))</f>
        <v>0</v>
      </c>
      <c r="AC248" s="882">
        <f>IF($O249=0,0,        _xll.qDateNext($O248,AC$17,$AH$16,TRUE,Currency1))</f>
        <v>0</v>
      </c>
      <c r="AD248" s="882">
        <f>IF($O249=0,0,        _xll.qDateNext($O248,AD$17,$AH$16,TRUE,Currency1))</f>
        <v>0</v>
      </c>
      <c r="AE248" s="882">
        <f>IF($O249=0,0,        _xll.qDateNext($O248,AE$17,$AH$16,TRUE,Currency1))</f>
        <v>0</v>
      </c>
      <c r="AF248" s="882">
        <f>IF($O249=0,0,        _xll.qDateNext($O248,AF$17,$AH$16,TRUE,Currency1))</f>
        <v>0</v>
      </c>
      <c r="AG248" s="882">
        <f>IF($O249=0,0,        _xll.qDateNext($O248,AG$17,$AH$16,TRUE,Currency1))</f>
        <v>0</v>
      </c>
      <c r="AH248" s="882">
        <f>IF($O249=0,0,        _xll.qDateNext($O248,AH$17,$AH$16,TRUE,Currency1))</f>
        <v>0</v>
      </c>
      <c r="AI248" s="886">
        <f>IF($O249=0,0,           IF(FRM,_xll.qGetFwdRate(AI$14,$O248,AA248,"T",DCC_Leg1_Float),_xll.qGetFwdRate(AI$14,$O248,$O249,"T",DCC_Leg1_Float)))</f>
        <v>0</v>
      </c>
      <c r="AJ248" s="886">
        <f>IF($O249=0,0,           IF(FRM,_xll.qGetFwdRate(AJ$14,$O248,AB248,"T",DCC_Leg1_Float),_xll.qGetFwdRate(AJ$14,$O248,$O249,"T",DCC_Leg1_Float)))</f>
        <v>0</v>
      </c>
      <c r="AK248" s="886">
        <f t="shared" si="100"/>
        <v>0</v>
      </c>
      <c r="AL248" s="886">
        <f>IF($O249=0,0,           IF(FRM,_xll.qGetFwdRate(AL$14,$O248,AD248,"T",DCC_Leg1_Float),_xll.qGetFwdRate(AL$14,$O248,$O249,"T",DCC_Leg1_Float)))</f>
        <v>0</v>
      </c>
      <c r="AM248" s="886">
        <f t="shared" si="113"/>
        <v>0</v>
      </c>
      <c r="AN248" s="886">
        <f t="shared" si="114"/>
        <v>0</v>
      </c>
      <c r="AO248" s="886">
        <f>IF($O249=0,0,           IF(FRM,_xll.qGetFwdRate(AO$14,$O248,AG248,"T",DCC_Leg1_Float),_xll.qGetFwdRate(AO$14,$O248,$O249,"T",DCC_Leg1_Float)))</f>
        <v>0</v>
      </c>
      <c r="AP248" s="886">
        <f>IF($O249=0,0,           IF(FRM,_xll.qGetFwdRate(AP$14,$O248,AH248,"T",DCC_Leg1_Float),_xll.qGetFwdRate(AP$14,$O248,$O249,"T",DCC_Leg1_Float)))</f>
        <v>0</v>
      </c>
      <c r="AQ248" s="648">
        <f t="shared" si="115"/>
        <v>0</v>
      </c>
      <c r="AR248" s="648">
        <f t="shared" si="116"/>
        <v>0</v>
      </c>
      <c r="AS248" s="648">
        <f t="shared" si="117"/>
        <v>0</v>
      </c>
      <c r="AT248" s="648">
        <f t="shared" si="118"/>
        <v>0</v>
      </c>
      <c r="AU248" s="648">
        <f t="shared" si="119"/>
        <v>0</v>
      </c>
      <c r="AV248" s="648">
        <f t="shared" si="120"/>
        <v>0</v>
      </c>
      <c r="AW248" s="648">
        <f t="shared" si="121"/>
        <v>0</v>
      </c>
      <c r="AX248" s="648">
        <f t="shared" si="122"/>
        <v>0</v>
      </c>
      <c r="AY248" s="634">
        <v>0</v>
      </c>
      <c r="AZ248" s="616"/>
      <c r="BA248" s="619">
        <f>IF(O249=0,0,             IF(ISNUMBER(AZ248),AZ248,             IF(ISTEXT(AZ248),INDEX(AQ248:AX248,MATCH(AZ248,$AQ$17:$AX$17,0)),           IF(AY248="INT",_xll.qInterp(O249,AA248:AH248,AQ248:AX248),       INDEX(AQ248:AX248,MATCH(AY248,$AQ$17:$AX$17,0))))))</f>
        <v>0</v>
      </c>
      <c r="BB248" s="674">
        <v>100</v>
      </c>
      <c r="BC248" s="666">
        <f t="shared" si="101"/>
        <v>0</v>
      </c>
      <c r="BD248" s="268">
        <f>IF($O249=0,0,                IF(LEFT(DCC_Leg1_Fixed,2)="1/",uEvaluate(DCC_Leg1_Fixed),        _xll.qDateYears($O248,$O249,DCC_Leg1_Fixed)))</f>
        <v>0</v>
      </c>
      <c r="BE248" s="268">
        <f>IF($O249,_xll.qDateYears($O248,$O249,DCC_Leg1_Float),0)</f>
        <v>0</v>
      </c>
      <c r="BG248" s="332">
        <f t="shared" si="123"/>
        <v>0</v>
      </c>
      <c r="BH248" s="357">
        <f t="shared" si="124"/>
        <v>0</v>
      </c>
      <c r="BI248" s="527"/>
      <c r="BK248" s="324">
        <f t="shared" si="129"/>
        <v>0</v>
      </c>
      <c r="BM248" s="338"/>
      <c r="BN248" s="121">
        <v>0</v>
      </c>
      <c r="BO248" s="755">
        <f t="shared" si="102"/>
        <v>0</v>
      </c>
      <c r="BP248" s="339">
        <v>0</v>
      </c>
      <c r="BQ248" s="890">
        <f>IF(BN249=0,0,         IF(OR(Currency2="AUD",Currency1="NZD",Currency2="GBP"),BN248,   _xll.qDateNext(BN248,"-2b",,,IF(Currency2="EUR","TGT","LON"))))</f>
        <v>0</v>
      </c>
      <c r="BR248" s="879" t="str">
        <v/>
      </c>
      <c r="BS248" s="879" t="str">
        <v/>
      </c>
      <c r="BT248" s="879" t="str">
        <v/>
      </c>
      <c r="BU248" s="879" t="str">
        <v/>
      </c>
      <c r="BV248" s="879" t="str">
        <v/>
      </c>
      <c r="BW248" s="879" t="str">
        <v/>
      </c>
      <c r="BX248" s="879" t="str">
        <v/>
      </c>
      <c r="BY248" s="879" t="str">
        <v/>
      </c>
      <c r="BZ248" s="882">
        <f>IF($BN249=0,0,        _xll.qDateNext($BN248,BZ$17,$CG$16,TRUE,Currency2))</f>
        <v>0</v>
      </c>
      <c r="CA248" s="882">
        <f>IF($BN249=0,0,        _xll.qDateNext($BN248,CA$17,$CG$16,TRUE,Currency2))</f>
        <v>0</v>
      </c>
      <c r="CB248" s="882">
        <f>IF($BN249=0,0,        _xll.qDateNext($BN248,CB$17,$CG$16,TRUE,Currency2))</f>
        <v>0</v>
      </c>
      <c r="CC248" s="882">
        <f>IF($BN249=0,0,        _xll.qDateNext($BN248,CC$17,$CG$16,TRUE,Currency2))</f>
        <v>0</v>
      </c>
      <c r="CD248" s="882">
        <f>IF($BN249=0,0,        _xll.qDateNext($BN248,CD$17,$CG$16,TRUE,Currency2))</f>
        <v>0</v>
      </c>
      <c r="CE248" s="882">
        <f>IF($BN249=0,0,        _xll.qDateNext($BN248,CE$17,$CG$16,TRUE,Currency2))</f>
        <v>0</v>
      </c>
      <c r="CF248" s="882">
        <f>IF($BN249=0,0,        _xll.qDateNext($BN248,CF$17,$CG$16,TRUE,Currency2))</f>
        <v>0</v>
      </c>
      <c r="CG248" s="882">
        <f>IF($BN249=0,0,        _xll.qDateNext($BN248,CG$17,$CG$16,TRUE,Currency2))</f>
        <v>0</v>
      </c>
      <c r="CH248" s="886">
        <v>0</v>
      </c>
      <c r="CI248" s="886">
        <v>0</v>
      </c>
      <c r="CJ248" s="886">
        <v>0</v>
      </c>
      <c r="CK248" s="886">
        <v>0</v>
      </c>
      <c r="CL248" s="886">
        <f t="shared" si="125"/>
        <v>0</v>
      </c>
      <c r="CM248" s="886">
        <f t="shared" si="126"/>
        <v>0</v>
      </c>
      <c r="CN248" s="886">
        <v>0</v>
      </c>
      <c r="CO248" s="886">
        <v>0</v>
      </c>
      <c r="CP248" s="648">
        <f t="shared" si="103"/>
        <v>0</v>
      </c>
      <c r="CQ248" s="648">
        <f t="shared" si="104"/>
        <v>0</v>
      </c>
      <c r="CR248" s="648">
        <f t="shared" si="105"/>
        <v>0</v>
      </c>
      <c r="CS248" s="648">
        <f t="shared" si="106"/>
        <v>0</v>
      </c>
      <c r="CT248" s="648">
        <f t="shared" si="107"/>
        <v>0</v>
      </c>
      <c r="CU248" s="648">
        <f t="shared" si="108"/>
        <v>0</v>
      </c>
      <c r="CV248" s="648">
        <f t="shared" si="109"/>
        <v>0</v>
      </c>
      <c r="CW248" s="648">
        <f t="shared" si="110"/>
        <v>0</v>
      </c>
      <c r="CX248" s="634">
        <v>0</v>
      </c>
      <c r="CY248" s="616"/>
      <c r="CZ248" s="619">
        <f>IF(BN249=0,0,             IF(ISNUMBER(CY248),CY248,             IF(ISTEXT(CY248),INDEX(CP248:CW248,MATCH(CY248,$CP$17:$CW$17,0)),           IF(CX248="INT",_xll.qInterp(BN249,BZ248:CG248,CP248:CW248),       INDEX(CP248:CW248,MATCH(CX248,$CP$17:$CW$17,0))))))</f>
        <v>0</v>
      </c>
      <c r="DA248" s="755">
        <f t="shared" si="111"/>
        <v>0</v>
      </c>
      <c r="DB248" s="387">
        <f t="shared" si="112"/>
        <v>0</v>
      </c>
      <c r="DC248" s="268">
        <f>IF($BN249=0,0,         IF(LEFT(DCC_Leg2_Fixed,2)="1/",uEvaluate(DCC_Leg2_Fixed),         _xll.qDateYears($BN248,$BN249,DCC_Leg2_Fixed)))</f>
        <v>0</v>
      </c>
      <c r="DD248" s="268">
        <f>IF($BN249,_xll.qDateYears($BN248,$BN249,DCC_Leg2_Float),0)</f>
        <v>0</v>
      </c>
      <c r="DF248" s="332">
        <f t="shared" si="127"/>
        <v>0</v>
      </c>
      <c r="DG248" s="357">
        <f t="shared" si="128"/>
        <v>0</v>
      </c>
      <c r="DH248" s="527"/>
      <c r="DJ248" s="324">
        <f t="shared" si="130"/>
        <v>0</v>
      </c>
      <c r="DK248" s="529"/>
      <c r="DL248" s="338"/>
    </row>
    <row r="249" spans="15:116">
      <c r="O249" s="121">
        <v>0</v>
      </c>
      <c r="P249" s="755">
        <f t="shared" si="99"/>
        <v>0</v>
      </c>
      <c r="Q249" s="125">
        <v>0</v>
      </c>
      <c r="R249" s="890">
        <f>IF(O250=0,0,         IF(OR(Currency1="AUD",Currency1="NZD",Currency1="GBP"),O249,   _xll.qDateNext(O249,"-2b",,,IF(Currency1="EUR","TGT","LON"))))</f>
        <v>0</v>
      </c>
      <c r="S249" s="879" t="str">
        <v/>
      </c>
      <c r="T249" s="879" t="str">
        <v/>
      </c>
      <c r="U249" s="879" t="str">
        <v/>
      </c>
      <c r="V249" s="879" t="str">
        <v/>
      </c>
      <c r="W249" s="879" t="str">
        <v/>
      </c>
      <c r="X249" s="879" t="str">
        <v/>
      </c>
      <c r="Y249" s="879" t="str">
        <v/>
      </c>
      <c r="Z249" s="879" t="str">
        <v/>
      </c>
      <c r="AA249" s="882">
        <f>IF($O250=0,0,        _xll.qDateNext($O249,AA$17,$AH$16,TRUE,Currency1))</f>
        <v>0</v>
      </c>
      <c r="AB249" s="882">
        <f>IF($O250=0,0,        _xll.qDateNext($O249,AB$17,$AH$16,TRUE,Currency1))</f>
        <v>0</v>
      </c>
      <c r="AC249" s="882">
        <f>IF($O250=0,0,        _xll.qDateNext($O249,AC$17,$AH$16,TRUE,Currency1))</f>
        <v>0</v>
      </c>
      <c r="AD249" s="882">
        <f>IF($O250=0,0,        _xll.qDateNext($O249,AD$17,$AH$16,TRUE,Currency1))</f>
        <v>0</v>
      </c>
      <c r="AE249" s="882">
        <f>IF($O250=0,0,        _xll.qDateNext($O249,AE$17,$AH$16,TRUE,Currency1))</f>
        <v>0</v>
      </c>
      <c r="AF249" s="882">
        <f>IF($O250=0,0,        _xll.qDateNext($O249,AF$17,$AH$16,TRUE,Currency1))</f>
        <v>0</v>
      </c>
      <c r="AG249" s="882">
        <f>IF($O250=0,0,        _xll.qDateNext($O249,AG$17,$AH$16,TRUE,Currency1))</f>
        <v>0</v>
      </c>
      <c r="AH249" s="882">
        <f>IF($O250=0,0,        _xll.qDateNext($O249,AH$17,$AH$16,TRUE,Currency1))</f>
        <v>0</v>
      </c>
      <c r="AI249" s="886">
        <f>IF($O250=0,0,           IF(FRM,_xll.qGetFwdRate(AI$14,$O249,AA249,"T",DCC_Leg1_Float),_xll.qGetFwdRate(AI$14,$O249,$O250,"T",DCC_Leg1_Float)))</f>
        <v>0</v>
      </c>
      <c r="AJ249" s="886">
        <f>IF($O250=0,0,           IF(FRM,_xll.qGetFwdRate(AJ$14,$O249,AB249,"T",DCC_Leg1_Float),_xll.qGetFwdRate(AJ$14,$O249,$O250,"T",DCC_Leg1_Float)))</f>
        <v>0</v>
      </c>
      <c r="AK249" s="886">
        <f t="shared" si="100"/>
        <v>0</v>
      </c>
      <c r="AL249" s="886">
        <f>IF($O250=0,0,           IF(FRM,_xll.qGetFwdRate(AL$14,$O249,AD249,"T",DCC_Leg1_Float),_xll.qGetFwdRate(AL$14,$O249,$O250,"T",DCC_Leg1_Float)))</f>
        <v>0</v>
      </c>
      <c r="AM249" s="886">
        <f t="shared" si="113"/>
        <v>0</v>
      </c>
      <c r="AN249" s="886">
        <f t="shared" si="114"/>
        <v>0</v>
      </c>
      <c r="AO249" s="886">
        <f>IF($O250=0,0,           IF(FRM,_xll.qGetFwdRate(AO$14,$O249,AG249,"T",DCC_Leg1_Float),_xll.qGetFwdRate(AO$14,$O249,$O250,"T",DCC_Leg1_Float)))</f>
        <v>0</v>
      </c>
      <c r="AP249" s="886">
        <f>IF($O250=0,0,           IF(FRM,_xll.qGetFwdRate(AP$14,$O249,AH249,"T",DCC_Leg1_Float),_xll.qGetFwdRate(AP$14,$O249,$O250,"T",DCC_Leg1_Float)))</f>
        <v>0</v>
      </c>
      <c r="AQ249" s="648">
        <f t="shared" si="115"/>
        <v>0</v>
      </c>
      <c r="AR249" s="648">
        <f t="shared" si="116"/>
        <v>0</v>
      </c>
      <c r="AS249" s="648">
        <f t="shared" si="117"/>
        <v>0</v>
      </c>
      <c r="AT249" s="648">
        <f t="shared" si="118"/>
        <v>0</v>
      </c>
      <c r="AU249" s="648">
        <f t="shared" si="119"/>
        <v>0</v>
      </c>
      <c r="AV249" s="648">
        <f t="shared" si="120"/>
        <v>0</v>
      </c>
      <c r="AW249" s="648">
        <f t="shared" si="121"/>
        <v>0</v>
      </c>
      <c r="AX249" s="648">
        <f t="shared" si="122"/>
        <v>0</v>
      </c>
      <c r="AY249" s="634">
        <v>0</v>
      </c>
      <c r="AZ249" s="616"/>
      <c r="BA249" s="619">
        <f>IF(O250=0,0,             IF(ISNUMBER(AZ249),AZ249,             IF(ISTEXT(AZ249),INDEX(AQ249:AX249,MATCH(AZ249,$AQ$17:$AX$17,0)),           IF(AY249="INT",_xll.qInterp(O250,AA249:AH249,AQ249:AX249),       INDEX(AQ249:AX249,MATCH(AY249,$AQ$17:$AX$17,0))))))</f>
        <v>0</v>
      </c>
      <c r="BB249" s="674">
        <v>100</v>
      </c>
      <c r="BC249" s="666">
        <f t="shared" si="101"/>
        <v>0</v>
      </c>
      <c r="BD249" s="268">
        <f>IF($O250=0,0,                IF(LEFT(DCC_Leg1_Fixed,2)="1/",uEvaluate(DCC_Leg1_Fixed),        _xll.qDateYears($O249,$O250,DCC_Leg1_Fixed)))</f>
        <v>0</v>
      </c>
      <c r="BE249" s="268">
        <f>IF($O250,_xll.qDateYears($O249,$O250,DCC_Leg1_Float),0)</f>
        <v>0</v>
      </c>
      <c r="BG249" s="332">
        <f t="shared" si="123"/>
        <v>0</v>
      </c>
      <c r="BH249" s="357">
        <f t="shared" si="124"/>
        <v>0</v>
      </c>
      <c r="BI249" s="527"/>
      <c r="BK249" s="324">
        <f t="shared" si="129"/>
        <v>0</v>
      </c>
      <c r="BM249" s="338"/>
      <c r="BN249" s="121">
        <v>0</v>
      </c>
      <c r="BO249" s="755">
        <f t="shared" si="102"/>
        <v>0</v>
      </c>
      <c r="BP249" s="339">
        <v>0</v>
      </c>
      <c r="BQ249" s="890">
        <f>IF(BN250=0,0,         IF(OR(Currency2="AUD",Currency1="NZD",Currency2="GBP"),BN249,   _xll.qDateNext(BN249,"-2b",,,IF(Currency2="EUR","TGT","LON"))))</f>
        <v>0</v>
      </c>
      <c r="BR249" s="879" t="str">
        <v/>
      </c>
      <c r="BS249" s="879" t="str">
        <v/>
      </c>
      <c r="BT249" s="879" t="str">
        <v/>
      </c>
      <c r="BU249" s="879" t="str">
        <v/>
      </c>
      <c r="BV249" s="879" t="str">
        <v/>
      </c>
      <c r="BW249" s="879" t="str">
        <v/>
      </c>
      <c r="BX249" s="879" t="str">
        <v/>
      </c>
      <c r="BY249" s="879" t="str">
        <v/>
      </c>
      <c r="BZ249" s="882">
        <f>IF($BN250=0,0,        _xll.qDateNext($BN249,BZ$17,$CG$16,TRUE,Currency2))</f>
        <v>0</v>
      </c>
      <c r="CA249" s="882">
        <f>IF($BN250=0,0,        _xll.qDateNext($BN249,CA$17,$CG$16,TRUE,Currency2))</f>
        <v>0</v>
      </c>
      <c r="CB249" s="882">
        <f>IF($BN250=0,0,        _xll.qDateNext($BN249,CB$17,$CG$16,TRUE,Currency2))</f>
        <v>0</v>
      </c>
      <c r="CC249" s="882">
        <f>IF($BN250=0,0,        _xll.qDateNext($BN249,CC$17,$CG$16,TRUE,Currency2))</f>
        <v>0</v>
      </c>
      <c r="CD249" s="882">
        <f>IF($BN250=0,0,        _xll.qDateNext($BN249,CD$17,$CG$16,TRUE,Currency2))</f>
        <v>0</v>
      </c>
      <c r="CE249" s="882">
        <f>IF($BN250=0,0,        _xll.qDateNext($BN249,CE$17,$CG$16,TRUE,Currency2))</f>
        <v>0</v>
      </c>
      <c r="CF249" s="882">
        <f>IF($BN250=0,0,        _xll.qDateNext($BN249,CF$17,$CG$16,TRUE,Currency2))</f>
        <v>0</v>
      </c>
      <c r="CG249" s="882">
        <f>IF($BN250=0,0,        _xll.qDateNext($BN249,CG$17,$CG$16,TRUE,Currency2))</f>
        <v>0</v>
      </c>
      <c r="CH249" s="886">
        <v>0</v>
      </c>
      <c r="CI249" s="886">
        <v>0</v>
      </c>
      <c r="CJ249" s="886">
        <v>0</v>
      </c>
      <c r="CK249" s="886">
        <v>0</v>
      </c>
      <c r="CL249" s="886">
        <f t="shared" si="125"/>
        <v>0</v>
      </c>
      <c r="CM249" s="886">
        <f t="shared" si="126"/>
        <v>0</v>
      </c>
      <c r="CN249" s="886">
        <v>0</v>
      </c>
      <c r="CO249" s="886">
        <v>0</v>
      </c>
      <c r="CP249" s="648">
        <f t="shared" si="103"/>
        <v>0</v>
      </c>
      <c r="CQ249" s="648">
        <f t="shared" si="104"/>
        <v>0</v>
      </c>
      <c r="CR249" s="648">
        <f t="shared" si="105"/>
        <v>0</v>
      </c>
      <c r="CS249" s="648">
        <f t="shared" si="106"/>
        <v>0</v>
      </c>
      <c r="CT249" s="648">
        <f t="shared" si="107"/>
        <v>0</v>
      </c>
      <c r="CU249" s="648">
        <f t="shared" si="108"/>
        <v>0</v>
      </c>
      <c r="CV249" s="648">
        <f t="shared" si="109"/>
        <v>0</v>
      </c>
      <c r="CW249" s="648">
        <f t="shared" si="110"/>
        <v>0</v>
      </c>
      <c r="CX249" s="634">
        <v>0</v>
      </c>
      <c r="CY249" s="616"/>
      <c r="CZ249" s="619">
        <f>IF(BN250=0,0,             IF(ISNUMBER(CY249),CY249,             IF(ISTEXT(CY249),INDEX(CP249:CW249,MATCH(CY249,$CP$17:$CW$17,0)),           IF(CX249="INT",_xll.qInterp(BN250,BZ249:CG249,CP249:CW249),       INDEX(CP249:CW249,MATCH(CX249,$CP$17:$CW$17,0))))))</f>
        <v>0</v>
      </c>
      <c r="DA249" s="755">
        <f t="shared" si="111"/>
        <v>0</v>
      </c>
      <c r="DB249" s="387">
        <f t="shared" si="112"/>
        <v>0</v>
      </c>
      <c r="DC249" s="268">
        <f>IF($BN250=0,0,         IF(LEFT(DCC_Leg2_Fixed,2)="1/",uEvaluate(DCC_Leg2_Fixed),         _xll.qDateYears($BN249,$BN250,DCC_Leg2_Fixed)))</f>
        <v>0</v>
      </c>
      <c r="DD249" s="268">
        <f>IF($BN250,_xll.qDateYears($BN249,$BN250,DCC_Leg2_Float),0)</f>
        <v>0</v>
      </c>
      <c r="DF249" s="332">
        <f t="shared" si="127"/>
        <v>0</v>
      </c>
      <c r="DG249" s="357">
        <f t="shared" si="128"/>
        <v>0</v>
      </c>
      <c r="DH249" s="527"/>
      <c r="DJ249" s="324">
        <f t="shared" si="130"/>
        <v>0</v>
      </c>
      <c r="DK249" s="529"/>
      <c r="DL249" s="338"/>
    </row>
    <row r="250" spans="15:116">
      <c r="O250" s="121">
        <v>0</v>
      </c>
      <c r="P250" s="755">
        <f t="shared" si="99"/>
        <v>0</v>
      </c>
      <c r="Q250" s="125">
        <v>0</v>
      </c>
      <c r="R250" s="890">
        <f>IF(O251=0,0,         IF(OR(Currency1="AUD",Currency1="NZD",Currency1="GBP"),O250,   _xll.qDateNext(O250,"-2b",,,IF(Currency1="EUR","TGT","LON"))))</f>
        <v>0</v>
      </c>
      <c r="S250" s="879" t="str">
        <v/>
      </c>
      <c r="T250" s="879" t="str">
        <v/>
      </c>
      <c r="U250" s="879" t="str">
        <v/>
      </c>
      <c r="V250" s="879" t="str">
        <v/>
      </c>
      <c r="W250" s="879" t="str">
        <v/>
      </c>
      <c r="X250" s="879" t="str">
        <v/>
      </c>
      <c r="Y250" s="879" t="str">
        <v/>
      </c>
      <c r="Z250" s="879" t="str">
        <v/>
      </c>
      <c r="AA250" s="882">
        <f>IF($O251=0,0,        _xll.qDateNext($O250,AA$17,$AH$16,TRUE,Currency1))</f>
        <v>0</v>
      </c>
      <c r="AB250" s="882">
        <f>IF($O251=0,0,        _xll.qDateNext($O250,AB$17,$AH$16,TRUE,Currency1))</f>
        <v>0</v>
      </c>
      <c r="AC250" s="882">
        <f>IF($O251=0,0,        _xll.qDateNext($O250,AC$17,$AH$16,TRUE,Currency1))</f>
        <v>0</v>
      </c>
      <c r="AD250" s="882">
        <f>IF($O251=0,0,        _xll.qDateNext($O250,AD$17,$AH$16,TRUE,Currency1))</f>
        <v>0</v>
      </c>
      <c r="AE250" s="882">
        <f>IF($O251=0,0,        _xll.qDateNext($O250,AE$17,$AH$16,TRUE,Currency1))</f>
        <v>0</v>
      </c>
      <c r="AF250" s="882">
        <f>IF($O251=0,0,        _xll.qDateNext($O250,AF$17,$AH$16,TRUE,Currency1))</f>
        <v>0</v>
      </c>
      <c r="AG250" s="882">
        <f>IF($O251=0,0,        _xll.qDateNext($O250,AG$17,$AH$16,TRUE,Currency1))</f>
        <v>0</v>
      </c>
      <c r="AH250" s="882">
        <f>IF($O251=0,0,        _xll.qDateNext($O250,AH$17,$AH$16,TRUE,Currency1))</f>
        <v>0</v>
      </c>
      <c r="AI250" s="886">
        <f>IF($O251=0,0,           IF(FRM,_xll.qGetFwdRate(AI$14,$O250,AA250,"T",DCC_Leg1_Float),_xll.qGetFwdRate(AI$14,$O250,$O251,"T",DCC_Leg1_Float)))</f>
        <v>0</v>
      </c>
      <c r="AJ250" s="886">
        <f>IF($O251=0,0,           IF(FRM,_xll.qGetFwdRate(AJ$14,$O250,AB250,"T",DCC_Leg1_Float),_xll.qGetFwdRate(AJ$14,$O250,$O251,"T",DCC_Leg1_Float)))</f>
        <v>0</v>
      </c>
      <c r="AK250" s="886">
        <f t="shared" si="100"/>
        <v>0</v>
      </c>
      <c r="AL250" s="886">
        <f>IF($O251=0,0,           IF(FRM,_xll.qGetFwdRate(AL$14,$O250,AD250,"T",DCC_Leg1_Float),_xll.qGetFwdRate(AL$14,$O250,$O251,"T",DCC_Leg1_Float)))</f>
        <v>0</v>
      </c>
      <c r="AM250" s="886">
        <f t="shared" si="113"/>
        <v>0</v>
      </c>
      <c r="AN250" s="886">
        <f t="shared" si="114"/>
        <v>0</v>
      </c>
      <c r="AO250" s="886">
        <f>IF($O251=0,0,           IF(FRM,_xll.qGetFwdRate(AO$14,$O250,AG250,"T",DCC_Leg1_Float),_xll.qGetFwdRate(AO$14,$O250,$O251,"T",DCC_Leg1_Float)))</f>
        <v>0</v>
      </c>
      <c r="AP250" s="886">
        <f>IF($O251=0,0,           IF(FRM,_xll.qGetFwdRate(AP$14,$O250,AH250,"T",DCC_Leg1_Float),_xll.qGetFwdRate(AP$14,$O250,$O251,"T",DCC_Leg1_Float)))</f>
        <v>0</v>
      </c>
      <c r="AQ250" s="648">
        <f t="shared" si="115"/>
        <v>0</v>
      </c>
      <c r="AR250" s="648">
        <f t="shared" si="116"/>
        <v>0</v>
      </c>
      <c r="AS250" s="648">
        <f t="shared" si="117"/>
        <v>0</v>
      </c>
      <c r="AT250" s="648">
        <f t="shared" si="118"/>
        <v>0</v>
      </c>
      <c r="AU250" s="648">
        <f t="shared" si="119"/>
        <v>0</v>
      </c>
      <c r="AV250" s="648">
        <f t="shared" si="120"/>
        <v>0</v>
      </c>
      <c r="AW250" s="648">
        <f t="shared" si="121"/>
        <v>0</v>
      </c>
      <c r="AX250" s="648">
        <f t="shared" si="122"/>
        <v>0</v>
      </c>
      <c r="AY250" s="634">
        <v>0</v>
      </c>
      <c r="AZ250" s="616"/>
      <c r="BA250" s="619">
        <f>IF(O251=0,0,             IF(ISNUMBER(AZ250),AZ250,             IF(ISTEXT(AZ250),INDEX(AQ250:AX250,MATCH(AZ250,$AQ$17:$AX$17,0)),           IF(AY250="INT",_xll.qInterp(O251,AA250:AH250,AQ250:AX250),       INDEX(AQ250:AX250,MATCH(AY250,$AQ$17:$AX$17,0))))))</f>
        <v>0</v>
      </c>
      <c r="BB250" s="674">
        <v>100</v>
      </c>
      <c r="BC250" s="666">
        <f t="shared" si="101"/>
        <v>0</v>
      </c>
      <c r="BD250" s="268">
        <f>IF($O251=0,0,                IF(LEFT(DCC_Leg1_Fixed,2)="1/",uEvaluate(DCC_Leg1_Fixed),        _xll.qDateYears($O250,$O251,DCC_Leg1_Fixed)))</f>
        <v>0</v>
      </c>
      <c r="BE250" s="268">
        <f>IF($O251,_xll.qDateYears($O250,$O251,DCC_Leg1_Float),0)</f>
        <v>0</v>
      </c>
      <c r="BG250" s="332">
        <f t="shared" si="123"/>
        <v>0</v>
      </c>
      <c r="BH250" s="357">
        <f t="shared" si="124"/>
        <v>0</v>
      </c>
      <c r="BI250" s="527"/>
      <c r="BK250" s="324">
        <f t="shared" si="129"/>
        <v>0</v>
      </c>
      <c r="BM250" s="338"/>
      <c r="BN250" s="121">
        <v>0</v>
      </c>
      <c r="BO250" s="755">
        <f t="shared" si="102"/>
        <v>0</v>
      </c>
      <c r="BP250" s="339">
        <v>0</v>
      </c>
      <c r="BQ250" s="890">
        <f>IF(BN251=0,0,         IF(OR(Currency2="AUD",Currency1="NZD",Currency2="GBP"),BN250,   _xll.qDateNext(BN250,"-2b",,,IF(Currency2="EUR","TGT","LON"))))</f>
        <v>0</v>
      </c>
      <c r="BR250" s="879" t="str">
        <v/>
      </c>
      <c r="BS250" s="879" t="str">
        <v/>
      </c>
      <c r="BT250" s="879" t="str">
        <v/>
      </c>
      <c r="BU250" s="879" t="str">
        <v/>
      </c>
      <c r="BV250" s="879" t="str">
        <v/>
      </c>
      <c r="BW250" s="879" t="str">
        <v/>
      </c>
      <c r="BX250" s="879" t="str">
        <v/>
      </c>
      <c r="BY250" s="879" t="str">
        <v/>
      </c>
      <c r="BZ250" s="882">
        <f>IF($BN251=0,0,        _xll.qDateNext($BN250,BZ$17,$CG$16,TRUE,Currency2))</f>
        <v>0</v>
      </c>
      <c r="CA250" s="882">
        <f>IF($BN251=0,0,        _xll.qDateNext($BN250,CA$17,$CG$16,TRUE,Currency2))</f>
        <v>0</v>
      </c>
      <c r="CB250" s="882">
        <f>IF($BN251=0,0,        _xll.qDateNext($BN250,CB$17,$CG$16,TRUE,Currency2))</f>
        <v>0</v>
      </c>
      <c r="CC250" s="882">
        <f>IF($BN251=0,0,        _xll.qDateNext($BN250,CC$17,$CG$16,TRUE,Currency2))</f>
        <v>0</v>
      </c>
      <c r="CD250" s="882">
        <f>IF($BN251=0,0,        _xll.qDateNext($BN250,CD$17,$CG$16,TRUE,Currency2))</f>
        <v>0</v>
      </c>
      <c r="CE250" s="882">
        <f>IF($BN251=0,0,        _xll.qDateNext($BN250,CE$17,$CG$16,TRUE,Currency2))</f>
        <v>0</v>
      </c>
      <c r="CF250" s="882">
        <f>IF($BN251=0,0,        _xll.qDateNext($BN250,CF$17,$CG$16,TRUE,Currency2))</f>
        <v>0</v>
      </c>
      <c r="CG250" s="882">
        <f>IF($BN251=0,0,        _xll.qDateNext($BN250,CG$17,$CG$16,TRUE,Currency2))</f>
        <v>0</v>
      </c>
      <c r="CH250" s="886">
        <v>0</v>
      </c>
      <c r="CI250" s="886">
        <v>0</v>
      </c>
      <c r="CJ250" s="886">
        <v>0</v>
      </c>
      <c r="CK250" s="886">
        <v>0</v>
      </c>
      <c r="CL250" s="886">
        <f t="shared" si="125"/>
        <v>0</v>
      </c>
      <c r="CM250" s="886">
        <f t="shared" si="126"/>
        <v>0</v>
      </c>
      <c r="CN250" s="886">
        <v>0</v>
      </c>
      <c r="CO250" s="886">
        <v>0</v>
      </c>
      <c r="CP250" s="648">
        <f t="shared" si="103"/>
        <v>0</v>
      </c>
      <c r="CQ250" s="648">
        <f t="shared" si="104"/>
        <v>0</v>
      </c>
      <c r="CR250" s="648">
        <f t="shared" si="105"/>
        <v>0</v>
      </c>
      <c r="CS250" s="648">
        <f t="shared" si="106"/>
        <v>0</v>
      </c>
      <c r="CT250" s="648">
        <f t="shared" si="107"/>
        <v>0</v>
      </c>
      <c r="CU250" s="648">
        <f t="shared" si="108"/>
        <v>0</v>
      </c>
      <c r="CV250" s="648">
        <f t="shared" si="109"/>
        <v>0</v>
      </c>
      <c r="CW250" s="648">
        <f t="shared" si="110"/>
        <v>0</v>
      </c>
      <c r="CX250" s="634">
        <v>0</v>
      </c>
      <c r="CY250" s="616"/>
      <c r="CZ250" s="619">
        <f>IF(BN251=0,0,             IF(ISNUMBER(CY250),CY250,             IF(ISTEXT(CY250),INDEX(CP250:CW250,MATCH(CY250,$CP$17:$CW$17,0)),           IF(CX250="INT",_xll.qInterp(BN251,BZ250:CG250,CP250:CW250),       INDEX(CP250:CW250,MATCH(CX250,$CP$17:$CW$17,0))))))</f>
        <v>0</v>
      </c>
      <c r="DA250" s="755">
        <f t="shared" si="111"/>
        <v>0</v>
      </c>
      <c r="DB250" s="387">
        <f t="shared" si="112"/>
        <v>0</v>
      </c>
      <c r="DC250" s="268">
        <f>IF($BN251=0,0,         IF(LEFT(DCC_Leg2_Fixed,2)="1/",uEvaluate(DCC_Leg2_Fixed),         _xll.qDateYears($BN250,$BN251,DCC_Leg2_Fixed)))</f>
        <v>0</v>
      </c>
      <c r="DD250" s="268">
        <f>IF($BN251,_xll.qDateYears($BN250,$BN251,DCC_Leg2_Float),0)</f>
        <v>0</v>
      </c>
      <c r="DF250" s="332">
        <f t="shared" si="127"/>
        <v>0</v>
      </c>
      <c r="DG250" s="357">
        <f t="shared" si="128"/>
        <v>0</v>
      </c>
      <c r="DH250" s="527"/>
      <c r="DJ250" s="324">
        <f t="shared" si="130"/>
        <v>0</v>
      </c>
      <c r="DK250" s="529"/>
      <c r="DL250" s="338"/>
    </row>
    <row r="251" spans="15:116">
      <c r="O251" s="121">
        <v>0</v>
      </c>
      <c r="P251" s="755">
        <f t="shared" si="99"/>
        <v>0</v>
      </c>
      <c r="Q251" s="125">
        <v>0</v>
      </c>
      <c r="R251" s="890">
        <f>IF(O252=0,0,         IF(OR(Currency1="AUD",Currency1="NZD",Currency1="GBP"),O251,   _xll.qDateNext(O251,"-2b",,,IF(Currency1="EUR","TGT","LON"))))</f>
        <v>0</v>
      </c>
      <c r="S251" s="879" t="str">
        <v/>
      </c>
      <c r="T251" s="879" t="str">
        <v/>
      </c>
      <c r="U251" s="879" t="str">
        <v/>
      </c>
      <c r="V251" s="879" t="str">
        <v/>
      </c>
      <c r="W251" s="879" t="str">
        <v/>
      </c>
      <c r="X251" s="879" t="str">
        <v/>
      </c>
      <c r="Y251" s="879" t="str">
        <v/>
      </c>
      <c r="Z251" s="879" t="str">
        <v/>
      </c>
      <c r="AA251" s="882">
        <f>IF($O252=0,0,        _xll.qDateNext($O251,AA$17,$AH$16,TRUE,Currency1))</f>
        <v>0</v>
      </c>
      <c r="AB251" s="882">
        <f>IF($O252=0,0,        _xll.qDateNext($O251,AB$17,$AH$16,TRUE,Currency1))</f>
        <v>0</v>
      </c>
      <c r="AC251" s="882">
        <f>IF($O252=0,0,        _xll.qDateNext($O251,AC$17,$AH$16,TRUE,Currency1))</f>
        <v>0</v>
      </c>
      <c r="AD251" s="882">
        <f>IF($O252=0,0,        _xll.qDateNext($O251,AD$17,$AH$16,TRUE,Currency1))</f>
        <v>0</v>
      </c>
      <c r="AE251" s="882">
        <f>IF($O252=0,0,        _xll.qDateNext($O251,AE$17,$AH$16,TRUE,Currency1))</f>
        <v>0</v>
      </c>
      <c r="AF251" s="882">
        <f>IF($O252=0,0,        _xll.qDateNext($O251,AF$17,$AH$16,TRUE,Currency1))</f>
        <v>0</v>
      </c>
      <c r="AG251" s="882">
        <f>IF($O252=0,0,        _xll.qDateNext($O251,AG$17,$AH$16,TRUE,Currency1))</f>
        <v>0</v>
      </c>
      <c r="AH251" s="882">
        <f>IF($O252=0,0,        _xll.qDateNext($O251,AH$17,$AH$16,TRUE,Currency1))</f>
        <v>0</v>
      </c>
      <c r="AI251" s="886">
        <f>IF($O252=0,0,           IF(FRM,_xll.qGetFwdRate(AI$14,$O251,AA251,"T",DCC_Leg1_Float),_xll.qGetFwdRate(AI$14,$O251,$O252,"T",DCC_Leg1_Float)))</f>
        <v>0</v>
      </c>
      <c r="AJ251" s="886">
        <f>IF($O252=0,0,           IF(FRM,_xll.qGetFwdRate(AJ$14,$O251,AB251,"T",DCC_Leg1_Float),_xll.qGetFwdRate(AJ$14,$O251,$O252,"T",DCC_Leg1_Float)))</f>
        <v>0</v>
      </c>
      <c r="AK251" s="886">
        <f t="shared" si="100"/>
        <v>0</v>
      </c>
      <c r="AL251" s="886">
        <f>IF($O252=0,0,           IF(FRM,_xll.qGetFwdRate(AL$14,$O251,AD251,"T",DCC_Leg1_Float),_xll.qGetFwdRate(AL$14,$O251,$O252,"T",DCC_Leg1_Float)))</f>
        <v>0</v>
      </c>
      <c r="AM251" s="886">
        <f t="shared" si="113"/>
        <v>0</v>
      </c>
      <c r="AN251" s="886">
        <f t="shared" si="114"/>
        <v>0</v>
      </c>
      <c r="AO251" s="886">
        <f>IF($O252=0,0,           IF(FRM,_xll.qGetFwdRate(AO$14,$O251,AG251,"T",DCC_Leg1_Float),_xll.qGetFwdRate(AO$14,$O251,$O252,"T",DCC_Leg1_Float)))</f>
        <v>0</v>
      </c>
      <c r="AP251" s="886">
        <f>IF($O252=0,0,           IF(FRM,_xll.qGetFwdRate(AP$14,$O251,AH251,"T",DCC_Leg1_Float),_xll.qGetFwdRate(AP$14,$O251,$O252,"T",DCC_Leg1_Float)))</f>
        <v>0</v>
      </c>
      <c r="AQ251" s="648">
        <f t="shared" si="115"/>
        <v>0</v>
      </c>
      <c r="AR251" s="648">
        <f t="shared" si="116"/>
        <v>0</v>
      </c>
      <c r="AS251" s="648">
        <f t="shared" si="117"/>
        <v>0</v>
      </c>
      <c r="AT251" s="648">
        <f t="shared" si="118"/>
        <v>0</v>
      </c>
      <c r="AU251" s="648">
        <f t="shared" si="119"/>
        <v>0</v>
      </c>
      <c r="AV251" s="648">
        <f t="shared" si="120"/>
        <v>0</v>
      </c>
      <c r="AW251" s="648">
        <f t="shared" si="121"/>
        <v>0</v>
      </c>
      <c r="AX251" s="648">
        <f t="shared" si="122"/>
        <v>0</v>
      </c>
      <c r="AY251" s="634">
        <v>0</v>
      </c>
      <c r="AZ251" s="616"/>
      <c r="BA251" s="619">
        <f>IF(O252=0,0,             IF(ISNUMBER(AZ251),AZ251,             IF(ISTEXT(AZ251),INDEX(AQ251:AX251,MATCH(AZ251,$AQ$17:$AX$17,0)),           IF(AY251="INT",_xll.qInterp(O252,AA251:AH251,AQ251:AX251),       INDEX(AQ251:AX251,MATCH(AY251,$AQ$17:$AX$17,0))))))</f>
        <v>0</v>
      </c>
      <c r="BB251" s="674">
        <v>100</v>
      </c>
      <c r="BC251" s="666">
        <f t="shared" si="101"/>
        <v>0</v>
      </c>
      <c r="BD251" s="268">
        <f>IF($O252=0,0,                IF(LEFT(DCC_Leg1_Fixed,2)="1/",uEvaluate(DCC_Leg1_Fixed),        _xll.qDateYears($O251,$O252,DCC_Leg1_Fixed)))</f>
        <v>0</v>
      </c>
      <c r="BE251" s="268">
        <f>IF($O252,_xll.qDateYears($O251,$O252,DCC_Leg1_Float),0)</f>
        <v>0</v>
      </c>
      <c r="BG251" s="332">
        <f t="shared" si="123"/>
        <v>0</v>
      </c>
      <c r="BH251" s="357">
        <f t="shared" si="124"/>
        <v>0</v>
      </c>
      <c r="BI251" s="527"/>
      <c r="BK251" s="324">
        <f t="shared" si="129"/>
        <v>0</v>
      </c>
      <c r="BM251" s="338"/>
      <c r="BN251" s="121">
        <v>0</v>
      </c>
      <c r="BO251" s="755">
        <f t="shared" si="102"/>
        <v>0</v>
      </c>
      <c r="BP251" s="339">
        <v>0</v>
      </c>
      <c r="BQ251" s="890">
        <f>IF(BN252=0,0,         IF(OR(Currency2="AUD",Currency1="NZD",Currency2="GBP"),BN251,   _xll.qDateNext(BN251,"-2b",,,IF(Currency2="EUR","TGT","LON"))))</f>
        <v>0</v>
      </c>
      <c r="BR251" s="879" t="str">
        <v/>
      </c>
      <c r="BS251" s="879" t="str">
        <v/>
      </c>
      <c r="BT251" s="879" t="str">
        <v/>
      </c>
      <c r="BU251" s="879" t="str">
        <v/>
      </c>
      <c r="BV251" s="879" t="str">
        <v/>
      </c>
      <c r="BW251" s="879" t="str">
        <v/>
      </c>
      <c r="BX251" s="879" t="str">
        <v/>
      </c>
      <c r="BY251" s="879" t="str">
        <v/>
      </c>
      <c r="BZ251" s="882">
        <f>IF($BN252=0,0,        _xll.qDateNext($BN251,BZ$17,$CG$16,TRUE,Currency2))</f>
        <v>0</v>
      </c>
      <c r="CA251" s="882">
        <f>IF($BN252=0,0,        _xll.qDateNext($BN251,CA$17,$CG$16,TRUE,Currency2))</f>
        <v>0</v>
      </c>
      <c r="CB251" s="882">
        <f>IF($BN252=0,0,        _xll.qDateNext($BN251,CB$17,$CG$16,TRUE,Currency2))</f>
        <v>0</v>
      </c>
      <c r="CC251" s="882">
        <f>IF($BN252=0,0,        _xll.qDateNext($BN251,CC$17,$CG$16,TRUE,Currency2))</f>
        <v>0</v>
      </c>
      <c r="CD251" s="882">
        <f>IF($BN252=0,0,        _xll.qDateNext($BN251,CD$17,$CG$16,TRUE,Currency2))</f>
        <v>0</v>
      </c>
      <c r="CE251" s="882">
        <f>IF($BN252=0,0,        _xll.qDateNext($BN251,CE$17,$CG$16,TRUE,Currency2))</f>
        <v>0</v>
      </c>
      <c r="CF251" s="882">
        <f>IF($BN252=0,0,        _xll.qDateNext($BN251,CF$17,$CG$16,TRUE,Currency2))</f>
        <v>0</v>
      </c>
      <c r="CG251" s="882">
        <f>IF($BN252=0,0,        _xll.qDateNext($BN251,CG$17,$CG$16,TRUE,Currency2))</f>
        <v>0</v>
      </c>
      <c r="CH251" s="886">
        <v>0</v>
      </c>
      <c r="CI251" s="886">
        <v>0</v>
      </c>
      <c r="CJ251" s="886">
        <v>0</v>
      </c>
      <c r="CK251" s="886">
        <v>0</v>
      </c>
      <c r="CL251" s="886">
        <f t="shared" si="125"/>
        <v>0</v>
      </c>
      <c r="CM251" s="886">
        <f t="shared" si="126"/>
        <v>0</v>
      </c>
      <c r="CN251" s="886">
        <v>0</v>
      </c>
      <c r="CO251" s="886">
        <v>0</v>
      </c>
      <c r="CP251" s="648">
        <f t="shared" si="103"/>
        <v>0</v>
      </c>
      <c r="CQ251" s="648">
        <f t="shared" si="104"/>
        <v>0</v>
      </c>
      <c r="CR251" s="648">
        <f t="shared" si="105"/>
        <v>0</v>
      </c>
      <c r="CS251" s="648">
        <f t="shared" si="106"/>
        <v>0</v>
      </c>
      <c r="CT251" s="648">
        <f t="shared" si="107"/>
        <v>0</v>
      </c>
      <c r="CU251" s="648">
        <f t="shared" si="108"/>
        <v>0</v>
      </c>
      <c r="CV251" s="648">
        <f t="shared" si="109"/>
        <v>0</v>
      </c>
      <c r="CW251" s="648">
        <f t="shared" si="110"/>
        <v>0</v>
      </c>
      <c r="CX251" s="634">
        <v>0</v>
      </c>
      <c r="CY251" s="616"/>
      <c r="CZ251" s="619">
        <f>IF(BN252=0,0,             IF(ISNUMBER(CY251),CY251,             IF(ISTEXT(CY251),INDEX(CP251:CW251,MATCH(CY251,$CP$17:$CW$17,0)),           IF(CX251="INT",_xll.qInterp(BN252,BZ251:CG251,CP251:CW251),       INDEX(CP251:CW251,MATCH(CX251,$CP$17:$CW$17,0))))))</f>
        <v>0</v>
      </c>
      <c r="DA251" s="755">
        <f t="shared" si="111"/>
        <v>0</v>
      </c>
      <c r="DB251" s="387">
        <f t="shared" si="112"/>
        <v>0</v>
      </c>
      <c r="DC251" s="268">
        <f>IF($BN252=0,0,         IF(LEFT(DCC_Leg2_Fixed,2)="1/",uEvaluate(DCC_Leg2_Fixed),         _xll.qDateYears($BN251,$BN252,DCC_Leg2_Fixed)))</f>
        <v>0</v>
      </c>
      <c r="DD251" s="268">
        <f>IF($BN252,_xll.qDateYears($BN251,$BN252,DCC_Leg2_Float),0)</f>
        <v>0</v>
      </c>
      <c r="DF251" s="332">
        <f t="shared" si="127"/>
        <v>0</v>
      </c>
      <c r="DG251" s="357">
        <f t="shared" si="128"/>
        <v>0</v>
      </c>
      <c r="DH251" s="527"/>
      <c r="DJ251" s="324">
        <f t="shared" si="130"/>
        <v>0</v>
      </c>
      <c r="DK251" s="529"/>
      <c r="DL251" s="338"/>
    </row>
    <row r="252" spans="15:116">
      <c r="O252" s="121">
        <v>0</v>
      </c>
      <c r="P252" s="755">
        <f t="shared" si="99"/>
        <v>0</v>
      </c>
      <c r="Q252" s="125">
        <v>0</v>
      </c>
      <c r="R252" s="890">
        <f>IF(O253=0,0,         IF(OR(Currency1="AUD",Currency1="NZD",Currency1="GBP"),O252,   _xll.qDateNext(O252,"-2b",,,IF(Currency1="EUR","TGT","LON"))))</f>
        <v>0</v>
      </c>
      <c r="S252" s="879" t="str">
        <v/>
      </c>
      <c r="T252" s="879" t="str">
        <v/>
      </c>
      <c r="U252" s="879" t="str">
        <v/>
      </c>
      <c r="V252" s="879" t="str">
        <v/>
      </c>
      <c r="W252" s="879" t="str">
        <v/>
      </c>
      <c r="X252" s="879" t="str">
        <v/>
      </c>
      <c r="Y252" s="879" t="str">
        <v/>
      </c>
      <c r="Z252" s="879" t="str">
        <v/>
      </c>
      <c r="AA252" s="882">
        <f>IF($O253=0,0,        _xll.qDateNext($O252,AA$17,$AH$16,TRUE,Currency1))</f>
        <v>0</v>
      </c>
      <c r="AB252" s="882">
        <f>IF($O253=0,0,        _xll.qDateNext($O252,AB$17,$AH$16,TRUE,Currency1))</f>
        <v>0</v>
      </c>
      <c r="AC252" s="882">
        <f>IF($O253=0,0,        _xll.qDateNext($O252,AC$17,$AH$16,TRUE,Currency1))</f>
        <v>0</v>
      </c>
      <c r="AD252" s="882">
        <f>IF($O253=0,0,        _xll.qDateNext($O252,AD$17,$AH$16,TRUE,Currency1))</f>
        <v>0</v>
      </c>
      <c r="AE252" s="882">
        <f>IF($O253=0,0,        _xll.qDateNext($O252,AE$17,$AH$16,TRUE,Currency1))</f>
        <v>0</v>
      </c>
      <c r="AF252" s="882">
        <f>IF($O253=0,0,        _xll.qDateNext($O252,AF$17,$AH$16,TRUE,Currency1))</f>
        <v>0</v>
      </c>
      <c r="AG252" s="882">
        <f>IF($O253=0,0,        _xll.qDateNext($O252,AG$17,$AH$16,TRUE,Currency1))</f>
        <v>0</v>
      </c>
      <c r="AH252" s="882">
        <f>IF($O253=0,0,        _xll.qDateNext($O252,AH$17,$AH$16,TRUE,Currency1))</f>
        <v>0</v>
      </c>
      <c r="AI252" s="886">
        <f>IF($O253=0,0,           IF(FRM,_xll.qGetFwdRate(AI$14,$O252,AA252,"T",DCC_Leg1_Float),_xll.qGetFwdRate(AI$14,$O252,$O253,"T",DCC_Leg1_Float)))</f>
        <v>0</v>
      </c>
      <c r="AJ252" s="886">
        <f>IF($O253=0,0,           IF(FRM,_xll.qGetFwdRate(AJ$14,$O252,AB252,"T",DCC_Leg1_Float),_xll.qGetFwdRate(AJ$14,$O252,$O253,"T",DCC_Leg1_Float)))</f>
        <v>0</v>
      </c>
      <c r="AK252" s="886">
        <f t="shared" si="100"/>
        <v>0</v>
      </c>
      <c r="AL252" s="886">
        <f>IF($O253=0,0,           IF(FRM,_xll.qGetFwdRate(AL$14,$O252,AD252,"T",DCC_Leg1_Float),_xll.qGetFwdRate(AL$14,$O252,$O253,"T",DCC_Leg1_Float)))</f>
        <v>0</v>
      </c>
      <c r="AM252" s="886">
        <f t="shared" si="113"/>
        <v>0</v>
      </c>
      <c r="AN252" s="886">
        <f t="shared" si="114"/>
        <v>0</v>
      </c>
      <c r="AO252" s="886">
        <f>IF($O253=0,0,           IF(FRM,_xll.qGetFwdRate(AO$14,$O252,AG252,"T",DCC_Leg1_Float),_xll.qGetFwdRate(AO$14,$O252,$O253,"T",DCC_Leg1_Float)))</f>
        <v>0</v>
      </c>
      <c r="AP252" s="886">
        <f>IF($O253=0,0,           IF(FRM,_xll.qGetFwdRate(AP$14,$O252,AH252,"T",DCC_Leg1_Float),_xll.qGetFwdRate(AP$14,$O252,$O253,"T",DCC_Leg1_Float)))</f>
        <v>0</v>
      </c>
      <c r="AQ252" s="648">
        <f t="shared" si="115"/>
        <v>0</v>
      </c>
      <c r="AR252" s="648">
        <f t="shared" si="116"/>
        <v>0</v>
      </c>
      <c r="AS252" s="648">
        <f t="shared" si="117"/>
        <v>0</v>
      </c>
      <c r="AT252" s="648">
        <f t="shared" si="118"/>
        <v>0</v>
      </c>
      <c r="AU252" s="648">
        <f t="shared" si="119"/>
        <v>0</v>
      </c>
      <c r="AV252" s="648">
        <f t="shared" si="120"/>
        <v>0</v>
      </c>
      <c r="AW252" s="648">
        <f t="shared" si="121"/>
        <v>0</v>
      </c>
      <c r="AX252" s="648">
        <f t="shared" si="122"/>
        <v>0</v>
      </c>
      <c r="AY252" s="634">
        <v>0</v>
      </c>
      <c r="AZ252" s="616"/>
      <c r="BA252" s="619">
        <f>IF(O253=0,0,             IF(ISNUMBER(AZ252),AZ252,             IF(ISTEXT(AZ252),INDEX(AQ252:AX252,MATCH(AZ252,$AQ$17:$AX$17,0)),           IF(AY252="INT",_xll.qInterp(O253,AA252:AH252,AQ252:AX252),       INDEX(AQ252:AX252,MATCH(AY252,$AQ$17:$AX$17,0))))))</f>
        <v>0</v>
      </c>
      <c r="BB252" s="674">
        <v>100</v>
      </c>
      <c r="BC252" s="666">
        <f t="shared" si="101"/>
        <v>0</v>
      </c>
      <c r="BD252" s="268">
        <f>IF($O253=0,0,                IF(LEFT(DCC_Leg1_Fixed,2)="1/",uEvaluate(DCC_Leg1_Fixed),        _xll.qDateYears($O252,$O253,DCC_Leg1_Fixed)))</f>
        <v>0</v>
      </c>
      <c r="BE252" s="268">
        <f>IF($O253,_xll.qDateYears($O252,$O253,DCC_Leg1_Float),0)</f>
        <v>0</v>
      </c>
      <c r="BG252" s="332">
        <f t="shared" si="123"/>
        <v>0</v>
      </c>
      <c r="BH252" s="357">
        <f t="shared" si="124"/>
        <v>0</v>
      </c>
      <c r="BI252" s="527"/>
      <c r="BK252" s="324">
        <f t="shared" si="129"/>
        <v>0</v>
      </c>
      <c r="BM252" s="338"/>
      <c r="BN252" s="121">
        <v>0</v>
      </c>
      <c r="BO252" s="755">
        <f t="shared" si="102"/>
        <v>0</v>
      </c>
      <c r="BP252" s="339">
        <v>0</v>
      </c>
      <c r="BQ252" s="890">
        <f>IF(BN253=0,0,         IF(OR(Currency2="AUD",Currency1="NZD",Currency2="GBP"),BN252,   _xll.qDateNext(BN252,"-2b",,,IF(Currency2="EUR","TGT","LON"))))</f>
        <v>0</v>
      </c>
      <c r="BR252" s="879" t="str">
        <v/>
      </c>
      <c r="BS252" s="879" t="str">
        <v/>
      </c>
      <c r="BT252" s="879" t="str">
        <v/>
      </c>
      <c r="BU252" s="879" t="str">
        <v/>
      </c>
      <c r="BV252" s="879" t="str">
        <v/>
      </c>
      <c r="BW252" s="879" t="str">
        <v/>
      </c>
      <c r="BX252" s="879" t="str">
        <v/>
      </c>
      <c r="BY252" s="879" t="str">
        <v/>
      </c>
      <c r="BZ252" s="882">
        <f>IF($BN253=0,0,        _xll.qDateNext($BN252,BZ$17,$CG$16,TRUE,Currency2))</f>
        <v>0</v>
      </c>
      <c r="CA252" s="882">
        <f>IF($BN253=0,0,        _xll.qDateNext($BN252,CA$17,$CG$16,TRUE,Currency2))</f>
        <v>0</v>
      </c>
      <c r="CB252" s="882">
        <f>IF($BN253=0,0,        _xll.qDateNext($BN252,CB$17,$CG$16,TRUE,Currency2))</f>
        <v>0</v>
      </c>
      <c r="CC252" s="882">
        <f>IF($BN253=0,0,        _xll.qDateNext($BN252,CC$17,$CG$16,TRUE,Currency2))</f>
        <v>0</v>
      </c>
      <c r="CD252" s="882">
        <f>IF($BN253=0,0,        _xll.qDateNext($BN252,CD$17,$CG$16,TRUE,Currency2))</f>
        <v>0</v>
      </c>
      <c r="CE252" s="882">
        <f>IF($BN253=0,0,        _xll.qDateNext($BN252,CE$17,$CG$16,TRUE,Currency2))</f>
        <v>0</v>
      </c>
      <c r="CF252" s="882">
        <f>IF($BN253=0,0,        _xll.qDateNext($BN252,CF$17,$CG$16,TRUE,Currency2))</f>
        <v>0</v>
      </c>
      <c r="CG252" s="882">
        <f>IF($BN253=0,0,        _xll.qDateNext($BN252,CG$17,$CG$16,TRUE,Currency2))</f>
        <v>0</v>
      </c>
      <c r="CH252" s="886">
        <v>0</v>
      </c>
      <c r="CI252" s="886">
        <v>0</v>
      </c>
      <c r="CJ252" s="886">
        <v>0</v>
      </c>
      <c r="CK252" s="886">
        <v>0</v>
      </c>
      <c r="CL252" s="886">
        <f t="shared" si="125"/>
        <v>0</v>
      </c>
      <c r="CM252" s="886">
        <f t="shared" si="126"/>
        <v>0</v>
      </c>
      <c r="CN252" s="886">
        <v>0</v>
      </c>
      <c r="CO252" s="886">
        <v>0</v>
      </c>
      <c r="CP252" s="648">
        <f t="shared" si="103"/>
        <v>0</v>
      </c>
      <c r="CQ252" s="648">
        <f t="shared" si="104"/>
        <v>0</v>
      </c>
      <c r="CR252" s="648">
        <f t="shared" si="105"/>
        <v>0</v>
      </c>
      <c r="CS252" s="648">
        <f t="shared" si="106"/>
        <v>0</v>
      </c>
      <c r="CT252" s="648">
        <f t="shared" si="107"/>
        <v>0</v>
      </c>
      <c r="CU252" s="648">
        <f t="shared" si="108"/>
        <v>0</v>
      </c>
      <c r="CV252" s="648">
        <f t="shared" si="109"/>
        <v>0</v>
      </c>
      <c r="CW252" s="648">
        <f t="shared" si="110"/>
        <v>0</v>
      </c>
      <c r="CX252" s="634">
        <v>0</v>
      </c>
      <c r="CY252" s="616"/>
      <c r="CZ252" s="619">
        <f>IF(BN253=0,0,             IF(ISNUMBER(CY252),CY252,             IF(ISTEXT(CY252),INDEX(CP252:CW252,MATCH(CY252,$CP$17:$CW$17,0)),           IF(CX252="INT",_xll.qInterp(BN253,BZ252:CG252,CP252:CW252),       INDEX(CP252:CW252,MATCH(CX252,$CP$17:$CW$17,0))))))</f>
        <v>0</v>
      </c>
      <c r="DA252" s="755">
        <f t="shared" si="111"/>
        <v>0</v>
      </c>
      <c r="DB252" s="387">
        <f t="shared" si="112"/>
        <v>0</v>
      </c>
      <c r="DC252" s="268">
        <f>IF($BN253=0,0,         IF(LEFT(DCC_Leg2_Fixed,2)="1/",uEvaluate(DCC_Leg2_Fixed),         _xll.qDateYears($BN252,$BN253,DCC_Leg2_Fixed)))</f>
        <v>0</v>
      </c>
      <c r="DD252" s="268">
        <f>IF($BN253,_xll.qDateYears($BN252,$BN253,DCC_Leg2_Float),0)</f>
        <v>0</v>
      </c>
      <c r="DF252" s="332">
        <f t="shared" si="127"/>
        <v>0</v>
      </c>
      <c r="DG252" s="357">
        <f t="shared" si="128"/>
        <v>0</v>
      </c>
      <c r="DH252" s="527"/>
      <c r="DJ252" s="324">
        <f t="shared" si="130"/>
        <v>0</v>
      </c>
      <c r="DK252" s="529"/>
      <c r="DL252" s="338"/>
    </row>
    <row r="253" spans="15:116">
      <c r="O253" s="121">
        <v>0</v>
      </c>
      <c r="P253" s="755">
        <f t="shared" si="99"/>
        <v>0</v>
      </c>
      <c r="Q253" s="125">
        <v>0</v>
      </c>
      <c r="R253" s="890">
        <f>IF(O254=0,0,         IF(OR(Currency1="AUD",Currency1="NZD",Currency1="GBP"),O253,   _xll.qDateNext(O253,"-2b",,,IF(Currency1="EUR","TGT","LON"))))</f>
        <v>0</v>
      </c>
      <c r="S253" s="879" t="str">
        <v/>
      </c>
      <c r="T253" s="879" t="str">
        <v/>
      </c>
      <c r="U253" s="879" t="str">
        <v/>
      </c>
      <c r="V253" s="879" t="str">
        <v/>
      </c>
      <c r="W253" s="879" t="str">
        <v/>
      </c>
      <c r="X253" s="879" t="str">
        <v/>
      </c>
      <c r="Y253" s="879" t="str">
        <v/>
      </c>
      <c r="Z253" s="879" t="str">
        <v/>
      </c>
      <c r="AA253" s="882">
        <f>IF($O254=0,0,        _xll.qDateNext($O253,AA$17,$AH$16,TRUE,Currency1))</f>
        <v>0</v>
      </c>
      <c r="AB253" s="882">
        <f>IF($O254=0,0,        _xll.qDateNext($O253,AB$17,$AH$16,TRUE,Currency1))</f>
        <v>0</v>
      </c>
      <c r="AC253" s="882">
        <f>IF($O254=0,0,        _xll.qDateNext($O253,AC$17,$AH$16,TRUE,Currency1))</f>
        <v>0</v>
      </c>
      <c r="AD253" s="882">
        <f>IF($O254=0,0,        _xll.qDateNext($O253,AD$17,$AH$16,TRUE,Currency1))</f>
        <v>0</v>
      </c>
      <c r="AE253" s="882">
        <f>IF($O254=0,0,        _xll.qDateNext($O253,AE$17,$AH$16,TRUE,Currency1))</f>
        <v>0</v>
      </c>
      <c r="AF253" s="882">
        <f>IF($O254=0,0,        _xll.qDateNext($O253,AF$17,$AH$16,TRUE,Currency1))</f>
        <v>0</v>
      </c>
      <c r="AG253" s="882">
        <f>IF($O254=0,0,        _xll.qDateNext($O253,AG$17,$AH$16,TRUE,Currency1))</f>
        <v>0</v>
      </c>
      <c r="AH253" s="882">
        <f>IF($O254=0,0,        _xll.qDateNext($O253,AH$17,$AH$16,TRUE,Currency1))</f>
        <v>0</v>
      </c>
      <c r="AI253" s="886">
        <f>IF($O254=0,0,           IF(FRM,_xll.qGetFwdRate(AI$14,$O253,AA253,"T",DCC_Leg1_Float),_xll.qGetFwdRate(AI$14,$O253,$O254,"T",DCC_Leg1_Float)))</f>
        <v>0</v>
      </c>
      <c r="AJ253" s="886">
        <f>IF($O254=0,0,           IF(FRM,_xll.qGetFwdRate(AJ$14,$O253,AB253,"T",DCC_Leg1_Float),_xll.qGetFwdRate(AJ$14,$O253,$O254,"T",DCC_Leg1_Float)))</f>
        <v>0</v>
      </c>
      <c r="AK253" s="886">
        <f t="shared" si="100"/>
        <v>0</v>
      </c>
      <c r="AL253" s="886">
        <f>IF($O254=0,0,           IF(FRM,_xll.qGetFwdRate(AL$14,$O253,AD253,"T",DCC_Leg1_Float),_xll.qGetFwdRate(AL$14,$O253,$O254,"T",DCC_Leg1_Float)))</f>
        <v>0</v>
      </c>
      <c r="AM253" s="886">
        <f t="shared" si="113"/>
        <v>0</v>
      </c>
      <c r="AN253" s="886">
        <f t="shared" si="114"/>
        <v>0</v>
      </c>
      <c r="AO253" s="886">
        <f>IF($O254=0,0,           IF(FRM,_xll.qGetFwdRate(AO$14,$O253,AG253,"T",DCC_Leg1_Float),_xll.qGetFwdRate(AO$14,$O253,$O254,"T",DCC_Leg1_Float)))</f>
        <v>0</v>
      </c>
      <c r="AP253" s="886">
        <f>IF($O254=0,0,           IF(FRM,_xll.qGetFwdRate(AP$14,$O253,AH253,"T",DCC_Leg1_Float),_xll.qGetFwdRate(AP$14,$O253,$O254,"T",DCC_Leg1_Float)))</f>
        <v>0</v>
      </c>
      <c r="AQ253" s="648">
        <f t="shared" si="115"/>
        <v>0</v>
      </c>
      <c r="AR253" s="648">
        <f t="shared" si="116"/>
        <v>0</v>
      </c>
      <c r="AS253" s="648">
        <f t="shared" si="117"/>
        <v>0</v>
      </c>
      <c r="AT253" s="648">
        <f t="shared" si="118"/>
        <v>0</v>
      </c>
      <c r="AU253" s="648">
        <f t="shared" si="119"/>
        <v>0</v>
      </c>
      <c r="AV253" s="648">
        <f t="shared" si="120"/>
        <v>0</v>
      </c>
      <c r="AW253" s="648">
        <f t="shared" si="121"/>
        <v>0</v>
      </c>
      <c r="AX253" s="648">
        <f t="shared" si="122"/>
        <v>0</v>
      </c>
      <c r="AY253" s="634">
        <v>0</v>
      </c>
      <c r="AZ253" s="616"/>
      <c r="BA253" s="619">
        <f>IF(O254=0,0,             IF(ISNUMBER(AZ253),AZ253,             IF(ISTEXT(AZ253),INDEX(AQ253:AX253,MATCH(AZ253,$AQ$17:$AX$17,0)),           IF(AY253="INT",_xll.qInterp(O254,AA253:AH253,AQ253:AX253),       INDEX(AQ253:AX253,MATCH(AY253,$AQ$17:$AX$17,0))))))</f>
        <v>0</v>
      </c>
      <c r="BB253" s="674">
        <v>100</v>
      </c>
      <c r="BC253" s="666">
        <f t="shared" si="101"/>
        <v>0</v>
      </c>
      <c r="BD253" s="268">
        <f>IF($O254=0,0,                IF(LEFT(DCC_Leg1_Fixed,2)="1/",uEvaluate(DCC_Leg1_Fixed),        _xll.qDateYears($O253,$O254,DCC_Leg1_Fixed)))</f>
        <v>0</v>
      </c>
      <c r="BE253" s="268">
        <f>IF($O254,_xll.qDateYears($O253,$O254,DCC_Leg1_Float),0)</f>
        <v>0</v>
      </c>
      <c r="BG253" s="332">
        <f t="shared" si="123"/>
        <v>0</v>
      </c>
      <c r="BH253" s="357">
        <f t="shared" si="124"/>
        <v>0</v>
      </c>
      <c r="BI253" s="527"/>
      <c r="BK253" s="324">
        <f t="shared" si="129"/>
        <v>0</v>
      </c>
      <c r="BM253" s="338"/>
      <c r="BN253" s="121">
        <v>0</v>
      </c>
      <c r="BO253" s="755">
        <f t="shared" si="102"/>
        <v>0</v>
      </c>
      <c r="BP253" s="339">
        <v>0</v>
      </c>
      <c r="BQ253" s="890">
        <f>IF(BN254=0,0,         IF(OR(Currency2="AUD",Currency1="NZD",Currency2="GBP"),BN253,   _xll.qDateNext(BN253,"-2b",,,IF(Currency2="EUR","TGT","LON"))))</f>
        <v>0</v>
      </c>
      <c r="BR253" s="879" t="str">
        <v/>
      </c>
      <c r="BS253" s="879" t="str">
        <v/>
      </c>
      <c r="BT253" s="879" t="str">
        <v/>
      </c>
      <c r="BU253" s="879" t="str">
        <v/>
      </c>
      <c r="BV253" s="879" t="str">
        <v/>
      </c>
      <c r="BW253" s="879" t="str">
        <v/>
      </c>
      <c r="BX253" s="879" t="str">
        <v/>
      </c>
      <c r="BY253" s="879" t="str">
        <v/>
      </c>
      <c r="BZ253" s="882">
        <f>IF($BN254=0,0,        _xll.qDateNext($BN253,BZ$17,$CG$16,TRUE,Currency2))</f>
        <v>0</v>
      </c>
      <c r="CA253" s="882">
        <f>IF($BN254=0,0,        _xll.qDateNext($BN253,CA$17,$CG$16,TRUE,Currency2))</f>
        <v>0</v>
      </c>
      <c r="CB253" s="882">
        <f>IF($BN254=0,0,        _xll.qDateNext($BN253,CB$17,$CG$16,TRUE,Currency2))</f>
        <v>0</v>
      </c>
      <c r="CC253" s="882">
        <f>IF($BN254=0,0,        _xll.qDateNext($BN253,CC$17,$CG$16,TRUE,Currency2))</f>
        <v>0</v>
      </c>
      <c r="CD253" s="882">
        <f>IF($BN254=0,0,        _xll.qDateNext($BN253,CD$17,$CG$16,TRUE,Currency2))</f>
        <v>0</v>
      </c>
      <c r="CE253" s="882">
        <f>IF($BN254=0,0,        _xll.qDateNext($BN253,CE$17,$CG$16,TRUE,Currency2))</f>
        <v>0</v>
      </c>
      <c r="CF253" s="882">
        <f>IF($BN254=0,0,        _xll.qDateNext($BN253,CF$17,$CG$16,TRUE,Currency2))</f>
        <v>0</v>
      </c>
      <c r="CG253" s="882">
        <f>IF($BN254=0,0,        _xll.qDateNext($BN253,CG$17,$CG$16,TRUE,Currency2))</f>
        <v>0</v>
      </c>
      <c r="CH253" s="886">
        <v>0</v>
      </c>
      <c r="CI253" s="886">
        <v>0</v>
      </c>
      <c r="CJ253" s="886">
        <v>0</v>
      </c>
      <c r="CK253" s="886">
        <v>0</v>
      </c>
      <c r="CL253" s="886">
        <f t="shared" si="125"/>
        <v>0</v>
      </c>
      <c r="CM253" s="886">
        <f t="shared" si="126"/>
        <v>0</v>
      </c>
      <c r="CN253" s="886">
        <v>0</v>
      </c>
      <c r="CO253" s="886">
        <v>0</v>
      </c>
      <c r="CP253" s="648">
        <f t="shared" si="103"/>
        <v>0</v>
      </c>
      <c r="CQ253" s="648">
        <f t="shared" si="104"/>
        <v>0</v>
      </c>
      <c r="CR253" s="648">
        <f t="shared" si="105"/>
        <v>0</v>
      </c>
      <c r="CS253" s="648">
        <f t="shared" si="106"/>
        <v>0</v>
      </c>
      <c r="CT253" s="648">
        <f t="shared" si="107"/>
        <v>0</v>
      </c>
      <c r="CU253" s="648">
        <f t="shared" si="108"/>
        <v>0</v>
      </c>
      <c r="CV253" s="648">
        <f t="shared" si="109"/>
        <v>0</v>
      </c>
      <c r="CW253" s="648">
        <f t="shared" si="110"/>
        <v>0</v>
      </c>
      <c r="CX253" s="634">
        <v>0</v>
      </c>
      <c r="CY253" s="616"/>
      <c r="CZ253" s="619">
        <f>IF(BN254=0,0,             IF(ISNUMBER(CY253),CY253,             IF(ISTEXT(CY253),INDEX(CP253:CW253,MATCH(CY253,$CP$17:$CW$17,0)),           IF(CX253="INT",_xll.qInterp(BN254,BZ253:CG253,CP253:CW253),       INDEX(CP253:CW253,MATCH(CX253,$CP$17:$CW$17,0))))))</f>
        <v>0</v>
      </c>
      <c r="DA253" s="755">
        <f t="shared" si="111"/>
        <v>0</v>
      </c>
      <c r="DB253" s="387">
        <f t="shared" si="112"/>
        <v>0</v>
      </c>
      <c r="DC253" s="268">
        <f>IF($BN254=0,0,         IF(LEFT(DCC_Leg2_Fixed,2)="1/",uEvaluate(DCC_Leg2_Fixed),         _xll.qDateYears($BN253,$BN254,DCC_Leg2_Fixed)))</f>
        <v>0</v>
      </c>
      <c r="DD253" s="268">
        <f>IF($BN254,_xll.qDateYears($BN253,$BN254,DCC_Leg2_Float),0)</f>
        <v>0</v>
      </c>
      <c r="DF253" s="332">
        <f t="shared" si="127"/>
        <v>0</v>
      </c>
      <c r="DG253" s="357">
        <f t="shared" si="128"/>
        <v>0</v>
      </c>
      <c r="DH253" s="527"/>
      <c r="DJ253" s="324">
        <f t="shared" si="130"/>
        <v>0</v>
      </c>
      <c r="DK253" s="529"/>
      <c r="DL253" s="338"/>
    </row>
    <row r="254" spans="15:116">
      <c r="O254" s="121">
        <v>0</v>
      </c>
      <c r="P254" s="755">
        <f t="shared" si="99"/>
        <v>0</v>
      </c>
      <c r="Q254" s="125">
        <v>0</v>
      </c>
      <c r="R254" s="890">
        <f>IF(O255=0,0,         IF(OR(Currency1="AUD",Currency1="NZD",Currency1="GBP"),O254,   _xll.qDateNext(O254,"-2b",,,IF(Currency1="EUR","TGT","LON"))))</f>
        <v>0</v>
      </c>
      <c r="S254" s="879" t="str">
        <v/>
      </c>
      <c r="T254" s="879" t="str">
        <v/>
      </c>
      <c r="U254" s="879" t="str">
        <v/>
      </c>
      <c r="V254" s="879" t="str">
        <v/>
      </c>
      <c r="W254" s="879" t="str">
        <v/>
      </c>
      <c r="X254" s="879" t="str">
        <v/>
      </c>
      <c r="Y254" s="879" t="str">
        <v/>
      </c>
      <c r="Z254" s="879" t="str">
        <v/>
      </c>
      <c r="AA254" s="882">
        <f>IF($O255=0,0,        _xll.qDateNext($O254,AA$17,$AH$16,TRUE,Currency1))</f>
        <v>0</v>
      </c>
      <c r="AB254" s="882">
        <f>IF($O255=0,0,        _xll.qDateNext($O254,AB$17,$AH$16,TRUE,Currency1))</f>
        <v>0</v>
      </c>
      <c r="AC254" s="882">
        <f>IF($O255=0,0,        _xll.qDateNext($O254,AC$17,$AH$16,TRUE,Currency1))</f>
        <v>0</v>
      </c>
      <c r="AD254" s="882">
        <f>IF($O255=0,0,        _xll.qDateNext($O254,AD$17,$AH$16,TRUE,Currency1))</f>
        <v>0</v>
      </c>
      <c r="AE254" s="882">
        <f>IF($O255=0,0,        _xll.qDateNext($O254,AE$17,$AH$16,TRUE,Currency1))</f>
        <v>0</v>
      </c>
      <c r="AF254" s="882">
        <f>IF($O255=0,0,        _xll.qDateNext($O254,AF$17,$AH$16,TRUE,Currency1))</f>
        <v>0</v>
      </c>
      <c r="AG254" s="882">
        <f>IF($O255=0,0,        _xll.qDateNext($O254,AG$17,$AH$16,TRUE,Currency1))</f>
        <v>0</v>
      </c>
      <c r="AH254" s="882">
        <f>IF($O255=0,0,        _xll.qDateNext($O254,AH$17,$AH$16,TRUE,Currency1))</f>
        <v>0</v>
      </c>
      <c r="AI254" s="886">
        <f>IF($O255=0,0,           IF(FRM,_xll.qGetFwdRate(AI$14,$O254,AA254,"T",DCC_Leg1_Float),_xll.qGetFwdRate(AI$14,$O254,$O255,"T",DCC_Leg1_Float)))</f>
        <v>0</v>
      </c>
      <c r="AJ254" s="886">
        <f>IF($O255=0,0,           IF(FRM,_xll.qGetFwdRate(AJ$14,$O254,AB254,"T",DCC_Leg1_Float),_xll.qGetFwdRate(AJ$14,$O254,$O255,"T",DCC_Leg1_Float)))</f>
        <v>0</v>
      </c>
      <c r="AK254" s="886">
        <f t="shared" si="100"/>
        <v>0</v>
      </c>
      <c r="AL254" s="886">
        <f>IF($O255=0,0,           IF(FRM,_xll.qGetFwdRate(AL$14,$O254,AD254,"T",DCC_Leg1_Float),_xll.qGetFwdRate(AL$14,$O254,$O255,"T",DCC_Leg1_Float)))</f>
        <v>0</v>
      </c>
      <c r="AM254" s="886">
        <f t="shared" si="113"/>
        <v>0</v>
      </c>
      <c r="AN254" s="886">
        <f t="shared" si="114"/>
        <v>0</v>
      </c>
      <c r="AO254" s="886">
        <f>IF($O255=0,0,           IF(FRM,_xll.qGetFwdRate(AO$14,$O254,AG254,"T",DCC_Leg1_Float),_xll.qGetFwdRate(AO$14,$O254,$O255,"T",DCC_Leg1_Float)))</f>
        <v>0</v>
      </c>
      <c r="AP254" s="886">
        <f>IF($O255=0,0,           IF(FRM,_xll.qGetFwdRate(AP$14,$O254,AH254,"T",DCC_Leg1_Float),_xll.qGetFwdRate(AP$14,$O254,$O255,"T",DCC_Leg1_Float)))</f>
        <v>0</v>
      </c>
      <c r="AQ254" s="648">
        <f t="shared" si="115"/>
        <v>0</v>
      </c>
      <c r="AR254" s="648">
        <f t="shared" si="116"/>
        <v>0</v>
      </c>
      <c r="AS254" s="648">
        <f t="shared" si="117"/>
        <v>0</v>
      </c>
      <c r="AT254" s="648">
        <f t="shared" si="118"/>
        <v>0</v>
      </c>
      <c r="AU254" s="648">
        <f t="shared" si="119"/>
        <v>0</v>
      </c>
      <c r="AV254" s="648">
        <f t="shared" si="120"/>
        <v>0</v>
      </c>
      <c r="AW254" s="648">
        <f t="shared" si="121"/>
        <v>0</v>
      </c>
      <c r="AX254" s="648">
        <f t="shared" si="122"/>
        <v>0</v>
      </c>
      <c r="AY254" s="634">
        <v>0</v>
      </c>
      <c r="AZ254" s="616"/>
      <c r="BA254" s="619">
        <f>IF(O255=0,0,             IF(ISNUMBER(AZ254),AZ254,             IF(ISTEXT(AZ254),INDEX(AQ254:AX254,MATCH(AZ254,$AQ$17:$AX$17,0)),           IF(AY254="INT",_xll.qInterp(O255,AA254:AH254,AQ254:AX254),       INDEX(AQ254:AX254,MATCH(AY254,$AQ$17:$AX$17,0))))))</f>
        <v>0</v>
      </c>
      <c r="BB254" s="674">
        <v>100</v>
      </c>
      <c r="BC254" s="666">
        <f t="shared" si="101"/>
        <v>0</v>
      </c>
      <c r="BD254" s="268">
        <f>IF($O255=0,0,                IF(LEFT(DCC_Leg1_Fixed,2)="1/",uEvaluate(DCC_Leg1_Fixed),        _xll.qDateYears($O254,$O255,DCC_Leg1_Fixed)))</f>
        <v>0</v>
      </c>
      <c r="BE254" s="268">
        <f>IF($O255,_xll.qDateYears($O254,$O255,DCC_Leg1_Float),0)</f>
        <v>0</v>
      </c>
      <c r="BG254" s="332">
        <f t="shared" si="123"/>
        <v>0</v>
      </c>
      <c r="BH254" s="357">
        <f t="shared" si="124"/>
        <v>0</v>
      </c>
      <c r="BI254" s="527"/>
      <c r="BK254" s="324">
        <f t="shared" si="129"/>
        <v>0</v>
      </c>
      <c r="BM254" s="338"/>
      <c r="BN254" s="121">
        <v>0</v>
      </c>
      <c r="BO254" s="755">
        <f t="shared" si="102"/>
        <v>0</v>
      </c>
      <c r="BP254" s="339">
        <v>0</v>
      </c>
      <c r="BQ254" s="890">
        <f>IF(BN255=0,0,         IF(OR(Currency2="AUD",Currency1="NZD",Currency2="GBP"),BN254,   _xll.qDateNext(BN254,"-2b",,,IF(Currency2="EUR","TGT","LON"))))</f>
        <v>0</v>
      </c>
      <c r="BR254" s="879" t="str">
        <v/>
      </c>
      <c r="BS254" s="879" t="str">
        <v/>
      </c>
      <c r="BT254" s="879" t="str">
        <v/>
      </c>
      <c r="BU254" s="879" t="str">
        <v/>
      </c>
      <c r="BV254" s="879" t="str">
        <v/>
      </c>
      <c r="BW254" s="879" t="str">
        <v/>
      </c>
      <c r="BX254" s="879" t="str">
        <v/>
      </c>
      <c r="BY254" s="879" t="str">
        <v/>
      </c>
      <c r="BZ254" s="882">
        <f>IF($BN255=0,0,        _xll.qDateNext($BN254,BZ$17,$CG$16,TRUE,Currency2))</f>
        <v>0</v>
      </c>
      <c r="CA254" s="882">
        <f>IF($BN255=0,0,        _xll.qDateNext($BN254,CA$17,$CG$16,TRUE,Currency2))</f>
        <v>0</v>
      </c>
      <c r="CB254" s="882">
        <f>IF($BN255=0,0,        _xll.qDateNext($BN254,CB$17,$CG$16,TRUE,Currency2))</f>
        <v>0</v>
      </c>
      <c r="CC254" s="882">
        <f>IF($BN255=0,0,        _xll.qDateNext($BN254,CC$17,$CG$16,TRUE,Currency2))</f>
        <v>0</v>
      </c>
      <c r="CD254" s="882">
        <f>IF($BN255=0,0,        _xll.qDateNext($BN254,CD$17,$CG$16,TRUE,Currency2))</f>
        <v>0</v>
      </c>
      <c r="CE254" s="882">
        <f>IF($BN255=0,0,        _xll.qDateNext($BN254,CE$17,$CG$16,TRUE,Currency2))</f>
        <v>0</v>
      </c>
      <c r="CF254" s="882">
        <f>IF($BN255=0,0,        _xll.qDateNext($BN254,CF$17,$CG$16,TRUE,Currency2))</f>
        <v>0</v>
      </c>
      <c r="CG254" s="882">
        <f>IF($BN255=0,0,        _xll.qDateNext($BN254,CG$17,$CG$16,TRUE,Currency2))</f>
        <v>0</v>
      </c>
      <c r="CH254" s="886">
        <v>0</v>
      </c>
      <c r="CI254" s="886">
        <v>0</v>
      </c>
      <c r="CJ254" s="886">
        <v>0</v>
      </c>
      <c r="CK254" s="886">
        <v>0</v>
      </c>
      <c r="CL254" s="886">
        <f t="shared" si="125"/>
        <v>0</v>
      </c>
      <c r="CM254" s="886">
        <f t="shared" si="126"/>
        <v>0</v>
      </c>
      <c r="CN254" s="886">
        <v>0</v>
      </c>
      <c r="CO254" s="886">
        <v>0</v>
      </c>
      <c r="CP254" s="648">
        <f t="shared" si="103"/>
        <v>0</v>
      </c>
      <c r="CQ254" s="648">
        <f t="shared" si="104"/>
        <v>0</v>
      </c>
      <c r="CR254" s="648">
        <f t="shared" si="105"/>
        <v>0</v>
      </c>
      <c r="CS254" s="648">
        <f t="shared" si="106"/>
        <v>0</v>
      </c>
      <c r="CT254" s="648">
        <f t="shared" si="107"/>
        <v>0</v>
      </c>
      <c r="CU254" s="648">
        <f t="shared" si="108"/>
        <v>0</v>
      </c>
      <c r="CV254" s="648">
        <f t="shared" si="109"/>
        <v>0</v>
      </c>
      <c r="CW254" s="648">
        <f t="shared" si="110"/>
        <v>0</v>
      </c>
      <c r="CX254" s="634">
        <v>0</v>
      </c>
      <c r="CY254" s="616"/>
      <c r="CZ254" s="619">
        <f>IF(BN255=0,0,             IF(ISNUMBER(CY254),CY254,             IF(ISTEXT(CY254),INDEX(CP254:CW254,MATCH(CY254,$CP$17:$CW$17,0)),           IF(CX254="INT",_xll.qInterp(BN255,BZ254:CG254,CP254:CW254),       INDEX(CP254:CW254,MATCH(CX254,$CP$17:$CW$17,0))))))</f>
        <v>0</v>
      </c>
      <c r="DA254" s="755">
        <f t="shared" si="111"/>
        <v>0</v>
      </c>
      <c r="DB254" s="387">
        <f t="shared" si="112"/>
        <v>0</v>
      </c>
      <c r="DC254" s="268">
        <f>IF($BN255=0,0,         IF(LEFT(DCC_Leg2_Fixed,2)="1/",uEvaluate(DCC_Leg2_Fixed),         _xll.qDateYears($BN254,$BN255,DCC_Leg2_Fixed)))</f>
        <v>0</v>
      </c>
      <c r="DD254" s="268">
        <f>IF($BN255,_xll.qDateYears($BN254,$BN255,DCC_Leg2_Float),0)</f>
        <v>0</v>
      </c>
      <c r="DF254" s="332">
        <f t="shared" si="127"/>
        <v>0</v>
      </c>
      <c r="DG254" s="357">
        <f t="shared" si="128"/>
        <v>0</v>
      </c>
      <c r="DH254" s="527"/>
      <c r="DJ254" s="324">
        <f t="shared" si="130"/>
        <v>0</v>
      </c>
      <c r="DK254" s="529"/>
      <c r="DL254" s="338"/>
    </row>
    <row r="255" spans="15:116">
      <c r="O255" s="121">
        <v>0</v>
      </c>
      <c r="P255" s="755">
        <f t="shared" si="99"/>
        <v>0</v>
      </c>
      <c r="Q255" s="125">
        <v>0</v>
      </c>
      <c r="R255" s="890">
        <f>IF(O256=0,0,         IF(OR(Currency1="AUD",Currency1="NZD",Currency1="GBP"),O255,   _xll.qDateNext(O255,"-2b",,,IF(Currency1="EUR","TGT","LON"))))</f>
        <v>0</v>
      </c>
      <c r="S255" s="879" t="str">
        <v/>
      </c>
      <c r="T255" s="879" t="str">
        <v/>
      </c>
      <c r="U255" s="879" t="str">
        <v/>
      </c>
      <c r="V255" s="879" t="str">
        <v/>
      </c>
      <c r="W255" s="879" t="str">
        <v/>
      </c>
      <c r="X255" s="879" t="str">
        <v/>
      </c>
      <c r="Y255" s="879" t="str">
        <v/>
      </c>
      <c r="Z255" s="879" t="str">
        <v/>
      </c>
      <c r="AA255" s="882">
        <f>IF($O256=0,0,        _xll.qDateNext($O255,AA$17,$AH$16,TRUE,Currency1))</f>
        <v>0</v>
      </c>
      <c r="AB255" s="882">
        <f>IF($O256=0,0,        _xll.qDateNext($O255,AB$17,$AH$16,TRUE,Currency1))</f>
        <v>0</v>
      </c>
      <c r="AC255" s="882">
        <f>IF($O256=0,0,        _xll.qDateNext($O255,AC$17,$AH$16,TRUE,Currency1))</f>
        <v>0</v>
      </c>
      <c r="AD255" s="882">
        <f>IF($O256=0,0,        _xll.qDateNext($O255,AD$17,$AH$16,TRUE,Currency1))</f>
        <v>0</v>
      </c>
      <c r="AE255" s="882">
        <f>IF($O256=0,0,        _xll.qDateNext($O255,AE$17,$AH$16,TRUE,Currency1))</f>
        <v>0</v>
      </c>
      <c r="AF255" s="882">
        <f>IF($O256=0,0,        _xll.qDateNext($O255,AF$17,$AH$16,TRUE,Currency1))</f>
        <v>0</v>
      </c>
      <c r="AG255" s="882">
        <f>IF($O256=0,0,        _xll.qDateNext($O255,AG$17,$AH$16,TRUE,Currency1))</f>
        <v>0</v>
      </c>
      <c r="AH255" s="882">
        <f>IF($O256=0,0,        _xll.qDateNext($O255,AH$17,$AH$16,TRUE,Currency1))</f>
        <v>0</v>
      </c>
      <c r="AI255" s="886">
        <f>IF($O256=0,0,           IF(FRM,_xll.qGetFwdRate(AI$14,$O255,AA255,"T",DCC_Leg1_Float),_xll.qGetFwdRate(AI$14,$O255,$O256,"T",DCC_Leg1_Float)))</f>
        <v>0</v>
      </c>
      <c r="AJ255" s="886">
        <f>IF($O256=0,0,           IF(FRM,_xll.qGetFwdRate(AJ$14,$O255,AB255,"T",DCC_Leg1_Float),_xll.qGetFwdRate(AJ$14,$O255,$O256,"T",DCC_Leg1_Float)))</f>
        <v>0</v>
      </c>
      <c r="AK255" s="886">
        <f t="shared" si="100"/>
        <v>0</v>
      </c>
      <c r="AL255" s="886">
        <f>IF($O256=0,0,           IF(FRM,_xll.qGetFwdRate(AL$14,$O255,AD255,"T",DCC_Leg1_Float),_xll.qGetFwdRate(AL$14,$O255,$O256,"T",DCC_Leg1_Float)))</f>
        <v>0</v>
      </c>
      <c r="AM255" s="886">
        <f t="shared" si="113"/>
        <v>0</v>
      </c>
      <c r="AN255" s="886">
        <f t="shared" si="114"/>
        <v>0</v>
      </c>
      <c r="AO255" s="886">
        <f>IF($O256=0,0,           IF(FRM,_xll.qGetFwdRate(AO$14,$O255,AG255,"T",DCC_Leg1_Float),_xll.qGetFwdRate(AO$14,$O255,$O256,"T",DCC_Leg1_Float)))</f>
        <v>0</v>
      </c>
      <c r="AP255" s="886">
        <f>IF($O256=0,0,           IF(FRM,_xll.qGetFwdRate(AP$14,$O255,AH255,"T",DCC_Leg1_Float),_xll.qGetFwdRate(AP$14,$O255,$O256,"T",DCC_Leg1_Float)))</f>
        <v>0</v>
      </c>
      <c r="AQ255" s="648">
        <f t="shared" si="115"/>
        <v>0</v>
      </c>
      <c r="AR255" s="648">
        <f t="shared" si="116"/>
        <v>0</v>
      </c>
      <c r="AS255" s="648">
        <f t="shared" si="117"/>
        <v>0</v>
      </c>
      <c r="AT255" s="648">
        <f t="shared" si="118"/>
        <v>0</v>
      </c>
      <c r="AU255" s="648">
        <f t="shared" si="119"/>
        <v>0</v>
      </c>
      <c r="AV255" s="648">
        <f t="shared" si="120"/>
        <v>0</v>
      </c>
      <c r="AW255" s="648">
        <f t="shared" si="121"/>
        <v>0</v>
      </c>
      <c r="AX255" s="648">
        <f t="shared" si="122"/>
        <v>0</v>
      </c>
      <c r="AY255" s="634">
        <v>0</v>
      </c>
      <c r="AZ255" s="616"/>
      <c r="BA255" s="619">
        <f>IF(O256=0,0,             IF(ISNUMBER(AZ255),AZ255,             IF(ISTEXT(AZ255),INDEX(AQ255:AX255,MATCH(AZ255,$AQ$17:$AX$17,0)),           IF(AY255="INT",_xll.qInterp(O256,AA255:AH255,AQ255:AX255),       INDEX(AQ255:AX255,MATCH(AY255,$AQ$17:$AX$17,0))))))</f>
        <v>0</v>
      </c>
      <c r="BB255" s="674">
        <v>100</v>
      </c>
      <c r="BC255" s="666">
        <f t="shared" si="101"/>
        <v>0</v>
      </c>
      <c r="BD255" s="268">
        <f>IF($O256=0,0,                IF(LEFT(DCC_Leg1_Fixed,2)="1/",uEvaluate(DCC_Leg1_Fixed),        _xll.qDateYears($O255,$O256,DCC_Leg1_Fixed)))</f>
        <v>0</v>
      </c>
      <c r="BE255" s="268">
        <f>IF($O256,_xll.qDateYears($O255,$O256,DCC_Leg1_Float),0)</f>
        <v>0</v>
      </c>
      <c r="BG255" s="332">
        <f t="shared" si="123"/>
        <v>0</v>
      </c>
      <c r="BH255" s="357">
        <f t="shared" si="124"/>
        <v>0</v>
      </c>
      <c r="BI255" s="527"/>
      <c r="BK255" s="324">
        <f t="shared" si="129"/>
        <v>0</v>
      </c>
      <c r="BM255" s="338"/>
      <c r="BN255" s="121">
        <v>0</v>
      </c>
      <c r="BO255" s="755">
        <f t="shared" si="102"/>
        <v>0</v>
      </c>
      <c r="BP255" s="339">
        <v>0</v>
      </c>
      <c r="BQ255" s="890">
        <f>IF(BN256=0,0,         IF(OR(Currency2="AUD",Currency1="NZD",Currency2="GBP"),BN255,   _xll.qDateNext(BN255,"-2b",,,IF(Currency2="EUR","TGT","LON"))))</f>
        <v>0</v>
      </c>
      <c r="BR255" s="879" t="str">
        <v/>
      </c>
      <c r="BS255" s="879" t="str">
        <v/>
      </c>
      <c r="BT255" s="879" t="str">
        <v/>
      </c>
      <c r="BU255" s="879" t="str">
        <v/>
      </c>
      <c r="BV255" s="879" t="str">
        <v/>
      </c>
      <c r="BW255" s="879" t="str">
        <v/>
      </c>
      <c r="BX255" s="879" t="str">
        <v/>
      </c>
      <c r="BY255" s="879" t="str">
        <v/>
      </c>
      <c r="BZ255" s="882">
        <f>IF($BN256=0,0,        _xll.qDateNext($BN255,BZ$17,$CG$16,TRUE,Currency2))</f>
        <v>0</v>
      </c>
      <c r="CA255" s="882">
        <f>IF($BN256=0,0,        _xll.qDateNext($BN255,CA$17,$CG$16,TRUE,Currency2))</f>
        <v>0</v>
      </c>
      <c r="CB255" s="882">
        <f>IF($BN256=0,0,        _xll.qDateNext($BN255,CB$17,$CG$16,TRUE,Currency2))</f>
        <v>0</v>
      </c>
      <c r="CC255" s="882">
        <f>IF($BN256=0,0,        _xll.qDateNext($BN255,CC$17,$CG$16,TRUE,Currency2))</f>
        <v>0</v>
      </c>
      <c r="CD255" s="882">
        <f>IF($BN256=0,0,        _xll.qDateNext($BN255,CD$17,$CG$16,TRUE,Currency2))</f>
        <v>0</v>
      </c>
      <c r="CE255" s="882">
        <f>IF($BN256=0,0,        _xll.qDateNext($BN255,CE$17,$CG$16,TRUE,Currency2))</f>
        <v>0</v>
      </c>
      <c r="CF255" s="882">
        <f>IF($BN256=0,0,        _xll.qDateNext($BN255,CF$17,$CG$16,TRUE,Currency2))</f>
        <v>0</v>
      </c>
      <c r="CG255" s="882">
        <f>IF($BN256=0,0,        _xll.qDateNext($BN255,CG$17,$CG$16,TRUE,Currency2))</f>
        <v>0</v>
      </c>
      <c r="CH255" s="886">
        <v>0</v>
      </c>
      <c r="CI255" s="886">
        <v>0</v>
      </c>
      <c r="CJ255" s="886">
        <v>0</v>
      </c>
      <c r="CK255" s="886">
        <v>0</v>
      </c>
      <c r="CL255" s="886">
        <f t="shared" si="125"/>
        <v>0</v>
      </c>
      <c r="CM255" s="886">
        <f t="shared" si="126"/>
        <v>0</v>
      </c>
      <c r="CN255" s="886">
        <v>0</v>
      </c>
      <c r="CO255" s="886">
        <v>0</v>
      </c>
      <c r="CP255" s="648">
        <f t="shared" si="103"/>
        <v>0</v>
      </c>
      <c r="CQ255" s="648">
        <f t="shared" si="104"/>
        <v>0</v>
      </c>
      <c r="CR255" s="648">
        <f t="shared" si="105"/>
        <v>0</v>
      </c>
      <c r="CS255" s="648">
        <f t="shared" si="106"/>
        <v>0</v>
      </c>
      <c r="CT255" s="648">
        <f t="shared" si="107"/>
        <v>0</v>
      </c>
      <c r="CU255" s="648">
        <f t="shared" si="108"/>
        <v>0</v>
      </c>
      <c r="CV255" s="648">
        <f t="shared" si="109"/>
        <v>0</v>
      </c>
      <c r="CW255" s="648">
        <f t="shared" si="110"/>
        <v>0</v>
      </c>
      <c r="CX255" s="634">
        <v>0</v>
      </c>
      <c r="CY255" s="616"/>
      <c r="CZ255" s="619">
        <f>IF(BN256=0,0,             IF(ISNUMBER(CY255),CY255,             IF(ISTEXT(CY255),INDEX(CP255:CW255,MATCH(CY255,$CP$17:$CW$17,0)),           IF(CX255="INT",_xll.qInterp(BN256,BZ255:CG255,CP255:CW255),       INDEX(CP255:CW255,MATCH(CX255,$CP$17:$CW$17,0))))))</f>
        <v>0</v>
      </c>
      <c r="DA255" s="755">
        <f t="shared" si="111"/>
        <v>0</v>
      </c>
      <c r="DB255" s="387">
        <f t="shared" si="112"/>
        <v>0</v>
      </c>
      <c r="DC255" s="268">
        <f>IF($BN256=0,0,         IF(LEFT(DCC_Leg2_Fixed,2)="1/",uEvaluate(DCC_Leg2_Fixed),         _xll.qDateYears($BN255,$BN256,DCC_Leg2_Fixed)))</f>
        <v>0</v>
      </c>
      <c r="DD255" s="268">
        <f>IF($BN256,_xll.qDateYears($BN255,$BN256,DCC_Leg2_Float),0)</f>
        <v>0</v>
      </c>
      <c r="DF255" s="332">
        <f t="shared" si="127"/>
        <v>0</v>
      </c>
      <c r="DG255" s="357">
        <f t="shared" si="128"/>
        <v>0</v>
      </c>
      <c r="DH255" s="527"/>
      <c r="DJ255" s="324">
        <f t="shared" si="130"/>
        <v>0</v>
      </c>
      <c r="DK255" s="529"/>
      <c r="DL255" s="338"/>
    </row>
    <row r="256" spans="15:116">
      <c r="O256" s="121">
        <v>0</v>
      </c>
      <c r="P256" s="755">
        <f t="shared" si="99"/>
        <v>0</v>
      </c>
      <c r="Q256" s="125">
        <v>0</v>
      </c>
      <c r="R256" s="890">
        <f>IF(O257=0,0,         IF(OR(Currency1="AUD",Currency1="NZD",Currency1="GBP"),O256,   _xll.qDateNext(O256,"-2b",,,IF(Currency1="EUR","TGT","LON"))))</f>
        <v>0</v>
      </c>
      <c r="S256" s="879" t="str">
        <v/>
      </c>
      <c r="T256" s="879" t="str">
        <v/>
      </c>
      <c r="U256" s="879" t="str">
        <v/>
      </c>
      <c r="V256" s="879" t="str">
        <v/>
      </c>
      <c r="W256" s="879" t="str">
        <v/>
      </c>
      <c r="X256" s="879" t="str">
        <v/>
      </c>
      <c r="Y256" s="879" t="str">
        <v/>
      </c>
      <c r="Z256" s="879" t="str">
        <v/>
      </c>
      <c r="AA256" s="882">
        <f>IF($O257=0,0,        _xll.qDateNext($O256,AA$17,$AH$16,TRUE,Currency1))</f>
        <v>0</v>
      </c>
      <c r="AB256" s="882">
        <f>IF($O257=0,0,        _xll.qDateNext($O256,AB$17,$AH$16,TRUE,Currency1))</f>
        <v>0</v>
      </c>
      <c r="AC256" s="882">
        <f>IF($O257=0,0,        _xll.qDateNext($O256,AC$17,$AH$16,TRUE,Currency1))</f>
        <v>0</v>
      </c>
      <c r="AD256" s="882">
        <f>IF($O257=0,0,        _xll.qDateNext($O256,AD$17,$AH$16,TRUE,Currency1))</f>
        <v>0</v>
      </c>
      <c r="AE256" s="882">
        <f>IF($O257=0,0,        _xll.qDateNext($O256,AE$17,$AH$16,TRUE,Currency1))</f>
        <v>0</v>
      </c>
      <c r="AF256" s="882">
        <f>IF($O257=0,0,        _xll.qDateNext($O256,AF$17,$AH$16,TRUE,Currency1))</f>
        <v>0</v>
      </c>
      <c r="AG256" s="882">
        <f>IF($O257=0,0,        _xll.qDateNext($O256,AG$17,$AH$16,TRUE,Currency1))</f>
        <v>0</v>
      </c>
      <c r="AH256" s="882">
        <f>IF($O257=0,0,        _xll.qDateNext($O256,AH$17,$AH$16,TRUE,Currency1))</f>
        <v>0</v>
      </c>
      <c r="AI256" s="886">
        <f>IF($O257=0,0,           IF(FRM,_xll.qGetFwdRate(AI$14,$O256,AA256,"T",DCC_Leg1_Float),_xll.qGetFwdRate(AI$14,$O256,$O257,"T",DCC_Leg1_Float)))</f>
        <v>0</v>
      </c>
      <c r="AJ256" s="886">
        <f>IF($O257=0,0,           IF(FRM,_xll.qGetFwdRate(AJ$14,$O256,AB256,"T",DCC_Leg1_Float),_xll.qGetFwdRate(AJ$14,$O256,$O257,"T",DCC_Leg1_Float)))</f>
        <v>0</v>
      </c>
      <c r="AK256" s="886">
        <f t="shared" si="100"/>
        <v>0</v>
      </c>
      <c r="AL256" s="886">
        <f>IF($O257=0,0,           IF(FRM,_xll.qGetFwdRate(AL$14,$O256,AD256,"T",DCC_Leg1_Float),_xll.qGetFwdRate(AL$14,$O256,$O257,"T",DCC_Leg1_Float)))</f>
        <v>0</v>
      </c>
      <c r="AM256" s="886">
        <f t="shared" si="113"/>
        <v>0</v>
      </c>
      <c r="AN256" s="886">
        <f t="shared" si="114"/>
        <v>0</v>
      </c>
      <c r="AO256" s="886">
        <f>IF($O257=0,0,           IF(FRM,_xll.qGetFwdRate(AO$14,$O256,AG256,"T",DCC_Leg1_Float),_xll.qGetFwdRate(AO$14,$O256,$O257,"T",DCC_Leg1_Float)))</f>
        <v>0</v>
      </c>
      <c r="AP256" s="886">
        <f>IF($O257=0,0,           IF(FRM,_xll.qGetFwdRate(AP$14,$O256,AH256,"T",DCC_Leg1_Float),_xll.qGetFwdRate(AP$14,$O256,$O257,"T",DCC_Leg1_Float)))</f>
        <v>0</v>
      </c>
      <c r="AQ256" s="648">
        <f t="shared" si="115"/>
        <v>0</v>
      </c>
      <c r="AR256" s="648">
        <f t="shared" si="116"/>
        <v>0</v>
      </c>
      <c r="AS256" s="648">
        <f t="shared" si="117"/>
        <v>0</v>
      </c>
      <c r="AT256" s="648">
        <f t="shared" si="118"/>
        <v>0</v>
      </c>
      <c r="AU256" s="648">
        <f t="shared" si="119"/>
        <v>0</v>
      </c>
      <c r="AV256" s="648">
        <f t="shared" si="120"/>
        <v>0</v>
      </c>
      <c r="AW256" s="648">
        <f t="shared" si="121"/>
        <v>0</v>
      </c>
      <c r="AX256" s="648">
        <f t="shared" si="122"/>
        <v>0</v>
      </c>
      <c r="AY256" s="634">
        <v>0</v>
      </c>
      <c r="AZ256" s="616"/>
      <c r="BA256" s="619">
        <f>IF(O257=0,0,             IF(ISNUMBER(AZ256),AZ256,             IF(ISTEXT(AZ256),INDEX(AQ256:AX256,MATCH(AZ256,$AQ$17:$AX$17,0)),           IF(AY256="INT",_xll.qInterp(O257,AA256:AH256,AQ256:AX256),       INDEX(AQ256:AX256,MATCH(AY256,$AQ$17:$AX$17,0))))))</f>
        <v>0</v>
      </c>
      <c r="BB256" s="674">
        <v>100</v>
      </c>
      <c r="BC256" s="666">
        <f t="shared" si="101"/>
        <v>0</v>
      </c>
      <c r="BD256" s="268">
        <f>IF($O257=0,0,                IF(LEFT(DCC_Leg1_Fixed,2)="1/",uEvaluate(DCC_Leg1_Fixed),        _xll.qDateYears($O256,$O257,DCC_Leg1_Fixed)))</f>
        <v>0</v>
      </c>
      <c r="BE256" s="268">
        <f>IF($O257,_xll.qDateYears($O256,$O257,DCC_Leg1_Float),0)</f>
        <v>0</v>
      </c>
      <c r="BG256" s="332">
        <f t="shared" si="123"/>
        <v>0</v>
      </c>
      <c r="BH256" s="357">
        <f t="shared" si="124"/>
        <v>0</v>
      </c>
      <c r="BI256" s="527"/>
      <c r="BK256" s="324">
        <f t="shared" si="129"/>
        <v>0</v>
      </c>
      <c r="BM256" s="338"/>
      <c r="BN256" s="121">
        <v>0</v>
      </c>
      <c r="BO256" s="755">
        <f t="shared" si="102"/>
        <v>0</v>
      </c>
      <c r="BP256" s="339">
        <v>0</v>
      </c>
      <c r="BQ256" s="890">
        <f>IF(BN257=0,0,         IF(OR(Currency2="AUD",Currency1="NZD",Currency2="GBP"),BN256,   _xll.qDateNext(BN256,"-2b",,,IF(Currency2="EUR","TGT","LON"))))</f>
        <v>0</v>
      </c>
      <c r="BR256" s="879" t="str">
        <v/>
      </c>
      <c r="BS256" s="879" t="str">
        <v/>
      </c>
      <c r="BT256" s="879" t="str">
        <v/>
      </c>
      <c r="BU256" s="879" t="str">
        <v/>
      </c>
      <c r="BV256" s="879" t="str">
        <v/>
      </c>
      <c r="BW256" s="879" t="str">
        <v/>
      </c>
      <c r="BX256" s="879" t="str">
        <v/>
      </c>
      <c r="BY256" s="879" t="str">
        <v/>
      </c>
      <c r="BZ256" s="882">
        <f>IF($BN257=0,0,        _xll.qDateNext($BN256,BZ$17,$CG$16,TRUE,Currency2))</f>
        <v>0</v>
      </c>
      <c r="CA256" s="882">
        <f>IF($BN257=0,0,        _xll.qDateNext($BN256,CA$17,$CG$16,TRUE,Currency2))</f>
        <v>0</v>
      </c>
      <c r="CB256" s="882">
        <f>IF($BN257=0,0,        _xll.qDateNext($BN256,CB$17,$CG$16,TRUE,Currency2))</f>
        <v>0</v>
      </c>
      <c r="CC256" s="882">
        <f>IF($BN257=0,0,        _xll.qDateNext($BN256,CC$17,$CG$16,TRUE,Currency2))</f>
        <v>0</v>
      </c>
      <c r="CD256" s="882">
        <f>IF($BN257=0,0,        _xll.qDateNext($BN256,CD$17,$CG$16,TRUE,Currency2))</f>
        <v>0</v>
      </c>
      <c r="CE256" s="882">
        <f>IF($BN257=0,0,        _xll.qDateNext($BN256,CE$17,$CG$16,TRUE,Currency2))</f>
        <v>0</v>
      </c>
      <c r="CF256" s="882">
        <f>IF($BN257=0,0,        _xll.qDateNext($BN256,CF$17,$CG$16,TRUE,Currency2))</f>
        <v>0</v>
      </c>
      <c r="CG256" s="882">
        <f>IF($BN257=0,0,        _xll.qDateNext($BN256,CG$17,$CG$16,TRUE,Currency2))</f>
        <v>0</v>
      </c>
      <c r="CH256" s="886">
        <v>0</v>
      </c>
      <c r="CI256" s="886">
        <v>0</v>
      </c>
      <c r="CJ256" s="886">
        <v>0</v>
      </c>
      <c r="CK256" s="886">
        <v>0</v>
      </c>
      <c r="CL256" s="886">
        <f t="shared" si="125"/>
        <v>0</v>
      </c>
      <c r="CM256" s="886">
        <f t="shared" si="126"/>
        <v>0</v>
      </c>
      <c r="CN256" s="886">
        <v>0</v>
      </c>
      <c r="CO256" s="886">
        <v>0</v>
      </c>
      <c r="CP256" s="648">
        <f t="shared" si="103"/>
        <v>0</v>
      </c>
      <c r="CQ256" s="648">
        <f t="shared" si="104"/>
        <v>0</v>
      </c>
      <c r="CR256" s="648">
        <f t="shared" si="105"/>
        <v>0</v>
      </c>
      <c r="CS256" s="648">
        <f t="shared" si="106"/>
        <v>0</v>
      </c>
      <c r="CT256" s="648">
        <f t="shared" si="107"/>
        <v>0</v>
      </c>
      <c r="CU256" s="648">
        <f t="shared" si="108"/>
        <v>0</v>
      </c>
      <c r="CV256" s="648">
        <f t="shared" si="109"/>
        <v>0</v>
      </c>
      <c r="CW256" s="648">
        <f t="shared" si="110"/>
        <v>0</v>
      </c>
      <c r="CX256" s="634">
        <v>0</v>
      </c>
      <c r="CY256" s="616"/>
      <c r="CZ256" s="619">
        <f>IF(BN257=0,0,             IF(ISNUMBER(CY256),CY256,             IF(ISTEXT(CY256),INDEX(CP256:CW256,MATCH(CY256,$CP$17:$CW$17,0)),           IF(CX256="INT",_xll.qInterp(BN257,BZ256:CG256,CP256:CW256),       INDEX(CP256:CW256,MATCH(CX256,$CP$17:$CW$17,0))))))</f>
        <v>0</v>
      </c>
      <c r="DA256" s="755">
        <f t="shared" si="111"/>
        <v>0</v>
      </c>
      <c r="DB256" s="387">
        <f t="shared" si="112"/>
        <v>0</v>
      </c>
      <c r="DC256" s="268">
        <f>IF($BN257=0,0,         IF(LEFT(DCC_Leg2_Fixed,2)="1/",uEvaluate(DCC_Leg2_Fixed),         _xll.qDateYears($BN256,$BN257,DCC_Leg2_Fixed)))</f>
        <v>0</v>
      </c>
      <c r="DD256" s="268">
        <f>IF($BN257,_xll.qDateYears($BN256,$BN257,DCC_Leg2_Float),0)</f>
        <v>0</v>
      </c>
      <c r="DF256" s="332">
        <f t="shared" si="127"/>
        <v>0</v>
      </c>
      <c r="DG256" s="357">
        <f t="shared" si="128"/>
        <v>0</v>
      </c>
      <c r="DH256" s="527"/>
      <c r="DJ256" s="324">
        <f t="shared" si="130"/>
        <v>0</v>
      </c>
      <c r="DK256" s="529"/>
      <c r="DL256" s="338"/>
    </row>
    <row r="257" spans="15:116">
      <c r="O257" s="121">
        <v>0</v>
      </c>
      <c r="P257" s="755">
        <f t="shared" si="99"/>
        <v>0</v>
      </c>
      <c r="Q257" s="125">
        <v>0</v>
      </c>
      <c r="R257" s="890">
        <f>IF(O258=0,0,         IF(OR(Currency1="AUD",Currency1="NZD",Currency1="GBP"),O257,   _xll.qDateNext(O257,"-2b",,,IF(Currency1="EUR","TGT","LON"))))</f>
        <v>0</v>
      </c>
      <c r="S257" s="879" t="str">
        <v/>
      </c>
      <c r="T257" s="879" t="str">
        <v/>
      </c>
      <c r="U257" s="879" t="str">
        <v/>
      </c>
      <c r="V257" s="879" t="str">
        <v/>
      </c>
      <c r="W257" s="879" t="str">
        <v/>
      </c>
      <c r="X257" s="879" t="str">
        <v/>
      </c>
      <c r="Y257" s="879" t="str">
        <v/>
      </c>
      <c r="Z257" s="879" t="str">
        <v/>
      </c>
      <c r="AA257" s="882">
        <f>IF($O258=0,0,        _xll.qDateNext($O257,AA$17,$AH$16,TRUE,Currency1))</f>
        <v>0</v>
      </c>
      <c r="AB257" s="882">
        <f>IF($O258=0,0,        _xll.qDateNext($O257,AB$17,$AH$16,TRUE,Currency1))</f>
        <v>0</v>
      </c>
      <c r="AC257" s="882">
        <f>IF($O258=0,0,        _xll.qDateNext($O257,AC$17,$AH$16,TRUE,Currency1))</f>
        <v>0</v>
      </c>
      <c r="AD257" s="882">
        <f>IF($O258=0,0,        _xll.qDateNext($O257,AD$17,$AH$16,TRUE,Currency1))</f>
        <v>0</v>
      </c>
      <c r="AE257" s="882">
        <f>IF($O258=0,0,        _xll.qDateNext($O257,AE$17,$AH$16,TRUE,Currency1))</f>
        <v>0</v>
      </c>
      <c r="AF257" s="882">
        <f>IF($O258=0,0,        _xll.qDateNext($O257,AF$17,$AH$16,TRUE,Currency1))</f>
        <v>0</v>
      </c>
      <c r="AG257" s="882">
        <f>IF($O258=0,0,        _xll.qDateNext($O257,AG$17,$AH$16,TRUE,Currency1))</f>
        <v>0</v>
      </c>
      <c r="AH257" s="882">
        <f>IF($O258=0,0,        _xll.qDateNext($O257,AH$17,$AH$16,TRUE,Currency1))</f>
        <v>0</v>
      </c>
      <c r="AI257" s="886">
        <f>IF($O258=0,0,           IF(FRM,_xll.qGetFwdRate(AI$14,$O257,AA257,"T",DCC_Leg1_Float),_xll.qGetFwdRate(AI$14,$O257,$O258,"T",DCC_Leg1_Float)))</f>
        <v>0</v>
      </c>
      <c r="AJ257" s="886">
        <f>IF($O258=0,0,           IF(FRM,_xll.qGetFwdRate(AJ$14,$O257,AB257,"T",DCC_Leg1_Float),_xll.qGetFwdRate(AJ$14,$O257,$O258,"T",DCC_Leg1_Float)))</f>
        <v>0</v>
      </c>
      <c r="AK257" s="886">
        <f t="shared" si="100"/>
        <v>0</v>
      </c>
      <c r="AL257" s="886">
        <f>IF($O258=0,0,           IF(FRM,_xll.qGetFwdRate(AL$14,$O257,AD257,"T",DCC_Leg1_Float),_xll.qGetFwdRate(AL$14,$O257,$O258,"T",DCC_Leg1_Float)))</f>
        <v>0</v>
      </c>
      <c r="AM257" s="886">
        <f t="shared" si="113"/>
        <v>0</v>
      </c>
      <c r="AN257" s="886">
        <f t="shared" si="114"/>
        <v>0</v>
      </c>
      <c r="AO257" s="886">
        <f>IF($O258=0,0,           IF(FRM,_xll.qGetFwdRate(AO$14,$O257,AG257,"T",DCC_Leg1_Float),_xll.qGetFwdRate(AO$14,$O257,$O258,"T",DCC_Leg1_Float)))</f>
        <v>0</v>
      </c>
      <c r="AP257" s="886">
        <f>IF($O258=0,0,           IF(FRM,_xll.qGetFwdRate(AP$14,$O257,AH257,"T",DCC_Leg1_Float),_xll.qGetFwdRate(AP$14,$O257,$O258,"T",DCC_Leg1_Float)))</f>
        <v>0</v>
      </c>
      <c r="AQ257" s="648">
        <f t="shared" si="115"/>
        <v>0</v>
      </c>
      <c r="AR257" s="648">
        <f t="shared" si="116"/>
        <v>0</v>
      </c>
      <c r="AS257" s="648">
        <f t="shared" si="117"/>
        <v>0</v>
      </c>
      <c r="AT257" s="648">
        <f t="shared" si="118"/>
        <v>0</v>
      </c>
      <c r="AU257" s="648">
        <f t="shared" si="119"/>
        <v>0</v>
      </c>
      <c r="AV257" s="648">
        <f t="shared" si="120"/>
        <v>0</v>
      </c>
      <c r="AW257" s="648">
        <f t="shared" si="121"/>
        <v>0</v>
      </c>
      <c r="AX257" s="648">
        <f t="shared" si="122"/>
        <v>0</v>
      </c>
      <c r="AY257" s="634">
        <v>0</v>
      </c>
      <c r="AZ257" s="616"/>
      <c r="BA257" s="619">
        <f>IF(O258=0,0,             IF(ISNUMBER(AZ257),AZ257,             IF(ISTEXT(AZ257),INDEX(AQ257:AX257,MATCH(AZ257,$AQ$17:$AX$17,0)),           IF(AY257="INT",_xll.qInterp(O258,AA257:AH257,AQ257:AX257),       INDEX(AQ257:AX257,MATCH(AY257,$AQ$17:$AX$17,0))))))</f>
        <v>0</v>
      </c>
      <c r="BB257" s="674">
        <v>100</v>
      </c>
      <c r="BC257" s="666">
        <f t="shared" si="101"/>
        <v>0</v>
      </c>
      <c r="BD257" s="268">
        <f>IF($O258=0,0,                IF(LEFT(DCC_Leg1_Fixed,2)="1/",uEvaluate(DCC_Leg1_Fixed),        _xll.qDateYears($O257,$O258,DCC_Leg1_Fixed)))</f>
        <v>0</v>
      </c>
      <c r="BE257" s="268">
        <f>IF($O258,_xll.qDateYears($O257,$O258,DCC_Leg1_Float),0)</f>
        <v>0</v>
      </c>
      <c r="BG257" s="332">
        <f t="shared" si="123"/>
        <v>0</v>
      </c>
      <c r="BH257" s="357">
        <f t="shared" si="124"/>
        <v>0</v>
      </c>
      <c r="BI257" s="527"/>
      <c r="BK257" s="324">
        <f t="shared" si="129"/>
        <v>0</v>
      </c>
      <c r="BM257" s="338"/>
      <c r="BN257" s="121">
        <v>0</v>
      </c>
      <c r="BO257" s="755">
        <f t="shared" si="102"/>
        <v>0</v>
      </c>
      <c r="BP257" s="339">
        <v>0</v>
      </c>
      <c r="BQ257" s="890">
        <f>IF(BN258=0,0,         IF(OR(Currency2="AUD",Currency1="NZD",Currency2="GBP"),BN257,   _xll.qDateNext(BN257,"-2b",,,IF(Currency2="EUR","TGT","LON"))))</f>
        <v>0</v>
      </c>
      <c r="BR257" s="879" t="str">
        <v/>
      </c>
      <c r="BS257" s="879" t="str">
        <v/>
      </c>
      <c r="BT257" s="879" t="str">
        <v/>
      </c>
      <c r="BU257" s="879" t="str">
        <v/>
      </c>
      <c r="BV257" s="879" t="str">
        <v/>
      </c>
      <c r="BW257" s="879" t="str">
        <v/>
      </c>
      <c r="BX257" s="879" t="str">
        <v/>
      </c>
      <c r="BY257" s="879" t="str">
        <v/>
      </c>
      <c r="BZ257" s="882">
        <f>IF($BN258=0,0,        _xll.qDateNext($BN257,BZ$17,$CG$16,TRUE,Currency2))</f>
        <v>0</v>
      </c>
      <c r="CA257" s="882">
        <f>IF($BN258=0,0,        _xll.qDateNext($BN257,CA$17,$CG$16,TRUE,Currency2))</f>
        <v>0</v>
      </c>
      <c r="CB257" s="882">
        <f>IF($BN258=0,0,        _xll.qDateNext($BN257,CB$17,$CG$16,TRUE,Currency2))</f>
        <v>0</v>
      </c>
      <c r="CC257" s="882">
        <f>IF($BN258=0,0,        _xll.qDateNext($BN257,CC$17,$CG$16,TRUE,Currency2))</f>
        <v>0</v>
      </c>
      <c r="CD257" s="882">
        <f>IF($BN258=0,0,        _xll.qDateNext($BN257,CD$17,$CG$16,TRUE,Currency2))</f>
        <v>0</v>
      </c>
      <c r="CE257" s="882">
        <f>IF($BN258=0,0,        _xll.qDateNext($BN257,CE$17,$CG$16,TRUE,Currency2))</f>
        <v>0</v>
      </c>
      <c r="CF257" s="882">
        <f>IF($BN258=0,0,        _xll.qDateNext($BN257,CF$17,$CG$16,TRUE,Currency2))</f>
        <v>0</v>
      </c>
      <c r="CG257" s="882">
        <f>IF($BN258=0,0,        _xll.qDateNext($BN257,CG$17,$CG$16,TRUE,Currency2))</f>
        <v>0</v>
      </c>
      <c r="CH257" s="886">
        <v>0</v>
      </c>
      <c r="CI257" s="886">
        <v>0</v>
      </c>
      <c r="CJ257" s="886">
        <v>0</v>
      </c>
      <c r="CK257" s="886">
        <v>0</v>
      </c>
      <c r="CL257" s="886">
        <f t="shared" si="125"/>
        <v>0</v>
      </c>
      <c r="CM257" s="886">
        <f t="shared" si="126"/>
        <v>0</v>
      </c>
      <c r="CN257" s="886">
        <v>0</v>
      </c>
      <c r="CO257" s="886">
        <v>0</v>
      </c>
      <c r="CP257" s="648">
        <f t="shared" si="103"/>
        <v>0</v>
      </c>
      <c r="CQ257" s="648">
        <f t="shared" si="104"/>
        <v>0</v>
      </c>
      <c r="CR257" s="648">
        <f t="shared" si="105"/>
        <v>0</v>
      </c>
      <c r="CS257" s="648">
        <f t="shared" si="106"/>
        <v>0</v>
      </c>
      <c r="CT257" s="648">
        <f t="shared" si="107"/>
        <v>0</v>
      </c>
      <c r="CU257" s="648">
        <f t="shared" si="108"/>
        <v>0</v>
      </c>
      <c r="CV257" s="648">
        <f t="shared" si="109"/>
        <v>0</v>
      </c>
      <c r="CW257" s="648">
        <f t="shared" si="110"/>
        <v>0</v>
      </c>
      <c r="CX257" s="634">
        <v>0</v>
      </c>
      <c r="CY257" s="616"/>
      <c r="CZ257" s="619">
        <f>IF(BN258=0,0,             IF(ISNUMBER(CY257),CY257,             IF(ISTEXT(CY257),INDEX(CP257:CW257,MATCH(CY257,$CP$17:$CW$17,0)),           IF(CX257="INT",_xll.qInterp(BN258,BZ257:CG257,CP257:CW257),       INDEX(CP257:CW257,MATCH(CX257,$CP$17:$CW$17,0))))))</f>
        <v>0</v>
      </c>
      <c r="DA257" s="755">
        <f t="shared" si="111"/>
        <v>0</v>
      </c>
      <c r="DB257" s="387">
        <f t="shared" si="112"/>
        <v>0</v>
      </c>
      <c r="DC257" s="268">
        <f>IF($BN258=0,0,         IF(LEFT(DCC_Leg2_Fixed,2)="1/",uEvaluate(DCC_Leg2_Fixed),         _xll.qDateYears($BN257,$BN258,DCC_Leg2_Fixed)))</f>
        <v>0</v>
      </c>
      <c r="DD257" s="268">
        <f>IF($BN258,_xll.qDateYears($BN257,$BN258,DCC_Leg2_Float),0)</f>
        <v>0</v>
      </c>
      <c r="DF257" s="332">
        <f t="shared" si="127"/>
        <v>0</v>
      </c>
      <c r="DG257" s="357">
        <f t="shared" si="128"/>
        <v>0</v>
      </c>
      <c r="DH257" s="527"/>
      <c r="DJ257" s="324">
        <f t="shared" si="130"/>
        <v>0</v>
      </c>
      <c r="DK257" s="529"/>
      <c r="DL257" s="338"/>
    </row>
    <row r="258" spans="15:116">
      <c r="O258" s="121">
        <v>0</v>
      </c>
      <c r="P258" s="755">
        <f t="shared" si="99"/>
        <v>0</v>
      </c>
      <c r="Q258" s="125">
        <v>0</v>
      </c>
      <c r="R258" s="890">
        <f>IF(O259=0,0,         IF(OR(Currency1="AUD",Currency1="NZD",Currency1="GBP"),O258,   _xll.qDateNext(O258,"-2b",,,IF(Currency1="EUR","TGT","LON"))))</f>
        <v>0</v>
      </c>
      <c r="S258" s="879" t="str">
        <v/>
      </c>
      <c r="T258" s="879" t="str">
        <v/>
      </c>
      <c r="U258" s="879" t="str">
        <v/>
      </c>
      <c r="V258" s="879" t="str">
        <v/>
      </c>
      <c r="W258" s="879" t="str">
        <v/>
      </c>
      <c r="X258" s="879" t="str">
        <v/>
      </c>
      <c r="Y258" s="879" t="str">
        <v/>
      </c>
      <c r="Z258" s="879" t="str">
        <v/>
      </c>
      <c r="AA258" s="882">
        <f>IF($O259=0,0,        _xll.qDateNext($O258,AA$17,$AH$16,TRUE,Currency1))</f>
        <v>0</v>
      </c>
      <c r="AB258" s="882">
        <f>IF($O259=0,0,        _xll.qDateNext($O258,AB$17,$AH$16,TRUE,Currency1))</f>
        <v>0</v>
      </c>
      <c r="AC258" s="882">
        <f>IF($O259=0,0,        _xll.qDateNext($O258,AC$17,$AH$16,TRUE,Currency1))</f>
        <v>0</v>
      </c>
      <c r="AD258" s="882">
        <f>IF($O259=0,0,        _xll.qDateNext($O258,AD$17,$AH$16,TRUE,Currency1))</f>
        <v>0</v>
      </c>
      <c r="AE258" s="882">
        <f>IF($O259=0,0,        _xll.qDateNext($O258,AE$17,$AH$16,TRUE,Currency1))</f>
        <v>0</v>
      </c>
      <c r="AF258" s="882">
        <f>IF($O259=0,0,        _xll.qDateNext($O258,AF$17,$AH$16,TRUE,Currency1))</f>
        <v>0</v>
      </c>
      <c r="AG258" s="882">
        <f>IF($O259=0,0,        _xll.qDateNext($O258,AG$17,$AH$16,TRUE,Currency1))</f>
        <v>0</v>
      </c>
      <c r="AH258" s="882">
        <f>IF($O259=0,0,        _xll.qDateNext($O258,AH$17,$AH$16,TRUE,Currency1))</f>
        <v>0</v>
      </c>
      <c r="AI258" s="886">
        <f>IF($O259=0,0,           IF(FRM,_xll.qGetFwdRate(AI$14,$O258,AA258,"T",DCC_Leg1_Float),_xll.qGetFwdRate(AI$14,$O258,$O259,"T",DCC_Leg1_Float)))</f>
        <v>0</v>
      </c>
      <c r="AJ258" s="886">
        <f>IF($O259=0,0,           IF(FRM,_xll.qGetFwdRate(AJ$14,$O258,AB258,"T",DCC_Leg1_Float),_xll.qGetFwdRate(AJ$14,$O258,$O259,"T",DCC_Leg1_Float)))</f>
        <v>0</v>
      </c>
      <c r="AK258" s="886">
        <f t="shared" si="100"/>
        <v>0</v>
      </c>
      <c r="AL258" s="886">
        <f>IF($O259=0,0,           IF(FRM,_xll.qGetFwdRate(AL$14,$O258,AD258,"T",DCC_Leg1_Float),_xll.qGetFwdRate(AL$14,$O258,$O259,"T",DCC_Leg1_Float)))</f>
        <v>0</v>
      </c>
      <c r="AM258" s="886">
        <f t="shared" si="113"/>
        <v>0</v>
      </c>
      <c r="AN258" s="886">
        <f t="shared" si="114"/>
        <v>0</v>
      </c>
      <c r="AO258" s="886">
        <f>IF($O259=0,0,           IF(FRM,_xll.qGetFwdRate(AO$14,$O258,AG258,"T",DCC_Leg1_Float),_xll.qGetFwdRate(AO$14,$O258,$O259,"T",DCC_Leg1_Float)))</f>
        <v>0</v>
      </c>
      <c r="AP258" s="886">
        <f>IF($O259=0,0,           IF(FRM,_xll.qGetFwdRate(AP$14,$O258,AH258,"T",DCC_Leg1_Float),_xll.qGetFwdRate(AP$14,$O258,$O259,"T",DCC_Leg1_Float)))</f>
        <v>0</v>
      </c>
      <c r="AQ258" s="648">
        <f t="shared" si="115"/>
        <v>0</v>
      </c>
      <c r="AR258" s="648">
        <f t="shared" si="116"/>
        <v>0</v>
      </c>
      <c r="AS258" s="648">
        <f t="shared" si="117"/>
        <v>0</v>
      </c>
      <c r="AT258" s="648">
        <f t="shared" si="118"/>
        <v>0</v>
      </c>
      <c r="AU258" s="648">
        <f t="shared" si="119"/>
        <v>0</v>
      </c>
      <c r="AV258" s="648">
        <f t="shared" si="120"/>
        <v>0</v>
      </c>
      <c r="AW258" s="648">
        <f t="shared" si="121"/>
        <v>0</v>
      </c>
      <c r="AX258" s="648">
        <f t="shared" si="122"/>
        <v>0</v>
      </c>
      <c r="AY258" s="634">
        <v>0</v>
      </c>
      <c r="AZ258" s="616"/>
      <c r="BA258" s="619">
        <f>IF(O259=0,0,             IF(ISNUMBER(AZ258),AZ258,             IF(ISTEXT(AZ258),INDEX(AQ258:AX258,MATCH(AZ258,$AQ$17:$AX$17,0)),           IF(AY258="INT",_xll.qInterp(O259,AA258:AH258,AQ258:AX258),       INDEX(AQ258:AX258,MATCH(AY258,$AQ$17:$AX$17,0))))))</f>
        <v>0</v>
      </c>
      <c r="BB258" s="674">
        <v>100</v>
      </c>
      <c r="BC258" s="666">
        <f t="shared" si="101"/>
        <v>0</v>
      </c>
      <c r="BD258" s="268">
        <f>IF($O259=0,0,                IF(LEFT(DCC_Leg1_Fixed,2)="1/",uEvaluate(DCC_Leg1_Fixed),        _xll.qDateYears($O258,$O259,DCC_Leg1_Fixed)))</f>
        <v>0</v>
      </c>
      <c r="BE258" s="268">
        <f>IF($O259,_xll.qDateYears($O258,$O259,DCC_Leg1_Float),0)</f>
        <v>0</v>
      </c>
      <c r="BG258" s="332">
        <f t="shared" si="123"/>
        <v>0</v>
      </c>
      <c r="BH258" s="357">
        <f t="shared" si="124"/>
        <v>0</v>
      </c>
      <c r="BI258" s="527"/>
      <c r="BK258" s="324">
        <f t="shared" si="129"/>
        <v>0</v>
      </c>
      <c r="BM258" s="338"/>
      <c r="BN258" s="121">
        <v>0</v>
      </c>
      <c r="BO258" s="755">
        <f t="shared" si="102"/>
        <v>0</v>
      </c>
      <c r="BP258" s="339">
        <v>0</v>
      </c>
      <c r="BQ258" s="890">
        <f>IF(BN259=0,0,         IF(OR(Currency2="AUD",Currency1="NZD",Currency2="GBP"),BN258,   _xll.qDateNext(BN258,"-2b",,,IF(Currency2="EUR","TGT","LON"))))</f>
        <v>0</v>
      </c>
      <c r="BR258" s="879" t="str">
        <v/>
      </c>
      <c r="BS258" s="879" t="str">
        <v/>
      </c>
      <c r="BT258" s="879" t="str">
        <v/>
      </c>
      <c r="BU258" s="879" t="str">
        <v/>
      </c>
      <c r="BV258" s="879" t="str">
        <v/>
      </c>
      <c r="BW258" s="879" t="str">
        <v/>
      </c>
      <c r="BX258" s="879" t="str">
        <v/>
      </c>
      <c r="BY258" s="879" t="str">
        <v/>
      </c>
      <c r="BZ258" s="882">
        <f>IF($BN259=0,0,        _xll.qDateNext($BN258,BZ$17,$CG$16,TRUE,Currency2))</f>
        <v>0</v>
      </c>
      <c r="CA258" s="882">
        <f>IF($BN259=0,0,        _xll.qDateNext($BN258,CA$17,$CG$16,TRUE,Currency2))</f>
        <v>0</v>
      </c>
      <c r="CB258" s="882">
        <f>IF($BN259=0,0,        _xll.qDateNext($BN258,CB$17,$CG$16,TRUE,Currency2))</f>
        <v>0</v>
      </c>
      <c r="CC258" s="882">
        <f>IF($BN259=0,0,        _xll.qDateNext($BN258,CC$17,$CG$16,TRUE,Currency2))</f>
        <v>0</v>
      </c>
      <c r="CD258" s="882">
        <f>IF($BN259=0,0,        _xll.qDateNext($BN258,CD$17,$CG$16,TRUE,Currency2))</f>
        <v>0</v>
      </c>
      <c r="CE258" s="882">
        <f>IF($BN259=0,0,        _xll.qDateNext($BN258,CE$17,$CG$16,TRUE,Currency2))</f>
        <v>0</v>
      </c>
      <c r="CF258" s="882">
        <f>IF($BN259=0,0,        _xll.qDateNext($BN258,CF$17,$CG$16,TRUE,Currency2))</f>
        <v>0</v>
      </c>
      <c r="CG258" s="882">
        <f>IF($BN259=0,0,        _xll.qDateNext($BN258,CG$17,$CG$16,TRUE,Currency2))</f>
        <v>0</v>
      </c>
      <c r="CH258" s="886">
        <v>0</v>
      </c>
      <c r="CI258" s="886">
        <v>0</v>
      </c>
      <c r="CJ258" s="886">
        <v>0</v>
      </c>
      <c r="CK258" s="886">
        <v>0</v>
      </c>
      <c r="CL258" s="886">
        <f t="shared" si="125"/>
        <v>0</v>
      </c>
      <c r="CM258" s="886">
        <f t="shared" si="126"/>
        <v>0</v>
      </c>
      <c r="CN258" s="886">
        <v>0</v>
      </c>
      <c r="CO258" s="886">
        <v>0</v>
      </c>
      <c r="CP258" s="648">
        <f t="shared" si="103"/>
        <v>0</v>
      </c>
      <c r="CQ258" s="648">
        <f t="shared" si="104"/>
        <v>0</v>
      </c>
      <c r="CR258" s="648">
        <f t="shared" si="105"/>
        <v>0</v>
      </c>
      <c r="CS258" s="648">
        <f t="shared" si="106"/>
        <v>0</v>
      </c>
      <c r="CT258" s="648">
        <f t="shared" si="107"/>
        <v>0</v>
      </c>
      <c r="CU258" s="648">
        <f t="shared" si="108"/>
        <v>0</v>
      </c>
      <c r="CV258" s="648">
        <f t="shared" si="109"/>
        <v>0</v>
      </c>
      <c r="CW258" s="648">
        <f t="shared" si="110"/>
        <v>0</v>
      </c>
      <c r="CX258" s="634">
        <v>0</v>
      </c>
      <c r="CY258" s="616"/>
      <c r="CZ258" s="619">
        <f>IF(BN259=0,0,             IF(ISNUMBER(CY258),CY258,             IF(ISTEXT(CY258),INDEX(CP258:CW258,MATCH(CY258,$CP$17:$CW$17,0)),           IF(CX258="INT",_xll.qInterp(BN259,BZ258:CG258,CP258:CW258),       INDEX(CP258:CW258,MATCH(CX258,$CP$17:$CW$17,0))))))</f>
        <v>0</v>
      </c>
      <c r="DA258" s="755">
        <f t="shared" si="111"/>
        <v>0</v>
      </c>
      <c r="DB258" s="387">
        <f t="shared" si="112"/>
        <v>0</v>
      </c>
      <c r="DC258" s="268">
        <f>IF($BN259=0,0,         IF(LEFT(DCC_Leg2_Fixed,2)="1/",uEvaluate(DCC_Leg2_Fixed),         _xll.qDateYears($BN258,$BN259,DCC_Leg2_Fixed)))</f>
        <v>0</v>
      </c>
      <c r="DD258" s="268">
        <f>IF($BN259,_xll.qDateYears($BN258,$BN259,DCC_Leg2_Float),0)</f>
        <v>0</v>
      </c>
      <c r="DF258" s="332">
        <f t="shared" si="127"/>
        <v>0</v>
      </c>
      <c r="DG258" s="357">
        <f t="shared" si="128"/>
        <v>0</v>
      </c>
      <c r="DH258" s="527"/>
      <c r="DJ258" s="324">
        <f t="shared" si="130"/>
        <v>0</v>
      </c>
      <c r="DK258" s="529"/>
      <c r="DL258" s="338"/>
    </row>
    <row r="259" spans="15:116">
      <c r="O259" s="121">
        <v>0</v>
      </c>
      <c r="P259" s="755">
        <f t="shared" si="99"/>
        <v>0</v>
      </c>
      <c r="Q259" s="125">
        <v>0</v>
      </c>
      <c r="R259" s="890">
        <f>IF(O260=0,0,         IF(OR(Currency1="AUD",Currency1="NZD",Currency1="GBP"),O259,   _xll.qDateNext(O259,"-2b",,,IF(Currency1="EUR","TGT","LON"))))</f>
        <v>0</v>
      </c>
      <c r="S259" s="879" t="str">
        <v/>
      </c>
      <c r="T259" s="879" t="str">
        <v/>
      </c>
      <c r="U259" s="879" t="str">
        <v/>
      </c>
      <c r="V259" s="879" t="str">
        <v/>
      </c>
      <c r="W259" s="879" t="str">
        <v/>
      </c>
      <c r="X259" s="879" t="str">
        <v/>
      </c>
      <c r="Y259" s="879" t="str">
        <v/>
      </c>
      <c r="Z259" s="879" t="str">
        <v/>
      </c>
      <c r="AA259" s="882">
        <f>IF($O260=0,0,        _xll.qDateNext($O259,AA$17,$AH$16,TRUE,Currency1))</f>
        <v>0</v>
      </c>
      <c r="AB259" s="882">
        <f>IF($O260=0,0,        _xll.qDateNext($O259,AB$17,$AH$16,TRUE,Currency1))</f>
        <v>0</v>
      </c>
      <c r="AC259" s="882">
        <f>IF($O260=0,0,        _xll.qDateNext($O259,AC$17,$AH$16,TRUE,Currency1))</f>
        <v>0</v>
      </c>
      <c r="AD259" s="882">
        <f>IF($O260=0,0,        _xll.qDateNext($O259,AD$17,$AH$16,TRUE,Currency1))</f>
        <v>0</v>
      </c>
      <c r="AE259" s="882">
        <f>IF($O260=0,0,        _xll.qDateNext($O259,AE$17,$AH$16,TRUE,Currency1))</f>
        <v>0</v>
      </c>
      <c r="AF259" s="882">
        <f>IF($O260=0,0,        _xll.qDateNext($O259,AF$17,$AH$16,TRUE,Currency1))</f>
        <v>0</v>
      </c>
      <c r="AG259" s="882">
        <f>IF($O260=0,0,        _xll.qDateNext($O259,AG$17,$AH$16,TRUE,Currency1))</f>
        <v>0</v>
      </c>
      <c r="AH259" s="882">
        <f>IF($O260=0,0,        _xll.qDateNext($O259,AH$17,$AH$16,TRUE,Currency1))</f>
        <v>0</v>
      </c>
      <c r="AI259" s="886">
        <f>IF($O260=0,0,           IF(FRM,_xll.qGetFwdRate(AI$14,$O259,AA259,"T",DCC_Leg1_Float),_xll.qGetFwdRate(AI$14,$O259,$O260,"T",DCC_Leg1_Float)))</f>
        <v>0</v>
      </c>
      <c r="AJ259" s="886">
        <f>IF($O260=0,0,           IF(FRM,_xll.qGetFwdRate(AJ$14,$O259,AB259,"T",DCC_Leg1_Float),_xll.qGetFwdRate(AJ$14,$O259,$O260,"T",DCC_Leg1_Float)))</f>
        <v>0</v>
      </c>
      <c r="AK259" s="886">
        <f t="shared" si="100"/>
        <v>0</v>
      </c>
      <c r="AL259" s="886">
        <f>IF($O260=0,0,           IF(FRM,_xll.qGetFwdRate(AL$14,$O259,AD259,"T",DCC_Leg1_Float),_xll.qGetFwdRate(AL$14,$O259,$O260,"T",DCC_Leg1_Float)))</f>
        <v>0</v>
      </c>
      <c r="AM259" s="886">
        <f t="shared" si="113"/>
        <v>0</v>
      </c>
      <c r="AN259" s="886">
        <f t="shared" si="114"/>
        <v>0</v>
      </c>
      <c r="AO259" s="886">
        <f>IF($O260=0,0,           IF(FRM,_xll.qGetFwdRate(AO$14,$O259,AG259,"T",DCC_Leg1_Float),_xll.qGetFwdRate(AO$14,$O259,$O260,"T",DCC_Leg1_Float)))</f>
        <v>0</v>
      </c>
      <c r="AP259" s="886">
        <f>IF($O260=0,0,           IF(FRM,_xll.qGetFwdRate(AP$14,$O259,AH259,"T",DCC_Leg1_Float),_xll.qGetFwdRate(AP$14,$O259,$O260,"T",DCC_Leg1_Float)))</f>
        <v>0</v>
      </c>
      <c r="AQ259" s="648">
        <f t="shared" si="115"/>
        <v>0</v>
      </c>
      <c r="AR259" s="648">
        <f t="shared" si="116"/>
        <v>0</v>
      </c>
      <c r="AS259" s="648">
        <f t="shared" si="117"/>
        <v>0</v>
      </c>
      <c r="AT259" s="648">
        <f t="shared" si="118"/>
        <v>0</v>
      </c>
      <c r="AU259" s="648">
        <f t="shared" si="119"/>
        <v>0</v>
      </c>
      <c r="AV259" s="648">
        <f t="shared" si="120"/>
        <v>0</v>
      </c>
      <c r="AW259" s="648">
        <f t="shared" si="121"/>
        <v>0</v>
      </c>
      <c r="AX259" s="648">
        <f t="shared" si="122"/>
        <v>0</v>
      </c>
      <c r="AY259" s="634">
        <v>0</v>
      </c>
      <c r="AZ259" s="616"/>
      <c r="BA259" s="619">
        <f>IF(O260=0,0,             IF(ISNUMBER(AZ259),AZ259,             IF(ISTEXT(AZ259),INDEX(AQ259:AX259,MATCH(AZ259,$AQ$17:$AX$17,0)),           IF(AY259="INT",_xll.qInterp(O260,AA259:AH259,AQ259:AX259),       INDEX(AQ259:AX259,MATCH(AY259,$AQ$17:$AX$17,0))))))</f>
        <v>0</v>
      </c>
      <c r="BB259" s="674">
        <v>100</v>
      </c>
      <c r="BC259" s="666">
        <f t="shared" si="101"/>
        <v>0</v>
      </c>
      <c r="BD259" s="268">
        <f>IF($O260=0,0,                IF(LEFT(DCC_Leg1_Fixed,2)="1/",uEvaluate(DCC_Leg1_Fixed),        _xll.qDateYears($O259,$O260,DCC_Leg1_Fixed)))</f>
        <v>0</v>
      </c>
      <c r="BE259" s="268">
        <f>IF($O260,_xll.qDateYears($O259,$O260,DCC_Leg1_Float),0)</f>
        <v>0</v>
      </c>
      <c r="BG259" s="332">
        <f t="shared" si="123"/>
        <v>0</v>
      </c>
      <c r="BH259" s="357">
        <f t="shared" si="124"/>
        <v>0</v>
      </c>
      <c r="BI259" s="527"/>
      <c r="BK259" s="324">
        <f t="shared" si="129"/>
        <v>0</v>
      </c>
      <c r="BM259" s="338"/>
      <c r="BN259" s="121">
        <v>0</v>
      </c>
      <c r="BO259" s="755">
        <f t="shared" si="102"/>
        <v>0</v>
      </c>
      <c r="BP259" s="339">
        <v>0</v>
      </c>
      <c r="BQ259" s="890">
        <f>IF(BN260=0,0,         IF(OR(Currency2="AUD",Currency1="NZD",Currency2="GBP"),BN259,   _xll.qDateNext(BN259,"-2b",,,IF(Currency2="EUR","TGT","LON"))))</f>
        <v>0</v>
      </c>
      <c r="BR259" s="879" t="str">
        <v/>
      </c>
      <c r="BS259" s="879" t="str">
        <v/>
      </c>
      <c r="BT259" s="879" t="str">
        <v/>
      </c>
      <c r="BU259" s="879" t="str">
        <v/>
      </c>
      <c r="BV259" s="879" t="str">
        <v/>
      </c>
      <c r="BW259" s="879" t="str">
        <v/>
      </c>
      <c r="BX259" s="879" t="str">
        <v/>
      </c>
      <c r="BY259" s="879" t="str">
        <v/>
      </c>
      <c r="BZ259" s="882">
        <f>IF($BN260=0,0,        _xll.qDateNext($BN259,BZ$17,$CG$16,TRUE,Currency2))</f>
        <v>0</v>
      </c>
      <c r="CA259" s="882">
        <f>IF($BN260=0,0,        _xll.qDateNext($BN259,CA$17,$CG$16,TRUE,Currency2))</f>
        <v>0</v>
      </c>
      <c r="CB259" s="882">
        <f>IF($BN260=0,0,        _xll.qDateNext($BN259,CB$17,$CG$16,TRUE,Currency2))</f>
        <v>0</v>
      </c>
      <c r="CC259" s="882">
        <f>IF($BN260=0,0,        _xll.qDateNext($BN259,CC$17,$CG$16,TRUE,Currency2))</f>
        <v>0</v>
      </c>
      <c r="CD259" s="882">
        <f>IF($BN260=0,0,        _xll.qDateNext($BN259,CD$17,$CG$16,TRUE,Currency2))</f>
        <v>0</v>
      </c>
      <c r="CE259" s="882">
        <f>IF($BN260=0,0,        _xll.qDateNext($BN259,CE$17,$CG$16,TRUE,Currency2))</f>
        <v>0</v>
      </c>
      <c r="CF259" s="882">
        <f>IF($BN260=0,0,        _xll.qDateNext($BN259,CF$17,$CG$16,TRUE,Currency2))</f>
        <v>0</v>
      </c>
      <c r="CG259" s="882">
        <f>IF($BN260=0,0,        _xll.qDateNext($BN259,CG$17,$CG$16,TRUE,Currency2))</f>
        <v>0</v>
      </c>
      <c r="CH259" s="886">
        <v>0</v>
      </c>
      <c r="CI259" s="886">
        <v>0</v>
      </c>
      <c r="CJ259" s="886">
        <v>0</v>
      </c>
      <c r="CK259" s="886">
        <v>0</v>
      </c>
      <c r="CL259" s="886">
        <f t="shared" si="125"/>
        <v>0</v>
      </c>
      <c r="CM259" s="886">
        <f t="shared" si="126"/>
        <v>0</v>
      </c>
      <c r="CN259" s="886">
        <v>0</v>
      </c>
      <c r="CO259" s="886">
        <v>0</v>
      </c>
      <c r="CP259" s="648">
        <f t="shared" si="103"/>
        <v>0</v>
      </c>
      <c r="CQ259" s="648">
        <f t="shared" si="104"/>
        <v>0</v>
      </c>
      <c r="CR259" s="648">
        <f t="shared" si="105"/>
        <v>0</v>
      </c>
      <c r="CS259" s="648">
        <f t="shared" si="106"/>
        <v>0</v>
      </c>
      <c r="CT259" s="648">
        <f t="shared" si="107"/>
        <v>0</v>
      </c>
      <c r="CU259" s="648">
        <f t="shared" si="108"/>
        <v>0</v>
      </c>
      <c r="CV259" s="648">
        <f t="shared" si="109"/>
        <v>0</v>
      </c>
      <c r="CW259" s="648">
        <f t="shared" si="110"/>
        <v>0</v>
      </c>
      <c r="CX259" s="634">
        <v>0</v>
      </c>
      <c r="CY259" s="616"/>
      <c r="CZ259" s="619">
        <f>IF(BN260=0,0,             IF(ISNUMBER(CY259),CY259,             IF(ISTEXT(CY259),INDEX(CP259:CW259,MATCH(CY259,$CP$17:$CW$17,0)),           IF(CX259="INT",_xll.qInterp(BN260,BZ259:CG259,CP259:CW259),       INDEX(CP259:CW259,MATCH(CX259,$CP$17:$CW$17,0))))))</f>
        <v>0</v>
      </c>
      <c r="DA259" s="755">
        <f t="shared" si="111"/>
        <v>0</v>
      </c>
      <c r="DB259" s="387">
        <f t="shared" si="112"/>
        <v>0</v>
      </c>
      <c r="DC259" s="268">
        <f>IF($BN260=0,0,         IF(LEFT(DCC_Leg2_Fixed,2)="1/",uEvaluate(DCC_Leg2_Fixed),         _xll.qDateYears($BN259,$BN260,DCC_Leg2_Fixed)))</f>
        <v>0</v>
      </c>
      <c r="DD259" s="268">
        <f>IF($BN260,_xll.qDateYears($BN259,$BN260,DCC_Leg2_Float),0)</f>
        <v>0</v>
      </c>
      <c r="DF259" s="332">
        <f t="shared" si="127"/>
        <v>0</v>
      </c>
      <c r="DG259" s="357">
        <f t="shared" si="128"/>
        <v>0</v>
      </c>
      <c r="DH259" s="527"/>
      <c r="DJ259" s="324">
        <f t="shared" si="130"/>
        <v>0</v>
      </c>
      <c r="DK259" s="529"/>
      <c r="DL259" s="338"/>
    </row>
    <row r="260" spans="15:116">
      <c r="O260" s="121">
        <v>0</v>
      </c>
      <c r="P260" s="755">
        <f t="shared" si="99"/>
        <v>0</v>
      </c>
      <c r="Q260" s="125">
        <v>0</v>
      </c>
      <c r="R260" s="890">
        <f>IF(O261=0,0,         IF(OR(Currency1="AUD",Currency1="NZD",Currency1="GBP"),O260,   _xll.qDateNext(O260,"-2b",,,IF(Currency1="EUR","TGT","LON"))))</f>
        <v>0</v>
      </c>
      <c r="S260" s="879" t="str">
        <v/>
      </c>
      <c r="T260" s="879" t="str">
        <v/>
      </c>
      <c r="U260" s="879" t="str">
        <v/>
      </c>
      <c r="V260" s="879" t="str">
        <v/>
      </c>
      <c r="W260" s="879" t="str">
        <v/>
      </c>
      <c r="X260" s="879" t="str">
        <v/>
      </c>
      <c r="Y260" s="879" t="str">
        <v/>
      </c>
      <c r="Z260" s="879" t="str">
        <v/>
      </c>
      <c r="AA260" s="882">
        <f>IF($O261=0,0,        _xll.qDateNext($O260,AA$17,$AH$16,TRUE,Currency1))</f>
        <v>0</v>
      </c>
      <c r="AB260" s="882">
        <f>IF($O261=0,0,        _xll.qDateNext($O260,AB$17,$AH$16,TRUE,Currency1))</f>
        <v>0</v>
      </c>
      <c r="AC260" s="882">
        <f>IF($O261=0,0,        _xll.qDateNext($O260,AC$17,$AH$16,TRUE,Currency1))</f>
        <v>0</v>
      </c>
      <c r="AD260" s="882">
        <f>IF($O261=0,0,        _xll.qDateNext($O260,AD$17,$AH$16,TRUE,Currency1))</f>
        <v>0</v>
      </c>
      <c r="AE260" s="882">
        <f>IF($O261=0,0,        _xll.qDateNext($O260,AE$17,$AH$16,TRUE,Currency1))</f>
        <v>0</v>
      </c>
      <c r="AF260" s="882">
        <f>IF($O261=0,0,        _xll.qDateNext($O260,AF$17,$AH$16,TRUE,Currency1))</f>
        <v>0</v>
      </c>
      <c r="AG260" s="882">
        <f>IF($O261=0,0,        _xll.qDateNext($O260,AG$17,$AH$16,TRUE,Currency1))</f>
        <v>0</v>
      </c>
      <c r="AH260" s="882">
        <f>IF($O261=0,0,        _xll.qDateNext($O260,AH$17,$AH$16,TRUE,Currency1))</f>
        <v>0</v>
      </c>
      <c r="AI260" s="886">
        <f>IF($O261=0,0,           IF(FRM,_xll.qGetFwdRate(AI$14,$O260,AA260,"T",DCC_Leg1_Float),_xll.qGetFwdRate(AI$14,$O260,$O261,"T",DCC_Leg1_Float)))</f>
        <v>0</v>
      </c>
      <c r="AJ260" s="886">
        <f>IF($O261=0,0,           IF(FRM,_xll.qGetFwdRate(AJ$14,$O260,AB260,"T",DCC_Leg1_Float),_xll.qGetFwdRate(AJ$14,$O260,$O261,"T",DCC_Leg1_Float)))</f>
        <v>0</v>
      </c>
      <c r="AK260" s="886">
        <f t="shared" si="100"/>
        <v>0</v>
      </c>
      <c r="AL260" s="886">
        <f>IF($O261=0,0,           IF(FRM,_xll.qGetFwdRate(AL$14,$O260,AD260,"T",DCC_Leg1_Float),_xll.qGetFwdRate(AL$14,$O260,$O261,"T",DCC_Leg1_Float)))</f>
        <v>0</v>
      </c>
      <c r="AM260" s="886">
        <f t="shared" si="113"/>
        <v>0</v>
      </c>
      <c r="AN260" s="886">
        <f t="shared" si="114"/>
        <v>0</v>
      </c>
      <c r="AO260" s="886">
        <f>IF($O261=0,0,           IF(FRM,_xll.qGetFwdRate(AO$14,$O260,AG260,"T",DCC_Leg1_Float),_xll.qGetFwdRate(AO$14,$O260,$O261,"T",DCC_Leg1_Float)))</f>
        <v>0</v>
      </c>
      <c r="AP260" s="886">
        <f>IF($O261=0,0,           IF(FRM,_xll.qGetFwdRate(AP$14,$O260,AH260,"T",DCC_Leg1_Float),_xll.qGetFwdRate(AP$14,$O260,$O261,"T",DCC_Leg1_Float)))</f>
        <v>0</v>
      </c>
      <c r="AQ260" s="648">
        <f t="shared" si="115"/>
        <v>0</v>
      </c>
      <c r="AR260" s="648">
        <f t="shared" si="116"/>
        <v>0</v>
      </c>
      <c r="AS260" s="648">
        <f t="shared" si="117"/>
        <v>0</v>
      </c>
      <c r="AT260" s="648">
        <f t="shared" si="118"/>
        <v>0</v>
      </c>
      <c r="AU260" s="648">
        <f t="shared" si="119"/>
        <v>0</v>
      </c>
      <c r="AV260" s="648">
        <f t="shared" si="120"/>
        <v>0</v>
      </c>
      <c r="AW260" s="648">
        <f t="shared" si="121"/>
        <v>0</v>
      </c>
      <c r="AX260" s="648">
        <f t="shared" si="122"/>
        <v>0</v>
      </c>
      <c r="AY260" s="634">
        <v>0</v>
      </c>
      <c r="AZ260" s="616"/>
      <c r="BA260" s="619">
        <f>IF(O261=0,0,             IF(ISNUMBER(AZ260),AZ260,             IF(ISTEXT(AZ260),INDEX(AQ260:AX260,MATCH(AZ260,$AQ$17:$AX$17,0)),           IF(AY260="INT",_xll.qInterp(O261,AA260:AH260,AQ260:AX260),       INDEX(AQ260:AX260,MATCH(AY260,$AQ$17:$AX$17,0))))))</f>
        <v>0</v>
      </c>
      <c r="BB260" s="674">
        <v>100</v>
      </c>
      <c r="BC260" s="666">
        <f t="shared" si="101"/>
        <v>0</v>
      </c>
      <c r="BD260" s="268">
        <f>IF($O261=0,0,                IF(LEFT(DCC_Leg1_Fixed,2)="1/",uEvaluate(DCC_Leg1_Fixed),        _xll.qDateYears($O260,$O261,DCC_Leg1_Fixed)))</f>
        <v>0</v>
      </c>
      <c r="BE260" s="268">
        <f>IF($O261,_xll.qDateYears($O260,$O261,DCC_Leg1_Float),0)</f>
        <v>0</v>
      </c>
      <c r="BG260" s="332">
        <f t="shared" si="123"/>
        <v>0</v>
      </c>
      <c r="BH260" s="357">
        <f t="shared" si="124"/>
        <v>0</v>
      </c>
      <c r="BI260" s="527"/>
      <c r="BK260" s="324">
        <f t="shared" si="129"/>
        <v>0</v>
      </c>
      <c r="BM260" s="338"/>
      <c r="BN260" s="121">
        <v>0</v>
      </c>
      <c r="BO260" s="755">
        <f t="shared" si="102"/>
        <v>0</v>
      </c>
      <c r="BP260" s="339">
        <v>0</v>
      </c>
      <c r="BQ260" s="890">
        <f>IF(BN261=0,0,         IF(OR(Currency2="AUD",Currency1="NZD",Currency2="GBP"),BN260,   _xll.qDateNext(BN260,"-2b",,,IF(Currency2="EUR","TGT","LON"))))</f>
        <v>0</v>
      </c>
      <c r="BR260" s="879" t="str">
        <v/>
      </c>
      <c r="BS260" s="879" t="str">
        <v/>
      </c>
      <c r="BT260" s="879" t="str">
        <v/>
      </c>
      <c r="BU260" s="879" t="str">
        <v/>
      </c>
      <c r="BV260" s="879" t="str">
        <v/>
      </c>
      <c r="BW260" s="879" t="str">
        <v/>
      </c>
      <c r="BX260" s="879" t="str">
        <v/>
      </c>
      <c r="BY260" s="879" t="str">
        <v/>
      </c>
      <c r="BZ260" s="882">
        <f>IF($BN261=0,0,        _xll.qDateNext($BN260,BZ$17,$CG$16,TRUE,Currency2))</f>
        <v>0</v>
      </c>
      <c r="CA260" s="882">
        <f>IF($BN261=0,0,        _xll.qDateNext($BN260,CA$17,$CG$16,TRUE,Currency2))</f>
        <v>0</v>
      </c>
      <c r="CB260" s="882">
        <f>IF($BN261=0,0,        _xll.qDateNext($BN260,CB$17,$CG$16,TRUE,Currency2))</f>
        <v>0</v>
      </c>
      <c r="CC260" s="882">
        <f>IF($BN261=0,0,        _xll.qDateNext($BN260,CC$17,$CG$16,TRUE,Currency2))</f>
        <v>0</v>
      </c>
      <c r="CD260" s="882">
        <f>IF($BN261=0,0,        _xll.qDateNext($BN260,CD$17,$CG$16,TRUE,Currency2))</f>
        <v>0</v>
      </c>
      <c r="CE260" s="882">
        <f>IF($BN261=0,0,        _xll.qDateNext($BN260,CE$17,$CG$16,TRUE,Currency2))</f>
        <v>0</v>
      </c>
      <c r="CF260" s="882">
        <f>IF($BN261=0,0,        _xll.qDateNext($BN260,CF$17,$CG$16,TRUE,Currency2))</f>
        <v>0</v>
      </c>
      <c r="CG260" s="882">
        <f>IF($BN261=0,0,        _xll.qDateNext($BN260,CG$17,$CG$16,TRUE,Currency2))</f>
        <v>0</v>
      </c>
      <c r="CH260" s="886">
        <v>0</v>
      </c>
      <c r="CI260" s="886">
        <v>0</v>
      </c>
      <c r="CJ260" s="886">
        <v>0</v>
      </c>
      <c r="CK260" s="886">
        <v>0</v>
      </c>
      <c r="CL260" s="886">
        <f t="shared" si="125"/>
        <v>0</v>
      </c>
      <c r="CM260" s="886">
        <f t="shared" si="126"/>
        <v>0</v>
      </c>
      <c r="CN260" s="886">
        <v>0</v>
      </c>
      <c r="CO260" s="886">
        <v>0</v>
      </c>
      <c r="CP260" s="648">
        <f t="shared" si="103"/>
        <v>0</v>
      </c>
      <c r="CQ260" s="648">
        <f t="shared" si="104"/>
        <v>0</v>
      </c>
      <c r="CR260" s="648">
        <f t="shared" si="105"/>
        <v>0</v>
      </c>
      <c r="CS260" s="648">
        <f t="shared" si="106"/>
        <v>0</v>
      </c>
      <c r="CT260" s="648">
        <f t="shared" si="107"/>
        <v>0</v>
      </c>
      <c r="CU260" s="648">
        <f t="shared" si="108"/>
        <v>0</v>
      </c>
      <c r="CV260" s="648">
        <f t="shared" si="109"/>
        <v>0</v>
      </c>
      <c r="CW260" s="648">
        <f t="shared" si="110"/>
        <v>0</v>
      </c>
      <c r="CX260" s="634">
        <v>0</v>
      </c>
      <c r="CY260" s="616"/>
      <c r="CZ260" s="619">
        <f>IF(BN261=0,0,             IF(ISNUMBER(CY260),CY260,             IF(ISTEXT(CY260),INDEX(CP260:CW260,MATCH(CY260,$CP$17:$CW$17,0)),           IF(CX260="INT",_xll.qInterp(BN261,BZ260:CG260,CP260:CW260),       INDEX(CP260:CW260,MATCH(CX260,$CP$17:$CW$17,0))))))</f>
        <v>0</v>
      </c>
      <c r="DA260" s="755">
        <f t="shared" si="111"/>
        <v>0</v>
      </c>
      <c r="DB260" s="387">
        <f t="shared" si="112"/>
        <v>0</v>
      </c>
      <c r="DC260" s="268">
        <f>IF($BN261=0,0,         IF(LEFT(DCC_Leg2_Fixed,2)="1/",uEvaluate(DCC_Leg2_Fixed),         _xll.qDateYears($BN260,$BN261,DCC_Leg2_Fixed)))</f>
        <v>0</v>
      </c>
      <c r="DD260" s="268">
        <f>IF($BN261,_xll.qDateYears($BN260,$BN261,DCC_Leg2_Float),0)</f>
        <v>0</v>
      </c>
      <c r="DF260" s="332">
        <f t="shared" si="127"/>
        <v>0</v>
      </c>
      <c r="DG260" s="357">
        <f t="shared" si="128"/>
        <v>0</v>
      </c>
      <c r="DH260" s="527"/>
      <c r="DJ260" s="324">
        <f t="shared" si="130"/>
        <v>0</v>
      </c>
      <c r="DK260" s="529"/>
      <c r="DL260" s="338"/>
    </row>
    <row r="261" spans="15:116">
      <c r="O261" s="121">
        <v>0</v>
      </c>
      <c r="P261" s="755">
        <f t="shared" si="99"/>
        <v>0</v>
      </c>
      <c r="Q261" s="125">
        <v>0</v>
      </c>
      <c r="R261" s="890">
        <f>IF(O262=0,0,         IF(OR(Currency1="AUD",Currency1="NZD",Currency1="GBP"),O261,   _xll.qDateNext(O261,"-2b",,,IF(Currency1="EUR","TGT","LON"))))</f>
        <v>0</v>
      </c>
      <c r="S261" s="879" t="str">
        <v/>
      </c>
      <c r="T261" s="879" t="str">
        <v/>
      </c>
      <c r="U261" s="879" t="str">
        <v/>
      </c>
      <c r="V261" s="879" t="str">
        <v/>
      </c>
      <c r="W261" s="879" t="str">
        <v/>
      </c>
      <c r="X261" s="879" t="str">
        <v/>
      </c>
      <c r="Y261" s="879" t="str">
        <v/>
      </c>
      <c r="Z261" s="879" t="str">
        <v/>
      </c>
      <c r="AA261" s="882">
        <f>IF($O262=0,0,        _xll.qDateNext($O261,AA$17,$AH$16,TRUE,Currency1))</f>
        <v>0</v>
      </c>
      <c r="AB261" s="882">
        <f>IF($O262=0,0,        _xll.qDateNext($O261,AB$17,$AH$16,TRUE,Currency1))</f>
        <v>0</v>
      </c>
      <c r="AC261" s="882">
        <f>IF($O262=0,0,        _xll.qDateNext($O261,AC$17,$AH$16,TRUE,Currency1))</f>
        <v>0</v>
      </c>
      <c r="AD261" s="882">
        <f>IF($O262=0,0,        _xll.qDateNext($O261,AD$17,$AH$16,TRUE,Currency1))</f>
        <v>0</v>
      </c>
      <c r="AE261" s="882">
        <f>IF($O262=0,0,        _xll.qDateNext($O261,AE$17,$AH$16,TRUE,Currency1))</f>
        <v>0</v>
      </c>
      <c r="AF261" s="882">
        <f>IF($O262=0,0,        _xll.qDateNext($O261,AF$17,$AH$16,TRUE,Currency1))</f>
        <v>0</v>
      </c>
      <c r="AG261" s="882">
        <f>IF($O262=0,0,        _xll.qDateNext($O261,AG$17,$AH$16,TRUE,Currency1))</f>
        <v>0</v>
      </c>
      <c r="AH261" s="882">
        <f>IF($O262=0,0,        _xll.qDateNext($O261,AH$17,$AH$16,TRUE,Currency1))</f>
        <v>0</v>
      </c>
      <c r="AI261" s="886">
        <f>IF($O262=0,0,           IF(FRM,_xll.qGetFwdRate(AI$14,$O261,AA261,"T",DCC_Leg1_Float),_xll.qGetFwdRate(AI$14,$O261,$O262,"T",DCC_Leg1_Float)))</f>
        <v>0</v>
      </c>
      <c r="AJ261" s="886">
        <f>IF($O262=0,0,           IF(FRM,_xll.qGetFwdRate(AJ$14,$O261,AB261,"T",DCC_Leg1_Float),_xll.qGetFwdRate(AJ$14,$O261,$O262,"T",DCC_Leg1_Float)))</f>
        <v>0</v>
      </c>
      <c r="AK261" s="886">
        <f t="shared" si="100"/>
        <v>0</v>
      </c>
      <c r="AL261" s="886">
        <f>IF($O262=0,0,           IF(FRM,_xll.qGetFwdRate(AL$14,$O261,AD261,"T",DCC_Leg1_Float),_xll.qGetFwdRate(AL$14,$O261,$O262,"T",DCC_Leg1_Float)))</f>
        <v>0</v>
      </c>
      <c r="AM261" s="886">
        <f t="shared" si="113"/>
        <v>0</v>
      </c>
      <c r="AN261" s="886">
        <f t="shared" si="114"/>
        <v>0</v>
      </c>
      <c r="AO261" s="886">
        <f>IF($O262=0,0,           IF(FRM,_xll.qGetFwdRate(AO$14,$O261,AG261,"T",DCC_Leg1_Float),_xll.qGetFwdRate(AO$14,$O261,$O262,"T",DCC_Leg1_Float)))</f>
        <v>0</v>
      </c>
      <c r="AP261" s="886">
        <f>IF($O262=0,0,           IF(FRM,_xll.qGetFwdRate(AP$14,$O261,AH261,"T",DCC_Leg1_Float),_xll.qGetFwdRate(AP$14,$O261,$O262,"T",DCC_Leg1_Float)))</f>
        <v>0</v>
      </c>
      <c r="AQ261" s="648">
        <f t="shared" si="115"/>
        <v>0</v>
      </c>
      <c r="AR261" s="648">
        <f t="shared" si="116"/>
        <v>0</v>
      </c>
      <c r="AS261" s="648">
        <f t="shared" si="117"/>
        <v>0</v>
      </c>
      <c r="AT261" s="648">
        <f t="shared" si="118"/>
        <v>0</v>
      </c>
      <c r="AU261" s="648">
        <f t="shared" si="119"/>
        <v>0</v>
      </c>
      <c r="AV261" s="648">
        <f t="shared" si="120"/>
        <v>0</v>
      </c>
      <c r="AW261" s="648">
        <f t="shared" si="121"/>
        <v>0</v>
      </c>
      <c r="AX261" s="648">
        <f t="shared" si="122"/>
        <v>0</v>
      </c>
      <c r="AY261" s="634">
        <v>0</v>
      </c>
      <c r="AZ261" s="616"/>
      <c r="BA261" s="619">
        <f>IF(O262=0,0,             IF(ISNUMBER(AZ261),AZ261,             IF(ISTEXT(AZ261),INDEX(AQ261:AX261,MATCH(AZ261,$AQ$17:$AX$17,0)),           IF(AY261="INT",_xll.qInterp(O262,AA261:AH261,AQ261:AX261),       INDEX(AQ261:AX261,MATCH(AY261,$AQ$17:$AX$17,0))))))</f>
        <v>0</v>
      </c>
      <c r="BB261" s="674">
        <v>100</v>
      </c>
      <c r="BC261" s="666">
        <f t="shared" si="101"/>
        <v>0</v>
      </c>
      <c r="BD261" s="268">
        <f>IF($O262=0,0,                IF(LEFT(DCC_Leg1_Fixed,2)="1/",uEvaluate(DCC_Leg1_Fixed),        _xll.qDateYears($O261,$O262,DCC_Leg1_Fixed)))</f>
        <v>0</v>
      </c>
      <c r="BE261" s="268">
        <f>IF($O262,_xll.qDateYears($O261,$O262,DCC_Leg1_Float),0)</f>
        <v>0</v>
      </c>
      <c r="BG261" s="332">
        <f t="shared" si="123"/>
        <v>0</v>
      </c>
      <c r="BH261" s="357">
        <f t="shared" si="124"/>
        <v>0</v>
      </c>
      <c r="BI261" s="527"/>
      <c r="BK261" s="324">
        <f t="shared" si="129"/>
        <v>0</v>
      </c>
      <c r="BM261" s="338"/>
      <c r="BN261" s="121">
        <v>0</v>
      </c>
      <c r="BO261" s="755">
        <f t="shared" si="102"/>
        <v>0</v>
      </c>
      <c r="BP261" s="339">
        <v>0</v>
      </c>
      <c r="BQ261" s="890">
        <f>IF(BN262=0,0,         IF(OR(Currency2="AUD",Currency1="NZD",Currency2="GBP"),BN261,   _xll.qDateNext(BN261,"-2b",,,IF(Currency2="EUR","TGT","LON"))))</f>
        <v>0</v>
      </c>
      <c r="BR261" s="879" t="str">
        <v/>
      </c>
      <c r="BS261" s="879" t="str">
        <v/>
      </c>
      <c r="BT261" s="879" t="str">
        <v/>
      </c>
      <c r="BU261" s="879" t="str">
        <v/>
      </c>
      <c r="BV261" s="879" t="str">
        <v/>
      </c>
      <c r="BW261" s="879" t="str">
        <v/>
      </c>
      <c r="BX261" s="879" t="str">
        <v/>
      </c>
      <c r="BY261" s="879" t="str">
        <v/>
      </c>
      <c r="BZ261" s="882">
        <f>IF($BN262=0,0,        _xll.qDateNext($BN261,BZ$17,$CG$16,TRUE,Currency2))</f>
        <v>0</v>
      </c>
      <c r="CA261" s="882">
        <f>IF($BN262=0,0,        _xll.qDateNext($BN261,CA$17,$CG$16,TRUE,Currency2))</f>
        <v>0</v>
      </c>
      <c r="CB261" s="882">
        <f>IF($BN262=0,0,        _xll.qDateNext($BN261,CB$17,$CG$16,TRUE,Currency2))</f>
        <v>0</v>
      </c>
      <c r="CC261" s="882">
        <f>IF($BN262=0,0,        _xll.qDateNext($BN261,CC$17,$CG$16,TRUE,Currency2))</f>
        <v>0</v>
      </c>
      <c r="CD261" s="882">
        <f>IF($BN262=0,0,        _xll.qDateNext($BN261,CD$17,$CG$16,TRUE,Currency2))</f>
        <v>0</v>
      </c>
      <c r="CE261" s="882">
        <f>IF($BN262=0,0,        _xll.qDateNext($BN261,CE$17,$CG$16,TRUE,Currency2))</f>
        <v>0</v>
      </c>
      <c r="CF261" s="882">
        <f>IF($BN262=0,0,        _xll.qDateNext($BN261,CF$17,$CG$16,TRUE,Currency2))</f>
        <v>0</v>
      </c>
      <c r="CG261" s="882">
        <f>IF($BN262=0,0,        _xll.qDateNext($BN261,CG$17,$CG$16,TRUE,Currency2))</f>
        <v>0</v>
      </c>
      <c r="CH261" s="886">
        <v>0</v>
      </c>
      <c r="CI261" s="886">
        <v>0</v>
      </c>
      <c r="CJ261" s="886">
        <v>0</v>
      </c>
      <c r="CK261" s="886">
        <v>0</v>
      </c>
      <c r="CL261" s="886">
        <f t="shared" si="125"/>
        <v>0</v>
      </c>
      <c r="CM261" s="886">
        <f t="shared" si="126"/>
        <v>0</v>
      </c>
      <c r="CN261" s="886">
        <v>0</v>
      </c>
      <c r="CO261" s="886">
        <v>0</v>
      </c>
      <c r="CP261" s="648">
        <f t="shared" si="103"/>
        <v>0</v>
      </c>
      <c r="CQ261" s="648">
        <f t="shared" si="104"/>
        <v>0</v>
      </c>
      <c r="CR261" s="648">
        <f t="shared" si="105"/>
        <v>0</v>
      </c>
      <c r="CS261" s="648">
        <f t="shared" si="106"/>
        <v>0</v>
      </c>
      <c r="CT261" s="648">
        <f t="shared" si="107"/>
        <v>0</v>
      </c>
      <c r="CU261" s="648">
        <f t="shared" si="108"/>
        <v>0</v>
      </c>
      <c r="CV261" s="648">
        <f t="shared" si="109"/>
        <v>0</v>
      </c>
      <c r="CW261" s="648">
        <f t="shared" si="110"/>
        <v>0</v>
      </c>
      <c r="CX261" s="634">
        <v>0</v>
      </c>
      <c r="CY261" s="616"/>
      <c r="CZ261" s="619">
        <f>IF(BN262=0,0,             IF(ISNUMBER(CY261),CY261,             IF(ISTEXT(CY261),INDEX(CP261:CW261,MATCH(CY261,$CP$17:$CW$17,0)),           IF(CX261="INT",_xll.qInterp(BN262,BZ261:CG261,CP261:CW261),       INDEX(CP261:CW261,MATCH(CX261,$CP$17:$CW$17,0))))))</f>
        <v>0</v>
      </c>
      <c r="DA261" s="755">
        <f t="shared" si="111"/>
        <v>0</v>
      </c>
      <c r="DB261" s="387">
        <f t="shared" si="112"/>
        <v>0</v>
      </c>
      <c r="DC261" s="268">
        <f>IF($BN262=0,0,         IF(LEFT(DCC_Leg2_Fixed,2)="1/",uEvaluate(DCC_Leg2_Fixed),         _xll.qDateYears($BN261,$BN262,DCC_Leg2_Fixed)))</f>
        <v>0</v>
      </c>
      <c r="DD261" s="268">
        <f>IF($BN262,_xll.qDateYears($BN261,$BN262,DCC_Leg2_Float),0)</f>
        <v>0</v>
      </c>
      <c r="DF261" s="332">
        <f t="shared" si="127"/>
        <v>0</v>
      </c>
      <c r="DG261" s="357">
        <f t="shared" si="128"/>
        <v>0</v>
      </c>
      <c r="DH261" s="527"/>
      <c r="DJ261" s="324">
        <f t="shared" si="130"/>
        <v>0</v>
      </c>
      <c r="DK261" s="529"/>
      <c r="DL261" s="338"/>
    </row>
    <row r="262" spans="15:116">
      <c r="O262" s="121">
        <v>0</v>
      </c>
      <c r="P262" s="755">
        <f t="shared" si="99"/>
        <v>0</v>
      </c>
      <c r="Q262" s="125">
        <v>0</v>
      </c>
      <c r="R262" s="890">
        <f>IF(O263=0,0,         IF(OR(Currency1="AUD",Currency1="NZD",Currency1="GBP"),O262,   _xll.qDateNext(O262,"-2b",,,IF(Currency1="EUR","TGT","LON"))))</f>
        <v>0</v>
      </c>
      <c r="S262" s="879" t="str">
        <v/>
      </c>
      <c r="T262" s="879" t="str">
        <v/>
      </c>
      <c r="U262" s="879" t="str">
        <v/>
      </c>
      <c r="V262" s="879" t="str">
        <v/>
      </c>
      <c r="W262" s="879" t="str">
        <v/>
      </c>
      <c r="X262" s="879" t="str">
        <v/>
      </c>
      <c r="Y262" s="879" t="str">
        <v/>
      </c>
      <c r="Z262" s="879" t="str">
        <v/>
      </c>
      <c r="AA262" s="882">
        <f>IF($O263=0,0,        _xll.qDateNext($O262,AA$17,$AH$16,TRUE,Currency1))</f>
        <v>0</v>
      </c>
      <c r="AB262" s="882">
        <f>IF($O263=0,0,        _xll.qDateNext($O262,AB$17,$AH$16,TRUE,Currency1))</f>
        <v>0</v>
      </c>
      <c r="AC262" s="882">
        <f>IF($O263=0,0,        _xll.qDateNext($O262,AC$17,$AH$16,TRUE,Currency1))</f>
        <v>0</v>
      </c>
      <c r="AD262" s="882">
        <f>IF($O263=0,0,        _xll.qDateNext($O262,AD$17,$AH$16,TRUE,Currency1))</f>
        <v>0</v>
      </c>
      <c r="AE262" s="882">
        <f>IF($O263=0,0,        _xll.qDateNext($O262,AE$17,$AH$16,TRUE,Currency1))</f>
        <v>0</v>
      </c>
      <c r="AF262" s="882">
        <f>IF($O263=0,0,        _xll.qDateNext($O262,AF$17,$AH$16,TRUE,Currency1))</f>
        <v>0</v>
      </c>
      <c r="AG262" s="882">
        <f>IF($O263=0,0,        _xll.qDateNext($O262,AG$17,$AH$16,TRUE,Currency1))</f>
        <v>0</v>
      </c>
      <c r="AH262" s="882">
        <f>IF($O263=0,0,        _xll.qDateNext($O262,AH$17,$AH$16,TRUE,Currency1))</f>
        <v>0</v>
      </c>
      <c r="AI262" s="886">
        <f>IF($O263=0,0,           IF(FRM,_xll.qGetFwdRate(AI$14,$O262,AA262,"T",DCC_Leg1_Float),_xll.qGetFwdRate(AI$14,$O262,$O263,"T",DCC_Leg1_Float)))</f>
        <v>0</v>
      </c>
      <c r="AJ262" s="886">
        <f>IF($O263=0,0,           IF(FRM,_xll.qGetFwdRate(AJ$14,$O262,AB262,"T",DCC_Leg1_Float),_xll.qGetFwdRate(AJ$14,$O262,$O263,"T",DCC_Leg1_Float)))</f>
        <v>0</v>
      </c>
      <c r="AK262" s="886">
        <f t="shared" si="100"/>
        <v>0</v>
      </c>
      <c r="AL262" s="886">
        <f>IF($O263=0,0,           IF(FRM,_xll.qGetFwdRate(AL$14,$O262,AD262,"T",DCC_Leg1_Float),_xll.qGetFwdRate(AL$14,$O262,$O263,"T",DCC_Leg1_Float)))</f>
        <v>0</v>
      </c>
      <c r="AM262" s="886">
        <f t="shared" si="113"/>
        <v>0</v>
      </c>
      <c r="AN262" s="886">
        <f t="shared" si="114"/>
        <v>0</v>
      </c>
      <c r="AO262" s="886">
        <f>IF($O263=0,0,           IF(FRM,_xll.qGetFwdRate(AO$14,$O262,AG262,"T",DCC_Leg1_Float),_xll.qGetFwdRate(AO$14,$O262,$O263,"T",DCC_Leg1_Float)))</f>
        <v>0</v>
      </c>
      <c r="AP262" s="886">
        <f>IF($O263=0,0,           IF(FRM,_xll.qGetFwdRate(AP$14,$O262,AH262,"T",DCC_Leg1_Float),_xll.qGetFwdRate(AP$14,$O262,$O263,"T",DCC_Leg1_Float)))</f>
        <v>0</v>
      </c>
      <c r="AQ262" s="648">
        <f t="shared" si="115"/>
        <v>0</v>
      </c>
      <c r="AR262" s="648">
        <f t="shared" si="116"/>
        <v>0</v>
      </c>
      <c r="AS262" s="648">
        <f t="shared" si="117"/>
        <v>0</v>
      </c>
      <c r="AT262" s="648">
        <f t="shared" si="118"/>
        <v>0</v>
      </c>
      <c r="AU262" s="648">
        <f t="shared" si="119"/>
        <v>0</v>
      </c>
      <c r="AV262" s="648">
        <f t="shared" si="120"/>
        <v>0</v>
      </c>
      <c r="AW262" s="648">
        <f t="shared" si="121"/>
        <v>0</v>
      </c>
      <c r="AX262" s="648">
        <f t="shared" si="122"/>
        <v>0</v>
      </c>
      <c r="AY262" s="634">
        <v>0</v>
      </c>
      <c r="AZ262" s="616"/>
      <c r="BA262" s="619">
        <f>IF(O263=0,0,             IF(ISNUMBER(AZ262),AZ262,             IF(ISTEXT(AZ262),INDEX(AQ262:AX262,MATCH(AZ262,$AQ$17:$AX$17,0)),           IF(AY262="INT",_xll.qInterp(O263,AA262:AH262,AQ262:AX262),       INDEX(AQ262:AX262,MATCH(AY262,$AQ$17:$AX$17,0))))))</f>
        <v>0</v>
      </c>
      <c r="BB262" s="674">
        <v>100</v>
      </c>
      <c r="BC262" s="666">
        <f t="shared" si="101"/>
        <v>0</v>
      </c>
      <c r="BD262" s="268">
        <f>IF($O263=0,0,                IF(LEFT(DCC_Leg1_Fixed,2)="1/",uEvaluate(DCC_Leg1_Fixed),        _xll.qDateYears($O262,$O263,DCC_Leg1_Fixed)))</f>
        <v>0</v>
      </c>
      <c r="BE262" s="268">
        <f>IF($O263,_xll.qDateYears($O262,$O263,DCC_Leg1_Float),0)</f>
        <v>0</v>
      </c>
      <c r="BG262" s="332">
        <f t="shared" si="123"/>
        <v>0</v>
      </c>
      <c r="BH262" s="357">
        <f t="shared" si="124"/>
        <v>0</v>
      </c>
      <c r="BI262" s="527"/>
      <c r="BK262" s="324">
        <f t="shared" si="129"/>
        <v>0</v>
      </c>
      <c r="BM262" s="338"/>
      <c r="BN262" s="121">
        <v>0</v>
      </c>
      <c r="BO262" s="755">
        <f t="shared" si="102"/>
        <v>0</v>
      </c>
      <c r="BP262" s="339">
        <v>0</v>
      </c>
      <c r="BQ262" s="890">
        <f>IF(BN263=0,0,         IF(OR(Currency2="AUD",Currency1="NZD",Currency2="GBP"),BN262,   _xll.qDateNext(BN262,"-2b",,,IF(Currency2="EUR","TGT","LON"))))</f>
        <v>0</v>
      </c>
      <c r="BR262" s="879" t="str">
        <v/>
      </c>
      <c r="BS262" s="879" t="str">
        <v/>
      </c>
      <c r="BT262" s="879" t="str">
        <v/>
      </c>
      <c r="BU262" s="879" t="str">
        <v/>
      </c>
      <c r="BV262" s="879" t="str">
        <v/>
      </c>
      <c r="BW262" s="879" t="str">
        <v/>
      </c>
      <c r="BX262" s="879" t="str">
        <v/>
      </c>
      <c r="BY262" s="879" t="str">
        <v/>
      </c>
      <c r="BZ262" s="882">
        <f>IF($BN263=0,0,        _xll.qDateNext($BN262,BZ$17,$CG$16,TRUE,Currency2))</f>
        <v>0</v>
      </c>
      <c r="CA262" s="882">
        <f>IF($BN263=0,0,        _xll.qDateNext($BN262,CA$17,$CG$16,TRUE,Currency2))</f>
        <v>0</v>
      </c>
      <c r="CB262" s="882">
        <f>IF($BN263=0,0,        _xll.qDateNext($BN262,CB$17,$CG$16,TRUE,Currency2))</f>
        <v>0</v>
      </c>
      <c r="CC262" s="882">
        <f>IF($BN263=0,0,        _xll.qDateNext($BN262,CC$17,$CG$16,TRUE,Currency2))</f>
        <v>0</v>
      </c>
      <c r="CD262" s="882">
        <f>IF($BN263=0,0,        _xll.qDateNext($BN262,CD$17,$CG$16,TRUE,Currency2))</f>
        <v>0</v>
      </c>
      <c r="CE262" s="882">
        <f>IF($BN263=0,0,        _xll.qDateNext($BN262,CE$17,$CG$16,TRUE,Currency2))</f>
        <v>0</v>
      </c>
      <c r="CF262" s="882">
        <f>IF($BN263=0,0,        _xll.qDateNext($BN262,CF$17,$CG$16,TRUE,Currency2))</f>
        <v>0</v>
      </c>
      <c r="CG262" s="882">
        <f>IF($BN263=0,0,        _xll.qDateNext($BN262,CG$17,$CG$16,TRUE,Currency2))</f>
        <v>0</v>
      </c>
      <c r="CH262" s="886">
        <v>0</v>
      </c>
      <c r="CI262" s="886">
        <v>0</v>
      </c>
      <c r="CJ262" s="886">
        <v>0</v>
      </c>
      <c r="CK262" s="886">
        <v>0</v>
      </c>
      <c r="CL262" s="886">
        <f t="shared" si="125"/>
        <v>0</v>
      </c>
      <c r="CM262" s="886">
        <f t="shared" si="126"/>
        <v>0</v>
      </c>
      <c r="CN262" s="886">
        <v>0</v>
      </c>
      <c r="CO262" s="886">
        <v>0</v>
      </c>
      <c r="CP262" s="648">
        <f t="shared" si="103"/>
        <v>0</v>
      </c>
      <c r="CQ262" s="648">
        <f t="shared" si="104"/>
        <v>0</v>
      </c>
      <c r="CR262" s="648">
        <f t="shared" si="105"/>
        <v>0</v>
      </c>
      <c r="CS262" s="648">
        <f t="shared" si="106"/>
        <v>0</v>
      </c>
      <c r="CT262" s="648">
        <f t="shared" si="107"/>
        <v>0</v>
      </c>
      <c r="CU262" s="648">
        <f t="shared" si="108"/>
        <v>0</v>
      </c>
      <c r="CV262" s="648">
        <f t="shared" si="109"/>
        <v>0</v>
      </c>
      <c r="CW262" s="648">
        <f t="shared" si="110"/>
        <v>0</v>
      </c>
      <c r="CX262" s="634">
        <v>0</v>
      </c>
      <c r="CY262" s="616"/>
      <c r="CZ262" s="619">
        <f>IF(BN263=0,0,             IF(ISNUMBER(CY262),CY262,             IF(ISTEXT(CY262),INDEX(CP262:CW262,MATCH(CY262,$CP$17:$CW$17,0)),           IF(CX262="INT",_xll.qInterp(BN263,BZ262:CG262,CP262:CW262),       INDEX(CP262:CW262,MATCH(CX262,$CP$17:$CW$17,0))))))</f>
        <v>0</v>
      </c>
      <c r="DA262" s="755">
        <f t="shared" si="111"/>
        <v>0</v>
      </c>
      <c r="DB262" s="387">
        <f t="shared" si="112"/>
        <v>0</v>
      </c>
      <c r="DC262" s="268">
        <f>IF($BN263=0,0,         IF(LEFT(DCC_Leg2_Fixed,2)="1/",uEvaluate(DCC_Leg2_Fixed),         _xll.qDateYears($BN262,$BN263,DCC_Leg2_Fixed)))</f>
        <v>0</v>
      </c>
      <c r="DD262" s="268">
        <f>IF($BN263,_xll.qDateYears($BN262,$BN263,DCC_Leg2_Float),0)</f>
        <v>0</v>
      </c>
      <c r="DF262" s="332">
        <f t="shared" si="127"/>
        <v>0</v>
      </c>
      <c r="DG262" s="357">
        <f t="shared" si="128"/>
        <v>0</v>
      </c>
      <c r="DH262" s="527"/>
      <c r="DJ262" s="324">
        <f t="shared" si="130"/>
        <v>0</v>
      </c>
      <c r="DK262" s="529"/>
      <c r="DL262" s="338"/>
    </row>
    <row r="263" spans="15:116">
      <c r="O263" s="121">
        <v>0</v>
      </c>
      <c r="P263" s="755">
        <f t="shared" si="99"/>
        <v>0</v>
      </c>
      <c r="Q263" s="125">
        <v>0</v>
      </c>
      <c r="R263" s="890">
        <f>IF(O264=0,0,         IF(OR(Currency1="AUD",Currency1="NZD",Currency1="GBP"),O263,   _xll.qDateNext(O263,"-2b",,,IF(Currency1="EUR","TGT","LON"))))</f>
        <v>0</v>
      </c>
      <c r="S263" s="879" t="str">
        <v/>
      </c>
      <c r="T263" s="879" t="str">
        <v/>
      </c>
      <c r="U263" s="879" t="str">
        <v/>
      </c>
      <c r="V263" s="879" t="str">
        <v/>
      </c>
      <c r="W263" s="879" t="str">
        <v/>
      </c>
      <c r="X263" s="879" t="str">
        <v/>
      </c>
      <c r="Y263" s="879" t="str">
        <v/>
      </c>
      <c r="Z263" s="879" t="str">
        <v/>
      </c>
      <c r="AA263" s="882">
        <f>IF($O264=0,0,        _xll.qDateNext($O263,AA$17,$AH$16,TRUE,Currency1))</f>
        <v>0</v>
      </c>
      <c r="AB263" s="882">
        <f>IF($O264=0,0,        _xll.qDateNext($O263,AB$17,$AH$16,TRUE,Currency1))</f>
        <v>0</v>
      </c>
      <c r="AC263" s="882">
        <f>IF($O264=0,0,        _xll.qDateNext($O263,AC$17,$AH$16,TRUE,Currency1))</f>
        <v>0</v>
      </c>
      <c r="AD263" s="882">
        <f>IF($O264=0,0,        _xll.qDateNext($O263,AD$17,$AH$16,TRUE,Currency1))</f>
        <v>0</v>
      </c>
      <c r="AE263" s="882">
        <f>IF($O264=0,0,        _xll.qDateNext($O263,AE$17,$AH$16,TRUE,Currency1))</f>
        <v>0</v>
      </c>
      <c r="AF263" s="882">
        <f>IF($O264=0,0,        _xll.qDateNext($O263,AF$17,$AH$16,TRUE,Currency1))</f>
        <v>0</v>
      </c>
      <c r="AG263" s="882">
        <f>IF($O264=0,0,        _xll.qDateNext($O263,AG$17,$AH$16,TRUE,Currency1))</f>
        <v>0</v>
      </c>
      <c r="AH263" s="882">
        <f>IF($O264=0,0,        _xll.qDateNext($O263,AH$17,$AH$16,TRUE,Currency1))</f>
        <v>0</v>
      </c>
      <c r="AI263" s="886">
        <f>IF($O264=0,0,           IF(FRM,_xll.qGetFwdRate(AI$14,$O263,AA263,"T",DCC_Leg1_Float),_xll.qGetFwdRate(AI$14,$O263,$O264,"T",DCC_Leg1_Float)))</f>
        <v>0</v>
      </c>
      <c r="AJ263" s="886">
        <f>IF($O264=0,0,           IF(FRM,_xll.qGetFwdRate(AJ$14,$O263,AB263,"T",DCC_Leg1_Float),_xll.qGetFwdRate(AJ$14,$O263,$O264,"T",DCC_Leg1_Float)))</f>
        <v>0</v>
      </c>
      <c r="AK263" s="886">
        <f t="shared" si="100"/>
        <v>0</v>
      </c>
      <c r="AL263" s="886">
        <f>IF($O264=0,0,           IF(FRM,_xll.qGetFwdRate(AL$14,$O263,AD263,"T",DCC_Leg1_Float),_xll.qGetFwdRate(AL$14,$O263,$O264,"T",DCC_Leg1_Float)))</f>
        <v>0</v>
      </c>
      <c r="AM263" s="886">
        <f t="shared" si="113"/>
        <v>0</v>
      </c>
      <c r="AN263" s="886">
        <f t="shared" si="114"/>
        <v>0</v>
      </c>
      <c r="AO263" s="886">
        <f>IF($O264=0,0,           IF(FRM,_xll.qGetFwdRate(AO$14,$O263,AG263,"T",DCC_Leg1_Float),_xll.qGetFwdRate(AO$14,$O263,$O264,"T",DCC_Leg1_Float)))</f>
        <v>0</v>
      </c>
      <c r="AP263" s="886">
        <f>IF($O264=0,0,           IF(FRM,_xll.qGetFwdRate(AP$14,$O263,AH263,"T",DCC_Leg1_Float),_xll.qGetFwdRate(AP$14,$O263,$O264,"T",DCC_Leg1_Float)))</f>
        <v>0</v>
      </c>
      <c r="AQ263" s="648">
        <f t="shared" si="115"/>
        <v>0</v>
      </c>
      <c r="AR263" s="648">
        <f t="shared" si="116"/>
        <v>0</v>
      </c>
      <c r="AS263" s="648">
        <f t="shared" si="117"/>
        <v>0</v>
      </c>
      <c r="AT263" s="648">
        <f t="shared" si="118"/>
        <v>0</v>
      </c>
      <c r="AU263" s="648">
        <f t="shared" si="119"/>
        <v>0</v>
      </c>
      <c r="AV263" s="648">
        <f t="shared" si="120"/>
        <v>0</v>
      </c>
      <c r="AW263" s="648">
        <f t="shared" si="121"/>
        <v>0</v>
      </c>
      <c r="AX263" s="648">
        <f t="shared" si="122"/>
        <v>0</v>
      </c>
      <c r="AY263" s="634">
        <v>0</v>
      </c>
      <c r="AZ263" s="616"/>
      <c r="BA263" s="619">
        <f>IF(O264=0,0,             IF(ISNUMBER(AZ263),AZ263,             IF(ISTEXT(AZ263),INDEX(AQ263:AX263,MATCH(AZ263,$AQ$17:$AX$17,0)),           IF(AY263="INT",_xll.qInterp(O264,AA263:AH263,AQ263:AX263),       INDEX(AQ263:AX263,MATCH(AY263,$AQ$17:$AX$17,0))))))</f>
        <v>0</v>
      </c>
      <c r="BB263" s="674">
        <v>100</v>
      </c>
      <c r="BC263" s="666">
        <f t="shared" si="101"/>
        <v>0</v>
      </c>
      <c r="BD263" s="268">
        <f>IF($O264=0,0,                IF(LEFT(DCC_Leg1_Fixed,2)="1/",uEvaluate(DCC_Leg1_Fixed),        _xll.qDateYears($O263,$O264,DCC_Leg1_Fixed)))</f>
        <v>0</v>
      </c>
      <c r="BE263" s="268">
        <f>IF($O264,_xll.qDateYears($O263,$O264,DCC_Leg1_Float),0)</f>
        <v>0</v>
      </c>
      <c r="BG263" s="332">
        <f t="shared" si="123"/>
        <v>0</v>
      </c>
      <c r="BH263" s="357">
        <f t="shared" si="124"/>
        <v>0</v>
      </c>
      <c r="BI263" s="527"/>
      <c r="BK263" s="324">
        <f t="shared" si="129"/>
        <v>0</v>
      </c>
      <c r="BM263" s="338"/>
      <c r="BN263" s="121">
        <v>0</v>
      </c>
      <c r="BO263" s="755">
        <f t="shared" si="102"/>
        <v>0</v>
      </c>
      <c r="BP263" s="339">
        <v>0</v>
      </c>
      <c r="BQ263" s="890">
        <f>IF(BN264=0,0,         IF(OR(Currency2="AUD",Currency1="NZD",Currency2="GBP"),BN263,   _xll.qDateNext(BN263,"-2b",,,IF(Currency2="EUR","TGT","LON"))))</f>
        <v>0</v>
      </c>
      <c r="BR263" s="879" t="str">
        <v/>
      </c>
      <c r="BS263" s="879" t="str">
        <v/>
      </c>
      <c r="BT263" s="879" t="str">
        <v/>
      </c>
      <c r="BU263" s="879" t="str">
        <v/>
      </c>
      <c r="BV263" s="879" t="str">
        <v/>
      </c>
      <c r="BW263" s="879" t="str">
        <v/>
      </c>
      <c r="BX263" s="879" t="str">
        <v/>
      </c>
      <c r="BY263" s="879" t="str">
        <v/>
      </c>
      <c r="BZ263" s="882">
        <f>IF($BN264=0,0,        _xll.qDateNext($BN263,BZ$17,$CG$16,TRUE,Currency2))</f>
        <v>0</v>
      </c>
      <c r="CA263" s="882">
        <f>IF($BN264=0,0,        _xll.qDateNext($BN263,CA$17,$CG$16,TRUE,Currency2))</f>
        <v>0</v>
      </c>
      <c r="CB263" s="882">
        <f>IF($BN264=0,0,        _xll.qDateNext($BN263,CB$17,$CG$16,TRUE,Currency2))</f>
        <v>0</v>
      </c>
      <c r="CC263" s="882">
        <f>IF($BN264=0,0,        _xll.qDateNext($BN263,CC$17,$CG$16,TRUE,Currency2))</f>
        <v>0</v>
      </c>
      <c r="CD263" s="882">
        <f>IF($BN264=0,0,        _xll.qDateNext($BN263,CD$17,$CG$16,TRUE,Currency2))</f>
        <v>0</v>
      </c>
      <c r="CE263" s="882">
        <f>IF($BN264=0,0,        _xll.qDateNext($BN263,CE$17,$CG$16,TRUE,Currency2))</f>
        <v>0</v>
      </c>
      <c r="CF263" s="882">
        <f>IF($BN264=0,0,        _xll.qDateNext($BN263,CF$17,$CG$16,TRUE,Currency2))</f>
        <v>0</v>
      </c>
      <c r="CG263" s="882">
        <f>IF($BN264=0,0,        _xll.qDateNext($BN263,CG$17,$CG$16,TRUE,Currency2))</f>
        <v>0</v>
      </c>
      <c r="CH263" s="886">
        <v>0</v>
      </c>
      <c r="CI263" s="886">
        <v>0</v>
      </c>
      <c r="CJ263" s="886">
        <v>0</v>
      </c>
      <c r="CK263" s="886">
        <v>0</v>
      </c>
      <c r="CL263" s="886">
        <f t="shared" si="125"/>
        <v>0</v>
      </c>
      <c r="CM263" s="886">
        <f t="shared" si="126"/>
        <v>0</v>
      </c>
      <c r="CN263" s="886">
        <v>0</v>
      </c>
      <c r="CO263" s="886">
        <v>0</v>
      </c>
      <c r="CP263" s="648">
        <f t="shared" si="103"/>
        <v>0</v>
      </c>
      <c r="CQ263" s="648">
        <f t="shared" si="104"/>
        <v>0</v>
      </c>
      <c r="CR263" s="648">
        <f t="shared" si="105"/>
        <v>0</v>
      </c>
      <c r="CS263" s="648">
        <f t="shared" si="106"/>
        <v>0</v>
      </c>
      <c r="CT263" s="648">
        <f t="shared" si="107"/>
        <v>0</v>
      </c>
      <c r="CU263" s="648">
        <f t="shared" si="108"/>
        <v>0</v>
      </c>
      <c r="CV263" s="648">
        <f t="shared" si="109"/>
        <v>0</v>
      </c>
      <c r="CW263" s="648">
        <f t="shared" si="110"/>
        <v>0</v>
      </c>
      <c r="CX263" s="634">
        <v>0</v>
      </c>
      <c r="CY263" s="616"/>
      <c r="CZ263" s="619">
        <f>IF(BN264=0,0,             IF(ISNUMBER(CY263),CY263,             IF(ISTEXT(CY263),INDEX(CP263:CW263,MATCH(CY263,$CP$17:$CW$17,0)),           IF(CX263="INT",_xll.qInterp(BN264,BZ263:CG263,CP263:CW263),       INDEX(CP263:CW263,MATCH(CX263,$CP$17:$CW$17,0))))))</f>
        <v>0</v>
      </c>
      <c r="DA263" s="755">
        <f t="shared" si="111"/>
        <v>0</v>
      </c>
      <c r="DB263" s="387">
        <f t="shared" si="112"/>
        <v>0</v>
      </c>
      <c r="DC263" s="268">
        <f>IF($BN264=0,0,         IF(LEFT(DCC_Leg2_Fixed,2)="1/",uEvaluate(DCC_Leg2_Fixed),         _xll.qDateYears($BN263,$BN264,DCC_Leg2_Fixed)))</f>
        <v>0</v>
      </c>
      <c r="DD263" s="268">
        <f>IF($BN264,_xll.qDateYears($BN263,$BN264,DCC_Leg2_Float),0)</f>
        <v>0</v>
      </c>
      <c r="DF263" s="332">
        <f t="shared" si="127"/>
        <v>0</v>
      </c>
      <c r="DG263" s="357">
        <f t="shared" si="128"/>
        <v>0</v>
      </c>
      <c r="DH263" s="527"/>
      <c r="DJ263" s="324">
        <f t="shared" si="130"/>
        <v>0</v>
      </c>
      <c r="DK263" s="529"/>
      <c r="DL263" s="338"/>
    </row>
    <row r="264" spans="15:116">
      <c r="O264" s="121">
        <v>0</v>
      </c>
      <c r="P264" s="755">
        <f t="shared" si="99"/>
        <v>0</v>
      </c>
      <c r="Q264" s="125">
        <v>0</v>
      </c>
      <c r="R264" s="890">
        <f>IF(O265=0,0,         IF(OR(Currency1="AUD",Currency1="NZD",Currency1="GBP"),O264,   _xll.qDateNext(O264,"-2b",,,IF(Currency1="EUR","TGT","LON"))))</f>
        <v>0</v>
      </c>
      <c r="S264" s="879" t="str">
        <v/>
      </c>
      <c r="T264" s="879" t="str">
        <v/>
      </c>
      <c r="U264" s="879" t="str">
        <v/>
      </c>
      <c r="V264" s="879" t="str">
        <v/>
      </c>
      <c r="W264" s="879" t="str">
        <v/>
      </c>
      <c r="X264" s="879" t="str">
        <v/>
      </c>
      <c r="Y264" s="879" t="str">
        <v/>
      </c>
      <c r="Z264" s="879" t="str">
        <v/>
      </c>
      <c r="AA264" s="882">
        <f>IF($O265=0,0,        _xll.qDateNext($O264,AA$17,$AH$16,TRUE,Currency1))</f>
        <v>0</v>
      </c>
      <c r="AB264" s="882">
        <f>IF($O265=0,0,        _xll.qDateNext($O264,AB$17,$AH$16,TRUE,Currency1))</f>
        <v>0</v>
      </c>
      <c r="AC264" s="882">
        <f>IF($O265=0,0,        _xll.qDateNext($O264,AC$17,$AH$16,TRUE,Currency1))</f>
        <v>0</v>
      </c>
      <c r="AD264" s="882">
        <f>IF($O265=0,0,        _xll.qDateNext($O264,AD$17,$AH$16,TRUE,Currency1))</f>
        <v>0</v>
      </c>
      <c r="AE264" s="882">
        <f>IF($O265=0,0,        _xll.qDateNext($O264,AE$17,$AH$16,TRUE,Currency1))</f>
        <v>0</v>
      </c>
      <c r="AF264" s="882">
        <f>IF($O265=0,0,        _xll.qDateNext($O264,AF$17,$AH$16,TRUE,Currency1))</f>
        <v>0</v>
      </c>
      <c r="AG264" s="882">
        <f>IF($O265=0,0,        _xll.qDateNext($O264,AG$17,$AH$16,TRUE,Currency1))</f>
        <v>0</v>
      </c>
      <c r="AH264" s="882">
        <f>IF($O265=0,0,        _xll.qDateNext($O264,AH$17,$AH$16,TRUE,Currency1))</f>
        <v>0</v>
      </c>
      <c r="AI264" s="886">
        <f>IF($O265=0,0,           IF(FRM,_xll.qGetFwdRate(AI$14,$O264,AA264,"T",DCC_Leg1_Float),_xll.qGetFwdRate(AI$14,$O264,$O265,"T",DCC_Leg1_Float)))</f>
        <v>0</v>
      </c>
      <c r="AJ264" s="886">
        <f>IF($O265=0,0,           IF(FRM,_xll.qGetFwdRate(AJ$14,$O264,AB264,"T",DCC_Leg1_Float),_xll.qGetFwdRate(AJ$14,$O264,$O265,"T",DCC_Leg1_Float)))</f>
        <v>0</v>
      </c>
      <c r="AK264" s="886">
        <f t="shared" si="100"/>
        <v>0</v>
      </c>
      <c r="AL264" s="886">
        <f>IF($O265=0,0,           IF(FRM,_xll.qGetFwdRate(AL$14,$O264,AD264,"T",DCC_Leg1_Float),_xll.qGetFwdRate(AL$14,$O264,$O265,"T",DCC_Leg1_Float)))</f>
        <v>0</v>
      </c>
      <c r="AM264" s="886">
        <f t="shared" si="113"/>
        <v>0</v>
      </c>
      <c r="AN264" s="886">
        <f t="shared" si="114"/>
        <v>0</v>
      </c>
      <c r="AO264" s="886">
        <f>IF($O265=0,0,           IF(FRM,_xll.qGetFwdRate(AO$14,$O264,AG264,"T",DCC_Leg1_Float),_xll.qGetFwdRate(AO$14,$O264,$O265,"T",DCC_Leg1_Float)))</f>
        <v>0</v>
      </c>
      <c r="AP264" s="886">
        <f>IF($O265=0,0,           IF(FRM,_xll.qGetFwdRate(AP$14,$O264,AH264,"T",DCC_Leg1_Float),_xll.qGetFwdRate(AP$14,$O264,$O265,"T",DCC_Leg1_Float)))</f>
        <v>0</v>
      </c>
      <c r="AQ264" s="648">
        <f t="shared" si="115"/>
        <v>0</v>
      </c>
      <c r="AR264" s="648">
        <f t="shared" si="116"/>
        <v>0</v>
      </c>
      <c r="AS264" s="648">
        <f t="shared" si="117"/>
        <v>0</v>
      </c>
      <c r="AT264" s="648">
        <f t="shared" si="118"/>
        <v>0</v>
      </c>
      <c r="AU264" s="648">
        <f t="shared" si="119"/>
        <v>0</v>
      </c>
      <c r="AV264" s="648">
        <f t="shared" si="120"/>
        <v>0</v>
      </c>
      <c r="AW264" s="648">
        <f t="shared" si="121"/>
        <v>0</v>
      </c>
      <c r="AX264" s="648">
        <f t="shared" si="122"/>
        <v>0</v>
      </c>
      <c r="AY264" s="634">
        <v>0</v>
      </c>
      <c r="AZ264" s="616"/>
      <c r="BA264" s="619">
        <f>IF(O265=0,0,             IF(ISNUMBER(AZ264),AZ264,             IF(ISTEXT(AZ264),INDEX(AQ264:AX264,MATCH(AZ264,$AQ$17:$AX$17,0)),           IF(AY264="INT",_xll.qInterp(O265,AA264:AH264,AQ264:AX264),       INDEX(AQ264:AX264,MATCH(AY264,$AQ$17:$AX$17,0))))))</f>
        <v>0</v>
      </c>
      <c r="BB264" s="674">
        <v>100</v>
      </c>
      <c r="BC264" s="666">
        <f t="shared" si="101"/>
        <v>0</v>
      </c>
      <c r="BD264" s="268">
        <f>IF($O265=0,0,                IF(LEFT(DCC_Leg1_Fixed,2)="1/",uEvaluate(DCC_Leg1_Fixed),        _xll.qDateYears($O264,$O265,DCC_Leg1_Fixed)))</f>
        <v>0</v>
      </c>
      <c r="BE264" s="268">
        <f>IF($O265,_xll.qDateYears($O264,$O265,DCC_Leg1_Float),0)</f>
        <v>0</v>
      </c>
      <c r="BG264" s="332">
        <f t="shared" si="123"/>
        <v>0</v>
      </c>
      <c r="BH264" s="357">
        <f t="shared" si="124"/>
        <v>0</v>
      </c>
      <c r="BI264" s="527"/>
      <c r="BK264" s="324">
        <f t="shared" si="129"/>
        <v>0</v>
      </c>
      <c r="BM264" s="338"/>
      <c r="BN264" s="121">
        <v>0</v>
      </c>
      <c r="BO264" s="755">
        <f t="shared" si="102"/>
        <v>0</v>
      </c>
      <c r="BP264" s="339">
        <v>0</v>
      </c>
      <c r="BQ264" s="890">
        <f>IF(BN265=0,0,         IF(OR(Currency2="AUD",Currency1="NZD",Currency2="GBP"),BN264,   _xll.qDateNext(BN264,"-2b",,,IF(Currency2="EUR","TGT","LON"))))</f>
        <v>0</v>
      </c>
      <c r="BR264" s="879" t="str">
        <v/>
      </c>
      <c r="BS264" s="879" t="str">
        <v/>
      </c>
      <c r="BT264" s="879" t="str">
        <v/>
      </c>
      <c r="BU264" s="879" t="str">
        <v/>
      </c>
      <c r="BV264" s="879" t="str">
        <v/>
      </c>
      <c r="BW264" s="879" t="str">
        <v/>
      </c>
      <c r="BX264" s="879" t="str">
        <v/>
      </c>
      <c r="BY264" s="879" t="str">
        <v/>
      </c>
      <c r="BZ264" s="882">
        <f>IF($BN265=0,0,        _xll.qDateNext($BN264,BZ$17,$CG$16,TRUE,Currency2))</f>
        <v>0</v>
      </c>
      <c r="CA264" s="882">
        <f>IF($BN265=0,0,        _xll.qDateNext($BN264,CA$17,$CG$16,TRUE,Currency2))</f>
        <v>0</v>
      </c>
      <c r="CB264" s="882">
        <f>IF($BN265=0,0,        _xll.qDateNext($BN264,CB$17,$CG$16,TRUE,Currency2))</f>
        <v>0</v>
      </c>
      <c r="CC264" s="882">
        <f>IF($BN265=0,0,        _xll.qDateNext($BN264,CC$17,$CG$16,TRUE,Currency2))</f>
        <v>0</v>
      </c>
      <c r="CD264" s="882">
        <f>IF($BN265=0,0,        _xll.qDateNext($BN264,CD$17,$CG$16,TRUE,Currency2))</f>
        <v>0</v>
      </c>
      <c r="CE264" s="882">
        <f>IF($BN265=0,0,        _xll.qDateNext($BN264,CE$17,$CG$16,TRUE,Currency2))</f>
        <v>0</v>
      </c>
      <c r="CF264" s="882">
        <f>IF($BN265=0,0,        _xll.qDateNext($BN264,CF$17,$CG$16,TRUE,Currency2))</f>
        <v>0</v>
      </c>
      <c r="CG264" s="882">
        <f>IF($BN265=0,0,        _xll.qDateNext($BN264,CG$17,$CG$16,TRUE,Currency2))</f>
        <v>0</v>
      </c>
      <c r="CH264" s="886">
        <v>0</v>
      </c>
      <c r="CI264" s="886">
        <v>0</v>
      </c>
      <c r="CJ264" s="886">
        <v>0</v>
      </c>
      <c r="CK264" s="886">
        <v>0</v>
      </c>
      <c r="CL264" s="886">
        <f t="shared" si="125"/>
        <v>0</v>
      </c>
      <c r="CM264" s="886">
        <f t="shared" si="126"/>
        <v>0</v>
      </c>
      <c r="CN264" s="886">
        <v>0</v>
      </c>
      <c r="CO264" s="886">
        <v>0</v>
      </c>
      <c r="CP264" s="648">
        <f t="shared" si="103"/>
        <v>0</v>
      </c>
      <c r="CQ264" s="648">
        <f t="shared" si="104"/>
        <v>0</v>
      </c>
      <c r="CR264" s="648">
        <f t="shared" si="105"/>
        <v>0</v>
      </c>
      <c r="CS264" s="648">
        <f t="shared" si="106"/>
        <v>0</v>
      </c>
      <c r="CT264" s="648">
        <f t="shared" si="107"/>
        <v>0</v>
      </c>
      <c r="CU264" s="648">
        <f t="shared" si="108"/>
        <v>0</v>
      </c>
      <c r="CV264" s="648">
        <f t="shared" si="109"/>
        <v>0</v>
      </c>
      <c r="CW264" s="648">
        <f t="shared" si="110"/>
        <v>0</v>
      </c>
      <c r="CX264" s="634">
        <v>0</v>
      </c>
      <c r="CY264" s="616"/>
      <c r="CZ264" s="619">
        <f>IF(BN265=0,0,             IF(ISNUMBER(CY264),CY264,             IF(ISTEXT(CY264),INDEX(CP264:CW264,MATCH(CY264,$CP$17:$CW$17,0)),           IF(CX264="INT",_xll.qInterp(BN265,BZ264:CG264,CP264:CW264),       INDEX(CP264:CW264,MATCH(CX264,$CP$17:$CW$17,0))))))</f>
        <v>0</v>
      </c>
      <c r="DA264" s="755">
        <f t="shared" si="111"/>
        <v>0</v>
      </c>
      <c r="DB264" s="387">
        <f t="shared" si="112"/>
        <v>0</v>
      </c>
      <c r="DC264" s="268">
        <f>IF($BN265=0,0,         IF(LEFT(DCC_Leg2_Fixed,2)="1/",uEvaluate(DCC_Leg2_Fixed),         _xll.qDateYears($BN264,$BN265,DCC_Leg2_Fixed)))</f>
        <v>0</v>
      </c>
      <c r="DD264" s="268">
        <f>IF($BN265,_xll.qDateYears($BN264,$BN265,DCC_Leg2_Float),0)</f>
        <v>0</v>
      </c>
      <c r="DF264" s="332">
        <f t="shared" si="127"/>
        <v>0</v>
      </c>
      <c r="DG264" s="357">
        <f t="shared" si="128"/>
        <v>0</v>
      </c>
      <c r="DH264" s="527"/>
      <c r="DJ264" s="324">
        <f t="shared" si="130"/>
        <v>0</v>
      </c>
      <c r="DK264" s="529"/>
      <c r="DL264" s="338"/>
    </row>
    <row r="265" spans="15:116">
      <c r="O265" s="121">
        <v>0</v>
      </c>
      <c r="P265" s="755">
        <f t="shared" si="99"/>
        <v>0</v>
      </c>
      <c r="Q265" s="125">
        <v>0</v>
      </c>
      <c r="R265" s="890">
        <f>IF(O266=0,0,         IF(OR(Currency1="AUD",Currency1="NZD",Currency1="GBP"),O265,   _xll.qDateNext(O265,"-2b",,,IF(Currency1="EUR","TGT","LON"))))</f>
        <v>0</v>
      </c>
      <c r="S265" s="879" t="str">
        <v/>
      </c>
      <c r="T265" s="879" t="str">
        <v/>
      </c>
      <c r="U265" s="879" t="str">
        <v/>
      </c>
      <c r="V265" s="879" t="str">
        <v/>
      </c>
      <c r="W265" s="879" t="str">
        <v/>
      </c>
      <c r="X265" s="879" t="str">
        <v/>
      </c>
      <c r="Y265" s="879" t="str">
        <v/>
      </c>
      <c r="Z265" s="879" t="str">
        <v/>
      </c>
      <c r="AA265" s="882">
        <f>IF($O266=0,0,        _xll.qDateNext($O265,AA$17,$AH$16,TRUE,Currency1))</f>
        <v>0</v>
      </c>
      <c r="AB265" s="882">
        <f>IF($O266=0,0,        _xll.qDateNext($O265,AB$17,$AH$16,TRUE,Currency1))</f>
        <v>0</v>
      </c>
      <c r="AC265" s="882">
        <f>IF($O266=0,0,        _xll.qDateNext($O265,AC$17,$AH$16,TRUE,Currency1))</f>
        <v>0</v>
      </c>
      <c r="AD265" s="882">
        <f>IF($O266=0,0,        _xll.qDateNext($O265,AD$17,$AH$16,TRUE,Currency1))</f>
        <v>0</v>
      </c>
      <c r="AE265" s="882">
        <f>IF($O266=0,0,        _xll.qDateNext($O265,AE$17,$AH$16,TRUE,Currency1))</f>
        <v>0</v>
      </c>
      <c r="AF265" s="882">
        <f>IF($O266=0,0,        _xll.qDateNext($O265,AF$17,$AH$16,TRUE,Currency1))</f>
        <v>0</v>
      </c>
      <c r="AG265" s="882">
        <f>IF($O266=0,0,        _xll.qDateNext($O265,AG$17,$AH$16,TRUE,Currency1))</f>
        <v>0</v>
      </c>
      <c r="AH265" s="882">
        <f>IF($O266=0,0,        _xll.qDateNext($O265,AH$17,$AH$16,TRUE,Currency1))</f>
        <v>0</v>
      </c>
      <c r="AI265" s="886">
        <f>IF($O266=0,0,           IF(FRM,_xll.qGetFwdRate(AI$14,$O265,AA265,"T",DCC_Leg1_Float),_xll.qGetFwdRate(AI$14,$O265,$O266,"T",DCC_Leg1_Float)))</f>
        <v>0</v>
      </c>
      <c r="AJ265" s="886">
        <f>IF($O266=0,0,           IF(FRM,_xll.qGetFwdRate(AJ$14,$O265,AB265,"T",DCC_Leg1_Float),_xll.qGetFwdRate(AJ$14,$O265,$O266,"T",DCC_Leg1_Float)))</f>
        <v>0</v>
      </c>
      <c r="AK265" s="886">
        <f t="shared" si="100"/>
        <v>0</v>
      </c>
      <c r="AL265" s="886">
        <f>IF($O266=0,0,           IF(FRM,_xll.qGetFwdRate(AL$14,$O265,AD265,"T",DCC_Leg1_Float),_xll.qGetFwdRate(AL$14,$O265,$O266,"T",DCC_Leg1_Float)))</f>
        <v>0</v>
      </c>
      <c r="AM265" s="886">
        <f t="shared" si="113"/>
        <v>0</v>
      </c>
      <c r="AN265" s="886">
        <f t="shared" si="114"/>
        <v>0</v>
      </c>
      <c r="AO265" s="886">
        <f>IF($O266=0,0,           IF(FRM,_xll.qGetFwdRate(AO$14,$O265,AG265,"T",DCC_Leg1_Float),_xll.qGetFwdRate(AO$14,$O265,$O266,"T",DCC_Leg1_Float)))</f>
        <v>0</v>
      </c>
      <c r="AP265" s="886">
        <f>IF($O266=0,0,           IF(FRM,_xll.qGetFwdRate(AP$14,$O265,AH265,"T",DCC_Leg1_Float),_xll.qGetFwdRate(AP$14,$O265,$O266,"T",DCC_Leg1_Float)))</f>
        <v>0</v>
      </c>
      <c r="AQ265" s="648">
        <f t="shared" si="115"/>
        <v>0</v>
      </c>
      <c r="AR265" s="648">
        <f t="shared" si="116"/>
        <v>0</v>
      </c>
      <c r="AS265" s="648">
        <f t="shared" si="117"/>
        <v>0</v>
      </c>
      <c r="AT265" s="648">
        <f t="shared" si="118"/>
        <v>0</v>
      </c>
      <c r="AU265" s="648">
        <f t="shared" si="119"/>
        <v>0</v>
      </c>
      <c r="AV265" s="648">
        <f t="shared" si="120"/>
        <v>0</v>
      </c>
      <c r="AW265" s="648">
        <f t="shared" si="121"/>
        <v>0</v>
      </c>
      <c r="AX265" s="648">
        <f t="shared" si="122"/>
        <v>0</v>
      </c>
      <c r="AY265" s="634">
        <v>0</v>
      </c>
      <c r="AZ265" s="616"/>
      <c r="BA265" s="619">
        <f>IF(O266=0,0,             IF(ISNUMBER(AZ265),AZ265,             IF(ISTEXT(AZ265),INDEX(AQ265:AX265,MATCH(AZ265,$AQ$17:$AX$17,0)),           IF(AY265="INT",_xll.qInterp(O266,AA265:AH265,AQ265:AX265),       INDEX(AQ265:AX265,MATCH(AY265,$AQ$17:$AX$17,0))))))</f>
        <v>0</v>
      </c>
      <c r="BB265" s="674">
        <v>100</v>
      </c>
      <c r="BC265" s="666">
        <f t="shared" si="101"/>
        <v>0</v>
      </c>
      <c r="BD265" s="268">
        <f>IF($O266=0,0,                IF(LEFT(DCC_Leg1_Fixed,2)="1/",uEvaluate(DCC_Leg1_Fixed),        _xll.qDateYears($O265,$O266,DCC_Leg1_Fixed)))</f>
        <v>0</v>
      </c>
      <c r="BE265" s="268">
        <f>IF($O266,_xll.qDateYears($O265,$O266,DCC_Leg1_Float),0)</f>
        <v>0</v>
      </c>
      <c r="BG265" s="332">
        <f t="shared" si="123"/>
        <v>0</v>
      </c>
      <c r="BH265" s="357">
        <f t="shared" si="124"/>
        <v>0</v>
      </c>
      <c r="BI265" s="527"/>
      <c r="BK265" s="324">
        <f t="shared" si="129"/>
        <v>0</v>
      </c>
      <c r="BM265" s="338"/>
      <c r="BN265" s="121">
        <v>0</v>
      </c>
      <c r="BO265" s="755">
        <f t="shared" si="102"/>
        <v>0</v>
      </c>
      <c r="BP265" s="339">
        <v>0</v>
      </c>
      <c r="BQ265" s="890">
        <f>IF(BN266=0,0,         IF(OR(Currency2="AUD",Currency1="NZD",Currency2="GBP"),BN265,   _xll.qDateNext(BN265,"-2b",,,IF(Currency2="EUR","TGT","LON"))))</f>
        <v>0</v>
      </c>
      <c r="BR265" s="879" t="str">
        <v/>
      </c>
      <c r="BS265" s="879" t="str">
        <v/>
      </c>
      <c r="BT265" s="879" t="str">
        <v/>
      </c>
      <c r="BU265" s="879" t="str">
        <v/>
      </c>
      <c r="BV265" s="879" t="str">
        <v/>
      </c>
      <c r="BW265" s="879" t="str">
        <v/>
      </c>
      <c r="BX265" s="879" t="str">
        <v/>
      </c>
      <c r="BY265" s="879" t="str">
        <v/>
      </c>
      <c r="BZ265" s="882">
        <f>IF($BN266=0,0,        _xll.qDateNext($BN265,BZ$17,$CG$16,TRUE,Currency2))</f>
        <v>0</v>
      </c>
      <c r="CA265" s="882">
        <f>IF($BN266=0,0,        _xll.qDateNext($BN265,CA$17,$CG$16,TRUE,Currency2))</f>
        <v>0</v>
      </c>
      <c r="CB265" s="882">
        <f>IF($BN266=0,0,        _xll.qDateNext($BN265,CB$17,$CG$16,TRUE,Currency2))</f>
        <v>0</v>
      </c>
      <c r="CC265" s="882">
        <f>IF($BN266=0,0,        _xll.qDateNext($BN265,CC$17,$CG$16,TRUE,Currency2))</f>
        <v>0</v>
      </c>
      <c r="CD265" s="882">
        <f>IF($BN266=0,0,        _xll.qDateNext($BN265,CD$17,$CG$16,TRUE,Currency2))</f>
        <v>0</v>
      </c>
      <c r="CE265" s="882">
        <f>IF($BN266=0,0,        _xll.qDateNext($BN265,CE$17,$CG$16,TRUE,Currency2))</f>
        <v>0</v>
      </c>
      <c r="CF265" s="882">
        <f>IF($BN266=0,0,        _xll.qDateNext($BN265,CF$17,$CG$16,TRUE,Currency2))</f>
        <v>0</v>
      </c>
      <c r="CG265" s="882">
        <f>IF($BN266=0,0,        _xll.qDateNext($BN265,CG$17,$CG$16,TRUE,Currency2))</f>
        <v>0</v>
      </c>
      <c r="CH265" s="886">
        <v>0</v>
      </c>
      <c r="CI265" s="886">
        <v>0</v>
      </c>
      <c r="CJ265" s="886">
        <v>0</v>
      </c>
      <c r="CK265" s="886">
        <v>0</v>
      </c>
      <c r="CL265" s="886">
        <f t="shared" si="125"/>
        <v>0</v>
      </c>
      <c r="CM265" s="886">
        <f t="shared" si="126"/>
        <v>0</v>
      </c>
      <c r="CN265" s="886">
        <v>0</v>
      </c>
      <c r="CO265" s="886">
        <v>0</v>
      </c>
      <c r="CP265" s="648">
        <f t="shared" si="103"/>
        <v>0</v>
      </c>
      <c r="CQ265" s="648">
        <f t="shared" si="104"/>
        <v>0</v>
      </c>
      <c r="CR265" s="648">
        <f t="shared" si="105"/>
        <v>0</v>
      </c>
      <c r="CS265" s="648">
        <f t="shared" si="106"/>
        <v>0</v>
      </c>
      <c r="CT265" s="648">
        <f t="shared" si="107"/>
        <v>0</v>
      </c>
      <c r="CU265" s="648">
        <f t="shared" si="108"/>
        <v>0</v>
      </c>
      <c r="CV265" s="648">
        <f t="shared" si="109"/>
        <v>0</v>
      </c>
      <c r="CW265" s="648">
        <f t="shared" si="110"/>
        <v>0</v>
      </c>
      <c r="CX265" s="634">
        <v>0</v>
      </c>
      <c r="CY265" s="616"/>
      <c r="CZ265" s="619">
        <f>IF(BN266=0,0,             IF(ISNUMBER(CY265),CY265,             IF(ISTEXT(CY265),INDEX(CP265:CW265,MATCH(CY265,$CP$17:$CW$17,0)),           IF(CX265="INT",_xll.qInterp(BN266,BZ265:CG265,CP265:CW265),       INDEX(CP265:CW265,MATCH(CX265,$CP$17:$CW$17,0))))))</f>
        <v>0</v>
      </c>
      <c r="DA265" s="755">
        <f t="shared" si="111"/>
        <v>0</v>
      </c>
      <c r="DB265" s="387">
        <f t="shared" si="112"/>
        <v>0</v>
      </c>
      <c r="DC265" s="268">
        <f>IF($BN266=0,0,         IF(LEFT(DCC_Leg2_Fixed,2)="1/",uEvaluate(DCC_Leg2_Fixed),         _xll.qDateYears($BN265,$BN266,DCC_Leg2_Fixed)))</f>
        <v>0</v>
      </c>
      <c r="DD265" s="268">
        <f>IF($BN266,_xll.qDateYears($BN265,$BN266,DCC_Leg2_Float),0)</f>
        <v>0</v>
      </c>
      <c r="DF265" s="332">
        <f t="shared" si="127"/>
        <v>0</v>
      </c>
      <c r="DG265" s="357">
        <f t="shared" si="128"/>
        <v>0</v>
      </c>
      <c r="DH265" s="527"/>
      <c r="DJ265" s="324">
        <f t="shared" si="130"/>
        <v>0</v>
      </c>
      <c r="DK265" s="529"/>
      <c r="DL265" s="338"/>
    </row>
    <row r="266" spans="15:116">
      <c r="O266" s="121">
        <v>0</v>
      </c>
      <c r="P266" s="755">
        <f t="shared" si="99"/>
        <v>0</v>
      </c>
      <c r="Q266" s="125">
        <v>0</v>
      </c>
      <c r="R266" s="890">
        <f>IF(O267=0,0,         IF(OR(Currency1="AUD",Currency1="NZD",Currency1="GBP"),O266,   _xll.qDateNext(O266,"-2b",,,IF(Currency1="EUR","TGT","LON"))))</f>
        <v>0</v>
      </c>
      <c r="S266" s="879" t="str">
        <v/>
      </c>
      <c r="T266" s="879" t="str">
        <v/>
      </c>
      <c r="U266" s="879" t="str">
        <v/>
      </c>
      <c r="V266" s="879" t="str">
        <v/>
      </c>
      <c r="W266" s="879" t="str">
        <v/>
      </c>
      <c r="X266" s="879" t="str">
        <v/>
      </c>
      <c r="Y266" s="879" t="str">
        <v/>
      </c>
      <c r="Z266" s="879" t="str">
        <v/>
      </c>
      <c r="AA266" s="882">
        <f>IF($O267=0,0,        _xll.qDateNext($O266,AA$17,$AH$16,TRUE,Currency1))</f>
        <v>0</v>
      </c>
      <c r="AB266" s="882">
        <f>IF($O267=0,0,        _xll.qDateNext($O266,AB$17,$AH$16,TRUE,Currency1))</f>
        <v>0</v>
      </c>
      <c r="AC266" s="882">
        <f>IF($O267=0,0,        _xll.qDateNext($O266,AC$17,$AH$16,TRUE,Currency1))</f>
        <v>0</v>
      </c>
      <c r="AD266" s="882">
        <f>IF($O267=0,0,        _xll.qDateNext($O266,AD$17,$AH$16,TRUE,Currency1))</f>
        <v>0</v>
      </c>
      <c r="AE266" s="882">
        <f>IF($O267=0,0,        _xll.qDateNext($O266,AE$17,$AH$16,TRUE,Currency1))</f>
        <v>0</v>
      </c>
      <c r="AF266" s="882">
        <f>IF($O267=0,0,        _xll.qDateNext($O266,AF$17,$AH$16,TRUE,Currency1))</f>
        <v>0</v>
      </c>
      <c r="AG266" s="882">
        <f>IF($O267=0,0,        _xll.qDateNext($O266,AG$17,$AH$16,TRUE,Currency1))</f>
        <v>0</v>
      </c>
      <c r="AH266" s="882">
        <f>IF($O267=0,0,        _xll.qDateNext($O266,AH$17,$AH$16,TRUE,Currency1))</f>
        <v>0</v>
      </c>
      <c r="AI266" s="886">
        <f>IF($O267=0,0,           IF(FRM,_xll.qGetFwdRate(AI$14,$O266,AA266,"T",DCC_Leg1_Float),_xll.qGetFwdRate(AI$14,$O266,$O267,"T",DCC_Leg1_Float)))</f>
        <v>0</v>
      </c>
      <c r="AJ266" s="886">
        <f>IF($O267=0,0,           IF(FRM,_xll.qGetFwdRate(AJ$14,$O266,AB266,"T",DCC_Leg1_Float),_xll.qGetFwdRate(AJ$14,$O266,$O267,"T",DCC_Leg1_Float)))</f>
        <v>0</v>
      </c>
      <c r="AK266" s="886">
        <f t="shared" si="100"/>
        <v>0</v>
      </c>
      <c r="AL266" s="886">
        <f>IF($O267=0,0,           IF(FRM,_xll.qGetFwdRate(AL$14,$O266,AD266,"T",DCC_Leg1_Float),_xll.qGetFwdRate(AL$14,$O266,$O267,"T",DCC_Leg1_Float)))</f>
        <v>0</v>
      </c>
      <c r="AM266" s="886">
        <f t="shared" si="113"/>
        <v>0</v>
      </c>
      <c r="AN266" s="886">
        <f t="shared" si="114"/>
        <v>0</v>
      </c>
      <c r="AO266" s="886">
        <f>IF($O267=0,0,           IF(FRM,_xll.qGetFwdRate(AO$14,$O266,AG266,"T",DCC_Leg1_Float),_xll.qGetFwdRate(AO$14,$O266,$O267,"T",DCC_Leg1_Float)))</f>
        <v>0</v>
      </c>
      <c r="AP266" s="886">
        <f>IF($O267=0,0,           IF(FRM,_xll.qGetFwdRate(AP$14,$O266,AH266,"T",DCC_Leg1_Float),_xll.qGetFwdRate(AP$14,$O266,$O267,"T",DCC_Leg1_Float)))</f>
        <v>0</v>
      </c>
      <c r="AQ266" s="648">
        <f t="shared" si="115"/>
        <v>0</v>
      </c>
      <c r="AR266" s="648">
        <f t="shared" si="116"/>
        <v>0</v>
      </c>
      <c r="AS266" s="648">
        <f t="shared" si="117"/>
        <v>0</v>
      </c>
      <c r="AT266" s="648">
        <f t="shared" si="118"/>
        <v>0</v>
      </c>
      <c r="AU266" s="648">
        <f t="shared" si="119"/>
        <v>0</v>
      </c>
      <c r="AV266" s="648">
        <f t="shared" si="120"/>
        <v>0</v>
      </c>
      <c r="AW266" s="648">
        <f t="shared" si="121"/>
        <v>0</v>
      </c>
      <c r="AX266" s="648">
        <f t="shared" si="122"/>
        <v>0</v>
      </c>
      <c r="AY266" s="634">
        <v>0</v>
      </c>
      <c r="AZ266" s="616"/>
      <c r="BA266" s="619">
        <f>IF(O267=0,0,             IF(ISNUMBER(AZ266),AZ266,             IF(ISTEXT(AZ266),INDEX(AQ266:AX266,MATCH(AZ266,$AQ$17:$AX$17,0)),           IF(AY266="INT",_xll.qInterp(O267,AA266:AH266,AQ266:AX266),       INDEX(AQ266:AX266,MATCH(AY266,$AQ$17:$AX$17,0))))))</f>
        <v>0</v>
      </c>
      <c r="BB266" s="674">
        <v>100</v>
      </c>
      <c r="BC266" s="666">
        <f t="shared" si="101"/>
        <v>0</v>
      </c>
      <c r="BD266" s="268">
        <f>IF($O267=0,0,                IF(LEFT(DCC_Leg1_Fixed,2)="1/",uEvaluate(DCC_Leg1_Fixed),        _xll.qDateYears($O266,$O267,DCC_Leg1_Fixed)))</f>
        <v>0</v>
      </c>
      <c r="BE266" s="268">
        <f>IF($O267,_xll.qDateYears($O266,$O267,DCC_Leg1_Float),0)</f>
        <v>0</v>
      </c>
      <c r="BG266" s="332">
        <f t="shared" si="123"/>
        <v>0</v>
      </c>
      <c r="BH266" s="357">
        <f t="shared" si="124"/>
        <v>0</v>
      </c>
      <c r="BI266" s="527"/>
      <c r="BK266" s="324">
        <f t="shared" si="129"/>
        <v>0</v>
      </c>
      <c r="BM266" s="338"/>
      <c r="BN266" s="121">
        <v>0</v>
      </c>
      <c r="BO266" s="755">
        <f t="shared" si="102"/>
        <v>0</v>
      </c>
      <c r="BP266" s="339">
        <v>0</v>
      </c>
      <c r="BQ266" s="890">
        <f>IF(BN267=0,0,         IF(OR(Currency2="AUD",Currency1="NZD",Currency2="GBP"),BN266,   _xll.qDateNext(BN266,"-2b",,,IF(Currency2="EUR","TGT","LON"))))</f>
        <v>0</v>
      </c>
      <c r="BR266" s="879" t="str">
        <v/>
      </c>
      <c r="BS266" s="879" t="str">
        <v/>
      </c>
      <c r="BT266" s="879" t="str">
        <v/>
      </c>
      <c r="BU266" s="879" t="str">
        <v/>
      </c>
      <c r="BV266" s="879" t="str">
        <v/>
      </c>
      <c r="BW266" s="879" t="str">
        <v/>
      </c>
      <c r="BX266" s="879" t="str">
        <v/>
      </c>
      <c r="BY266" s="879" t="str">
        <v/>
      </c>
      <c r="BZ266" s="882">
        <f>IF($BN267=0,0,        _xll.qDateNext($BN266,BZ$17,$CG$16,TRUE,Currency2))</f>
        <v>0</v>
      </c>
      <c r="CA266" s="882">
        <f>IF($BN267=0,0,        _xll.qDateNext($BN266,CA$17,$CG$16,TRUE,Currency2))</f>
        <v>0</v>
      </c>
      <c r="CB266" s="882">
        <f>IF($BN267=0,0,        _xll.qDateNext($BN266,CB$17,$CG$16,TRUE,Currency2))</f>
        <v>0</v>
      </c>
      <c r="CC266" s="882">
        <f>IF($BN267=0,0,        _xll.qDateNext($BN266,CC$17,$CG$16,TRUE,Currency2))</f>
        <v>0</v>
      </c>
      <c r="CD266" s="882">
        <f>IF($BN267=0,0,        _xll.qDateNext($BN266,CD$17,$CG$16,TRUE,Currency2))</f>
        <v>0</v>
      </c>
      <c r="CE266" s="882">
        <f>IF($BN267=0,0,        _xll.qDateNext($BN266,CE$17,$CG$16,TRUE,Currency2))</f>
        <v>0</v>
      </c>
      <c r="CF266" s="882">
        <f>IF($BN267=0,0,        _xll.qDateNext($BN266,CF$17,$CG$16,TRUE,Currency2))</f>
        <v>0</v>
      </c>
      <c r="CG266" s="882">
        <f>IF($BN267=0,0,        _xll.qDateNext($BN266,CG$17,$CG$16,TRUE,Currency2))</f>
        <v>0</v>
      </c>
      <c r="CH266" s="886">
        <v>0</v>
      </c>
      <c r="CI266" s="886">
        <v>0</v>
      </c>
      <c r="CJ266" s="886">
        <v>0</v>
      </c>
      <c r="CK266" s="886">
        <v>0</v>
      </c>
      <c r="CL266" s="886">
        <f t="shared" si="125"/>
        <v>0</v>
      </c>
      <c r="CM266" s="886">
        <f t="shared" si="126"/>
        <v>0</v>
      </c>
      <c r="CN266" s="886">
        <v>0</v>
      </c>
      <c r="CO266" s="886">
        <v>0</v>
      </c>
      <c r="CP266" s="648">
        <f t="shared" si="103"/>
        <v>0</v>
      </c>
      <c r="CQ266" s="648">
        <f t="shared" si="104"/>
        <v>0</v>
      </c>
      <c r="CR266" s="648">
        <f t="shared" si="105"/>
        <v>0</v>
      </c>
      <c r="CS266" s="648">
        <f t="shared" si="106"/>
        <v>0</v>
      </c>
      <c r="CT266" s="648">
        <f t="shared" si="107"/>
        <v>0</v>
      </c>
      <c r="CU266" s="648">
        <f t="shared" si="108"/>
        <v>0</v>
      </c>
      <c r="CV266" s="648">
        <f t="shared" si="109"/>
        <v>0</v>
      </c>
      <c r="CW266" s="648">
        <f t="shared" si="110"/>
        <v>0</v>
      </c>
      <c r="CX266" s="634">
        <v>0</v>
      </c>
      <c r="CY266" s="616"/>
      <c r="CZ266" s="619">
        <f>IF(BN267=0,0,             IF(ISNUMBER(CY266),CY266,             IF(ISTEXT(CY266),INDEX(CP266:CW266,MATCH(CY266,$CP$17:$CW$17,0)),           IF(CX266="INT",_xll.qInterp(BN267,BZ266:CG266,CP266:CW266),       INDEX(CP266:CW266,MATCH(CX266,$CP$17:$CW$17,0))))))</f>
        <v>0</v>
      </c>
      <c r="DA266" s="755">
        <f t="shared" si="111"/>
        <v>0</v>
      </c>
      <c r="DB266" s="387">
        <f t="shared" si="112"/>
        <v>0</v>
      </c>
      <c r="DC266" s="268">
        <f>IF($BN267=0,0,         IF(LEFT(DCC_Leg2_Fixed,2)="1/",uEvaluate(DCC_Leg2_Fixed),         _xll.qDateYears($BN266,$BN267,DCC_Leg2_Fixed)))</f>
        <v>0</v>
      </c>
      <c r="DD266" s="268">
        <f>IF($BN267,_xll.qDateYears($BN266,$BN267,DCC_Leg2_Float),0)</f>
        <v>0</v>
      </c>
      <c r="DF266" s="332">
        <f t="shared" si="127"/>
        <v>0</v>
      </c>
      <c r="DG266" s="357">
        <f t="shared" si="128"/>
        <v>0</v>
      </c>
      <c r="DH266" s="527"/>
      <c r="DJ266" s="324">
        <f t="shared" si="130"/>
        <v>0</v>
      </c>
      <c r="DK266" s="529"/>
      <c r="DL266" s="338"/>
    </row>
    <row r="267" spans="15:116">
      <c r="O267" s="121">
        <v>0</v>
      </c>
      <c r="P267" s="755">
        <f t="shared" si="99"/>
        <v>0</v>
      </c>
      <c r="Q267" s="125">
        <v>0</v>
      </c>
      <c r="R267" s="890">
        <f>IF(O268=0,0,         IF(OR(Currency1="AUD",Currency1="NZD",Currency1="GBP"),O267,   _xll.qDateNext(O267,"-2b",,,IF(Currency1="EUR","TGT","LON"))))</f>
        <v>0</v>
      </c>
      <c r="S267" s="879" t="str">
        <v/>
      </c>
      <c r="T267" s="879" t="str">
        <v/>
      </c>
      <c r="U267" s="879" t="str">
        <v/>
      </c>
      <c r="V267" s="879" t="str">
        <v/>
      </c>
      <c r="W267" s="879" t="str">
        <v/>
      </c>
      <c r="X267" s="879" t="str">
        <v/>
      </c>
      <c r="Y267" s="879" t="str">
        <v/>
      </c>
      <c r="Z267" s="879" t="str">
        <v/>
      </c>
      <c r="AA267" s="882">
        <f>IF($O268=0,0,        _xll.qDateNext($O267,AA$17,$AH$16,TRUE,Currency1))</f>
        <v>0</v>
      </c>
      <c r="AB267" s="882">
        <f>IF($O268=0,0,        _xll.qDateNext($O267,AB$17,$AH$16,TRUE,Currency1))</f>
        <v>0</v>
      </c>
      <c r="AC267" s="882">
        <f>IF($O268=0,0,        _xll.qDateNext($O267,AC$17,$AH$16,TRUE,Currency1))</f>
        <v>0</v>
      </c>
      <c r="AD267" s="882">
        <f>IF($O268=0,0,        _xll.qDateNext($O267,AD$17,$AH$16,TRUE,Currency1))</f>
        <v>0</v>
      </c>
      <c r="AE267" s="882">
        <f>IF($O268=0,0,        _xll.qDateNext($O267,AE$17,$AH$16,TRUE,Currency1))</f>
        <v>0</v>
      </c>
      <c r="AF267" s="882">
        <f>IF($O268=0,0,        _xll.qDateNext($O267,AF$17,$AH$16,TRUE,Currency1))</f>
        <v>0</v>
      </c>
      <c r="AG267" s="882">
        <f>IF($O268=0,0,        _xll.qDateNext($O267,AG$17,$AH$16,TRUE,Currency1))</f>
        <v>0</v>
      </c>
      <c r="AH267" s="882">
        <f>IF($O268=0,0,        _xll.qDateNext($O267,AH$17,$AH$16,TRUE,Currency1))</f>
        <v>0</v>
      </c>
      <c r="AI267" s="886">
        <f>IF($O268=0,0,           IF(FRM,_xll.qGetFwdRate(AI$14,$O267,AA267,"T",DCC_Leg1_Float),_xll.qGetFwdRate(AI$14,$O267,$O268,"T",DCC_Leg1_Float)))</f>
        <v>0</v>
      </c>
      <c r="AJ267" s="886">
        <f>IF($O268=0,0,           IF(FRM,_xll.qGetFwdRate(AJ$14,$O267,AB267,"T",DCC_Leg1_Float),_xll.qGetFwdRate(AJ$14,$O267,$O268,"T",DCC_Leg1_Float)))</f>
        <v>0</v>
      </c>
      <c r="AK267" s="886">
        <f t="shared" si="100"/>
        <v>0</v>
      </c>
      <c r="AL267" s="886">
        <f>IF($O268=0,0,           IF(FRM,_xll.qGetFwdRate(AL$14,$O267,AD267,"T",DCC_Leg1_Float),_xll.qGetFwdRate(AL$14,$O267,$O268,"T",DCC_Leg1_Float)))</f>
        <v>0</v>
      </c>
      <c r="AM267" s="886">
        <f t="shared" si="113"/>
        <v>0</v>
      </c>
      <c r="AN267" s="886">
        <f t="shared" si="114"/>
        <v>0</v>
      </c>
      <c r="AO267" s="886">
        <f>IF($O268=0,0,           IF(FRM,_xll.qGetFwdRate(AO$14,$O267,AG267,"T",DCC_Leg1_Float),_xll.qGetFwdRate(AO$14,$O267,$O268,"T",DCC_Leg1_Float)))</f>
        <v>0</v>
      </c>
      <c r="AP267" s="886">
        <f>IF($O268=0,0,           IF(FRM,_xll.qGetFwdRate(AP$14,$O267,AH267,"T",DCC_Leg1_Float),_xll.qGetFwdRate(AP$14,$O267,$O268,"T",DCC_Leg1_Float)))</f>
        <v>0</v>
      </c>
      <c r="AQ267" s="648">
        <f t="shared" si="115"/>
        <v>0</v>
      </c>
      <c r="AR267" s="648">
        <f t="shared" si="116"/>
        <v>0</v>
      </c>
      <c r="AS267" s="648">
        <f t="shared" si="117"/>
        <v>0</v>
      </c>
      <c r="AT267" s="648">
        <f t="shared" si="118"/>
        <v>0</v>
      </c>
      <c r="AU267" s="648">
        <f t="shared" si="119"/>
        <v>0</v>
      </c>
      <c r="AV267" s="648">
        <f t="shared" si="120"/>
        <v>0</v>
      </c>
      <c r="AW267" s="648">
        <f t="shared" si="121"/>
        <v>0</v>
      </c>
      <c r="AX267" s="648">
        <f t="shared" si="122"/>
        <v>0</v>
      </c>
      <c r="AY267" s="634">
        <v>0</v>
      </c>
      <c r="AZ267" s="616"/>
      <c r="BA267" s="619">
        <f>IF(O268=0,0,             IF(ISNUMBER(AZ267),AZ267,             IF(ISTEXT(AZ267),INDEX(AQ267:AX267,MATCH(AZ267,$AQ$17:$AX$17,0)),           IF(AY267="INT",_xll.qInterp(O268,AA267:AH267,AQ267:AX267),       INDEX(AQ267:AX267,MATCH(AY267,$AQ$17:$AX$17,0))))))</f>
        <v>0</v>
      </c>
      <c r="BB267" s="674">
        <v>100</v>
      </c>
      <c r="BC267" s="666">
        <f t="shared" si="101"/>
        <v>0</v>
      </c>
      <c r="BD267" s="268">
        <f>IF($O268=0,0,                IF(LEFT(DCC_Leg1_Fixed,2)="1/",uEvaluate(DCC_Leg1_Fixed),        _xll.qDateYears($O267,$O268,DCC_Leg1_Fixed)))</f>
        <v>0</v>
      </c>
      <c r="BE267" s="268">
        <f>IF($O268,_xll.qDateYears($O267,$O268,DCC_Leg1_Float),0)</f>
        <v>0</v>
      </c>
      <c r="BG267" s="332">
        <f t="shared" si="123"/>
        <v>0</v>
      </c>
      <c r="BH267" s="357">
        <f t="shared" si="124"/>
        <v>0</v>
      </c>
      <c r="BI267" s="527"/>
      <c r="BK267" s="324">
        <f t="shared" si="129"/>
        <v>0</v>
      </c>
      <c r="BM267" s="338"/>
      <c r="BN267" s="121">
        <v>0</v>
      </c>
      <c r="BO267" s="755">
        <f t="shared" si="102"/>
        <v>0</v>
      </c>
      <c r="BP267" s="339">
        <v>0</v>
      </c>
      <c r="BQ267" s="890">
        <f>IF(BN268=0,0,         IF(OR(Currency2="AUD",Currency1="NZD",Currency2="GBP"),BN267,   _xll.qDateNext(BN267,"-2b",,,IF(Currency2="EUR","TGT","LON"))))</f>
        <v>0</v>
      </c>
      <c r="BR267" s="879" t="str">
        <v/>
      </c>
      <c r="BS267" s="879" t="str">
        <v/>
      </c>
      <c r="BT267" s="879" t="str">
        <v/>
      </c>
      <c r="BU267" s="879" t="str">
        <v/>
      </c>
      <c r="BV267" s="879" t="str">
        <v/>
      </c>
      <c r="BW267" s="879" t="str">
        <v/>
      </c>
      <c r="BX267" s="879" t="str">
        <v/>
      </c>
      <c r="BY267" s="879" t="str">
        <v/>
      </c>
      <c r="BZ267" s="882">
        <f>IF($BN268=0,0,        _xll.qDateNext($BN267,BZ$17,$CG$16,TRUE,Currency2))</f>
        <v>0</v>
      </c>
      <c r="CA267" s="882">
        <f>IF($BN268=0,0,        _xll.qDateNext($BN267,CA$17,$CG$16,TRUE,Currency2))</f>
        <v>0</v>
      </c>
      <c r="CB267" s="882">
        <f>IF($BN268=0,0,        _xll.qDateNext($BN267,CB$17,$CG$16,TRUE,Currency2))</f>
        <v>0</v>
      </c>
      <c r="CC267" s="882">
        <f>IF($BN268=0,0,        _xll.qDateNext($BN267,CC$17,$CG$16,TRUE,Currency2))</f>
        <v>0</v>
      </c>
      <c r="CD267" s="882">
        <f>IF($BN268=0,0,        _xll.qDateNext($BN267,CD$17,$CG$16,TRUE,Currency2))</f>
        <v>0</v>
      </c>
      <c r="CE267" s="882">
        <f>IF($BN268=0,0,        _xll.qDateNext($BN267,CE$17,$CG$16,TRUE,Currency2))</f>
        <v>0</v>
      </c>
      <c r="CF267" s="882">
        <f>IF($BN268=0,0,        _xll.qDateNext($BN267,CF$17,$CG$16,TRUE,Currency2))</f>
        <v>0</v>
      </c>
      <c r="CG267" s="882">
        <f>IF($BN268=0,0,        _xll.qDateNext($BN267,CG$17,$CG$16,TRUE,Currency2))</f>
        <v>0</v>
      </c>
      <c r="CH267" s="886">
        <v>0</v>
      </c>
      <c r="CI267" s="886">
        <v>0</v>
      </c>
      <c r="CJ267" s="886">
        <v>0</v>
      </c>
      <c r="CK267" s="886">
        <v>0</v>
      </c>
      <c r="CL267" s="886">
        <f t="shared" si="125"/>
        <v>0</v>
      </c>
      <c r="CM267" s="886">
        <f t="shared" si="126"/>
        <v>0</v>
      </c>
      <c r="CN267" s="886">
        <v>0</v>
      </c>
      <c r="CO267" s="886">
        <v>0</v>
      </c>
      <c r="CP267" s="648">
        <f t="shared" si="103"/>
        <v>0</v>
      </c>
      <c r="CQ267" s="648">
        <f t="shared" si="104"/>
        <v>0</v>
      </c>
      <c r="CR267" s="648">
        <f t="shared" si="105"/>
        <v>0</v>
      </c>
      <c r="CS267" s="648">
        <f t="shared" si="106"/>
        <v>0</v>
      </c>
      <c r="CT267" s="648">
        <f t="shared" si="107"/>
        <v>0</v>
      </c>
      <c r="CU267" s="648">
        <f t="shared" si="108"/>
        <v>0</v>
      </c>
      <c r="CV267" s="648">
        <f t="shared" si="109"/>
        <v>0</v>
      </c>
      <c r="CW267" s="648">
        <f t="shared" si="110"/>
        <v>0</v>
      </c>
      <c r="CX267" s="634">
        <v>0</v>
      </c>
      <c r="CY267" s="616"/>
      <c r="CZ267" s="619">
        <f>IF(BN268=0,0,             IF(ISNUMBER(CY267),CY267,             IF(ISTEXT(CY267),INDEX(CP267:CW267,MATCH(CY267,$CP$17:$CW$17,0)),           IF(CX267="INT",_xll.qInterp(BN268,BZ267:CG267,CP267:CW267),       INDEX(CP267:CW267,MATCH(CX267,$CP$17:$CW$17,0))))))</f>
        <v>0</v>
      </c>
      <c r="DA267" s="755">
        <f t="shared" si="111"/>
        <v>0</v>
      </c>
      <c r="DB267" s="387">
        <f t="shared" si="112"/>
        <v>0</v>
      </c>
      <c r="DC267" s="268">
        <f>IF($BN268=0,0,         IF(LEFT(DCC_Leg2_Fixed,2)="1/",uEvaluate(DCC_Leg2_Fixed),         _xll.qDateYears($BN267,$BN268,DCC_Leg2_Fixed)))</f>
        <v>0</v>
      </c>
      <c r="DD267" s="268">
        <f>IF($BN268,_xll.qDateYears($BN267,$BN268,DCC_Leg2_Float),0)</f>
        <v>0</v>
      </c>
      <c r="DF267" s="332">
        <f t="shared" si="127"/>
        <v>0</v>
      </c>
      <c r="DG267" s="357">
        <f t="shared" si="128"/>
        <v>0</v>
      </c>
      <c r="DH267" s="527"/>
      <c r="DJ267" s="324">
        <f t="shared" si="130"/>
        <v>0</v>
      </c>
      <c r="DK267" s="529"/>
      <c r="DL267" s="338"/>
    </row>
    <row r="268" spans="15:116">
      <c r="O268" s="121">
        <v>0</v>
      </c>
      <c r="P268" s="755">
        <f t="shared" si="99"/>
        <v>0</v>
      </c>
      <c r="Q268" s="125">
        <v>0</v>
      </c>
      <c r="R268" s="890">
        <f>IF(O269=0,0,         IF(OR(Currency1="AUD",Currency1="NZD",Currency1="GBP"),O268,   _xll.qDateNext(O268,"-2b",,,IF(Currency1="EUR","TGT","LON"))))</f>
        <v>0</v>
      </c>
      <c r="S268" s="879" t="str">
        <v/>
      </c>
      <c r="T268" s="879" t="str">
        <v/>
      </c>
      <c r="U268" s="879" t="str">
        <v/>
      </c>
      <c r="V268" s="879" t="str">
        <v/>
      </c>
      <c r="W268" s="879" t="str">
        <v/>
      </c>
      <c r="X268" s="879" t="str">
        <v/>
      </c>
      <c r="Y268" s="879" t="str">
        <v/>
      </c>
      <c r="Z268" s="879" t="str">
        <v/>
      </c>
      <c r="AA268" s="882">
        <f>IF($O269=0,0,        _xll.qDateNext($O268,AA$17,$AH$16,TRUE,Currency1))</f>
        <v>0</v>
      </c>
      <c r="AB268" s="882">
        <f>IF($O269=0,0,        _xll.qDateNext($O268,AB$17,$AH$16,TRUE,Currency1))</f>
        <v>0</v>
      </c>
      <c r="AC268" s="882">
        <f>IF($O269=0,0,        _xll.qDateNext($O268,AC$17,$AH$16,TRUE,Currency1))</f>
        <v>0</v>
      </c>
      <c r="AD268" s="882">
        <f>IF($O269=0,0,        _xll.qDateNext($O268,AD$17,$AH$16,TRUE,Currency1))</f>
        <v>0</v>
      </c>
      <c r="AE268" s="882">
        <f>IF($O269=0,0,        _xll.qDateNext($O268,AE$17,$AH$16,TRUE,Currency1))</f>
        <v>0</v>
      </c>
      <c r="AF268" s="882">
        <f>IF($O269=0,0,        _xll.qDateNext($O268,AF$17,$AH$16,TRUE,Currency1))</f>
        <v>0</v>
      </c>
      <c r="AG268" s="882">
        <f>IF($O269=0,0,        _xll.qDateNext($O268,AG$17,$AH$16,TRUE,Currency1))</f>
        <v>0</v>
      </c>
      <c r="AH268" s="882">
        <f>IF($O269=0,0,        _xll.qDateNext($O268,AH$17,$AH$16,TRUE,Currency1))</f>
        <v>0</v>
      </c>
      <c r="AI268" s="886">
        <f>IF($O269=0,0,           IF(FRM,_xll.qGetFwdRate(AI$14,$O268,AA268,"T",DCC_Leg1_Float),_xll.qGetFwdRate(AI$14,$O268,$O269,"T",DCC_Leg1_Float)))</f>
        <v>0</v>
      </c>
      <c r="AJ268" s="886">
        <f>IF($O269=0,0,           IF(FRM,_xll.qGetFwdRate(AJ$14,$O268,AB268,"T",DCC_Leg1_Float),_xll.qGetFwdRate(AJ$14,$O268,$O269,"T",DCC_Leg1_Float)))</f>
        <v>0</v>
      </c>
      <c r="AK268" s="886">
        <f t="shared" si="100"/>
        <v>0</v>
      </c>
      <c r="AL268" s="886">
        <f>IF($O269=0,0,           IF(FRM,_xll.qGetFwdRate(AL$14,$O268,AD268,"T",DCC_Leg1_Float),_xll.qGetFwdRate(AL$14,$O268,$O269,"T",DCC_Leg1_Float)))</f>
        <v>0</v>
      </c>
      <c r="AM268" s="886">
        <f t="shared" si="113"/>
        <v>0</v>
      </c>
      <c r="AN268" s="886">
        <f t="shared" si="114"/>
        <v>0</v>
      </c>
      <c r="AO268" s="886">
        <f>IF($O269=0,0,           IF(FRM,_xll.qGetFwdRate(AO$14,$O268,AG268,"T",DCC_Leg1_Float),_xll.qGetFwdRate(AO$14,$O268,$O269,"T",DCC_Leg1_Float)))</f>
        <v>0</v>
      </c>
      <c r="AP268" s="886">
        <f>IF($O269=0,0,           IF(FRM,_xll.qGetFwdRate(AP$14,$O268,AH268,"T",DCC_Leg1_Float),_xll.qGetFwdRate(AP$14,$O268,$O269,"T",DCC_Leg1_Float)))</f>
        <v>0</v>
      </c>
      <c r="AQ268" s="648">
        <f t="shared" si="115"/>
        <v>0</v>
      </c>
      <c r="AR268" s="648">
        <f t="shared" si="116"/>
        <v>0</v>
      </c>
      <c r="AS268" s="648">
        <f t="shared" si="117"/>
        <v>0</v>
      </c>
      <c r="AT268" s="648">
        <f t="shared" si="118"/>
        <v>0</v>
      </c>
      <c r="AU268" s="648">
        <f t="shared" si="119"/>
        <v>0</v>
      </c>
      <c r="AV268" s="648">
        <f t="shared" si="120"/>
        <v>0</v>
      </c>
      <c r="AW268" s="648">
        <f t="shared" si="121"/>
        <v>0</v>
      </c>
      <c r="AX268" s="648">
        <f t="shared" si="122"/>
        <v>0</v>
      </c>
      <c r="AY268" s="634">
        <v>0</v>
      </c>
      <c r="AZ268" s="616"/>
      <c r="BA268" s="619">
        <f>IF(O269=0,0,             IF(ISNUMBER(AZ268),AZ268,             IF(ISTEXT(AZ268),INDEX(AQ268:AX268,MATCH(AZ268,$AQ$17:$AX$17,0)),           IF(AY268="INT",_xll.qInterp(O269,AA268:AH268,AQ268:AX268),       INDEX(AQ268:AX268,MATCH(AY268,$AQ$17:$AX$17,0))))))</f>
        <v>0</v>
      </c>
      <c r="BB268" s="674">
        <v>100</v>
      </c>
      <c r="BC268" s="666">
        <f t="shared" si="101"/>
        <v>0</v>
      </c>
      <c r="BD268" s="268">
        <f>IF($O269=0,0,                IF(LEFT(DCC_Leg1_Fixed,2)="1/",uEvaluate(DCC_Leg1_Fixed),        _xll.qDateYears($O268,$O269,DCC_Leg1_Fixed)))</f>
        <v>0</v>
      </c>
      <c r="BE268" s="268">
        <f>IF($O269,_xll.qDateYears($O268,$O269,DCC_Leg1_Float),0)</f>
        <v>0</v>
      </c>
      <c r="BG268" s="332">
        <f t="shared" si="123"/>
        <v>0</v>
      </c>
      <c r="BH268" s="357">
        <f t="shared" si="124"/>
        <v>0</v>
      </c>
      <c r="BI268" s="527"/>
      <c r="BK268" s="324">
        <f t="shared" si="129"/>
        <v>0</v>
      </c>
      <c r="BM268" s="338"/>
      <c r="BN268" s="121">
        <v>0</v>
      </c>
      <c r="BO268" s="755">
        <f t="shared" si="102"/>
        <v>0</v>
      </c>
      <c r="BP268" s="339">
        <v>0</v>
      </c>
      <c r="BQ268" s="890">
        <f>IF(BN269=0,0,         IF(OR(Currency2="AUD",Currency1="NZD",Currency2="GBP"),BN268,   _xll.qDateNext(BN268,"-2b",,,IF(Currency2="EUR","TGT","LON"))))</f>
        <v>0</v>
      </c>
      <c r="BR268" s="879" t="str">
        <v/>
      </c>
      <c r="BS268" s="879" t="str">
        <v/>
      </c>
      <c r="BT268" s="879" t="str">
        <v/>
      </c>
      <c r="BU268" s="879" t="str">
        <v/>
      </c>
      <c r="BV268" s="879" t="str">
        <v/>
      </c>
      <c r="BW268" s="879" t="str">
        <v/>
      </c>
      <c r="BX268" s="879" t="str">
        <v/>
      </c>
      <c r="BY268" s="879" t="str">
        <v/>
      </c>
      <c r="BZ268" s="882">
        <f>IF($BN269=0,0,        _xll.qDateNext($BN268,BZ$17,$CG$16,TRUE,Currency2))</f>
        <v>0</v>
      </c>
      <c r="CA268" s="882">
        <f>IF($BN269=0,0,        _xll.qDateNext($BN268,CA$17,$CG$16,TRUE,Currency2))</f>
        <v>0</v>
      </c>
      <c r="CB268" s="882">
        <f>IF($BN269=0,0,        _xll.qDateNext($BN268,CB$17,$CG$16,TRUE,Currency2))</f>
        <v>0</v>
      </c>
      <c r="CC268" s="882">
        <f>IF($BN269=0,0,        _xll.qDateNext($BN268,CC$17,$CG$16,TRUE,Currency2))</f>
        <v>0</v>
      </c>
      <c r="CD268" s="882">
        <f>IF($BN269=0,0,        _xll.qDateNext($BN268,CD$17,$CG$16,TRUE,Currency2))</f>
        <v>0</v>
      </c>
      <c r="CE268" s="882">
        <f>IF($BN269=0,0,        _xll.qDateNext($BN268,CE$17,$CG$16,TRUE,Currency2))</f>
        <v>0</v>
      </c>
      <c r="CF268" s="882">
        <f>IF($BN269=0,0,        _xll.qDateNext($BN268,CF$17,$CG$16,TRUE,Currency2))</f>
        <v>0</v>
      </c>
      <c r="CG268" s="882">
        <f>IF($BN269=0,0,        _xll.qDateNext($BN268,CG$17,$CG$16,TRUE,Currency2))</f>
        <v>0</v>
      </c>
      <c r="CH268" s="886">
        <v>0</v>
      </c>
      <c r="CI268" s="886">
        <v>0</v>
      </c>
      <c r="CJ268" s="886">
        <v>0</v>
      </c>
      <c r="CK268" s="886">
        <v>0</v>
      </c>
      <c r="CL268" s="886">
        <f t="shared" si="125"/>
        <v>0</v>
      </c>
      <c r="CM268" s="886">
        <f t="shared" si="126"/>
        <v>0</v>
      </c>
      <c r="CN268" s="886">
        <v>0</v>
      </c>
      <c r="CO268" s="886">
        <v>0</v>
      </c>
      <c r="CP268" s="648">
        <f t="shared" si="103"/>
        <v>0</v>
      </c>
      <c r="CQ268" s="648">
        <f t="shared" si="104"/>
        <v>0</v>
      </c>
      <c r="CR268" s="648">
        <f t="shared" si="105"/>
        <v>0</v>
      </c>
      <c r="CS268" s="648">
        <f t="shared" si="106"/>
        <v>0</v>
      </c>
      <c r="CT268" s="648">
        <f t="shared" si="107"/>
        <v>0</v>
      </c>
      <c r="CU268" s="648">
        <f t="shared" si="108"/>
        <v>0</v>
      </c>
      <c r="CV268" s="648">
        <f t="shared" si="109"/>
        <v>0</v>
      </c>
      <c r="CW268" s="648">
        <f t="shared" si="110"/>
        <v>0</v>
      </c>
      <c r="CX268" s="634">
        <v>0</v>
      </c>
      <c r="CY268" s="616"/>
      <c r="CZ268" s="619">
        <f>IF(BN269=0,0,             IF(ISNUMBER(CY268),CY268,             IF(ISTEXT(CY268),INDEX(CP268:CW268,MATCH(CY268,$CP$17:$CW$17,0)),           IF(CX268="INT",_xll.qInterp(BN269,BZ268:CG268,CP268:CW268),       INDEX(CP268:CW268,MATCH(CX268,$CP$17:$CW$17,0))))))</f>
        <v>0</v>
      </c>
      <c r="DA268" s="755">
        <f t="shared" si="111"/>
        <v>0</v>
      </c>
      <c r="DB268" s="387">
        <f t="shared" si="112"/>
        <v>0</v>
      </c>
      <c r="DC268" s="268">
        <f>IF($BN269=0,0,         IF(LEFT(DCC_Leg2_Fixed,2)="1/",uEvaluate(DCC_Leg2_Fixed),         _xll.qDateYears($BN268,$BN269,DCC_Leg2_Fixed)))</f>
        <v>0</v>
      </c>
      <c r="DD268" s="268">
        <f>IF($BN269,_xll.qDateYears($BN268,$BN269,DCC_Leg2_Float),0)</f>
        <v>0</v>
      </c>
      <c r="DF268" s="332">
        <f t="shared" si="127"/>
        <v>0</v>
      </c>
      <c r="DG268" s="357">
        <f t="shared" si="128"/>
        <v>0</v>
      </c>
      <c r="DH268" s="527"/>
      <c r="DJ268" s="324">
        <f t="shared" si="130"/>
        <v>0</v>
      </c>
      <c r="DK268" s="529"/>
      <c r="DL268" s="338"/>
    </row>
    <row r="269" spans="15:116">
      <c r="O269" s="121">
        <v>0</v>
      </c>
      <c r="P269" s="755">
        <f t="shared" si="99"/>
        <v>0</v>
      </c>
      <c r="Q269" s="125">
        <v>0</v>
      </c>
      <c r="R269" s="890">
        <f>IF(O270=0,0,         IF(OR(Currency1="AUD",Currency1="NZD",Currency1="GBP"),O269,   _xll.qDateNext(O269,"-2b",,,IF(Currency1="EUR","TGT","LON"))))</f>
        <v>0</v>
      </c>
      <c r="S269" s="879" t="str">
        <v/>
      </c>
      <c r="T269" s="879" t="str">
        <v/>
      </c>
      <c r="U269" s="879" t="str">
        <v/>
      </c>
      <c r="V269" s="879" t="str">
        <v/>
      </c>
      <c r="W269" s="879" t="str">
        <v/>
      </c>
      <c r="X269" s="879" t="str">
        <v/>
      </c>
      <c r="Y269" s="879" t="str">
        <v/>
      </c>
      <c r="Z269" s="879" t="str">
        <v/>
      </c>
      <c r="AA269" s="882">
        <f>IF($O270=0,0,        _xll.qDateNext($O269,AA$17,$AH$16,TRUE,Currency1))</f>
        <v>0</v>
      </c>
      <c r="AB269" s="882">
        <f>IF($O270=0,0,        _xll.qDateNext($O269,AB$17,$AH$16,TRUE,Currency1))</f>
        <v>0</v>
      </c>
      <c r="AC269" s="882">
        <f>IF($O270=0,0,        _xll.qDateNext($O269,AC$17,$AH$16,TRUE,Currency1))</f>
        <v>0</v>
      </c>
      <c r="AD269" s="882">
        <f>IF($O270=0,0,        _xll.qDateNext($O269,AD$17,$AH$16,TRUE,Currency1))</f>
        <v>0</v>
      </c>
      <c r="AE269" s="882">
        <f>IF($O270=0,0,        _xll.qDateNext($O269,AE$17,$AH$16,TRUE,Currency1))</f>
        <v>0</v>
      </c>
      <c r="AF269" s="882">
        <f>IF($O270=0,0,        _xll.qDateNext($O269,AF$17,$AH$16,TRUE,Currency1))</f>
        <v>0</v>
      </c>
      <c r="AG269" s="882">
        <f>IF($O270=0,0,        _xll.qDateNext($O269,AG$17,$AH$16,TRUE,Currency1))</f>
        <v>0</v>
      </c>
      <c r="AH269" s="882">
        <f>IF($O270=0,0,        _xll.qDateNext($O269,AH$17,$AH$16,TRUE,Currency1))</f>
        <v>0</v>
      </c>
      <c r="AI269" s="886">
        <f>IF($O270=0,0,           IF(FRM,_xll.qGetFwdRate(AI$14,$O269,AA269,"T",DCC_Leg1_Float),_xll.qGetFwdRate(AI$14,$O269,$O270,"T",DCC_Leg1_Float)))</f>
        <v>0</v>
      </c>
      <c r="AJ269" s="886">
        <f>IF($O270=0,0,           IF(FRM,_xll.qGetFwdRate(AJ$14,$O269,AB269,"T",DCC_Leg1_Float),_xll.qGetFwdRate(AJ$14,$O269,$O270,"T",DCC_Leg1_Float)))</f>
        <v>0</v>
      </c>
      <c r="AK269" s="886">
        <f t="shared" si="100"/>
        <v>0</v>
      </c>
      <c r="AL269" s="886">
        <f>IF($O270=0,0,           IF(FRM,_xll.qGetFwdRate(AL$14,$O269,AD269,"T",DCC_Leg1_Float),_xll.qGetFwdRate(AL$14,$O269,$O270,"T",DCC_Leg1_Float)))</f>
        <v>0</v>
      </c>
      <c r="AM269" s="886">
        <f t="shared" si="113"/>
        <v>0</v>
      </c>
      <c r="AN269" s="886">
        <f t="shared" si="114"/>
        <v>0</v>
      </c>
      <c r="AO269" s="886">
        <f>IF($O270=0,0,           IF(FRM,_xll.qGetFwdRate(AO$14,$O269,AG269,"T",DCC_Leg1_Float),_xll.qGetFwdRate(AO$14,$O269,$O270,"T",DCC_Leg1_Float)))</f>
        <v>0</v>
      </c>
      <c r="AP269" s="886">
        <f>IF($O270=0,0,           IF(FRM,_xll.qGetFwdRate(AP$14,$O269,AH269,"T",DCC_Leg1_Float),_xll.qGetFwdRate(AP$14,$O269,$O270,"T",DCC_Leg1_Float)))</f>
        <v>0</v>
      </c>
      <c r="AQ269" s="648">
        <f t="shared" si="115"/>
        <v>0</v>
      </c>
      <c r="AR269" s="648">
        <f t="shared" si="116"/>
        <v>0</v>
      </c>
      <c r="AS269" s="648">
        <f t="shared" si="117"/>
        <v>0</v>
      </c>
      <c r="AT269" s="648">
        <f t="shared" si="118"/>
        <v>0</v>
      </c>
      <c r="AU269" s="648">
        <f t="shared" si="119"/>
        <v>0</v>
      </c>
      <c r="AV269" s="648">
        <f t="shared" si="120"/>
        <v>0</v>
      </c>
      <c r="AW269" s="648">
        <f t="shared" si="121"/>
        <v>0</v>
      </c>
      <c r="AX269" s="648">
        <f t="shared" si="122"/>
        <v>0</v>
      </c>
      <c r="AY269" s="634">
        <v>0</v>
      </c>
      <c r="AZ269" s="616"/>
      <c r="BA269" s="619">
        <f>IF(O270=0,0,             IF(ISNUMBER(AZ269),AZ269,             IF(ISTEXT(AZ269),INDEX(AQ269:AX269,MATCH(AZ269,$AQ$17:$AX$17,0)),           IF(AY269="INT",_xll.qInterp(O270,AA269:AH269,AQ269:AX269),       INDEX(AQ269:AX269,MATCH(AY269,$AQ$17:$AX$17,0))))))</f>
        <v>0</v>
      </c>
      <c r="BB269" s="674">
        <v>100</v>
      </c>
      <c r="BC269" s="666">
        <f t="shared" si="101"/>
        <v>0</v>
      </c>
      <c r="BD269" s="268">
        <f>IF($O270=0,0,                IF(LEFT(DCC_Leg1_Fixed,2)="1/",uEvaluate(DCC_Leg1_Fixed),        _xll.qDateYears($O269,$O270,DCC_Leg1_Fixed)))</f>
        <v>0</v>
      </c>
      <c r="BE269" s="268">
        <f>IF($O270,_xll.qDateYears($O269,$O270,DCC_Leg1_Float),0)</f>
        <v>0</v>
      </c>
      <c r="BG269" s="332">
        <f t="shared" si="123"/>
        <v>0</v>
      </c>
      <c r="BH269" s="357">
        <f t="shared" si="124"/>
        <v>0</v>
      </c>
      <c r="BI269" s="527"/>
      <c r="BK269" s="324">
        <f t="shared" si="129"/>
        <v>0</v>
      </c>
      <c r="BM269" s="338"/>
      <c r="BN269" s="121">
        <v>0</v>
      </c>
      <c r="BO269" s="755">
        <f t="shared" si="102"/>
        <v>0</v>
      </c>
      <c r="BP269" s="339">
        <v>0</v>
      </c>
      <c r="BQ269" s="890">
        <f>IF(BN270=0,0,         IF(OR(Currency2="AUD",Currency1="NZD",Currency2="GBP"),BN269,   _xll.qDateNext(BN269,"-2b",,,IF(Currency2="EUR","TGT","LON"))))</f>
        <v>0</v>
      </c>
      <c r="BR269" s="879" t="str">
        <v/>
      </c>
      <c r="BS269" s="879" t="str">
        <v/>
      </c>
      <c r="BT269" s="879" t="str">
        <v/>
      </c>
      <c r="BU269" s="879" t="str">
        <v/>
      </c>
      <c r="BV269" s="879" t="str">
        <v/>
      </c>
      <c r="BW269" s="879" t="str">
        <v/>
      </c>
      <c r="BX269" s="879" t="str">
        <v/>
      </c>
      <c r="BY269" s="879" t="str">
        <v/>
      </c>
      <c r="BZ269" s="882">
        <f>IF($BN270=0,0,        _xll.qDateNext($BN269,BZ$17,$CG$16,TRUE,Currency2))</f>
        <v>0</v>
      </c>
      <c r="CA269" s="882">
        <f>IF($BN270=0,0,        _xll.qDateNext($BN269,CA$17,$CG$16,TRUE,Currency2))</f>
        <v>0</v>
      </c>
      <c r="CB269" s="882">
        <f>IF($BN270=0,0,        _xll.qDateNext($BN269,CB$17,$CG$16,TRUE,Currency2))</f>
        <v>0</v>
      </c>
      <c r="CC269" s="882">
        <f>IF($BN270=0,0,        _xll.qDateNext($BN269,CC$17,$CG$16,TRUE,Currency2))</f>
        <v>0</v>
      </c>
      <c r="CD269" s="882">
        <f>IF($BN270=0,0,        _xll.qDateNext($BN269,CD$17,$CG$16,TRUE,Currency2))</f>
        <v>0</v>
      </c>
      <c r="CE269" s="882">
        <f>IF($BN270=0,0,        _xll.qDateNext($BN269,CE$17,$CG$16,TRUE,Currency2))</f>
        <v>0</v>
      </c>
      <c r="CF269" s="882">
        <f>IF($BN270=0,0,        _xll.qDateNext($BN269,CF$17,$CG$16,TRUE,Currency2))</f>
        <v>0</v>
      </c>
      <c r="CG269" s="882">
        <f>IF($BN270=0,0,        _xll.qDateNext($BN269,CG$17,$CG$16,TRUE,Currency2))</f>
        <v>0</v>
      </c>
      <c r="CH269" s="886">
        <v>0</v>
      </c>
      <c r="CI269" s="886">
        <v>0</v>
      </c>
      <c r="CJ269" s="886">
        <v>0</v>
      </c>
      <c r="CK269" s="886">
        <v>0</v>
      </c>
      <c r="CL269" s="886">
        <f t="shared" si="125"/>
        <v>0</v>
      </c>
      <c r="CM269" s="886">
        <f t="shared" si="126"/>
        <v>0</v>
      </c>
      <c r="CN269" s="886">
        <v>0</v>
      </c>
      <c r="CO269" s="886">
        <v>0</v>
      </c>
      <c r="CP269" s="648">
        <f t="shared" si="103"/>
        <v>0</v>
      </c>
      <c r="CQ269" s="648">
        <f t="shared" si="104"/>
        <v>0</v>
      </c>
      <c r="CR269" s="648">
        <f t="shared" si="105"/>
        <v>0</v>
      </c>
      <c r="CS269" s="648">
        <f t="shared" si="106"/>
        <v>0</v>
      </c>
      <c r="CT269" s="648">
        <f t="shared" si="107"/>
        <v>0</v>
      </c>
      <c r="CU269" s="648">
        <f t="shared" si="108"/>
        <v>0</v>
      </c>
      <c r="CV269" s="648">
        <f t="shared" si="109"/>
        <v>0</v>
      </c>
      <c r="CW269" s="648">
        <f t="shared" si="110"/>
        <v>0</v>
      </c>
      <c r="CX269" s="634">
        <v>0</v>
      </c>
      <c r="CY269" s="616"/>
      <c r="CZ269" s="619">
        <f>IF(BN270=0,0,             IF(ISNUMBER(CY269),CY269,             IF(ISTEXT(CY269),INDEX(CP269:CW269,MATCH(CY269,$CP$17:$CW$17,0)),           IF(CX269="INT",_xll.qInterp(BN270,BZ269:CG269,CP269:CW269),       INDEX(CP269:CW269,MATCH(CX269,$CP$17:$CW$17,0))))))</f>
        <v>0</v>
      </c>
      <c r="DA269" s="755">
        <f t="shared" si="111"/>
        <v>0</v>
      </c>
      <c r="DB269" s="387">
        <f t="shared" si="112"/>
        <v>0</v>
      </c>
      <c r="DC269" s="268">
        <f>IF($BN270=0,0,         IF(LEFT(DCC_Leg2_Fixed,2)="1/",uEvaluate(DCC_Leg2_Fixed),         _xll.qDateYears($BN269,$BN270,DCC_Leg2_Fixed)))</f>
        <v>0</v>
      </c>
      <c r="DD269" s="268">
        <f>IF($BN270,_xll.qDateYears($BN269,$BN270,DCC_Leg2_Float),0)</f>
        <v>0</v>
      </c>
      <c r="DF269" s="332">
        <f t="shared" si="127"/>
        <v>0</v>
      </c>
      <c r="DG269" s="357">
        <f t="shared" si="128"/>
        <v>0</v>
      </c>
      <c r="DH269" s="527"/>
      <c r="DJ269" s="324">
        <f t="shared" si="130"/>
        <v>0</v>
      </c>
      <c r="DK269" s="529"/>
      <c r="DL269" s="338"/>
    </row>
    <row r="270" spans="15:116">
      <c r="O270" s="121">
        <v>0</v>
      </c>
      <c r="P270" s="755">
        <f t="shared" si="99"/>
        <v>0</v>
      </c>
      <c r="Q270" s="125">
        <v>0</v>
      </c>
      <c r="R270" s="890">
        <f>IF(O271=0,0,         IF(OR(Currency1="AUD",Currency1="NZD",Currency1="GBP"),O270,   _xll.qDateNext(O270,"-2b",,,IF(Currency1="EUR","TGT","LON"))))</f>
        <v>0</v>
      </c>
      <c r="S270" s="879" t="str">
        <v/>
      </c>
      <c r="T270" s="879" t="str">
        <v/>
      </c>
      <c r="U270" s="879" t="str">
        <v/>
      </c>
      <c r="V270" s="879" t="str">
        <v/>
      </c>
      <c r="W270" s="879" t="str">
        <v/>
      </c>
      <c r="X270" s="879" t="str">
        <v/>
      </c>
      <c r="Y270" s="879" t="str">
        <v/>
      </c>
      <c r="Z270" s="879" t="str">
        <v/>
      </c>
      <c r="AA270" s="882">
        <f>IF($O271=0,0,        _xll.qDateNext($O270,AA$17,$AH$16,TRUE,Currency1))</f>
        <v>0</v>
      </c>
      <c r="AB270" s="882">
        <f>IF($O271=0,0,        _xll.qDateNext($O270,AB$17,$AH$16,TRUE,Currency1))</f>
        <v>0</v>
      </c>
      <c r="AC270" s="882">
        <f>IF($O271=0,0,        _xll.qDateNext($O270,AC$17,$AH$16,TRUE,Currency1))</f>
        <v>0</v>
      </c>
      <c r="AD270" s="882">
        <f>IF($O271=0,0,        _xll.qDateNext($O270,AD$17,$AH$16,TRUE,Currency1))</f>
        <v>0</v>
      </c>
      <c r="AE270" s="882">
        <f>IF($O271=0,0,        _xll.qDateNext($O270,AE$17,$AH$16,TRUE,Currency1))</f>
        <v>0</v>
      </c>
      <c r="AF270" s="882">
        <f>IF($O271=0,0,        _xll.qDateNext($O270,AF$17,$AH$16,TRUE,Currency1))</f>
        <v>0</v>
      </c>
      <c r="AG270" s="882">
        <f>IF($O271=0,0,        _xll.qDateNext($O270,AG$17,$AH$16,TRUE,Currency1))</f>
        <v>0</v>
      </c>
      <c r="AH270" s="882">
        <f>IF($O271=0,0,        _xll.qDateNext($O270,AH$17,$AH$16,TRUE,Currency1))</f>
        <v>0</v>
      </c>
      <c r="AI270" s="886">
        <f>IF($O271=0,0,           IF(FRM,_xll.qGetFwdRate(AI$14,$O270,AA270,"T",DCC_Leg1_Float),_xll.qGetFwdRate(AI$14,$O270,$O271,"T",DCC_Leg1_Float)))</f>
        <v>0</v>
      </c>
      <c r="AJ270" s="886">
        <f>IF($O271=0,0,           IF(FRM,_xll.qGetFwdRate(AJ$14,$O270,AB270,"T",DCC_Leg1_Float),_xll.qGetFwdRate(AJ$14,$O270,$O271,"T",DCC_Leg1_Float)))</f>
        <v>0</v>
      </c>
      <c r="AK270" s="886">
        <f t="shared" si="100"/>
        <v>0</v>
      </c>
      <c r="AL270" s="886">
        <f>IF($O271=0,0,           IF(FRM,_xll.qGetFwdRate(AL$14,$O270,AD270,"T",DCC_Leg1_Float),_xll.qGetFwdRate(AL$14,$O270,$O271,"T",DCC_Leg1_Float)))</f>
        <v>0</v>
      </c>
      <c r="AM270" s="886">
        <f t="shared" si="113"/>
        <v>0</v>
      </c>
      <c r="AN270" s="886">
        <f t="shared" si="114"/>
        <v>0</v>
      </c>
      <c r="AO270" s="886">
        <f>IF($O271=0,0,           IF(FRM,_xll.qGetFwdRate(AO$14,$O270,AG270,"T",DCC_Leg1_Float),_xll.qGetFwdRate(AO$14,$O270,$O271,"T",DCC_Leg1_Float)))</f>
        <v>0</v>
      </c>
      <c r="AP270" s="886">
        <f>IF($O271=0,0,           IF(FRM,_xll.qGetFwdRate(AP$14,$O270,AH270,"T",DCC_Leg1_Float),_xll.qGetFwdRate(AP$14,$O270,$O271,"T",DCC_Leg1_Float)))</f>
        <v>0</v>
      </c>
      <c r="AQ270" s="648">
        <f t="shared" si="115"/>
        <v>0</v>
      </c>
      <c r="AR270" s="648">
        <f t="shared" si="116"/>
        <v>0</v>
      </c>
      <c r="AS270" s="648">
        <f t="shared" si="117"/>
        <v>0</v>
      </c>
      <c r="AT270" s="648">
        <f t="shared" si="118"/>
        <v>0</v>
      </c>
      <c r="AU270" s="648">
        <f t="shared" si="119"/>
        <v>0</v>
      </c>
      <c r="AV270" s="648">
        <f t="shared" si="120"/>
        <v>0</v>
      </c>
      <c r="AW270" s="648">
        <f t="shared" si="121"/>
        <v>0</v>
      </c>
      <c r="AX270" s="648">
        <f t="shared" si="122"/>
        <v>0</v>
      </c>
      <c r="AY270" s="634">
        <v>0</v>
      </c>
      <c r="AZ270" s="616"/>
      <c r="BA270" s="619">
        <f>IF(O271=0,0,             IF(ISNUMBER(AZ270),AZ270,             IF(ISTEXT(AZ270),INDEX(AQ270:AX270,MATCH(AZ270,$AQ$17:$AX$17,0)),           IF(AY270="INT",_xll.qInterp(O271,AA270:AH270,AQ270:AX270),       INDEX(AQ270:AX270,MATCH(AY270,$AQ$17:$AX$17,0))))))</f>
        <v>0</v>
      </c>
      <c r="BB270" s="674">
        <v>100</v>
      </c>
      <c r="BC270" s="666">
        <f t="shared" si="101"/>
        <v>0</v>
      </c>
      <c r="BD270" s="268">
        <f>IF($O271=0,0,                IF(LEFT(DCC_Leg1_Fixed,2)="1/",uEvaluate(DCC_Leg1_Fixed),        _xll.qDateYears($O270,$O271,DCC_Leg1_Fixed)))</f>
        <v>0</v>
      </c>
      <c r="BE270" s="268">
        <f>IF($O271,_xll.qDateYears($O270,$O271,DCC_Leg1_Float),0)</f>
        <v>0</v>
      </c>
      <c r="BG270" s="332">
        <f t="shared" si="123"/>
        <v>0</v>
      </c>
      <c r="BH270" s="357">
        <f t="shared" si="124"/>
        <v>0</v>
      </c>
      <c r="BI270" s="527"/>
      <c r="BK270" s="324">
        <f t="shared" si="129"/>
        <v>0</v>
      </c>
      <c r="BM270" s="338"/>
      <c r="BN270" s="121">
        <v>0</v>
      </c>
      <c r="BO270" s="755">
        <f t="shared" si="102"/>
        <v>0</v>
      </c>
      <c r="BP270" s="339">
        <v>0</v>
      </c>
      <c r="BQ270" s="890">
        <f>IF(BN271=0,0,         IF(OR(Currency2="AUD",Currency1="NZD",Currency2="GBP"),BN270,   _xll.qDateNext(BN270,"-2b",,,IF(Currency2="EUR","TGT","LON"))))</f>
        <v>0</v>
      </c>
      <c r="BR270" s="879" t="str">
        <v/>
      </c>
      <c r="BS270" s="879" t="str">
        <v/>
      </c>
      <c r="BT270" s="879" t="str">
        <v/>
      </c>
      <c r="BU270" s="879" t="str">
        <v/>
      </c>
      <c r="BV270" s="879" t="str">
        <v/>
      </c>
      <c r="BW270" s="879" t="str">
        <v/>
      </c>
      <c r="BX270" s="879" t="str">
        <v/>
      </c>
      <c r="BY270" s="879" t="str">
        <v/>
      </c>
      <c r="BZ270" s="882">
        <f>IF($BN271=0,0,        _xll.qDateNext($BN270,BZ$17,$CG$16,TRUE,Currency2))</f>
        <v>0</v>
      </c>
      <c r="CA270" s="882">
        <f>IF($BN271=0,0,        _xll.qDateNext($BN270,CA$17,$CG$16,TRUE,Currency2))</f>
        <v>0</v>
      </c>
      <c r="CB270" s="882">
        <f>IF($BN271=0,0,        _xll.qDateNext($BN270,CB$17,$CG$16,TRUE,Currency2))</f>
        <v>0</v>
      </c>
      <c r="CC270" s="882">
        <f>IF($BN271=0,0,        _xll.qDateNext($BN270,CC$17,$CG$16,TRUE,Currency2))</f>
        <v>0</v>
      </c>
      <c r="CD270" s="882">
        <f>IF($BN271=0,0,        _xll.qDateNext($BN270,CD$17,$CG$16,TRUE,Currency2))</f>
        <v>0</v>
      </c>
      <c r="CE270" s="882">
        <f>IF($BN271=0,0,        _xll.qDateNext($BN270,CE$17,$CG$16,TRUE,Currency2))</f>
        <v>0</v>
      </c>
      <c r="CF270" s="882">
        <f>IF($BN271=0,0,        _xll.qDateNext($BN270,CF$17,$CG$16,TRUE,Currency2))</f>
        <v>0</v>
      </c>
      <c r="CG270" s="882">
        <f>IF($BN271=0,0,        _xll.qDateNext($BN270,CG$17,$CG$16,TRUE,Currency2))</f>
        <v>0</v>
      </c>
      <c r="CH270" s="886">
        <v>0</v>
      </c>
      <c r="CI270" s="886">
        <v>0</v>
      </c>
      <c r="CJ270" s="886">
        <v>0</v>
      </c>
      <c r="CK270" s="886">
        <v>0</v>
      </c>
      <c r="CL270" s="886">
        <f t="shared" si="125"/>
        <v>0</v>
      </c>
      <c r="CM270" s="886">
        <f t="shared" si="126"/>
        <v>0</v>
      </c>
      <c r="CN270" s="886">
        <v>0</v>
      </c>
      <c r="CO270" s="886">
        <v>0</v>
      </c>
      <c r="CP270" s="648">
        <f t="shared" si="103"/>
        <v>0</v>
      </c>
      <c r="CQ270" s="648">
        <f t="shared" si="104"/>
        <v>0</v>
      </c>
      <c r="CR270" s="648">
        <f t="shared" si="105"/>
        <v>0</v>
      </c>
      <c r="CS270" s="648">
        <f t="shared" si="106"/>
        <v>0</v>
      </c>
      <c r="CT270" s="648">
        <f t="shared" si="107"/>
        <v>0</v>
      </c>
      <c r="CU270" s="648">
        <f t="shared" si="108"/>
        <v>0</v>
      </c>
      <c r="CV270" s="648">
        <f t="shared" si="109"/>
        <v>0</v>
      </c>
      <c r="CW270" s="648">
        <f t="shared" si="110"/>
        <v>0</v>
      </c>
      <c r="CX270" s="634">
        <v>0</v>
      </c>
      <c r="CY270" s="616"/>
      <c r="CZ270" s="619">
        <f>IF(BN271=0,0,             IF(ISNUMBER(CY270),CY270,             IF(ISTEXT(CY270),INDEX(CP270:CW270,MATCH(CY270,$CP$17:$CW$17,0)),           IF(CX270="INT",_xll.qInterp(BN271,BZ270:CG270,CP270:CW270),       INDEX(CP270:CW270,MATCH(CX270,$CP$17:$CW$17,0))))))</f>
        <v>0</v>
      </c>
      <c r="DA270" s="755">
        <f t="shared" si="111"/>
        <v>0</v>
      </c>
      <c r="DB270" s="387">
        <f t="shared" si="112"/>
        <v>0</v>
      </c>
      <c r="DC270" s="268">
        <f>IF($BN271=0,0,         IF(LEFT(DCC_Leg2_Fixed,2)="1/",uEvaluate(DCC_Leg2_Fixed),         _xll.qDateYears($BN270,$BN271,DCC_Leg2_Fixed)))</f>
        <v>0</v>
      </c>
      <c r="DD270" s="268">
        <f>IF($BN271,_xll.qDateYears($BN270,$BN271,DCC_Leg2_Float),0)</f>
        <v>0</v>
      </c>
      <c r="DF270" s="332">
        <f t="shared" si="127"/>
        <v>0</v>
      </c>
      <c r="DG270" s="357">
        <f t="shared" si="128"/>
        <v>0</v>
      </c>
      <c r="DH270" s="527"/>
      <c r="DJ270" s="324">
        <f t="shared" si="130"/>
        <v>0</v>
      </c>
      <c r="DK270" s="529"/>
      <c r="DL270" s="338"/>
    </row>
    <row r="271" spans="15:116">
      <c r="O271" s="121">
        <v>0</v>
      </c>
      <c r="P271" s="755">
        <f t="shared" si="99"/>
        <v>0</v>
      </c>
      <c r="Q271" s="125">
        <v>0</v>
      </c>
      <c r="R271" s="890">
        <f>IF(O272=0,0,         IF(OR(Currency1="AUD",Currency1="NZD",Currency1="GBP"),O271,   _xll.qDateNext(O271,"-2b",,,IF(Currency1="EUR","TGT","LON"))))</f>
        <v>0</v>
      </c>
      <c r="S271" s="879" t="str">
        <v/>
      </c>
      <c r="T271" s="879" t="str">
        <v/>
      </c>
      <c r="U271" s="879" t="str">
        <v/>
      </c>
      <c r="V271" s="879" t="str">
        <v/>
      </c>
      <c r="W271" s="879" t="str">
        <v/>
      </c>
      <c r="X271" s="879" t="str">
        <v/>
      </c>
      <c r="Y271" s="879" t="str">
        <v/>
      </c>
      <c r="Z271" s="879" t="str">
        <v/>
      </c>
      <c r="AA271" s="882">
        <f>IF($O272=0,0,        _xll.qDateNext($O271,AA$17,$AH$16,TRUE,Currency1))</f>
        <v>0</v>
      </c>
      <c r="AB271" s="882">
        <f>IF($O272=0,0,        _xll.qDateNext($O271,AB$17,$AH$16,TRUE,Currency1))</f>
        <v>0</v>
      </c>
      <c r="AC271" s="882">
        <f>IF($O272=0,0,        _xll.qDateNext($O271,AC$17,$AH$16,TRUE,Currency1))</f>
        <v>0</v>
      </c>
      <c r="AD271" s="882">
        <f>IF($O272=0,0,        _xll.qDateNext($O271,AD$17,$AH$16,TRUE,Currency1))</f>
        <v>0</v>
      </c>
      <c r="AE271" s="882">
        <f>IF($O272=0,0,        _xll.qDateNext($O271,AE$17,$AH$16,TRUE,Currency1))</f>
        <v>0</v>
      </c>
      <c r="AF271" s="882">
        <f>IF($O272=0,0,        _xll.qDateNext($O271,AF$17,$AH$16,TRUE,Currency1))</f>
        <v>0</v>
      </c>
      <c r="AG271" s="882">
        <f>IF($O272=0,0,        _xll.qDateNext($O271,AG$17,$AH$16,TRUE,Currency1))</f>
        <v>0</v>
      </c>
      <c r="AH271" s="882">
        <f>IF($O272=0,0,        _xll.qDateNext($O271,AH$17,$AH$16,TRUE,Currency1))</f>
        <v>0</v>
      </c>
      <c r="AI271" s="886">
        <f>IF($O272=0,0,           IF(FRM,_xll.qGetFwdRate(AI$14,$O271,AA271,"T",DCC_Leg1_Float),_xll.qGetFwdRate(AI$14,$O271,$O272,"T",DCC_Leg1_Float)))</f>
        <v>0</v>
      </c>
      <c r="AJ271" s="886">
        <f>IF($O272=0,0,           IF(FRM,_xll.qGetFwdRate(AJ$14,$O271,AB271,"T",DCC_Leg1_Float),_xll.qGetFwdRate(AJ$14,$O271,$O272,"T",DCC_Leg1_Float)))</f>
        <v>0</v>
      </c>
      <c r="AK271" s="886">
        <f t="shared" si="100"/>
        <v>0</v>
      </c>
      <c r="AL271" s="886">
        <f>IF($O272=0,0,           IF(FRM,_xll.qGetFwdRate(AL$14,$O271,AD271,"T",DCC_Leg1_Float),_xll.qGetFwdRate(AL$14,$O271,$O272,"T",DCC_Leg1_Float)))</f>
        <v>0</v>
      </c>
      <c r="AM271" s="886">
        <f t="shared" si="113"/>
        <v>0</v>
      </c>
      <c r="AN271" s="886">
        <f t="shared" si="114"/>
        <v>0</v>
      </c>
      <c r="AO271" s="886">
        <f>IF($O272=0,0,           IF(FRM,_xll.qGetFwdRate(AO$14,$O271,AG271,"T",DCC_Leg1_Float),_xll.qGetFwdRate(AO$14,$O271,$O272,"T",DCC_Leg1_Float)))</f>
        <v>0</v>
      </c>
      <c r="AP271" s="886">
        <f>IF($O272=0,0,           IF(FRM,_xll.qGetFwdRate(AP$14,$O271,AH271,"T",DCC_Leg1_Float),_xll.qGetFwdRate(AP$14,$O271,$O272,"T",DCC_Leg1_Float)))</f>
        <v>0</v>
      </c>
      <c r="AQ271" s="648">
        <f t="shared" si="115"/>
        <v>0</v>
      </c>
      <c r="AR271" s="648">
        <f t="shared" si="116"/>
        <v>0</v>
      </c>
      <c r="AS271" s="648">
        <f t="shared" si="117"/>
        <v>0</v>
      </c>
      <c r="AT271" s="648">
        <f t="shared" si="118"/>
        <v>0</v>
      </c>
      <c r="AU271" s="648">
        <f t="shared" si="119"/>
        <v>0</v>
      </c>
      <c r="AV271" s="648">
        <f t="shared" si="120"/>
        <v>0</v>
      </c>
      <c r="AW271" s="648">
        <f t="shared" si="121"/>
        <v>0</v>
      </c>
      <c r="AX271" s="648">
        <f t="shared" si="122"/>
        <v>0</v>
      </c>
      <c r="AY271" s="634">
        <v>0</v>
      </c>
      <c r="AZ271" s="616"/>
      <c r="BA271" s="619">
        <f>IF(O272=0,0,             IF(ISNUMBER(AZ271),AZ271,             IF(ISTEXT(AZ271),INDEX(AQ271:AX271,MATCH(AZ271,$AQ$17:$AX$17,0)),           IF(AY271="INT",_xll.qInterp(O272,AA271:AH271,AQ271:AX271),       INDEX(AQ271:AX271,MATCH(AY271,$AQ$17:$AX$17,0))))))</f>
        <v>0</v>
      </c>
      <c r="BB271" s="674">
        <v>100</v>
      </c>
      <c r="BC271" s="666">
        <f t="shared" si="101"/>
        <v>0</v>
      </c>
      <c r="BD271" s="268">
        <f>IF($O272=0,0,                IF(LEFT(DCC_Leg1_Fixed,2)="1/",uEvaluate(DCC_Leg1_Fixed),        _xll.qDateYears($O271,$O272,DCC_Leg1_Fixed)))</f>
        <v>0</v>
      </c>
      <c r="BE271" s="268">
        <f>IF($O272,_xll.qDateYears($O271,$O272,DCC_Leg1_Float),0)</f>
        <v>0</v>
      </c>
      <c r="BG271" s="332">
        <f t="shared" si="123"/>
        <v>0</v>
      </c>
      <c r="BH271" s="357">
        <f t="shared" si="124"/>
        <v>0</v>
      </c>
      <c r="BI271" s="527"/>
      <c r="BK271" s="324">
        <f t="shared" si="129"/>
        <v>0</v>
      </c>
      <c r="BM271" s="338"/>
      <c r="BN271" s="121">
        <v>0</v>
      </c>
      <c r="BO271" s="755">
        <f t="shared" si="102"/>
        <v>0</v>
      </c>
      <c r="BP271" s="339">
        <v>0</v>
      </c>
      <c r="BQ271" s="890">
        <f>IF(BN272=0,0,         IF(OR(Currency2="AUD",Currency1="NZD",Currency2="GBP"),BN271,   _xll.qDateNext(BN271,"-2b",,,IF(Currency2="EUR","TGT","LON"))))</f>
        <v>0</v>
      </c>
      <c r="BR271" s="879" t="str">
        <v/>
      </c>
      <c r="BS271" s="879" t="str">
        <v/>
      </c>
      <c r="BT271" s="879" t="str">
        <v/>
      </c>
      <c r="BU271" s="879" t="str">
        <v/>
      </c>
      <c r="BV271" s="879" t="str">
        <v/>
      </c>
      <c r="BW271" s="879" t="str">
        <v/>
      </c>
      <c r="BX271" s="879" t="str">
        <v/>
      </c>
      <c r="BY271" s="879" t="str">
        <v/>
      </c>
      <c r="BZ271" s="882">
        <f>IF($BN272=0,0,        _xll.qDateNext($BN271,BZ$17,$CG$16,TRUE,Currency2))</f>
        <v>0</v>
      </c>
      <c r="CA271" s="882">
        <f>IF($BN272=0,0,        _xll.qDateNext($BN271,CA$17,$CG$16,TRUE,Currency2))</f>
        <v>0</v>
      </c>
      <c r="CB271" s="882">
        <f>IF($BN272=0,0,        _xll.qDateNext($BN271,CB$17,$CG$16,TRUE,Currency2))</f>
        <v>0</v>
      </c>
      <c r="CC271" s="882">
        <f>IF($BN272=0,0,        _xll.qDateNext($BN271,CC$17,$CG$16,TRUE,Currency2))</f>
        <v>0</v>
      </c>
      <c r="CD271" s="882">
        <f>IF($BN272=0,0,        _xll.qDateNext($BN271,CD$17,$CG$16,TRUE,Currency2))</f>
        <v>0</v>
      </c>
      <c r="CE271" s="882">
        <f>IF($BN272=0,0,        _xll.qDateNext($BN271,CE$17,$CG$16,TRUE,Currency2))</f>
        <v>0</v>
      </c>
      <c r="CF271" s="882">
        <f>IF($BN272=0,0,        _xll.qDateNext($BN271,CF$17,$CG$16,TRUE,Currency2))</f>
        <v>0</v>
      </c>
      <c r="CG271" s="882">
        <f>IF($BN272=0,0,        _xll.qDateNext($BN271,CG$17,$CG$16,TRUE,Currency2))</f>
        <v>0</v>
      </c>
      <c r="CH271" s="886">
        <v>0</v>
      </c>
      <c r="CI271" s="886">
        <v>0</v>
      </c>
      <c r="CJ271" s="886">
        <v>0</v>
      </c>
      <c r="CK271" s="886">
        <v>0</v>
      </c>
      <c r="CL271" s="886">
        <f t="shared" si="125"/>
        <v>0</v>
      </c>
      <c r="CM271" s="886">
        <f t="shared" si="126"/>
        <v>0</v>
      </c>
      <c r="CN271" s="886">
        <v>0</v>
      </c>
      <c r="CO271" s="886">
        <v>0</v>
      </c>
      <c r="CP271" s="648">
        <f t="shared" si="103"/>
        <v>0</v>
      </c>
      <c r="CQ271" s="648">
        <f t="shared" si="104"/>
        <v>0</v>
      </c>
      <c r="CR271" s="648">
        <f t="shared" si="105"/>
        <v>0</v>
      </c>
      <c r="CS271" s="648">
        <f t="shared" si="106"/>
        <v>0</v>
      </c>
      <c r="CT271" s="648">
        <f t="shared" si="107"/>
        <v>0</v>
      </c>
      <c r="CU271" s="648">
        <f t="shared" si="108"/>
        <v>0</v>
      </c>
      <c r="CV271" s="648">
        <f t="shared" si="109"/>
        <v>0</v>
      </c>
      <c r="CW271" s="648">
        <f t="shared" si="110"/>
        <v>0</v>
      </c>
      <c r="CX271" s="634">
        <v>0</v>
      </c>
      <c r="CY271" s="616"/>
      <c r="CZ271" s="619">
        <f>IF(BN272=0,0,             IF(ISNUMBER(CY271),CY271,             IF(ISTEXT(CY271),INDEX(CP271:CW271,MATCH(CY271,$CP$17:$CW$17,0)),           IF(CX271="INT",_xll.qInterp(BN272,BZ271:CG271,CP271:CW271),       INDEX(CP271:CW271,MATCH(CX271,$CP$17:$CW$17,0))))))</f>
        <v>0</v>
      </c>
      <c r="DA271" s="755">
        <f t="shared" si="111"/>
        <v>0</v>
      </c>
      <c r="DB271" s="387">
        <f t="shared" si="112"/>
        <v>0</v>
      </c>
      <c r="DC271" s="268">
        <f>IF($BN272=0,0,         IF(LEFT(DCC_Leg2_Fixed,2)="1/",uEvaluate(DCC_Leg2_Fixed),         _xll.qDateYears($BN271,$BN272,DCC_Leg2_Fixed)))</f>
        <v>0</v>
      </c>
      <c r="DD271" s="268">
        <f>IF($BN272,_xll.qDateYears($BN271,$BN272,DCC_Leg2_Float),0)</f>
        <v>0</v>
      </c>
      <c r="DF271" s="332">
        <f t="shared" si="127"/>
        <v>0</v>
      </c>
      <c r="DG271" s="357">
        <f t="shared" si="128"/>
        <v>0</v>
      </c>
      <c r="DH271" s="527"/>
      <c r="DJ271" s="324">
        <f t="shared" si="130"/>
        <v>0</v>
      </c>
      <c r="DK271" s="529"/>
      <c r="DL271" s="338"/>
    </row>
    <row r="272" spans="15:116">
      <c r="O272" s="121">
        <v>0</v>
      </c>
      <c r="P272" s="755">
        <f t="shared" si="99"/>
        <v>0</v>
      </c>
      <c r="Q272" s="125">
        <v>0</v>
      </c>
      <c r="R272" s="890">
        <f>IF(O273=0,0,         IF(OR(Currency1="AUD",Currency1="NZD",Currency1="GBP"),O272,   _xll.qDateNext(O272,"-2b",,,IF(Currency1="EUR","TGT","LON"))))</f>
        <v>0</v>
      </c>
      <c r="S272" s="879" t="str">
        <v/>
      </c>
      <c r="T272" s="879" t="str">
        <v/>
      </c>
      <c r="U272" s="879" t="str">
        <v/>
      </c>
      <c r="V272" s="879" t="str">
        <v/>
      </c>
      <c r="W272" s="879" t="str">
        <v/>
      </c>
      <c r="X272" s="879" t="str">
        <v/>
      </c>
      <c r="Y272" s="879" t="str">
        <v/>
      </c>
      <c r="Z272" s="879" t="str">
        <v/>
      </c>
      <c r="AA272" s="882">
        <f>IF($O273=0,0,        _xll.qDateNext($O272,AA$17,$AH$16,TRUE,Currency1))</f>
        <v>0</v>
      </c>
      <c r="AB272" s="882">
        <f>IF($O273=0,0,        _xll.qDateNext($O272,AB$17,$AH$16,TRUE,Currency1))</f>
        <v>0</v>
      </c>
      <c r="AC272" s="882">
        <f>IF($O273=0,0,        _xll.qDateNext($O272,AC$17,$AH$16,TRUE,Currency1))</f>
        <v>0</v>
      </c>
      <c r="AD272" s="882">
        <f>IF($O273=0,0,        _xll.qDateNext($O272,AD$17,$AH$16,TRUE,Currency1))</f>
        <v>0</v>
      </c>
      <c r="AE272" s="882">
        <f>IF($O273=0,0,        _xll.qDateNext($O272,AE$17,$AH$16,TRUE,Currency1))</f>
        <v>0</v>
      </c>
      <c r="AF272" s="882">
        <f>IF($O273=0,0,        _xll.qDateNext($O272,AF$17,$AH$16,TRUE,Currency1))</f>
        <v>0</v>
      </c>
      <c r="AG272" s="882">
        <f>IF($O273=0,0,        _xll.qDateNext($O272,AG$17,$AH$16,TRUE,Currency1))</f>
        <v>0</v>
      </c>
      <c r="AH272" s="882">
        <f>IF($O273=0,0,        _xll.qDateNext($O272,AH$17,$AH$16,TRUE,Currency1))</f>
        <v>0</v>
      </c>
      <c r="AI272" s="886">
        <f>IF($O273=0,0,           IF(FRM,_xll.qGetFwdRate(AI$14,$O272,AA272,"T",DCC_Leg1_Float),_xll.qGetFwdRate(AI$14,$O272,$O273,"T",DCC_Leg1_Float)))</f>
        <v>0</v>
      </c>
      <c r="AJ272" s="886">
        <f>IF($O273=0,0,           IF(FRM,_xll.qGetFwdRate(AJ$14,$O272,AB272,"T",DCC_Leg1_Float),_xll.qGetFwdRate(AJ$14,$O272,$O273,"T",DCC_Leg1_Float)))</f>
        <v>0</v>
      </c>
      <c r="AK272" s="886">
        <f t="shared" si="100"/>
        <v>0</v>
      </c>
      <c r="AL272" s="886">
        <f>IF($O273=0,0,           IF(FRM,_xll.qGetFwdRate(AL$14,$O272,AD272,"T",DCC_Leg1_Float),_xll.qGetFwdRate(AL$14,$O272,$O273,"T",DCC_Leg1_Float)))</f>
        <v>0</v>
      </c>
      <c r="AM272" s="886">
        <f t="shared" si="113"/>
        <v>0</v>
      </c>
      <c r="AN272" s="886">
        <f t="shared" si="114"/>
        <v>0</v>
      </c>
      <c r="AO272" s="886">
        <f>IF($O273=0,0,           IF(FRM,_xll.qGetFwdRate(AO$14,$O272,AG272,"T",DCC_Leg1_Float),_xll.qGetFwdRate(AO$14,$O272,$O273,"T",DCC_Leg1_Float)))</f>
        <v>0</v>
      </c>
      <c r="AP272" s="886">
        <f>IF($O273=0,0,           IF(FRM,_xll.qGetFwdRate(AP$14,$O272,AH272,"T",DCC_Leg1_Float),_xll.qGetFwdRate(AP$14,$O272,$O273,"T",DCC_Leg1_Float)))</f>
        <v>0</v>
      </c>
      <c r="AQ272" s="648">
        <f t="shared" si="115"/>
        <v>0</v>
      </c>
      <c r="AR272" s="648">
        <f t="shared" si="116"/>
        <v>0</v>
      </c>
      <c r="AS272" s="648">
        <f t="shared" si="117"/>
        <v>0</v>
      </c>
      <c r="AT272" s="648">
        <f t="shared" si="118"/>
        <v>0</v>
      </c>
      <c r="AU272" s="648">
        <f t="shared" si="119"/>
        <v>0</v>
      </c>
      <c r="AV272" s="648">
        <f t="shared" si="120"/>
        <v>0</v>
      </c>
      <c r="AW272" s="648">
        <f t="shared" si="121"/>
        <v>0</v>
      </c>
      <c r="AX272" s="648">
        <f t="shared" si="122"/>
        <v>0</v>
      </c>
      <c r="AY272" s="634">
        <v>0</v>
      </c>
      <c r="AZ272" s="616"/>
      <c r="BA272" s="619">
        <f>IF(O273=0,0,             IF(ISNUMBER(AZ272),AZ272,             IF(ISTEXT(AZ272),INDEX(AQ272:AX272,MATCH(AZ272,$AQ$17:$AX$17,0)),           IF(AY272="INT",_xll.qInterp(O273,AA272:AH272,AQ272:AX272),       INDEX(AQ272:AX272,MATCH(AY272,$AQ$17:$AX$17,0))))))</f>
        <v>0</v>
      </c>
      <c r="BB272" s="674">
        <v>100</v>
      </c>
      <c r="BC272" s="666">
        <f t="shared" si="101"/>
        <v>0</v>
      </c>
      <c r="BD272" s="268">
        <f>IF($O273=0,0,                IF(LEFT(DCC_Leg1_Fixed,2)="1/",uEvaluate(DCC_Leg1_Fixed),        _xll.qDateYears($O272,$O273,DCC_Leg1_Fixed)))</f>
        <v>0</v>
      </c>
      <c r="BE272" s="268">
        <f>IF($O273,_xll.qDateYears($O272,$O273,DCC_Leg1_Float),0)</f>
        <v>0</v>
      </c>
      <c r="BG272" s="332">
        <f t="shared" si="123"/>
        <v>0</v>
      </c>
      <c r="BH272" s="357">
        <f t="shared" si="124"/>
        <v>0</v>
      </c>
      <c r="BI272" s="527"/>
      <c r="BK272" s="324">
        <f t="shared" si="129"/>
        <v>0</v>
      </c>
      <c r="BM272" s="338"/>
      <c r="BN272" s="121">
        <v>0</v>
      </c>
      <c r="BO272" s="755">
        <f t="shared" si="102"/>
        <v>0</v>
      </c>
      <c r="BP272" s="339">
        <v>0</v>
      </c>
      <c r="BQ272" s="890">
        <f>IF(BN273=0,0,         IF(OR(Currency2="AUD",Currency1="NZD",Currency2="GBP"),BN272,   _xll.qDateNext(BN272,"-2b",,,IF(Currency2="EUR","TGT","LON"))))</f>
        <v>0</v>
      </c>
      <c r="BR272" s="879" t="str">
        <v/>
      </c>
      <c r="BS272" s="879" t="str">
        <v/>
      </c>
      <c r="BT272" s="879" t="str">
        <v/>
      </c>
      <c r="BU272" s="879" t="str">
        <v/>
      </c>
      <c r="BV272" s="879" t="str">
        <v/>
      </c>
      <c r="BW272" s="879" t="str">
        <v/>
      </c>
      <c r="BX272" s="879" t="str">
        <v/>
      </c>
      <c r="BY272" s="879" t="str">
        <v/>
      </c>
      <c r="BZ272" s="882">
        <f>IF($BN273=0,0,        _xll.qDateNext($BN272,BZ$17,$CG$16,TRUE,Currency2))</f>
        <v>0</v>
      </c>
      <c r="CA272" s="882">
        <f>IF($BN273=0,0,        _xll.qDateNext($BN272,CA$17,$CG$16,TRUE,Currency2))</f>
        <v>0</v>
      </c>
      <c r="CB272" s="882">
        <f>IF($BN273=0,0,        _xll.qDateNext($BN272,CB$17,$CG$16,TRUE,Currency2))</f>
        <v>0</v>
      </c>
      <c r="CC272" s="882">
        <f>IF($BN273=0,0,        _xll.qDateNext($BN272,CC$17,$CG$16,TRUE,Currency2))</f>
        <v>0</v>
      </c>
      <c r="CD272" s="882">
        <f>IF($BN273=0,0,        _xll.qDateNext($BN272,CD$17,$CG$16,TRUE,Currency2))</f>
        <v>0</v>
      </c>
      <c r="CE272" s="882">
        <f>IF($BN273=0,0,        _xll.qDateNext($BN272,CE$17,$CG$16,TRUE,Currency2))</f>
        <v>0</v>
      </c>
      <c r="CF272" s="882">
        <f>IF($BN273=0,0,        _xll.qDateNext($BN272,CF$17,$CG$16,TRUE,Currency2))</f>
        <v>0</v>
      </c>
      <c r="CG272" s="882">
        <f>IF($BN273=0,0,        _xll.qDateNext($BN272,CG$17,$CG$16,TRUE,Currency2))</f>
        <v>0</v>
      </c>
      <c r="CH272" s="886">
        <v>0</v>
      </c>
      <c r="CI272" s="886">
        <v>0</v>
      </c>
      <c r="CJ272" s="886">
        <v>0</v>
      </c>
      <c r="CK272" s="886">
        <v>0</v>
      </c>
      <c r="CL272" s="886">
        <f t="shared" si="125"/>
        <v>0</v>
      </c>
      <c r="CM272" s="886">
        <f t="shared" si="126"/>
        <v>0</v>
      </c>
      <c r="CN272" s="886">
        <v>0</v>
      </c>
      <c r="CO272" s="886">
        <v>0</v>
      </c>
      <c r="CP272" s="648">
        <f t="shared" si="103"/>
        <v>0</v>
      </c>
      <c r="CQ272" s="648">
        <f t="shared" si="104"/>
        <v>0</v>
      </c>
      <c r="CR272" s="648">
        <f t="shared" si="105"/>
        <v>0</v>
      </c>
      <c r="CS272" s="648">
        <f t="shared" si="106"/>
        <v>0</v>
      </c>
      <c r="CT272" s="648">
        <f t="shared" si="107"/>
        <v>0</v>
      </c>
      <c r="CU272" s="648">
        <f t="shared" si="108"/>
        <v>0</v>
      </c>
      <c r="CV272" s="648">
        <f t="shared" si="109"/>
        <v>0</v>
      </c>
      <c r="CW272" s="648">
        <f t="shared" si="110"/>
        <v>0</v>
      </c>
      <c r="CX272" s="634">
        <v>0</v>
      </c>
      <c r="CY272" s="616"/>
      <c r="CZ272" s="619">
        <f>IF(BN273=0,0,             IF(ISNUMBER(CY272),CY272,             IF(ISTEXT(CY272),INDEX(CP272:CW272,MATCH(CY272,$CP$17:$CW$17,0)),           IF(CX272="INT",_xll.qInterp(BN273,BZ272:CG272,CP272:CW272),       INDEX(CP272:CW272,MATCH(CX272,$CP$17:$CW$17,0))))))</f>
        <v>0</v>
      </c>
      <c r="DA272" s="755">
        <f t="shared" si="111"/>
        <v>0</v>
      </c>
      <c r="DB272" s="387">
        <f t="shared" si="112"/>
        <v>0</v>
      </c>
      <c r="DC272" s="268">
        <f>IF($BN273=0,0,         IF(LEFT(DCC_Leg2_Fixed,2)="1/",uEvaluate(DCC_Leg2_Fixed),         _xll.qDateYears($BN272,$BN273,DCC_Leg2_Fixed)))</f>
        <v>0</v>
      </c>
      <c r="DD272" s="268">
        <f>IF($BN273,_xll.qDateYears($BN272,$BN273,DCC_Leg2_Float),0)</f>
        <v>0</v>
      </c>
      <c r="DF272" s="332">
        <f t="shared" si="127"/>
        <v>0</v>
      </c>
      <c r="DG272" s="357">
        <f t="shared" si="128"/>
        <v>0</v>
      </c>
      <c r="DH272" s="527"/>
      <c r="DJ272" s="324">
        <f t="shared" si="130"/>
        <v>0</v>
      </c>
      <c r="DK272" s="529"/>
      <c r="DL272" s="338"/>
    </row>
    <row r="273" spans="15:116">
      <c r="O273" s="121">
        <v>0</v>
      </c>
      <c r="P273" s="755">
        <f t="shared" si="99"/>
        <v>0</v>
      </c>
      <c r="Q273" s="125">
        <v>0</v>
      </c>
      <c r="R273" s="890">
        <f>IF(O274=0,0,         IF(OR(Currency1="AUD",Currency1="NZD",Currency1="GBP"),O273,   _xll.qDateNext(O273,"-2b",,,IF(Currency1="EUR","TGT","LON"))))</f>
        <v>0</v>
      </c>
      <c r="S273" s="879" t="str">
        <v/>
      </c>
      <c r="T273" s="879" t="str">
        <v/>
      </c>
      <c r="U273" s="879" t="str">
        <v/>
      </c>
      <c r="V273" s="879" t="str">
        <v/>
      </c>
      <c r="W273" s="879" t="str">
        <v/>
      </c>
      <c r="X273" s="879" t="str">
        <v/>
      </c>
      <c r="Y273" s="879" t="str">
        <v/>
      </c>
      <c r="Z273" s="879" t="str">
        <v/>
      </c>
      <c r="AA273" s="882">
        <f>IF($O274=0,0,        _xll.qDateNext($O273,AA$17,$AH$16,TRUE,Currency1))</f>
        <v>0</v>
      </c>
      <c r="AB273" s="882">
        <f>IF($O274=0,0,        _xll.qDateNext($O273,AB$17,$AH$16,TRUE,Currency1))</f>
        <v>0</v>
      </c>
      <c r="AC273" s="882">
        <f>IF($O274=0,0,        _xll.qDateNext($O273,AC$17,$AH$16,TRUE,Currency1))</f>
        <v>0</v>
      </c>
      <c r="AD273" s="882">
        <f>IF($O274=0,0,        _xll.qDateNext($O273,AD$17,$AH$16,TRUE,Currency1))</f>
        <v>0</v>
      </c>
      <c r="AE273" s="882">
        <f>IF($O274=0,0,        _xll.qDateNext($O273,AE$17,$AH$16,TRUE,Currency1))</f>
        <v>0</v>
      </c>
      <c r="AF273" s="882">
        <f>IF($O274=0,0,        _xll.qDateNext($O273,AF$17,$AH$16,TRUE,Currency1))</f>
        <v>0</v>
      </c>
      <c r="AG273" s="882">
        <f>IF($O274=0,0,        _xll.qDateNext($O273,AG$17,$AH$16,TRUE,Currency1))</f>
        <v>0</v>
      </c>
      <c r="AH273" s="882">
        <f>IF($O274=0,0,        _xll.qDateNext($O273,AH$17,$AH$16,TRUE,Currency1))</f>
        <v>0</v>
      </c>
      <c r="AI273" s="886">
        <f>IF($O274=0,0,           IF(FRM,_xll.qGetFwdRate(AI$14,$O273,AA273,"T",DCC_Leg1_Float),_xll.qGetFwdRate(AI$14,$O273,$O274,"T",DCC_Leg1_Float)))</f>
        <v>0</v>
      </c>
      <c r="AJ273" s="886">
        <f>IF($O274=0,0,           IF(FRM,_xll.qGetFwdRate(AJ$14,$O273,AB273,"T",DCC_Leg1_Float),_xll.qGetFwdRate(AJ$14,$O273,$O274,"T",DCC_Leg1_Float)))</f>
        <v>0</v>
      </c>
      <c r="AK273" s="886">
        <f t="shared" si="100"/>
        <v>0</v>
      </c>
      <c r="AL273" s="886">
        <f>IF($O274=0,0,           IF(FRM,_xll.qGetFwdRate(AL$14,$O273,AD273,"T",DCC_Leg1_Float),_xll.qGetFwdRate(AL$14,$O273,$O274,"T",DCC_Leg1_Float)))</f>
        <v>0</v>
      </c>
      <c r="AM273" s="886">
        <f t="shared" si="113"/>
        <v>0</v>
      </c>
      <c r="AN273" s="886">
        <f t="shared" si="114"/>
        <v>0</v>
      </c>
      <c r="AO273" s="886">
        <f>IF($O274=0,0,           IF(FRM,_xll.qGetFwdRate(AO$14,$O273,AG273,"T",DCC_Leg1_Float),_xll.qGetFwdRate(AO$14,$O273,$O274,"T",DCC_Leg1_Float)))</f>
        <v>0</v>
      </c>
      <c r="AP273" s="886">
        <f>IF($O274=0,0,           IF(FRM,_xll.qGetFwdRate(AP$14,$O273,AH273,"T",DCC_Leg1_Float),_xll.qGetFwdRate(AP$14,$O273,$O274,"T",DCC_Leg1_Float)))</f>
        <v>0</v>
      </c>
      <c r="AQ273" s="648">
        <f t="shared" si="115"/>
        <v>0</v>
      </c>
      <c r="AR273" s="648">
        <f t="shared" si="116"/>
        <v>0</v>
      </c>
      <c r="AS273" s="648">
        <f t="shared" si="117"/>
        <v>0</v>
      </c>
      <c r="AT273" s="648">
        <f t="shared" si="118"/>
        <v>0</v>
      </c>
      <c r="AU273" s="648">
        <f t="shared" si="119"/>
        <v>0</v>
      </c>
      <c r="AV273" s="648">
        <f t="shared" si="120"/>
        <v>0</v>
      </c>
      <c r="AW273" s="648">
        <f t="shared" si="121"/>
        <v>0</v>
      </c>
      <c r="AX273" s="648">
        <f t="shared" si="122"/>
        <v>0</v>
      </c>
      <c r="AY273" s="634">
        <v>0</v>
      </c>
      <c r="AZ273" s="616"/>
      <c r="BA273" s="619">
        <f>IF(O274=0,0,             IF(ISNUMBER(AZ273),AZ273,             IF(ISTEXT(AZ273),INDEX(AQ273:AX273,MATCH(AZ273,$AQ$17:$AX$17,0)),           IF(AY273="INT",_xll.qInterp(O274,AA273:AH273,AQ273:AX273),       INDEX(AQ273:AX273,MATCH(AY273,$AQ$17:$AX$17,0))))))</f>
        <v>0</v>
      </c>
      <c r="BB273" s="674">
        <v>100</v>
      </c>
      <c r="BC273" s="666">
        <f t="shared" si="101"/>
        <v>0</v>
      </c>
      <c r="BD273" s="268">
        <f>IF($O274=0,0,                IF(LEFT(DCC_Leg1_Fixed,2)="1/",uEvaluate(DCC_Leg1_Fixed),        _xll.qDateYears($O273,$O274,DCC_Leg1_Fixed)))</f>
        <v>0</v>
      </c>
      <c r="BE273" s="268">
        <f>IF($O274,_xll.qDateYears($O273,$O274,DCC_Leg1_Float),0)</f>
        <v>0</v>
      </c>
      <c r="BG273" s="332">
        <f t="shared" si="123"/>
        <v>0</v>
      </c>
      <c r="BH273" s="357">
        <f t="shared" si="124"/>
        <v>0</v>
      </c>
      <c r="BI273" s="527"/>
      <c r="BK273" s="324">
        <f t="shared" si="129"/>
        <v>0</v>
      </c>
      <c r="BM273" s="338"/>
      <c r="BN273" s="121">
        <v>0</v>
      </c>
      <c r="BO273" s="755">
        <f t="shared" si="102"/>
        <v>0</v>
      </c>
      <c r="BP273" s="339">
        <v>0</v>
      </c>
      <c r="BQ273" s="890">
        <f>IF(BN274=0,0,         IF(OR(Currency2="AUD",Currency1="NZD",Currency2="GBP"),BN273,   _xll.qDateNext(BN273,"-2b",,,IF(Currency2="EUR","TGT","LON"))))</f>
        <v>0</v>
      </c>
      <c r="BR273" s="879" t="str">
        <v/>
      </c>
      <c r="BS273" s="879" t="str">
        <v/>
      </c>
      <c r="BT273" s="879" t="str">
        <v/>
      </c>
      <c r="BU273" s="879" t="str">
        <v/>
      </c>
      <c r="BV273" s="879" t="str">
        <v/>
      </c>
      <c r="BW273" s="879" t="str">
        <v/>
      </c>
      <c r="BX273" s="879" t="str">
        <v/>
      </c>
      <c r="BY273" s="879" t="str">
        <v/>
      </c>
      <c r="BZ273" s="882">
        <f>IF($BN274=0,0,        _xll.qDateNext($BN273,BZ$17,$CG$16,TRUE,Currency2))</f>
        <v>0</v>
      </c>
      <c r="CA273" s="882">
        <f>IF($BN274=0,0,        _xll.qDateNext($BN273,CA$17,$CG$16,TRUE,Currency2))</f>
        <v>0</v>
      </c>
      <c r="CB273" s="882">
        <f>IF($BN274=0,0,        _xll.qDateNext($BN273,CB$17,$CG$16,TRUE,Currency2))</f>
        <v>0</v>
      </c>
      <c r="CC273" s="882">
        <f>IF($BN274=0,0,        _xll.qDateNext($BN273,CC$17,$CG$16,TRUE,Currency2))</f>
        <v>0</v>
      </c>
      <c r="CD273" s="882">
        <f>IF($BN274=0,0,        _xll.qDateNext($BN273,CD$17,$CG$16,TRUE,Currency2))</f>
        <v>0</v>
      </c>
      <c r="CE273" s="882">
        <f>IF($BN274=0,0,        _xll.qDateNext($BN273,CE$17,$CG$16,TRUE,Currency2))</f>
        <v>0</v>
      </c>
      <c r="CF273" s="882">
        <f>IF($BN274=0,0,        _xll.qDateNext($BN273,CF$17,$CG$16,TRUE,Currency2))</f>
        <v>0</v>
      </c>
      <c r="CG273" s="882">
        <f>IF($BN274=0,0,        _xll.qDateNext($BN273,CG$17,$CG$16,TRUE,Currency2))</f>
        <v>0</v>
      </c>
      <c r="CH273" s="886">
        <v>0</v>
      </c>
      <c r="CI273" s="886">
        <v>0</v>
      </c>
      <c r="CJ273" s="886">
        <v>0</v>
      </c>
      <c r="CK273" s="886">
        <v>0</v>
      </c>
      <c r="CL273" s="886">
        <f t="shared" si="125"/>
        <v>0</v>
      </c>
      <c r="CM273" s="886">
        <f t="shared" si="126"/>
        <v>0</v>
      </c>
      <c r="CN273" s="886">
        <v>0</v>
      </c>
      <c r="CO273" s="886">
        <v>0</v>
      </c>
      <c r="CP273" s="648">
        <f t="shared" si="103"/>
        <v>0</v>
      </c>
      <c r="CQ273" s="648">
        <f t="shared" si="104"/>
        <v>0</v>
      </c>
      <c r="CR273" s="648">
        <f t="shared" si="105"/>
        <v>0</v>
      </c>
      <c r="CS273" s="648">
        <f t="shared" si="106"/>
        <v>0</v>
      </c>
      <c r="CT273" s="648">
        <f t="shared" si="107"/>
        <v>0</v>
      </c>
      <c r="CU273" s="648">
        <f t="shared" si="108"/>
        <v>0</v>
      </c>
      <c r="CV273" s="648">
        <f t="shared" si="109"/>
        <v>0</v>
      </c>
      <c r="CW273" s="648">
        <f t="shared" si="110"/>
        <v>0</v>
      </c>
      <c r="CX273" s="634">
        <v>0</v>
      </c>
      <c r="CY273" s="616"/>
      <c r="CZ273" s="619">
        <f>IF(BN274=0,0,             IF(ISNUMBER(CY273),CY273,             IF(ISTEXT(CY273),INDEX(CP273:CW273,MATCH(CY273,$CP$17:$CW$17,0)),           IF(CX273="INT",_xll.qInterp(BN274,BZ273:CG273,CP273:CW273),       INDEX(CP273:CW273,MATCH(CX273,$CP$17:$CW$17,0))))))</f>
        <v>0</v>
      </c>
      <c r="DA273" s="755">
        <f t="shared" si="111"/>
        <v>0</v>
      </c>
      <c r="DB273" s="387">
        <f t="shared" si="112"/>
        <v>0</v>
      </c>
      <c r="DC273" s="268">
        <f>IF($BN274=0,0,         IF(LEFT(DCC_Leg2_Fixed,2)="1/",uEvaluate(DCC_Leg2_Fixed),         _xll.qDateYears($BN273,$BN274,DCC_Leg2_Fixed)))</f>
        <v>0</v>
      </c>
      <c r="DD273" s="268">
        <f>IF($BN274,_xll.qDateYears($BN273,$BN274,DCC_Leg2_Float),0)</f>
        <v>0</v>
      </c>
      <c r="DF273" s="332">
        <f t="shared" si="127"/>
        <v>0</v>
      </c>
      <c r="DG273" s="357">
        <f t="shared" si="128"/>
        <v>0</v>
      </c>
      <c r="DH273" s="527"/>
      <c r="DJ273" s="324">
        <f t="shared" si="130"/>
        <v>0</v>
      </c>
      <c r="DK273" s="529"/>
      <c r="DL273" s="338"/>
    </row>
    <row r="274" spans="15:116">
      <c r="O274" s="121">
        <v>0</v>
      </c>
      <c r="P274" s="755">
        <f t="shared" ref="P274:P337" si="131">IF(O275,O275-O274,0)</f>
        <v>0</v>
      </c>
      <c r="Q274" s="125">
        <v>0</v>
      </c>
      <c r="R274" s="890">
        <f>IF(O275=0,0,         IF(OR(Currency1="AUD",Currency1="NZD",Currency1="GBP"),O274,   _xll.qDateNext(O274,"-2b",,,IF(Currency1="EUR","TGT","LON"))))</f>
        <v>0</v>
      </c>
      <c r="S274" s="879" t="str">
        <v/>
      </c>
      <c r="T274" s="879" t="str">
        <v/>
      </c>
      <c r="U274" s="879" t="str">
        <v/>
      </c>
      <c r="V274" s="879" t="str">
        <v/>
      </c>
      <c r="W274" s="879" t="str">
        <v/>
      </c>
      <c r="X274" s="879" t="str">
        <v/>
      </c>
      <c r="Y274" s="879" t="str">
        <v/>
      </c>
      <c r="Z274" s="879" t="str">
        <v/>
      </c>
      <c r="AA274" s="882">
        <f>IF($O275=0,0,        _xll.qDateNext($O274,AA$17,$AH$16,TRUE,Currency1))</f>
        <v>0</v>
      </c>
      <c r="AB274" s="882">
        <f>IF($O275=0,0,        _xll.qDateNext($O274,AB$17,$AH$16,TRUE,Currency1))</f>
        <v>0</v>
      </c>
      <c r="AC274" s="882">
        <f>IF($O275=0,0,        _xll.qDateNext($O274,AC$17,$AH$16,TRUE,Currency1))</f>
        <v>0</v>
      </c>
      <c r="AD274" s="882">
        <f>IF($O275=0,0,        _xll.qDateNext($O274,AD$17,$AH$16,TRUE,Currency1))</f>
        <v>0</v>
      </c>
      <c r="AE274" s="882">
        <f>IF($O275=0,0,        _xll.qDateNext($O274,AE$17,$AH$16,TRUE,Currency1))</f>
        <v>0</v>
      </c>
      <c r="AF274" s="882">
        <f>IF($O275=0,0,        _xll.qDateNext($O274,AF$17,$AH$16,TRUE,Currency1))</f>
        <v>0</v>
      </c>
      <c r="AG274" s="882">
        <f>IF($O275=0,0,        _xll.qDateNext($O274,AG$17,$AH$16,TRUE,Currency1))</f>
        <v>0</v>
      </c>
      <c r="AH274" s="882">
        <f>IF($O275=0,0,        _xll.qDateNext($O274,AH$17,$AH$16,TRUE,Currency1))</f>
        <v>0</v>
      </c>
      <c r="AI274" s="886">
        <f>IF($O275=0,0,           IF(FRM,_xll.qGetFwdRate(AI$14,$O274,AA274,"T",DCC_Leg1_Float),_xll.qGetFwdRate(AI$14,$O274,$O275,"T",DCC_Leg1_Float)))</f>
        <v>0</v>
      </c>
      <c r="AJ274" s="886">
        <f>IF($O275=0,0,           IF(FRM,_xll.qGetFwdRate(AJ$14,$O274,AB274,"T",DCC_Leg1_Float),_xll.qGetFwdRate(AJ$14,$O274,$O275,"T",DCC_Leg1_Float)))</f>
        <v>0</v>
      </c>
      <c r="AK274" s="886">
        <f t="shared" ref="AK274:AK337" si="132">AVERAGE(AJ274,AL274)</f>
        <v>0</v>
      </c>
      <c r="AL274" s="886">
        <f>IF($O275=0,0,           IF(FRM,_xll.qGetFwdRate(AL$14,$O274,AD274,"T",DCC_Leg1_Float),_xll.qGetFwdRate(AL$14,$O274,$O275,"T",DCC_Leg1_Float)))</f>
        <v>0</v>
      </c>
      <c r="AM274" s="886">
        <f t="shared" si="113"/>
        <v>0</v>
      </c>
      <c r="AN274" s="886">
        <f t="shared" si="114"/>
        <v>0</v>
      </c>
      <c r="AO274" s="886">
        <f>IF($O275=0,0,           IF(FRM,_xll.qGetFwdRate(AO$14,$O274,AG274,"T",DCC_Leg1_Float),_xll.qGetFwdRate(AO$14,$O274,$O275,"T",DCC_Leg1_Float)))</f>
        <v>0</v>
      </c>
      <c r="AP274" s="886">
        <f>IF($O275=0,0,           IF(FRM,_xll.qGetFwdRate(AP$14,$O274,AH274,"T",DCC_Leg1_Float),_xll.qGetFwdRate(AP$14,$O274,$O275,"T",DCC_Leg1_Float)))</f>
        <v>0</v>
      </c>
      <c r="AQ274" s="648">
        <f t="shared" si="115"/>
        <v>0</v>
      </c>
      <c r="AR274" s="648">
        <f t="shared" si="116"/>
        <v>0</v>
      </c>
      <c r="AS274" s="648">
        <f t="shared" si="117"/>
        <v>0</v>
      </c>
      <c r="AT274" s="648">
        <f t="shared" si="118"/>
        <v>0</v>
      </c>
      <c r="AU274" s="648">
        <f t="shared" si="119"/>
        <v>0</v>
      </c>
      <c r="AV274" s="648">
        <f t="shared" si="120"/>
        <v>0</v>
      </c>
      <c r="AW274" s="648">
        <f t="shared" si="121"/>
        <v>0</v>
      </c>
      <c r="AX274" s="648">
        <f t="shared" si="122"/>
        <v>0</v>
      </c>
      <c r="AY274" s="634">
        <v>0</v>
      </c>
      <c r="AZ274" s="616"/>
      <c r="BA274" s="619">
        <f>IF(O275=0,0,             IF(ISNUMBER(AZ274),AZ274,             IF(ISTEXT(AZ274),INDEX(AQ274:AX274,MATCH(AZ274,$AQ$17:$AX$17,0)),           IF(AY274="INT",_xll.qInterp(O275,AA274:AH274,AQ274:AX274),       INDEX(AQ274:AX274,MATCH(AY274,$AQ$17:$AX$17,0))))))</f>
        <v>0</v>
      </c>
      <c r="BB274" s="674">
        <v>100</v>
      </c>
      <c r="BC274" s="666">
        <f t="shared" ref="BC274:BC337" si="133">IF(O275,BB274*1000000*$BE$11,0)</f>
        <v>0</v>
      </c>
      <c r="BD274" s="268">
        <f>IF($O275=0,0,                IF(LEFT(DCC_Leg1_Fixed,2)="1/",uEvaluate(DCC_Leg1_Fixed),        _xll.qDateYears($O274,$O275,DCC_Leg1_Fixed)))</f>
        <v>0</v>
      </c>
      <c r="BE274" s="268">
        <f>IF($O275,_xll.qDateYears($O274,$O275,DCC_Leg1_Float),0)</f>
        <v>0</v>
      </c>
      <c r="BG274" s="332">
        <f t="shared" si="123"/>
        <v>0</v>
      </c>
      <c r="BH274" s="357">
        <f t="shared" si="124"/>
        <v>0</v>
      </c>
      <c r="BI274" s="527"/>
      <c r="BK274" s="324">
        <f t="shared" si="129"/>
        <v>0</v>
      </c>
      <c r="BM274" s="338"/>
      <c r="BN274" s="121">
        <v>0</v>
      </c>
      <c r="BO274" s="755">
        <f t="shared" ref="BO274:BO337" si="134">IF(BN275,BN275-BN274,0)</f>
        <v>0</v>
      </c>
      <c r="BP274" s="339">
        <v>0</v>
      </c>
      <c r="BQ274" s="890">
        <f>IF(BN275=0,0,         IF(OR(Currency2="AUD",Currency1="NZD",Currency2="GBP"),BN274,   _xll.qDateNext(BN274,"-2b",,,IF(Currency2="EUR","TGT","LON"))))</f>
        <v>0</v>
      </c>
      <c r="BR274" s="879" t="str">
        <v/>
      </c>
      <c r="BS274" s="879" t="str">
        <v/>
      </c>
      <c r="BT274" s="879" t="str">
        <v/>
      </c>
      <c r="BU274" s="879" t="str">
        <v/>
      </c>
      <c r="BV274" s="879" t="str">
        <v/>
      </c>
      <c r="BW274" s="879" t="str">
        <v/>
      </c>
      <c r="BX274" s="879" t="str">
        <v/>
      </c>
      <c r="BY274" s="879" t="str">
        <v/>
      </c>
      <c r="BZ274" s="882">
        <f>IF($BN275=0,0,        _xll.qDateNext($BN274,BZ$17,$CG$16,TRUE,Currency2))</f>
        <v>0</v>
      </c>
      <c r="CA274" s="882">
        <f>IF($BN275=0,0,        _xll.qDateNext($BN274,CA$17,$CG$16,TRUE,Currency2))</f>
        <v>0</v>
      </c>
      <c r="CB274" s="882">
        <f>IF($BN275=0,0,        _xll.qDateNext($BN274,CB$17,$CG$16,TRUE,Currency2))</f>
        <v>0</v>
      </c>
      <c r="CC274" s="882">
        <f>IF($BN275=0,0,        _xll.qDateNext($BN274,CC$17,$CG$16,TRUE,Currency2))</f>
        <v>0</v>
      </c>
      <c r="CD274" s="882">
        <f>IF($BN275=0,0,        _xll.qDateNext($BN274,CD$17,$CG$16,TRUE,Currency2))</f>
        <v>0</v>
      </c>
      <c r="CE274" s="882">
        <f>IF($BN275=0,0,        _xll.qDateNext($BN274,CE$17,$CG$16,TRUE,Currency2))</f>
        <v>0</v>
      </c>
      <c r="CF274" s="882">
        <f>IF($BN275=0,0,        _xll.qDateNext($BN274,CF$17,$CG$16,TRUE,Currency2))</f>
        <v>0</v>
      </c>
      <c r="CG274" s="882">
        <f>IF($BN275=0,0,        _xll.qDateNext($BN274,CG$17,$CG$16,TRUE,Currency2))</f>
        <v>0</v>
      </c>
      <c r="CH274" s="886">
        <v>0</v>
      </c>
      <c r="CI274" s="886">
        <v>0</v>
      </c>
      <c r="CJ274" s="886">
        <v>0</v>
      </c>
      <c r="CK274" s="886">
        <v>0</v>
      </c>
      <c r="CL274" s="886">
        <f t="shared" si="125"/>
        <v>0</v>
      </c>
      <c r="CM274" s="886">
        <f t="shared" si="126"/>
        <v>0</v>
      </c>
      <c r="CN274" s="886">
        <v>0</v>
      </c>
      <c r="CO274" s="886">
        <v>0</v>
      </c>
      <c r="CP274" s="648">
        <f t="shared" ref="CP274:CP337" si="135">IF($BN274=0,0,      IF(ISNUMBER(BR274),BR274,CH274))</f>
        <v>0</v>
      </c>
      <c r="CQ274" s="648">
        <f t="shared" ref="CQ274:CQ337" si="136">IF($BN274=0,0,      IF(ISNUMBER(BS274),BS274,CI274))</f>
        <v>0</v>
      </c>
      <c r="CR274" s="648">
        <f t="shared" ref="CR274:CR337" si="137">IF($BN274=0,0,      IF(ISNUMBER(BT274),BT274,CJ274))</f>
        <v>0</v>
      </c>
      <c r="CS274" s="648">
        <f t="shared" ref="CS274:CS337" si="138">IF($BN274=0,0,      IF(ISNUMBER(BU274),BU274,CK274))</f>
        <v>0</v>
      </c>
      <c r="CT274" s="648">
        <f t="shared" ref="CT274:CT337" si="139">IF($BN274=0,0,      IF(ISNUMBER(BV274),BV274,CL274))</f>
        <v>0</v>
      </c>
      <c r="CU274" s="648">
        <f t="shared" ref="CU274:CU337" si="140">IF($BN274=0,0,      IF(ISNUMBER(BW274),BW274,CM274))</f>
        <v>0</v>
      </c>
      <c r="CV274" s="648">
        <f t="shared" ref="CV274:CV337" si="141">IF($BN274=0,0,      IF(ISNUMBER(BX274),BX274,CN274))</f>
        <v>0</v>
      </c>
      <c r="CW274" s="648">
        <f t="shared" ref="CW274:CW337" si="142">IF($BN274=0,0,      IF(ISNUMBER(BY274),BY274,CO274))</f>
        <v>0</v>
      </c>
      <c r="CX274" s="634">
        <v>0</v>
      </c>
      <c r="CY274" s="616"/>
      <c r="CZ274" s="619">
        <f>IF(BN275=0,0,             IF(ISNUMBER(CY274),CY274,             IF(ISTEXT(CY274),INDEX(CP274:CW274,MATCH(CY274,$CP$17:$CW$17,0)),           IF(CX274="INT",_xll.qInterp(BN275,BZ274:CG274,CP274:CW274),       INDEX(CP274:CW274,MATCH(CX274,$CP$17:$CW$17,0))))))</f>
        <v>0</v>
      </c>
      <c r="DA274" s="755">
        <f t="shared" ref="DA274:DA337" si="143">IF(BN275,INDEX($BB$18:$BB$516,MATCH(BN274,OFFSET($O$18,0,0,$BE$12,1)))*FaceFX,0)</f>
        <v>0</v>
      </c>
      <c r="DB274" s="387">
        <f t="shared" ref="DB274:DB337" si="144">IF(BN274,DA274*1000000*$DD$11,0)</f>
        <v>0</v>
      </c>
      <c r="DC274" s="268">
        <f>IF($BN275=0,0,         IF(LEFT(DCC_Leg2_Fixed,2)="1/",uEvaluate(DCC_Leg2_Fixed),         _xll.qDateYears($BN274,$BN275,DCC_Leg2_Fixed)))</f>
        <v>0</v>
      </c>
      <c r="DD274" s="268">
        <f>IF($BN275,_xll.qDateYears($BN274,$BN275,DCC_Leg2_Float),0)</f>
        <v>0</v>
      </c>
      <c r="DF274" s="332">
        <f t="shared" si="127"/>
        <v>0</v>
      </c>
      <c r="DG274" s="357">
        <f t="shared" si="128"/>
        <v>0</v>
      </c>
      <c r="DH274" s="527"/>
      <c r="DJ274" s="324">
        <f t="shared" si="130"/>
        <v>0</v>
      </c>
      <c r="DK274" s="529"/>
      <c r="DL274" s="338"/>
    </row>
    <row r="275" spans="15:116">
      <c r="O275" s="121">
        <v>0</v>
      </c>
      <c r="P275" s="755">
        <f t="shared" si="131"/>
        <v>0</v>
      </c>
      <c r="Q275" s="125">
        <v>0</v>
      </c>
      <c r="R275" s="890">
        <f>IF(O276=0,0,         IF(OR(Currency1="AUD",Currency1="NZD",Currency1="GBP"),O275,   _xll.qDateNext(O275,"-2b",,,IF(Currency1="EUR","TGT","LON"))))</f>
        <v>0</v>
      </c>
      <c r="S275" s="879" t="str">
        <v/>
      </c>
      <c r="T275" s="879" t="str">
        <v/>
      </c>
      <c r="U275" s="879" t="str">
        <v/>
      </c>
      <c r="V275" s="879" t="str">
        <v/>
      </c>
      <c r="W275" s="879" t="str">
        <v/>
      </c>
      <c r="X275" s="879" t="str">
        <v/>
      </c>
      <c r="Y275" s="879" t="str">
        <v/>
      </c>
      <c r="Z275" s="879" t="str">
        <v/>
      </c>
      <c r="AA275" s="882">
        <f>IF($O276=0,0,        _xll.qDateNext($O275,AA$17,$AH$16,TRUE,Currency1))</f>
        <v>0</v>
      </c>
      <c r="AB275" s="882">
        <f>IF($O276=0,0,        _xll.qDateNext($O275,AB$17,$AH$16,TRUE,Currency1))</f>
        <v>0</v>
      </c>
      <c r="AC275" s="882">
        <f>IF($O276=0,0,        _xll.qDateNext($O275,AC$17,$AH$16,TRUE,Currency1))</f>
        <v>0</v>
      </c>
      <c r="AD275" s="882">
        <f>IF($O276=0,0,        _xll.qDateNext($O275,AD$17,$AH$16,TRUE,Currency1))</f>
        <v>0</v>
      </c>
      <c r="AE275" s="882">
        <f>IF($O276=0,0,        _xll.qDateNext($O275,AE$17,$AH$16,TRUE,Currency1))</f>
        <v>0</v>
      </c>
      <c r="AF275" s="882">
        <f>IF($O276=0,0,        _xll.qDateNext($O275,AF$17,$AH$16,TRUE,Currency1))</f>
        <v>0</v>
      </c>
      <c r="AG275" s="882">
        <f>IF($O276=0,0,        _xll.qDateNext($O275,AG$17,$AH$16,TRUE,Currency1))</f>
        <v>0</v>
      </c>
      <c r="AH275" s="882">
        <f>IF($O276=0,0,        _xll.qDateNext($O275,AH$17,$AH$16,TRUE,Currency1))</f>
        <v>0</v>
      </c>
      <c r="AI275" s="886">
        <f>IF($O276=0,0,           IF(FRM,_xll.qGetFwdRate(AI$14,$O275,AA275,"T",DCC_Leg1_Float),_xll.qGetFwdRate(AI$14,$O275,$O276,"T",DCC_Leg1_Float)))</f>
        <v>0</v>
      </c>
      <c r="AJ275" s="886">
        <f>IF($O276=0,0,           IF(FRM,_xll.qGetFwdRate(AJ$14,$O275,AB275,"T",DCC_Leg1_Float),_xll.qGetFwdRate(AJ$14,$O275,$O276,"T",DCC_Leg1_Float)))</f>
        <v>0</v>
      </c>
      <c r="AK275" s="886">
        <f t="shared" si="132"/>
        <v>0</v>
      </c>
      <c r="AL275" s="886">
        <f>IF($O276=0,0,           IF(FRM,_xll.qGetFwdRate(AL$14,$O275,AD275,"T",DCC_Leg1_Float),_xll.qGetFwdRate(AL$14,$O275,$O276,"T",DCC_Leg1_Float)))</f>
        <v>0</v>
      </c>
      <c r="AM275" s="886">
        <f t="shared" ref="AM275:AM338" si="145">(AO275-AL275)/3+AL275</f>
        <v>0</v>
      </c>
      <c r="AN275" s="886">
        <f t="shared" ref="AN275:AN338" si="146">AVERAGE(AM275,AO275)</f>
        <v>0</v>
      </c>
      <c r="AO275" s="886">
        <f>IF($O276=0,0,           IF(FRM,_xll.qGetFwdRate(AO$14,$O275,AG275,"T",DCC_Leg1_Float),_xll.qGetFwdRate(AO$14,$O275,$O276,"T",DCC_Leg1_Float)))</f>
        <v>0</v>
      </c>
      <c r="AP275" s="886">
        <f>IF($O276=0,0,           IF(FRM,_xll.qGetFwdRate(AP$14,$O275,AH275,"T",DCC_Leg1_Float),_xll.qGetFwdRate(AP$14,$O275,$O276,"T",DCC_Leg1_Float)))</f>
        <v>0</v>
      </c>
      <c r="AQ275" s="648">
        <f t="shared" ref="AQ275:AQ338" si="147">IF(ISNUMBER(S275),S275,AI275)</f>
        <v>0</v>
      </c>
      <c r="AR275" s="648">
        <f t="shared" ref="AR275:AR338" si="148">IF(ISNUMBER(T275),T275,AJ275)</f>
        <v>0</v>
      </c>
      <c r="AS275" s="648">
        <f t="shared" ref="AS275:AS338" si="149">IF(ISNUMBER(U275),U275,AK275)</f>
        <v>0</v>
      </c>
      <c r="AT275" s="648">
        <f t="shared" ref="AT275:AT338" si="150">IF(ISNUMBER(V275),V275,AL275)</f>
        <v>0</v>
      </c>
      <c r="AU275" s="648">
        <f t="shared" ref="AU275:AU338" si="151">IF(ISNUMBER(W275),W275,AM275)</f>
        <v>0</v>
      </c>
      <c r="AV275" s="648">
        <f t="shared" ref="AV275:AV338" si="152">IF(ISNUMBER(X275),X275,AN275)</f>
        <v>0</v>
      </c>
      <c r="AW275" s="648">
        <f t="shared" ref="AW275:AW338" si="153">IF(ISNUMBER(Y275),Y275,AO275)</f>
        <v>0</v>
      </c>
      <c r="AX275" s="648">
        <f t="shared" ref="AX275:AX338" si="154">IF(ISNUMBER(Z275),Z275,AP275)</f>
        <v>0</v>
      </c>
      <c r="AY275" s="634">
        <v>0</v>
      </c>
      <c r="AZ275" s="616"/>
      <c r="BA275" s="619">
        <f>IF(O276=0,0,             IF(ISNUMBER(AZ275),AZ275,             IF(ISTEXT(AZ275),INDEX(AQ275:AX275,MATCH(AZ275,$AQ$17:$AX$17,0)),           IF(AY275="INT",_xll.qInterp(O276,AA275:AH275,AQ275:AX275),       INDEX(AQ275:AX275,MATCH(AY275,$AQ$17:$AX$17,0))))))</f>
        <v>0</v>
      </c>
      <c r="BB275" s="674">
        <v>100</v>
      </c>
      <c r="BC275" s="666">
        <f t="shared" si="133"/>
        <v>0</v>
      </c>
      <c r="BD275" s="268">
        <f>IF($O276=0,0,                IF(LEFT(DCC_Leg1_Fixed,2)="1/",uEvaluate(DCC_Leg1_Fixed),        _xll.qDateYears($O275,$O276,DCC_Leg1_Fixed)))</f>
        <v>0</v>
      </c>
      <c r="BE275" s="268">
        <f>IF($O276,_xll.qDateYears($O275,$O276,DCC_Leg1_Float),0)</f>
        <v>0</v>
      </c>
      <c r="BG275" s="332">
        <f t="shared" ref="BG275:BG338" si="155">IF(Principal1?,$BC274-$BC275,       0)</f>
        <v>0</v>
      </c>
      <c r="BH275" s="357">
        <f t="shared" ref="BH275:BH338" si="156">IF(GenType_1a="Fixed",GenRate_1a%*$BC274*BD274,          IF(GenType_1a="Float",$BC274*(BA274%+GenRate_1a%%)*$BE274,        IF(GenType_1a="bp (Fixed)",GenRate_1a%%*$BD274*$BC274,   IF(GenType_1a="bp (Float)",GenRate_1a%%*$BC274*$BE274,0))))</f>
        <v>0</v>
      </c>
      <c r="BI275" s="527"/>
      <c r="BK275" s="324">
        <f t="shared" si="129"/>
        <v>0</v>
      </c>
      <c r="BM275" s="338"/>
      <c r="BN275" s="121">
        <v>0</v>
      </c>
      <c r="BO275" s="755">
        <f t="shared" si="134"/>
        <v>0</v>
      </c>
      <c r="BP275" s="339">
        <v>0</v>
      </c>
      <c r="BQ275" s="890">
        <f>IF(BN276=0,0,         IF(OR(Currency2="AUD",Currency1="NZD",Currency2="GBP"),BN275,   _xll.qDateNext(BN275,"-2b",,,IF(Currency2="EUR","TGT","LON"))))</f>
        <v>0</v>
      </c>
      <c r="BR275" s="879" t="str">
        <v/>
      </c>
      <c r="BS275" s="879" t="str">
        <v/>
      </c>
      <c r="BT275" s="879" t="str">
        <v/>
      </c>
      <c r="BU275" s="879" t="str">
        <v/>
      </c>
      <c r="BV275" s="879" t="str">
        <v/>
      </c>
      <c r="BW275" s="879" t="str">
        <v/>
      </c>
      <c r="BX275" s="879" t="str">
        <v/>
      </c>
      <c r="BY275" s="879" t="str">
        <v/>
      </c>
      <c r="BZ275" s="882">
        <f>IF($BN276=0,0,        _xll.qDateNext($BN275,BZ$17,$CG$16,TRUE,Currency2))</f>
        <v>0</v>
      </c>
      <c r="CA275" s="882">
        <f>IF($BN276=0,0,        _xll.qDateNext($BN275,CA$17,$CG$16,TRUE,Currency2))</f>
        <v>0</v>
      </c>
      <c r="CB275" s="882">
        <f>IF($BN276=0,0,        _xll.qDateNext($BN275,CB$17,$CG$16,TRUE,Currency2))</f>
        <v>0</v>
      </c>
      <c r="CC275" s="882">
        <f>IF($BN276=0,0,        _xll.qDateNext($BN275,CC$17,$CG$16,TRUE,Currency2))</f>
        <v>0</v>
      </c>
      <c r="CD275" s="882">
        <f>IF($BN276=0,0,        _xll.qDateNext($BN275,CD$17,$CG$16,TRUE,Currency2))</f>
        <v>0</v>
      </c>
      <c r="CE275" s="882">
        <f>IF($BN276=0,0,        _xll.qDateNext($BN275,CE$17,$CG$16,TRUE,Currency2))</f>
        <v>0</v>
      </c>
      <c r="CF275" s="882">
        <f>IF($BN276=0,0,        _xll.qDateNext($BN275,CF$17,$CG$16,TRUE,Currency2))</f>
        <v>0</v>
      </c>
      <c r="CG275" s="882">
        <f>IF($BN276=0,0,        _xll.qDateNext($BN275,CG$17,$CG$16,TRUE,Currency2))</f>
        <v>0</v>
      </c>
      <c r="CH275" s="886">
        <v>0</v>
      </c>
      <c r="CI275" s="886">
        <v>0</v>
      </c>
      <c r="CJ275" s="886">
        <v>0</v>
      </c>
      <c r="CK275" s="886">
        <v>0</v>
      </c>
      <c r="CL275" s="886">
        <f t="shared" ref="CL275:CL338" si="157">(CN275-CK275)/3+CK275</f>
        <v>0</v>
      </c>
      <c r="CM275" s="886">
        <f t="shared" ref="CM275:CM338" si="158">AVERAGE(CL275,CN275)</f>
        <v>0</v>
      </c>
      <c r="CN275" s="886">
        <v>0</v>
      </c>
      <c r="CO275" s="886">
        <v>0</v>
      </c>
      <c r="CP275" s="648">
        <f t="shared" si="135"/>
        <v>0</v>
      </c>
      <c r="CQ275" s="648">
        <f t="shared" si="136"/>
        <v>0</v>
      </c>
      <c r="CR275" s="648">
        <f t="shared" si="137"/>
        <v>0</v>
      </c>
      <c r="CS275" s="648">
        <f t="shared" si="138"/>
        <v>0</v>
      </c>
      <c r="CT275" s="648">
        <f t="shared" si="139"/>
        <v>0</v>
      </c>
      <c r="CU275" s="648">
        <f t="shared" si="140"/>
        <v>0</v>
      </c>
      <c r="CV275" s="648">
        <f t="shared" si="141"/>
        <v>0</v>
      </c>
      <c r="CW275" s="648">
        <f t="shared" si="142"/>
        <v>0</v>
      </c>
      <c r="CX275" s="634">
        <v>0</v>
      </c>
      <c r="CY275" s="616"/>
      <c r="CZ275" s="619">
        <f>IF(BN276=0,0,             IF(ISNUMBER(CY275),CY275,             IF(ISTEXT(CY275),INDEX(CP275:CW275,MATCH(CY275,$CP$17:$CW$17,0)),           IF(CX275="INT",_xll.qInterp(BN276,BZ275:CG275,CP275:CW275),       INDEX(CP275:CW275,MATCH(CX275,$CP$17:$CW$17,0))))))</f>
        <v>0</v>
      </c>
      <c r="DA275" s="755">
        <f t="shared" si="143"/>
        <v>0</v>
      </c>
      <c r="DB275" s="387">
        <f t="shared" si="144"/>
        <v>0</v>
      </c>
      <c r="DC275" s="268">
        <f>IF($BN276=0,0,         IF(LEFT(DCC_Leg2_Fixed,2)="1/",uEvaluate(DCC_Leg2_Fixed),         _xll.qDateYears($BN275,$BN276,DCC_Leg2_Fixed)))</f>
        <v>0</v>
      </c>
      <c r="DD275" s="268">
        <f>IF($BN276,_xll.qDateYears($BN275,$BN276,DCC_Leg2_Float),0)</f>
        <v>0</v>
      </c>
      <c r="DF275" s="332">
        <f t="shared" ref="DF275:DF338" si="159">IF(Principal2?,$DB274-$DB275,       0)</f>
        <v>0</v>
      </c>
      <c r="DG275" s="357">
        <f t="shared" ref="DG275:DG338" si="160">IF(GenType_2a="Fixed",GenRate_2a%*$DB274*DC274,          IF(GenType_2a="Float",$DB274*(CZ274%+GenRate_2a%%)*$DD274,        IF(GenType_2a="bp (Fixed)",GenRate_2a%%*$DC274*$DB274,   IF(GenType_2a="bp (Float)",GenRate_2a%%*$DB274*$DD274,0))))</f>
        <v>0</v>
      </c>
      <c r="DH275" s="527"/>
      <c r="DJ275" s="324">
        <f t="shared" si="130"/>
        <v>0</v>
      </c>
      <c r="DK275" s="529"/>
      <c r="DL275" s="338"/>
    </row>
    <row r="276" spans="15:116">
      <c r="O276" s="121">
        <v>0</v>
      </c>
      <c r="P276" s="755">
        <f t="shared" si="131"/>
        <v>0</v>
      </c>
      <c r="Q276" s="125">
        <v>0</v>
      </c>
      <c r="R276" s="890">
        <f>IF(O277=0,0,         IF(OR(Currency1="AUD",Currency1="NZD",Currency1="GBP"),O276,   _xll.qDateNext(O276,"-2b",,,IF(Currency1="EUR","TGT","LON"))))</f>
        <v>0</v>
      </c>
      <c r="S276" s="879" t="str">
        <v/>
      </c>
      <c r="T276" s="879" t="str">
        <v/>
      </c>
      <c r="U276" s="879" t="str">
        <v/>
      </c>
      <c r="V276" s="879" t="str">
        <v/>
      </c>
      <c r="W276" s="879" t="str">
        <v/>
      </c>
      <c r="X276" s="879" t="str">
        <v/>
      </c>
      <c r="Y276" s="879" t="str">
        <v/>
      </c>
      <c r="Z276" s="879" t="str">
        <v/>
      </c>
      <c r="AA276" s="882">
        <f>IF($O277=0,0,        _xll.qDateNext($O276,AA$17,$AH$16,TRUE,Currency1))</f>
        <v>0</v>
      </c>
      <c r="AB276" s="882">
        <f>IF($O277=0,0,        _xll.qDateNext($O276,AB$17,$AH$16,TRUE,Currency1))</f>
        <v>0</v>
      </c>
      <c r="AC276" s="882">
        <f>IF($O277=0,0,        _xll.qDateNext($O276,AC$17,$AH$16,TRUE,Currency1))</f>
        <v>0</v>
      </c>
      <c r="AD276" s="882">
        <f>IF($O277=0,0,        _xll.qDateNext($O276,AD$17,$AH$16,TRUE,Currency1))</f>
        <v>0</v>
      </c>
      <c r="AE276" s="882">
        <f>IF($O277=0,0,        _xll.qDateNext($O276,AE$17,$AH$16,TRUE,Currency1))</f>
        <v>0</v>
      </c>
      <c r="AF276" s="882">
        <f>IF($O277=0,0,        _xll.qDateNext($O276,AF$17,$AH$16,TRUE,Currency1))</f>
        <v>0</v>
      </c>
      <c r="AG276" s="882">
        <f>IF($O277=0,0,        _xll.qDateNext($O276,AG$17,$AH$16,TRUE,Currency1))</f>
        <v>0</v>
      </c>
      <c r="AH276" s="882">
        <f>IF($O277=0,0,        _xll.qDateNext($O276,AH$17,$AH$16,TRUE,Currency1))</f>
        <v>0</v>
      </c>
      <c r="AI276" s="886">
        <f>IF($O277=0,0,           IF(FRM,_xll.qGetFwdRate(AI$14,$O276,AA276,"T",DCC_Leg1_Float),_xll.qGetFwdRate(AI$14,$O276,$O277,"T",DCC_Leg1_Float)))</f>
        <v>0</v>
      </c>
      <c r="AJ276" s="886">
        <f>IF($O277=0,0,           IF(FRM,_xll.qGetFwdRate(AJ$14,$O276,AB276,"T",DCC_Leg1_Float),_xll.qGetFwdRate(AJ$14,$O276,$O277,"T",DCC_Leg1_Float)))</f>
        <v>0</v>
      </c>
      <c r="AK276" s="886">
        <f t="shared" si="132"/>
        <v>0</v>
      </c>
      <c r="AL276" s="886">
        <f>IF($O277=0,0,           IF(FRM,_xll.qGetFwdRate(AL$14,$O276,AD276,"T",DCC_Leg1_Float),_xll.qGetFwdRate(AL$14,$O276,$O277,"T",DCC_Leg1_Float)))</f>
        <v>0</v>
      </c>
      <c r="AM276" s="886">
        <f t="shared" si="145"/>
        <v>0</v>
      </c>
      <c r="AN276" s="886">
        <f t="shared" si="146"/>
        <v>0</v>
      </c>
      <c r="AO276" s="886">
        <f>IF($O277=0,0,           IF(FRM,_xll.qGetFwdRate(AO$14,$O276,AG276,"T",DCC_Leg1_Float),_xll.qGetFwdRate(AO$14,$O276,$O277,"T",DCC_Leg1_Float)))</f>
        <v>0</v>
      </c>
      <c r="AP276" s="886">
        <f>IF($O277=0,0,           IF(FRM,_xll.qGetFwdRate(AP$14,$O276,AH276,"T",DCC_Leg1_Float),_xll.qGetFwdRate(AP$14,$O276,$O277,"T",DCC_Leg1_Float)))</f>
        <v>0</v>
      </c>
      <c r="AQ276" s="648">
        <f t="shared" si="147"/>
        <v>0</v>
      </c>
      <c r="AR276" s="648">
        <f t="shared" si="148"/>
        <v>0</v>
      </c>
      <c r="AS276" s="648">
        <f t="shared" si="149"/>
        <v>0</v>
      </c>
      <c r="AT276" s="648">
        <f t="shared" si="150"/>
        <v>0</v>
      </c>
      <c r="AU276" s="648">
        <f t="shared" si="151"/>
        <v>0</v>
      </c>
      <c r="AV276" s="648">
        <f t="shared" si="152"/>
        <v>0</v>
      </c>
      <c r="AW276" s="648">
        <f t="shared" si="153"/>
        <v>0</v>
      </c>
      <c r="AX276" s="648">
        <f t="shared" si="154"/>
        <v>0</v>
      </c>
      <c r="AY276" s="634">
        <v>0</v>
      </c>
      <c r="AZ276" s="616"/>
      <c r="BA276" s="619">
        <f>IF(O277=0,0,             IF(ISNUMBER(AZ276),AZ276,             IF(ISTEXT(AZ276),INDEX(AQ276:AX276,MATCH(AZ276,$AQ$17:$AX$17,0)),           IF(AY276="INT",_xll.qInterp(O277,AA276:AH276,AQ276:AX276),       INDEX(AQ276:AX276,MATCH(AY276,$AQ$17:$AX$17,0))))))</f>
        <v>0</v>
      </c>
      <c r="BB276" s="674">
        <v>100</v>
      </c>
      <c r="BC276" s="666">
        <f t="shared" si="133"/>
        <v>0</v>
      </c>
      <c r="BD276" s="268">
        <f>IF($O277=0,0,                IF(LEFT(DCC_Leg1_Fixed,2)="1/",uEvaluate(DCC_Leg1_Fixed),        _xll.qDateYears($O276,$O277,DCC_Leg1_Fixed)))</f>
        <v>0</v>
      </c>
      <c r="BE276" s="268">
        <f>IF($O277,_xll.qDateYears($O276,$O277,DCC_Leg1_Float),0)</f>
        <v>0</v>
      </c>
      <c r="BG276" s="332">
        <f t="shared" si="155"/>
        <v>0</v>
      </c>
      <c r="BH276" s="357">
        <f t="shared" si="156"/>
        <v>0</v>
      </c>
      <c r="BI276" s="527"/>
      <c r="BK276" s="324">
        <f t="shared" si="129"/>
        <v>0</v>
      </c>
      <c r="BM276" s="338"/>
      <c r="BN276" s="121">
        <v>0</v>
      </c>
      <c r="BO276" s="755">
        <f t="shared" si="134"/>
        <v>0</v>
      </c>
      <c r="BP276" s="339">
        <v>0</v>
      </c>
      <c r="BQ276" s="890">
        <f>IF(BN277=0,0,         IF(OR(Currency2="AUD",Currency1="NZD",Currency2="GBP"),BN276,   _xll.qDateNext(BN276,"-2b",,,IF(Currency2="EUR","TGT","LON"))))</f>
        <v>0</v>
      </c>
      <c r="BR276" s="879" t="str">
        <v/>
      </c>
      <c r="BS276" s="879" t="str">
        <v/>
      </c>
      <c r="BT276" s="879" t="str">
        <v/>
      </c>
      <c r="BU276" s="879" t="str">
        <v/>
      </c>
      <c r="BV276" s="879" t="str">
        <v/>
      </c>
      <c r="BW276" s="879" t="str">
        <v/>
      </c>
      <c r="BX276" s="879" t="str">
        <v/>
      </c>
      <c r="BY276" s="879" t="str">
        <v/>
      </c>
      <c r="BZ276" s="882">
        <f>IF($BN277=0,0,        _xll.qDateNext($BN276,BZ$17,$CG$16,TRUE,Currency2))</f>
        <v>0</v>
      </c>
      <c r="CA276" s="882">
        <f>IF($BN277=0,0,        _xll.qDateNext($BN276,CA$17,$CG$16,TRUE,Currency2))</f>
        <v>0</v>
      </c>
      <c r="CB276" s="882">
        <f>IF($BN277=0,0,        _xll.qDateNext($BN276,CB$17,$CG$16,TRUE,Currency2))</f>
        <v>0</v>
      </c>
      <c r="CC276" s="882">
        <f>IF($BN277=0,0,        _xll.qDateNext($BN276,CC$17,$CG$16,TRUE,Currency2))</f>
        <v>0</v>
      </c>
      <c r="CD276" s="882">
        <f>IF($BN277=0,0,        _xll.qDateNext($BN276,CD$17,$CG$16,TRUE,Currency2))</f>
        <v>0</v>
      </c>
      <c r="CE276" s="882">
        <f>IF($BN277=0,0,        _xll.qDateNext($BN276,CE$17,$CG$16,TRUE,Currency2))</f>
        <v>0</v>
      </c>
      <c r="CF276" s="882">
        <f>IF($BN277=0,0,        _xll.qDateNext($BN276,CF$17,$CG$16,TRUE,Currency2))</f>
        <v>0</v>
      </c>
      <c r="CG276" s="882">
        <f>IF($BN277=0,0,        _xll.qDateNext($BN276,CG$17,$CG$16,TRUE,Currency2))</f>
        <v>0</v>
      </c>
      <c r="CH276" s="886">
        <v>0</v>
      </c>
      <c r="CI276" s="886">
        <v>0</v>
      </c>
      <c r="CJ276" s="886">
        <v>0</v>
      </c>
      <c r="CK276" s="886">
        <v>0</v>
      </c>
      <c r="CL276" s="886">
        <f t="shared" si="157"/>
        <v>0</v>
      </c>
      <c r="CM276" s="886">
        <f t="shared" si="158"/>
        <v>0</v>
      </c>
      <c r="CN276" s="886">
        <v>0</v>
      </c>
      <c r="CO276" s="886">
        <v>0</v>
      </c>
      <c r="CP276" s="648">
        <f t="shared" si="135"/>
        <v>0</v>
      </c>
      <c r="CQ276" s="648">
        <f t="shared" si="136"/>
        <v>0</v>
      </c>
      <c r="CR276" s="648">
        <f t="shared" si="137"/>
        <v>0</v>
      </c>
      <c r="CS276" s="648">
        <f t="shared" si="138"/>
        <v>0</v>
      </c>
      <c r="CT276" s="648">
        <f t="shared" si="139"/>
        <v>0</v>
      </c>
      <c r="CU276" s="648">
        <f t="shared" si="140"/>
        <v>0</v>
      </c>
      <c r="CV276" s="648">
        <f t="shared" si="141"/>
        <v>0</v>
      </c>
      <c r="CW276" s="648">
        <f t="shared" si="142"/>
        <v>0</v>
      </c>
      <c r="CX276" s="634">
        <v>0</v>
      </c>
      <c r="CY276" s="616"/>
      <c r="CZ276" s="619">
        <f>IF(BN277=0,0,             IF(ISNUMBER(CY276),CY276,             IF(ISTEXT(CY276),INDEX(CP276:CW276,MATCH(CY276,$CP$17:$CW$17,0)),           IF(CX276="INT",_xll.qInterp(BN277,BZ276:CG276,CP276:CW276),       INDEX(CP276:CW276,MATCH(CX276,$CP$17:$CW$17,0))))))</f>
        <v>0</v>
      </c>
      <c r="DA276" s="755">
        <f t="shared" si="143"/>
        <v>0</v>
      </c>
      <c r="DB276" s="387">
        <f t="shared" si="144"/>
        <v>0</v>
      </c>
      <c r="DC276" s="268">
        <f>IF($BN277=0,0,         IF(LEFT(DCC_Leg2_Fixed,2)="1/",uEvaluate(DCC_Leg2_Fixed),         _xll.qDateYears($BN276,$BN277,DCC_Leg2_Fixed)))</f>
        <v>0</v>
      </c>
      <c r="DD276" s="268">
        <f>IF($BN277,_xll.qDateYears($BN276,$BN277,DCC_Leg2_Float),0)</f>
        <v>0</v>
      </c>
      <c r="DF276" s="332">
        <f t="shared" si="159"/>
        <v>0</v>
      </c>
      <c r="DG276" s="357">
        <f t="shared" si="160"/>
        <v>0</v>
      </c>
      <c r="DH276" s="527"/>
      <c r="DJ276" s="324">
        <f t="shared" si="130"/>
        <v>0</v>
      </c>
      <c r="DK276" s="529"/>
      <c r="DL276" s="338"/>
    </row>
    <row r="277" spans="15:116">
      <c r="O277" s="121">
        <v>0</v>
      </c>
      <c r="P277" s="755">
        <f t="shared" si="131"/>
        <v>0</v>
      </c>
      <c r="Q277" s="125">
        <v>0</v>
      </c>
      <c r="R277" s="890">
        <f>IF(O278=0,0,         IF(OR(Currency1="AUD",Currency1="NZD",Currency1="GBP"),O277,   _xll.qDateNext(O277,"-2b",,,IF(Currency1="EUR","TGT","LON"))))</f>
        <v>0</v>
      </c>
      <c r="S277" s="879" t="str">
        <v/>
      </c>
      <c r="T277" s="879" t="str">
        <v/>
      </c>
      <c r="U277" s="879" t="str">
        <v/>
      </c>
      <c r="V277" s="879" t="str">
        <v/>
      </c>
      <c r="W277" s="879" t="str">
        <v/>
      </c>
      <c r="X277" s="879" t="str">
        <v/>
      </c>
      <c r="Y277" s="879" t="str">
        <v/>
      </c>
      <c r="Z277" s="879" t="str">
        <v/>
      </c>
      <c r="AA277" s="882">
        <f>IF($O278=0,0,        _xll.qDateNext($O277,AA$17,$AH$16,TRUE,Currency1))</f>
        <v>0</v>
      </c>
      <c r="AB277" s="882">
        <f>IF($O278=0,0,        _xll.qDateNext($O277,AB$17,$AH$16,TRUE,Currency1))</f>
        <v>0</v>
      </c>
      <c r="AC277" s="882">
        <f>IF($O278=0,0,        _xll.qDateNext($O277,AC$17,$AH$16,TRUE,Currency1))</f>
        <v>0</v>
      </c>
      <c r="AD277" s="882">
        <f>IF($O278=0,0,        _xll.qDateNext($O277,AD$17,$AH$16,TRUE,Currency1))</f>
        <v>0</v>
      </c>
      <c r="AE277" s="882">
        <f>IF($O278=0,0,        _xll.qDateNext($O277,AE$17,$AH$16,TRUE,Currency1))</f>
        <v>0</v>
      </c>
      <c r="AF277" s="882">
        <f>IF($O278=0,0,        _xll.qDateNext($O277,AF$17,$AH$16,TRUE,Currency1))</f>
        <v>0</v>
      </c>
      <c r="AG277" s="882">
        <f>IF($O278=0,0,        _xll.qDateNext($O277,AG$17,$AH$16,TRUE,Currency1))</f>
        <v>0</v>
      </c>
      <c r="AH277" s="882">
        <f>IF($O278=0,0,        _xll.qDateNext($O277,AH$17,$AH$16,TRUE,Currency1))</f>
        <v>0</v>
      </c>
      <c r="AI277" s="886">
        <f>IF($O278=0,0,           IF(FRM,_xll.qGetFwdRate(AI$14,$O277,AA277,"T",DCC_Leg1_Float),_xll.qGetFwdRate(AI$14,$O277,$O278,"T",DCC_Leg1_Float)))</f>
        <v>0</v>
      </c>
      <c r="AJ277" s="886">
        <f>IF($O278=0,0,           IF(FRM,_xll.qGetFwdRate(AJ$14,$O277,AB277,"T",DCC_Leg1_Float),_xll.qGetFwdRate(AJ$14,$O277,$O278,"T",DCC_Leg1_Float)))</f>
        <v>0</v>
      </c>
      <c r="AK277" s="886">
        <f t="shared" si="132"/>
        <v>0</v>
      </c>
      <c r="AL277" s="886">
        <f>IF($O278=0,0,           IF(FRM,_xll.qGetFwdRate(AL$14,$O277,AD277,"T",DCC_Leg1_Float),_xll.qGetFwdRate(AL$14,$O277,$O278,"T",DCC_Leg1_Float)))</f>
        <v>0</v>
      </c>
      <c r="AM277" s="886">
        <f t="shared" si="145"/>
        <v>0</v>
      </c>
      <c r="AN277" s="886">
        <f t="shared" si="146"/>
        <v>0</v>
      </c>
      <c r="AO277" s="886">
        <f>IF($O278=0,0,           IF(FRM,_xll.qGetFwdRate(AO$14,$O277,AG277,"T",DCC_Leg1_Float),_xll.qGetFwdRate(AO$14,$O277,$O278,"T",DCC_Leg1_Float)))</f>
        <v>0</v>
      </c>
      <c r="AP277" s="886">
        <f>IF($O278=0,0,           IF(FRM,_xll.qGetFwdRate(AP$14,$O277,AH277,"T",DCC_Leg1_Float),_xll.qGetFwdRate(AP$14,$O277,$O278,"T",DCC_Leg1_Float)))</f>
        <v>0</v>
      </c>
      <c r="AQ277" s="648">
        <f t="shared" si="147"/>
        <v>0</v>
      </c>
      <c r="AR277" s="648">
        <f t="shared" si="148"/>
        <v>0</v>
      </c>
      <c r="AS277" s="648">
        <f t="shared" si="149"/>
        <v>0</v>
      </c>
      <c r="AT277" s="648">
        <f t="shared" si="150"/>
        <v>0</v>
      </c>
      <c r="AU277" s="648">
        <f t="shared" si="151"/>
        <v>0</v>
      </c>
      <c r="AV277" s="648">
        <f t="shared" si="152"/>
        <v>0</v>
      </c>
      <c r="AW277" s="648">
        <f t="shared" si="153"/>
        <v>0</v>
      </c>
      <c r="AX277" s="648">
        <f t="shared" si="154"/>
        <v>0</v>
      </c>
      <c r="AY277" s="634">
        <v>0</v>
      </c>
      <c r="AZ277" s="616"/>
      <c r="BA277" s="619">
        <f>IF(O278=0,0,             IF(ISNUMBER(AZ277),AZ277,             IF(ISTEXT(AZ277),INDEX(AQ277:AX277,MATCH(AZ277,$AQ$17:$AX$17,0)),           IF(AY277="INT",_xll.qInterp(O278,AA277:AH277,AQ277:AX277),       INDEX(AQ277:AX277,MATCH(AY277,$AQ$17:$AX$17,0))))))</f>
        <v>0</v>
      </c>
      <c r="BB277" s="674">
        <v>100</v>
      </c>
      <c r="BC277" s="666">
        <f t="shared" si="133"/>
        <v>0</v>
      </c>
      <c r="BD277" s="268">
        <f>IF($O278=0,0,                IF(LEFT(DCC_Leg1_Fixed,2)="1/",uEvaluate(DCC_Leg1_Fixed),        _xll.qDateYears($O277,$O278,DCC_Leg1_Fixed)))</f>
        <v>0</v>
      </c>
      <c r="BE277" s="268">
        <f>IF($O278,_xll.qDateYears($O277,$O278,DCC_Leg1_Float),0)</f>
        <v>0</v>
      </c>
      <c r="BG277" s="332">
        <f t="shared" si="155"/>
        <v>0</v>
      </c>
      <c r="BH277" s="357">
        <f t="shared" si="156"/>
        <v>0</v>
      </c>
      <c r="BI277" s="527"/>
      <c r="BK277" s="324">
        <f t="shared" si="129"/>
        <v>0</v>
      </c>
      <c r="BM277" s="338"/>
      <c r="BN277" s="121">
        <v>0</v>
      </c>
      <c r="BO277" s="755">
        <f t="shared" si="134"/>
        <v>0</v>
      </c>
      <c r="BP277" s="339">
        <v>0</v>
      </c>
      <c r="BQ277" s="890">
        <f>IF(BN278=0,0,         IF(OR(Currency2="AUD",Currency1="NZD",Currency2="GBP"),BN277,   _xll.qDateNext(BN277,"-2b",,,IF(Currency2="EUR","TGT","LON"))))</f>
        <v>0</v>
      </c>
      <c r="BR277" s="879" t="str">
        <v/>
      </c>
      <c r="BS277" s="879" t="str">
        <v/>
      </c>
      <c r="BT277" s="879" t="str">
        <v/>
      </c>
      <c r="BU277" s="879" t="str">
        <v/>
      </c>
      <c r="BV277" s="879" t="str">
        <v/>
      </c>
      <c r="BW277" s="879" t="str">
        <v/>
      </c>
      <c r="BX277" s="879" t="str">
        <v/>
      </c>
      <c r="BY277" s="879" t="str">
        <v/>
      </c>
      <c r="BZ277" s="882">
        <f>IF($BN278=0,0,        _xll.qDateNext($BN277,BZ$17,$CG$16,TRUE,Currency2))</f>
        <v>0</v>
      </c>
      <c r="CA277" s="882">
        <f>IF($BN278=0,0,        _xll.qDateNext($BN277,CA$17,$CG$16,TRUE,Currency2))</f>
        <v>0</v>
      </c>
      <c r="CB277" s="882">
        <f>IF($BN278=0,0,        _xll.qDateNext($BN277,CB$17,$CG$16,TRUE,Currency2))</f>
        <v>0</v>
      </c>
      <c r="CC277" s="882">
        <f>IF($BN278=0,0,        _xll.qDateNext($BN277,CC$17,$CG$16,TRUE,Currency2))</f>
        <v>0</v>
      </c>
      <c r="CD277" s="882">
        <f>IF($BN278=0,0,        _xll.qDateNext($BN277,CD$17,$CG$16,TRUE,Currency2))</f>
        <v>0</v>
      </c>
      <c r="CE277" s="882">
        <f>IF($BN278=0,0,        _xll.qDateNext($BN277,CE$17,$CG$16,TRUE,Currency2))</f>
        <v>0</v>
      </c>
      <c r="CF277" s="882">
        <f>IF($BN278=0,0,        _xll.qDateNext($BN277,CF$17,$CG$16,TRUE,Currency2))</f>
        <v>0</v>
      </c>
      <c r="CG277" s="882">
        <f>IF($BN278=0,0,        _xll.qDateNext($BN277,CG$17,$CG$16,TRUE,Currency2))</f>
        <v>0</v>
      </c>
      <c r="CH277" s="886">
        <v>0</v>
      </c>
      <c r="CI277" s="886">
        <v>0</v>
      </c>
      <c r="CJ277" s="886">
        <v>0</v>
      </c>
      <c r="CK277" s="886">
        <v>0</v>
      </c>
      <c r="CL277" s="886">
        <f t="shared" si="157"/>
        <v>0</v>
      </c>
      <c r="CM277" s="886">
        <f t="shared" si="158"/>
        <v>0</v>
      </c>
      <c r="CN277" s="886">
        <v>0</v>
      </c>
      <c r="CO277" s="886">
        <v>0</v>
      </c>
      <c r="CP277" s="648">
        <f t="shared" si="135"/>
        <v>0</v>
      </c>
      <c r="CQ277" s="648">
        <f t="shared" si="136"/>
        <v>0</v>
      </c>
      <c r="CR277" s="648">
        <f t="shared" si="137"/>
        <v>0</v>
      </c>
      <c r="CS277" s="648">
        <f t="shared" si="138"/>
        <v>0</v>
      </c>
      <c r="CT277" s="648">
        <f t="shared" si="139"/>
        <v>0</v>
      </c>
      <c r="CU277" s="648">
        <f t="shared" si="140"/>
        <v>0</v>
      </c>
      <c r="CV277" s="648">
        <f t="shared" si="141"/>
        <v>0</v>
      </c>
      <c r="CW277" s="648">
        <f t="shared" si="142"/>
        <v>0</v>
      </c>
      <c r="CX277" s="634">
        <v>0</v>
      </c>
      <c r="CY277" s="616"/>
      <c r="CZ277" s="619">
        <f>IF(BN278=0,0,             IF(ISNUMBER(CY277),CY277,             IF(ISTEXT(CY277),INDEX(CP277:CW277,MATCH(CY277,$CP$17:$CW$17,0)),           IF(CX277="INT",_xll.qInterp(BN278,BZ277:CG277,CP277:CW277),       INDEX(CP277:CW277,MATCH(CX277,$CP$17:$CW$17,0))))))</f>
        <v>0</v>
      </c>
      <c r="DA277" s="755">
        <f t="shared" si="143"/>
        <v>0</v>
      </c>
      <c r="DB277" s="387">
        <f t="shared" si="144"/>
        <v>0</v>
      </c>
      <c r="DC277" s="268">
        <f>IF($BN278=0,0,         IF(LEFT(DCC_Leg2_Fixed,2)="1/",uEvaluate(DCC_Leg2_Fixed),         _xll.qDateYears($BN277,$BN278,DCC_Leg2_Fixed)))</f>
        <v>0</v>
      </c>
      <c r="DD277" s="268">
        <f>IF($BN278,_xll.qDateYears($BN277,$BN278,DCC_Leg2_Float),0)</f>
        <v>0</v>
      </c>
      <c r="DF277" s="332">
        <f t="shared" si="159"/>
        <v>0</v>
      </c>
      <c r="DG277" s="357">
        <f t="shared" si="160"/>
        <v>0</v>
      </c>
      <c r="DH277" s="527"/>
      <c r="DJ277" s="324">
        <f t="shared" si="130"/>
        <v>0</v>
      </c>
      <c r="DK277" s="529"/>
      <c r="DL277" s="338"/>
    </row>
    <row r="278" spans="15:116">
      <c r="O278" s="121">
        <v>0</v>
      </c>
      <c r="P278" s="755">
        <f t="shared" si="131"/>
        <v>0</v>
      </c>
      <c r="Q278" s="125">
        <v>0</v>
      </c>
      <c r="R278" s="890">
        <f>IF(O279=0,0,         IF(OR(Currency1="AUD",Currency1="NZD",Currency1="GBP"),O278,   _xll.qDateNext(O278,"-2b",,,IF(Currency1="EUR","TGT","LON"))))</f>
        <v>0</v>
      </c>
      <c r="S278" s="879" t="str">
        <v/>
      </c>
      <c r="T278" s="879" t="str">
        <v/>
      </c>
      <c r="U278" s="879" t="str">
        <v/>
      </c>
      <c r="V278" s="879" t="str">
        <v/>
      </c>
      <c r="W278" s="879" t="str">
        <v/>
      </c>
      <c r="X278" s="879" t="str">
        <v/>
      </c>
      <c r="Y278" s="879" t="str">
        <v/>
      </c>
      <c r="Z278" s="879" t="str">
        <v/>
      </c>
      <c r="AA278" s="882">
        <f>IF($O279=0,0,        _xll.qDateNext($O278,AA$17,$AH$16,TRUE,Currency1))</f>
        <v>0</v>
      </c>
      <c r="AB278" s="882">
        <f>IF($O279=0,0,        _xll.qDateNext($O278,AB$17,$AH$16,TRUE,Currency1))</f>
        <v>0</v>
      </c>
      <c r="AC278" s="882">
        <f>IF($O279=0,0,        _xll.qDateNext($O278,AC$17,$AH$16,TRUE,Currency1))</f>
        <v>0</v>
      </c>
      <c r="AD278" s="882">
        <f>IF($O279=0,0,        _xll.qDateNext($O278,AD$17,$AH$16,TRUE,Currency1))</f>
        <v>0</v>
      </c>
      <c r="AE278" s="882">
        <f>IF($O279=0,0,        _xll.qDateNext($O278,AE$17,$AH$16,TRUE,Currency1))</f>
        <v>0</v>
      </c>
      <c r="AF278" s="882">
        <f>IF($O279=0,0,        _xll.qDateNext($O278,AF$17,$AH$16,TRUE,Currency1))</f>
        <v>0</v>
      </c>
      <c r="AG278" s="882">
        <f>IF($O279=0,0,        _xll.qDateNext($O278,AG$17,$AH$16,TRUE,Currency1))</f>
        <v>0</v>
      </c>
      <c r="AH278" s="882">
        <f>IF($O279=0,0,        _xll.qDateNext($O278,AH$17,$AH$16,TRUE,Currency1))</f>
        <v>0</v>
      </c>
      <c r="AI278" s="886">
        <f>IF($O279=0,0,           IF(FRM,_xll.qGetFwdRate(AI$14,$O278,AA278,"T",DCC_Leg1_Float),_xll.qGetFwdRate(AI$14,$O278,$O279,"T",DCC_Leg1_Float)))</f>
        <v>0</v>
      </c>
      <c r="AJ278" s="886">
        <f>IF($O279=0,0,           IF(FRM,_xll.qGetFwdRate(AJ$14,$O278,AB278,"T",DCC_Leg1_Float),_xll.qGetFwdRate(AJ$14,$O278,$O279,"T",DCC_Leg1_Float)))</f>
        <v>0</v>
      </c>
      <c r="AK278" s="886">
        <f t="shared" si="132"/>
        <v>0</v>
      </c>
      <c r="AL278" s="886">
        <f>IF($O279=0,0,           IF(FRM,_xll.qGetFwdRate(AL$14,$O278,AD278,"T",DCC_Leg1_Float),_xll.qGetFwdRate(AL$14,$O278,$O279,"T",DCC_Leg1_Float)))</f>
        <v>0</v>
      </c>
      <c r="AM278" s="886">
        <f t="shared" si="145"/>
        <v>0</v>
      </c>
      <c r="AN278" s="886">
        <f t="shared" si="146"/>
        <v>0</v>
      </c>
      <c r="AO278" s="886">
        <f>IF($O279=0,0,           IF(FRM,_xll.qGetFwdRate(AO$14,$O278,AG278,"T",DCC_Leg1_Float),_xll.qGetFwdRate(AO$14,$O278,$O279,"T",DCC_Leg1_Float)))</f>
        <v>0</v>
      </c>
      <c r="AP278" s="886">
        <f>IF($O279=0,0,           IF(FRM,_xll.qGetFwdRate(AP$14,$O278,AH278,"T",DCC_Leg1_Float),_xll.qGetFwdRate(AP$14,$O278,$O279,"T",DCC_Leg1_Float)))</f>
        <v>0</v>
      </c>
      <c r="AQ278" s="648">
        <f t="shared" si="147"/>
        <v>0</v>
      </c>
      <c r="AR278" s="648">
        <f t="shared" si="148"/>
        <v>0</v>
      </c>
      <c r="AS278" s="648">
        <f t="shared" si="149"/>
        <v>0</v>
      </c>
      <c r="AT278" s="648">
        <f t="shared" si="150"/>
        <v>0</v>
      </c>
      <c r="AU278" s="648">
        <f t="shared" si="151"/>
        <v>0</v>
      </c>
      <c r="AV278" s="648">
        <f t="shared" si="152"/>
        <v>0</v>
      </c>
      <c r="AW278" s="648">
        <f t="shared" si="153"/>
        <v>0</v>
      </c>
      <c r="AX278" s="648">
        <f t="shared" si="154"/>
        <v>0</v>
      </c>
      <c r="AY278" s="634">
        <v>0</v>
      </c>
      <c r="AZ278" s="616"/>
      <c r="BA278" s="619">
        <f>IF(O279=0,0,             IF(ISNUMBER(AZ278),AZ278,             IF(ISTEXT(AZ278),INDEX(AQ278:AX278,MATCH(AZ278,$AQ$17:$AX$17,0)),           IF(AY278="INT",_xll.qInterp(O279,AA278:AH278,AQ278:AX278),       INDEX(AQ278:AX278,MATCH(AY278,$AQ$17:$AX$17,0))))))</f>
        <v>0</v>
      </c>
      <c r="BB278" s="674">
        <v>100</v>
      </c>
      <c r="BC278" s="666">
        <f t="shared" si="133"/>
        <v>0</v>
      </c>
      <c r="BD278" s="268">
        <f>IF($O279=0,0,                IF(LEFT(DCC_Leg1_Fixed,2)="1/",uEvaluate(DCC_Leg1_Fixed),        _xll.qDateYears($O278,$O279,DCC_Leg1_Fixed)))</f>
        <v>0</v>
      </c>
      <c r="BE278" s="268">
        <f>IF($O279,_xll.qDateYears($O278,$O279,DCC_Leg1_Float),0)</f>
        <v>0</v>
      </c>
      <c r="BG278" s="332">
        <f t="shared" si="155"/>
        <v>0</v>
      </c>
      <c r="BH278" s="357">
        <f t="shared" si="156"/>
        <v>0</v>
      </c>
      <c r="BI278" s="527"/>
      <c r="BK278" s="324">
        <f t="shared" si="129"/>
        <v>0</v>
      </c>
      <c r="BM278" s="338"/>
      <c r="BN278" s="121">
        <v>0</v>
      </c>
      <c r="BO278" s="755">
        <f t="shared" si="134"/>
        <v>0</v>
      </c>
      <c r="BP278" s="339">
        <v>0</v>
      </c>
      <c r="BQ278" s="890">
        <f>IF(BN279=0,0,         IF(OR(Currency2="AUD",Currency1="NZD",Currency2="GBP"),BN278,   _xll.qDateNext(BN278,"-2b",,,IF(Currency2="EUR","TGT","LON"))))</f>
        <v>0</v>
      </c>
      <c r="BR278" s="879" t="str">
        <v/>
      </c>
      <c r="BS278" s="879" t="str">
        <v/>
      </c>
      <c r="BT278" s="879" t="str">
        <v/>
      </c>
      <c r="BU278" s="879" t="str">
        <v/>
      </c>
      <c r="BV278" s="879" t="str">
        <v/>
      </c>
      <c r="BW278" s="879" t="str">
        <v/>
      </c>
      <c r="BX278" s="879" t="str">
        <v/>
      </c>
      <c r="BY278" s="879" t="str">
        <v/>
      </c>
      <c r="BZ278" s="882">
        <f>IF($BN279=0,0,        _xll.qDateNext($BN278,BZ$17,$CG$16,TRUE,Currency2))</f>
        <v>0</v>
      </c>
      <c r="CA278" s="882">
        <f>IF($BN279=0,0,        _xll.qDateNext($BN278,CA$17,$CG$16,TRUE,Currency2))</f>
        <v>0</v>
      </c>
      <c r="CB278" s="882">
        <f>IF($BN279=0,0,        _xll.qDateNext($BN278,CB$17,$CG$16,TRUE,Currency2))</f>
        <v>0</v>
      </c>
      <c r="CC278" s="882">
        <f>IF($BN279=0,0,        _xll.qDateNext($BN278,CC$17,$CG$16,TRUE,Currency2))</f>
        <v>0</v>
      </c>
      <c r="CD278" s="882">
        <f>IF($BN279=0,0,        _xll.qDateNext($BN278,CD$17,$CG$16,TRUE,Currency2))</f>
        <v>0</v>
      </c>
      <c r="CE278" s="882">
        <f>IF($BN279=0,0,        _xll.qDateNext($BN278,CE$17,$CG$16,TRUE,Currency2))</f>
        <v>0</v>
      </c>
      <c r="CF278" s="882">
        <f>IF($BN279=0,0,        _xll.qDateNext($BN278,CF$17,$CG$16,TRUE,Currency2))</f>
        <v>0</v>
      </c>
      <c r="CG278" s="882">
        <f>IF($BN279=0,0,        _xll.qDateNext($BN278,CG$17,$CG$16,TRUE,Currency2))</f>
        <v>0</v>
      </c>
      <c r="CH278" s="886">
        <v>0</v>
      </c>
      <c r="CI278" s="886">
        <v>0</v>
      </c>
      <c r="CJ278" s="886">
        <v>0</v>
      </c>
      <c r="CK278" s="886">
        <v>0</v>
      </c>
      <c r="CL278" s="886">
        <f t="shared" si="157"/>
        <v>0</v>
      </c>
      <c r="CM278" s="886">
        <f t="shared" si="158"/>
        <v>0</v>
      </c>
      <c r="CN278" s="886">
        <v>0</v>
      </c>
      <c r="CO278" s="886">
        <v>0</v>
      </c>
      <c r="CP278" s="648">
        <f t="shared" si="135"/>
        <v>0</v>
      </c>
      <c r="CQ278" s="648">
        <f t="shared" si="136"/>
        <v>0</v>
      </c>
      <c r="CR278" s="648">
        <f t="shared" si="137"/>
        <v>0</v>
      </c>
      <c r="CS278" s="648">
        <f t="shared" si="138"/>
        <v>0</v>
      </c>
      <c r="CT278" s="648">
        <f t="shared" si="139"/>
        <v>0</v>
      </c>
      <c r="CU278" s="648">
        <f t="shared" si="140"/>
        <v>0</v>
      </c>
      <c r="CV278" s="648">
        <f t="shared" si="141"/>
        <v>0</v>
      </c>
      <c r="CW278" s="648">
        <f t="shared" si="142"/>
        <v>0</v>
      </c>
      <c r="CX278" s="634">
        <v>0</v>
      </c>
      <c r="CY278" s="616"/>
      <c r="CZ278" s="619">
        <f>IF(BN279=0,0,             IF(ISNUMBER(CY278),CY278,             IF(ISTEXT(CY278),INDEX(CP278:CW278,MATCH(CY278,$CP$17:$CW$17,0)),           IF(CX278="INT",_xll.qInterp(BN279,BZ278:CG278,CP278:CW278),       INDEX(CP278:CW278,MATCH(CX278,$CP$17:$CW$17,0))))))</f>
        <v>0</v>
      </c>
      <c r="DA278" s="755">
        <f t="shared" si="143"/>
        <v>0</v>
      </c>
      <c r="DB278" s="387">
        <f t="shared" si="144"/>
        <v>0</v>
      </c>
      <c r="DC278" s="268">
        <f>IF($BN279=0,0,         IF(LEFT(DCC_Leg2_Fixed,2)="1/",uEvaluate(DCC_Leg2_Fixed),         _xll.qDateYears($BN278,$BN279,DCC_Leg2_Fixed)))</f>
        <v>0</v>
      </c>
      <c r="DD278" s="268">
        <f>IF($BN279,_xll.qDateYears($BN278,$BN279,DCC_Leg2_Float),0)</f>
        <v>0</v>
      </c>
      <c r="DF278" s="332">
        <f t="shared" si="159"/>
        <v>0</v>
      </c>
      <c r="DG278" s="357">
        <f t="shared" si="160"/>
        <v>0</v>
      </c>
      <c r="DH278" s="527"/>
      <c r="DJ278" s="324">
        <f t="shared" si="130"/>
        <v>0</v>
      </c>
      <c r="DK278" s="529"/>
      <c r="DL278" s="338"/>
    </row>
    <row r="279" spans="15:116">
      <c r="O279" s="121">
        <v>0</v>
      </c>
      <c r="P279" s="755">
        <f t="shared" si="131"/>
        <v>0</v>
      </c>
      <c r="Q279" s="125">
        <v>0</v>
      </c>
      <c r="R279" s="890">
        <f>IF(O280=0,0,         IF(OR(Currency1="AUD",Currency1="NZD",Currency1="GBP"),O279,   _xll.qDateNext(O279,"-2b",,,IF(Currency1="EUR","TGT","LON"))))</f>
        <v>0</v>
      </c>
      <c r="S279" s="879" t="str">
        <v/>
      </c>
      <c r="T279" s="879" t="str">
        <v/>
      </c>
      <c r="U279" s="879" t="str">
        <v/>
      </c>
      <c r="V279" s="879" t="str">
        <v/>
      </c>
      <c r="W279" s="879" t="str">
        <v/>
      </c>
      <c r="X279" s="879" t="str">
        <v/>
      </c>
      <c r="Y279" s="879" t="str">
        <v/>
      </c>
      <c r="Z279" s="879" t="str">
        <v/>
      </c>
      <c r="AA279" s="882">
        <f>IF($O280=0,0,        _xll.qDateNext($O279,AA$17,$AH$16,TRUE,Currency1))</f>
        <v>0</v>
      </c>
      <c r="AB279" s="882">
        <f>IF($O280=0,0,        _xll.qDateNext($O279,AB$17,$AH$16,TRUE,Currency1))</f>
        <v>0</v>
      </c>
      <c r="AC279" s="882">
        <f>IF($O280=0,0,        _xll.qDateNext($O279,AC$17,$AH$16,TRUE,Currency1))</f>
        <v>0</v>
      </c>
      <c r="AD279" s="882">
        <f>IF($O280=0,0,        _xll.qDateNext($O279,AD$17,$AH$16,TRUE,Currency1))</f>
        <v>0</v>
      </c>
      <c r="AE279" s="882">
        <f>IF($O280=0,0,        _xll.qDateNext($O279,AE$17,$AH$16,TRUE,Currency1))</f>
        <v>0</v>
      </c>
      <c r="AF279" s="882">
        <f>IF($O280=0,0,        _xll.qDateNext($O279,AF$17,$AH$16,TRUE,Currency1))</f>
        <v>0</v>
      </c>
      <c r="AG279" s="882">
        <f>IF($O280=0,0,        _xll.qDateNext($O279,AG$17,$AH$16,TRUE,Currency1))</f>
        <v>0</v>
      </c>
      <c r="AH279" s="882">
        <f>IF($O280=0,0,        _xll.qDateNext($O279,AH$17,$AH$16,TRUE,Currency1))</f>
        <v>0</v>
      </c>
      <c r="AI279" s="886">
        <f>IF($O280=0,0,           IF(FRM,_xll.qGetFwdRate(AI$14,$O279,AA279,"T",DCC_Leg1_Float),_xll.qGetFwdRate(AI$14,$O279,$O280,"T",DCC_Leg1_Float)))</f>
        <v>0</v>
      </c>
      <c r="AJ279" s="886">
        <f>IF($O280=0,0,           IF(FRM,_xll.qGetFwdRate(AJ$14,$O279,AB279,"T",DCC_Leg1_Float),_xll.qGetFwdRate(AJ$14,$O279,$O280,"T",DCC_Leg1_Float)))</f>
        <v>0</v>
      </c>
      <c r="AK279" s="886">
        <f t="shared" si="132"/>
        <v>0</v>
      </c>
      <c r="AL279" s="886">
        <f>IF($O280=0,0,           IF(FRM,_xll.qGetFwdRate(AL$14,$O279,AD279,"T",DCC_Leg1_Float),_xll.qGetFwdRate(AL$14,$O279,$O280,"T",DCC_Leg1_Float)))</f>
        <v>0</v>
      </c>
      <c r="AM279" s="886">
        <f t="shared" si="145"/>
        <v>0</v>
      </c>
      <c r="AN279" s="886">
        <f t="shared" si="146"/>
        <v>0</v>
      </c>
      <c r="AO279" s="886">
        <f>IF($O280=0,0,           IF(FRM,_xll.qGetFwdRate(AO$14,$O279,AG279,"T",DCC_Leg1_Float),_xll.qGetFwdRate(AO$14,$O279,$O280,"T",DCC_Leg1_Float)))</f>
        <v>0</v>
      </c>
      <c r="AP279" s="886">
        <f>IF($O280=0,0,           IF(FRM,_xll.qGetFwdRate(AP$14,$O279,AH279,"T",DCC_Leg1_Float),_xll.qGetFwdRate(AP$14,$O279,$O280,"T",DCC_Leg1_Float)))</f>
        <v>0</v>
      </c>
      <c r="AQ279" s="648">
        <f t="shared" si="147"/>
        <v>0</v>
      </c>
      <c r="AR279" s="648">
        <f t="shared" si="148"/>
        <v>0</v>
      </c>
      <c r="AS279" s="648">
        <f t="shared" si="149"/>
        <v>0</v>
      </c>
      <c r="AT279" s="648">
        <f t="shared" si="150"/>
        <v>0</v>
      </c>
      <c r="AU279" s="648">
        <f t="shared" si="151"/>
        <v>0</v>
      </c>
      <c r="AV279" s="648">
        <f t="shared" si="152"/>
        <v>0</v>
      </c>
      <c r="AW279" s="648">
        <f t="shared" si="153"/>
        <v>0</v>
      </c>
      <c r="AX279" s="648">
        <f t="shared" si="154"/>
        <v>0</v>
      </c>
      <c r="AY279" s="634">
        <v>0</v>
      </c>
      <c r="AZ279" s="616"/>
      <c r="BA279" s="619">
        <f>IF(O280=0,0,             IF(ISNUMBER(AZ279),AZ279,             IF(ISTEXT(AZ279),INDEX(AQ279:AX279,MATCH(AZ279,$AQ$17:$AX$17,0)),           IF(AY279="INT",_xll.qInterp(O280,AA279:AH279,AQ279:AX279),       INDEX(AQ279:AX279,MATCH(AY279,$AQ$17:$AX$17,0))))))</f>
        <v>0</v>
      </c>
      <c r="BB279" s="674">
        <v>100</v>
      </c>
      <c r="BC279" s="666">
        <f t="shared" si="133"/>
        <v>0</v>
      </c>
      <c r="BD279" s="268">
        <f>IF($O280=0,0,                IF(LEFT(DCC_Leg1_Fixed,2)="1/",uEvaluate(DCC_Leg1_Fixed),        _xll.qDateYears($O279,$O280,DCC_Leg1_Fixed)))</f>
        <v>0</v>
      </c>
      <c r="BE279" s="268">
        <f>IF($O280,_xll.qDateYears($O279,$O280,DCC_Leg1_Float),0)</f>
        <v>0</v>
      </c>
      <c r="BG279" s="332">
        <f t="shared" si="155"/>
        <v>0</v>
      </c>
      <c r="BH279" s="357">
        <f t="shared" si="156"/>
        <v>0</v>
      </c>
      <c r="BI279" s="527"/>
      <c r="BK279" s="324">
        <f t="shared" si="129"/>
        <v>0</v>
      </c>
      <c r="BM279" s="338"/>
      <c r="BN279" s="121">
        <v>0</v>
      </c>
      <c r="BO279" s="755">
        <f t="shared" si="134"/>
        <v>0</v>
      </c>
      <c r="BP279" s="339">
        <v>0</v>
      </c>
      <c r="BQ279" s="890">
        <f>IF(BN280=0,0,         IF(OR(Currency2="AUD",Currency1="NZD",Currency2="GBP"),BN279,   _xll.qDateNext(BN279,"-2b",,,IF(Currency2="EUR","TGT","LON"))))</f>
        <v>0</v>
      </c>
      <c r="BR279" s="879" t="str">
        <v/>
      </c>
      <c r="BS279" s="879" t="str">
        <v/>
      </c>
      <c r="BT279" s="879" t="str">
        <v/>
      </c>
      <c r="BU279" s="879" t="str">
        <v/>
      </c>
      <c r="BV279" s="879" t="str">
        <v/>
      </c>
      <c r="BW279" s="879" t="str">
        <v/>
      </c>
      <c r="BX279" s="879" t="str">
        <v/>
      </c>
      <c r="BY279" s="879" t="str">
        <v/>
      </c>
      <c r="BZ279" s="882">
        <f>IF($BN280=0,0,        _xll.qDateNext($BN279,BZ$17,$CG$16,TRUE,Currency2))</f>
        <v>0</v>
      </c>
      <c r="CA279" s="882">
        <f>IF($BN280=0,0,        _xll.qDateNext($BN279,CA$17,$CG$16,TRUE,Currency2))</f>
        <v>0</v>
      </c>
      <c r="CB279" s="882">
        <f>IF($BN280=0,0,        _xll.qDateNext($BN279,CB$17,$CG$16,TRUE,Currency2))</f>
        <v>0</v>
      </c>
      <c r="CC279" s="882">
        <f>IF($BN280=0,0,        _xll.qDateNext($BN279,CC$17,$CG$16,TRUE,Currency2))</f>
        <v>0</v>
      </c>
      <c r="CD279" s="882">
        <f>IF($BN280=0,0,        _xll.qDateNext($BN279,CD$17,$CG$16,TRUE,Currency2))</f>
        <v>0</v>
      </c>
      <c r="CE279" s="882">
        <f>IF($BN280=0,0,        _xll.qDateNext($BN279,CE$17,$CG$16,TRUE,Currency2))</f>
        <v>0</v>
      </c>
      <c r="CF279" s="882">
        <f>IF($BN280=0,0,        _xll.qDateNext($BN279,CF$17,$CG$16,TRUE,Currency2))</f>
        <v>0</v>
      </c>
      <c r="CG279" s="882">
        <f>IF($BN280=0,0,        _xll.qDateNext($BN279,CG$17,$CG$16,TRUE,Currency2))</f>
        <v>0</v>
      </c>
      <c r="CH279" s="886">
        <v>0</v>
      </c>
      <c r="CI279" s="886">
        <v>0</v>
      </c>
      <c r="CJ279" s="886">
        <v>0</v>
      </c>
      <c r="CK279" s="886">
        <v>0</v>
      </c>
      <c r="CL279" s="886">
        <f t="shared" si="157"/>
        <v>0</v>
      </c>
      <c r="CM279" s="886">
        <f t="shared" si="158"/>
        <v>0</v>
      </c>
      <c r="CN279" s="886">
        <v>0</v>
      </c>
      <c r="CO279" s="886">
        <v>0</v>
      </c>
      <c r="CP279" s="648">
        <f t="shared" si="135"/>
        <v>0</v>
      </c>
      <c r="CQ279" s="648">
        <f t="shared" si="136"/>
        <v>0</v>
      </c>
      <c r="CR279" s="648">
        <f t="shared" si="137"/>
        <v>0</v>
      </c>
      <c r="CS279" s="648">
        <f t="shared" si="138"/>
        <v>0</v>
      </c>
      <c r="CT279" s="648">
        <f t="shared" si="139"/>
        <v>0</v>
      </c>
      <c r="CU279" s="648">
        <f t="shared" si="140"/>
        <v>0</v>
      </c>
      <c r="CV279" s="648">
        <f t="shared" si="141"/>
        <v>0</v>
      </c>
      <c r="CW279" s="648">
        <f t="shared" si="142"/>
        <v>0</v>
      </c>
      <c r="CX279" s="634">
        <v>0</v>
      </c>
      <c r="CY279" s="616"/>
      <c r="CZ279" s="619">
        <f>IF(BN280=0,0,             IF(ISNUMBER(CY279),CY279,             IF(ISTEXT(CY279),INDEX(CP279:CW279,MATCH(CY279,$CP$17:$CW$17,0)),           IF(CX279="INT",_xll.qInterp(BN280,BZ279:CG279,CP279:CW279),       INDEX(CP279:CW279,MATCH(CX279,$CP$17:$CW$17,0))))))</f>
        <v>0</v>
      </c>
      <c r="DA279" s="755">
        <f t="shared" si="143"/>
        <v>0</v>
      </c>
      <c r="DB279" s="387">
        <f t="shared" si="144"/>
        <v>0</v>
      </c>
      <c r="DC279" s="268">
        <f>IF($BN280=0,0,         IF(LEFT(DCC_Leg2_Fixed,2)="1/",uEvaluate(DCC_Leg2_Fixed),         _xll.qDateYears($BN279,$BN280,DCC_Leg2_Fixed)))</f>
        <v>0</v>
      </c>
      <c r="DD279" s="268">
        <f>IF($BN280,_xll.qDateYears($BN279,$BN280,DCC_Leg2_Float),0)</f>
        <v>0</v>
      </c>
      <c r="DF279" s="332">
        <f t="shared" si="159"/>
        <v>0</v>
      </c>
      <c r="DG279" s="357">
        <f t="shared" si="160"/>
        <v>0</v>
      </c>
      <c r="DH279" s="527"/>
      <c r="DJ279" s="324">
        <f t="shared" si="130"/>
        <v>0</v>
      </c>
      <c r="DK279" s="529"/>
      <c r="DL279" s="338"/>
    </row>
    <row r="280" spans="15:116">
      <c r="O280" s="121">
        <v>0</v>
      </c>
      <c r="P280" s="755">
        <f t="shared" si="131"/>
        <v>0</v>
      </c>
      <c r="Q280" s="125">
        <v>0</v>
      </c>
      <c r="R280" s="890">
        <f>IF(O281=0,0,         IF(OR(Currency1="AUD",Currency1="NZD",Currency1="GBP"),O280,   _xll.qDateNext(O280,"-2b",,,IF(Currency1="EUR","TGT","LON"))))</f>
        <v>0</v>
      </c>
      <c r="S280" s="879" t="str">
        <v/>
      </c>
      <c r="T280" s="879" t="str">
        <v/>
      </c>
      <c r="U280" s="879" t="str">
        <v/>
      </c>
      <c r="V280" s="879" t="str">
        <v/>
      </c>
      <c r="W280" s="879" t="str">
        <v/>
      </c>
      <c r="X280" s="879" t="str">
        <v/>
      </c>
      <c r="Y280" s="879" t="str">
        <v/>
      </c>
      <c r="Z280" s="879" t="str">
        <v/>
      </c>
      <c r="AA280" s="882">
        <f>IF($O281=0,0,        _xll.qDateNext($O280,AA$17,$AH$16,TRUE,Currency1))</f>
        <v>0</v>
      </c>
      <c r="AB280" s="882">
        <f>IF($O281=0,0,        _xll.qDateNext($O280,AB$17,$AH$16,TRUE,Currency1))</f>
        <v>0</v>
      </c>
      <c r="AC280" s="882">
        <f>IF($O281=0,0,        _xll.qDateNext($O280,AC$17,$AH$16,TRUE,Currency1))</f>
        <v>0</v>
      </c>
      <c r="AD280" s="882">
        <f>IF($O281=0,0,        _xll.qDateNext($O280,AD$17,$AH$16,TRUE,Currency1))</f>
        <v>0</v>
      </c>
      <c r="AE280" s="882">
        <f>IF($O281=0,0,        _xll.qDateNext($O280,AE$17,$AH$16,TRUE,Currency1))</f>
        <v>0</v>
      </c>
      <c r="AF280" s="882">
        <f>IF($O281=0,0,        _xll.qDateNext($O280,AF$17,$AH$16,TRUE,Currency1))</f>
        <v>0</v>
      </c>
      <c r="AG280" s="882">
        <f>IF($O281=0,0,        _xll.qDateNext($O280,AG$17,$AH$16,TRUE,Currency1))</f>
        <v>0</v>
      </c>
      <c r="AH280" s="882">
        <f>IF($O281=0,0,        _xll.qDateNext($O280,AH$17,$AH$16,TRUE,Currency1))</f>
        <v>0</v>
      </c>
      <c r="AI280" s="886">
        <f>IF($O281=0,0,           IF(FRM,_xll.qGetFwdRate(AI$14,$O280,AA280,"T",DCC_Leg1_Float),_xll.qGetFwdRate(AI$14,$O280,$O281,"T",DCC_Leg1_Float)))</f>
        <v>0</v>
      </c>
      <c r="AJ280" s="886">
        <f>IF($O281=0,0,           IF(FRM,_xll.qGetFwdRate(AJ$14,$O280,AB280,"T",DCC_Leg1_Float),_xll.qGetFwdRate(AJ$14,$O280,$O281,"T",DCC_Leg1_Float)))</f>
        <v>0</v>
      </c>
      <c r="AK280" s="886">
        <f t="shared" si="132"/>
        <v>0</v>
      </c>
      <c r="AL280" s="886">
        <f>IF($O281=0,0,           IF(FRM,_xll.qGetFwdRate(AL$14,$O280,AD280,"T",DCC_Leg1_Float),_xll.qGetFwdRate(AL$14,$O280,$O281,"T",DCC_Leg1_Float)))</f>
        <v>0</v>
      </c>
      <c r="AM280" s="886">
        <f t="shared" si="145"/>
        <v>0</v>
      </c>
      <c r="AN280" s="886">
        <f t="shared" si="146"/>
        <v>0</v>
      </c>
      <c r="AO280" s="886">
        <f>IF($O281=0,0,           IF(FRM,_xll.qGetFwdRate(AO$14,$O280,AG280,"T",DCC_Leg1_Float),_xll.qGetFwdRate(AO$14,$O280,$O281,"T",DCC_Leg1_Float)))</f>
        <v>0</v>
      </c>
      <c r="AP280" s="886">
        <f>IF($O281=0,0,           IF(FRM,_xll.qGetFwdRate(AP$14,$O280,AH280,"T",DCC_Leg1_Float),_xll.qGetFwdRate(AP$14,$O280,$O281,"T",DCC_Leg1_Float)))</f>
        <v>0</v>
      </c>
      <c r="AQ280" s="648">
        <f t="shared" si="147"/>
        <v>0</v>
      </c>
      <c r="AR280" s="648">
        <f t="shared" si="148"/>
        <v>0</v>
      </c>
      <c r="AS280" s="648">
        <f t="shared" si="149"/>
        <v>0</v>
      </c>
      <c r="AT280" s="648">
        <f t="shared" si="150"/>
        <v>0</v>
      </c>
      <c r="AU280" s="648">
        <f t="shared" si="151"/>
        <v>0</v>
      </c>
      <c r="AV280" s="648">
        <f t="shared" si="152"/>
        <v>0</v>
      </c>
      <c r="AW280" s="648">
        <f t="shared" si="153"/>
        <v>0</v>
      </c>
      <c r="AX280" s="648">
        <f t="shared" si="154"/>
        <v>0</v>
      </c>
      <c r="AY280" s="634">
        <v>0</v>
      </c>
      <c r="AZ280" s="616"/>
      <c r="BA280" s="619">
        <f>IF(O281=0,0,             IF(ISNUMBER(AZ280),AZ280,             IF(ISTEXT(AZ280),INDEX(AQ280:AX280,MATCH(AZ280,$AQ$17:$AX$17,0)),           IF(AY280="INT",_xll.qInterp(O281,AA280:AH280,AQ280:AX280),       INDEX(AQ280:AX280,MATCH(AY280,$AQ$17:$AX$17,0))))))</f>
        <v>0</v>
      </c>
      <c r="BB280" s="674">
        <v>100</v>
      </c>
      <c r="BC280" s="666">
        <f t="shared" si="133"/>
        <v>0</v>
      </c>
      <c r="BD280" s="268">
        <f>IF($O281=0,0,                IF(LEFT(DCC_Leg1_Fixed,2)="1/",uEvaluate(DCC_Leg1_Fixed),        _xll.qDateYears($O280,$O281,DCC_Leg1_Fixed)))</f>
        <v>0</v>
      </c>
      <c r="BE280" s="268">
        <f>IF($O281,_xll.qDateYears($O280,$O281,DCC_Leg1_Float),0)</f>
        <v>0</v>
      </c>
      <c r="BG280" s="332">
        <f t="shared" si="155"/>
        <v>0</v>
      </c>
      <c r="BH280" s="357">
        <f t="shared" si="156"/>
        <v>0</v>
      </c>
      <c r="BI280" s="527"/>
      <c r="BK280" s="324">
        <f t="shared" si="129"/>
        <v>0</v>
      </c>
      <c r="BM280" s="338"/>
      <c r="BN280" s="121">
        <v>0</v>
      </c>
      <c r="BO280" s="755">
        <f t="shared" si="134"/>
        <v>0</v>
      </c>
      <c r="BP280" s="339">
        <v>0</v>
      </c>
      <c r="BQ280" s="890">
        <f>IF(BN281=0,0,         IF(OR(Currency2="AUD",Currency1="NZD",Currency2="GBP"),BN280,   _xll.qDateNext(BN280,"-2b",,,IF(Currency2="EUR","TGT","LON"))))</f>
        <v>0</v>
      </c>
      <c r="BR280" s="879" t="str">
        <v/>
      </c>
      <c r="BS280" s="879" t="str">
        <v/>
      </c>
      <c r="BT280" s="879" t="str">
        <v/>
      </c>
      <c r="BU280" s="879" t="str">
        <v/>
      </c>
      <c r="BV280" s="879" t="str">
        <v/>
      </c>
      <c r="BW280" s="879" t="str">
        <v/>
      </c>
      <c r="BX280" s="879" t="str">
        <v/>
      </c>
      <c r="BY280" s="879" t="str">
        <v/>
      </c>
      <c r="BZ280" s="882">
        <f>IF($BN281=0,0,        _xll.qDateNext($BN280,BZ$17,$CG$16,TRUE,Currency2))</f>
        <v>0</v>
      </c>
      <c r="CA280" s="882">
        <f>IF($BN281=0,0,        _xll.qDateNext($BN280,CA$17,$CG$16,TRUE,Currency2))</f>
        <v>0</v>
      </c>
      <c r="CB280" s="882">
        <f>IF($BN281=0,0,        _xll.qDateNext($BN280,CB$17,$CG$16,TRUE,Currency2))</f>
        <v>0</v>
      </c>
      <c r="CC280" s="882">
        <f>IF($BN281=0,0,        _xll.qDateNext($BN280,CC$17,$CG$16,TRUE,Currency2))</f>
        <v>0</v>
      </c>
      <c r="CD280" s="882">
        <f>IF($BN281=0,0,        _xll.qDateNext($BN280,CD$17,$CG$16,TRUE,Currency2))</f>
        <v>0</v>
      </c>
      <c r="CE280" s="882">
        <f>IF($BN281=0,0,        _xll.qDateNext($BN280,CE$17,$CG$16,TRUE,Currency2))</f>
        <v>0</v>
      </c>
      <c r="CF280" s="882">
        <f>IF($BN281=0,0,        _xll.qDateNext($BN280,CF$17,$CG$16,TRUE,Currency2))</f>
        <v>0</v>
      </c>
      <c r="CG280" s="882">
        <f>IF($BN281=0,0,        _xll.qDateNext($BN280,CG$17,$CG$16,TRUE,Currency2))</f>
        <v>0</v>
      </c>
      <c r="CH280" s="886">
        <v>0</v>
      </c>
      <c r="CI280" s="886">
        <v>0</v>
      </c>
      <c r="CJ280" s="886">
        <v>0</v>
      </c>
      <c r="CK280" s="886">
        <v>0</v>
      </c>
      <c r="CL280" s="886">
        <f t="shared" si="157"/>
        <v>0</v>
      </c>
      <c r="CM280" s="886">
        <f t="shared" si="158"/>
        <v>0</v>
      </c>
      <c r="CN280" s="886">
        <v>0</v>
      </c>
      <c r="CO280" s="886">
        <v>0</v>
      </c>
      <c r="CP280" s="648">
        <f t="shared" si="135"/>
        <v>0</v>
      </c>
      <c r="CQ280" s="648">
        <f t="shared" si="136"/>
        <v>0</v>
      </c>
      <c r="CR280" s="648">
        <f t="shared" si="137"/>
        <v>0</v>
      </c>
      <c r="CS280" s="648">
        <f t="shared" si="138"/>
        <v>0</v>
      </c>
      <c r="CT280" s="648">
        <f t="shared" si="139"/>
        <v>0</v>
      </c>
      <c r="CU280" s="648">
        <f t="shared" si="140"/>
        <v>0</v>
      </c>
      <c r="CV280" s="648">
        <f t="shared" si="141"/>
        <v>0</v>
      </c>
      <c r="CW280" s="648">
        <f t="shared" si="142"/>
        <v>0</v>
      </c>
      <c r="CX280" s="634">
        <v>0</v>
      </c>
      <c r="CY280" s="616"/>
      <c r="CZ280" s="619">
        <f>IF(BN281=0,0,             IF(ISNUMBER(CY280),CY280,             IF(ISTEXT(CY280),INDEX(CP280:CW280,MATCH(CY280,$CP$17:$CW$17,0)),           IF(CX280="INT",_xll.qInterp(BN281,BZ280:CG280,CP280:CW280),       INDEX(CP280:CW280,MATCH(CX280,$CP$17:$CW$17,0))))))</f>
        <v>0</v>
      </c>
      <c r="DA280" s="755">
        <f t="shared" si="143"/>
        <v>0</v>
      </c>
      <c r="DB280" s="387">
        <f t="shared" si="144"/>
        <v>0</v>
      </c>
      <c r="DC280" s="268">
        <f>IF($BN281=0,0,         IF(LEFT(DCC_Leg2_Fixed,2)="1/",uEvaluate(DCC_Leg2_Fixed),         _xll.qDateYears($BN280,$BN281,DCC_Leg2_Fixed)))</f>
        <v>0</v>
      </c>
      <c r="DD280" s="268">
        <f>IF($BN281,_xll.qDateYears($BN280,$BN281,DCC_Leg2_Float),0)</f>
        <v>0</v>
      </c>
      <c r="DF280" s="332">
        <f t="shared" si="159"/>
        <v>0</v>
      </c>
      <c r="DG280" s="357">
        <f t="shared" si="160"/>
        <v>0</v>
      </c>
      <c r="DH280" s="527"/>
      <c r="DJ280" s="324">
        <f t="shared" si="130"/>
        <v>0</v>
      </c>
      <c r="DK280" s="529"/>
      <c r="DL280" s="338"/>
    </row>
    <row r="281" spans="15:116">
      <c r="O281" s="121">
        <v>0</v>
      </c>
      <c r="P281" s="755">
        <f t="shared" si="131"/>
        <v>0</v>
      </c>
      <c r="Q281" s="125">
        <v>0</v>
      </c>
      <c r="R281" s="890">
        <f>IF(O282=0,0,         IF(OR(Currency1="AUD",Currency1="NZD",Currency1="GBP"),O281,   _xll.qDateNext(O281,"-2b",,,IF(Currency1="EUR","TGT","LON"))))</f>
        <v>0</v>
      </c>
      <c r="S281" s="879" t="str">
        <v/>
      </c>
      <c r="T281" s="879" t="str">
        <v/>
      </c>
      <c r="U281" s="879" t="str">
        <v/>
      </c>
      <c r="V281" s="879" t="str">
        <v/>
      </c>
      <c r="W281" s="879" t="str">
        <v/>
      </c>
      <c r="X281" s="879" t="str">
        <v/>
      </c>
      <c r="Y281" s="879" t="str">
        <v/>
      </c>
      <c r="Z281" s="879" t="str">
        <v/>
      </c>
      <c r="AA281" s="882">
        <f>IF($O282=0,0,        _xll.qDateNext($O281,AA$17,$AH$16,TRUE,Currency1))</f>
        <v>0</v>
      </c>
      <c r="AB281" s="882">
        <f>IF($O282=0,0,        _xll.qDateNext($O281,AB$17,$AH$16,TRUE,Currency1))</f>
        <v>0</v>
      </c>
      <c r="AC281" s="882">
        <f>IF($O282=0,0,        _xll.qDateNext($O281,AC$17,$AH$16,TRUE,Currency1))</f>
        <v>0</v>
      </c>
      <c r="AD281" s="882">
        <f>IF($O282=0,0,        _xll.qDateNext($O281,AD$17,$AH$16,TRUE,Currency1))</f>
        <v>0</v>
      </c>
      <c r="AE281" s="882">
        <f>IF($O282=0,0,        _xll.qDateNext($O281,AE$17,$AH$16,TRUE,Currency1))</f>
        <v>0</v>
      </c>
      <c r="AF281" s="882">
        <f>IF($O282=0,0,        _xll.qDateNext($O281,AF$17,$AH$16,TRUE,Currency1))</f>
        <v>0</v>
      </c>
      <c r="AG281" s="882">
        <f>IF($O282=0,0,        _xll.qDateNext($O281,AG$17,$AH$16,TRUE,Currency1))</f>
        <v>0</v>
      </c>
      <c r="AH281" s="882">
        <f>IF($O282=0,0,        _xll.qDateNext($O281,AH$17,$AH$16,TRUE,Currency1))</f>
        <v>0</v>
      </c>
      <c r="AI281" s="886">
        <f>IF($O282=0,0,           IF(FRM,_xll.qGetFwdRate(AI$14,$O281,AA281,"T",DCC_Leg1_Float),_xll.qGetFwdRate(AI$14,$O281,$O282,"T",DCC_Leg1_Float)))</f>
        <v>0</v>
      </c>
      <c r="AJ281" s="886">
        <f>IF($O282=0,0,           IF(FRM,_xll.qGetFwdRate(AJ$14,$O281,AB281,"T",DCC_Leg1_Float),_xll.qGetFwdRate(AJ$14,$O281,$O282,"T",DCC_Leg1_Float)))</f>
        <v>0</v>
      </c>
      <c r="AK281" s="886">
        <f t="shared" si="132"/>
        <v>0</v>
      </c>
      <c r="AL281" s="886">
        <f>IF($O282=0,0,           IF(FRM,_xll.qGetFwdRate(AL$14,$O281,AD281,"T",DCC_Leg1_Float),_xll.qGetFwdRate(AL$14,$O281,$O282,"T",DCC_Leg1_Float)))</f>
        <v>0</v>
      </c>
      <c r="AM281" s="886">
        <f t="shared" si="145"/>
        <v>0</v>
      </c>
      <c r="AN281" s="886">
        <f t="shared" si="146"/>
        <v>0</v>
      </c>
      <c r="AO281" s="886">
        <f>IF($O282=0,0,           IF(FRM,_xll.qGetFwdRate(AO$14,$O281,AG281,"T",DCC_Leg1_Float),_xll.qGetFwdRate(AO$14,$O281,$O282,"T",DCC_Leg1_Float)))</f>
        <v>0</v>
      </c>
      <c r="AP281" s="886">
        <f>IF($O282=0,0,           IF(FRM,_xll.qGetFwdRate(AP$14,$O281,AH281,"T",DCC_Leg1_Float),_xll.qGetFwdRate(AP$14,$O281,$O282,"T",DCC_Leg1_Float)))</f>
        <v>0</v>
      </c>
      <c r="AQ281" s="648">
        <f t="shared" si="147"/>
        <v>0</v>
      </c>
      <c r="AR281" s="648">
        <f t="shared" si="148"/>
        <v>0</v>
      </c>
      <c r="AS281" s="648">
        <f t="shared" si="149"/>
        <v>0</v>
      </c>
      <c r="AT281" s="648">
        <f t="shared" si="150"/>
        <v>0</v>
      </c>
      <c r="AU281" s="648">
        <f t="shared" si="151"/>
        <v>0</v>
      </c>
      <c r="AV281" s="648">
        <f t="shared" si="152"/>
        <v>0</v>
      </c>
      <c r="AW281" s="648">
        <f t="shared" si="153"/>
        <v>0</v>
      </c>
      <c r="AX281" s="648">
        <f t="shared" si="154"/>
        <v>0</v>
      </c>
      <c r="AY281" s="634">
        <v>0</v>
      </c>
      <c r="AZ281" s="616"/>
      <c r="BA281" s="619">
        <f>IF(O282=0,0,             IF(ISNUMBER(AZ281),AZ281,             IF(ISTEXT(AZ281),INDEX(AQ281:AX281,MATCH(AZ281,$AQ$17:$AX$17,0)),           IF(AY281="INT",_xll.qInterp(O282,AA281:AH281,AQ281:AX281),       INDEX(AQ281:AX281,MATCH(AY281,$AQ$17:$AX$17,0))))))</f>
        <v>0</v>
      </c>
      <c r="BB281" s="674">
        <v>100</v>
      </c>
      <c r="BC281" s="666">
        <f t="shared" si="133"/>
        <v>0</v>
      </c>
      <c r="BD281" s="268">
        <f>IF($O282=0,0,                IF(LEFT(DCC_Leg1_Fixed,2)="1/",uEvaluate(DCC_Leg1_Fixed),        _xll.qDateYears($O281,$O282,DCC_Leg1_Fixed)))</f>
        <v>0</v>
      </c>
      <c r="BE281" s="268">
        <f>IF($O282,_xll.qDateYears($O281,$O282,DCC_Leg1_Float),0)</f>
        <v>0</v>
      </c>
      <c r="BG281" s="332">
        <f t="shared" si="155"/>
        <v>0</v>
      </c>
      <c r="BH281" s="357">
        <f t="shared" si="156"/>
        <v>0</v>
      </c>
      <c r="BI281" s="527"/>
      <c r="BK281" s="324">
        <f t="shared" si="129"/>
        <v>0</v>
      </c>
      <c r="BM281" s="338"/>
      <c r="BN281" s="121">
        <v>0</v>
      </c>
      <c r="BO281" s="755">
        <f t="shared" si="134"/>
        <v>0</v>
      </c>
      <c r="BP281" s="339">
        <v>0</v>
      </c>
      <c r="BQ281" s="890">
        <f>IF(BN282=0,0,         IF(OR(Currency2="AUD",Currency1="NZD",Currency2="GBP"),BN281,   _xll.qDateNext(BN281,"-2b",,,IF(Currency2="EUR","TGT","LON"))))</f>
        <v>0</v>
      </c>
      <c r="BR281" s="879" t="str">
        <v/>
      </c>
      <c r="BS281" s="879" t="str">
        <v/>
      </c>
      <c r="BT281" s="879" t="str">
        <v/>
      </c>
      <c r="BU281" s="879" t="str">
        <v/>
      </c>
      <c r="BV281" s="879" t="str">
        <v/>
      </c>
      <c r="BW281" s="879" t="str">
        <v/>
      </c>
      <c r="BX281" s="879" t="str">
        <v/>
      </c>
      <c r="BY281" s="879" t="str">
        <v/>
      </c>
      <c r="BZ281" s="882">
        <f>IF($BN282=0,0,        _xll.qDateNext($BN281,BZ$17,$CG$16,TRUE,Currency2))</f>
        <v>0</v>
      </c>
      <c r="CA281" s="882">
        <f>IF($BN282=0,0,        _xll.qDateNext($BN281,CA$17,$CG$16,TRUE,Currency2))</f>
        <v>0</v>
      </c>
      <c r="CB281" s="882">
        <f>IF($BN282=0,0,        _xll.qDateNext($BN281,CB$17,$CG$16,TRUE,Currency2))</f>
        <v>0</v>
      </c>
      <c r="CC281" s="882">
        <f>IF($BN282=0,0,        _xll.qDateNext($BN281,CC$17,$CG$16,TRUE,Currency2))</f>
        <v>0</v>
      </c>
      <c r="CD281" s="882">
        <f>IF($BN282=0,0,        _xll.qDateNext($BN281,CD$17,$CG$16,TRUE,Currency2))</f>
        <v>0</v>
      </c>
      <c r="CE281" s="882">
        <f>IF($BN282=0,0,        _xll.qDateNext($BN281,CE$17,$CG$16,TRUE,Currency2))</f>
        <v>0</v>
      </c>
      <c r="CF281" s="882">
        <f>IF($BN282=0,0,        _xll.qDateNext($BN281,CF$17,$CG$16,TRUE,Currency2))</f>
        <v>0</v>
      </c>
      <c r="CG281" s="882">
        <f>IF($BN282=0,0,        _xll.qDateNext($BN281,CG$17,$CG$16,TRUE,Currency2))</f>
        <v>0</v>
      </c>
      <c r="CH281" s="886">
        <v>0</v>
      </c>
      <c r="CI281" s="886">
        <v>0</v>
      </c>
      <c r="CJ281" s="886">
        <v>0</v>
      </c>
      <c r="CK281" s="886">
        <v>0</v>
      </c>
      <c r="CL281" s="886">
        <f t="shared" si="157"/>
        <v>0</v>
      </c>
      <c r="CM281" s="886">
        <f t="shared" si="158"/>
        <v>0</v>
      </c>
      <c r="CN281" s="886">
        <v>0</v>
      </c>
      <c r="CO281" s="886">
        <v>0</v>
      </c>
      <c r="CP281" s="648">
        <f t="shared" si="135"/>
        <v>0</v>
      </c>
      <c r="CQ281" s="648">
        <f t="shared" si="136"/>
        <v>0</v>
      </c>
      <c r="CR281" s="648">
        <f t="shared" si="137"/>
        <v>0</v>
      </c>
      <c r="CS281" s="648">
        <f t="shared" si="138"/>
        <v>0</v>
      </c>
      <c r="CT281" s="648">
        <f t="shared" si="139"/>
        <v>0</v>
      </c>
      <c r="CU281" s="648">
        <f t="shared" si="140"/>
        <v>0</v>
      </c>
      <c r="CV281" s="648">
        <f t="shared" si="141"/>
        <v>0</v>
      </c>
      <c r="CW281" s="648">
        <f t="shared" si="142"/>
        <v>0</v>
      </c>
      <c r="CX281" s="634">
        <v>0</v>
      </c>
      <c r="CY281" s="616"/>
      <c r="CZ281" s="619">
        <f>IF(BN282=0,0,             IF(ISNUMBER(CY281),CY281,             IF(ISTEXT(CY281),INDEX(CP281:CW281,MATCH(CY281,$CP$17:$CW$17,0)),           IF(CX281="INT",_xll.qInterp(BN282,BZ281:CG281,CP281:CW281),       INDEX(CP281:CW281,MATCH(CX281,$CP$17:$CW$17,0))))))</f>
        <v>0</v>
      </c>
      <c r="DA281" s="755">
        <f t="shared" si="143"/>
        <v>0</v>
      </c>
      <c r="DB281" s="387">
        <f t="shared" si="144"/>
        <v>0</v>
      </c>
      <c r="DC281" s="268">
        <f>IF($BN282=0,0,         IF(LEFT(DCC_Leg2_Fixed,2)="1/",uEvaluate(DCC_Leg2_Fixed),         _xll.qDateYears($BN281,$BN282,DCC_Leg2_Fixed)))</f>
        <v>0</v>
      </c>
      <c r="DD281" s="268">
        <f>IF($BN282,_xll.qDateYears($BN281,$BN282,DCC_Leg2_Float),0)</f>
        <v>0</v>
      </c>
      <c r="DF281" s="332">
        <f t="shared" si="159"/>
        <v>0</v>
      </c>
      <c r="DG281" s="357">
        <f t="shared" si="160"/>
        <v>0</v>
      </c>
      <c r="DH281" s="527"/>
      <c r="DJ281" s="324">
        <f t="shared" si="130"/>
        <v>0</v>
      </c>
      <c r="DK281" s="529"/>
      <c r="DL281" s="338"/>
    </row>
    <row r="282" spans="15:116">
      <c r="O282" s="121">
        <v>0</v>
      </c>
      <c r="P282" s="755">
        <f t="shared" si="131"/>
        <v>0</v>
      </c>
      <c r="Q282" s="125">
        <v>0</v>
      </c>
      <c r="R282" s="890">
        <f>IF(O283=0,0,         IF(OR(Currency1="AUD",Currency1="NZD",Currency1="GBP"),O282,   _xll.qDateNext(O282,"-2b",,,IF(Currency1="EUR","TGT","LON"))))</f>
        <v>0</v>
      </c>
      <c r="S282" s="879" t="str">
        <v/>
      </c>
      <c r="T282" s="879" t="str">
        <v/>
      </c>
      <c r="U282" s="879" t="str">
        <v/>
      </c>
      <c r="V282" s="879" t="str">
        <v/>
      </c>
      <c r="W282" s="879" t="str">
        <v/>
      </c>
      <c r="X282" s="879" t="str">
        <v/>
      </c>
      <c r="Y282" s="879" t="str">
        <v/>
      </c>
      <c r="Z282" s="879" t="str">
        <v/>
      </c>
      <c r="AA282" s="882">
        <f>IF($O283=0,0,        _xll.qDateNext($O282,AA$17,$AH$16,TRUE,Currency1))</f>
        <v>0</v>
      </c>
      <c r="AB282" s="882">
        <f>IF($O283=0,0,        _xll.qDateNext($O282,AB$17,$AH$16,TRUE,Currency1))</f>
        <v>0</v>
      </c>
      <c r="AC282" s="882">
        <f>IF($O283=0,0,        _xll.qDateNext($O282,AC$17,$AH$16,TRUE,Currency1))</f>
        <v>0</v>
      </c>
      <c r="AD282" s="882">
        <f>IF($O283=0,0,        _xll.qDateNext($O282,AD$17,$AH$16,TRUE,Currency1))</f>
        <v>0</v>
      </c>
      <c r="AE282" s="882">
        <f>IF($O283=0,0,        _xll.qDateNext($O282,AE$17,$AH$16,TRUE,Currency1))</f>
        <v>0</v>
      </c>
      <c r="AF282" s="882">
        <f>IF($O283=0,0,        _xll.qDateNext($O282,AF$17,$AH$16,TRUE,Currency1))</f>
        <v>0</v>
      </c>
      <c r="AG282" s="882">
        <f>IF($O283=0,0,        _xll.qDateNext($O282,AG$17,$AH$16,TRUE,Currency1))</f>
        <v>0</v>
      </c>
      <c r="AH282" s="882">
        <f>IF($O283=0,0,        _xll.qDateNext($O282,AH$17,$AH$16,TRUE,Currency1))</f>
        <v>0</v>
      </c>
      <c r="AI282" s="886">
        <f>IF($O283=0,0,           IF(FRM,_xll.qGetFwdRate(AI$14,$O282,AA282,"T",DCC_Leg1_Float),_xll.qGetFwdRate(AI$14,$O282,$O283,"T",DCC_Leg1_Float)))</f>
        <v>0</v>
      </c>
      <c r="AJ282" s="886">
        <f>IF($O283=0,0,           IF(FRM,_xll.qGetFwdRate(AJ$14,$O282,AB282,"T",DCC_Leg1_Float),_xll.qGetFwdRate(AJ$14,$O282,$O283,"T",DCC_Leg1_Float)))</f>
        <v>0</v>
      </c>
      <c r="AK282" s="886">
        <f t="shared" si="132"/>
        <v>0</v>
      </c>
      <c r="AL282" s="886">
        <f>IF($O283=0,0,           IF(FRM,_xll.qGetFwdRate(AL$14,$O282,AD282,"T",DCC_Leg1_Float),_xll.qGetFwdRate(AL$14,$O282,$O283,"T",DCC_Leg1_Float)))</f>
        <v>0</v>
      </c>
      <c r="AM282" s="886">
        <f t="shared" si="145"/>
        <v>0</v>
      </c>
      <c r="AN282" s="886">
        <f t="shared" si="146"/>
        <v>0</v>
      </c>
      <c r="AO282" s="886">
        <f>IF($O283=0,0,           IF(FRM,_xll.qGetFwdRate(AO$14,$O282,AG282,"T",DCC_Leg1_Float),_xll.qGetFwdRate(AO$14,$O282,$O283,"T",DCC_Leg1_Float)))</f>
        <v>0</v>
      </c>
      <c r="AP282" s="886">
        <f>IF($O283=0,0,           IF(FRM,_xll.qGetFwdRate(AP$14,$O282,AH282,"T",DCC_Leg1_Float),_xll.qGetFwdRate(AP$14,$O282,$O283,"T",DCC_Leg1_Float)))</f>
        <v>0</v>
      </c>
      <c r="AQ282" s="648">
        <f t="shared" si="147"/>
        <v>0</v>
      </c>
      <c r="AR282" s="648">
        <f t="shared" si="148"/>
        <v>0</v>
      </c>
      <c r="AS282" s="648">
        <f t="shared" si="149"/>
        <v>0</v>
      </c>
      <c r="AT282" s="648">
        <f t="shared" si="150"/>
        <v>0</v>
      </c>
      <c r="AU282" s="648">
        <f t="shared" si="151"/>
        <v>0</v>
      </c>
      <c r="AV282" s="648">
        <f t="shared" si="152"/>
        <v>0</v>
      </c>
      <c r="AW282" s="648">
        <f t="shared" si="153"/>
        <v>0</v>
      </c>
      <c r="AX282" s="648">
        <f t="shared" si="154"/>
        <v>0</v>
      </c>
      <c r="AY282" s="634">
        <v>0</v>
      </c>
      <c r="AZ282" s="616"/>
      <c r="BA282" s="619">
        <f>IF(O283=0,0,             IF(ISNUMBER(AZ282),AZ282,             IF(ISTEXT(AZ282),INDEX(AQ282:AX282,MATCH(AZ282,$AQ$17:$AX$17,0)),           IF(AY282="INT",_xll.qInterp(O283,AA282:AH282,AQ282:AX282),       INDEX(AQ282:AX282,MATCH(AY282,$AQ$17:$AX$17,0))))))</f>
        <v>0</v>
      </c>
      <c r="BB282" s="674">
        <v>100</v>
      </c>
      <c r="BC282" s="666">
        <f t="shared" si="133"/>
        <v>0</v>
      </c>
      <c r="BD282" s="268">
        <f>IF($O283=0,0,                IF(LEFT(DCC_Leg1_Fixed,2)="1/",uEvaluate(DCC_Leg1_Fixed),        _xll.qDateYears($O282,$O283,DCC_Leg1_Fixed)))</f>
        <v>0</v>
      </c>
      <c r="BE282" s="268">
        <f>IF($O283,_xll.qDateYears($O282,$O283,DCC_Leg1_Float),0)</f>
        <v>0</v>
      </c>
      <c r="BG282" s="332">
        <f t="shared" si="155"/>
        <v>0</v>
      </c>
      <c r="BH282" s="357">
        <f t="shared" si="156"/>
        <v>0</v>
      </c>
      <c r="BI282" s="527"/>
      <c r="BK282" s="324">
        <f t="shared" si="129"/>
        <v>0</v>
      </c>
      <c r="BM282" s="338"/>
      <c r="BN282" s="121">
        <v>0</v>
      </c>
      <c r="BO282" s="755">
        <f t="shared" si="134"/>
        <v>0</v>
      </c>
      <c r="BP282" s="339">
        <v>0</v>
      </c>
      <c r="BQ282" s="890">
        <f>IF(BN283=0,0,         IF(OR(Currency2="AUD",Currency1="NZD",Currency2="GBP"),BN282,   _xll.qDateNext(BN282,"-2b",,,IF(Currency2="EUR","TGT","LON"))))</f>
        <v>0</v>
      </c>
      <c r="BR282" s="879" t="str">
        <v/>
      </c>
      <c r="BS282" s="879" t="str">
        <v/>
      </c>
      <c r="BT282" s="879" t="str">
        <v/>
      </c>
      <c r="BU282" s="879" t="str">
        <v/>
      </c>
      <c r="BV282" s="879" t="str">
        <v/>
      </c>
      <c r="BW282" s="879" t="str">
        <v/>
      </c>
      <c r="BX282" s="879" t="str">
        <v/>
      </c>
      <c r="BY282" s="879" t="str">
        <v/>
      </c>
      <c r="BZ282" s="882">
        <f>IF($BN283=0,0,        _xll.qDateNext($BN282,BZ$17,$CG$16,TRUE,Currency2))</f>
        <v>0</v>
      </c>
      <c r="CA282" s="882">
        <f>IF($BN283=0,0,        _xll.qDateNext($BN282,CA$17,$CG$16,TRUE,Currency2))</f>
        <v>0</v>
      </c>
      <c r="CB282" s="882">
        <f>IF($BN283=0,0,        _xll.qDateNext($BN282,CB$17,$CG$16,TRUE,Currency2))</f>
        <v>0</v>
      </c>
      <c r="CC282" s="882">
        <f>IF($BN283=0,0,        _xll.qDateNext($BN282,CC$17,$CG$16,TRUE,Currency2))</f>
        <v>0</v>
      </c>
      <c r="CD282" s="882">
        <f>IF($BN283=0,0,        _xll.qDateNext($BN282,CD$17,$CG$16,TRUE,Currency2))</f>
        <v>0</v>
      </c>
      <c r="CE282" s="882">
        <f>IF($BN283=0,0,        _xll.qDateNext($BN282,CE$17,$CG$16,TRUE,Currency2))</f>
        <v>0</v>
      </c>
      <c r="CF282" s="882">
        <f>IF($BN283=0,0,        _xll.qDateNext($BN282,CF$17,$CG$16,TRUE,Currency2))</f>
        <v>0</v>
      </c>
      <c r="CG282" s="882">
        <f>IF($BN283=0,0,        _xll.qDateNext($BN282,CG$17,$CG$16,TRUE,Currency2))</f>
        <v>0</v>
      </c>
      <c r="CH282" s="886">
        <v>0</v>
      </c>
      <c r="CI282" s="886">
        <v>0</v>
      </c>
      <c r="CJ282" s="886">
        <v>0</v>
      </c>
      <c r="CK282" s="886">
        <v>0</v>
      </c>
      <c r="CL282" s="886">
        <f t="shared" si="157"/>
        <v>0</v>
      </c>
      <c r="CM282" s="886">
        <f t="shared" si="158"/>
        <v>0</v>
      </c>
      <c r="CN282" s="886">
        <v>0</v>
      </c>
      <c r="CO282" s="886">
        <v>0</v>
      </c>
      <c r="CP282" s="648">
        <f t="shared" si="135"/>
        <v>0</v>
      </c>
      <c r="CQ282" s="648">
        <f t="shared" si="136"/>
        <v>0</v>
      </c>
      <c r="CR282" s="648">
        <f t="shared" si="137"/>
        <v>0</v>
      </c>
      <c r="CS282" s="648">
        <f t="shared" si="138"/>
        <v>0</v>
      </c>
      <c r="CT282" s="648">
        <f t="shared" si="139"/>
        <v>0</v>
      </c>
      <c r="CU282" s="648">
        <f t="shared" si="140"/>
        <v>0</v>
      </c>
      <c r="CV282" s="648">
        <f t="shared" si="141"/>
        <v>0</v>
      </c>
      <c r="CW282" s="648">
        <f t="shared" si="142"/>
        <v>0</v>
      </c>
      <c r="CX282" s="634">
        <v>0</v>
      </c>
      <c r="CY282" s="616"/>
      <c r="CZ282" s="619">
        <f>IF(BN283=0,0,             IF(ISNUMBER(CY282),CY282,             IF(ISTEXT(CY282),INDEX(CP282:CW282,MATCH(CY282,$CP$17:$CW$17,0)),           IF(CX282="INT",_xll.qInterp(BN283,BZ282:CG282,CP282:CW282),       INDEX(CP282:CW282,MATCH(CX282,$CP$17:$CW$17,0))))))</f>
        <v>0</v>
      </c>
      <c r="DA282" s="755">
        <f t="shared" si="143"/>
        <v>0</v>
      </c>
      <c r="DB282" s="387">
        <f t="shared" si="144"/>
        <v>0</v>
      </c>
      <c r="DC282" s="268">
        <f>IF($BN283=0,0,         IF(LEFT(DCC_Leg2_Fixed,2)="1/",uEvaluate(DCC_Leg2_Fixed),         _xll.qDateYears($BN282,$BN283,DCC_Leg2_Fixed)))</f>
        <v>0</v>
      </c>
      <c r="DD282" s="268">
        <f>IF($BN283,_xll.qDateYears($BN282,$BN283,DCC_Leg2_Float),0)</f>
        <v>0</v>
      </c>
      <c r="DF282" s="332">
        <f t="shared" si="159"/>
        <v>0</v>
      </c>
      <c r="DG282" s="357">
        <f t="shared" si="160"/>
        <v>0</v>
      </c>
      <c r="DH282" s="527"/>
      <c r="DJ282" s="324">
        <f t="shared" si="130"/>
        <v>0</v>
      </c>
      <c r="DK282" s="529"/>
      <c r="DL282" s="338"/>
    </row>
    <row r="283" spans="15:116">
      <c r="O283" s="121">
        <v>0</v>
      </c>
      <c r="P283" s="755">
        <f t="shared" si="131"/>
        <v>0</v>
      </c>
      <c r="Q283" s="125">
        <v>0</v>
      </c>
      <c r="R283" s="890">
        <f>IF(O284=0,0,         IF(OR(Currency1="AUD",Currency1="NZD",Currency1="GBP"),O283,   _xll.qDateNext(O283,"-2b",,,IF(Currency1="EUR","TGT","LON"))))</f>
        <v>0</v>
      </c>
      <c r="S283" s="879" t="str">
        <v/>
      </c>
      <c r="T283" s="879" t="str">
        <v/>
      </c>
      <c r="U283" s="879" t="str">
        <v/>
      </c>
      <c r="V283" s="879" t="str">
        <v/>
      </c>
      <c r="W283" s="879" t="str">
        <v/>
      </c>
      <c r="X283" s="879" t="str">
        <v/>
      </c>
      <c r="Y283" s="879" t="str">
        <v/>
      </c>
      <c r="Z283" s="879" t="str">
        <v/>
      </c>
      <c r="AA283" s="882">
        <f>IF($O284=0,0,        _xll.qDateNext($O283,AA$17,$AH$16,TRUE,Currency1))</f>
        <v>0</v>
      </c>
      <c r="AB283" s="882">
        <f>IF($O284=0,0,        _xll.qDateNext($O283,AB$17,$AH$16,TRUE,Currency1))</f>
        <v>0</v>
      </c>
      <c r="AC283" s="882">
        <f>IF($O284=0,0,        _xll.qDateNext($O283,AC$17,$AH$16,TRUE,Currency1))</f>
        <v>0</v>
      </c>
      <c r="AD283" s="882">
        <f>IF($O284=0,0,        _xll.qDateNext($O283,AD$17,$AH$16,TRUE,Currency1))</f>
        <v>0</v>
      </c>
      <c r="AE283" s="882">
        <f>IF($O284=0,0,        _xll.qDateNext($O283,AE$17,$AH$16,TRUE,Currency1))</f>
        <v>0</v>
      </c>
      <c r="AF283" s="882">
        <f>IF($O284=0,0,        _xll.qDateNext($O283,AF$17,$AH$16,TRUE,Currency1))</f>
        <v>0</v>
      </c>
      <c r="AG283" s="882">
        <f>IF($O284=0,0,        _xll.qDateNext($O283,AG$17,$AH$16,TRUE,Currency1))</f>
        <v>0</v>
      </c>
      <c r="AH283" s="882">
        <f>IF($O284=0,0,        _xll.qDateNext($O283,AH$17,$AH$16,TRUE,Currency1))</f>
        <v>0</v>
      </c>
      <c r="AI283" s="886">
        <f>IF($O284=0,0,           IF(FRM,_xll.qGetFwdRate(AI$14,$O283,AA283,"T",DCC_Leg1_Float),_xll.qGetFwdRate(AI$14,$O283,$O284,"T",DCC_Leg1_Float)))</f>
        <v>0</v>
      </c>
      <c r="AJ283" s="886">
        <f>IF($O284=0,0,           IF(FRM,_xll.qGetFwdRate(AJ$14,$O283,AB283,"T",DCC_Leg1_Float),_xll.qGetFwdRate(AJ$14,$O283,$O284,"T",DCC_Leg1_Float)))</f>
        <v>0</v>
      </c>
      <c r="AK283" s="886">
        <f t="shared" si="132"/>
        <v>0</v>
      </c>
      <c r="AL283" s="886">
        <f>IF($O284=0,0,           IF(FRM,_xll.qGetFwdRate(AL$14,$O283,AD283,"T",DCC_Leg1_Float),_xll.qGetFwdRate(AL$14,$O283,$O284,"T",DCC_Leg1_Float)))</f>
        <v>0</v>
      </c>
      <c r="AM283" s="886">
        <f t="shared" si="145"/>
        <v>0</v>
      </c>
      <c r="AN283" s="886">
        <f t="shared" si="146"/>
        <v>0</v>
      </c>
      <c r="AO283" s="886">
        <f>IF($O284=0,0,           IF(FRM,_xll.qGetFwdRate(AO$14,$O283,AG283,"T",DCC_Leg1_Float),_xll.qGetFwdRate(AO$14,$O283,$O284,"T",DCC_Leg1_Float)))</f>
        <v>0</v>
      </c>
      <c r="AP283" s="886">
        <f>IF($O284=0,0,           IF(FRM,_xll.qGetFwdRate(AP$14,$O283,AH283,"T",DCC_Leg1_Float),_xll.qGetFwdRate(AP$14,$O283,$O284,"T",DCC_Leg1_Float)))</f>
        <v>0</v>
      </c>
      <c r="AQ283" s="648">
        <f t="shared" si="147"/>
        <v>0</v>
      </c>
      <c r="AR283" s="648">
        <f t="shared" si="148"/>
        <v>0</v>
      </c>
      <c r="AS283" s="648">
        <f t="shared" si="149"/>
        <v>0</v>
      </c>
      <c r="AT283" s="648">
        <f t="shared" si="150"/>
        <v>0</v>
      </c>
      <c r="AU283" s="648">
        <f t="shared" si="151"/>
        <v>0</v>
      </c>
      <c r="AV283" s="648">
        <f t="shared" si="152"/>
        <v>0</v>
      </c>
      <c r="AW283" s="648">
        <f t="shared" si="153"/>
        <v>0</v>
      </c>
      <c r="AX283" s="648">
        <f t="shared" si="154"/>
        <v>0</v>
      </c>
      <c r="AY283" s="634">
        <v>0</v>
      </c>
      <c r="AZ283" s="616"/>
      <c r="BA283" s="619">
        <f>IF(O284=0,0,             IF(ISNUMBER(AZ283),AZ283,             IF(ISTEXT(AZ283),INDEX(AQ283:AX283,MATCH(AZ283,$AQ$17:$AX$17,0)),           IF(AY283="INT",_xll.qInterp(O284,AA283:AH283,AQ283:AX283),       INDEX(AQ283:AX283,MATCH(AY283,$AQ$17:$AX$17,0))))))</f>
        <v>0</v>
      </c>
      <c r="BB283" s="674">
        <v>100</v>
      </c>
      <c r="BC283" s="666">
        <f t="shared" si="133"/>
        <v>0</v>
      </c>
      <c r="BD283" s="268">
        <f>IF($O284=0,0,                IF(LEFT(DCC_Leg1_Fixed,2)="1/",uEvaluate(DCC_Leg1_Fixed),        _xll.qDateYears($O283,$O284,DCC_Leg1_Fixed)))</f>
        <v>0</v>
      </c>
      <c r="BE283" s="268">
        <f>IF($O284,_xll.qDateYears($O283,$O284,DCC_Leg1_Float),0)</f>
        <v>0</v>
      </c>
      <c r="BG283" s="332">
        <f t="shared" si="155"/>
        <v>0</v>
      </c>
      <c r="BH283" s="357">
        <f t="shared" si="156"/>
        <v>0</v>
      </c>
      <c r="BI283" s="527"/>
      <c r="BK283" s="324">
        <f t="shared" si="129"/>
        <v>0</v>
      </c>
      <c r="BM283" s="338"/>
      <c r="BN283" s="121">
        <v>0</v>
      </c>
      <c r="BO283" s="755">
        <f t="shared" si="134"/>
        <v>0</v>
      </c>
      <c r="BP283" s="339">
        <v>0</v>
      </c>
      <c r="BQ283" s="890">
        <f>IF(BN284=0,0,         IF(OR(Currency2="AUD",Currency1="NZD",Currency2="GBP"),BN283,   _xll.qDateNext(BN283,"-2b",,,IF(Currency2="EUR","TGT","LON"))))</f>
        <v>0</v>
      </c>
      <c r="BR283" s="879" t="str">
        <v/>
      </c>
      <c r="BS283" s="879" t="str">
        <v/>
      </c>
      <c r="BT283" s="879" t="str">
        <v/>
      </c>
      <c r="BU283" s="879" t="str">
        <v/>
      </c>
      <c r="BV283" s="879" t="str">
        <v/>
      </c>
      <c r="BW283" s="879" t="str">
        <v/>
      </c>
      <c r="BX283" s="879" t="str">
        <v/>
      </c>
      <c r="BY283" s="879" t="str">
        <v/>
      </c>
      <c r="BZ283" s="882">
        <f>IF($BN284=0,0,        _xll.qDateNext($BN283,BZ$17,$CG$16,TRUE,Currency2))</f>
        <v>0</v>
      </c>
      <c r="CA283" s="882">
        <f>IF($BN284=0,0,        _xll.qDateNext($BN283,CA$17,$CG$16,TRUE,Currency2))</f>
        <v>0</v>
      </c>
      <c r="CB283" s="882">
        <f>IF($BN284=0,0,        _xll.qDateNext($BN283,CB$17,$CG$16,TRUE,Currency2))</f>
        <v>0</v>
      </c>
      <c r="CC283" s="882">
        <f>IF($BN284=0,0,        _xll.qDateNext($BN283,CC$17,$CG$16,TRUE,Currency2))</f>
        <v>0</v>
      </c>
      <c r="CD283" s="882">
        <f>IF($BN284=0,0,        _xll.qDateNext($BN283,CD$17,$CG$16,TRUE,Currency2))</f>
        <v>0</v>
      </c>
      <c r="CE283" s="882">
        <f>IF($BN284=0,0,        _xll.qDateNext($BN283,CE$17,$CG$16,TRUE,Currency2))</f>
        <v>0</v>
      </c>
      <c r="CF283" s="882">
        <f>IF($BN284=0,0,        _xll.qDateNext($BN283,CF$17,$CG$16,TRUE,Currency2))</f>
        <v>0</v>
      </c>
      <c r="CG283" s="882">
        <f>IF($BN284=0,0,        _xll.qDateNext($BN283,CG$17,$CG$16,TRUE,Currency2))</f>
        <v>0</v>
      </c>
      <c r="CH283" s="886">
        <v>0</v>
      </c>
      <c r="CI283" s="886">
        <v>0</v>
      </c>
      <c r="CJ283" s="886">
        <v>0</v>
      </c>
      <c r="CK283" s="886">
        <v>0</v>
      </c>
      <c r="CL283" s="886">
        <f t="shared" si="157"/>
        <v>0</v>
      </c>
      <c r="CM283" s="886">
        <f t="shared" si="158"/>
        <v>0</v>
      </c>
      <c r="CN283" s="886">
        <v>0</v>
      </c>
      <c r="CO283" s="886">
        <v>0</v>
      </c>
      <c r="CP283" s="648">
        <f t="shared" si="135"/>
        <v>0</v>
      </c>
      <c r="CQ283" s="648">
        <f t="shared" si="136"/>
        <v>0</v>
      </c>
      <c r="CR283" s="648">
        <f t="shared" si="137"/>
        <v>0</v>
      </c>
      <c r="CS283" s="648">
        <f t="shared" si="138"/>
        <v>0</v>
      </c>
      <c r="CT283" s="648">
        <f t="shared" si="139"/>
        <v>0</v>
      </c>
      <c r="CU283" s="648">
        <f t="shared" si="140"/>
        <v>0</v>
      </c>
      <c r="CV283" s="648">
        <f t="shared" si="141"/>
        <v>0</v>
      </c>
      <c r="CW283" s="648">
        <f t="shared" si="142"/>
        <v>0</v>
      </c>
      <c r="CX283" s="634">
        <v>0</v>
      </c>
      <c r="CY283" s="616"/>
      <c r="CZ283" s="619">
        <f>IF(BN284=0,0,             IF(ISNUMBER(CY283),CY283,             IF(ISTEXT(CY283),INDEX(CP283:CW283,MATCH(CY283,$CP$17:$CW$17,0)),           IF(CX283="INT",_xll.qInterp(BN284,BZ283:CG283,CP283:CW283),       INDEX(CP283:CW283,MATCH(CX283,$CP$17:$CW$17,0))))))</f>
        <v>0</v>
      </c>
      <c r="DA283" s="755">
        <f t="shared" si="143"/>
        <v>0</v>
      </c>
      <c r="DB283" s="387">
        <f t="shared" si="144"/>
        <v>0</v>
      </c>
      <c r="DC283" s="268">
        <f>IF($BN284=0,0,         IF(LEFT(DCC_Leg2_Fixed,2)="1/",uEvaluate(DCC_Leg2_Fixed),         _xll.qDateYears($BN283,$BN284,DCC_Leg2_Fixed)))</f>
        <v>0</v>
      </c>
      <c r="DD283" s="268">
        <f>IF($BN284,_xll.qDateYears($BN283,$BN284,DCC_Leg2_Float),0)</f>
        <v>0</v>
      </c>
      <c r="DF283" s="332">
        <f t="shared" si="159"/>
        <v>0</v>
      </c>
      <c r="DG283" s="357">
        <f t="shared" si="160"/>
        <v>0</v>
      </c>
      <c r="DH283" s="527"/>
      <c r="DJ283" s="324">
        <f t="shared" si="130"/>
        <v>0</v>
      </c>
      <c r="DK283" s="529"/>
      <c r="DL283" s="338"/>
    </row>
    <row r="284" spans="15:116">
      <c r="O284" s="121">
        <v>0</v>
      </c>
      <c r="P284" s="755">
        <f t="shared" si="131"/>
        <v>0</v>
      </c>
      <c r="Q284" s="125">
        <v>0</v>
      </c>
      <c r="R284" s="890">
        <f>IF(O285=0,0,         IF(OR(Currency1="AUD",Currency1="NZD",Currency1="GBP"),O284,   _xll.qDateNext(O284,"-2b",,,IF(Currency1="EUR","TGT","LON"))))</f>
        <v>0</v>
      </c>
      <c r="S284" s="879" t="str">
        <v/>
      </c>
      <c r="T284" s="879" t="str">
        <v/>
      </c>
      <c r="U284" s="879" t="str">
        <v/>
      </c>
      <c r="V284" s="879" t="str">
        <v/>
      </c>
      <c r="W284" s="879" t="str">
        <v/>
      </c>
      <c r="X284" s="879" t="str">
        <v/>
      </c>
      <c r="Y284" s="879" t="str">
        <v/>
      </c>
      <c r="Z284" s="879" t="str">
        <v/>
      </c>
      <c r="AA284" s="882">
        <f>IF($O285=0,0,        _xll.qDateNext($O284,AA$17,$AH$16,TRUE,Currency1))</f>
        <v>0</v>
      </c>
      <c r="AB284" s="882">
        <f>IF($O285=0,0,        _xll.qDateNext($O284,AB$17,$AH$16,TRUE,Currency1))</f>
        <v>0</v>
      </c>
      <c r="AC284" s="882">
        <f>IF($O285=0,0,        _xll.qDateNext($O284,AC$17,$AH$16,TRUE,Currency1))</f>
        <v>0</v>
      </c>
      <c r="AD284" s="882">
        <f>IF($O285=0,0,        _xll.qDateNext($O284,AD$17,$AH$16,TRUE,Currency1))</f>
        <v>0</v>
      </c>
      <c r="AE284" s="882">
        <f>IF($O285=0,0,        _xll.qDateNext($O284,AE$17,$AH$16,TRUE,Currency1))</f>
        <v>0</v>
      </c>
      <c r="AF284" s="882">
        <f>IF($O285=0,0,        _xll.qDateNext($O284,AF$17,$AH$16,TRUE,Currency1))</f>
        <v>0</v>
      </c>
      <c r="AG284" s="882">
        <f>IF($O285=0,0,        _xll.qDateNext($O284,AG$17,$AH$16,TRUE,Currency1))</f>
        <v>0</v>
      </c>
      <c r="AH284" s="882">
        <f>IF($O285=0,0,        _xll.qDateNext($O284,AH$17,$AH$16,TRUE,Currency1))</f>
        <v>0</v>
      </c>
      <c r="AI284" s="886">
        <f>IF($O285=0,0,           IF(FRM,_xll.qGetFwdRate(AI$14,$O284,AA284,"T",DCC_Leg1_Float),_xll.qGetFwdRate(AI$14,$O284,$O285,"T",DCC_Leg1_Float)))</f>
        <v>0</v>
      </c>
      <c r="AJ284" s="886">
        <f>IF($O285=0,0,           IF(FRM,_xll.qGetFwdRate(AJ$14,$O284,AB284,"T",DCC_Leg1_Float),_xll.qGetFwdRate(AJ$14,$O284,$O285,"T",DCC_Leg1_Float)))</f>
        <v>0</v>
      </c>
      <c r="AK284" s="886">
        <f t="shared" si="132"/>
        <v>0</v>
      </c>
      <c r="AL284" s="886">
        <f>IF($O285=0,0,           IF(FRM,_xll.qGetFwdRate(AL$14,$O284,AD284,"T",DCC_Leg1_Float),_xll.qGetFwdRate(AL$14,$O284,$O285,"T",DCC_Leg1_Float)))</f>
        <v>0</v>
      </c>
      <c r="AM284" s="886">
        <f t="shared" si="145"/>
        <v>0</v>
      </c>
      <c r="AN284" s="886">
        <f t="shared" si="146"/>
        <v>0</v>
      </c>
      <c r="AO284" s="886">
        <f>IF($O285=0,0,           IF(FRM,_xll.qGetFwdRate(AO$14,$O284,AG284,"T",DCC_Leg1_Float),_xll.qGetFwdRate(AO$14,$O284,$O285,"T",DCC_Leg1_Float)))</f>
        <v>0</v>
      </c>
      <c r="AP284" s="886">
        <f>IF($O285=0,0,           IF(FRM,_xll.qGetFwdRate(AP$14,$O284,AH284,"T",DCC_Leg1_Float),_xll.qGetFwdRate(AP$14,$O284,$O285,"T",DCC_Leg1_Float)))</f>
        <v>0</v>
      </c>
      <c r="AQ284" s="648">
        <f t="shared" si="147"/>
        <v>0</v>
      </c>
      <c r="AR284" s="648">
        <f t="shared" si="148"/>
        <v>0</v>
      </c>
      <c r="AS284" s="648">
        <f t="shared" si="149"/>
        <v>0</v>
      </c>
      <c r="AT284" s="648">
        <f t="shared" si="150"/>
        <v>0</v>
      </c>
      <c r="AU284" s="648">
        <f t="shared" si="151"/>
        <v>0</v>
      </c>
      <c r="AV284" s="648">
        <f t="shared" si="152"/>
        <v>0</v>
      </c>
      <c r="AW284" s="648">
        <f t="shared" si="153"/>
        <v>0</v>
      </c>
      <c r="AX284" s="648">
        <f t="shared" si="154"/>
        <v>0</v>
      </c>
      <c r="AY284" s="634">
        <v>0</v>
      </c>
      <c r="AZ284" s="616"/>
      <c r="BA284" s="619">
        <f>IF(O285=0,0,             IF(ISNUMBER(AZ284),AZ284,             IF(ISTEXT(AZ284),INDEX(AQ284:AX284,MATCH(AZ284,$AQ$17:$AX$17,0)),           IF(AY284="INT",_xll.qInterp(O285,AA284:AH284,AQ284:AX284),       INDEX(AQ284:AX284,MATCH(AY284,$AQ$17:$AX$17,0))))))</f>
        <v>0</v>
      </c>
      <c r="BB284" s="674">
        <v>100</v>
      </c>
      <c r="BC284" s="666">
        <f t="shared" si="133"/>
        <v>0</v>
      </c>
      <c r="BD284" s="268">
        <f>IF($O285=0,0,                IF(LEFT(DCC_Leg1_Fixed,2)="1/",uEvaluate(DCC_Leg1_Fixed),        _xll.qDateYears($O284,$O285,DCC_Leg1_Fixed)))</f>
        <v>0</v>
      </c>
      <c r="BE284" s="268">
        <f>IF($O285,_xll.qDateYears($O284,$O285,DCC_Leg1_Float),0)</f>
        <v>0</v>
      </c>
      <c r="BG284" s="332">
        <f t="shared" si="155"/>
        <v>0</v>
      </c>
      <c r="BH284" s="357">
        <f t="shared" si="156"/>
        <v>0</v>
      </c>
      <c r="BI284" s="527"/>
      <c r="BK284" s="324">
        <f t="shared" si="129"/>
        <v>0</v>
      </c>
      <c r="BM284" s="338"/>
      <c r="BN284" s="121">
        <v>0</v>
      </c>
      <c r="BO284" s="755">
        <f t="shared" si="134"/>
        <v>0</v>
      </c>
      <c r="BP284" s="339">
        <v>0</v>
      </c>
      <c r="BQ284" s="890">
        <f>IF(BN285=0,0,         IF(OR(Currency2="AUD",Currency1="NZD",Currency2="GBP"),BN284,   _xll.qDateNext(BN284,"-2b",,,IF(Currency2="EUR","TGT","LON"))))</f>
        <v>0</v>
      </c>
      <c r="BR284" s="879" t="str">
        <v/>
      </c>
      <c r="BS284" s="879" t="str">
        <v/>
      </c>
      <c r="BT284" s="879" t="str">
        <v/>
      </c>
      <c r="BU284" s="879" t="str">
        <v/>
      </c>
      <c r="BV284" s="879" t="str">
        <v/>
      </c>
      <c r="BW284" s="879" t="str">
        <v/>
      </c>
      <c r="BX284" s="879" t="str">
        <v/>
      </c>
      <c r="BY284" s="879" t="str">
        <v/>
      </c>
      <c r="BZ284" s="882">
        <f>IF($BN285=0,0,        _xll.qDateNext($BN284,BZ$17,$CG$16,TRUE,Currency2))</f>
        <v>0</v>
      </c>
      <c r="CA284" s="882">
        <f>IF($BN285=0,0,        _xll.qDateNext($BN284,CA$17,$CG$16,TRUE,Currency2))</f>
        <v>0</v>
      </c>
      <c r="CB284" s="882">
        <f>IF($BN285=0,0,        _xll.qDateNext($BN284,CB$17,$CG$16,TRUE,Currency2))</f>
        <v>0</v>
      </c>
      <c r="CC284" s="882">
        <f>IF($BN285=0,0,        _xll.qDateNext($BN284,CC$17,$CG$16,TRUE,Currency2))</f>
        <v>0</v>
      </c>
      <c r="CD284" s="882">
        <f>IF($BN285=0,0,        _xll.qDateNext($BN284,CD$17,$CG$16,TRUE,Currency2))</f>
        <v>0</v>
      </c>
      <c r="CE284" s="882">
        <f>IF($BN285=0,0,        _xll.qDateNext($BN284,CE$17,$CG$16,TRUE,Currency2))</f>
        <v>0</v>
      </c>
      <c r="CF284" s="882">
        <f>IF($BN285=0,0,        _xll.qDateNext($BN284,CF$17,$CG$16,TRUE,Currency2))</f>
        <v>0</v>
      </c>
      <c r="CG284" s="882">
        <f>IF($BN285=0,0,        _xll.qDateNext($BN284,CG$17,$CG$16,TRUE,Currency2))</f>
        <v>0</v>
      </c>
      <c r="CH284" s="886">
        <v>0</v>
      </c>
      <c r="CI284" s="886">
        <v>0</v>
      </c>
      <c r="CJ284" s="886">
        <v>0</v>
      </c>
      <c r="CK284" s="886">
        <v>0</v>
      </c>
      <c r="CL284" s="886">
        <f t="shared" si="157"/>
        <v>0</v>
      </c>
      <c r="CM284" s="886">
        <f t="shared" si="158"/>
        <v>0</v>
      </c>
      <c r="CN284" s="886">
        <v>0</v>
      </c>
      <c r="CO284" s="886">
        <v>0</v>
      </c>
      <c r="CP284" s="648">
        <f t="shared" si="135"/>
        <v>0</v>
      </c>
      <c r="CQ284" s="648">
        <f t="shared" si="136"/>
        <v>0</v>
      </c>
      <c r="CR284" s="648">
        <f t="shared" si="137"/>
        <v>0</v>
      </c>
      <c r="CS284" s="648">
        <f t="shared" si="138"/>
        <v>0</v>
      </c>
      <c r="CT284" s="648">
        <f t="shared" si="139"/>
        <v>0</v>
      </c>
      <c r="CU284" s="648">
        <f t="shared" si="140"/>
        <v>0</v>
      </c>
      <c r="CV284" s="648">
        <f t="shared" si="141"/>
        <v>0</v>
      </c>
      <c r="CW284" s="648">
        <f t="shared" si="142"/>
        <v>0</v>
      </c>
      <c r="CX284" s="634">
        <v>0</v>
      </c>
      <c r="CY284" s="616"/>
      <c r="CZ284" s="619">
        <f>IF(BN285=0,0,             IF(ISNUMBER(CY284),CY284,             IF(ISTEXT(CY284),INDEX(CP284:CW284,MATCH(CY284,$CP$17:$CW$17,0)),           IF(CX284="INT",_xll.qInterp(BN285,BZ284:CG284,CP284:CW284),       INDEX(CP284:CW284,MATCH(CX284,$CP$17:$CW$17,0))))))</f>
        <v>0</v>
      </c>
      <c r="DA284" s="755">
        <f t="shared" si="143"/>
        <v>0</v>
      </c>
      <c r="DB284" s="387">
        <f t="shared" si="144"/>
        <v>0</v>
      </c>
      <c r="DC284" s="268">
        <f>IF($BN285=0,0,         IF(LEFT(DCC_Leg2_Fixed,2)="1/",uEvaluate(DCC_Leg2_Fixed),         _xll.qDateYears($BN284,$BN285,DCC_Leg2_Fixed)))</f>
        <v>0</v>
      </c>
      <c r="DD284" s="268">
        <f>IF($BN285,_xll.qDateYears($BN284,$BN285,DCC_Leg2_Float),0)</f>
        <v>0</v>
      </c>
      <c r="DF284" s="332">
        <f t="shared" si="159"/>
        <v>0</v>
      </c>
      <c r="DG284" s="357">
        <f t="shared" si="160"/>
        <v>0</v>
      </c>
      <c r="DH284" s="527"/>
      <c r="DJ284" s="324">
        <f t="shared" si="130"/>
        <v>0</v>
      </c>
      <c r="DK284" s="529"/>
      <c r="DL284" s="338"/>
    </row>
    <row r="285" spans="15:116">
      <c r="O285" s="121">
        <v>0</v>
      </c>
      <c r="P285" s="755">
        <f t="shared" si="131"/>
        <v>0</v>
      </c>
      <c r="Q285" s="125">
        <v>0</v>
      </c>
      <c r="R285" s="890">
        <f>IF(O286=0,0,         IF(OR(Currency1="AUD",Currency1="NZD",Currency1="GBP"),O285,   _xll.qDateNext(O285,"-2b",,,IF(Currency1="EUR","TGT","LON"))))</f>
        <v>0</v>
      </c>
      <c r="S285" s="879" t="str">
        <v/>
      </c>
      <c r="T285" s="879" t="str">
        <v/>
      </c>
      <c r="U285" s="879" t="str">
        <v/>
      </c>
      <c r="V285" s="879" t="str">
        <v/>
      </c>
      <c r="W285" s="879" t="str">
        <v/>
      </c>
      <c r="X285" s="879" t="str">
        <v/>
      </c>
      <c r="Y285" s="879" t="str">
        <v/>
      </c>
      <c r="Z285" s="879" t="str">
        <v/>
      </c>
      <c r="AA285" s="882">
        <f>IF($O286=0,0,        _xll.qDateNext($O285,AA$17,$AH$16,TRUE,Currency1))</f>
        <v>0</v>
      </c>
      <c r="AB285" s="882">
        <f>IF($O286=0,0,        _xll.qDateNext($O285,AB$17,$AH$16,TRUE,Currency1))</f>
        <v>0</v>
      </c>
      <c r="AC285" s="882">
        <f>IF($O286=0,0,        _xll.qDateNext($O285,AC$17,$AH$16,TRUE,Currency1))</f>
        <v>0</v>
      </c>
      <c r="AD285" s="882">
        <f>IF($O286=0,0,        _xll.qDateNext($O285,AD$17,$AH$16,TRUE,Currency1))</f>
        <v>0</v>
      </c>
      <c r="AE285" s="882">
        <f>IF($O286=0,0,        _xll.qDateNext($O285,AE$17,$AH$16,TRUE,Currency1))</f>
        <v>0</v>
      </c>
      <c r="AF285" s="882">
        <f>IF($O286=0,0,        _xll.qDateNext($O285,AF$17,$AH$16,TRUE,Currency1))</f>
        <v>0</v>
      </c>
      <c r="AG285" s="882">
        <f>IF($O286=0,0,        _xll.qDateNext($O285,AG$17,$AH$16,TRUE,Currency1))</f>
        <v>0</v>
      </c>
      <c r="AH285" s="882">
        <f>IF($O286=0,0,        _xll.qDateNext($O285,AH$17,$AH$16,TRUE,Currency1))</f>
        <v>0</v>
      </c>
      <c r="AI285" s="886">
        <f>IF($O286=0,0,           IF(FRM,_xll.qGetFwdRate(AI$14,$O285,AA285,"T",DCC_Leg1_Float),_xll.qGetFwdRate(AI$14,$O285,$O286,"T",DCC_Leg1_Float)))</f>
        <v>0</v>
      </c>
      <c r="AJ285" s="886">
        <f>IF($O286=0,0,           IF(FRM,_xll.qGetFwdRate(AJ$14,$O285,AB285,"T",DCC_Leg1_Float),_xll.qGetFwdRate(AJ$14,$O285,$O286,"T",DCC_Leg1_Float)))</f>
        <v>0</v>
      </c>
      <c r="AK285" s="886">
        <f t="shared" si="132"/>
        <v>0</v>
      </c>
      <c r="AL285" s="886">
        <f>IF($O286=0,0,           IF(FRM,_xll.qGetFwdRate(AL$14,$O285,AD285,"T",DCC_Leg1_Float),_xll.qGetFwdRate(AL$14,$O285,$O286,"T",DCC_Leg1_Float)))</f>
        <v>0</v>
      </c>
      <c r="AM285" s="886">
        <f t="shared" si="145"/>
        <v>0</v>
      </c>
      <c r="AN285" s="886">
        <f t="shared" si="146"/>
        <v>0</v>
      </c>
      <c r="AO285" s="886">
        <f>IF($O286=0,0,           IF(FRM,_xll.qGetFwdRate(AO$14,$O285,AG285,"T",DCC_Leg1_Float),_xll.qGetFwdRate(AO$14,$O285,$O286,"T",DCC_Leg1_Float)))</f>
        <v>0</v>
      </c>
      <c r="AP285" s="886">
        <f>IF($O286=0,0,           IF(FRM,_xll.qGetFwdRate(AP$14,$O285,AH285,"T",DCC_Leg1_Float),_xll.qGetFwdRate(AP$14,$O285,$O286,"T",DCC_Leg1_Float)))</f>
        <v>0</v>
      </c>
      <c r="AQ285" s="648">
        <f t="shared" si="147"/>
        <v>0</v>
      </c>
      <c r="AR285" s="648">
        <f t="shared" si="148"/>
        <v>0</v>
      </c>
      <c r="AS285" s="648">
        <f t="shared" si="149"/>
        <v>0</v>
      </c>
      <c r="AT285" s="648">
        <f t="shared" si="150"/>
        <v>0</v>
      </c>
      <c r="AU285" s="648">
        <f t="shared" si="151"/>
        <v>0</v>
      </c>
      <c r="AV285" s="648">
        <f t="shared" si="152"/>
        <v>0</v>
      </c>
      <c r="AW285" s="648">
        <f t="shared" si="153"/>
        <v>0</v>
      </c>
      <c r="AX285" s="648">
        <f t="shared" si="154"/>
        <v>0</v>
      </c>
      <c r="AY285" s="634">
        <v>0</v>
      </c>
      <c r="AZ285" s="616"/>
      <c r="BA285" s="619">
        <f>IF(O286=0,0,             IF(ISNUMBER(AZ285),AZ285,             IF(ISTEXT(AZ285),INDEX(AQ285:AX285,MATCH(AZ285,$AQ$17:$AX$17,0)),           IF(AY285="INT",_xll.qInterp(O286,AA285:AH285,AQ285:AX285),       INDEX(AQ285:AX285,MATCH(AY285,$AQ$17:$AX$17,0))))))</f>
        <v>0</v>
      </c>
      <c r="BB285" s="674">
        <v>100</v>
      </c>
      <c r="BC285" s="666">
        <f t="shared" si="133"/>
        <v>0</v>
      </c>
      <c r="BD285" s="268">
        <f>IF($O286=0,0,                IF(LEFT(DCC_Leg1_Fixed,2)="1/",uEvaluate(DCC_Leg1_Fixed),        _xll.qDateYears($O285,$O286,DCC_Leg1_Fixed)))</f>
        <v>0</v>
      </c>
      <c r="BE285" s="268">
        <f>IF($O286,_xll.qDateYears($O285,$O286,DCC_Leg1_Float),0)</f>
        <v>0</v>
      </c>
      <c r="BG285" s="332">
        <f t="shared" si="155"/>
        <v>0</v>
      </c>
      <c r="BH285" s="357">
        <f t="shared" si="156"/>
        <v>0</v>
      </c>
      <c r="BI285" s="527"/>
      <c r="BK285" s="324">
        <f t="shared" si="129"/>
        <v>0</v>
      </c>
      <c r="BM285" s="338"/>
      <c r="BN285" s="121">
        <v>0</v>
      </c>
      <c r="BO285" s="755">
        <f t="shared" si="134"/>
        <v>0</v>
      </c>
      <c r="BP285" s="339">
        <v>0</v>
      </c>
      <c r="BQ285" s="890">
        <f>IF(BN286=0,0,         IF(OR(Currency2="AUD",Currency1="NZD",Currency2="GBP"),BN285,   _xll.qDateNext(BN285,"-2b",,,IF(Currency2="EUR","TGT","LON"))))</f>
        <v>0</v>
      </c>
      <c r="BR285" s="879" t="str">
        <v/>
      </c>
      <c r="BS285" s="879" t="str">
        <v/>
      </c>
      <c r="BT285" s="879" t="str">
        <v/>
      </c>
      <c r="BU285" s="879" t="str">
        <v/>
      </c>
      <c r="BV285" s="879" t="str">
        <v/>
      </c>
      <c r="BW285" s="879" t="str">
        <v/>
      </c>
      <c r="BX285" s="879" t="str">
        <v/>
      </c>
      <c r="BY285" s="879" t="str">
        <v/>
      </c>
      <c r="BZ285" s="882">
        <f>IF($BN286=0,0,        _xll.qDateNext($BN285,BZ$17,$CG$16,TRUE,Currency2))</f>
        <v>0</v>
      </c>
      <c r="CA285" s="882">
        <f>IF($BN286=0,0,        _xll.qDateNext($BN285,CA$17,$CG$16,TRUE,Currency2))</f>
        <v>0</v>
      </c>
      <c r="CB285" s="882">
        <f>IF($BN286=0,0,        _xll.qDateNext($BN285,CB$17,$CG$16,TRUE,Currency2))</f>
        <v>0</v>
      </c>
      <c r="CC285" s="882">
        <f>IF($BN286=0,0,        _xll.qDateNext($BN285,CC$17,$CG$16,TRUE,Currency2))</f>
        <v>0</v>
      </c>
      <c r="CD285" s="882">
        <f>IF($BN286=0,0,        _xll.qDateNext($BN285,CD$17,$CG$16,TRUE,Currency2))</f>
        <v>0</v>
      </c>
      <c r="CE285" s="882">
        <f>IF($BN286=0,0,        _xll.qDateNext($BN285,CE$17,$CG$16,TRUE,Currency2))</f>
        <v>0</v>
      </c>
      <c r="CF285" s="882">
        <f>IF($BN286=0,0,        _xll.qDateNext($BN285,CF$17,$CG$16,TRUE,Currency2))</f>
        <v>0</v>
      </c>
      <c r="CG285" s="882">
        <f>IF($BN286=0,0,        _xll.qDateNext($BN285,CG$17,$CG$16,TRUE,Currency2))</f>
        <v>0</v>
      </c>
      <c r="CH285" s="886">
        <v>0</v>
      </c>
      <c r="CI285" s="886">
        <v>0</v>
      </c>
      <c r="CJ285" s="886">
        <v>0</v>
      </c>
      <c r="CK285" s="886">
        <v>0</v>
      </c>
      <c r="CL285" s="886">
        <f t="shared" si="157"/>
        <v>0</v>
      </c>
      <c r="CM285" s="886">
        <f t="shared" si="158"/>
        <v>0</v>
      </c>
      <c r="CN285" s="886">
        <v>0</v>
      </c>
      <c r="CO285" s="886">
        <v>0</v>
      </c>
      <c r="CP285" s="648">
        <f t="shared" si="135"/>
        <v>0</v>
      </c>
      <c r="CQ285" s="648">
        <f t="shared" si="136"/>
        <v>0</v>
      </c>
      <c r="CR285" s="648">
        <f t="shared" si="137"/>
        <v>0</v>
      </c>
      <c r="CS285" s="648">
        <f t="shared" si="138"/>
        <v>0</v>
      </c>
      <c r="CT285" s="648">
        <f t="shared" si="139"/>
        <v>0</v>
      </c>
      <c r="CU285" s="648">
        <f t="shared" si="140"/>
        <v>0</v>
      </c>
      <c r="CV285" s="648">
        <f t="shared" si="141"/>
        <v>0</v>
      </c>
      <c r="CW285" s="648">
        <f t="shared" si="142"/>
        <v>0</v>
      </c>
      <c r="CX285" s="634">
        <v>0</v>
      </c>
      <c r="CY285" s="616"/>
      <c r="CZ285" s="619">
        <f>IF(BN286=0,0,             IF(ISNUMBER(CY285),CY285,             IF(ISTEXT(CY285),INDEX(CP285:CW285,MATCH(CY285,$CP$17:$CW$17,0)),           IF(CX285="INT",_xll.qInterp(BN286,BZ285:CG285,CP285:CW285),       INDEX(CP285:CW285,MATCH(CX285,$CP$17:$CW$17,0))))))</f>
        <v>0</v>
      </c>
      <c r="DA285" s="755">
        <f t="shared" si="143"/>
        <v>0</v>
      </c>
      <c r="DB285" s="387">
        <f t="shared" si="144"/>
        <v>0</v>
      </c>
      <c r="DC285" s="268">
        <f>IF($BN286=0,0,         IF(LEFT(DCC_Leg2_Fixed,2)="1/",uEvaluate(DCC_Leg2_Fixed),         _xll.qDateYears($BN285,$BN286,DCC_Leg2_Fixed)))</f>
        <v>0</v>
      </c>
      <c r="DD285" s="268">
        <f>IF($BN286,_xll.qDateYears($BN285,$BN286,DCC_Leg2_Float),0)</f>
        <v>0</v>
      </c>
      <c r="DF285" s="332">
        <f t="shared" si="159"/>
        <v>0</v>
      </c>
      <c r="DG285" s="357">
        <f t="shared" si="160"/>
        <v>0</v>
      </c>
      <c r="DH285" s="527"/>
      <c r="DJ285" s="324">
        <f t="shared" si="130"/>
        <v>0</v>
      </c>
      <c r="DK285" s="529"/>
      <c r="DL285" s="338"/>
    </row>
    <row r="286" spans="15:116">
      <c r="O286" s="121">
        <v>0</v>
      </c>
      <c r="P286" s="755">
        <f t="shared" si="131"/>
        <v>0</v>
      </c>
      <c r="Q286" s="125">
        <v>0</v>
      </c>
      <c r="R286" s="890">
        <f>IF(O287=0,0,         IF(OR(Currency1="AUD",Currency1="NZD",Currency1="GBP"),O286,   _xll.qDateNext(O286,"-2b",,,IF(Currency1="EUR","TGT","LON"))))</f>
        <v>0</v>
      </c>
      <c r="S286" s="879" t="str">
        <v/>
      </c>
      <c r="T286" s="879" t="str">
        <v/>
      </c>
      <c r="U286" s="879" t="str">
        <v/>
      </c>
      <c r="V286" s="879" t="str">
        <v/>
      </c>
      <c r="W286" s="879" t="str">
        <v/>
      </c>
      <c r="X286" s="879" t="str">
        <v/>
      </c>
      <c r="Y286" s="879" t="str">
        <v/>
      </c>
      <c r="Z286" s="879" t="str">
        <v/>
      </c>
      <c r="AA286" s="882">
        <f>IF($O287=0,0,        _xll.qDateNext($O286,AA$17,$AH$16,TRUE,Currency1))</f>
        <v>0</v>
      </c>
      <c r="AB286" s="882">
        <f>IF($O287=0,0,        _xll.qDateNext($O286,AB$17,$AH$16,TRUE,Currency1))</f>
        <v>0</v>
      </c>
      <c r="AC286" s="882">
        <f>IF($O287=0,0,        _xll.qDateNext($O286,AC$17,$AH$16,TRUE,Currency1))</f>
        <v>0</v>
      </c>
      <c r="AD286" s="882">
        <f>IF($O287=0,0,        _xll.qDateNext($O286,AD$17,$AH$16,TRUE,Currency1))</f>
        <v>0</v>
      </c>
      <c r="AE286" s="882">
        <f>IF($O287=0,0,        _xll.qDateNext($O286,AE$17,$AH$16,TRUE,Currency1))</f>
        <v>0</v>
      </c>
      <c r="AF286" s="882">
        <f>IF($O287=0,0,        _xll.qDateNext($O286,AF$17,$AH$16,TRUE,Currency1))</f>
        <v>0</v>
      </c>
      <c r="AG286" s="882">
        <f>IF($O287=0,0,        _xll.qDateNext($O286,AG$17,$AH$16,TRUE,Currency1))</f>
        <v>0</v>
      </c>
      <c r="AH286" s="882">
        <f>IF($O287=0,0,        _xll.qDateNext($O286,AH$17,$AH$16,TRUE,Currency1))</f>
        <v>0</v>
      </c>
      <c r="AI286" s="886">
        <f>IF($O287=0,0,           IF(FRM,_xll.qGetFwdRate(AI$14,$O286,AA286,"T",DCC_Leg1_Float),_xll.qGetFwdRate(AI$14,$O286,$O287,"T",DCC_Leg1_Float)))</f>
        <v>0</v>
      </c>
      <c r="AJ286" s="886">
        <f>IF($O287=0,0,           IF(FRM,_xll.qGetFwdRate(AJ$14,$O286,AB286,"T",DCC_Leg1_Float),_xll.qGetFwdRate(AJ$14,$O286,$O287,"T",DCC_Leg1_Float)))</f>
        <v>0</v>
      </c>
      <c r="AK286" s="886">
        <f t="shared" si="132"/>
        <v>0</v>
      </c>
      <c r="AL286" s="886">
        <f>IF($O287=0,0,           IF(FRM,_xll.qGetFwdRate(AL$14,$O286,AD286,"T",DCC_Leg1_Float),_xll.qGetFwdRate(AL$14,$O286,$O287,"T",DCC_Leg1_Float)))</f>
        <v>0</v>
      </c>
      <c r="AM286" s="886">
        <f t="shared" si="145"/>
        <v>0</v>
      </c>
      <c r="AN286" s="886">
        <f t="shared" si="146"/>
        <v>0</v>
      </c>
      <c r="AO286" s="886">
        <f>IF($O287=0,0,           IF(FRM,_xll.qGetFwdRate(AO$14,$O286,AG286,"T",DCC_Leg1_Float),_xll.qGetFwdRate(AO$14,$O286,$O287,"T",DCC_Leg1_Float)))</f>
        <v>0</v>
      </c>
      <c r="AP286" s="886">
        <f>IF($O287=0,0,           IF(FRM,_xll.qGetFwdRate(AP$14,$O286,AH286,"T",DCC_Leg1_Float),_xll.qGetFwdRate(AP$14,$O286,$O287,"T",DCC_Leg1_Float)))</f>
        <v>0</v>
      </c>
      <c r="AQ286" s="648">
        <f t="shared" si="147"/>
        <v>0</v>
      </c>
      <c r="AR286" s="648">
        <f t="shared" si="148"/>
        <v>0</v>
      </c>
      <c r="AS286" s="648">
        <f t="shared" si="149"/>
        <v>0</v>
      </c>
      <c r="AT286" s="648">
        <f t="shared" si="150"/>
        <v>0</v>
      </c>
      <c r="AU286" s="648">
        <f t="shared" si="151"/>
        <v>0</v>
      </c>
      <c r="AV286" s="648">
        <f t="shared" si="152"/>
        <v>0</v>
      </c>
      <c r="AW286" s="648">
        <f t="shared" si="153"/>
        <v>0</v>
      </c>
      <c r="AX286" s="648">
        <f t="shared" si="154"/>
        <v>0</v>
      </c>
      <c r="AY286" s="634">
        <v>0</v>
      </c>
      <c r="AZ286" s="616"/>
      <c r="BA286" s="619">
        <f>IF(O287=0,0,             IF(ISNUMBER(AZ286),AZ286,             IF(ISTEXT(AZ286),INDEX(AQ286:AX286,MATCH(AZ286,$AQ$17:$AX$17,0)),           IF(AY286="INT",_xll.qInterp(O287,AA286:AH286,AQ286:AX286),       INDEX(AQ286:AX286,MATCH(AY286,$AQ$17:$AX$17,0))))))</f>
        <v>0</v>
      </c>
      <c r="BB286" s="674">
        <v>100</v>
      </c>
      <c r="BC286" s="666">
        <f t="shared" si="133"/>
        <v>0</v>
      </c>
      <c r="BD286" s="268">
        <f>IF($O287=0,0,                IF(LEFT(DCC_Leg1_Fixed,2)="1/",uEvaluate(DCC_Leg1_Fixed),        _xll.qDateYears($O286,$O287,DCC_Leg1_Fixed)))</f>
        <v>0</v>
      </c>
      <c r="BE286" s="268">
        <f>IF($O287,_xll.qDateYears($O286,$O287,DCC_Leg1_Float),0)</f>
        <v>0</v>
      </c>
      <c r="BG286" s="332">
        <f t="shared" si="155"/>
        <v>0</v>
      </c>
      <c r="BH286" s="357">
        <f t="shared" si="156"/>
        <v>0</v>
      </c>
      <c r="BI286" s="527"/>
      <c r="BK286" s="324">
        <f t="shared" si="129"/>
        <v>0</v>
      </c>
      <c r="BM286" s="338"/>
      <c r="BN286" s="121">
        <v>0</v>
      </c>
      <c r="BO286" s="755">
        <f t="shared" si="134"/>
        <v>0</v>
      </c>
      <c r="BP286" s="339">
        <v>0</v>
      </c>
      <c r="BQ286" s="890">
        <f>IF(BN287=0,0,         IF(OR(Currency2="AUD",Currency1="NZD",Currency2="GBP"),BN286,   _xll.qDateNext(BN286,"-2b",,,IF(Currency2="EUR","TGT","LON"))))</f>
        <v>0</v>
      </c>
      <c r="BR286" s="879" t="str">
        <v/>
      </c>
      <c r="BS286" s="879" t="str">
        <v/>
      </c>
      <c r="BT286" s="879" t="str">
        <v/>
      </c>
      <c r="BU286" s="879" t="str">
        <v/>
      </c>
      <c r="BV286" s="879" t="str">
        <v/>
      </c>
      <c r="BW286" s="879" t="str">
        <v/>
      </c>
      <c r="BX286" s="879" t="str">
        <v/>
      </c>
      <c r="BY286" s="879" t="str">
        <v/>
      </c>
      <c r="BZ286" s="882">
        <f>IF($BN287=0,0,        _xll.qDateNext($BN286,BZ$17,$CG$16,TRUE,Currency2))</f>
        <v>0</v>
      </c>
      <c r="CA286" s="882">
        <f>IF($BN287=0,0,        _xll.qDateNext($BN286,CA$17,$CG$16,TRUE,Currency2))</f>
        <v>0</v>
      </c>
      <c r="CB286" s="882">
        <f>IF($BN287=0,0,        _xll.qDateNext($BN286,CB$17,$CG$16,TRUE,Currency2))</f>
        <v>0</v>
      </c>
      <c r="CC286" s="882">
        <f>IF($BN287=0,0,        _xll.qDateNext($BN286,CC$17,$CG$16,TRUE,Currency2))</f>
        <v>0</v>
      </c>
      <c r="CD286" s="882">
        <f>IF($BN287=0,0,        _xll.qDateNext($BN286,CD$17,$CG$16,TRUE,Currency2))</f>
        <v>0</v>
      </c>
      <c r="CE286" s="882">
        <f>IF($BN287=0,0,        _xll.qDateNext($BN286,CE$17,$CG$16,TRUE,Currency2))</f>
        <v>0</v>
      </c>
      <c r="CF286" s="882">
        <f>IF($BN287=0,0,        _xll.qDateNext($BN286,CF$17,$CG$16,TRUE,Currency2))</f>
        <v>0</v>
      </c>
      <c r="CG286" s="882">
        <f>IF($BN287=0,0,        _xll.qDateNext($BN286,CG$17,$CG$16,TRUE,Currency2))</f>
        <v>0</v>
      </c>
      <c r="CH286" s="886">
        <v>0</v>
      </c>
      <c r="CI286" s="886">
        <v>0</v>
      </c>
      <c r="CJ286" s="886">
        <v>0</v>
      </c>
      <c r="CK286" s="886">
        <v>0</v>
      </c>
      <c r="CL286" s="886">
        <f t="shared" si="157"/>
        <v>0</v>
      </c>
      <c r="CM286" s="886">
        <f t="shared" si="158"/>
        <v>0</v>
      </c>
      <c r="CN286" s="886">
        <v>0</v>
      </c>
      <c r="CO286" s="886">
        <v>0</v>
      </c>
      <c r="CP286" s="648">
        <f t="shared" si="135"/>
        <v>0</v>
      </c>
      <c r="CQ286" s="648">
        <f t="shared" si="136"/>
        <v>0</v>
      </c>
      <c r="CR286" s="648">
        <f t="shared" si="137"/>
        <v>0</v>
      </c>
      <c r="CS286" s="648">
        <f t="shared" si="138"/>
        <v>0</v>
      </c>
      <c r="CT286" s="648">
        <f t="shared" si="139"/>
        <v>0</v>
      </c>
      <c r="CU286" s="648">
        <f t="shared" si="140"/>
        <v>0</v>
      </c>
      <c r="CV286" s="648">
        <f t="shared" si="141"/>
        <v>0</v>
      </c>
      <c r="CW286" s="648">
        <f t="shared" si="142"/>
        <v>0</v>
      </c>
      <c r="CX286" s="634">
        <v>0</v>
      </c>
      <c r="CY286" s="616"/>
      <c r="CZ286" s="619">
        <f>IF(BN287=0,0,             IF(ISNUMBER(CY286),CY286,             IF(ISTEXT(CY286),INDEX(CP286:CW286,MATCH(CY286,$CP$17:$CW$17,0)),           IF(CX286="INT",_xll.qInterp(BN287,BZ286:CG286,CP286:CW286),       INDEX(CP286:CW286,MATCH(CX286,$CP$17:$CW$17,0))))))</f>
        <v>0</v>
      </c>
      <c r="DA286" s="755">
        <f t="shared" si="143"/>
        <v>0</v>
      </c>
      <c r="DB286" s="387">
        <f t="shared" si="144"/>
        <v>0</v>
      </c>
      <c r="DC286" s="268">
        <f>IF($BN287=0,0,         IF(LEFT(DCC_Leg2_Fixed,2)="1/",uEvaluate(DCC_Leg2_Fixed),         _xll.qDateYears($BN286,$BN287,DCC_Leg2_Fixed)))</f>
        <v>0</v>
      </c>
      <c r="DD286" s="268">
        <f>IF($BN287,_xll.qDateYears($BN286,$BN287,DCC_Leg2_Float),0)</f>
        <v>0</v>
      </c>
      <c r="DF286" s="332">
        <f t="shared" si="159"/>
        <v>0</v>
      </c>
      <c r="DG286" s="357">
        <f t="shared" si="160"/>
        <v>0</v>
      </c>
      <c r="DH286" s="527"/>
      <c r="DJ286" s="324">
        <f t="shared" si="130"/>
        <v>0</v>
      </c>
      <c r="DK286" s="529"/>
      <c r="DL286" s="338"/>
    </row>
    <row r="287" spans="15:116">
      <c r="O287" s="121">
        <v>0</v>
      </c>
      <c r="P287" s="755">
        <f t="shared" si="131"/>
        <v>0</v>
      </c>
      <c r="Q287" s="125">
        <v>0</v>
      </c>
      <c r="R287" s="890">
        <f>IF(O288=0,0,         IF(OR(Currency1="AUD",Currency1="NZD",Currency1="GBP"),O287,   _xll.qDateNext(O287,"-2b",,,IF(Currency1="EUR","TGT","LON"))))</f>
        <v>0</v>
      </c>
      <c r="S287" s="879" t="str">
        <v/>
      </c>
      <c r="T287" s="879" t="str">
        <v/>
      </c>
      <c r="U287" s="879" t="str">
        <v/>
      </c>
      <c r="V287" s="879" t="str">
        <v/>
      </c>
      <c r="W287" s="879" t="str">
        <v/>
      </c>
      <c r="X287" s="879" t="str">
        <v/>
      </c>
      <c r="Y287" s="879" t="str">
        <v/>
      </c>
      <c r="Z287" s="879" t="str">
        <v/>
      </c>
      <c r="AA287" s="882">
        <f>IF($O288=0,0,        _xll.qDateNext($O287,AA$17,$AH$16,TRUE,Currency1))</f>
        <v>0</v>
      </c>
      <c r="AB287" s="882">
        <f>IF($O288=0,0,        _xll.qDateNext($O287,AB$17,$AH$16,TRUE,Currency1))</f>
        <v>0</v>
      </c>
      <c r="AC287" s="882">
        <f>IF($O288=0,0,        _xll.qDateNext($O287,AC$17,$AH$16,TRUE,Currency1))</f>
        <v>0</v>
      </c>
      <c r="AD287" s="882">
        <f>IF($O288=0,0,        _xll.qDateNext($O287,AD$17,$AH$16,TRUE,Currency1))</f>
        <v>0</v>
      </c>
      <c r="AE287" s="882">
        <f>IF($O288=0,0,        _xll.qDateNext($O287,AE$17,$AH$16,TRUE,Currency1))</f>
        <v>0</v>
      </c>
      <c r="AF287" s="882">
        <f>IF($O288=0,0,        _xll.qDateNext($O287,AF$17,$AH$16,TRUE,Currency1))</f>
        <v>0</v>
      </c>
      <c r="AG287" s="882">
        <f>IF($O288=0,0,        _xll.qDateNext($O287,AG$17,$AH$16,TRUE,Currency1))</f>
        <v>0</v>
      </c>
      <c r="AH287" s="882">
        <f>IF($O288=0,0,        _xll.qDateNext($O287,AH$17,$AH$16,TRUE,Currency1))</f>
        <v>0</v>
      </c>
      <c r="AI287" s="886">
        <f>IF($O288=0,0,           IF(FRM,_xll.qGetFwdRate(AI$14,$O287,AA287,"T",DCC_Leg1_Float),_xll.qGetFwdRate(AI$14,$O287,$O288,"T",DCC_Leg1_Float)))</f>
        <v>0</v>
      </c>
      <c r="AJ287" s="886">
        <f>IF($O288=0,0,           IF(FRM,_xll.qGetFwdRate(AJ$14,$O287,AB287,"T",DCC_Leg1_Float),_xll.qGetFwdRate(AJ$14,$O287,$O288,"T",DCC_Leg1_Float)))</f>
        <v>0</v>
      </c>
      <c r="AK287" s="886">
        <f t="shared" si="132"/>
        <v>0</v>
      </c>
      <c r="AL287" s="886">
        <f>IF($O288=0,0,           IF(FRM,_xll.qGetFwdRate(AL$14,$O287,AD287,"T",DCC_Leg1_Float),_xll.qGetFwdRate(AL$14,$O287,$O288,"T",DCC_Leg1_Float)))</f>
        <v>0</v>
      </c>
      <c r="AM287" s="886">
        <f t="shared" si="145"/>
        <v>0</v>
      </c>
      <c r="AN287" s="886">
        <f t="shared" si="146"/>
        <v>0</v>
      </c>
      <c r="AO287" s="886">
        <f>IF($O288=0,0,           IF(FRM,_xll.qGetFwdRate(AO$14,$O287,AG287,"T",DCC_Leg1_Float),_xll.qGetFwdRate(AO$14,$O287,$O288,"T",DCC_Leg1_Float)))</f>
        <v>0</v>
      </c>
      <c r="AP287" s="886">
        <f>IF($O288=0,0,           IF(FRM,_xll.qGetFwdRate(AP$14,$O287,AH287,"T",DCC_Leg1_Float),_xll.qGetFwdRate(AP$14,$O287,$O288,"T",DCC_Leg1_Float)))</f>
        <v>0</v>
      </c>
      <c r="AQ287" s="648">
        <f t="shared" si="147"/>
        <v>0</v>
      </c>
      <c r="AR287" s="648">
        <f t="shared" si="148"/>
        <v>0</v>
      </c>
      <c r="AS287" s="648">
        <f t="shared" si="149"/>
        <v>0</v>
      </c>
      <c r="AT287" s="648">
        <f t="shared" si="150"/>
        <v>0</v>
      </c>
      <c r="AU287" s="648">
        <f t="shared" si="151"/>
        <v>0</v>
      </c>
      <c r="AV287" s="648">
        <f t="shared" si="152"/>
        <v>0</v>
      </c>
      <c r="AW287" s="648">
        <f t="shared" si="153"/>
        <v>0</v>
      </c>
      <c r="AX287" s="648">
        <f t="shared" si="154"/>
        <v>0</v>
      </c>
      <c r="AY287" s="634">
        <v>0</v>
      </c>
      <c r="AZ287" s="616"/>
      <c r="BA287" s="619">
        <f>IF(O288=0,0,             IF(ISNUMBER(AZ287),AZ287,             IF(ISTEXT(AZ287),INDEX(AQ287:AX287,MATCH(AZ287,$AQ$17:$AX$17,0)),           IF(AY287="INT",_xll.qInterp(O288,AA287:AH287,AQ287:AX287),       INDEX(AQ287:AX287,MATCH(AY287,$AQ$17:$AX$17,0))))))</f>
        <v>0</v>
      </c>
      <c r="BB287" s="674">
        <v>100</v>
      </c>
      <c r="BC287" s="666">
        <f t="shared" si="133"/>
        <v>0</v>
      </c>
      <c r="BD287" s="268">
        <f>IF($O288=0,0,                IF(LEFT(DCC_Leg1_Fixed,2)="1/",uEvaluate(DCC_Leg1_Fixed),        _xll.qDateYears($O287,$O288,DCC_Leg1_Fixed)))</f>
        <v>0</v>
      </c>
      <c r="BE287" s="268">
        <f>IF($O288,_xll.qDateYears($O287,$O288,DCC_Leg1_Float),0)</f>
        <v>0</v>
      </c>
      <c r="BG287" s="332">
        <f t="shared" si="155"/>
        <v>0</v>
      </c>
      <c r="BH287" s="357">
        <f t="shared" si="156"/>
        <v>0</v>
      </c>
      <c r="BI287" s="527"/>
      <c r="BK287" s="324">
        <f t="shared" si="129"/>
        <v>0</v>
      </c>
      <c r="BM287" s="338"/>
      <c r="BN287" s="121">
        <v>0</v>
      </c>
      <c r="BO287" s="755">
        <f t="shared" si="134"/>
        <v>0</v>
      </c>
      <c r="BP287" s="339">
        <v>0</v>
      </c>
      <c r="BQ287" s="890">
        <f>IF(BN288=0,0,         IF(OR(Currency2="AUD",Currency1="NZD",Currency2="GBP"),BN287,   _xll.qDateNext(BN287,"-2b",,,IF(Currency2="EUR","TGT","LON"))))</f>
        <v>0</v>
      </c>
      <c r="BR287" s="879" t="str">
        <v/>
      </c>
      <c r="BS287" s="879" t="str">
        <v/>
      </c>
      <c r="BT287" s="879" t="str">
        <v/>
      </c>
      <c r="BU287" s="879" t="str">
        <v/>
      </c>
      <c r="BV287" s="879" t="str">
        <v/>
      </c>
      <c r="BW287" s="879" t="str">
        <v/>
      </c>
      <c r="BX287" s="879" t="str">
        <v/>
      </c>
      <c r="BY287" s="879" t="str">
        <v/>
      </c>
      <c r="BZ287" s="882">
        <f>IF($BN288=0,0,        _xll.qDateNext($BN287,BZ$17,$CG$16,TRUE,Currency2))</f>
        <v>0</v>
      </c>
      <c r="CA287" s="882">
        <f>IF($BN288=0,0,        _xll.qDateNext($BN287,CA$17,$CG$16,TRUE,Currency2))</f>
        <v>0</v>
      </c>
      <c r="CB287" s="882">
        <f>IF($BN288=0,0,        _xll.qDateNext($BN287,CB$17,$CG$16,TRUE,Currency2))</f>
        <v>0</v>
      </c>
      <c r="CC287" s="882">
        <f>IF($BN288=0,0,        _xll.qDateNext($BN287,CC$17,$CG$16,TRUE,Currency2))</f>
        <v>0</v>
      </c>
      <c r="CD287" s="882">
        <f>IF($BN288=0,0,        _xll.qDateNext($BN287,CD$17,$CG$16,TRUE,Currency2))</f>
        <v>0</v>
      </c>
      <c r="CE287" s="882">
        <f>IF($BN288=0,0,        _xll.qDateNext($BN287,CE$17,$CG$16,TRUE,Currency2))</f>
        <v>0</v>
      </c>
      <c r="CF287" s="882">
        <f>IF($BN288=0,0,        _xll.qDateNext($BN287,CF$17,$CG$16,TRUE,Currency2))</f>
        <v>0</v>
      </c>
      <c r="CG287" s="882">
        <f>IF($BN288=0,0,        _xll.qDateNext($BN287,CG$17,$CG$16,TRUE,Currency2))</f>
        <v>0</v>
      </c>
      <c r="CH287" s="886">
        <v>0</v>
      </c>
      <c r="CI287" s="886">
        <v>0</v>
      </c>
      <c r="CJ287" s="886">
        <v>0</v>
      </c>
      <c r="CK287" s="886">
        <v>0</v>
      </c>
      <c r="CL287" s="886">
        <f t="shared" si="157"/>
        <v>0</v>
      </c>
      <c r="CM287" s="886">
        <f t="shared" si="158"/>
        <v>0</v>
      </c>
      <c r="CN287" s="886">
        <v>0</v>
      </c>
      <c r="CO287" s="886">
        <v>0</v>
      </c>
      <c r="CP287" s="648">
        <f t="shared" si="135"/>
        <v>0</v>
      </c>
      <c r="CQ287" s="648">
        <f t="shared" si="136"/>
        <v>0</v>
      </c>
      <c r="CR287" s="648">
        <f t="shared" si="137"/>
        <v>0</v>
      </c>
      <c r="CS287" s="648">
        <f t="shared" si="138"/>
        <v>0</v>
      </c>
      <c r="CT287" s="648">
        <f t="shared" si="139"/>
        <v>0</v>
      </c>
      <c r="CU287" s="648">
        <f t="shared" si="140"/>
        <v>0</v>
      </c>
      <c r="CV287" s="648">
        <f t="shared" si="141"/>
        <v>0</v>
      </c>
      <c r="CW287" s="648">
        <f t="shared" si="142"/>
        <v>0</v>
      </c>
      <c r="CX287" s="634">
        <v>0</v>
      </c>
      <c r="CY287" s="616"/>
      <c r="CZ287" s="619">
        <f>IF(BN288=0,0,             IF(ISNUMBER(CY287),CY287,             IF(ISTEXT(CY287),INDEX(CP287:CW287,MATCH(CY287,$CP$17:$CW$17,0)),           IF(CX287="INT",_xll.qInterp(BN288,BZ287:CG287,CP287:CW287),       INDEX(CP287:CW287,MATCH(CX287,$CP$17:$CW$17,0))))))</f>
        <v>0</v>
      </c>
      <c r="DA287" s="755">
        <f t="shared" si="143"/>
        <v>0</v>
      </c>
      <c r="DB287" s="387">
        <f t="shared" si="144"/>
        <v>0</v>
      </c>
      <c r="DC287" s="268">
        <f>IF($BN288=0,0,         IF(LEFT(DCC_Leg2_Fixed,2)="1/",uEvaluate(DCC_Leg2_Fixed),         _xll.qDateYears($BN287,$BN288,DCC_Leg2_Fixed)))</f>
        <v>0</v>
      </c>
      <c r="DD287" s="268">
        <f>IF($BN288,_xll.qDateYears($BN287,$BN288,DCC_Leg2_Float),0)</f>
        <v>0</v>
      </c>
      <c r="DF287" s="332">
        <f t="shared" si="159"/>
        <v>0</v>
      </c>
      <c r="DG287" s="357">
        <f t="shared" si="160"/>
        <v>0</v>
      </c>
      <c r="DH287" s="527"/>
      <c r="DJ287" s="324">
        <f t="shared" si="130"/>
        <v>0</v>
      </c>
      <c r="DK287" s="529"/>
      <c r="DL287" s="338"/>
    </row>
    <row r="288" spans="15:116">
      <c r="O288" s="121">
        <v>0</v>
      </c>
      <c r="P288" s="755">
        <f t="shared" si="131"/>
        <v>0</v>
      </c>
      <c r="Q288" s="125">
        <v>0</v>
      </c>
      <c r="R288" s="890">
        <f>IF(O289=0,0,         IF(OR(Currency1="AUD",Currency1="NZD",Currency1="GBP"),O288,   _xll.qDateNext(O288,"-2b",,,IF(Currency1="EUR","TGT","LON"))))</f>
        <v>0</v>
      </c>
      <c r="S288" s="879" t="str">
        <v/>
      </c>
      <c r="T288" s="879" t="str">
        <v/>
      </c>
      <c r="U288" s="879" t="str">
        <v/>
      </c>
      <c r="V288" s="879" t="str">
        <v/>
      </c>
      <c r="W288" s="879" t="str">
        <v/>
      </c>
      <c r="X288" s="879" t="str">
        <v/>
      </c>
      <c r="Y288" s="879" t="str">
        <v/>
      </c>
      <c r="Z288" s="879" t="str">
        <v/>
      </c>
      <c r="AA288" s="882">
        <f>IF($O289=0,0,        _xll.qDateNext($O288,AA$17,$AH$16,TRUE,Currency1))</f>
        <v>0</v>
      </c>
      <c r="AB288" s="882">
        <f>IF($O289=0,0,        _xll.qDateNext($O288,AB$17,$AH$16,TRUE,Currency1))</f>
        <v>0</v>
      </c>
      <c r="AC288" s="882">
        <f>IF($O289=0,0,        _xll.qDateNext($O288,AC$17,$AH$16,TRUE,Currency1))</f>
        <v>0</v>
      </c>
      <c r="AD288" s="882">
        <f>IF($O289=0,0,        _xll.qDateNext($O288,AD$17,$AH$16,TRUE,Currency1))</f>
        <v>0</v>
      </c>
      <c r="AE288" s="882">
        <f>IF($O289=0,0,        _xll.qDateNext($O288,AE$17,$AH$16,TRUE,Currency1))</f>
        <v>0</v>
      </c>
      <c r="AF288" s="882">
        <f>IF($O289=0,0,        _xll.qDateNext($O288,AF$17,$AH$16,TRUE,Currency1))</f>
        <v>0</v>
      </c>
      <c r="AG288" s="882">
        <f>IF($O289=0,0,        _xll.qDateNext($O288,AG$17,$AH$16,TRUE,Currency1))</f>
        <v>0</v>
      </c>
      <c r="AH288" s="882">
        <f>IF($O289=0,0,        _xll.qDateNext($O288,AH$17,$AH$16,TRUE,Currency1))</f>
        <v>0</v>
      </c>
      <c r="AI288" s="886">
        <f>IF($O289=0,0,           IF(FRM,_xll.qGetFwdRate(AI$14,$O288,AA288,"T",DCC_Leg1_Float),_xll.qGetFwdRate(AI$14,$O288,$O289,"T",DCC_Leg1_Float)))</f>
        <v>0</v>
      </c>
      <c r="AJ288" s="886">
        <f>IF($O289=0,0,           IF(FRM,_xll.qGetFwdRate(AJ$14,$O288,AB288,"T",DCC_Leg1_Float),_xll.qGetFwdRate(AJ$14,$O288,$O289,"T",DCC_Leg1_Float)))</f>
        <v>0</v>
      </c>
      <c r="AK288" s="886">
        <f t="shared" si="132"/>
        <v>0</v>
      </c>
      <c r="AL288" s="886">
        <f>IF($O289=0,0,           IF(FRM,_xll.qGetFwdRate(AL$14,$O288,AD288,"T",DCC_Leg1_Float),_xll.qGetFwdRate(AL$14,$O288,$O289,"T",DCC_Leg1_Float)))</f>
        <v>0</v>
      </c>
      <c r="AM288" s="886">
        <f t="shared" si="145"/>
        <v>0</v>
      </c>
      <c r="AN288" s="886">
        <f t="shared" si="146"/>
        <v>0</v>
      </c>
      <c r="AO288" s="886">
        <f>IF($O289=0,0,           IF(FRM,_xll.qGetFwdRate(AO$14,$O288,AG288,"T",DCC_Leg1_Float),_xll.qGetFwdRate(AO$14,$O288,$O289,"T",DCC_Leg1_Float)))</f>
        <v>0</v>
      </c>
      <c r="AP288" s="886">
        <f>IF($O289=0,0,           IF(FRM,_xll.qGetFwdRate(AP$14,$O288,AH288,"T",DCC_Leg1_Float),_xll.qGetFwdRate(AP$14,$O288,$O289,"T",DCC_Leg1_Float)))</f>
        <v>0</v>
      </c>
      <c r="AQ288" s="648">
        <f t="shared" si="147"/>
        <v>0</v>
      </c>
      <c r="AR288" s="648">
        <f t="shared" si="148"/>
        <v>0</v>
      </c>
      <c r="AS288" s="648">
        <f t="shared" si="149"/>
        <v>0</v>
      </c>
      <c r="AT288" s="648">
        <f t="shared" si="150"/>
        <v>0</v>
      </c>
      <c r="AU288" s="648">
        <f t="shared" si="151"/>
        <v>0</v>
      </c>
      <c r="AV288" s="648">
        <f t="shared" si="152"/>
        <v>0</v>
      </c>
      <c r="AW288" s="648">
        <f t="shared" si="153"/>
        <v>0</v>
      </c>
      <c r="AX288" s="648">
        <f t="shared" si="154"/>
        <v>0</v>
      </c>
      <c r="AY288" s="634">
        <v>0</v>
      </c>
      <c r="AZ288" s="616"/>
      <c r="BA288" s="619">
        <f>IF(O289=0,0,             IF(ISNUMBER(AZ288),AZ288,             IF(ISTEXT(AZ288),INDEX(AQ288:AX288,MATCH(AZ288,$AQ$17:$AX$17,0)),           IF(AY288="INT",_xll.qInterp(O289,AA288:AH288,AQ288:AX288),       INDEX(AQ288:AX288,MATCH(AY288,$AQ$17:$AX$17,0))))))</f>
        <v>0</v>
      </c>
      <c r="BB288" s="674">
        <v>100</v>
      </c>
      <c r="BC288" s="666">
        <f t="shared" si="133"/>
        <v>0</v>
      </c>
      <c r="BD288" s="268">
        <f>IF($O289=0,0,                IF(LEFT(DCC_Leg1_Fixed,2)="1/",uEvaluate(DCC_Leg1_Fixed),        _xll.qDateYears($O288,$O289,DCC_Leg1_Fixed)))</f>
        <v>0</v>
      </c>
      <c r="BE288" s="268">
        <f>IF($O289,_xll.qDateYears($O288,$O289,DCC_Leg1_Float),0)</f>
        <v>0</v>
      </c>
      <c r="BG288" s="332">
        <f t="shared" si="155"/>
        <v>0</v>
      </c>
      <c r="BH288" s="357">
        <f t="shared" si="156"/>
        <v>0</v>
      </c>
      <c r="BI288" s="527"/>
      <c r="BK288" s="324">
        <f t="shared" si="129"/>
        <v>0</v>
      </c>
      <c r="BM288" s="338"/>
      <c r="BN288" s="121">
        <v>0</v>
      </c>
      <c r="BO288" s="755">
        <f t="shared" si="134"/>
        <v>0</v>
      </c>
      <c r="BP288" s="339">
        <v>0</v>
      </c>
      <c r="BQ288" s="890">
        <f>IF(BN289=0,0,         IF(OR(Currency2="AUD",Currency1="NZD",Currency2="GBP"),BN288,   _xll.qDateNext(BN288,"-2b",,,IF(Currency2="EUR","TGT","LON"))))</f>
        <v>0</v>
      </c>
      <c r="BR288" s="879" t="str">
        <v/>
      </c>
      <c r="BS288" s="879" t="str">
        <v/>
      </c>
      <c r="BT288" s="879" t="str">
        <v/>
      </c>
      <c r="BU288" s="879" t="str">
        <v/>
      </c>
      <c r="BV288" s="879" t="str">
        <v/>
      </c>
      <c r="BW288" s="879" t="str">
        <v/>
      </c>
      <c r="BX288" s="879" t="str">
        <v/>
      </c>
      <c r="BY288" s="879" t="str">
        <v/>
      </c>
      <c r="BZ288" s="882">
        <f>IF($BN289=0,0,        _xll.qDateNext($BN288,BZ$17,$CG$16,TRUE,Currency2))</f>
        <v>0</v>
      </c>
      <c r="CA288" s="882">
        <f>IF($BN289=0,0,        _xll.qDateNext($BN288,CA$17,$CG$16,TRUE,Currency2))</f>
        <v>0</v>
      </c>
      <c r="CB288" s="882">
        <f>IF($BN289=0,0,        _xll.qDateNext($BN288,CB$17,$CG$16,TRUE,Currency2))</f>
        <v>0</v>
      </c>
      <c r="CC288" s="882">
        <f>IF($BN289=0,0,        _xll.qDateNext($BN288,CC$17,$CG$16,TRUE,Currency2))</f>
        <v>0</v>
      </c>
      <c r="CD288" s="882">
        <f>IF($BN289=0,0,        _xll.qDateNext($BN288,CD$17,$CG$16,TRUE,Currency2))</f>
        <v>0</v>
      </c>
      <c r="CE288" s="882">
        <f>IF($BN289=0,0,        _xll.qDateNext($BN288,CE$17,$CG$16,TRUE,Currency2))</f>
        <v>0</v>
      </c>
      <c r="CF288" s="882">
        <f>IF($BN289=0,0,        _xll.qDateNext($BN288,CF$17,$CG$16,TRUE,Currency2))</f>
        <v>0</v>
      </c>
      <c r="CG288" s="882">
        <f>IF($BN289=0,0,        _xll.qDateNext($BN288,CG$17,$CG$16,TRUE,Currency2))</f>
        <v>0</v>
      </c>
      <c r="CH288" s="886">
        <v>0</v>
      </c>
      <c r="CI288" s="886">
        <v>0</v>
      </c>
      <c r="CJ288" s="886">
        <v>0</v>
      </c>
      <c r="CK288" s="886">
        <v>0</v>
      </c>
      <c r="CL288" s="886">
        <f t="shared" si="157"/>
        <v>0</v>
      </c>
      <c r="CM288" s="886">
        <f t="shared" si="158"/>
        <v>0</v>
      </c>
      <c r="CN288" s="886">
        <v>0</v>
      </c>
      <c r="CO288" s="886">
        <v>0</v>
      </c>
      <c r="CP288" s="648">
        <f t="shared" si="135"/>
        <v>0</v>
      </c>
      <c r="CQ288" s="648">
        <f t="shared" si="136"/>
        <v>0</v>
      </c>
      <c r="CR288" s="648">
        <f t="shared" si="137"/>
        <v>0</v>
      </c>
      <c r="CS288" s="648">
        <f t="shared" si="138"/>
        <v>0</v>
      </c>
      <c r="CT288" s="648">
        <f t="shared" si="139"/>
        <v>0</v>
      </c>
      <c r="CU288" s="648">
        <f t="shared" si="140"/>
        <v>0</v>
      </c>
      <c r="CV288" s="648">
        <f t="shared" si="141"/>
        <v>0</v>
      </c>
      <c r="CW288" s="648">
        <f t="shared" si="142"/>
        <v>0</v>
      </c>
      <c r="CX288" s="634">
        <v>0</v>
      </c>
      <c r="CY288" s="616"/>
      <c r="CZ288" s="619">
        <f>IF(BN289=0,0,             IF(ISNUMBER(CY288),CY288,             IF(ISTEXT(CY288),INDEX(CP288:CW288,MATCH(CY288,$CP$17:$CW$17,0)),           IF(CX288="INT",_xll.qInterp(BN289,BZ288:CG288,CP288:CW288),       INDEX(CP288:CW288,MATCH(CX288,$CP$17:$CW$17,0))))))</f>
        <v>0</v>
      </c>
      <c r="DA288" s="755">
        <f t="shared" si="143"/>
        <v>0</v>
      </c>
      <c r="DB288" s="387">
        <f t="shared" si="144"/>
        <v>0</v>
      </c>
      <c r="DC288" s="268">
        <f>IF($BN289=0,0,         IF(LEFT(DCC_Leg2_Fixed,2)="1/",uEvaluate(DCC_Leg2_Fixed),         _xll.qDateYears($BN288,$BN289,DCC_Leg2_Fixed)))</f>
        <v>0</v>
      </c>
      <c r="DD288" s="268">
        <f>IF($BN289,_xll.qDateYears($BN288,$BN289,DCC_Leg2_Float),0)</f>
        <v>0</v>
      </c>
      <c r="DF288" s="332">
        <f t="shared" si="159"/>
        <v>0</v>
      </c>
      <c r="DG288" s="357">
        <f t="shared" si="160"/>
        <v>0</v>
      </c>
      <c r="DH288" s="527"/>
      <c r="DJ288" s="324">
        <f t="shared" si="130"/>
        <v>0</v>
      </c>
      <c r="DK288" s="529"/>
      <c r="DL288" s="338"/>
    </row>
    <row r="289" spans="15:116">
      <c r="O289" s="121">
        <v>0</v>
      </c>
      <c r="P289" s="755">
        <f t="shared" si="131"/>
        <v>0</v>
      </c>
      <c r="Q289" s="125">
        <v>0</v>
      </c>
      <c r="R289" s="890">
        <f>IF(O290=0,0,         IF(OR(Currency1="AUD",Currency1="NZD",Currency1="GBP"),O289,   _xll.qDateNext(O289,"-2b",,,IF(Currency1="EUR","TGT","LON"))))</f>
        <v>0</v>
      </c>
      <c r="S289" s="879" t="str">
        <v/>
      </c>
      <c r="T289" s="879" t="str">
        <v/>
      </c>
      <c r="U289" s="879" t="str">
        <v/>
      </c>
      <c r="V289" s="879" t="str">
        <v/>
      </c>
      <c r="W289" s="879" t="str">
        <v/>
      </c>
      <c r="X289" s="879" t="str">
        <v/>
      </c>
      <c r="Y289" s="879" t="str">
        <v/>
      </c>
      <c r="Z289" s="879" t="str">
        <v/>
      </c>
      <c r="AA289" s="882">
        <f>IF($O290=0,0,        _xll.qDateNext($O289,AA$17,$AH$16,TRUE,Currency1))</f>
        <v>0</v>
      </c>
      <c r="AB289" s="882">
        <f>IF($O290=0,0,        _xll.qDateNext($O289,AB$17,$AH$16,TRUE,Currency1))</f>
        <v>0</v>
      </c>
      <c r="AC289" s="882">
        <f>IF($O290=0,0,        _xll.qDateNext($O289,AC$17,$AH$16,TRUE,Currency1))</f>
        <v>0</v>
      </c>
      <c r="AD289" s="882">
        <f>IF($O290=0,0,        _xll.qDateNext($O289,AD$17,$AH$16,TRUE,Currency1))</f>
        <v>0</v>
      </c>
      <c r="AE289" s="882">
        <f>IF($O290=0,0,        _xll.qDateNext($O289,AE$17,$AH$16,TRUE,Currency1))</f>
        <v>0</v>
      </c>
      <c r="AF289" s="882">
        <f>IF($O290=0,0,        _xll.qDateNext($O289,AF$17,$AH$16,TRUE,Currency1))</f>
        <v>0</v>
      </c>
      <c r="AG289" s="882">
        <f>IF($O290=0,0,        _xll.qDateNext($O289,AG$17,$AH$16,TRUE,Currency1))</f>
        <v>0</v>
      </c>
      <c r="AH289" s="882">
        <f>IF($O290=0,0,        _xll.qDateNext($O289,AH$17,$AH$16,TRUE,Currency1))</f>
        <v>0</v>
      </c>
      <c r="AI289" s="886">
        <f>IF($O290=0,0,           IF(FRM,_xll.qGetFwdRate(AI$14,$O289,AA289,"T",DCC_Leg1_Float),_xll.qGetFwdRate(AI$14,$O289,$O290,"T",DCC_Leg1_Float)))</f>
        <v>0</v>
      </c>
      <c r="AJ289" s="886">
        <f>IF($O290=0,0,           IF(FRM,_xll.qGetFwdRate(AJ$14,$O289,AB289,"T",DCC_Leg1_Float),_xll.qGetFwdRate(AJ$14,$O289,$O290,"T",DCC_Leg1_Float)))</f>
        <v>0</v>
      </c>
      <c r="AK289" s="886">
        <f t="shared" si="132"/>
        <v>0</v>
      </c>
      <c r="AL289" s="886">
        <f>IF($O290=0,0,           IF(FRM,_xll.qGetFwdRate(AL$14,$O289,AD289,"T",DCC_Leg1_Float),_xll.qGetFwdRate(AL$14,$O289,$O290,"T",DCC_Leg1_Float)))</f>
        <v>0</v>
      </c>
      <c r="AM289" s="886">
        <f t="shared" si="145"/>
        <v>0</v>
      </c>
      <c r="AN289" s="886">
        <f t="shared" si="146"/>
        <v>0</v>
      </c>
      <c r="AO289" s="886">
        <f>IF($O290=0,0,           IF(FRM,_xll.qGetFwdRate(AO$14,$O289,AG289,"T",DCC_Leg1_Float),_xll.qGetFwdRate(AO$14,$O289,$O290,"T",DCC_Leg1_Float)))</f>
        <v>0</v>
      </c>
      <c r="AP289" s="886">
        <f>IF($O290=0,0,           IF(FRM,_xll.qGetFwdRate(AP$14,$O289,AH289,"T",DCC_Leg1_Float),_xll.qGetFwdRate(AP$14,$O289,$O290,"T",DCC_Leg1_Float)))</f>
        <v>0</v>
      </c>
      <c r="AQ289" s="648">
        <f t="shared" si="147"/>
        <v>0</v>
      </c>
      <c r="AR289" s="648">
        <f t="shared" si="148"/>
        <v>0</v>
      </c>
      <c r="AS289" s="648">
        <f t="shared" si="149"/>
        <v>0</v>
      </c>
      <c r="AT289" s="648">
        <f t="shared" si="150"/>
        <v>0</v>
      </c>
      <c r="AU289" s="648">
        <f t="shared" si="151"/>
        <v>0</v>
      </c>
      <c r="AV289" s="648">
        <f t="shared" si="152"/>
        <v>0</v>
      </c>
      <c r="AW289" s="648">
        <f t="shared" si="153"/>
        <v>0</v>
      </c>
      <c r="AX289" s="648">
        <f t="shared" si="154"/>
        <v>0</v>
      </c>
      <c r="AY289" s="634">
        <v>0</v>
      </c>
      <c r="AZ289" s="616"/>
      <c r="BA289" s="619">
        <f>IF(O290=0,0,             IF(ISNUMBER(AZ289),AZ289,             IF(ISTEXT(AZ289),INDEX(AQ289:AX289,MATCH(AZ289,$AQ$17:$AX$17,0)),           IF(AY289="INT",_xll.qInterp(O290,AA289:AH289,AQ289:AX289),       INDEX(AQ289:AX289,MATCH(AY289,$AQ$17:$AX$17,0))))))</f>
        <v>0</v>
      </c>
      <c r="BB289" s="674">
        <v>100</v>
      </c>
      <c r="BC289" s="666">
        <f t="shared" si="133"/>
        <v>0</v>
      </c>
      <c r="BD289" s="268">
        <f>IF($O290=0,0,                IF(LEFT(DCC_Leg1_Fixed,2)="1/",uEvaluate(DCC_Leg1_Fixed),        _xll.qDateYears($O289,$O290,DCC_Leg1_Fixed)))</f>
        <v>0</v>
      </c>
      <c r="BE289" s="268">
        <f>IF($O290,_xll.qDateYears($O289,$O290,DCC_Leg1_Float),0)</f>
        <v>0</v>
      </c>
      <c r="BG289" s="332">
        <f t="shared" si="155"/>
        <v>0</v>
      </c>
      <c r="BH289" s="357">
        <f t="shared" si="156"/>
        <v>0</v>
      </c>
      <c r="BI289" s="527"/>
      <c r="BK289" s="324">
        <f t="shared" si="129"/>
        <v>0</v>
      </c>
      <c r="BM289" s="338"/>
      <c r="BN289" s="121">
        <v>0</v>
      </c>
      <c r="BO289" s="755">
        <f t="shared" si="134"/>
        <v>0</v>
      </c>
      <c r="BP289" s="339">
        <v>0</v>
      </c>
      <c r="BQ289" s="890">
        <f>IF(BN290=0,0,         IF(OR(Currency2="AUD",Currency1="NZD",Currency2="GBP"),BN289,   _xll.qDateNext(BN289,"-2b",,,IF(Currency2="EUR","TGT","LON"))))</f>
        <v>0</v>
      </c>
      <c r="BR289" s="879" t="str">
        <v/>
      </c>
      <c r="BS289" s="879" t="str">
        <v/>
      </c>
      <c r="BT289" s="879" t="str">
        <v/>
      </c>
      <c r="BU289" s="879" t="str">
        <v/>
      </c>
      <c r="BV289" s="879" t="str">
        <v/>
      </c>
      <c r="BW289" s="879" t="str">
        <v/>
      </c>
      <c r="BX289" s="879" t="str">
        <v/>
      </c>
      <c r="BY289" s="879" t="str">
        <v/>
      </c>
      <c r="BZ289" s="882">
        <f>IF($BN290=0,0,        _xll.qDateNext($BN289,BZ$17,$CG$16,TRUE,Currency2))</f>
        <v>0</v>
      </c>
      <c r="CA289" s="882">
        <f>IF($BN290=0,0,        _xll.qDateNext($BN289,CA$17,$CG$16,TRUE,Currency2))</f>
        <v>0</v>
      </c>
      <c r="CB289" s="882">
        <f>IF($BN290=0,0,        _xll.qDateNext($BN289,CB$17,$CG$16,TRUE,Currency2))</f>
        <v>0</v>
      </c>
      <c r="CC289" s="882">
        <f>IF($BN290=0,0,        _xll.qDateNext($BN289,CC$17,$CG$16,TRUE,Currency2))</f>
        <v>0</v>
      </c>
      <c r="CD289" s="882">
        <f>IF($BN290=0,0,        _xll.qDateNext($BN289,CD$17,$CG$16,TRUE,Currency2))</f>
        <v>0</v>
      </c>
      <c r="CE289" s="882">
        <f>IF($BN290=0,0,        _xll.qDateNext($BN289,CE$17,$CG$16,TRUE,Currency2))</f>
        <v>0</v>
      </c>
      <c r="CF289" s="882">
        <f>IF($BN290=0,0,        _xll.qDateNext($BN289,CF$17,$CG$16,TRUE,Currency2))</f>
        <v>0</v>
      </c>
      <c r="CG289" s="882">
        <f>IF($BN290=0,0,        _xll.qDateNext($BN289,CG$17,$CG$16,TRUE,Currency2))</f>
        <v>0</v>
      </c>
      <c r="CH289" s="886">
        <v>0</v>
      </c>
      <c r="CI289" s="886">
        <v>0</v>
      </c>
      <c r="CJ289" s="886">
        <v>0</v>
      </c>
      <c r="CK289" s="886">
        <v>0</v>
      </c>
      <c r="CL289" s="886">
        <f t="shared" si="157"/>
        <v>0</v>
      </c>
      <c r="CM289" s="886">
        <f t="shared" si="158"/>
        <v>0</v>
      </c>
      <c r="CN289" s="886">
        <v>0</v>
      </c>
      <c r="CO289" s="886">
        <v>0</v>
      </c>
      <c r="CP289" s="648">
        <f t="shared" si="135"/>
        <v>0</v>
      </c>
      <c r="CQ289" s="648">
        <f t="shared" si="136"/>
        <v>0</v>
      </c>
      <c r="CR289" s="648">
        <f t="shared" si="137"/>
        <v>0</v>
      </c>
      <c r="CS289" s="648">
        <f t="shared" si="138"/>
        <v>0</v>
      </c>
      <c r="CT289" s="648">
        <f t="shared" si="139"/>
        <v>0</v>
      </c>
      <c r="CU289" s="648">
        <f t="shared" si="140"/>
        <v>0</v>
      </c>
      <c r="CV289" s="648">
        <f t="shared" si="141"/>
        <v>0</v>
      </c>
      <c r="CW289" s="648">
        <f t="shared" si="142"/>
        <v>0</v>
      </c>
      <c r="CX289" s="634">
        <v>0</v>
      </c>
      <c r="CY289" s="616"/>
      <c r="CZ289" s="619">
        <f>IF(BN290=0,0,             IF(ISNUMBER(CY289),CY289,             IF(ISTEXT(CY289),INDEX(CP289:CW289,MATCH(CY289,$CP$17:$CW$17,0)),           IF(CX289="INT",_xll.qInterp(BN290,BZ289:CG289,CP289:CW289),       INDEX(CP289:CW289,MATCH(CX289,$CP$17:$CW$17,0))))))</f>
        <v>0</v>
      </c>
      <c r="DA289" s="755">
        <f t="shared" si="143"/>
        <v>0</v>
      </c>
      <c r="DB289" s="387">
        <f t="shared" si="144"/>
        <v>0</v>
      </c>
      <c r="DC289" s="268">
        <f>IF($BN290=0,0,         IF(LEFT(DCC_Leg2_Fixed,2)="1/",uEvaluate(DCC_Leg2_Fixed),         _xll.qDateYears($BN289,$BN290,DCC_Leg2_Fixed)))</f>
        <v>0</v>
      </c>
      <c r="DD289" s="268">
        <f>IF($BN290,_xll.qDateYears($BN289,$BN290,DCC_Leg2_Float),0)</f>
        <v>0</v>
      </c>
      <c r="DF289" s="332">
        <f t="shared" si="159"/>
        <v>0</v>
      </c>
      <c r="DG289" s="357">
        <f t="shared" si="160"/>
        <v>0</v>
      </c>
      <c r="DH289" s="527"/>
      <c r="DJ289" s="324">
        <f t="shared" si="130"/>
        <v>0</v>
      </c>
      <c r="DK289" s="529"/>
      <c r="DL289" s="338"/>
    </row>
    <row r="290" spans="15:116">
      <c r="O290" s="121">
        <v>0</v>
      </c>
      <c r="P290" s="755">
        <f t="shared" si="131"/>
        <v>0</v>
      </c>
      <c r="Q290" s="125">
        <v>0</v>
      </c>
      <c r="R290" s="890">
        <f>IF(O291=0,0,         IF(OR(Currency1="AUD",Currency1="NZD",Currency1="GBP"),O290,   _xll.qDateNext(O290,"-2b",,,IF(Currency1="EUR","TGT","LON"))))</f>
        <v>0</v>
      </c>
      <c r="S290" s="879" t="str">
        <v/>
      </c>
      <c r="T290" s="879" t="str">
        <v/>
      </c>
      <c r="U290" s="879" t="str">
        <v/>
      </c>
      <c r="V290" s="879" t="str">
        <v/>
      </c>
      <c r="W290" s="879" t="str">
        <v/>
      </c>
      <c r="X290" s="879" t="str">
        <v/>
      </c>
      <c r="Y290" s="879" t="str">
        <v/>
      </c>
      <c r="Z290" s="879" t="str">
        <v/>
      </c>
      <c r="AA290" s="882">
        <f>IF($O291=0,0,        _xll.qDateNext($O290,AA$17,$AH$16,TRUE,Currency1))</f>
        <v>0</v>
      </c>
      <c r="AB290" s="882">
        <f>IF($O291=0,0,        _xll.qDateNext($O290,AB$17,$AH$16,TRUE,Currency1))</f>
        <v>0</v>
      </c>
      <c r="AC290" s="882">
        <f>IF($O291=0,0,        _xll.qDateNext($O290,AC$17,$AH$16,TRUE,Currency1))</f>
        <v>0</v>
      </c>
      <c r="AD290" s="882">
        <f>IF($O291=0,0,        _xll.qDateNext($O290,AD$17,$AH$16,TRUE,Currency1))</f>
        <v>0</v>
      </c>
      <c r="AE290" s="882">
        <f>IF($O291=0,0,        _xll.qDateNext($O290,AE$17,$AH$16,TRUE,Currency1))</f>
        <v>0</v>
      </c>
      <c r="AF290" s="882">
        <f>IF($O291=0,0,        _xll.qDateNext($O290,AF$17,$AH$16,TRUE,Currency1))</f>
        <v>0</v>
      </c>
      <c r="AG290" s="882">
        <f>IF($O291=0,0,        _xll.qDateNext($O290,AG$17,$AH$16,TRUE,Currency1))</f>
        <v>0</v>
      </c>
      <c r="AH290" s="882">
        <f>IF($O291=0,0,        _xll.qDateNext($O290,AH$17,$AH$16,TRUE,Currency1))</f>
        <v>0</v>
      </c>
      <c r="AI290" s="886">
        <f>IF($O291=0,0,           IF(FRM,_xll.qGetFwdRate(AI$14,$O290,AA290,"T",DCC_Leg1_Float),_xll.qGetFwdRate(AI$14,$O290,$O291,"T",DCC_Leg1_Float)))</f>
        <v>0</v>
      </c>
      <c r="AJ290" s="886">
        <f>IF($O291=0,0,           IF(FRM,_xll.qGetFwdRate(AJ$14,$O290,AB290,"T",DCC_Leg1_Float),_xll.qGetFwdRate(AJ$14,$O290,$O291,"T",DCC_Leg1_Float)))</f>
        <v>0</v>
      </c>
      <c r="AK290" s="886">
        <f t="shared" si="132"/>
        <v>0</v>
      </c>
      <c r="AL290" s="886">
        <f>IF($O291=0,0,           IF(FRM,_xll.qGetFwdRate(AL$14,$O290,AD290,"T",DCC_Leg1_Float),_xll.qGetFwdRate(AL$14,$O290,$O291,"T",DCC_Leg1_Float)))</f>
        <v>0</v>
      </c>
      <c r="AM290" s="886">
        <f t="shared" si="145"/>
        <v>0</v>
      </c>
      <c r="AN290" s="886">
        <f t="shared" si="146"/>
        <v>0</v>
      </c>
      <c r="AO290" s="886">
        <f>IF($O291=0,0,           IF(FRM,_xll.qGetFwdRate(AO$14,$O290,AG290,"T",DCC_Leg1_Float),_xll.qGetFwdRate(AO$14,$O290,$O291,"T",DCC_Leg1_Float)))</f>
        <v>0</v>
      </c>
      <c r="AP290" s="886">
        <f>IF($O291=0,0,           IF(FRM,_xll.qGetFwdRate(AP$14,$O290,AH290,"T",DCC_Leg1_Float),_xll.qGetFwdRate(AP$14,$O290,$O291,"T",DCC_Leg1_Float)))</f>
        <v>0</v>
      </c>
      <c r="AQ290" s="648">
        <f t="shared" si="147"/>
        <v>0</v>
      </c>
      <c r="AR290" s="648">
        <f t="shared" si="148"/>
        <v>0</v>
      </c>
      <c r="AS290" s="648">
        <f t="shared" si="149"/>
        <v>0</v>
      </c>
      <c r="AT290" s="648">
        <f t="shared" si="150"/>
        <v>0</v>
      </c>
      <c r="AU290" s="648">
        <f t="shared" si="151"/>
        <v>0</v>
      </c>
      <c r="AV290" s="648">
        <f t="shared" si="152"/>
        <v>0</v>
      </c>
      <c r="AW290" s="648">
        <f t="shared" si="153"/>
        <v>0</v>
      </c>
      <c r="AX290" s="648">
        <f t="shared" si="154"/>
        <v>0</v>
      </c>
      <c r="AY290" s="634">
        <v>0</v>
      </c>
      <c r="AZ290" s="616"/>
      <c r="BA290" s="619">
        <f>IF(O291=0,0,             IF(ISNUMBER(AZ290),AZ290,             IF(ISTEXT(AZ290),INDEX(AQ290:AX290,MATCH(AZ290,$AQ$17:$AX$17,0)),           IF(AY290="INT",_xll.qInterp(O291,AA290:AH290,AQ290:AX290),       INDEX(AQ290:AX290,MATCH(AY290,$AQ$17:$AX$17,0))))))</f>
        <v>0</v>
      </c>
      <c r="BB290" s="674">
        <v>100</v>
      </c>
      <c r="BC290" s="666">
        <f t="shared" si="133"/>
        <v>0</v>
      </c>
      <c r="BD290" s="268">
        <f>IF($O291=0,0,                IF(LEFT(DCC_Leg1_Fixed,2)="1/",uEvaluate(DCC_Leg1_Fixed),        _xll.qDateYears($O290,$O291,DCC_Leg1_Fixed)))</f>
        <v>0</v>
      </c>
      <c r="BE290" s="268">
        <f>IF($O291,_xll.qDateYears($O290,$O291,DCC_Leg1_Float),0)</f>
        <v>0</v>
      </c>
      <c r="BG290" s="332">
        <f t="shared" si="155"/>
        <v>0</v>
      </c>
      <c r="BH290" s="357">
        <f t="shared" si="156"/>
        <v>0</v>
      </c>
      <c r="BI290" s="527"/>
      <c r="BK290" s="324">
        <f t="shared" si="129"/>
        <v>0</v>
      </c>
      <c r="BM290" s="338"/>
      <c r="BN290" s="121">
        <v>0</v>
      </c>
      <c r="BO290" s="755">
        <f t="shared" si="134"/>
        <v>0</v>
      </c>
      <c r="BP290" s="339">
        <v>0</v>
      </c>
      <c r="BQ290" s="890">
        <f>IF(BN291=0,0,         IF(OR(Currency2="AUD",Currency1="NZD",Currency2="GBP"),BN290,   _xll.qDateNext(BN290,"-2b",,,IF(Currency2="EUR","TGT","LON"))))</f>
        <v>0</v>
      </c>
      <c r="BR290" s="879" t="str">
        <v/>
      </c>
      <c r="BS290" s="879" t="str">
        <v/>
      </c>
      <c r="BT290" s="879" t="str">
        <v/>
      </c>
      <c r="BU290" s="879" t="str">
        <v/>
      </c>
      <c r="BV290" s="879" t="str">
        <v/>
      </c>
      <c r="BW290" s="879" t="str">
        <v/>
      </c>
      <c r="BX290" s="879" t="str">
        <v/>
      </c>
      <c r="BY290" s="879" t="str">
        <v/>
      </c>
      <c r="BZ290" s="882">
        <f>IF($BN291=0,0,        _xll.qDateNext($BN290,BZ$17,$CG$16,TRUE,Currency2))</f>
        <v>0</v>
      </c>
      <c r="CA290" s="882">
        <f>IF($BN291=0,0,        _xll.qDateNext($BN290,CA$17,$CG$16,TRUE,Currency2))</f>
        <v>0</v>
      </c>
      <c r="CB290" s="882">
        <f>IF($BN291=0,0,        _xll.qDateNext($BN290,CB$17,$CG$16,TRUE,Currency2))</f>
        <v>0</v>
      </c>
      <c r="CC290" s="882">
        <f>IF($BN291=0,0,        _xll.qDateNext($BN290,CC$17,$CG$16,TRUE,Currency2))</f>
        <v>0</v>
      </c>
      <c r="CD290" s="882">
        <f>IF($BN291=0,0,        _xll.qDateNext($BN290,CD$17,$CG$16,TRUE,Currency2))</f>
        <v>0</v>
      </c>
      <c r="CE290" s="882">
        <f>IF($BN291=0,0,        _xll.qDateNext($BN290,CE$17,$CG$16,TRUE,Currency2))</f>
        <v>0</v>
      </c>
      <c r="CF290" s="882">
        <f>IF($BN291=0,0,        _xll.qDateNext($BN290,CF$17,$CG$16,TRUE,Currency2))</f>
        <v>0</v>
      </c>
      <c r="CG290" s="882">
        <f>IF($BN291=0,0,        _xll.qDateNext($BN290,CG$17,$CG$16,TRUE,Currency2))</f>
        <v>0</v>
      </c>
      <c r="CH290" s="886">
        <v>0</v>
      </c>
      <c r="CI290" s="886">
        <v>0</v>
      </c>
      <c r="CJ290" s="886">
        <v>0</v>
      </c>
      <c r="CK290" s="886">
        <v>0</v>
      </c>
      <c r="CL290" s="886">
        <f t="shared" si="157"/>
        <v>0</v>
      </c>
      <c r="CM290" s="886">
        <f t="shared" si="158"/>
        <v>0</v>
      </c>
      <c r="CN290" s="886">
        <v>0</v>
      </c>
      <c r="CO290" s="886">
        <v>0</v>
      </c>
      <c r="CP290" s="648">
        <f t="shared" si="135"/>
        <v>0</v>
      </c>
      <c r="CQ290" s="648">
        <f t="shared" si="136"/>
        <v>0</v>
      </c>
      <c r="CR290" s="648">
        <f t="shared" si="137"/>
        <v>0</v>
      </c>
      <c r="CS290" s="648">
        <f t="shared" si="138"/>
        <v>0</v>
      </c>
      <c r="CT290" s="648">
        <f t="shared" si="139"/>
        <v>0</v>
      </c>
      <c r="CU290" s="648">
        <f t="shared" si="140"/>
        <v>0</v>
      </c>
      <c r="CV290" s="648">
        <f t="shared" si="141"/>
        <v>0</v>
      </c>
      <c r="CW290" s="648">
        <f t="shared" si="142"/>
        <v>0</v>
      </c>
      <c r="CX290" s="634">
        <v>0</v>
      </c>
      <c r="CY290" s="616"/>
      <c r="CZ290" s="619">
        <f>IF(BN291=0,0,             IF(ISNUMBER(CY290),CY290,             IF(ISTEXT(CY290),INDEX(CP290:CW290,MATCH(CY290,$CP$17:$CW$17,0)),           IF(CX290="INT",_xll.qInterp(BN291,BZ290:CG290,CP290:CW290),       INDEX(CP290:CW290,MATCH(CX290,$CP$17:$CW$17,0))))))</f>
        <v>0</v>
      </c>
      <c r="DA290" s="755">
        <f t="shared" si="143"/>
        <v>0</v>
      </c>
      <c r="DB290" s="387">
        <f t="shared" si="144"/>
        <v>0</v>
      </c>
      <c r="DC290" s="268">
        <f>IF($BN291=0,0,         IF(LEFT(DCC_Leg2_Fixed,2)="1/",uEvaluate(DCC_Leg2_Fixed),         _xll.qDateYears($BN290,$BN291,DCC_Leg2_Fixed)))</f>
        <v>0</v>
      </c>
      <c r="DD290" s="268">
        <f>IF($BN291,_xll.qDateYears($BN290,$BN291,DCC_Leg2_Float),0)</f>
        <v>0</v>
      </c>
      <c r="DF290" s="332">
        <f t="shared" si="159"/>
        <v>0</v>
      </c>
      <c r="DG290" s="357">
        <f t="shared" si="160"/>
        <v>0</v>
      </c>
      <c r="DH290" s="527"/>
      <c r="DJ290" s="324">
        <f t="shared" si="130"/>
        <v>0</v>
      </c>
      <c r="DK290" s="529"/>
      <c r="DL290" s="338"/>
    </row>
    <row r="291" spans="15:116">
      <c r="O291" s="121">
        <v>0</v>
      </c>
      <c r="P291" s="755">
        <f t="shared" si="131"/>
        <v>0</v>
      </c>
      <c r="Q291" s="125">
        <v>0</v>
      </c>
      <c r="R291" s="890">
        <f>IF(O292=0,0,         IF(OR(Currency1="AUD",Currency1="NZD",Currency1="GBP"),O291,   _xll.qDateNext(O291,"-2b",,,IF(Currency1="EUR","TGT","LON"))))</f>
        <v>0</v>
      </c>
      <c r="S291" s="879" t="str">
        <v/>
      </c>
      <c r="T291" s="879" t="str">
        <v/>
      </c>
      <c r="U291" s="879" t="str">
        <v/>
      </c>
      <c r="V291" s="879" t="str">
        <v/>
      </c>
      <c r="W291" s="879" t="str">
        <v/>
      </c>
      <c r="X291" s="879" t="str">
        <v/>
      </c>
      <c r="Y291" s="879" t="str">
        <v/>
      </c>
      <c r="Z291" s="879" t="str">
        <v/>
      </c>
      <c r="AA291" s="882">
        <f>IF($O292=0,0,        _xll.qDateNext($O291,AA$17,$AH$16,TRUE,Currency1))</f>
        <v>0</v>
      </c>
      <c r="AB291" s="882">
        <f>IF($O292=0,0,        _xll.qDateNext($O291,AB$17,$AH$16,TRUE,Currency1))</f>
        <v>0</v>
      </c>
      <c r="AC291" s="882">
        <f>IF($O292=0,0,        _xll.qDateNext($O291,AC$17,$AH$16,TRUE,Currency1))</f>
        <v>0</v>
      </c>
      <c r="AD291" s="882">
        <f>IF($O292=0,0,        _xll.qDateNext($O291,AD$17,$AH$16,TRUE,Currency1))</f>
        <v>0</v>
      </c>
      <c r="AE291" s="882">
        <f>IF($O292=0,0,        _xll.qDateNext($O291,AE$17,$AH$16,TRUE,Currency1))</f>
        <v>0</v>
      </c>
      <c r="AF291" s="882">
        <f>IF($O292=0,0,        _xll.qDateNext($O291,AF$17,$AH$16,TRUE,Currency1))</f>
        <v>0</v>
      </c>
      <c r="AG291" s="882">
        <f>IF($O292=0,0,        _xll.qDateNext($O291,AG$17,$AH$16,TRUE,Currency1))</f>
        <v>0</v>
      </c>
      <c r="AH291" s="882">
        <f>IF($O292=0,0,        _xll.qDateNext($O291,AH$17,$AH$16,TRUE,Currency1))</f>
        <v>0</v>
      </c>
      <c r="AI291" s="886">
        <f>IF($O292=0,0,           IF(FRM,_xll.qGetFwdRate(AI$14,$O291,AA291,"T",DCC_Leg1_Float),_xll.qGetFwdRate(AI$14,$O291,$O292,"T",DCC_Leg1_Float)))</f>
        <v>0</v>
      </c>
      <c r="AJ291" s="886">
        <f>IF($O292=0,0,           IF(FRM,_xll.qGetFwdRate(AJ$14,$O291,AB291,"T",DCC_Leg1_Float),_xll.qGetFwdRate(AJ$14,$O291,$O292,"T",DCC_Leg1_Float)))</f>
        <v>0</v>
      </c>
      <c r="AK291" s="886">
        <f t="shared" si="132"/>
        <v>0</v>
      </c>
      <c r="AL291" s="886">
        <f>IF($O292=0,0,           IF(FRM,_xll.qGetFwdRate(AL$14,$O291,AD291,"T",DCC_Leg1_Float),_xll.qGetFwdRate(AL$14,$O291,$O292,"T",DCC_Leg1_Float)))</f>
        <v>0</v>
      </c>
      <c r="AM291" s="886">
        <f t="shared" si="145"/>
        <v>0</v>
      </c>
      <c r="AN291" s="886">
        <f t="shared" si="146"/>
        <v>0</v>
      </c>
      <c r="AO291" s="886">
        <f>IF($O292=0,0,           IF(FRM,_xll.qGetFwdRate(AO$14,$O291,AG291,"T",DCC_Leg1_Float),_xll.qGetFwdRate(AO$14,$O291,$O292,"T",DCC_Leg1_Float)))</f>
        <v>0</v>
      </c>
      <c r="AP291" s="886">
        <f>IF($O292=0,0,           IF(FRM,_xll.qGetFwdRate(AP$14,$O291,AH291,"T",DCC_Leg1_Float),_xll.qGetFwdRate(AP$14,$O291,$O292,"T",DCC_Leg1_Float)))</f>
        <v>0</v>
      </c>
      <c r="AQ291" s="648">
        <f t="shared" si="147"/>
        <v>0</v>
      </c>
      <c r="AR291" s="648">
        <f t="shared" si="148"/>
        <v>0</v>
      </c>
      <c r="AS291" s="648">
        <f t="shared" si="149"/>
        <v>0</v>
      </c>
      <c r="AT291" s="648">
        <f t="shared" si="150"/>
        <v>0</v>
      </c>
      <c r="AU291" s="648">
        <f t="shared" si="151"/>
        <v>0</v>
      </c>
      <c r="AV291" s="648">
        <f t="shared" si="152"/>
        <v>0</v>
      </c>
      <c r="AW291" s="648">
        <f t="shared" si="153"/>
        <v>0</v>
      </c>
      <c r="AX291" s="648">
        <f t="shared" si="154"/>
        <v>0</v>
      </c>
      <c r="AY291" s="634">
        <v>0</v>
      </c>
      <c r="AZ291" s="616"/>
      <c r="BA291" s="619">
        <f>IF(O292=0,0,             IF(ISNUMBER(AZ291),AZ291,             IF(ISTEXT(AZ291),INDEX(AQ291:AX291,MATCH(AZ291,$AQ$17:$AX$17,0)),           IF(AY291="INT",_xll.qInterp(O292,AA291:AH291,AQ291:AX291),       INDEX(AQ291:AX291,MATCH(AY291,$AQ$17:$AX$17,0))))))</f>
        <v>0</v>
      </c>
      <c r="BB291" s="674">
        <v>100</v>
      </c>
      <c r="BC291" s="666">
        <f t="shared" si="133"/>
        <v>0</v>
      </c>
      <c r="BD291" s="268">
        <f>IF($O292=0,0,                IF(LEFT(DCC_Leg1_Fixed,2)="1/",uEvaluate(DCC_Leg1_Fixed),        _xll.qDateYears($O291,$O292,DCC_Leg1_Fixed)))</f>
        <v>0</v>
      </c>
      <c r="BE291" s="268">
        <f>IF($O292,_xll.qDateYears($O291,$O292,DCC_Leg1_Float),0)</f>
        <v>0</v>
      </c>
      <c r="BG291" s="332">
        <f t="shared" si="155"/>
        <v>0</v>
      </c>
      <c r="BH291" s="357">
        <f t="shared" si="156"/>
        <v>0</v>
      </c>
      <c r="BI291" s="527"/>
      <c r="BK291" s="324">
        <f t="shared" si="129"/>
        <v>0</v>
      </c>
      <c r="BM291" s="338"/>
      <c r="BN291" s="121">
        <v>0</v>
      </c>
      <c r="BO291" s="755">
        <f t="shared" si="134"/>
        <v>0</v>
      </c>
      <c r="BP291" s="339">
        <v>0</v>
      </c>
      <c r="BQ291" s="890">
        <f>IF(BN292=0,0,         IF(OR(Currency2="AUD",Currency1="NZD",Currency2="GBP"),BN291,   _xll.qDateNext(BN291,"-2b",,,IF(Currency2="EUR","TGT","LON"))))</f>
        <v>0</v>
      </c>
      <c r="BR291" s="879" t="str">
        <v/>
      </c>
      <c r="BS291" s="879" t="str">
        <v/>
      </c>
      <c r="BT291" s="879" t="str">
        <v/>
      </c>
      <c r="BU291" s="879" t="str">
        <v/>
      </c>
      <c r="BV291" s="879" t="str">
        <v/>
      </c>
      <c r="BW291" s="879" t="str">
        <v/>
      </c>
      <c r="BX291" s="879" t="str">
        <v/>
      </c>
      <c r="BY291" s="879" t="str">
        <v/>
      </c>
      <c r="BZ291" s="882">
        <f>IF($BN292=0,0,        _xll.qDateNext($BN291,BZ$17,$CG$16,TRUE,Currency2))</f>
        <v>0</v>
      </c>
      <c r="CA291" s="882">
        <f>IF($BN292=0,0,        _xll.qDateNext($BN291,CA$17,$CG$16,TRUE,Currency2))</f>
        <v>0</v>
      </c>
      <c r="CB291" s="882">
        <f>IF($BN292=0,0,        _xll.qDateNext($BN291,CB$17,$CG$16,TRUE,Currency2))</f>
        <v>0</v>
      </c>
      <c r="CC291" s="882">
        <f>IF($BN292=0,0,        _xll.qDateNext($BN291,CC$17,$CG$16,TRUE,Currency2))</f>
        <v>0</v>
      </c>
      <c r="CD291" s="882">
        <f>IF($BN292=0,0,        _xll.qDateNext($BN291,CD$17,$CG$16,TRUE,Currency2))</f>
        <v>0</v>
      </c>
      <c r="CE291" s="882">
        <f>IF($BN292=0,0,        _xll.qDateNext($BN291,CE$17,$CG$16,TRUE,Currency2))</f>
        <v>0</v>
      </c>
      <c r="CF291" s="882">
        <f>IF($BN292=0,0,        _xll.qDateNext($BN291,CF$17,$CG$16,TRUE,Currency2))</f>
        <v>0</v>
      </c>
      <c r="CG291" s="882">
        <f>IF($BN292=0,0,        _xll.qDateNext($BN291,CG$17,$CG$16,TRUE,Currency2))</f>
        <v>0</v>
      </c>
      <c r="CH291" s="886">
        <v>0</v>
      </c>
      <c r="CI291" s="886">
        <v>0</v>
      </c>
      <c r="CJ291" s="886">
        <v>0</v>
      </c>
      <c r="CK291" s="886">
        <v>0</v>
      </c>
      <c r="CL291" s="886">
        <f t="shared" si="157"/>
        <v>0</v>
      </c>
      <c r="CM291" s="886">
        <f t="shared" si="158"/>
        <v>0</v>
      </c>
      <c r="CN291" s="886">
        <v>0</v>
      </c>
      <c r="CO291" s="886">
        <v>0</v>
      </c>
      <c r="CP291" s="648">
        <f t="shared" si="135"/>
        <v>0</v>
      </c>
      <c r="CQ291" s="648">
        <f t="shared" si="136"/>
        <v>0</v>
      </c>
      <c r="CR291" s="648">
        <f t="shared" si="137"/>
        <v>0</v>
      </c>
      <c r="CS291" s="648">
        <f t="shared" si="138"/>
        <v>0</v>
      </c>
      <c r="CT291" s="648">
        <f t="shared" si="139"/>
        <v>0</v>
      </c>
      <c r="CU291" s="648">
        <f t="shared" si="140"/>
        <v>0</v>
      </c>
      <c r="CV291" s="648">
        <f t="shared" si="141"/>
        <v>0</v>
      </c>
      <c r="CW291" s="648">
        <f t="shared" si="142"/>
        <v>0</v>
      </c>
      <c r="CX291" s="634">
        <v>0</v>
      </c>
      <c r="CY291" s="616"/>
      <c r="CZ291" s="619">
        <f>IF(BN292=0,0,             IF(ISNUMBER(CY291),CY291,             IF(ISTEXT(CY291),INDEX(CP291:CW291,MATCH(CY291,$CP$17:$CW$17,0)),           IF(CX291="INT",_xll.qInterp(BN292,BZ291:CG291,CP291:CW291),       INDEX(CP291:CW291,MATCH(CX291,$CP$17:$CW$17,0))))))</f>
        <v>0</v>
      </c>
      <c r="DA291" s="755">
        <f t="shared" si="143"/>
        <v>0</v>
      </c>
      <c r="DB291" s="387">
        <f t="shared" si="144"/>
        <v>0</v>
      </c>
      <c r="DC291" s="268">
        <f>IF($BN292=0,0,         IF(LEFT(DCC_Leg2_Fixed,2)="1/",uEvaluate(DCC_Leg2_Fixed),         _xll.qDateYears($BN291,$BN292,DCC_Leg2_Fixed)))</f>
        <v>0</v>
      </c>
      <c r="DD291" s="268">
        <f>IF($BN292,_xll.qDateYears($BN291,$BN292,DCC_Leg2_Float),0)</f>
        <v>0</v>
      </c>
      <c r="DF291" s="332">
        <f t="shared" si="159"/>
        <v>0</v>
      </c>
      <c r="DG291" s="357">
        <f t="shared" si="160"/>
        <v>0</v>
      </c>
      <c r="DH291" s="527"/>
      <c r="DJ291" s="324">
        <f t="shared" si="130"/>
        <v>0</v>
      </c>
      <c r="DK291" s="529"/>
      <c r="DL291" s="338"/>
    </row>
    <row r="292" spans="15:116">
      <c r="O292" s="121">
        <v>0</v>
      </c>
      <c r="P292" s="755">
        <f t="shared" si="131"/>
        <v>0</v>
      </c>
      <c r="Q292" s="125">
        <v>0</v>
      </c>
      <c r="R292" s="890">
        <f>IF(O293=0,0,         IF(OR(Currency1="AUD",Currency1="NZD",Currency1="GBP"),O292,   _xll.qDateNext(O292,"-2b",,,IF(Currency1="EUR","TGT","LON"))))</f>
        <v>0</v>
      </c>
      <c r="S292" s="879" t="str">
        <v/>
      </c>
      <c r="T292" s="879" t="str">
        <v/>
      </c>
      <c r="U292" s="879" t="str">
        <v/>
      </c>
      <c r="V292" s="879" t="str">
        <v/>
      </c>
      <c r="W292" s="879" t="str">
        <v/>
      </c>
      <c r="X292" s="879" t="str">
        <v/>
      </c>
      <c r="Y292" s="879" t="str">
        <v/>
      </c>
      <c r="Z292" s="879" t="str">
        <v/>
      </c>
      <c r="AA292" s="882">
        <f>IF($O293=0,0,        _xll.qDateNext($O292,AA$17,$AH$16,TRUE,Currency1))</f>
        <v>0</v>
      </c>
      <c r="AB292" s="882">
        <f>IF($O293=0,0,        _xll.qDateNext($O292,AB$17,$AH$16,TRUE,Currency1))</f>
        <v>0</v>
      </c>
      <c r="AC292" s="882">
        <f>IF($O293=0,0,        _xll.qDateNext($O292,AC$17,$AH$16,TRUE,Currency1))</f>
        <v>0</v>
      </c>
      <c r="AD292" s="882">
        <f>IF($O293=0,0,        _xll.qDateNext($O292,AD$17,$AH$16,TRUE,Currency1))</f>
        <v>0</v>
      </c>
      <c r="AE292" s="882">
        <f>IF($O293=0,0,        _xll.qDateNext($O292,AE$17,$AH$16,TRUE,Currency1))</f>
        <v>0</v>
      </c>
      <c r="AF292" s="882">
        <f>IF($O293=0,0,        _xll.qDateNext($O292,AF$17,$AH$16,TRUE,Currency1))</f>
        <v>0</v>
      </c>
      <c r="AG292" s="882">
        <f>IF($O293=0,0,        _xll.qDateNext($O292,AG$17,$AH$16,TRUE,Currency1))</f>
        <v>0</v>
      </c>
      <c r="AH292" s="882">
        <f>IF($O293=0,0,        _xll.qDateNext($O292,AH$17,$AH$16,TRUE,Currency1))</f>
        <v>0</v>
      </c>
      <c r="AI292" s="886">
        <f>IF($O293=0,0,           IF(FRM,_xll.qGetFwdRate(AI$14,$O292,AA292,"T",DCC_Leg1_Float),_xll.qGetFwdRate(AI$14,$O292,$O293,"T",DCC_Leg1_Float)))</f>
        <v>0</v>
      </c>
      <c r="AJ292" s="886">
        <f>IF($O293=0,0,           IF(FRM,_xll.qGetFwdRate(AJ$14,$O292,AB292,"T",DCC_Leg1_Float),_xll.qGetFwdRate(AJ$14,$O292,$O293,"T",DCC_Leg1_Float)))</f>
        <v>0</v>
      </c>
      <c r="AK292" s="886">
        <f t="shared" si="132"/>
        <v>0</v>
      </c>
      <c r="AL292" s="886">
        <f>IF($O293=0,0,           IF(FRM,_xll.qGetFwdRate(AL$14,$O292,AD292,"T",DCC_Leg1_Float),_xll.qGetFwdRate(AL$14,$O292,$O293,"T",DCC_Leg1_Float)))</f>
        <v>0</v>
      </c>
      <c r="AM292" s="886">
        <f t="shared" si="145"/>
        <v>0</v>
      </c>
      <c r="AN292" s="886">
        <f t="shared" si="146"/>
        <v>0</v>
      </c>
      <c r="AO292" s="886">
        <f>IF($O293=0,0,           IF(FRM,_xll.qGetFwdRate(AO$14,$O292,AG292,"T",DCC_Leg1_Float),_xll.qGetFwdRate(AO$14,$O292,$O293,"T",DCC_Leg1_Float)))</f>
        <v>0</v>
      </c>
      <c r="AP292" s="886">
        <f>IF($O293=0,0,           IF(FRM,_xll.qGetFwdRate(AP$14,$O292,AH292,"T",DCC_Leg1_Float),_xll.qGetFwdRate(AP$14,$O292,$O293,"T",DCC_Leg1_Float)))</f>
        <v>0</v>
      </c>
      <c r="AQ292" s="648">
        <f t="shared" si="147"/>
        <v>0</v>
      </c>
      <c r="AR292" s="648">
        <f t="shared" si="148"/>
        <v>0</v>
      </c>
      <c r="AS292" s="648">
        <f t="shared" si="149"/>
        <v>0</v>
      </c>
      <c r="AT292" s="648">
        <f t="shared" si="150"/>
        <v>0</v>
      </c>
      <c r="AU292" s="648">
        <f t="shared" si="151"/>
        <v>0</v>
      </c>
      <c r="AV292" s="648">
        <f t="shared" si="152"/>
        <v>0</v>
      </c>
      <c r="AW292" s="648">
        <f t="shared" si="153"/>
        <v>0</v>
      </c>
      <c r="AX292" s="648">
        <f t="shared" si="154"/>
        <v>0</v>
      </c>
      <c r="AY292" s="634">
        <v>0</v>
      </c>
      <c r="AZ292" s="616"/>
      <c r="BA292" s="619">
        <f>IF(O293=0,0,             IF(ISNUMBER(AZ292),AZ292,             IF(ISTEXT(AZ292),INDEX(AQ292:AX292,MATCH(AZ292,$AQ$17:$AX$17,0)),           IF(AY292="INT",_xll.qInterp(O293,AA292:AH292,AQ292:AX292),       INDEX(AQ292:AX292,MATCH(AY292,$AQ$17:$AX$17,0))))))</f>
        <v>0</v>
      </c>
      <c r="BB292" s="674">
        <v>100</v>
      </c>
      <c r="BC292" s="666">
        <f t="shared" si="133"/>
        <v>0</v>
      </c>
      <c r="BD292" s="268">
        <f>IF($O293=0,0,                IF(LEFT(DCC_Leg1_Fixed,2)="1/",uEvaluate(DCC_Leg1_Fixed),        _xll.qDateYears($O292,$O293,DCC_Leg1_Fixed)))</f>
        <v>0</v>
      </c>
      <c r="BE292" s="268">
        <f>IF($O293,_xll.qDateYears($O292,$O293,DCC_Leg1_Float),0)</f>
        <v>0</v>
      </c>
      <c r="BG292" s="332">
        <f t="shared" si="155"/>
        <v>0</v>
      </c>
      <c r="BH292" s="357">
        <f t="shared" si="156"/>
        <v>0</v>
      </c>
      <c r="BI292" s="527"/>
      <c r="BK292" s="324">
        <f t="shared" si="129"/>
        <v>0</v>
      </c>
      <c r="BM292" s="338"/>
      <c r="BN292" s="121">
        <v>0</v>
      </c>
      <c r="BO292" s="755">
        <f t="shared" si="134"/>
        <v>0</v>
      </c>
      <c r="BP292" s="339">
        <v>0</v>
      </c>
      <c r="BQ292" s="890">
        <f>IF(BN293=0,0,         IF(OR(Currency2="AUD",Currency1="NZD",Currency2="GBP"),BN292,   _xll.qDateNext(BN292,"-2b",,,IF(Currency2="EUR","TGT","LON"))))</f>
        <v>0</v>
      </c>
      <c r="BR292" s="879" t="str">
        <v/>
      </c>
      <c r="BS292" s="879" t="str">
        <v/>
      </c>
      <c r="BT292" s="879" t="str">
        <v/>
      </c>
      <c r="BU292" s="879" t="str">
        <v/>
      </c>
      <c r="BV292" s="879" t="str">
        <v/>
      </c>
      <c r="BW292" s="879" t="str">
        <v/>
      </c>
      <c r="BX292" s="879" t="str">
        <v/>
      </c>
      <c r="BY292" s="879" t="str">
        <v/>
      </c>
      <c r="BZ292" s="882">
        <f>IF($BN293=0,0,        _xll.qDateNext($BN292,BZ$17,$CG$16,TRUE,Currency2))</f>
        <v>0</v>
      </c>
      <c r="CA292" s="882">
        <f>IF($BN293=0,0,        _xll.qDateNext($BN292,CA$17,$CG$16,TRUE,Currency2))</f>
        <v>0</v>
      </c>
      <c r="CB292" s="882">
        <f>IF($BN293=0,0,        _xll.qDateNext($BN292,CB$17,$CG$16,TRUE,Currency2))</f>
        <v>0</v>
      </c>
      <c r="CC292" s="882">
        <f>IF($BN293=0,0,        _xll.qDateNext($BN292,CC$17,$CG$16,TRUE,Currency2))</f>
        <v>0</v>
      </c>
      <c r="CD292" s="882">
        <f>IF($BN293=0,0,        _xll.qDateNext($BN292,CD$17,$CG$16,TRUE,Currency2))</f>
        <v>0</v>
      </c>
      <c r="CE292" s="882">
        <f>IF($BN293=0,0,        _xll.qDateNext($BN292,CE$17,$CG$16,TRUE,Currency2))</f>
        <v>0</v>
      </c>
      <c r="CF292" s="882">
        <f>IF($BN293=0,0,        _xll.qDateNext($BN292,CF$17,$CG$16,TRUE,Currency2))</f>
        <v>0</v>
      </c>
      <c r="CG292" s="882">
        <f>IF($BN293=0,0,        _xll.qDateNext($BN292,CG$17,$CG$16,TRUE,Currency2))</f>
        <v>0</v>
      </c>
      <c r="CH292" s="886">
        <v>0</v>
      </c>
      <c r="CI292" s="886">
        <v>0</v>
      </c>
      <c r="CJ292" s="886">
        <v>0</v>
      </c>
      <c r="CK292" s="886">
        <v>0</v>
      </c>
      <c r="CL292" s="886">
        <f t="shared" si="157"/>
        <v>0</v>
      </c>
      <c r="CM292" s="886">
        <f t="shared" si="158"/>
        <v>0</v>
      </c>
      <c r="CN292" s="886">
        <v>0</v>
      </c>
      <c r="CO292" s="886">
        <v>0</v>
      </c>
      <c r="CP292" s="648">
        <f t="shared" si="135"/>
        <v>0</v>
      </c>
      <c r="CQ292" s="648">
        <f t="shared" si="136"/>
        <v>0</v>
      </c>
      <c r="CR292" s="648">
        <f t="shared" si="137"/>
        <v>0</v>
      </c>
      <c r="CS292" s="648">
        <f t="shared" si="138"/>
        <v>0</v>
      </c>
      <c r="CT292" s="648">
        <f t="shared" si="139"/>
        <v>0</v>
      </c>
      <c r="CU292" s="648">
        <f t="shared" si="140"/>
        <v>0</v>
      </c>
      <c r="CV292" s="648">
        <f t="shared" si="141"/>
        <v>0</v>
      </c>
      <c r="CW292" s="648">
        <f t="shared" si="142"/>
        <v>0</v>
      </c>
      <c r="CX292" s="634">
        <v>0</v>
      </c>
      <c r="CY292" s="616"/>
      <c r="CZ292" s="619">
        <f>IF(BN293=0,0,             IF(ISNUMBER(CY292),CY292,             IF(ISTEXT(CY292),INDEX(CP292:CW292,MATCH(CY292,$CP$17:$CW$17,0)),           IF(CX292="INT",_xll.qInterp(BN293,BZ292:CG292,CP292:CW292),       INDEX(CP292:CW292,MATCH(CX292,$CP$17:$CW$17,0))))))</f>
        <v>0</v>
      </c>
      <c r="DA292" s="755">
        <f t="shared" si="143"/>
        <v>0</v>
      </c>
      <c r="DB292" s="387">
        <f t="shared" si="144"/>
        <v>0</v>
      </c>
      <c r="DC292" s="268">
        <f>IF($BN293=0,0,         IF(LEFT(DCC_Leg2_Fixed,2)="1/",uEvaluate(DCC_Leg2_Fixed),         _xll.qDateYears($BN292,$BN293,DCC_Leg2_Fixed)))</f>
        <v>0</v>
      </c>
      <c r="DD292" s="268">
        <f>IF($BN293,_xll.qDateYears($BN292,$BN293,DCC_Leg2_Float),0)</f>
        <v>0</v>
      </c>
      <c r="DF292" s="332">
        <f t="shared" si="159"/>
        <v>0</v>
      </c>
      <c r="DG292" s="357">
        <f t="shared" si="160"/>
        <v>0</v>
      </c>
      <c r="DH292" s="527"/>
      <c r="DJ292" s="324">
        <f t="shared" si="130"/>
        <v>0</v>
      </c>
      <c r="DK292" s="529"/>
      <c r="DL292" s="338"/>
    </row>
    <row r="293" spans="15:116">
      <c r="O293" s="121">
        <v>0</v>
      </c>
      <c r="P293" s="755">
        <f t="shared" si="131"/>
        <v>0</v>
      </c>
      <c r="Q293" s="125">
        <v>0</v>
      </c>
      <c r="R293" s="890">
        <f>IF(O294=0,0,         IF(OR(Currency1="AUD",Currency1="NZD",Currency1="GBP"),O293,   _xll.qDateNext(O293,"-2b",,,IF(Currency1="EUR","TGT","LON"))))</f>
        <v>0</v>
      </c>
      <c r="S293" s="879" t="str">
        <v/>
      </c>
      <c r="T293" s="879" t="str">
        <v/>
      </c>
      <c r="U293" s="879" t="str">
        <v/>
      </c>
      <c r="V293" s="879" t="str">
        <v/>
      </c>
      <c r="W293" s="879" t="str">
        <v/>
      </c>
      <c r="X293" s="879" t="str">
        <v/>
      </c>
      <c r="Y293" s="879" t="str">
        <v/>
      </c>
      <c r="Z293" s="879" t="str">
        <v/>
      </c>
      <c r="AA293" s="882">
        <f>IF($O294=0,0,        _xll.qDateNext($O293,AA$17,$AH$16,TRUE,Currency1))</f>
        <v>0</v>
      </c>
      <c r="AB293" s="882">
        <f>IF($O294=0,0,        _xll.qDateNext($O293,AB$17,$AH$16,TRUE,Currency1))</f>
        <v>0</v>
      </c>
      <c r="AC293" s="882">
        <f>IF($O294=0,0,        _xll.qDateNext($O293,AC$17,$AH$16,TRUE,Currency1))</f>
        <v>0</v>
      </c>
      <c r="AD293" s="882">
        <f>IF($O294=0,0,        _xll.qDateNext($O293,AD$17,$AH$16,TRUE,Currency1))</f>
        <v>0</v>
      </c>
      <c r="AE293" s="882">
        <f>IF($O294=0,0,        _xll.qDateNext($O293,AE$17,$AH$16,TRUE,Currency1))</f>
        <v>0</v>
      </c>
      <c r="AF293" s="882">
        <f>IF($O294=0,0,        _xll.qDateNext($O293,AF$17,$AH$16,TRUE,Currency1))</f>
        <v>0</v>
      </c>
      <c r="AG293" s="882">
        <f>IF($O294=0,0,        _xll.qDateNext($O293,AG$17,$AH$16,TRUE,Currency1))</f>
        <v>0</v>
      </c>
      <c r="AH293" s="882">
        <f>IF($O294=0,0,        _xll.qDateNext($O293,AH$17,$AH$16,TRUE,Currency1))</f>
        <v>0</v>
      </c>
      <c r="AI293" s="886">
        <f>IF($O294=0,0,           IF(FRM,_xll.qGetFwdRate(AI$14,$O293,AA293,"T",DCC_Leg1_Float),_xll.qGetFwdRate(AI$14,$O293,$O294,"T",DCC_Leg1_Float)))</f>
        <v>0</v>
      </c>
      <c r="AJ293" s="886">
        <f>IF($O294=0,0,           IF(FRM,_xll.qGetFwdRate(AJ$14,$O293,AB293,"T",DCC_Leg1_Float),_xll.qGetFwdRate(AJ$14,$O293,$O294,"T",DCC_Leg1_Float)))</f>
        <v>0</v>
      </c>
      <c r="AK293" s="886">
        <f t="shared" si="132"/>
        <v>0</v>
      </c>
      <c r="AL293" s="886">
        <f>IF($O294=0,0,           IF(FRM,_xll.qGetFwdRate(AL$14,$O293,AD293,"T",DCC_Leg1_Float),_xll.qGetFwdRate(AL$14,$O293,$O294,"T",DCC_Leg1_Float)))</f>
        <v>0</v>
      </c>
      <c r="AM293" s="886">
        <f t="shared" si="145"/>
        <v>0</v>
      </c>
      <c r="AN293" s="886">
        <f t="shared" si="146"/>
        <v>0</v>
      </c>
      <c r="AO293" s="886">
        <f>IF($O294=0,0,           IF(FRM,_xll.qGetFwdRate(AO$14,$O293,AG293,"T",DCC_Leg1_Float),_xll.qGetFwdRate(AO$14,$O293,$O294,"T",DCC_Leg1_Float)))</f>
        <v>0</v>
      </c>
      <c r="AP293" s="886">
        <f>IF($O294=0,0,           IF(FRM,_xll.qGetFwdRate(AP$14,$O293,AH293,"T",DCC_Leg1_Float),_xll.qGetFwdRate(AP$14,$O293,$O294,"T",DCC_Leg1_Float)))</f>
        <v>0</v>
      </c>
      <c r="AQ293" s="648">
        <f t="shared" si="147"/>
        <v>0</v>
      </c>
      <c r="AR293" s="648">
        <f t="shared" si="148"/>
        <v>0</v>
      </c>
      <c r="AS293" s="648">
        <f t="shared" si="149"/>
        <v>0</v>
      </c>
      <c r="AT293" s="648">
        <f t="shared" si="150"/>
        <v>0</v>
      </c>
      <c r="AU293" s="648">
        <f t="shared" si="151"/>
        <v>0</v>
      </c>
      <c r="AV293" s="648">
        <f t="shared" si="152"/>
        <v>0</v>
      </c>
      <c r="AW293" s="648">
        <f t="shared" si="153"/>
        <v>0</v>
      </c>
      <c r="AX293" s="648">
        <f t="shared" si="154"/>
        <v>0</v>
      </c>
      <c r="AY293" s="634">
        <v>0</v>
      </c>
      <c r="AZ293" s="616"/>
      <c r="BA293" s="619">
        <f>IF(O294=0,0,             IF(ISNUMBER(AZ293),AZ293,             IF(ISTEXT(AZ293),INDEX(AQ293:AX293,MATCH(AZ293,$AQ$17:$AX$17,0)),           IF(AY293="INT",_xll.qInterp(O294,AA293:AH293,AQ293:AX293),       INDEX(AQ293:AX293,MATCH(AY293,$AQ$17:$AX$17,0))))))</f>
        <v>0</v>
      </c>
      <c r="BB293" s="674">
        <v>100</v>
      </c>
      <c r="BC293" s="666">
        <f t="shared" si="133"/>
        <v>0</v>
      </c>
      <c r="BD293" s="268">
        <f>IF($O294=0,0,                IF(LEFT(DCC_Leg1_Fixed,2)="1/",uEvaluate(DCC_Leg1_Fixed),        _xll.qDateYears($O293,$O294,DCC_Leg1_Fixed)))</f>
        <v>0</v>
      </c>
      <c r="BE293" s="268">
        <f>IF($O294,_xll.qDateYears($O293,$O294,DCC_Leg1_Float),0)</f>
        <v>0</v>
      </c>
      <c r="BG293" s="332">
        <f t="shared" si="155"/>
        <v>0</v>
      </c>
      <c r="BH293" s="357">
        <f t="shared" si="156"/>
        <v>0</v>
      </c>
      <c r="BI293" s="527"/>
      <c r="BK293" s="324">
        <f t="shared" si="129"/>
        <v>0</v>
      </c>
      <c r="BM293" s="338"/>
      <c r="BN293" s="121">
        <v>0</v>
      </c>
      <c r="BO293" s="755">
        <f t="shared" si="134"/>
        <v>0</v>
      </c>
      <c r="BP293" s="339">
        <v>0</v>
      </c>
      <c r="BQ293" s="890">
        <f>IF(BN294=0,0,         IF(OR(Currency2="AUD",Currency1="NZD",Currency2="GBP"),BN293,   _xll.qDateNext(BN293,"-2b",,,IF(Currency2="EUR","TGT","LON"))))</f>
        <v>0</v>
      </c>
      <c r="BR293" s="879" t="str">
        <v/>
      </c>
      <c r="BS293" s="879" t="str">
        <v/>
      </c>
      <c r="BT293" s="879" t="str">
        <v/>
      </c>
      <c r="BU293" s="879" t="str">
        <v/>
      </c>
      <c r="BV293" s="879" t="str">
        <v/>
      </c>
      <c r="BW293" s="879" t="str">
        <v/>
      </c>
      <c r="BX293" s="879" t="str">
        <v/>
      </c>
      <c r="BY293" s="879" t="str">
        <v/>
      </c>
      <c r="BZ293" s="882">
        <f>IF($BN294=0,0,        _xll.qDateNext($BN293,BZ$17,$CG$16,TRUE,Currency2))</f>
        <v>0</v>
      </c>
      <c r="CA293" s="882">
        <f>IF($BN294=0,0,        _xll.qDateNext($BN293,CA$17,$CG$16,TRUE,Currency2))</f>
        <v>0</v>
      </c>
      <c r="CB293" s="882">
        <f>IF($BN294=0,0,        _xll.qDateNext($BN293,CB$17,$CG$16,TRUE,Currency2))</f>
        <v>0</v>
      </c>
      <c r="CC293" s="882">
        <f>IF($BN294=0,0,        _xll.qDateNext($BN293,CC$17,$CG$16,TRUE,Currency2))</f>
        <v>0</v>
      </c>
      <c r="CD293" s="882">
        <f>IF($BN294=0,0,        _xll.qDateNext($BN293,CD$17,$CG$16,TRUE,Currency2))</f>
        <v>0</v>
      </c>
      <c r="CE293" s="882">
        <f>IF($BN294=0,0,        _xll.qDateNext($BN293,CE$17,$CG$16,TRUE,Currency2))</f>
        <v>0</v>
      </c>
      <c r="CF293" s="882">
        <f>IF($BN294=0,0,        _xll.qDateNext($BN293,CF$17,$CG$16,TRUE,Currency2))</f>
        <v>0</v>
      </c>
      <c r="CG293" s="882">
        <f>IF($BN294=0,0,        _xll.qDateNext($BN293,CG$17,$CG$16,TRUE,Currency2))</f>
        <v>0</v>
      </c>
      <c r="CH293" s="886">
        <v>0</v>
      </c>
      <c r="CI293" s="886">
        <v>0</v>
      </c>
      <c r="CJ293" s="886">
        <v>0</v>
      </c>
      <c r="CK293" s="886">
        <v>0</v>
      </c>
      <c r="CL293" s="886">
        <f t="shared" si="157"/>
        <v>0</v>
      </c>
      <c r="CM293" s="886">
        <f t="shared" si="158"/>
        <v>0</v>
      </c>
      <c r="CN293" s="886">
        <v>0</v>
      </c>
      <c r="CO293" s="886">
        <v>0</v>
      </c>
      <c r="CP293" s="648">
        <f t="shared" si="135"/>
        <v>0</v>
      </c>
      <c r="CQ293" s="648">
        <f t="shared" si="136"/>
        <v>0</v>
      </c>
      <c r="CR293" s="648">
        <f t="shared" si="137"/>
        <v>0</v>
      </c>
      <c r="CS293" s="648">
        <f t="shared" si="138"/>
        <v>0</v>
      </c>
      <c r="CT293" s="648">
        <f t="shared" si="139"/>
        <v>0</v>
      </c>
      <c r="CU293" s="648">
        <f t="shared" si="140"/>
        <v>0</v>
      </c>
      <c r="CV293" s="648">
        <f t="shared" si="141"/>
        <v>0</v>
      </c>
      <c r="CW293" s="648">
        <f t="shared" si="142"/>
        <v>0</v>
      </c>
      <c r="CX293" s="634">
        <v>0</v>
      </c>
      <c r="CY293" s="616"/>
      <c r="CZ293" s="619">
        <f>IF(BN294=0,0,             IF(ISNUMBER(CY293),CY293,             IF(ISTEXT(CY293),INDEX(CP293:CW293,MATCH(CY293,$CP$17:$CW$17,0)),           IF(CX293="INT",_xll.qInterp(BN294,BZ293:CG293,CP293:CW293),       INDEX(CP293:CW293,MATCH(CX293,$CP$17:$CW$17,0))))))</f>
        <v>0</v>
      </c>
      <c r="DA293" s="755">
        <f t="shared" si="143"/>
        <v>0</v>
      </c>
      <c r="DB293" s="387">
        <f t="shared" si="144"/>
        <v>0</v>
      </c>
      <c r="DC293" s="268">
        <f>IF($BN294=0,0,         IF(LEFT(DCC_Leg2_Fixed,2)="1/",uEvaluate(DCC_Leg2_Fixed),         _xll.qDateYears($BN293,$BN294,DCC_Leg2_Fixed)))</f>
        <v>0</v>
      </c>
      <c r="DD293" s="268">
        <f>IF($BN294,_xll.qDateYears($BN293,$BN294,DCC_Leg2_Float),0)</f>
        <v>0</v>
      </c>
      <c r="DF293" s="332">
        <f t="shared" si="159"/>
        <v>0</v>
      </c>
      <c r="DG293" s="357">
        <f t="shared" si="160"/>
        <v>0</v>
      </c>
      <c r="DH293" s="527"/>
      <c r="DJ293" s="324">
        <f t="shared" si="130"/>
        <v>0</v>
      </c>
      <c r="DK293" s="529"/>
      <c r="DL293" s="338"/>
    </row>
    <row r="294" spans="15:116">
      <c r="O294" s="121">
        <v>0</v>
      </c>
      <c r="P294" s="755">
        <f t="shared" si="131"/>
        <v>0</v>
      </c>
      <c r="Q294" s="125">
        <v>0</v>
      </c>
      <c r="R294" s="890">
        <f>IF(O295=0,0,         IF(OR(Currency1="AUD",Currency1="NZD",Currency1="GBP"),O294,   _xll.qDateNext(O294,"-2b",,,IF(Currency1="EUR","TGT","LON"))))</f>
        <v>0</v>
      </c>
      <c r="S294" s="879" t="str">
        <v/>
      </c>
      <c r="T294" s="879" t="str">
        <v/>
      </c>
      <c r="U294" s="879" t="str">
        <v/>
      </c>
      <c r="V294" s="879" t="str">
        <v/>
      </c>
      <c r="W294" s="879" t="str">
        <v/>
      </c>
      <c r="X294" s="879" t="str">
        <v/>
      </c>
      <c r="Y294" s="879" t="str">
        <v/>
      </c>
      <c r="Z294" s="879" t="str">
        <v/>
      </c>
      <c r="AA294" s="882">
        <f>IF($O295=0,0,        _xll.qDateNext($O294,AA$17,$AH$16,TRUE,Currency1))</f>
        <v>0</v>
      </c>
      <c r="AB294" s="882">
        <f>IF($O295=0,0,        _xll.qDateNext($O294,AB$17,$AH$16,TRUE,Currency1))</f>
        <v>0</v>
      </c>
      <c r="AC294" s="882">
        <f>IF($O295=0,0,        _xll.qDateNext($O294,AC$17,$AH$16,TRUE,Currency1))</f>
        <v>0</v>
      </c>
      <c r="AD294" s="882">
        <f>IF($O295=0,0,        _xll.qDateNext($O294,AD$17,$AH$16,TRUE,Currency1))</f>
        <v>0</v>
      </c>
      <c r="AE294" s="882">
        <f>IF($O295=0,0,        _xll.qDateNext($O294,AE$17,$AH$16,TRUE,Currency1))</f>
        <v>0</v>
      </c>
      <c r="AF294" s="882">
        <f>IF($O295=0,0,        _xll.qDateNext($O294,AF$17,$AH$16,TRUE,Currency1))</f>
        <v>0</v>
      </c>
      <c r="AG294" s="882">
        <f>IF($O295=0,0,        _xll.qDateNext($O294,AG$17,$AH$16,TRUE,Currency1))</f>
        <v>0</v>
      </c>
      <c r="AH294" s="882">
        <f>IF($O295=0,0,        _xll.qDateNext($O294,AH$17,$AH$16,TRUE,Currency1))</f>
        <v>0</v>
      </c>
      <c r="AI294" s="886">
        <f>IF($O295=0,0,           IF(FRM,_xll.qGetFwdRate(AI$14,$O294,AA294,"T",DCC_Leg1_Float),_xll.qGetFwdRate(AI$14,$O294,$O295,"T",DCC_Leg1_Float)))</f>
        <v>0</v>
      </c>
      <c r="AJ294" s="886">
        <f>IF($O295=0,0,           IF(FRM,_xll.qGetFwdRate(AJ$14,$O294,AB294,"T",DCC_Leg1_Float),_xll.qGetFwdRate(AJ$14,$O294,$O295,"T",DCC_Leg1_Float)))</f>
        <v>0</v>
      </c>
      <c r="AK294" s="886">
        <f t="shared" si="132"/>
        <v>0</v>
      </c>
      <c r="AL294" s="886">
        <f>IF($O295=0,0,           IF(FRM,_xll.qGetFwdRate(AL$14,$O294,AD294,"T",DCC_Leg1_Float),_xll.qGetFwdRate(AL$14,$O294,$O295,"T",DCC_Leg1_Float)))</f>
        <v>0</v>
      </c>
      <c r="AM294" s="886">
        <f t="shared" si="145"/>
        <v>0</v>
      </c>
      <c r="AN294" s="886">
        <f t="shared" si="146"/>
        <v>0</v>
      </c>
      <c r="AO294" s="886">
        <f>IF($O295=0,0,           IF(FRM,_xll.qGetFwdRate(AO$14,$O294,AG294,"T",DCC_Leg1_Float),_xll.qGetFwdRate(AO$14,$O294,$O295,"T",DCC_Leg1_Float)))</f>
        <v>0</v>
      </c>
      <c r="AP294" s="886">
        <f>IF($O295=0,0,           IF(FRM,_xll.qGetFwdRate(AP$14,$O294,AH294,"T",DCC_Leg1_Float),_xll.qGetFwdRate(AP$14,$O294,$O295,"T",DCC_Leg1_Float)))</f>
        <v>0</v>
      </c>
      <c r="AQ294" s="648">
        <f t="shared" si="147"/>
        <v>0</v>
      </c>
      <c r="AR294" s="648">
        <f t="shared" si="148"/>
        <v>0</v>
      </c>
      <c r="AS294" s="648">
        <f t="shared" si="149"/>
        <v>0</v>
      </c>
      <c r="AT294" s="648">
        <f t="shared" si="150"/>
        <v>0</v>
      </c>
      <c r="AU294" s="648">
        <f t="shared" si="151"/>
        <v>0</v>
      </c>
      <c r="AV294" s="648">
        <f t="shared" si="152"/>
        <v>0</v>
      </c>
      <c r="AW294" s="648">
        <f t="shared" si="153"/>
        <v>0</v>
      </c>
      <c r="AX294" s="648">
        <f t="shared" si="154"/>
        <v>0</v>
      </c>
      <c r="AY294" s="634">
        <v>0</v>
      </c>
      <c r="AZ294" s="616"/>
      <c r="BA294" s="619">
        <f>IF(O295=0,0,             IF(ISNUMBER(AZ294),AZ294,             IF(ISTEXT(AZ294),INDEX(AQ294:AX294,MATCH(AZ294,$AQ$17:$AX$17,0)),           IF(AY294="INT",_xll.qInterp(O295,AA294:AH294,AQ294:AX294),       INDEX(AQ294:AX294,MATCH(AY294,$AQ$17:$AX$17,0))))))</f>
        <v>0</v>
      </c>
      <c r="BB294" s="674">
        <v>100</v>
      </c>
      <c r="BC294" s="666">
        <f t="shared" si="133"/>
        <v>0</v>
      </c>
      <c r="BD294" s="268">
        <f>IF($O295=0,0,                IF(LEFT(DCC_Leg1_Fixed,2)="1/",uEvaluate(DCC_Leg1_Fixed),        _xll.qDateYears($O294,$O295,DCC_Leg1_Fixed)))</f>
        <v>0</v>
      </c>
      <c r="BE294" s="268">
        <f>IF($O295,_xll.qDateYears($O294,$O295,DCC_Leg1_Float),0)</f>
        <v>0</v>
      </c>
      <c r="BG294" s="332">
        <f t="shared" si="155"/>
        <v>0</v>
      </c>
      <c r="BH294" s="357">
        <f t="shared" si="156"/>
        <v>0</v>
      </c>
      <c r="BI294" s="527"/>
      <c r="BK294" s="324">
        <f t="shared" si="129"/>
        <v>0</v>
      </c>
      <c r="BM294" s="338"/>
      <c r="BN294" s="121">
        <v>0</v>
      </c>
      <c r="BO294" s="755">
        <f t="shared" si="134"/>
        <v>0</v>
      </c>
      <c r="BP294" s="339">
        <v>0</v>
      </c>
      <c r="BQ294" s="890">
        <f>IF(BN295=0,0,         IF(OR(Currency2="AUD",Currency1="NZD",Currency2="GBP"),BN294,   _xll.qDateNext(BN294,"-2b",,,IF(Currency2="EUR","TGT","LON"))))</f>
        <v>0</v>
      </c>
      <c r="BR294" s="879" t="str">
        <v/>
      </c>
      <c r="BS294" s="879" t="str">
        <v/>
      </c>
      <c r="BT294" s="879" t="str">
        <v/>
      </c>
      <c r="BU294" s="879" t="str">
        <v/>
      </c>
      <c r="BV294" s="879" t="str">
        <v/>
      </c>
      <c r="BW294" s="879" t="str">
        <v/>
      </c>
      <c r="BX294" s="879" t="str">
        <v/>
      </c>
      <c r="BY294" s="879" t="str">
        <v/>
      </c>
      <c r="BZ294" s="882">
        <f>IF($BN295=0,0,        _xll.qDateNext($BN294,BZ$17,$CG$16,TRUE,Currency2))</f>
        <v>0</v>
      </c>
      <c r="CA294" s="882">
        <f>IF($BN295=0,0,        _xll.qDateNext($BN294,CA$17,$CG$16,TRUE,Currency2))</f>
        <v>0</v>
      </c>
      <c r="CB294" s="882">
        <f>IF($BN295=0,0,        _xll.qDateNext($BN294,CB$17,$CG$16,TRUE,Currency2))</f>
        <v>0</v>
      </c>
      <c r="CC294" s="882">
        <f>IF($BN295=0,0,        _xll.qDateNext($BN294,CC$17,$CG$16,TRUE,Currency2))</f>
        <v>0</v>
      </c>
      <c r="CD294" s="882">
        <f>IF($BN295=0,0,        _xll.qDateNext($BN294,CD$17,$CG$16,TRUE,Currency2))</f>
        <v>0</v>
      </c>
      <c r="CE294" s="882">
        <f>IF($BN295=0,0,        _xll.qDateNext($BN294,CE$17,$CG$16,TRUE,Currency2))</f>
        <v>0</v>
      </c>
      <c r="CF294" s="882">
        <f>IF($BN295=0,0,        _xll.qDateNext($BN294,CF$17,$CG$16,TRUE,Currency2))</f>
        <v>0</v>
      </c>
      <c r="CG294" s="882">
        <f>IF($BN295=0,0,        _xll.qDateNext($BN294,CG$17,$CG$16,TRUE,Currency2))</f>
        <v>0</v>
      </c>
      <c r="CH294" s="886">
        <v>0</v>
      </c>
      <c r="CI294" s="886">
        <v>0</v>
      </c>
      <c r="CJ294" s="886">
        <v>0</v>
      </c>
      <c r="CK294" s="886">
        <v>0</v>
      </c>
      <c r="CL294" s="886">
        <f t="shared" si="157"/>
        <v>0</v>
      </c>
      <c r="CM294" s="886">
        <f t="shared" si="158"/>
        <v>0</v>
      </c>
      <c r="CN294" s="886">
        <v>0</v>
      </c>
      <c r="CO294" s="886">
        <v>0</v>
      </c>
      <c r="CP294" s="648">
        <f t="shared" si="135"/>
        <v>0</v>
      </c>
      <c r="CQ294" s="648">
        <f t="shared" si="136"/>
        <v>0</v>
      </c>
      <c r="CR294" s="648">
        <f t="shared" si="137"/>
        <v>0</v>
      </c>
      <c r="CS294" s="648">
        <f t="shared" si="138"/>
        <v>0</v>
      </c>
      <c r="CT294" s="648">
        <f t="shared" si="139"/>
        <v>0</v>
      </c>
      <c r="CU294" s="648">
        <f t="shared" si="140"/>
        <v>0</v>
      </c>
      <c r="CV294" s="648">
        <f t="shared" si="141"/>
        <v>0</v>
      </c>
      <c r="CW294" s="648">
        <f t="shared" si="142"/>
        <v>0</v>
      </c>
      <c r="CX294" s="634">
        <v>0</v>
      </c>
      <c r="CY294" s="616"/>
      <c r="CZ294" s="619">
        <f>IF(BN295=0,0,             IF(ISNUMBER(CY294),CY294,             IF(ISTEXT(CY294),INDEX(CP294:CW294,MATCH(CY294,$CP$17:$CW$17,0)),           IF(CX294="INT",_xll.qInterp(BN295,BZ294:CG294,CP294:CW294),       INDEX(CP294:CW294,MATCH(CX294,$CP$17:$CW$17,0))))))</f>
        <v>0</v>
      </c>
      <c r="DA294" s="755">
        <f t="shared" si="143"/>
        <v>0</v>
      </c>
      <c r="DB294" s="387">
        <f t="shared" si="144"/>
        <v>0</v>
      </c>
      <c r="DC294" s="268">
        <f>IF($BN295=0,0,         IF(LEFT(DCC_Leg2_Fixed,2)="1/",uEvaluate(DCC_Leg2_Fixed),         _xll.qDateYears($BN294,$BN295,DCC_Leg2_Fixed)))</f>
        <v>0</v>
      </c>
      <c r="DD294" s="268">
        <f>IF($BN295,_xll.qDateYears($BN294,$BN295,DCC_Leg2_Float),0)</f>
        <v>0</v>
      </c>
      <c r="DF294" s="332">
        <f t="shared" si="159"/>
        <v>0</v>
      </c>
      <c r="DG294" s="357">
        <f t="shared" si="160"/>
        <v>0</v>
      </c>
      <c r="DH294" s="527"/>
      <c r="DJ294" s="324">
        <f t="shared" si="130"/>
        <v>0</v>
      </c>
      <c r="DK294" s="529"/>
      <c r="DL294" s="338"/>
    </row>
    <row r="295" spans="15:116">
      <c r="O295" s="121">
        <v>0</v>
      </c>
      <c r="P295" s="755">
        <f t="shared" si="131"/>
        <v>0</v>
      </c>
      <c r="Q295" s="125">
        <v>0</v>
      </c>
      <c r="R295" s="890">
        <f>IF(O296=0,0,         IF(OR(Currency1="AUD",Currency1="NZD",Currency1="GBP"),O295,   _xll.qDateNext(O295,"-2b",,,IF(Currency1="EUR","TGT","LON"))))</f>
        <v>0</v>
      </c>
      <c r="S295" s="879" t="str">
        <v/>
      </c>
      <c r="T295" s="879" t="str">
        <v/>
      </c>
      <c r="U295" s="879" t="str">
        <v/>
      </c>
      <c r="V295" s="879" t="str">
        <v/>
      </c>
      <c r="W295" s="879" t="str">
        <v/>
      </c>
      <c r="X295" s="879" t="str">
        <v/>
      </c>
      <c r="Y295" s="879" t="str">
        <v/>
      </c>
      <c r="Z295" s="879" t="str">
        <v/>
      </c>
      <c r="AA295" s="882">
        <f>IF($O296=0,0,        _xll.qDateNext($O295,AA$17,$AH$16,TRUE,Currency1))</f>
        <v>0</v>
      </c>
      <c r="AB295" s="882">
        <f>IF($O296=0,0,        _xll.qDateNext($O295,AB$17,$AH$16,TRUE,Currency1))</f>
        <v>0</v>
      </c>
      <c r="AC295" s="882">
        <f>IF($O296=0,0,        _xll.qDateNext($O295,AC$17,$AH$16,TRUE,Currency1))</f>
        <v>0</v>
      </c>
      <c r="AD295" s="882">
        <f>IF($O296=0,0,        _xll.qDateNext($O295,AD$17,$AH$16,TRUE,Currency1))</f>
        <v>0</v>
      </c>
      <c r="AE295" s="882">
        <f>IF($O296=0,0,        _xll.qDateNext($O295,AE$17,$AH$16,TRUE,Currency1))</f>
        <v>0</v>
      </c>
      <c r="AF295" s="882">
        <f>IF($O296=0,0,        _xll.qDateNext($O295,AF$17,$AH$16,TRUE,Currency1))</f>
        <v>0</v>
      </c>
      <c r="AG295" s="882">
        <f>IF($O296=0,0,        _xll.qDateNext($O295,AG$17,$AH$16,TRUE,Currency1))</f>
        <v>0</v>
      </c>
      <c r="AH295" s="882">
        <f>IF($O296=0,0,        _xll.qDateNext($O295,AH$17,$AH$16,TRUE,Currency1))</f>
        <v>0</v>
      </c>
      <c r="AI295" s="886">
        <f>IF($O296=0,0,           IF(FRM,_xll.qGetFwdRate(AI$14,$O295,AA295,"T",DCC_Leg1_Float),_xll.qGetFwdRate(AI$14,$O295,$O296,"T",DCC_Leg1_Float)))</f>
        <v>0</v>
      </c>
      <c r="AJ295" s="886">
        <f>IF($O296=0,0,           IF(FRM,_xll.qGetFwdRate(AJ$14,$O295,AB295,"T",DCC_Leg1_Float),_xll.qGetFwdRate(AJ$14,$O295,$O296,"T",DCC_Leg1_Float)))</f>
        <v>0</v>
      </c>
      <c r="AK295" s="886">
        <f t="shared" si="132"/>
        <v>0</v>
      </c>
      <c r="AL295" s="886">
        <f>IF($O296=0,0,           IF(FRM,_xll.qGetFwdRate(AL$14,$O295,AD295,"T",DCC_Leg1_Float),_xll.qGetFwdRate(AL$14,$O295,$O296,"T",DCC_Leg1_Float)))</f>
        <v>0</v>
      </c>
      <c r="AM295" s="886">
        <f t="shared" si="145"/>
        <v>0</v>
      </c>
      <c r="AN295" s="886">
        <f t="shared" si="146"/>
        <v>0</v>
      </c>
      <c r="AO295" s="886">
        <f>IF($O296=0,0,           IF(FRM,_xll.qGetFwdRate(AO$14,$O295,AG295,"T",DCC_Leg1_Float),_xll.qGetFwdRate(AO$14,$O295,$O296,"T",DCC_Leg1_Float)))</f>
        <v>0</v>
      </c>
      <c r="AP295" s="886">
        <f>IF($O296=0,0,           IF(FRM,_xll.qGetFwdRate(AP$14,$O295,AH295,"T",DCC_Leg1_Float),_xll.qGetFwdRate(AP$14,$O295,$O296,"T",DCC_Leg1_Float)))</f>
        <v>0</v>
      </c>
      <c r="AQ295" s="648">
        <f t="shared" si="147"/>
        <v>0</v>
      </c>
      <c r="AR295" s="648">
        <f t="shared" si="148"/>
        <v>0</v>
      </c>
      <c r="AS295" s="648">
        <f t="shared" si="149"/>
        <v>0</v>
      </c>
      <c r="AT295" s="648">
        <f t="shared" si="150"/>
        <v>0</v>
      </c>
      <c r="AU295" s="648">
        <f t="shared" si="151"/>
        <v>0</v>
      </c>
      <c r="AV295" s="648">
        <f t="shared" si="152"/>
        <v>0</v>
      </c>
      <c r="AW295" s="648">
        <f t="shared" si="153"/>
        <v>0</v>
      </c>
      <c r="AX295" s="648">
        <f t="shared" si="154"/>
        <v>0</v>
      </c>
      <c r="AY295" s="634">
        <v>0</v>
      </c>
      <c r="AZ295" s="616"/>
      <c r="BA295" s="619">
        <f>IF(O296=0,0,             IF(ISNUMBER(AZ295),AZ295,             IF(ISTEXT(AZ295),INDEX(AQ295:AX295,MATCH(AZ295,$AQ$17:$AX$17,0)),           IF(AY295="INT",_xll.qInterp(O296,AA295:AH295,AQ295:AX295),       INDEX(AQ295:AX295,MATCH(AY295,$AQ$17:$AX$17,0))))))</f>
        <v>0</v>
      </c>
      <c r="BB295" s="674">
        <v>100</v>
      </c>
      <c r="BC295" s="666">
        <f t="shared" si="133"/>
        <v>0</v>
      </c>
      <c r="BD295" s="268">
        <f>IF($O296=0,0,                IF(LEFT(DCC_Leg1_Fixed,2)="1/",uEvaluate(DCC_Leg1_Fixed),        _xll.qDateYears($O295,$O296,DCC_Leg1_Fixed)))</f>
        <v>0</v>
      </c>
      <c r="BE295" s="268">
        <f>IF($O296,_xll.qDateYears($O295,$O296,DCC_Leg1_Float),0)</f>
        <v>0</v>
      </c>
      <c r="BG295" s="332">
        <f t="shared" si="155"/>
        <v>0</v>
      </c>
      <c r="BH295" s="357">
        <f t="shared" si="156"/>
        <v>0</v>
      </c>
      <c r="BI295" s="527"/>
      <c r="BK295" s="324">
        <f t="shared" si="129"/>
        <v>0</v>
      </c>
      <c r="BM295" s="338"/>
      <c r="BN295" s="121">
        <v>0</v>
      </c>
      <c r="BO295" s="755">
        <f t="shared" si="134"/>
        <v>0</v>
      </c>
      <c r="BP295" s="339">
        <v>0</v>
      </c>
      <c r="BQ295" s="890">
        <f>IF(BN296=0,0,         IF(OR(Currency2="AUD",Currency1="NZD",Currency2="GBP"),BN295,   _xll.qDateNext(BN295,"-2b",,,IF(Currency2="EUR","TGT","LON"))))</f>
        <v>0</v>
      </c>
      <c r="BR295" s="879" t="str">
        <v/>
      </c>
      <c r="BS295" s="879" t="str">
        <v/>
      </c>
      <c r="BT295" s="879" t="str">
        <v/>
      </c>
      <c r="BU295" s="879" t="str">
        <v/>
      </c>
      <c r="BV295" s="879" t="str">
        <v/>
      </c>
      <c r="BW295" s="879" t="str">
        <v/>
      </c>
      <c r="BX295" s="879" t="str">
        <v/>
      </c>
      <c r="BY295" s="879" t="str">
        <v/>
      </c>
      <c r="BZ295" s="882">
        <f>IF($BN296=0,0,        _xll.qDateNext($BN295,BZ$17,$CG$16,TRUE,Currency2))</f>
        <v>0</v>
      </c>
      <c r="CA295" s="882">
        <f>IF($BN296=0,0,        _xll.qDateNext($BN295,CA$17,$CG$16,TRUE,Currency2))</f>
        <v>0</v>
      </c>
      <c r="CB295" s="882">
        <f>IF($BN296=0,0,        _xll.qDateNext($BN295,CB$17,$CG$16,TRUE,Currency2))</f>
        <v>0</v>
      </c>
      <c r="CC295" s="882">
        <f>IF($BN296=0,0,        _xll.qDateNext($BN295,CC$17,$CG$16,TRUE,Currency2))</f>
        <v>0</v>
      </c>
      <c r="CD295" s="882">
        <f>IF($BN296=0,0,        _xll.qDateNext($BN295,CD$17,$CG$16,TRUE,Currency2))</f>
        <v>0</v>
      </c>
      <c r="CE295" s="882">
        <f>IF($BN296=0,0,        _xll.qDateNext($BN295,CE$17,$CG$16,TRUE,Currency2))</f>
        <v>0</v>
      </c>
      <c r="CF295" s="882">
        <f>IF($BN296=0,0,        _xll.qDateNext($BN295,CF$17,$CG$16,TRUE,Currency2))</f>
        <v>0</v>
      </c>
      <c r="CG295" s="882">
        <f>IF($BN296=0,0,        _xll.qDateNext($BN295,CG$17,$CG$16,TRUE,Currency2))</f>
        <v>0</v>
      </c>
      <c r="CH295" s="886">
        <v>0</v>
      </c>
      <c r="CI295" s="886">
        <v>0</v>
      </c>
      <c r="CJ295" s="886">
        <v>0</v>
      </c>
      <c r="CK295" s="886">
        <v>0</v>
      </c>
      <c r="CL295" s="886">
        <f t="shared" si="157"/>
        <v>0</v>
      </c>
      <c r="CM295" s="886">
        <f t="shared" si="158"/>
        <v>0</v>
      </c>
      <c r="CN295" s="886">
        <v>0</v>
      </c>
      <c r="CO295" s="886">
        <v>0</v>
      </c>
      <c r="CP295" s="648">
        <f t="shared" si="135"/>
        <v>0</v>
      </c>
      <c r="CQ295" s="648">
        <f t="shared" si="136"/>
        <v>0</v>
      </c>
      <c r="CR295" s="648">
        <f t="shared" si="137"/>
        <v>0</v>
      </c>
      <c r="CS295" s="648">
        <f t="shared" si="138"/>
        <v>0</v>
      </c>
      <c r="CT295" s="648">
        <f t="shared" si="139"/>
        <v>0</v>
      </c>
      <c r="CU295" s="648">
        <f t="shared" si="140"/>
        <v>0</v>
      </c>
      <c r="CV295" s="648">
        <f t="shared" si="141"/>
        <v>0</v>
      </c>
      <c r="CW295" s="648">
        <f t="shared" si="142"/>
        <v>0</v>
      </c>
      <c r="CX295" s="634">
        <v>0</v>
      </c>
      <c r="CY295" s="616"/>
      <c r="CZ295" s="619">
        <f>IF(BN296=0,0,             IF(ISNUMBER(CY295),CY295,             IF(ISTEXT(CY295),INDEX(CP295:CW295,MATCH(CY295,$CP$17:$CW$17,0)),           IF(CX295="INT",_xll.qInterp(BN296,BZ295:CG295,CP295:CW295),       INDEX(CP295:CW295,MATCH(CX295,$CP$17:$CW$17,0))))))</f>
        <v>0</v>
      </c>
      <c r="DA295" s="755">
        <f t="shared" si="143"/>
        <v>0</v>
      </c>
      <c r="DB295" s="387">
        <f t="shared" si="144"/>
        <v>0</v>
      </c>
      <c r="DC295" s="268">
        <f>IF($BN296=0,0,         IF(LEFT(DCC_Leg2_Fixed,2)="1/",uEvaluate(DCC_Leg2_Fixed),         _xll.qDateYears($BN295,$BN296,DCC_Leg2_Fixed)))</f>
        <v>0</v>
      </c>
      <c r="DD295" s="268">
        <f>IF($BN296,_xll.qDateYears($BN295,$BN296,DCC_Leg2_Float),0)</f>
        <v>0</v>
      </c>
      <c r="DF295" s="332">
        <f t="shared" si="159"/>
        <v>0</v>
      </c>
      <c r="DG295" s="357">
        <f t="shared" si="160"/>
        <v>0</v>
      </c>
      <c r="DH295" s="527"/>
      <c r="DJ295" s="324">
        <f t="shared" si="130"/>
        <v>0</v>
      </c>
      <c r="DK295" s="529"/>
      <c r="DL295" s="338"/>
    </row>
    <row r="296" spans="15:116">
      <c r="O296" s="121">
        <v>0</v>
      </c>
      <c r="P296" s="755">
        <f t="shared" si="131"/>
        <v>0</v>
      </c>
      <c r="Q296" s="125">
        <v>0</v>
      </c>
      <c r="R296" s="890">
        <f>IF(O297=0,0,         IF(OR(Currency1="AUD",Currency1="NZD",Currency1="GBP"),O296,   _xll.qDateNext(O296,"-2b",,,IF(Currency1="EUR","TGT","LON"))))</f>
        <v>0</v>
      </c>
      <c r="S296" s="879" t="str">
        <v/>
      </c>
      <c r="T296" s="879" t="str">
        <v/>
      </c>
      <c r="U296" s="879" t="str">
        <v/>
      </c>
      <c r="V296" s="879" t="str">
        <v/>
      </c>
      <c r="W296" s="879" t="str">
        <v/>
      </c>
      <c r="X296" s="879" t="str">
        <v/>
      </c>
      <c r="Y296" s="879" t="str">
        <v/>
      </c>
      <c r="Z296" s="879" t="str">
        <v/>
      </c>
      <c r="AA296" s="882">
        <f>IF($O297=0,0,        _xll.qDateNext($O296,AA$17,$AH$16,TRUE,Currency1))</f>
        <v>0</v>
      </c>
      <c r="AB296" s="882">
        <f>IF($O297=0,0,        _xll.qDateNext($O296,AB$17,$AH$16,TRUE,Currency1))</f>
        <v>0</v>
      </c>
      <c r="AC296" s="882">
        <f>IF($O297=0,0,        _xll.qDateNext($O296,AC$17,$AH$16,TRUE,Currency1))</f>
        <v>0</v>
      </c>
      <c r="AD296" s="882">
        <f>IF($O297=0,0,        _xll.qDateNext($O296,AD$17,$AH$16,TRUE,Currency1))</f>
        <v>0</v>
      </c>
      <c r="AE296" s="882">
        <f>IF($O297=0,0,        _xll.qDateNext($O296,AE$17,$AH$16,TRUE,Currency1))</f>
        <v>0</v>
      </c>
      <c r="AF296" s="882">
        <f>IF($O297=0,0,        _xll.qDateNext($O296,AF$17,$AH$16,TRUE,Currency1))</f>
        <v>0</v>
      </c>
      <c r="AG296" s="882">
        <f>IF($O297=0,0,        _xll.qDateNext($O296,AG$17,$AH$16,TRUE,Currency1))</f>
        <v>0</v>
      </c>
      <c r="AH296" s="882">
        <f>IF($O297=0,0,        _xll.qDateNext($O296,AH$17,$AH$16,TRUE,Currency1))</f>
        <v>0</v>
      </c>
      <c r="AI296" s="886">
        <f>IF($O297=0,0,           IF(FRM,_xll.qGetFwdRate(AI$14,$O296,AA296,"T",DCC_Leg1_Float),_xll.qGetFwdRate(AI$14,$O296,$O297,"T",DCC_Leg1_Float)))</f>
        <v>0</v>
      </c>
      <c r="AJ296" s="886">
        <f>IF($O297=0,0,           IF(FRM,_xll.qGetFwdRate(AJ$14,$O296,AB296,"T",DCC_Leg1_Float),_xll.qGetFwdRate(AJ$14,$O296,$O297,"T",DCC_Leg1_Float)))</f>
        <v>0</v>
      </c>
      <c r="AK296" s="886">
        <f t="shared" si="132"/>
        <v>0</v>
      </c>
      <c r="AL296" s="886">
        <f>IF($O297=0,0,           IF(FRM,_xll.qGetFwdRate(AL$14,$O296,AD296,"T",DCC_Leg1_Float),_xll.qGetFwdRate(AL$14,$O296,$O297,"T",DCC_Leg1_Float)))</f>
        <v>0</v>
      </c>
      <c r="AM296" s="886">
        <f t="shared" si="145"/>
        <v>0</v>
      </c>
      <c r="AN296" s="886">
        <f t="shared" si="146"/>
        <v>0</v>
      </c>
      <c r="AO296" s="886">
        <f>IF($O297=0,0,           IF(FRM,_xll.qGetFwdRate(AO$14,$O296,AG296,"T",DCC_Leg1_Float),_xll.qGetFwdRate(AO$14,$O296,$O297,"T",DCC_Leg1_Float)))</f>
        <v>0</v>
      </c>
      <c r="AP296" s="886">
        <f>IF($O297=0,0,           IF(FRM,_xll.qGetFwdRate(AP$14,$O296,AH296,"T",DCC_Leg1_Float),_xll.qGetFwdRate(AP$14,$O296,$O297,"T",DCC_Leg1_Float)))</f>
        <v>0</v>
      </c>
      <c r="AQ296" s="648">
        <f t="shared" si="147"/>
        <v>0</v>
      </c>
      <c r="AR296" s="648">
        <f t="shared" si="148"/>
        <v>0</v>
      </c>
      <c r="AS296" s="648">
        <f t="shared" si="149"/>
        <v>0</v>
      </c>
      <c r="AT296" s="648">
        <f t="shared" si="150"/>
        <v>0</v>
      </c>
      <c r="AU296" s="648">
        <f t="shared" si="151"/>
        <v>0</v>
      </c>
      <c r="AV296" s="648">
        <f t="shared" si="152"/>
        <v>0</v>
      </c>
      <c r="AW296" s="648">
        <f t="shared" si="153"/>
        <v>0</v>
      </c>
      <c r="AX296" s="648">
        <f t="shared" si="154"/>
        <v>0</v>
      </c>
      <c r="AY296" s="634">
        <v>0</v>
      </c>
      <c r="AZ296" s="616"/>
      <c r="BA296" s="619">
        <f>IF(O297=0,0,             IF(ISNUMBER(AZ296),AZ296,             IF(ISTEXT(AZ296),INDEX(AQ296:AX296,MATCH(AZ296,$AQ$17:$AX$17,0)),           IF(AY296="INT",_xll.qInterp(O297,AA296:AH296,AQ296:AX296),       INDEX(AQ296:AX296,MATCH(AY296,$AQ$17:$AX$17,0))))))</f>
        <v>0</v>
      </c>
      <c r="BB296" s="674">
        <v>100</v>
      </c>
      <c r="BC296" s="666">
        <f t="shared" si="133"/>
        <v>0</v>
      </c>
      <c r="BD296" s="268">
        <f>IF($O297=0,0,                IF(LEFT(DCC_Leg1_Fixed,2)="1/",uEvaluate(DCC_Leg1_Fixed),        _xll.qDateYears($O296,$O297,DCC_Leg1_Fixed)))</f>
        <v>0</v>
      </c>
      <c r="BE296" s="268">
        <f>IF($O297,_xll.qDateYears($O296,$O297,DCC_Leg1_Float),0)</f>
        <v>0</v>
      </c>
      <c r="BG296" s="332">
        <f t="shared" si="155"/>
        <v>0</v>
      </c>
      <c r="BH296" s="357">
        <f t="shared" si="156"/>
        <v>0</v>
      </c>
      <c r="BI296" s="527"/>
      <c r="BK296" s="324">
        <f t="shared" ref="BK296:BK359" si="161">SUM(BG296:BI296)</f>
        <v>0</v>
      </c>
      <c r="BM296" s="338"/>
      <c r="BN296" s="121">
        <v>0</v>
      </c>
      <c r="BO296" s="755">
        <f t="shared" si="134"/>
        <v>0</v>
      </c>
      <c r="BP296" s="339">
        <v>0</v>
      </c>
      <c r="BQ296" s="890">
        <f>IF(BN297=0,0,         IF(OR(Currency2="AUD",Currency1="NZD",Currency2="GBP"),BN296,   _xll.qDateNext(BN296,"-2b",,,IF(Currency2="EUR","TGT","LON"))))</f>
        <v>0</v>
      </c>
      <c r="BR296" s="879" t="str">
        <v/>
      </c>
      <c r="BS296" s="879" t="str">
        <v/>
      </c>
      <c r="BT296" s="879" t="str">
        <v/>
      </c>
      <c r="BU296" s="879" t="str">
        <v/>
      </c>
      <c r="BV296" s="879" t="str">
        <v/>
      </c>
      <c r="BW296" s="879" t="str">
        <v/>
      </c>
      <c r="BX296" s="879" t="str">
        <v/>
      </c>
      <c r="BY296" s="879" t="str">
        <v/>
      </c>
      <c r="BZ296" s="882">
        <f>IF($BN297=0,0,        _xll.qDateNext($BN296,BZ$17,$CG$16,TRUE,Currency2))</f>
        <v>0</v>
      </c>
      <c r="CA296" s="882">
        <f>IF($BN297=0,0,        _xll.qDateNext($BN296,CA$17,$CG$16,TRUE,Currency2))</f>
        <v>0</v>
      </c>
      <c r="CB296" s="882">
        <f>IF($BN297=0,0,        _xll.qDateNext($BN296,CB$17,$CG$16,TRUE,Currency2))</f>
        <v>0</v>
      </c>
      <c r="CC296" s="882">
        <f>IF($BN297=0,0,        _xll.qDateNext($BN296,CC$17,$CG$16,TRUE,Currency2))</f>
        <v>0</v>
      </c>
      <c r="CD296" s="882">
        <f>IF($BN297=0,0,        _xll.qDateNext($BN296,CD$17,$CG$16,TRUE,Currency2))</f>
        <v>0</v>
      </c>
      <c r="CE296" s="882">
        <f>IF($BN297=0,0,        _xll.qDateNext($BN296,CE$17,$CG$16,TRUE,Currency2))</f>
        <v>0</v>
      </c>
      <c r="CF296" s="882">
        <f>IF($BN297=0,0,        _xll.qDateNext($BN296,CF$17,$CG$16,TRUE,Currency2))</f>
        <v>0</v>
      </c>
      <c r="CG296" s="882">
        <f>IF($BN297=0,0,        _xll.qDateNext($BN296,CG$17,$CG$16,TRUE,Currency2))</f>
        <v>0</v>
      </c>
      <c r="CH296" s="886">
        <v>0</v>
      </c>
      <c r="CI296" s="886">
        <v>0</v>
      </c>
      <c r="CJ296" s="886">
        <v>0</v>
      </c>
      <c r="CK296" s="886">
        <v>0</v>
      </c>
      <c r="CL296" s="886">
        <f t="shared" si="157"/>
        <v>0</v>
      </c>
      <c r="CM296" s="886">
        <f t="shared" si="158"/>
        <v>0</v>
      </c>
      <c r="CN296" s="886">
        <v>0</v>
      </c>
      <c r="CO296" s="886">
        <v>0</v>
      </c>
      <c r="CP296" s="648">
        <f t="shared" si="135"/>
        <v>0</v>
      </c>
      <c r="CQ296" s="648">
        <f t="shared" si="136"/>
        <v>0</v>
      </c>
      <c r="CR296" s="648">
        <f t="shared" si="137"/>
        <v>0</v>
      </c>
      <c r="CS296" s="648">
        <f t="shared" si="138"/>
        <v>0</v>
      </c>
      <c r="CT296" s="648">
        <f t="shared" si="139"/>
        <v>0</v>
      </c>
      <c r="CU296" s="648">
        <f t="shared" si="140"/>
        <v>0</v>
      </c>
      <c r="CV296" s="648">
        <f t="shared" si="141"/>
        <v>0</v>
      </c>
      <c r="CW296" s="648">
        <f t="shared" si="142"/>
        <v>0</v>
      </c>
      <c r="CX296" s="634">
        <v>0</v>
      </c>
      <c r="CY296" s="616"/>
      <c r="CZ296" s="619">
        <f>IF(BN297=0,0,             IF(ISNUMBER(CY296),CY296,             IF(ISTEXT(CY296),INDEX(CP296:CW296,MATCH(CY296,$CP$17:$CW$17,0)),           IF(CX296="INT",_xll.qInterp(BN297,BZ296:CG296,CP296:CW296),       INDEX(CP296:CW296,MATCH(CX296,$CP$17:$CW$17,0))))))</f>
        <v>0</v>
      </c>
      <c r="DA296" s="755">
        <f t="shared" si="143"/>
        <v>0</v>
      </c>
      <c r="DB296" s="387">
        <f t="shared" si="144"/>
        <v>0</v>
      </c>
      <c r="DC296" s="268">
        <f>IF($BN297=0,0,         IF(LEFT(DCC_Leg2_Fixed,2)="1/",uEvaluate(DCC_Leg2_Fixed),         _xll.qDateYears($BN296,$BN297,DCC_Leg2_Fixed)))</f>
        <v>0</v>
      </c>
      <c r="DD296" s="268">
        <f>IF($BN297,_xll.qDateYears($BN296,$BN297,DCC_Leg2_Float),0)</f>
        <v>0</v>
      </c>
      <c r="DF296" s="332">
        <f t="shared" si="159"/>
        <v>0</v>
      </c>
      <c r="DG296" s="357">
        <f t="shared" si="160"/>
        <v>0</v>
      </c>
      <c r="DH296" s="527"/>
      <c r="DJ296" s="324">
        <f t="shared" si="130"/>
        <v>0</v>
      </c>
      <c r="DK296" s="529"/>
      <c r="DL296" s="338"/>
    </row>
    <row r="297" spans="15:116">
      <c r="O297" s="121">
        <v>0</v>
      </c>
      <c r="P297" s="755">
        <f t="shared" si="131"/>
        <v>0</v>
      </c>
      <c r="Q297" s="125">
        <v>0</v>
      </c>
      <c r="R297" s="890">
        <f>IF(O298=0,0,         IF(OR(Currency1="AUD",Currency1="NZD",Currency1="GBP"),O297,   _xll.qDateNext(O297,"-2b",,,IF(Currency1="EUR","TGT","LON"))))</f>
        <v>0</v>
      </c>
      <c r="S297" s="879" t="str">
        <v/>
      </c>
      <c r="T297" s="879" t="str">
        <v/>
      </c>
      <c r="U297" s="879" t="str">
        <v/>
      </c>
      <c r="V297" s="879" t="str">
        <v/>
      </c>
      <c r="W297" s="879" t="str">
        <v/>
      </c>
      <c r="X297" s="879" t="str">
        <v/>
      </c>
      <c r="Y297" s="879" t="str">
        <v/>
      </c>
      <c r="Z297" s="879" t="str">
        <v/>
      </c>
      <c r="AA297" s="882">
        <f>IF($O298=0,0,        _xll.qDateNext($O297,AA$17,$AH$16,TRUE,Currency1))</f>
        <v>0</v>
      </c>
      <c r="AB297" s="882">
        <f>IF($O298=0,0,        _xll.qDateNext($O297,AB$17,$AH$16,TRUE,Currency1))</f>
        <v>0</v>
      </c>
      <c r="AC297" s="882">
        <f>IF($O298=0,0,        _xll.qDateNext($O297,AC$17,$AH$16,TRUE,Currency1))</f>
        <v>0</v>
      </c>
      <c r="AD297" s="882">
        <f>IF($O298=0,0,        _xll.qDateNext($O297,AD$17,$AH$16,TRUE,Currency1))</f>
        <v>0</v>
      </c>
      <c r="AE297" s="882">
        <f>IF($O298=0,0,        _xll.qDateNext($O297,AE$17,$AH$16,TRUE,Currency1))</f>
        <v>0</v>
      </c>
      <c r="AF297" s="882">
        <f>IF($O298=0,0,        _xll.qDateNext($O297,AF$17,$AH$16,TRUE,Currency1))</f>
        <v>0</v>
      </c>
      <c r="AG297" s="882">
        <f>IF($O298=0,0,        _xll.qDateNext($O297,AG$17,$AH$16,TRUE,Currency1))</f>
        <v>0</v>
      </c>
      <c r="AH297" s="882">
        <f>IF($O298=0,0,        _xll.qDateNext($O297,AH$17,$AH$16,TRUE,Currency1))</f>
        <v>0</v>
      </c>
      <c r="AI297" s="886">
        <f>IF($O298=0,0,           IF(FRM,_xll.qGetFwdRate(AI$14,$O297,AA297,"T",DCC_Leg1_Float),_xll.qGetFwdRate(AI$14,$O297,$O298,"T",DCC_Leg1_Float)))</f>
        <v>0</v>
      </c>
      <c r="AJ297" s="886">
        <f>IF($O298=0,0,           IF(FRM,_xll.qGetFwdRate(AJ$14,$O297,AB297,"T",DCC_Leg1_Float),_xll.qGetFwdRate(AJ$14,$O297,$O298,"T",DCC_Leg1_Float)))</f>
        <v>0</v>
      </c>
      <c r="AK297" s="886">
        <f t="shared" si="132"/>
        <v>0</v>
      </c>
      <c r="AL297" s="886">
        <f>IF($O298=0,0,           IF(FRM,_xll.qGetFwdRate(AL$14,$O297,AD297,"T",DCC_Leg1_Float),_xll.qGetFwdRate(AL$14,$O297,$O298,"T",DCC_Leg1_Float)))</f>
        <v>0</v>
      </c>
      <c r="AM297" s="886">
        <f t="shared" si="145"/>
        <v>0</v>
      </c>
      <c r="AN297" s="886">
        <f t="shared" si="146"/>
        <v>0</v>
      </c>
      <c r="AO297" s="886">
        <f>IF($O298=0,0,           IF(FRM,_xll.qGetFwdRate(AO$14,$O297,AG297,"T",DCC_Leg1_Float),_xll.qGetFwdRate(AO$14,$O297,$O298,"T",DCC_Leg1_Float)))</f>
        <v>0</v>
      </c>
      <c r="AP297" s="886">
        <f>IF($O298=0,0,           IF(FRM,_xll.qGetFwdRate(AP$14,$O297,AH297,"T",DCC_Leg1_Float),_xll.qGetFwdRate(AP$14,$O297,$O298,"T",DCC_Leg1_Float)))</f>
        <v>0</v>
      </c>
      <c r="AQ297" s="648">
        <f t="shared" si="147"/>
        <v>0</v>
      </c>
      <c r="AR297" s="648">
        <f t="shared" si="148"/>
        <v>0</v>
      </c>
      <c r="AS297" s="648">
        <f t="shared" si="149"/>
        <v>0</v>
      </c>
      <c r="AT297" s="648">
        <f t="shared" si="150"/>
        <v>0</v>
      </c>
      <c r="AU297" s="648">
        <f t="shared" si="151"/>
        <v>0</v>
      </c>
      <c r="AV297" s="648">
        <f t="shared" si="152"/>
        <v>0</v>
      </c>
      <c r="AW297" s="648">
        <f t="shared" si="153"/>
        <v>0</v>
      </c>
      <c r="AX297" s="648">
        <f t="shared" si="154"/>
        <v>0</v>
      </c>
      <c r="AY297" s="634">
        <v>0</v>
      </c>
      <c r="AZ297" s="616"/>
      <c r="BA297" s="619">
        <f>IF(O298=0,0,             IF(ISNUMBER(AZ297),AZ297,             IF(ISTEXT(AZ297),INDEX(AQ297:AX297,MATCH(AZ297,$AQ$17:$AX$17,0)),           IF(AY297="INT",_xll.qInterp(O298,AA297:AH297,AQ297:AX297),       INDEX(AQ297:AX297,MATCH(AY297,$AQ$17:$AX$17,0))))))</f>
        <v>0</v>
      </c>
      <c r="BB297" s="674">
        <v>100</v>
      </c>
      <c r="BC297" s="666">
        <f t="shared" si="133"/>
        <v>0</v>
      </c>
      <c r="BD297" s="268">
        <f>IF($O298=0,0,                IF(LEFT(DCC_Leg1_Fixed,2)="1/",uEvaluate(DCC_Leg1_Fixed),        _xll.qDateYears($O297,$O298,DCC_Leg1_Fixed)))</f>
        <v>0</v>
      </c>
      <c r="BE297" s="268">
        <f>IF($O298,_xll.qDateYears($O297,$O298,DCC_Leg1_Float),0)</f>
        <v>0</v>
      </c>
      <c r="BG297" s="332">
        <f t="shared" si="155"/>
        <v>0</v>
      </c>
      <c r="BH297" s="357">
        <f t="shared" si="156"/>
        <v>0</v>
      </c>
      <c r="BI297" s="527"/>
      <c r="BK297" s="324">
        <f t="shared" si="161"/>
        <v>0</v>
      </c>
      <c r="BM297" s="338"/>
      <c r="BN297" s="121">
        <v>0</v>
      </c>
      <c r="BO297" s="755">
        <f t="shared" si="134"/>
        <v>0</v>
      </c>
      <c r="BP297" s="339">
        <v>0</v>
      </c>
      <c r="BQ297" s="890">
        <f>IF(BN298=0,0,         IF(OR(Currency2="AUD",Currency1="NZD",Currency2="GBP"),BN297,   _xll.qDateNext(BN297,"-2b",,,IF(Currency2="EUR","TGT","LON"))))</f>
        <v>0</v>
      </c>
      <c r="BR297" s="879" t="str">
        <v/>
      </c>
      <c r="BS297" s="879" t="str">
        <v/>
      </c>
      <c r="BT297" s="879" t="str">
        <v/>
      </c>
      <c r="BU297" s="879" t="str">
        <v/>
      </c>
      <c r="BV297" s="879" t="str">
        <v/>
      </c>
      <c r="BW297" s="879" t="str">
        <v/>
      </c>
      <c r="BX297" s="879" t="str">
        <v/>
      </c>
      <c r="BY297" s="879" t="str">
        <v/>
      </c>
      <c r="BZ297" s="882">
        <f>IF($BN298=0,0,        _xll.qDateNext($BN297,BZ$17,$CG$16,TRUE,Currency2))</f>
        <v>0</v>
      </c>
      <c r="CA297" s="882">
        <f>IF($BN298=0,0,        _xll.qDateNext($BN297,CA$17,$CG$16,TRUE,Currency2))</f>
        <v>0</v>
      </c>
      <c r="CB297" s="882">
        <f>IF($BN298=0,0,        _xll.qDateNext($BN297,CB$17,$CG$16,TRUE,Currency2))</f>
        <v>0</v>
      </c>
      <c r="CC297" s="882">
        <f>IF($BN298=0,0,        _xll.qDateNext($BN297,CC$17,$CG$16,TRUE,Currency2))</f>
        <v>0</v>
      </c>
      <c r="CD297" s="882">
        <f>IF($BN298=0,0,        _xll.qDateNext($BN297,CD$17,$CG$16,TRUE,Currency2))</f>
        <v>0</v>
      </c>
      <c r="CE297" s="882">
        <f>IF($BN298=0,0,        _xll.qDateNext($BN297,CE$17,$CG$16,TRUE,Currency2))</f>
        <v>0</v>
      </c>
      <c r="CF297" s="882">
        <f>IF($BN298=0,0,        _xll.qDateNext($BN297,CF$17,$CG$16,TRUE,Currency2))</f>
        <v>0</v>
      </c>
      <c r="CG297" s="882">
        <f>IF($BN298=0,0,        _xll.qDateNext($BN297,CG$17,$CG$16,TRUE,Currency2))</f>
        <v>0</v>
      </c>
      <c r="CH297" s="886">
        <v>0</v>
      </c>
      <c r="CI297" s="886">
        <v>0</v>
      </c>
      <c r="CJ297" s="886">
        <v>0</v>
      </c>
      <c r="CK297" s="886">
        <v>0</v>
      </c>
      <c r="CL297" s="886">
        <f t="shared" si="157"/>
        <v>0</v>
      </c>
      <c r="CM297" s="886">
        <f t="shared" si="158"/>
        <v>0</v>
      </c>
      <c r="CN297" s="886">
        <v>0</v>
      </c>
      <c r="CO297" s="886">
        <v>0</v>
      </c>
      <c r="CP297" s="648">
        <f t="shared" si="135"/>
        <v>0</v>
      </c>
      <c r="CQ297" s="648">
        <f t="shared" si="136"/>
        <v>0</v>
      </c>
      <c r="CR297" s="648">
        <f t="shared" si="137"/>
        <v>0</v>
      </c>
      <c r="CS297" s="648">
        <f t="shared" si="138"/>
        <v>0</v>
      </c>
      <c r="CT297" s="648">
        <f t="shared" si="139"/>
        <v>0</v>
      </c>
      <c r="CU297" s="648">
        <f t="shared" si="140"/>
        <v>0</v>
      </c>
      <c r="CV297" s="648">
        <f t="shared" si="141"/>
        <v>0</v>
      </c>
      <c r="CW297" s="648">
        <f t="shared" si="142"/>
        <v>0</v>
      </c>
      <c r="CX297" s="634">
        <v>0</v>
      </c>
      <c r="CY297" s="616"/>
      <c r="CZ297" s="619">
        <f>IF(BN298=0,0,             IF(ISNUMBER(CY297),CY297,             IF(ISTEXT(CY297),INDEX(CP297:CW297,MATCH(CY297,$CP$17:$CW$17,0)),           IF(CX297="INT",_xll.qInterp(BN298,BZ297:CG297,CP297:CW297),       INDEX(CP297:CW297,MATCH(CX297,$CP$17:$CW$17,0))))))</f>
        <v>0</v>
      </c>
      <c r="DA297" s="755">
        <f t="shared" si="143"/>
        <v>0</v>
      </c>
      <c r="DB297" s="387">
        <f t="shared" si="144"/>
        <v>0</v>
      </c>
      <c r="DC297" s="268">
        <f>IF($BN298=0,0,         IF(LEFT(DCC_Leg2_Fixed,2)="1/",uEvaluate(DCC_Leg2_Fixed),         _xll.qDateYears($BN297,$BN298,DCC_Leg2_Fixed)))</f>
        <v>0</v>
      </c>
      <c r="DD297" s="268">
        <f>IF($BN298,_xll.qDateYears($BN297,$BN298,DCC_Leg2_Float),0)</f>
        <v>0</v>
      </c>
      <c r="DF297" s="332">
        <f t="shared" si="159"/>
        <v>0</v>
      </c>
      <c r="DG297" s="357">
        <f t="shared" si="160"/>
        <v>0</v>
      </c>
      <c r="DH297" s="527"/>
      <c r="DJ297" s="324">
        <f t="shared" ref="DJ297:DJ360" si="162">SUM(DF297:DH297)</f>
        <v>0</v>
      </c>
      <c r="DK297" s="529"/>
      <c r="DL297" s="338"/>
    </row>
    <row r="298" spans="15:116">
      <c r="O298" s="121">
        <v>0</v>
      </c>
      <c r="P298" s="755">
        <f t="shared" si="131"/>
        <v>0</v>
      </c>
      <c r="Q298" s="125">
        <v>0</v>
      </c>
      <c r="R298" s="890">
        <f>IF(O299=0,0,         IF(OR(Currency1="AUD",Currency1="NZD",Currency1="GBP"),O298,   _xll.qDateNext(O298,"-2b",,,IF(Currency1="EUR","TGT","LON"))))</f>
        <v>0</v>
      </c>
      <c r="S298" s="879" t="str">
        <v/>
      </c>
      <c r="T298" s="879" t="str">
        <v/>
      </c>
      <c r="U298" s="879" t="str">
        <v/>
      </c>
      <c r="V298" s="879" t="str">
        <v/>
      </c>
      <c r="W298" s="879" t="str">
        <v/>
      </c>
      <c r="X298" s="879" t="str">
        <v/>
      </c>
      <c r="Y298" s="879" t="str">
        <v/>
      </c>
      <c r="Z298" s="879" t="str">
        <v/>
      </c>
      <c r="AA298" s="882">
        <f>IF($O299=0,0,        _xll.qDateNext($O298,AA$17,$AH$16,TRUE,Currency1))</f>
        <v>0</v>
      </c>
      <c r="AB298" s="882">
        <f>IF($O299=0,0,        _xll.qDateNext($O298,AB$17,$AH$16,TRUE,Currency1))</f>
        <v>0</v>
      </c>
      <c r="AC298" s="882">
        <f>IF($O299=0,0,        _xll.qDateNext($O298,AC$17,$AH$16,TRUE,Currency1))</f>
        <v>0</v>
      </c>
      <c r="AD298" s="882">
        <f>IF($O299=0,0,        _xll.qDateNext($O298,AD$17,$AH$16,TRUE,Currency1))</f>
        <v>0</v>
      </c>
      <c r="AE298" s="882">
        <f>IF($O299=0,0,        _xll.qDateNext($O298,AE$17,$AH$16,TRUE,Currency1))</f>
        <v>0</v>
      </c>
      <c r="AF298" s="882">
        <f>IF($O299=0,0,        _xll.qDateNext($O298,AF$17,$AH$16,TRUE,Currency1))</f>
        <v>0</v>
      </c>
      <c r="AG298" s="882">
        <f>IF($O299=0,0,        _xll.qDateNext($O298,AG$17,$AH$16,TRUE,Currency1))</f>
        <v>0</v>
      </c>
      <c r="AH298" s="882">
        <f>IF($O299=0,0,        _xll.qDateNext($O298,AH$17,$AH$16,TRUE,Currency1))</f>
        <v>0</v>
      </c>
      <c r="AI298" s="886">
        <f>IF($O299=0,0,           IF(FRM,_xll.qGetFwdRate(AI$14,$O298,AA298,"T",DCC_Leg1_Float),_xll.qGetFwdRate(AI$14,$O298,$O299,"T",DCC_Leg1_Float)))</f>
        <v>0</v>
      </c>
      <c r="AJ298" s="886">
        <f>IF($O299=0,0,           IF(FRM,_xll.qGetFwdRate(AJ$14,$O298,AB298,"T",DCC_Leg1_Float),_xll.qGetFwdRate(AJ$14,$O298,$O299,"T",DCC_Leg1_Float)))</f>
        <v>0</v>
      </c>
      <c r="AK298" s="886">
        <f t="shared" si="132"/>
        <v>0</v>
      </c>
      <c r="AL298" s="886">
        <f>IF($O299=0,0,           IF(FRM,_xll.qGetFwdRate(AL$14,$O298,AD298,"T",DCC_Leg1_Float),_xll.qGetFwdRate(AL$14,$O298,$O299,"T",DCC_Leg1_Float)))</f>
        <v>0</v>
      </c>
      <c r="AM298" s="886">
        <f t="shared" si="145"/>
        <v>0</v>
      </c>
      <c r="AN298" s="886">
        <f t="shared" si="146"/>
        <v>0</v>
      </c>
      <c r="AO298" s="886">
        <f>IF($O299=0,0,           IF(FRM,_xll.qGetFwdRate(AO$14,$O298,AG298,"T",DCC_Leg1_Float),_xll.qGetFwdRate(AO$14,$O298,$O299,"T",DCC_Leg1_Float)))</f>
        <v>0</v>
      </c>
      <c r="AP298" s="886">
        <f>IF($O299=0,0,           IF(FRM,_xll.qGetFwdRate(AP$14,$O298,AH298,"T",DCC_Leg1_Float),_xll.qGetFwdRate(AP$14,$O298,$O299,"T",DCC_Leg1_Float)))</f>
        <v>0</v>
      </c>
      <c r="AQ298" s="648">
        <f t="shared" si="147"/>
        <v>0</v>
      </c>
      <c r="AR298" s="648">
        <f t="shared" si="148"/>
        <v>0</v>
      </c>
      <c r="AS298" s="648">
        <f t="shared" si="149"/>
        <v>0</v>
      </c>
      <c r="AT298" s="648">
        <f t="shared" si="150"/>
        <v>0</v>
      </c>
      <c r="AU298" s="648">
        <f t="shared" si="151"/>
        <v>0</v>
      </c>
      <c r="AV298" s="648">
        <f t="shared" si="152"/>
        <v>0</v>
      </c>
      <c r="AW298" s="648">
        <f t="shared" si="153"/>
        <v>0</v>
      </c>
      <c r="AX298" s="648">
        <f t="shared" si="154"/>
        <v>0</v>
      </c>
      <c r="AY298" s="634">
        <v>0</v>
      </c>
      <c r="AZ298" s="616"/>
      <c r="BA298" s="619">
        <f>IF(O299=0,0,             IF(ISNUMBER(AZ298),AZ298,             IF(ISTEXT(AZ298),INDEX(AQ298:AX298,MATCH(AZ298,$AQ$17:$AX$17,0)),           IF(AY298="INT",_xll.qInterp(O299,AA298:AH298,AQ298:AX298),       INDEX(AQ298:AX298,MATCH(AY298,$AQ$17:$AX$17,0))))))</f>
        <v>0</v>
      </c>
      <c r="BB298" s="674">
        <v>100</v>
      </c>
      <c r="BC298" s="666">
        <f t="shared" si="133"/>
        <v>0</v>
      </c>
      <c r="BD298" s="268">
        <f>IF($O299=0,0,                IF(LEFT(DCC_Leg1_Fixed,2)="1/",uEvaluate(DCC_Leg1_Fixed),        _xll.qDateYears($O298,$O299,DCC_Leg1_Fixed)))</f>
        <v>0</v>
      </c>
      <c r="BE298" s="268">
        <f>IF($O299,_xll.qDateYears($O298,$O299,DCC_Leg1_Float),0)</f>
        <v>0</v>
      </c>
      <c r="BG298" s="332">
        <f t="shared" si="155"/>
        <v>0</v>
      </c>
      <c r="BH298" s="357">
        <f t="shared" si="156"/>
        <v>0</v>
      </c>
      <c r="BI298" s="527"/>
      <c r="BK298" s="324">
        <f t="shared" si="161"/>
        <v>0</v>
      </c>
      <c r="BM298" s="338"/>
      <c r="BN298" s="121">
        <v>0</v>
      </c>
      <c r="BO298" s="755">
        <f t="shared" si="134"/>
        <v>0</v>
      </c>
      <c r="BP298" s="339">
        <v>0</v>
      </c>
      <c r="BQ298" s="890">
        <f>IF(BN299=0,0,         IF(OR(Currency2="AUD",Currency1="NZD",Currency2="GBP"),BN298,   _xll.qDateNext(BN298,"-2b",,,IF(Currency2="EUR","TGT","LON"))))</f>
        <v>0</v>
      </c>
      <c r="BR298" s="879" t="str">
        <v/>
      </c>
      <c r="BS298" s="879" t="str">
        <v/>
      </c>
      <c r="BT298" s="879" t="str">
        <v/>
      </c>
      <c r="BU298" s="879" t="str">
        <v/>
      </c>
      <c r="BV298" s="879" t="str">
        <v/>
      </c>
      <c r="BW298" s="879" t="str">
        <v/>
      </c>
      <c r="BX298" s="879" t="str">
        <v/>
      </c>
      <c r="BY298" s="879" t="str">
        <v/>
      </c>
      <c r="BZ298" s="882">
        <f>IF($BN299=0,0,        _xll.qDateNext($BN298,BZ$17,$CG$16,TRUE,Currency2))</f>
        <v>0</v>
      </c>
      <c r="CA298" s="882">
        <f>IF($BN299=0,0,        _xll.qDateNext($BN298,CA$17,$CG$16,TRUE,Currency2))</f>
        <v>0</v>
      </c>
      <c r="CB298" s="882">
        <f>IF($BN299=0,0,        _xll.qDateNext($BN298,CB$17,$CG$16,TRUE,Currency2))</f>
        <v>0</v>
      </c>
      <c r="CC298" s="882">
        <f>IF($BN299=0,0,        _xll.qDateNext($BN298,CC$17,$CG$16,TRUE,Currency2))</f>
        <v>0</v>
      </c>
      <c r="CD298" s="882">
        <f>IF($BN299=0,0,        _xll.qDateNext($BN298,CD$17,$CG$16,TRUE,Currency2))</f>
        <v>0</v>
      </c>
      <c r="CE298" s="882">
        <f>IF($BN299=0,0,        _xll.qDateNext($BN298,CE$17,$CG$16,TRUE,Currency2))</f>
        <v>0</v>
      </c>
      <c r="CF298" s="882">
        <f>IF($BN299=0,0,        _xll.qDateNext($BN298,CF$17,$CG$16,TRUE,Currency2))</f>
        <v>0</v>
      </c>
      <c r="CG298" s="882">
        <f>IF($BN299=0,0,        _xll.qDateNext($BN298,CG$17,$CG$16,TRUE,Currency2))</f>
        <v>0</v>
      </c>
      <c r="CH298" s="886">
        <v>0</v>
      </c>
      <c r="CI298" s="886">
        <v>0</v>
      </c>
      <c r="CJ298" s="886">
        <v>0</v>
      </c>
      <c r="CK298" s="886">
        <v>0</v>
      </c>
      <c r="CL298" s="886">
        <f t="shared" si="157"/>
        <v>0</v>
      </c>
      <c r="CM298" s="886">
        <f t="shared" si="158"/>
        <v>0</v>
      </c>
      <c r="CN298" s="886">
        <v>0</v>
      </c>
      <c r="CO298" s="886">
        <v>0</v>
      </c>
      <c r="CP298" s="648">
        <f t="shared" si="135"/>
        <v>0</v>
      </c>
      <c r="CQ298" s="648">
        <f t="shared" si="136"/>
        <v>0</v>
      </c>
      <c r="CR298" s="648">
        <f t="shared" si="137"/>
        <v>0</v>
      </c>
      <c r="CS298" s="648">
        <f t="shared" si="138"/>
        <v>0</v>
      </c>
      <c r="CT298" s="648">
        <f t="shared" si="139"/>
        <v>0</v>
      </c>
      <c r="CU298" s="648">
        <f t="shared" si="140"/>
        <v>0</v>
      </c>
      <c r="CV298" s="648">
        <f t="shared" si="141"/>
        <v>0</v>
      </c>
      <c r="CW298" s="648">
        <f t="shared" si="142"/>
        <v>0</v>
      </c>
      <c r="CX298" s="634">
        <v>0</v>
      </c>
      <c r="CY298" s="616"/>
      <c r="CZ298" s="619">
        <f>IF(BN299=0,0,             IF(ISNUMBER(CY298),CY298,             IF(ISTEXT(CY298),INDEX(CP298:CW298,MATCH(CY298,$CP$17:$CW$17,0)),           IF(CX298="INT",_xll.qInterp(BN299,BZ298:CG298,CP298:CW298),       INDEX(CP298:CW298,MATCH(CX298,$CP$17:$CW$17,0))))))</f>
        <v>0</v>
      </c>
      <c r="DA298" s="755">
        <f t="shared" si="143"/>
        <v>0</v>
      </c>
      <c r="DB298" s="387">
        <f t="shared" si="144"/>
        <v>0</v>
      </c>
      <c r="DC298" s="268">
        <f>IF($BN299=0,0,         IF(LEFT(DCC_Leg2_Fixed,2)="1/",uEvaluate(DCC_Leg2_Fixed),         _xll.qDateYears($BN298,$BN299,DCC_Leg2_Fixed)))</f>
        <v>0</v>
      </c>
      <c r="DD298" s="268">
        <f>IF($BN299,_xll.qDateYears($BN298,$BN299,DCC_Leg2_Float),0)</f>
        <v>0</v>
      </c>
      <c r="DF298" s="332">
        <f t="shared" si="159"/>
        <v>0</v>
      </c>
      <c r="DG298" s="357">
        <f t="shared" si="160"/>
        <v>0</v>
      </c>
      <c r="DH298" s="527"/>
      <c r="DJ298" s="324">
        <f t="shared" si="162"/>
        <v>0</v>
      </c>
      <c r="DK298" s="529"/>
      <c r="DL298" s="338"/>
    </row>
    <row r="299" spans="15:116">
      <c r="O299" s="121">
        <v>0</v>
      </c>
      <c r="P299" s="755">
        <f t="shared" si="131"/>
        <v>0</v>
      </c>
      <c r="Q299" s="125">
        <v>0</v>
      </c>
      <c r="R299" s="890">
        <f>IF(O300=0,0,         IF(OR(Currency1="AUD",Currency1="NZD",Currency1="GBP"),O299,   _xll.qDateNext(O299,"-2b",,,IF(Currency1="EUR","TGT","LON"))))</f>
        <v>0</v>
      </c>
      <c r="S299" s="879" t="str">
        <v/>
      </c>
      <c r="T299" s="879" t="str">
        <v/>
      </c>
      <c r="U299" s="879" t="str">
        <v/>
      </c>
      <c r="V299" s="879" t="str">
        <v/>
      </c>
      <c r="W299" s="879" t="str">
        <v/>
      </c>
      <c r="X299" s="879" t="str">
        <v/>
      </c>
      <c r="Y299" s="879" t="str">
        <v/>
      </c>
      <c r="Z299" s="879" t="str">
        <v/>
      </c>
      <c r="AA299" s="882">
        <f>IF($O300=0,0,        _xll.qDateNext($O299,AA$17,$AH$16,TRUE,Currency1))</f>
        <v>0</v>
      </c>
      <c r="AB299" s="882">
        <f>IF($O300=0,0,        _xll.qDateNext($O299,AB$17,$AH$16,TRUE,Currency1))</f>
        <v>0</v>
      </c>
      <c r="AC299" s="882">
        <f>IF($O300=0,0,        _xll.qDateNext($O299,AC$17,$AH$16,TRUE,Currency1))</f>
        <v>0</v>
      </c>
      <c r="AD299" s="882">
        <f>IF($O300=0,0,        _xll.qDateNext($O299,AD$17,$AH$16,TRUE,Currency1))</f>
        <v>0</v>
      </c>
      <c r="AE299" s="882">
        <f>IF($O300=0,0,        _xll.qDateNext($O299,AE$17,$AH$16,TRUE,Currency1))</f>
        <v>0</v>
      </c>
      <c r="AF299" s="882">
        <f>IF($O300=0,0,        _xll.qDateNext($O299,AF$17,$AH$16,TRUE,Currency1))</f>
        <v>0</v>
      </c>
      <c r="AG299" s="882">
        <f>IF($O300=0,0,        _xll.qDateNext($O299,AG$17,$AH$16,TRUE,Currency1))</f>
        <v>0</v>
      </c>
      <c r="AH299" s="882">
        <f>IF($O300=0,0,        _xll.qDateNext($O299,AH$17,$AH$16,TRUE,Currency1))</f>
        <v>0</v>
      </c>
      <c r="AI299" s="886">
        <f>IF($O300=0,0,           IF(FRM,_xll.qGetFwdRate(AI$14,$O299,AA299,"T",DCC_Leg1_Float),_xll.qGetFwdRate(AI$14,$O299,$O300,"T",DCC_Leg1_Float)))</f>
        <v>0</v>
      </c>
      <c r="AJ299" s="886">
        <f>IF($O300=0,0,           IF(FRM,_xll.qGetFwdRate(AJ$14,$O299,AB299,"T",DCC_Leg1_Float),_xll.qGetFwdRate(AJ$14,$O299,$O300,"T",DCC_Leg1_Float)))</f>
        <v>0</v>
      </c>
      <c r="AK299" s="886">
        <f t="shared" si="132"/>
        <v>0</v>
      </c>
      <c r="AL299" s="886">
        <f>IF($O300=0,0,           IF(FRM,_xll.qGetFwdRate(AL$14,$O299,AD299,"T",DCC_Leg1_Float),_xll.qGetFwdRate(AL$14,$O299,$O300,"T",DCC_Leg1_Float)))</f>
        <v>0</v>
      </c>
      <c r="AM299" s="886">
        <f t="shared" si="145"/>
        <v>0</v>
      </c>
      <c r="AN299" s="886">
        <f t="shared" si="146"/>
        <v>0</v>
      </c>
      <c r="AO299" s="886">
        <f>IF($O300=0,0,           IF(FRM,_xll.qGetFwdRate(AO$14,$O299,AG299,"T",DCC_Leg1_Float),_xll.qGetFwdRate(AO$14,$O299,$O300,"T",DCC_Leg1_Float)))</f>
        <v>0</v>
      </c>
      <c r="AP299" s="886">
        <f>IF($O300=0,0,           IF(FRM,_xll.qGetFwdRate(AP$14,$O299,AH299,"T",DCC_Leg1_Float),_xll.qGetFwdRate(AP$14,$O299,$O300,"T",DCC_Leg1_Float)))</f>
        <v>0</v>
      </c>
      <c r="AQ299" s="648">
        <f t="shared" si="147"/>
        <v>0</v>
      </c>
      <c r="AR299" s="648">
        <f t="shared" si="148"/>
        <v>0</v>
      </c>
      <c r="AS299" s="648">
        <f t="shared" si="149"/>
        <v>0</v>
      </c>
      <c r="AT299" s="648">
        <f t="shared" si="150"/>
        <v>0</v>
      </c>
      <c r="AU299" s="648">
        <f t="shared" si="151"/>
        <v>0</v>
      </c>
      <c r="AV299" s="648">
        <f t="shared" si="152"/>
        <v>0</v>
      </c>
      <c r="AW299" s="648">
        <f t="shared" si="153"/>
        <v>0</v>
      </c>
      <c r="AX299" s="648">
        <f t="shared" si="154"/>
        <v>0</v>
      </c>
      <c r="AY299" s="634">
        <v>0</v>
      </c>
      <c r="AZ299" s="616"/>
      <c r="BA299" s="619">
        <f>IF(O300=0,0,             IF(ISNUMBER(AZ299),AZ299,             IF(ISTEXT(AZ299),INDEX(AQ299:AX299,MATCH(AZ299,$AQ$17:$AX$17,0)),           IF(AY299="INT",_xll.qInterp(O300,AA299:AH299,AQ299:AX299),       INDEX(AQ299:AX299,MATCH(AY299,$AQ$17:$AX$17,0))))))</f>
        <v>0</v>
      </c>
      <c r="BB299" s="674">
        <v>100</v>
      </c>
      <c r="BC299" s="666">
        <f t="shared" si="133"/>
        <v>0</v>
      </c>
      <c r="BD299" s="268">
        <f>IF($O300=0,0,                IF(LEFT(DCC_Leg1_Fixed,2)="1/",uEvaluate(DCC_Leg1_Fixed),        _xll.qDateYears($O299,$O300,DCC_Leg1_Fixed)))</f>
        <v>0</v>
      </c>
      <c r="BE299" s="268">
        <f>IF($O300,_xll.qDateYears($O299,$O300,DCC_Leg1_Float),0)</f>
        <v>0</v>
      </c>
      <c r="BG299" s="332">
        <f t="shared" si="155"/>
        <v>0</v>
      </c>
      <c r="BH299" s="357">
        <f t="shared" si="156"/>
        <v>0</v>
      </c>
      <c r="BI299" s="527"/>
      <c r="BK299" s="324">
        <f t="shared" si="161"/>
        <v>0</v>
      </c>
      <c r="BM299" s="338"/>
      <c r="BN299" s="121">
        <v>0</v>
      </c>
      <c r="BO299" s="755">
        <f t="shared" si="134"/>
        <v>0</v>
      </c>
      <c r="BP299" s="339">
        <v>0</v>
      </c>
      <c r="BQ299" s="890">
        <f>IF(BN300=0,0,         IF(OR(Currency2="AUD",Currency1="NZD",Currency2="GBP"),BN299,   _xll.qDateNext(BN299,"-2b",,,IF(Currency2="EUR","TGT","LON"))))</f>
        <v>0</v>
      </c>
      <c r="BR299" s="879" t="str">
        <v/>
      </c>
      <c r="BS299" s="879" t="str">
        <v/>
      </c>
      <c r="BT299" s="879" t="str">
        <v/>
      </c>
      <c r="BU299" s="879" t="str">
        <v/>
      </c>
      <c r="BV299" s="879" t="str">
        <v/>
      </c>
      <c r="BW299" s="879" t="str">
        <v/>
      </c>
      <c r="BX299" s="879" t="str">
        <v/>
      </c>
      <c r="BY299" s="879" t="str">
        <v/>
      </c>
      <c r="BZ299" s="882">
        <f>IF($BN300=0,0,        _xll.qDateNext($BN299,BZ$17,$CG$16,TRUE,Currency2))</f>
        <v>0</v>
      </c>
      <c r="CA299" s="882">
        <f>IF($BN300=0,0,        _xll.qDateNext($BN299,CA$17,$CG$16,TRUE,Currency2))</f>
        <v>0</v>
      </c>
      <c r="CB299" s="882">
        <f>IF($BN300=0,0,        _xll.qDateNext($BN299,CB$17,$CG$16,TRUE,Currency2))</f>
        <v>0</v>
      </c>
      <c r="CC299" s="882">
        <f>IF($BN300=0,0,        _xll.qDateNext($BN299,CC$17,$CG$16,TRUE,Currency2))</f>
        <v>0</v>
      </c>
      <c r="CD299" s="882">
        <f>IF($BN300=0,0,        _xll.qDateNext($BN299,CD$17,$CG$16,TRUE,Currency2))</f>
        <v>0</v>
      </c>
      <c r="CE299" s="882">
        <f>IF($BN300=0,0,        _xll.qDateNext($BN299,CE$17,$CG$16,TRUE,Currency2))</f>
        <v>0</v>
      </c>
      <c r="CF299" s="882">
        <f>IF($BN300=0,0,        _xll.qDateNext($BN299,CF$17,$CG$16,TRUE,Currency2))</f>
        <v>0</v>
      </c>
      <c r="CG299" s="882">
        <f>IF($BN300=0,0,        _xll.qDateNext($BN299,CG$17,$CG$16,TRUE,Currency2))</f>
        <v>0</v>
      </c>
      <c r="CH299" s="886">
        <v>0</v>
      </c>
      <c r="CI299" s="886">
        <v>0</v>
      </c>
      <c r="CJ299" s="886">
        <v>0</v>
      </c>
      <c r="CK299" s="886">
        <v>0</v>
      </c>
      <c r="CL299" s="886">
        <f t="shared" si="157"/>
        <v>0</v>
      </c>
      <c r="CM299" s="886">
        <f t="shared" si="158"/>
        <v>0</v>
      </c>
      <c r="CN299" s="886">
        <v>0</v>
      </c>
      <c r="CO299" s="886">
        <v>0</v>
      </c>
      <c r="CP299" s="648">
        <f t="shared" si="135"/>
        <v>0</v>
      </c>
      <c r="CQ299" s="648">
        <f t="shared" si="136"/>
        <v>0</v>
      </c>
      <c r="CR299" s="648">
        <f t="shared" si="137"/>
        <v>0</v>
      </c>
      <c r="CS299" s="648">
        <f t="shared" si="138"/>
        <v>0</v>
      </c>
      <c r="CT299" s="648">
        <f t="shared" si="139"/>
        <v>0</v>
      </c>
      <c r="CU299" s="648">
        <f t="shared" si="140"/>
        <v>0</v>
      </c>
      <c r="CV299" s="648">
        <f t="shared" si="141"/>
        <v>0</v>
      </c>
      <c r="CW299" s="648">
        <f t="shared" si="142"/>
        <v>0</v>
      </c>
      <c r="CX299" s="634">
        <v>0</v>
      </c>
      <c r="CY299" s="616"/>
      <c r="CZ299" s="619">
        <f>IF(BN300=0,0,             IF(ISNUMBER(CY299),CY299,             IF(ISTEXT(CY299),INDEX(CP299:CW299,MATCH(CY299,$CP$17:$CW$17,0)),           IF(CX299="INT",_xll.qInterp(BN300,BZ299:CG299,CP299:CW299),       INDEX(CP299:CW299,MATCH(CX299,$CP$17:$CW$17,0))))))</f>
        <v>0</v>
      </c>
      <c r="DA299" s="755">
        <f t="shared" si="143"/>
        <v>0</v>
      </c>
      <c r="DB299" s="387">
        <f t="shared" si="144"/>
        <v>0</v>
      </c>
      <c r="DC299" s="268">
        <f>IF($BN300=0,0,         IF(LEFT(DCC_Leg2_Fixed,2)="1/",uEvaluate(DCC_Leg2_Fixed),         _xll.qDateYears($BN299,$BN300,DCC_Leg2_Fixed)))</f>
        <v>0</v>
      </c>
      <c r="DD299" s="268">
        <f>IF($BN300,_xll.qDateYears($BN299,$BN300,DCC_Leg2_Float),0)</f>
        <v>0</v>
      </c>
      <c r="DF299" s="332">
        <f t="shared" si="159"/>
        <v>0</v>
      </c>
      <c r="DG299" s="357">
        <f t="shared" si="160"/>
        <v>0</v>
      </c>
      <c r="DH299" s="527"/>
      <c r="DJ299" s="324">
        <f t="shared" si="162"/>
        <v>0</v>
      </c>
      <c r="DK299" s="529"/>
      <c r="DL299" s="338"/>
    </row>
    <row r="300" spans="15:116">
      <c r="O300" s="121">
        <v>0</v>
      </c>
      <c r="P300" s="755">
        <f t="shared" si="131"/>
        <v>0</v>
      </c>
      <c r="Q300" s="125">
        <v>0</v>
      </c>
      <c r="R300" s="890">
        <f>IF(O301=0,0,         IF(OR(Currency1="AUD",Currency1="NZD",Currency1="GBP"),O300,   _xll.qDateNext(O300,"-2b",,,IF(Currency1="EUR","TGT","LON"))))</f>
        <v>0</v>
      </c>
      <c r="S300" s="879" t="str">
        <v/>
      </c>
      <c r="T300" s="879" t="str">
        <v/>
      </c>
      <c r="U300" s="879" t="str">
        <v/>
      </c>
      <c r="V300" s="879" t="str">
        <v/>
      </c>
      <c r="W300" s="879" t="str">
        <v/>
      </c>
      <c r="X300" s="879" t="str">
        <v/>
      </c>
      <c r="Y300" s="879" t="str">
        <v/>
      </c>
      <c r="Z300" s="879" t="str">
        <v/>
      </c>
      <c r="AA300" s="882">
        <f>IF($O301=0,0,        _xll.qDateNext($O300,AA$17,$AH$16,TRUE,Currency1))</f>
        <v>0</v>
      </c>
      <c r="AB300" s="882">
        <f>IF($O301=0,0,        _xll.qDateNext($O300,AB$17,$AH$16,TRUE,Currency1))</f>
        <v>0</v>
      </c>
      <c r="AC300" s="882">
        <f>IF($O301=0,0,        _xll.qDateNext($O300,AC$17,$AH$16,TRUE,Currency1))</f>
        <v>0</v>
      </c>
      <c r="AD300" s="882">
        <f>IF($O301=0,0,        _xll.qDateNext($O300,AD$17,$AH$16,TRUE,Currency1))</f>
        <v>0</v>
      </c>
      <c r="AE300" s="882">
        <f>IF($O301=0,0,        _xll.qDateNext($O300,AE$17,$AH$16,TRUE,Currency1))</f>
        <v>0</v>
      </c>
      <c r="AF300" s="882">
        <f>IF($O301=0,0,        _xll.qDateNext($O300,AF$17,$AH$16,TRUE,Currency1))</f>
        <v>0</v>
      </c>
      <c r="AG300" s="882">
        <f>IF($O301=0,0,        _xll.qDateNext($O300,AG$17,$AH$16,TRUE,Currency1))</f>
        <v>0</v>
      </c>
      <c r="AH300" s="882">
        <f>IF($O301=0,0,        _xll.qDateNext($O300,AH$17,$AH$16,TRUE,Currency1))</f>
        <v>0</v>
      </c>
      <c r="AI300" s="886">
        <f>IF($O301=0,0,           IF(FRM,_xll.qGetFwdRate(AI$14,$O300,AA300,"T",DCC_Leg1_Float),_xll.qGetFwdRate(AI$14,$O300,$O301,"T",DCC_Leg1_Float)))</f>
        <v>0</v>
      </c>
      <c r="AJ300" s="886">
        <f>IF($O301=0,0,           IF(FRM,_xll.qGetFwdRate(AJ$14,$O300,AB300,"T",DCC_Leg1_Float),_xll.qGetFwdRate(AJ$14,$O300,$O301,"T",DCC_Leg1_Float)))</f>
        <v>0</v>
      </c>
      <c r="AK300" s="886">
        <f t="shared" si="132"/>
        <v>0</v>
      </c>
      <c r="AL300" s="886">
        <f>IF($O301=0,0,           IF(FRM,_xll.qGetFwdRate(AL$14,$O300,AD300,"T",DCC_Leg1_Float),_xll.qGetFwdRate(AL$14,$O300,$O301,"T",DCC_Leg1_Float)))</f>
        <v>0</v>
      </c>
      <c r="AM300" s="886">
        <f t="shared" si="145"/>
        <v>0</v>
      </c>
      <c r="AN300" s="886">
        <f t="shared" si="146"/>
        <v>0</v>
      </c>
      <c r="AO300" s="886">
        <f>IF($O301=0,0,           IF(FRM,_xll.qGetFwdRate(AO$14,$O300,AG300,"T",DCC_Leg1_Float),_xll.qGetFwdRate(AO$14,$O300,$O301,"T",DCC_Leg1_Float)))</f>
        <v>0</v>
      </c>
      <c r="AP300" s="886">
        <f>IF($O301=0,0,           IF(FRM,_xll.qGetFwdRate(AP$14,$O300,AH300,"T",DCC_Leg1_Float),_xll.qGetFwdRate(AP$14,$O300,$O301,"T",DCC_Leg1_Float)))</f>
        <v>0</v>
      </c>
      <c r="AQ300" s="648">
        <f t="shared" si="147"/>
        <v>0</v>
      </c>
      <c r="AR300" s="648">
        <f t="shared" si="148"/>
        <v>0</v>
      </c>
      <c r="AS300" s="648">
        <f t="shared" si="149"/>
        <v>0</v>
      </c>
      <c r="AT300" s="648">
        <f t="shared" si="150"/>
        <v>0</v>
      </c>
      <c r="AU300" s="648">
        <f t="shared" si="151"/>
        <v>0</v>
      </c>
      <c r="AV300" s="648">
        <f t="shared" si="152"/>
        <v>0</v>
      </c>
      <c r="AW300" s="648">
        <f t="shared" si="153"/>
        <v>0</v>
      </c>
      <c r="AX300" s="648">
        <f t="shared" si="154"/>
        <v>0</v>
      </c>
      <c r="AY300" s="634">
        <v>0</v>
      </c>
      <c r="AZ300" s="616"/>
      <c r="BA300" s="619">
        <f>IF(O301=0,0,             IF(ISNUMBER(AZ300),AZ300,             IF(ISTEXT(AZ300),INDEX(AQ300:AX300,MATCH(AZ300,$AQ$17:$AX$17,0)),           IF(AY300="INT",_xll.qInterp(O301,AA300:AH300,AQ300:AX300),       INDEX(AQ300:AX300,MATCH(AY300,$AQ$17:$AX$17,0))))))</f>
        <v>0</v>
      </c>
      <c r="BB300" s="674">
        <v>100</v>
      </c>
      <c r="BC300" s="666">
        <f t="shared" si="133"/>
        <v>0</v>
      </c>
      <c r="BD300" s="268">
        <f>IF($O301=0,0,                IF(LEFT(DCC_Leg1_Fixed,2)="1/",uEvaluate(DCC_Leg1_Fixed),        _xll.qDateYears($O300,$O301,DCC_Leg1_Fixed)))</f>
        <v>0</v>
      </c>
      <c r="BE300" s="268">
        <f>IF($O301,_xll.qDateYears($O300,$O301,DCC_Leg1_Float),0)</f>
        <v>0</v>
      </c>
      <c r="BG300" s="332">
        <f t="shared" si="155"/>
        <v>0</v>
      </c>
      <c r="BH300" s="357">
        <f t="shared" si="156"/>
        <v>0</v>
      </c>
      <c r="BI300" s="527"/>
      <c r="BK300" s="324">
        <f t="shared" si="161"/>
        <v>0</v>
      </c>
      <c r="BM300" s="338"/>
      <c r="BN300" s="121">
        <v>0</v>
      </c>
      <c r="BO300" s="755">
        <f t="shared" si="134"/>
        <v>0</v>
      </c>
      <c r="BP300" s="339">
        <v>0</v>
      </c>
      <c r="BQ300" s="890">
        <f>IF(BN301=0,0,         IF(OR(Currency2="AUD",Currency1="NZD",Currency2="GBP"),BN300,   _xll.qDateNext(BN300,"-2b",,,IF(Currency2="EUR","TGT","LON"))))</f>
        <v>0</v>
      </c>
      <c r="BR300" s="879" t="str">
        <v/>
      </c>
      <c r="BS300" s="879" t="str">
        <v/>
      </c>
      <c r="BT300" s="879" t="str">
        <v/>
      </c>
      <c r="BU300" s="879" t="str">
        <v/>
      </c>
      <c r="BV300" s="879" t="str">
        <v/>
      </c>
      <c r="BW300" s="879" t="str">
        <v/>
      </c>
      <c r="BX300" s="879" t="str">
        <v/>
      </c>
      <c r="BY300" s="879" t="str">
        <v/>
      </c>
      <c r="BZ300" s="882">
        <f>IF($BN301=0,0,        _xll.qDateNext($BN300,BZ$17,$CG$16,TRUE,Currency2))</f>
        <v>0</v>
      </c>
      <c r="CA300" s="882">
        <f>IF($BN301=0,0,        _xll.qDateNext($BN300,CA$17,$CG$16,TRUE,Currency2))</f>
        <v>0</v>
      </c>
      <c r="CB300" s="882">
        <f>IF($BN301=0,0,        _xll.qDateNext($BN300,CB$17,$CG$16,TRUE,Currency2))</f>
        <v>0</v>
      </c>
      <c r="CC300" s="882">
        <f>IF($BN301=0,0,        _xll.qDateNext($BN300,CC$17,$CG$16,TRUE,Currency2))</f>
        <v>0</v>
      </c>
      <c r="CD300" s="882">
        <f>IF($BN301=0,0,        _xll.qDateNext($BN300,CD$17,$CG$16,TRUE,Currency2))</f>
        <v>0</v>
      </c>
      <c r="CE300" s="882">
        <f>IF($BN301=0,0,        _xll.qDateNext($BN300,CE$17,$CG$16,TRUE,Currency2))</f>
        <v>0</v>
      </c>
      <c r="CF300" s="882">
        <f>IF($BN301=0,0,        _xll.qDateNext($BN300,CF$17,$CG$16,TRUE,Currency2))</f>
        <v>0</v>
      </c>
      <c r="CG300" s="882">
        <f>IF($BN301=0,0,        _xll.qDateNext($BN300,CG$17,$CG$16,TRUE,Currency2))</f>
        <v>0</v>
      </c>
      <c r="CH300" s="886">
        <v>0</v>
      </c>
      <c r="CI300" s="886">
        <v>0</v>
      </c>
      <c r="CJ300" s="886">
        <v>0</v>
      </c>
      <c r="CK300" s="886">
        <v>0</v>
      </c>
      <c r="CL300" s="886">
        <f t="shared" si="157"/>
        <v>0</v>
      </c>
      <c r="CM300" s="886">
        <f t="shared" si="158"/>
        <v>0</v>
      </c>
      <c r="CN300" s="886">
        <v>0</v>
      </c>
      <c r="CO300" s="886">
        <v>0</v>
      </c>
      <c r="CP300" s="648">
        <f t="shared" si="135"/>
        <v>0</v>
      </c>
      <c r="CQ300" s="648">
        <f t="shared" si="136"/>
        <v>0</v>
      </c>
      <c r="CR300" s="648">
        <f t="shared" si="137"/>
        <v>0</v>
      </c>
      <c r="CS300" s="648">
        <f t="shared" si="138"/>
        <v>0</v>
      </c>
      <c r="CT300" s="648">
        <f t="shared" si="139"/>
        <v>0</v>
      </c>
      <c r="CU300" s="648">
        <f t="shared" si="140"/>
        <v>0</v>
      </c>
      <c r="CV300" s="648">
        <f t="shared" si="141"/>
        <v>0</v>
      </c>
      <c r="CW300" s="648">
        <f t="shared" si="142"/>
        <v>0</v>
      </c>
      <c r="CX300" s="634">
        <v>0</v>
      </c>
      <c r="CY300" s="616"/>
      <c r="CZ300" s="619">
        <f>IF(BN301=0,0,             IF(ISNUMBER(CY300),CY300,             IF(ISTEXT(CY300),INDEX(CP300:CW300,MATCH(CY300,$CP$17:$CW$17,0)),           IF(CX300="INT",_xll.qInterp(BN301,BZ300:CG300,CP300:CW300),       INDEX(CP300:CW300,MATCH(CX300,$CP$17:$CW$17,0))))))</f>
        <v>0</v>
      </c>
      <c r="DA300" s="755">
        <f t="shared" si="143"/>
        <v>0</v>
      </c>
      <c r="DB300" s="387">
        <f t="shared" si="144"/>
        <v>0</v>
      </c>
      <c r="DC300" s="268">
        <f>IF($BN301=0,0,         IF(LEFT(DCC_Leg2_Fixed,2)="1/",uEvaluate(DCC_Leg2_Fixed),         _xll.qDateYears($BN300,$BN301,DCC_Leg2_Fixed)))</f>
        <v>0</v>
      </c>
      <c r="DD300" s="268">
        <f>IF($BN301,_xll.qDateYears($BN300,$BN301,DCC_Leg2_Float),0)</f>
        <v>0</v>
      </c>
      <c r="DF300" s="332">
        <f t="shared" si="159"/>
        <v>0</v>
      </c>
      <c r="DG300" s="357">
        <f t="shared" si="160"/>
        <v>0</v>
      </c>
      <c r="DH300" s="527"/>
      <c r="DJ300" s="324">
        <f t="shared" si="162"/>
        <v>0</v>
      </c>
      <c r="DK300" s="529"/>
      <c r="DL300" s="338"/>
    </row>
    <row r="301" spans="15:116">
      <c r="O301" s="121">
        <v>0</v>
      </c>
      <c r="P301" s="755">
        <f t="shared" si="131"/>
        <v>0</v>
      </c>
      <c r="Q301" s="125">
        <v>0</v>
      </c>
      <c r="R301" s="890">
        <f>IF(O302=0,0,         IF(OR(Currency1="AUD",Currency1="NZD",Currency1="GBP"),O301,   _xll.qDateNext(O301,"-2b",,,IF(Currency1="EUR","TGT","LON"))))</f>
        <v>0</v>
      </c>
      <c r="S301" s="879" t="str">
        <v/>
      </c>
      <c r="T301" s="879" t="str">
        <v/>
      </c>
      <c r="U301" s="879" t="str">
        <v/>
      </c>
      <c r="V301" s="879" t="str">
        <v/>
      </c>
      <c r="W301" s="879" t="str">
        <v/>
      </c>
      <c r="X301" s="879" t="str">
        <v/>
      </c>
      <c r="Y301" s="879" t="str">
        <v/>
      </c>
      <c r="Z301" s="879" t="str">
        <v/>
      </c>
      <c r="AA301" s="882">
        <f>IF($O302=0,0,        _xll.qDateNext($O301,AA$17,$AH$16,TRUE,Currency1))</f>
        <v>0</v>
      </c>
      <c r="AB301" s="882">
        <f>IF($O302=0,0,        _xll.qDateNext($O301,AB$17,$AH$16,TRUE,Currency1))</f>
        <v>0</v>
      </c>
      <c r="AC301" s="882">
        <f>IF($O302=0,0,        _xll.qDateNext($O301,AC$17,$AH$16,TRUE,Currency1))</f>
        <v>0</v>
      </c>
      <c r="AD301" s="882">
        <f>IF($O302=0,0,        _xll.qDateNext($O301,AD$17,$AH$16,TRUE,Currency1))</f>
        <v>0</v>
      </c>
      <c r="AE301" s="882">
        <f>IF($O302=0,0,        _xll.qDateNext($O301,AE$17,$AH$16,TRUE,Currency1))</f>
        <v>0</v>
      </c>
      <c r="AF301" s="882">
        <f>IF($O302=0,0,        _xll.qDateNext($O301,AF$17,$AH$16,TRUE,Currency1))</f>
        <v>0</v>
      </c>
      <c r="AG301" s="882">
        <f>IF($O302=0,0,        _xll.qDateNext($O301,AG$17,$AH$16,TRUE,Currency1))</f>
        <v>0</v>
      </c>
      <c r="AH301" s="882">
        <f>IF($O302=0,0,        _xll.qDateNext($O301,AH$17,$AH$16,TRUE,Currency1))</f>
        <v>0</v>
      </c>
      <c r="AI301" s="886">
        <f>IF($O302=0,0,           IF(FRM,_xll.qGetFwdRate(AI$14,$O301,AA301,"T",DCC_Leg1_Float),_xll.qGetFwdRate(AI$14,$O301,$O302,"T",DCC_Leg1_Float)))</f>
        <v>0</v>
      </c>
      <c r="AJ301" s="886">
        <f>IF($O302=0,0,           IF(FRM,_xll.qGetFwdRate(AJ$14,$O301,AB301,"T",DCC_Leg1_Float),_xll.qGetFwdRate(AJ$14,$O301,$O302,"T",DCC_Leg1_Float)))</f>
        <v>0</v>
      </c>
      <c r="AK301" s="886">
        <f t="shared" si="132"/>
        <v>0</v>
      </c>
      <c r="AL301" s="886">
        <f>IF($O302=0,0,           IF(FRM,_xll.qGetFwdRate(AL$14,$O301,AD301,"T",DCC_Leg1_Float),_xll.qGetFwdRate(AL$14,$O301,$O302,"T",DCC_Leg1_Float)))</f>
        <v>0</v>
      </c>
      <c r="AM301" s="886">
        <f t="shared" si="145"/>
        <v>0</v>
      </c>
      <c r="AN301" s="886">
        <f t="shared" si="146"/>
        <v>0</v>
      </c>
      <c r="AO301" s="886">
        <f>IF($O302=0,0,           IF(FRM,_xll.qGetFwdRate(AO$14,$O301,AG301,"T",DCC_Leg1_Float),_xll.qGetFwdRate(AO$14,$O301,$O302,"T",DCC_Leg1_Float)))</f>
        <v>0</v>
      </c>
      <c r="AP301" s="886">
        <f>IF($O302=0,0,           IF(FRM,_xll.qGetFwdRate(AP$14,$O301,AH301,"T",DCC_Leg1_Float),_xll.qGetFwdRate(AP$14,$O301,$O302,"T",DCC_Leg1_Float)))</f>
        <v>0</v>
      </c>
      <c r="AQ301" s="648">
        <f t="shared" si="147"/>
        <v>0</v>
      </c>
      <c r="AR301" s="648">
        <f t="shared" si="148"/>
        <v>0</v>
      </c>
      <c r="AS301" s="648">
        <f t="shared" si="149"/>
        <v>0</v>
      </c>
      <c r="AT301" s="648">
        <f t="shared" si="150"/>
        <v>0</v>
      </c>
      <c r="AU301" s="648">
        <f t="shared" si="151"/>
        <v>0</v>
      </c>
      <c r="AV301" s="648">
        <f t="shared" si="152"/>
        <v>0</v>
      </c>
      <c r="AW301" s="648">
        <f t="shared" si="153"/>
        <v>0</v>
      </c>
      <c r="AX301" s="648">
        <f t="shared" si="154"/>
        <v>0</v>
      </c>
      <c r="AY301" s="634">
        <v>0</v>
      </c>
      <c r="AZ301" s="616"/>
      <c r="BA301" s="619">
        <f>IF(O302=0,0,             IF(ISNUMBER(AZ301),AZ301,             IF(ISTEXT(AZ301),INDEX(AQ301:AX301,MATCH(AZ301,$AQ$17:$AX$17,0)),           IF(AY301="INT",_xll.qInterp(O302,AA301:AH301,AQ301:AX301),       INDEX(AQ301:AX301,MATCH(AY301,$AQ$17:$AX$17,0))))))</f>
        <v>0</v>
      </c>
      <c r="BB301" s="674">
        <v>100</v>
      </c>
      <c r="BC301" s="666">
        <f t="shared" si="133"/>
        <v>0</v>
      </c>
      <c r="BD301" s="268">
        <f>IF($O302=0,0,                IF(LEFT(DCC_Leg1_Fixed,2)="1/",uEvaluate(DCC_Leg1_Fixed),        _xll.qDateYears($O301,$O302,DCC_Leg1_Fixed)))</f>
        <v>0</v>
      </c>
      <c r="BE301" s="268">
        <f>IF($O302,_xll.qDateYears($O301,$O302,DCC_Leg1_Float),0)</f>
        <v>0</v>
      </c>
      <c r="BG301" s="332">
        <f t="shared" si="155"/>
        <v>0</v>
      </c>
      <c r="BH301" s="357">
        <f t="shared" si="156"/>
        <v>0</v>
      </c>
      <c r="BI301" s="527"/>
      <c r="BK301" s="324">
        <f t="shared" si="161"/>
        <v>0</v>
      </c>
      <c r="BM301" s="338"/>
      <c r="BN301" s="121">
        <v>0</v>
      </c>
      <c r="BO301" s="755">
        <f t="shared" si="134"/>
        <v>0</v>
      </c>
      <c r="BP301" s="339">
        <v>0</v>
      </c>
      <c r="BQ301" s="890">
        <f>IF(BN302=0,0,         IF(OR(Currency2="AUD",Currency1="NZD",Currency2="GBP"),BN301,   _xll.qDateNext(BN301,"-2b",,,IF(Currency2="EUR","TGT","LON"))))</f>
        <v>0</v>
      </c>
      <c r="BR301" s="879" t="str">
        <v/>
      </c>
      <c r="BS301" s="879" t="str">
        <v/>
      </c>
      <c r="BT301" s="879" t="str">
        <v/>
      </c>
      <c r="BU301" s="879" t="str">
        <v/>
      </c>
      <c r="BV301" s="879" t="str">
        <v/>
      </c>
      <c r="BW301" s="879" t="str">
        <v/>
      </c>
      <c r="BX301" s="879" t="str">
        <v/>
      </c>
      <c r="BY301" s="879" t="str">
        <v/>
      </c>
      <c r="BZ301" s="882">
        <f>IF($BN302=0,0,        _xll.qDateNext($BN301,BZ$17,$CG$16,TRUE,Currency2))</f>
        <v>0</v>
      </c>
      <c r="CA301" s="882">
        <f>IF($BN302=0,0,        _xll.qDateNext($BN301,CA$17,$CG$16,TRUE,Currency2))</f>
        <v>0</v>
      </c>
      <c r="CB301" s="882">
        <f>IF($BN302=0,0,        _xll.qDateNext($BN301,CB$17,$CG$16,TRUE,Currency2))</f>
        <v>0</v>
      </c>
      <c r="CC301" s="882">
        <f>IF($BN302=0,0,        _xll.qDateNext($BN301,CC$17,$CG$16,TRUE,Currency2))</f>
        <v>0</v>
      </c>
      <c r="CD301" s="882">
        <f>IF($BN302=0,0,        _xll.qDateNext($BN301,CD$17,$CG$16,TRUE,Currency2))</f>
        <v>0</v>
      </c>
      <c r="CE301" s="882">
        <f>IF($BN302=0,0,        _xll.qDateNext($BN301,CE$17,$CG$16,TRUE,Currency2))</f>
        <v>0</v>
      </c>
      <c r="CF301" s="882">
        <f>IF($BN302=0,0,        _xll.qDateNext($BN301,CF$17,$CG$16,TRUE,Currency2))</f>
        <v>0</v>
      </c>
      <c r="CG301" s="882">
        <f>IF($BN302=0,0,        _xll.qDateNext($BN301,CG$17,$CG$16,TRUE,Currency2))</f>
        <v>0</v>
      </c>
      <c r="CH301" s="886">
        <v>0</v>
      </c>
      <c r="CI301" s="886">
        <v>0</v>
      </c>
      <c r="CJ301" s="886">
        <v>0</v>
      </c>
      <c r="CK301" s="886">
        <v>0</v>
      </c>
      <c r="CL301" s="886">
        <f t="shared" si="157"/>
        <v>0</v>
      </c>
      <c r="CM301" s="886">
        <f t="shared" si="158"/>
        <v>0</v>
      </c>
      <c r="CN301" s="886">
        <v>0</v>
      </c>
      <c r="CO301" s="886">
        <v>0</v>
      </c>
      <c r="CP301" s="648">
        <f t="shared" si="135"/>
        <v>0</v>
      </c>
      <c r="CQ301" s="648">
        <f t="shared" si="136"/>
        <v>0</v>
      </c>
      <c r="CR301" s="648">
        <f t="shared" si="137"/>
        <v>0</v>
      </c>
      <c r="CS301" s="648">
        <f t="shared" si="138"/>
        <v>0</v>
      </c>
      <c r="CT301" s="648">
        <f t="shared" si="139"/>
        <v>0</v>
      </c>
      <c r="CU301" s="648">
        <f t="shared" si="140"/>
        <v>0</v>
      </c>
      <c r="CV301" s="648">
        <f t="shared" si="141"/>
        <v>0</v>
      </c>
      <c r="CW301" s="648">
        <f t="shared" si="142"/>
        <v>0</v>
      </c>
      <c r="CX301" s="634">
        <v>0</v>
      </c>
      <c r="CY301" s="616"/>
      <c r="CZ301" s="619">
        <f>IF(BN302=0,0,             IF(ISNUMBER(CY301),CY301,             IF(ISTEXT(CY301),INDEX(CP301:CW301,MATCH(CY301,$CP$17:$CW$17,0)),           IF(CX301="INT",_xll.qInterp(BN302,BZ301:CG301,CP301:CW301),       INDEX(CP301:CW301,MATCH(CX301,$CP$17:$CW$17,0))))))</f>
        <v>0</v>
      </c>
      <c r="DA301" s="755">
        <f t="shared" si="143"/>
        <v>0</v>
      </c>
      <c r="DB301" s="387">
        <f t="shared" si="144"/>
        <v>0</v>
      </c>
      <c r="DC301" s="268">
        <f>IF($BN302=0,0,         IF(LEFT(DCC_Leg2_Fixed,2)="1/",uEvaluate(DCC_Leg2_Fixed),         _xll.qDateYears($BN301,$BN302,DCC_Leg2_Fixed)))</f>
        <v>0</v>
      </c>
      <c r="DD301" s="268">
        <f>IF($BN302,_xll.qDateYears($BN301,$BN302,DCC_Leg2_Float),0)</f>
        <v>0</v>
      </c>
      <c r="DF301" s="332">
        <f t="shared" si="159"/>
        <v>0</v>
      </c>
      <c r="DG301" s="357">
        <f t="shared" si="160"/>
        <v>0</v>
      </c>
      <c r="DH301" s="527"/>
      <c r="DJ301" s="324">
        <f t="shared" si="162"/>
        <v>0</v>
      </c>
      <c r="DK301" s="529"/>
      <c r="DL301" s="338"/>
    </row>
    <row r="302" spans="15:116">
      <c r="O302" s="121">
        <v>0</v>
      </c>
      <c r="P302" s="755">
        <f t="shared" si="131"/>
        <v>0</v>
      </c>
      <c r="Q302" s="125">
        <v>0</v>
      </c>
      <c r="R302" s="890">
        <f>IF(O303=0,0,         IF(OR(Currency1="AUD",Currency1="NZD",Currency1="GBP"),O302,   _xll.qDateNext(O302,"-2b",,,IF(Currency1="EUR","TGT","LON"))))</f>
        <v>0</v>
      </c>
      <c r="S302" s="879" t="str">
        <v/>
      </c>
      <c r="T302" s="879" t="str">
        <v/>
      </c>
      <c r="U302" s="879" t="str">
        <v/>
      </c>
      <c r="V302" s="879" t="str">
        <v/>
      </c>
      <c r="W302" s="879" t="str">
        <v/>
      </c>
      <c r="X302" s="879" t="str">
        <v/>
      </c>
      <c r="Y302" s="879" t="str">
        <v/>
      </c>
      <c r="Z302" s="879" t="str">
        <v/>
      </c>
      <c r="AA302" s="882">
        <f>IF($O303=0,0,        _xll.qDateNext($O302,AA$17,$AH$16,TRUE,Currency1))</f>
        <v>0</v>
      </c>
      <c r="AB302" s="882">
        <f>IF($O303=0,0,        _xll.qDateNext($O302,AB$17,$AH$16,TRUE,Currency1))</f>
        <v>0</v>
      </c>
      <c r="AC302" s="882">
        <f>IF($O303=0,0,        _xll.qDateNext($O302,AC$17,$AH$16,TRUE,Currency1))</f>
        <v>0</v>
      </c>
      <c r="AD302" s="882">
        <f>IF($O303=0,0,        _xll.qDateNext($O302,AD$17,$AH$16,TRUE,Currency1))</f>
        <v>0</v>
      </c>
      <c r="AE302" s="882">
        <f>IF($O303=0,0,        _xll.qDateNext($O302,AE$17,$AH$16,TRUE,Currency1))</f>
        <v>0</v>
      </c>
      <c r="AF302" s="882">
        <f>IF($O303=0,0,        _xll.qDateNext($O302,AF$17,$AH$16,TRUE,Currency1))</f>
        <v>0</v>
      </c>
      <c r="AG302" s="882">
        <f>IF($O303=0,0,        _xll.qDateNext($O302,AG$17,$AH$16,TRUE,Currency1))</f>
        <v>0</v>
      </c>
      <c r="AH302" s="882">
        <f>IF($O303=0,0,        _xll.qDateNext($O302,AH$17,$AH$16,TRUE,Currency1))</f>
        <v>0</v>
      </c>
      <c r="AI302" s="886">
        <f>IF($O303=0,0,           IF(FRM,_xll.qGetFwdRate(AI$14,$O302,AA302,"T",DCC_Leg1_Float),_xll.qGetFwdRate(AI$14,$O302,$O303,"T",DCC_Leg1_Float)))</f>
        <v>0</v>
      </c>
      <c r="AJ302" s="886">
        <f>IF($O303=0,0,           IF(FRM,_xll.qGetFwdRate(AJ$14,$O302,AB302,"T",DCC_Leg1_Float),_xll.qGetFwdRate(AJ$14,$O302,$O303,"T",DCC_Leg1_Float)))</f>
        <v>0</v>
      </c>
      <c r="AK302" s="886">
        <f t="shared" si="132"/>
        <v>0</v>
      </c>
      <c r="AL302" s="886">
        <f>IF($O303=0,0,           IF(FRM,_xll.qGetFwdRate(AL$14,$O302,AD302,"T",DCC_Leg1_Float),_xll.qGetFwdRate(AL$14,$O302,$O303,"T",DCC_Leg1_Float)))</f>
        <v>0</v>
      </c>
      <c r="AM302" s="886">
        <f t="shared" si="145"/>
        <v>0</v>
      </c>
      <c r="AN302" s="886">
        <f t="shared" si="146"/>
        <v>0</v>
      </c>
      <c r="AO302" s="886">
        <f>IF($O303=0,0,           IF(FRM,_xll.qGetFwdRate(AO$14,$O302,AG302,"T",DCC_Leg1_Float),_xll.qGetFwdRate(AO$14,$O302,$O303,"T",DCC_Leg1_Float)))</f>
        <v>0</v>
      </c>
      <c r="AP302" s="886">
        <f>IF($O303=0,0,           IF(FRM,_xll.qGetFwdRate(AP$14,$O302,AH302,"T",DCC_Leg1_Float),_xll.qGetFwdRate(AP$14,$O302,$O303,"T",DCC_Leg1_Float)))</f>
        <v>0</v>
      </c>
      <c r="AQ302" s="648">
        <f t="shared" si="147"/>
        <v>0</v>
      </c>
      <c r="AR302" s="648">
        <f t="shared" si="148"/>
        <v>0</v>
      </c>
      <c r="AS302" s="648">
        <f t="shared" si="149"/>
        <v>0</v>
      </c>
      <c r="AT302" s="648">
        <f t="shared" si="150"/>
        <v>0</v>
      </c>
      <c r="AU302" s="648">
        <f t="shared" si="151"/>
        <v>0</v>
      </c>
      <c r="AV302" s="648">
        <f t="shared" si="152"/>
        <v>0</v>
      </c>
      <c r="AW302" s="648">
        <f t="shared" si="153"/>
        <v>0</v>
      </c>
      <c r="AX302" s="648">
        <f t="shared" si="154"/>
        <v>0</v>
      </c>
      <c r="AY302" s="634">
        <v>0</v>
      </c>
      <c r="AZ302" s="616"/>
      <c r="BA302" s="619">
        <f>IF(O303=0,0,             IF(ISNUMBER(AZ302),AZ302,             IF(ISTEXT(AZ302),INDEX(AQ302:AX302,MATCH(AZ302,$AQ$17:$AX$17,0)),           IF(AY302="INT",_xll.qInterp(O303,AA302:AH302,AQ302:AX302),       INDEX(AQ302:AX302,MATCH(AY302,$AQ$17:$AX$17,0))))))</f>
        <v>0</v>
      </c>
      <c r="BB302" s="674">
        <v>100</v>
      </c>
      <c r="BC302" s="666">
        <f t="shared" si="133"/>
        <v>0</v>
      </c>
      <c r="BD302" s="268">
        <f>IF($O303=0,0,                IF(LEFT(DCC_Leg1_Fixed,2)="1/",uEvaluate(DCC_Leg1_Fixed),        _xll.qDateYears($O302,$O303,DCC_Leg1_Fixed)))</f>
        <v>0</v>
      </c>
      <c r="BE302" s="268">
        <f>IF($O303,_xll.qDateYears($O302,$O303,DCC_Leg1_Float),0)</f>
        <v>0</v>
      </c>
      <c r="BG302" s="332">
        <f t="shared" si="155"/>
        <v>0</v>
      </c>
      <c r="BH302" s="357">
        <f t="shared" si="156"/>
        <v>0</v>
      </c>
      <c r="BI302" s="527"/>
      <c r="BK302" s="324">
        <f t="shared" si="161"/>
        <v>0</v>
      </c>
      <c r="BM302" s="338"/>
      <c r="BN302" s="121">
        <v>0</v>
      </c>
      <c r="BO302" s="755">
        <f t="shared" si="134"/>
        <v>0</v>
      </c>
      <c r="BP302" s="339">
        <v>0</v>
      </c>
      <c r="BQ302" s="890">
        <f>IF(BN303=0,0,         IF(OR(Currency2="AUD",Currency1="NZD",Currency2="GBP"),BN302,   _xll.qDateNext(BN302,"-2b",,,IF(Currency2="EUR","TGT","LON"))))</f>
        <v>0</v>
      </c>
      <c r="BR302" s="879" t="str">
        <v/>
      </c>
      <c r="BS302" s="879" t="str">
        <v/>
      </c>
      <c r="BT302" s="879" t="str">
        <v/>
      </c>
      <c r="BU302" s="879" t="str">
        <v/>
      </c>
      <c r="BV302" s="879" t="str">
        <v/>
      </c>
      <c r="BW302" s="879" t="str">
        <v/>
      </c>
      <c r="BX302" s="879" t="str">
        <v/>
      </c>
      <c r="BY302" s="879" t="str">
        <v/>
      </c>
      <c r="BZ302" s="882">
        <f>IF($BN303=0,0,        _xll.qDateNext($BN302,BZ$17,$CG$16,TRUE,Currency2))</f>
        <v>0</v>
      </c>
      <c r="CA302" s="882">
        <f>IF($BN303=0,0,        _xll.qDateNext($BN302,CA$17,$CG$16,TRUE,Currency2))</f>
        <v>0</v>
      </c>
      <c r="CB302" s="882">
        <f>IF($BN303=0,0,        _xll.qDateNext($BN302,CB$17,$CG$16,TRUE,Currency2))</f>
        <v>0</v>
      </c>
      <c r="CC302" s="882">
        <f>IF($BN303=0,0,        _xll.qDateNext($BN302,CC$17,$CG$16,TRUE,Currency2))</f>
        <v>0</v>
      </c>
      <c r="CD302" s="882">
        <f>IF($BN303=0,0,        _xll.qDateNext($BN302,CD$17,$CG$16,TRUE,Currency2))</f>
        <v>0</v>
      </c>
      <c r="CE302" s="882">
        <f>IF($BN303=0,0,        _xll.qDateNext($BN302,CE$17,$CG$16,TRUE,Currency2))</f>
        <v>0</v>
      </c>
      <c r="CF302" s="882">
        <f>IF($BN303=0,0,        _xll.qDateNext($BN302,CF$17,$CG$16,TRUE,Currency2))</f>
        <v>0</v>
      </c>
      <c r="CG302" s="882">
        <f>IF($BN303=0,0,        _xll.qDateNext($BN302,CG$17,$CG$16,TRUE,Currency2))</f>
        <v>0</v>
      </c>
      <c r="CH302" s="886">
        <v>0</v>
      </c>
      <c r="CI302" s="886">
        <v>0</v>
      </c>
      <c r="CJ302" s="886">
        <v>0</v>
      </c>
      <c r="CK302" s="886">
        <v>0</v>
      </c>
      <c r="CL302" s="886">
        <f t="shared" si="157"/>
        <v>0</v>
      </c>
      <c r="CM302" s="886">
        <f t="shared" si="158"/>
        <v>0</v>
      </c>
      <c r="CN302" s="886">
        <v>0</v>
      </c>
      <c r="CO302" s="886">
        <v>0</v>
      </c>
      <c r="CP302" s="648">
        <f t="shared" si="135"/>
        <v>0</v>
      </c>
      <c r="CQ302" s="648">
        <f t="shared" si="136"/>
        <v>0</v>
      </c>
      <c r="CR302" s="648">
        <f t="shared" si="137"/>
        <v>0</v>
      </c>
      <c r="CS302" s="648">
        <f t="shared" si="138"/>
        <v>0</v>
      </c>
      <c r="CT302" s="648">
        <f t="shared" si="139"/>
        <v>0</v>
      </c>
      <c r="CU302" s="648">
        <f t="shared" si="140"/>
        <v>0</v>
      </c>
      <c r="CV302" s="648">
        <f t="shared" si="141"/>
        <v>0</v>
      </c>
      <c r="CW302" s="648">
        <f t="shared" si="142"/>
        <v>0</v>
      </c>
      <c r="CX302" s="634">
        <v>0</v>
      </c>
      <c r="CY302" s="616"/>
      <c r="CZ302" s="619">
        <f>IF(BN303=0,0,             IF(ISNUMBER(CY302),CY302,             IF(ISTEXT(CY302),INDEX(CP302:CW302,MATCH(CY302,$CP$17:$CW$17,0)),           IF(CX302="INT",_xll.qInterp(BN303,BZ302:CG302,CP302:CW302),       INDEX(CP302:CW302,MATCH(CX302,$CP$17:$CW$17,0))))))</f>
        <v>0</v>
      </c>
      <c r="DA302" s="755">
        <f t="shared" si="143"/>
        <v>0</v>
      </c>
      <c r="DB302" s="387">
        <f t="shared" si="144"/>
        <v>0</v>
      </c>
      <c r="DC302" s="268">
        <f>IF($BN303=0,0,         IF(LEFT(DCC_Leg2_Fixed,2)="1/",uEvaluate(DCC_Leg2_Fixed),         _xll.qDateYears($BN302,$BN303,DCC_Leg2_Fixed)))</f>
        <v>0</v>
      </c>
      <c r="DD302" s="268">
        <f>IF($BN303,_xll.qDateYears($BN302,$BN303,DCC_Leg2_Float),0)</f>
        <v>0</v>
      </c>
      <c r="DF302" s="332">
        <f t="shared" si="159"/>
        <v>0</v>
      </c>
      <c r="DG302" s="357">
        <f t="shared" si="160"/>
        <v>0</v>
      </c>
      <c r="DH302" s="527"/>
      <c r="DJ302" s="324">
        <f t="shared" si="162"/>
        <v>0</v>
      </c>
      <c r="DK302" s="529"/>
      <c r="DL302" s="338"/>
    </row>
    <row r="303" spans="15:116">
      <c r="O303" s="121">
        <v>0</v>
      </c>
      <c r="P303" s="755">
        <f t="shared" si="131"/>
        <v>0</v>
      </c>
      <c r="Q303" s="125">
        <v>0</v>
      </c>
      <c r="R303" s="890">
        <f>IF(O304=0,0,         IF(OR(Currency1="AUD",Currency1="NZD",Currency1="GBP"),O303,   _xll.qDateNext(O303,"-2b",,,IF(Currency1="EUR","TGT","LON"))))</f>
        <v>0</v>
      </c>
      <c r="S303" s="879" t="str">
        <v/>
      </c>
      <c r="T303" s="879" t="str">
        <v/>
      </c>
      <c r="U303" s="879" t="str">
        <v/>
      </c>
      <c r="V303" s="879" t="str">
        <v/>
      </c>
      <c r="W303" s="879" t="str">
        <v/>
      </c>
      <c r="X303" s="879" t="str">
        <v/>
      </c>
      <c r="Y303" s="879" t="str">
        <v/>
      </c>
      <c r="Z303" s="879" t="str">
        <v/>
      </c>
      <c r="AA303" s="882">
        <f>IF($O304=0,0,        _xll.qDateNext($O303,AA$17,$AH$16,TRUE,Currency1))</f>
        <v>0</v>
      </c>
      <c r="AB303" s="882">
        <f>IF($O304=0,0,        _xll.qDateNext($O303,AB$17,$AH$16,TRUE,Currency1))</f>
        <v>0</v>
      </c>
      <c r="AC303" s="882">
        <f>IF($O304=0,0,        _xll.qDateNext($O303,AC$17,$AH$16,TRUE,Currency1))</f>
        <v>0</v>
      </c>
      <c r="AD303" s="882">
        <f>IF($O304=0,0,        _xll.qDateNext($O303,AD$17,$AH$16,TRUE,Currency1))</f>
        <v>0</v>
      </c>
      <c r="AE303" s="882">
        <f>IF($O304=0,0,        _xll.qDateNext($O303,AE$17,$AH$16,TRUE,Currency1))</f>
        <v>0</v>
      </c>
      <c r="AF303" s="882">
        <f>IF($O304=0,0,        _xll.qDateNext($O303,AF$17,$AH$16,TRUE,Currency1))</f>
        <v>0</v>
      </c>
      <c r="AG303" s="882">
        <f>IF($O304=0,0,        _xll.qDateNext($O303,AG$17,$AH$16,TRUE,Currency1))</f>
        <v>0</v>
      </c>
      <c r="AH303" s="882">
        <f>IF($O304=0,0,        _xll.qDateNext($O303,AH$17,$AH$16,TRUE,Currency1))</f>
        <v>0</v>
      </c>
      <c r="AI303" s="886">
        <f>IF($O304=0,0,           IF(FRM,_xll.qGetFwdRate(AI$14,$O303,AA303,"T",DCC_Leg1_Float),_xll.qGetFwdRate(AI$14,$O303,$O304,"T",DCC_Leg1_Float)))</f>
        <v>0</v>
      </c>
      <c r="AJ303" s="886">
        <f>IF($O304=0,0,           IF(FRM,_xll.qGetFwdRate(AJ$14,$O303,AB303,"T",DCC_Leg1_Float),_xll.qGetFwdRate(AJ$14,$O303,$O304,"T",DCC_Leg1_Float)))</f>
        <v>0</v>
      </c>
      <c r="AK303" s="886">
        <f t="shared" si="132"/>
        <v>0</v>
      </c>
      <c r="AL303" s="886">
        <f>IF($O304=0,0,           IF(FRM,_xll.qGetFwdRate(AL$14,$O303,AD303,"T",DCC_Leg1_Float),_xll.qGetFwdRate(AL$14,$O303,$O304,"T",DCC_Leg1_Float)))</f>
        <v>0</v>
      </c>
      <c r="AM303" s="886">
        <f t="shared" si="145"/>
        <v>0</v>
      </c>
      <c r="AN303" s="886">
        <f t="shared" si="146"/>
        <v>0</v>
      </c>
      <c r="AO303" s="886">
        <f>IF($O304=0,0,           IF(FRM,_xll.qGetFwdRate(AO$14,$O303,AG303,"T",DCC_Leg1_Float),_xll.qGetFwdRate(AO$14,$O303,$O304,"T",DCC_Leg1_Float)))</f>
        <v>0</v>
      </c>
      <c r="AP303" s="886">
        <f>IF($O304=0,0,           IF(FRM,_xll.qGetFwdRate(AP$14,$O303,AH303,"T",DCC_Leg1_Float),_xll.qGetFwdRate(AP$14,$O303,$O304,"T",DCC_Leg1_Float)))</f>
        <v>0</v>
      </c>
      <c r="AQ303" s="648">
        <f t="shared" si="147"/>
        <v>0</v>
      </c>
      <c r="AR303" s="648">
        <f t="shared" si="148"/>
        <v>0</v>
      </c>
      <c r="AS303" s="648">
        <f t="shared" si="149"/>
        <v>0</v>
      </c>
      <c r="AT303" s="648">
        <f t="shared" si="150"/>
        <v>0</v>
      </c>
      <c r="AU303" s="648">
        <f t="shared" si="151"/>
        <v>0</v>
      </c>
      <c r="AV303" s="648">
        <f t="shared" si="152"/>
        <v>0</v>
      </c>
      <c r="AW303" s="648">
        <f t="shared" si="153"/>
        <v>0</v>
      </c>
      <c r="AX303" s="648">
        <f t="shared" si="154"/>
        <v>0</v>
      </c>
      <c r="AY303" s="634">
        <v>0</v>
      </c>
      <c r="AZ303" s="616"/>
      <c r="BA303" s="619">
        <f>IF(O304=0,0,             IF(ISNUMBER(AZ303),AZ303,             IF(ISTEXT(AZ303),INDEX(AQ303:AX303,MATCH(AZ303,$AQ$17:$AX$17,0)),           IF(AY303="INT",_xll.qInterp(O304,AA303:AH303,AQ303:AX303),       INDEX(AQ303:AX303,MATCH(AY303,$AQ$17:$AX$17,0))))))</f>
        <v>0</v>
      </c>
      <c r="BB303" s="674">
        <v>100</v>
      </c>
      <c r="BC303" s="666">
        <f t="shared" si="133"/>
        <v>0</v>
      </c>
      <c r="BD303" s="268">
        <f>IF($O304=0,0,                IF(LEFT(DCC_Leg1_Fixed,2)="1/",uEvaluate(DCC_Leg1_Fixed),        _xll.qDateYears($O303,$O304,DCC_Leg1_Fixed)))</f>
        <v>0</v>
      </c>
      <c r="BE303" s="268">
        <f>IF($O304,_xll.qDateYears($O303,$O304,DCC_Leg1_Float),0)</f>
        <v>0</v>
      </c>
      <c r="BG303" s="332">
        <f t="shared" si="155"/>
        <v>0</v>
      </c>
      <c r="BH303" s="357">
        <f t="shared" si="156"/>
        <v>0</v>
      </c>
      <c r="BI303" s="527"/>
      <c r="BK303" s="324">
        <f t="shared" si="161"/>
        <v>0</v>
      </c>
      <c r="BM303" s="338"/>
      <c r="BN303" s="121">
        <v>0</v>
      </c>
      <c r="BO303" s="755">
        <f t="shared" si="134"/>
        <v>0</v>
      </c>
      <c r="BP303" s="339">
        <v>0</v>
      </c>
      <c r="BQ303" s="890">
        <f>IF(BN304=0,0,         IF(OR(Currency2="AUD",Currency1="NZD",Currency2="GBP"),BN303,   _xll.qDateNext(BN303,"-2b",,,IF(Currency2="EUR","TGT","LON"))))</f>
        <v>0</v>
      </c>
      <c r="BR303" s="879" t="str">
        <v/>
      </c>
      <c r="BS303" s="879" t="str">
        <v/>
      </c>
      <c r="BT303" s="879" t="str">
        <v/>
      </c>
      <c r="BU303" s="879" t="str">
        <v/>
      </c>
      <c r="BV303" s="879" t="str">
        <v/>
      </c>
      <c r="BW303" s="879" t="str">
        <v/>
      </c>
      <c r="BX303" s="879" t="str">
        <v/>
      </c>
      <c r="BY303" s="879" t="str">
        <v/>
      </c>
      <c r="BZ303" s="882">
        <f>IF($BN304=0,0,        _xll.qDateNext($BN303,BZ$17,$CG$16,TRUE,Currency2))</f>
        <v>0</v>
      </c>
      <c r="CA303" s="882">
        <f>IF($BN304=0,0,        _xll.qDateNext($BN303,CA$17,$CG$16,TRUE,Currency2))</f>
        <v>0</v>
      </c>
      <c r="CB303" s="882">
        <f>IF($BN304=0,0,        _xll.qDateNext($BN303,CB$17,$CG$16,TRUE,Currency2))</f>
        <v>0</v>
      </c>
      <c r="CC303" s="882">
        <f>IF($BN304=0,0,        _xll.qDateNext($BN303,CC$17,$CG$16,TRUE,Currency2))</f>
        <v>0</v>
      </c>
      <c r="CD303" s="882">
        <f>IF($BN304=0,0,        _xll.qDateNext($BN303,CD$17,$CG$16,TRUE,Currency2))</f>
        <v>0</v>
      </c>
      <c r="CE303" s="882">
        <f>IF($BN304=0,0,        _xll.qDateNext($BN303,CE$17,$CG$16,TRUE,Currency2))</f>
        <v>0</v>
      </c>
      <c r="CF303" s="882">
        <f>IF($BN304=0,0,        _xll.qDateNext($BN303,CF$17,$CG$16,TRUE,Currency2))</f>
        <v>0</v>
      </c>
      <c r="CG303" s="882">
        <f>IF($BN304=0,0,        _xll.qDateNext($BN303,CG$17,$CG$16,TRUE,Currency2))</f>
        <v>0</v>
      </c>
      <c r="CH303" s="886">
        <v>0</v>
      </c>
      <c r="CI303" s="886">
        <v>0</v>
      </c>
      <c r="CJ303" s="886">
        <v>0</v>
      </c>
      <c r="CK303" s="886">
        <v>0</v>
      </c>
      <c r="CL303" s="886">
        <f t="shared" si="157"/>
        <v>0</v>
      </c>
      <c r="CM303" s="886">
        <f t="shared" si="158"/>
        <v>0</v>
      </c>
      <c r="CN303" s="886">
        <v>0</v>
      </c>
      <c r="CO303" s="886">
        <v>0</v>
      </c>
      <c r="CP303" s="648">
        <f t="shared" si="135"/>
        <v>0</v>
      </c>
      <c r="CQ303" s="648">
        <f t="shared" si="136"/>
        <v>0</v>
      </c>
      <c r="CR303" s="648">
        <f t="shared" si="137"/>
        <v>0</v>
      </c>
      <c r="CS303" s="648">
        <f t="shared" si="138"/>
        <v>0</v>
      </c>
      <c r="CT303" s="648">
        <f t="shared" si="139"/>
        <v>0</v>
      </c>
      <c r="CU303" s="648">
        <f t="shared" si="140"/>
        <v>0</v>
      </c>
      <c r="CV303" s="648">
        <f t="shared" si="141"/>
        <v>0</v>
      </c>
      <c r="CW303" s="648">
        <f t="shared" si="142"/>
        <v>0</v>
      </c>
      <c r="CX303" s="634">
        <v>0</v>
      </c>
      <c r="CY303" s="616"/>
      <c r="CZ303" s="619">
        <f>IF(BN304=0,0,             IF(ISNUMBER(CY303),CY303,             IF(ISTEXT(CY303),INDEX(CP303:CW303,MATCH(CY303,$CP$17:$CW$17,0)),           IF(CX303="INT",_xll.qInterp(BN304,BZ303:CG303,CP303:CW303),       INDEX(CP303:CW303,MATCH(CX303,$CP$17:$CW$17,0))))))</f>
        <v>0</v>
      </c>
      <c r="DA303" s="755">
        <f t="shared" si="143"/>
        <v>0</v>
      </c>
      <c r="DB303" s="387">
        <f t="shared" si="144"/>
        <v>0</v>
      </c>
      <c r="DC303" s="268">
        <f>IF($BN304=0,0,         IF(LEFT(DCC_Leg2_Fixed,2)="1/",uEvaluate(DCC_Leg2_Fixed),         _xll.qDateYears($BN303,$BN304,DCC_Leg2_Fixed)))</f>
        <v>0</v>
      </c>
      <c r="DD303" s="268">
        <f>IF($BN304,_xll.qDateYears($BN303,$BN304,DCC_Leg2_Float),0)</f>
        <v>0</v>
      </c>
      <c r="DF303" s="332">
        <f t="shared" si="159"/>
        <v>0</v>
      </c>
      <c r="DG303" s="357">
        <f t="shared" si="160"/>
        <v>0</v>
      </c>
      <c r="DH303" s="527"/>
      <c r="DJ303" s="324">
        <f t="shared" si="162"/>
        <v>0</v>
      </c>
      <c r="DK303" s="529"/>
      <c r="DL303" s="338"/>
    </row>
    <row r="304" spans="15:116">
      <c r="O304" s="121">
        <v>0</v>
      </c>
      <c r="P304" s="755">
        <f t="shared" si="131"/>
        <v>0</v>
      </c>
      <c r="Q304" s="125">
        <v>0</v>
      </c>
      <c r="R304" s="890">
        <f>IF(O305=0,0,         IF(OR(Currency1="AUD",Currency1="NZD",Currency1="GBP"),O304,   _xll.qDateNext(O304,"-2b",,,IF(Currency1="EUR","TGT","LON"))))</f>
        <v>0</v>
      </c>
      <c r="S304" s="879" t="str">
        <v/>
      </c>
      <c r="T304" s="879" t="str">
        <v/>
      </c>
      <c r="U304" s="879" t="str">
        <v/>
      </c>
      <c r="V304" s="879" t="str">
        <v/>
      </c>
      <c r="W304" s="879" t="str">
        <v/>
      </c>
      <c r="X304" s="879" t="str">
        <v/>
      </c>
      <c r="Y304" s="879" t="str">
        <v/>
      </c>
      <c r="Z304" s="879" t="str">
        <v/>
      </c>
      <c r="AA304" s="882">
        <f>IF($O305=0,0,        _xll.qDateNext($O304,AA$17,$AH$16,TRUE,Currency1))</f>
        <v>0</v>
      </c>
      <c r="AB304" s="882">
        <f>IF($O305=0,0,        _xll.qDateNext($O304,AB$17,$AH$16,TRUE,Currency1))</f>
        <v>0</v>
      </c>
      <c r="AC304" s="882">
        <f>IF($O305=0,0,        _xll.qDateNext($O304,AC$17,$AH$16,TRUE,Currency1))</f>
        <v>0</v>
      </c>
      <c r="AD304" s="882">
        <f>IF($O305=0,0,        _xll.qDateNext($O304,AD$17,$AH$16,TRUE,Currency1))</f>
        <v>0</v>
      </c>
      <c r="AE304" s="882">
        <f>IF($O305=0,0,        _xll.qDateNext($O304,AE$17,$AH$16,TRUE,Currency1))</f>
        <v>0</v>
      </c>
      <c r="AF304" s="882">
        <f>IF($O305=0,0,        _xll.qDateNext($O304,AF$17,$AH$16,TRUE,Currency1))</f>
        <v>0</v>
      </c>
      <c r="AG304" s="882">
        <f>IF($O305=0,0,        _xll.qDateNext($O304,AG$17,$AH$16,TRUE,Currency1))</f>
        <v>0</v>
      </c>
      <c r="AH304" s="882">
        <f>IF($O305=0,0,        _xll.qDateNext($O304,AH$17,$AH$16,TRUE,Currency1))</f>
        <v>0</v>
      </c>
      <c r="AI304" s="886">
        <f>IF($O305=0,0,           IF(FRM,_xll.qGetFwdRate(AI$14,$O304,AA304,"T",DCC_Leg1_Float),_xll.qGetFwdRate(AI$14,$O304,$O305,"T",DCC_Leg1_Float)))</f>
        <v>0</v>
      </c>
      <c r="AJ304" s="886">
        <f>IF($O305=0,0,           IF(FRM,_xll.qGetFwdRate(AJ$14,$O304,AB304,"T",DCC_Leg1_Float),_xll.qGetFwdRate(AJ$14,$O304,$O305,"T",DCC_Leg1_Float)))</f>
        <v>0</v>
      </c>
      <c r="AK304" s="886">
        <f t="shared" si="132"/>
        <v>0</v>
      </c>
      <c r="AL304" s="886">
        <f>IF($O305=0,0,           IF(FRM,_xll.qGetFwdRate(AL$14,$O304,AD304,"T",DCC_Leg1_Float),_xll.qGetFwdRate(AL$14,$O304,$O305,"T",DCC_Leg1_Float)))</f>
        <v>0</v>
      </c>
      <c r="AM304" s="886">
        <f t="shared" si="145"/>
        <v>0</v>
      </c>
      <c r="AN304" s="886">
        <f t="shared" si="146"/>
        <v>0</v>
      </c>
      <c r="AO304" s="886">
        <f>IF($O305=0,0,           IF(FRM,_xll.qGetFwdRate(AO$14,$O304,AG304,"T",DCC_Leg1_Float),_xll.qGetFwdRate(AO$14,$O304,$O305,"T",DCC_Leg1_Float)))</f>
        <v>0</v>
      </c>
      <c r="AP304" s="886">
        <f>IF($O305=0,0,           IF(FRM,_xll.qGetFwdRate(AP$14,$O304,AH304,"T",DCC_Leg1_Float),_xll.qGetFwdRate(AP$14,$O304,$O305,"T",DCC_Leg1_Float)))</f>
        <v>0</v>
      </c>
      <c r="AQ304" s="648">
        <f t="shared" si="147"/>
        <v>0</v>
      </c>
      <c r="AR304" s="648">
        <f t="shared" si="148"/>
        <v>0</v>
      </c>
      <c r="AS304" s="648">
        <f t="shared" si="149"/>
        <v>0</v>
      </c>
      <c r="AT304" s="648">
        <f t="shared" si="150"/>
        <v>0</v>
      </c>
      <c r="AU304" s="648">
        <f t="shared" si="151"/>
        <v>0</v>
      </c>
      <c r="AV304" s="648">
        <f t="shared" si="152"/>
        <v>0</v>
      </c>
      <c r="AW304" s="648">
        <f t="shared" si="153"/>
        <v>0</v>
      </c>
      <c r="AX304" s="648">
        <f t="shared" si="154"/>
        <v>0</v>
      </c>
      <c r="AY304" s="634">
        <v>0</v>
      </c>
      <c r="AZ304" s="616"/>
      <c r="BA304" s="619">
        <f>IF(O305=0,0,             IF(ISNUMBER(AZ304),AZ304,             IF(ISTEXT(AZ304),INDEX(AQ304:AX304,MATCH(AZ304,$AQ$17:$AX$17,0)),           IF(AY304="INT",_xll.qInterp(O305,AA304:AH304,AQ304:AX304),       INDEX(AQ304:AX304,MATCH(AY304,$AQ$17:$AX$17,0))))))</f>
        <v>0</v>
      </c>
      <c r="BB304" s="674">
        <v>100</v>
      </c>
      <c r="BC304" s="666">
        <f t="shared" si="133"/>
        <v>0</v>
      </c>
      <c r="BD304" s="268">
        <f>IF($O305=0,0,                IF(LEFT(DCC_Leg1_Fixed,2)="1/",uEvaluate(DCC_Leg1_Fixed),        _xll.qDateYears($O304,$O305,DCC_Leg1_Fixed)))</f>
        <v>0</v>
      </c>
      <c r="BE304" s="268">
        <f>IF($O305,_xll.qDateYears($O304,$O305,DCC_Leg1_Float),0)</f>
        <v>0</v>
      </c>
      <c r="BG304" s="332">
        <f t="shared" si="155"/>
        <v>0</v>
      </c>
      <c r="BH304" s="357">
        <f t="shared" si="156"/>
        <v>0</v>
      </c>
      <c r="BI304" s="527"/>
      <c r="BK304" s="324">
        <f t="shared" si="161"/>
        <v>0</v>
      </c>
      <c r="BM304" s="338"/>
      <c r="BN304" s="121">
        <v>0</v>
      </c>
      <c r="BO304" s="755">
        <f t="shared" si="134"/>
        <v>0</v>
      </c>
      <c r="BP304" s="339">
        <v>0</v>
      </c>
      <c r="BQ304" s="890">
        <f>IF(BN305=0,0,         IF(OR(Currency2="AUD",Currency1="NZD",Currency2="GBP"),BN304,   _xll.qDateNext(BN304,"-2b",,,IF(Currency2="EUR","TGT","LON"))))</f>
        <v>0</v>
      </c>
      <c r="BR304" s="879" t="str">
        <v/>
      </c>
      <c r="BS304" s="879" t="str">
        <v/>
      </c>
      <c r="BT304" s="879" t="str">
        <v/>
      </c>
      <c r="BU304" s="879" t="str">
        <v/>
      </c>
      <c r="BV304" s="879" t="str">
        <v/>
      </c>
      <c r="BW304" s="879" t="str">
        <v/>
      </c>
      <c r="BX304" s="879" t="str">
        <v/>
      </c>
      <c r="BY304" s="879" t="str">
        <v/>
      </c>
      <c r="BZ304" s="882">
        <f>IF($BN305=0,0,        _xll.qDateNext($BN304,BZ$17,$CG$16,TRUE,Currency2))</f>
        <v>0</v>
      </c>
      <c r="CA304" s="882">
        <f>IF($BN305=0,0,        _xll.qDateNext($BN304,CA$17,$CG$16,TRUE,Currency2))</f>
        <v>0</v>
      </c>
      <c r="CB304" s="882">
        <f>IF($BN305=0,0,        _xll.qDateNext($BN304,CB$17,$CG$16,TRUE,Currency2))</f>
        <v>0</v>
      </c>
      <c r="CC304" s="882">
        <f>IF($BN305=0,0,        _xll.qDateNext($BN304,CC$17,$CG$16,TRUE,Currency2))</f>
        <v>0</v>
      </c>
      <c r="CD304" s="882">
        <f>IF($BN305=0,0,        _xll.qDateNext($BN304,CD$17,$CG$16,TRUE,Currency2))</f>
        <v>0</v>
      </c>
      <c r="CE304" s="882">
        <f>IF($BN305=0,0,        _xll.qDateNext($BN304,CE$17,$CG$16,TRUE,Currency2))</f>
        <v>0</v>
      </c>
      <c r="CF304" s="882">
        <f>IF($BN305=0,0,        _xll.qDateNext($BN304,CF$17,$CG$16,TRUE,Currency2))</f>
        <v>0</v>
      </c>
      <c r="CG304" s="882">
        <f>IF($BN305=0,0,        _xll.qDateNext($BN304,CG$17,$CG$16,TRUE,Currency2))</f>
        <v>0</v>
      </c>
      <c r="CH304" s="886">
        <v>0</v>
      </c>
      <c r="CI304" s="886">
        <v>0</v>
      </c>
      <c r="CJ304" s="886">
        <v>0</v>
      </c>
      <c r="CK304" s="886">
        <v>0</v>
      </c>
      <c r="CL304" s="886">
        <f t="shared" si="157"/>
        <v>0</v>
      </c>
      <c r="CM304" s="886">
        <f t="shared" si="158"/>
        <v>0</v>
      </c>
      <c r="CN304" s="886">
        <v>0</v>
      </c>
      <c r="CO304" s="886">
        <v>0</v>
      </c>
      <c r="CP304" s="648">
        <f t="shared" si="135"/>
        <v>0</v>
      </c>
      <c r="CQ304" s="648">
        <f t="shared" si="136"/>
        <v>0</v>
      </c>
      <c r="CR304" s="648">
        <f t="shared" si="137"/>
        <v>0</v>
      </c>
      <c r="CS304" s="648">
        <f t="shared" si="138"/>
        <v>0</v>
      </c>
      <c r="CT304" s="648">
        <f t="shared" si="139"/>
        <v>0</v>
      </c>
      <c r="CU304" s="648">
        <f t="shared" si="140"/>
        <v>0</v>
      </c>
      <c r="CV304" s="648">
        <f t="shared" si="141"/>
        <v>0</v>
      </c>
      <c r="CW304" s="648">
        <f t="shared" si="142"/>
        <v>0</v>
      </c>
      <c r="CX304" s="634">
        <v>0</v>
      </c>
      <c r="CY304" s="616"/>
      <c r="CZ304" s="619">
        <f>IF(BN305=0,0,             IF(ISNUMBER(CY304),CY304,             IF(ISTEXT(CY304),INDEX(CP304:CW304,MATCH(CY304,$CP$17:$CW$17,0)),           IF(CX304="INT",_xll.qInterp(BN305,BZ304:CG304,CP304:CW304),       INDEX(CP304:CW304,MATCH(CX304,$CP$17:$CW$17,0))))))</f>
        <v>0</v>
      </c>
      <c r="DA304" s="755">
        <f t="shared" si="143"/>
        <v>0</v>
      </c>
      <c r="DB304" s="387">
        <f t="shared" si="144"/>
        <v>0</v>
      </c>
      <c r="DC304" s="268">
        <f>IF($BN305=0,0,         IF(LEFT(DCC_Leg2_Fixed,2)="1/",uEvaluate(DCC_Leg2_Fixed),         _xll.qDateYears($BN304,$BN305,DCC_Leg2_Fixed)))</f>
        <v>0</v>
      </c>
      <c r="DD304" s="268">
        <f>IF($BN305,_xll.qDateYears($BN304,$BN305,DCC_Leg2_Float),0)</f>
        <v>0</v>
      </c>
      <c r="DF304" s="332">
        <f t="shared" si="159"/>
        <v>0</v>
      </c>
      <c r="DG304" s="357">
        <f t="shared" si="160"/>
        <v>0</v>
      </c>
      <c r="DH304" s="527"/>
      <c r="DJ304" s="324">
        <f t="shared" si="162"/>
        <v>0</v>
      </c>
      <c r="DK304" s="529"/>
      <c r="DL304" s="338"/>
    </row>
    <row r="305" spans="15:116">
      <c r="O305" s="121">
        <v>0</v>
      </c>
      <c r="P305" s="755">
        <f t="shared" si="131"/>
        <v>0</v>
      </c>
      <c r="Q305" s="125">
        <v>0</v>
      </c>
      <c r="R305" s="890">
        <f>IF(O306=0,0,         IF(OR(Currency1="AUD",Currency1="NZD",Currency1="GBP"),O305,   _xll.qDateNext(O305,"-2b",,,IF(Currency1="EUR","TGT","LON"))))</f>
        <v>0</v>
      </c>
      <c r="S305" s="879" t="str">
        <v/>
      </c>
      <c r="T305" s="879" t="str">
        <v/>
      </c>
      <c r="U305" s="879" t="str">
        <v/>
      </c>
      <c r="V305" s="879" t="str">
        <v/>
      </c>
      <c r="W305" s="879" t="str">
        <v/>
      </c>
      <c r="X305" s="879" t="str">
        <v/>
      </c>
      <c r="Y305" s="879" t="str">
        <v/>
      </c>
      <c r="Z305" s="879" t="str">
        <v/>
      </c>
      <c r="AA305" s="882">
        <f>IF($O306=0,0,        _xll.qDateNext($O305,AA$17,$AH$16,TRUE,Currency1))</f>
        <v>0</v>
      </c>
      <c r="AB305" s="882">
        <f>IF($O306=0,0,        _xll.qDateNext($O305,AB$17,$AH$16,TRUE,Currency1))</f>
        <v>0</v>
      </c>
      <c r="AC305" s="882">
        <f>IF($O306=0,0,        _xll.qDateNext($O305,AC$17,$AH$16,TRUE,Currency1))</f>
        <v>0</v>
      </c>
      <c r="AD305" s="882">
        <f>IF($O306=0,0,        _xll.qDateNext($O305,AD$17,$AH$16,TRUE,Currency1))</f>
        <v>0</v>
      </c>
      <c r="AE305" s="882">
        <f>IF($O306=0,0,        _xll.qDateNext($O305,AE$17,$AH$16,TRUE,Currency1))</f>
        <v>0</v>
      </c>
      <c r="AF305" s="882">
        <f>IF($O306=0,0,        _xll.qDateNext($O305,AF$17,$AH$16,TRUE,Currency1))</f>
        <v>0</v>
      </c>
      <c r="AG305" s="882">
        <f>IF($O306=0,0,        _xll.qDateNext($O305,AG$17,$AH$16,TRUE,Currency1))</f>
        <v>0</v>
      </c>
      <c r="AH305" s="882">
        <f>IF($O306=0,0,        _xll.qDateNext($O305,AH$17,$AH$16,TRUE,Currency1))</f>
        <v>0</v>
      </c>
      <c r="AI305" s="886">
        <f>IF($O306=0,0,           IF(FRM,_xll.qGetFwdRate(AI$14,$O305,AA305,"T",DCC_Leg1_Float),_xll.qGetFwdRate(AI$14,$O305,$O306,"T",DCC_Leg1_Float)))</f>
        <v>0</v>
      </c>
      <c r="AJ305" s="886">
        <f>IF($O306=0,0,           IF(FRM,_xll.qGetFwdRate(AJ$14,$O305,AB305,"T",DCC_Leg1_Float),_xll.qGetFwdRate(AJ$14,$O305,$O306,"T",DCC_Leg1_Float)))</f>
        <v>0</v>
      </c>
      <c r="AK305" s="886">
        <f t="shared" si="132"/>
        <v>0</v>
      </c>
      <c r="AL305" s="886">
        <f>IF($O306=0,0,           IF(FRM,_xll.qGetFwdRate(AL$14,$O305,AD305,"T",DCC_Leg1_Float),_xll.qGetFwdRate(AL$14,$O305,$O306,"T",DCC_Leg1_Float)))</f>
        <v>0</v>
      </c>
      <c r="AM305" s="886">
        <f t="shared" si="145"/>
        <v>0</v>
      </c>
      <c r="AN305" s="886">
        <f t="shared" si="146"/>
        <v>0</v>
      </c>
      <c r="AO305" s="886">
        <f>IF($O306=0,0,           IF(FRM,_xll.qGetFwdRate(AO$14,$O305,AG305,"T",DCC_Leg1_Float),_xll.qGetFwdRate(AO$14,$O305,$O306,"T",DCC_Leg1_Float)))</f>
        <v>0</v>
      </c>
      <c r="AP305" s="886">
        <f>IF($O306=0,0,           IF(FRM,_xll.qGetFwdRate(AP$14,$O305,AH305,"T",DCC_Leg1_Float),_xll.qGetFwdRate(AP$14,$O305,$O306,"T",DCC_Leg1_Float)))</f>
        <v>0</v>
      </c>
      <c r="AQ305" s="648">
        <f t="shared" si="147"/>
        <v>0</v>
      </c>
      <c r="AR305" s="648">
        <f t="shared" si="148"/>
        <v>0</v>
      </c>
      <c r="AS305" s="648">
        <f t="shared" si="149"/>
        <v>0</v>
      </c>
      <c r="AT305" s="648">
        <f t="shared" si="150"/>
        <v>0</v>
      </c>
      <c r="AU305" s="648">
        <f t="shared" si="151"/>
        <v>0</v>
      </c>
      <c r="AV305" s="648">
        <f t="shared" si="152"/>
        <v>0</v>
      </c>
      <c r="AW305" s="648">
        <f t="shared" si="153"/>
        <v>0</v>
      </c>
      <c r="AX305" s="648">
        <f t="shared" si="154"/>
        <v>0</v>
      </c>
      <c r="AY305" s="634">
        <v>0</v>
      </c>
      <c r="AZ305" s="616"/>
      <c r="BA305" s="619">
        <f>IF(O306=0,0,             IF(ISNUMBER(AZ305),AZ305,             IF(ISTEXT(AZ305),INDEX(AQ305:AX305,MATCH(AZ305,$AQ$17:$AX$17,0)),           IF(AY305="INT",_xll.qInterp(O306,AA305:AH305,AQ305:AX305),       INDEX(AQ305:AX305,MATCH(AY305,$AQ$17:$AX$17,0))))))</f>
        <v>0</v>
      </c>
      <c r="BB305" s="674">
        <v>100</v>
      </c>
      <c r="BC305" s="666">
        <f t="shared" si="133"/>
        <v>0</v>
      </c>
      <c r="BD305" s="268">
        <f>IF($O306=0,0,                IF(LEFT(DCC_Leg1_Fixed,2)="1/",uEvaluate(DCC_Leg1_Fixed),        _xll.qDateYears($O305,$O306,DCC_Leg1_Fixed)))</f>
        <v>0</v>
      </c>
      <c r="BE305" s="268">
        <f>IF($O306,_xll.qDateYears($O305,$O306,DCC_Leg1_Float),0)</f>
        <v>0</v>
      </c>
      <c r="BG305" s="332">
        <f t="shared" si="155"/>
        <v>0</v>
      </c>
      <c r="BH305" s="357">
        <f t="shared" si="156"/>
        <v>0</v>
      </c>
      <c r="BI305" s="527"/>
      <c r="BK305" s="324">
        <f t="shared" si="161"/>
        <v>0</v>
      </c>
      <c r="BM305" s="338"/>
      <c r="BN305" s="121">
        <v>0</v>
      </c>
      <c r="BO305" s="755">
        <f t="shared" si="134"/>
        <v>0</v>
      </c>
      <c r="BP305" s="339">
        <v>0</v>
      </c>
      <c r="BQ305" s="890">
        <f>IF(BN306=0,0,         IF(OR(Currency2="AUD",Currency1="NZD",Currency2="GBP"),BN305,   _xll.qDateNext(BN305,"-2b",,,IF(Currency2="EUR","TGT","LON"))))</f>
        <v>0</v>
      </c>
      <c r="BR305" s="879" t="str">
        <v/>
      </c>
      <c r="BS305" s="879" t="str">
        <v/>
      </c>
      <c r="BT305" s="879" t="str">
        <v/>
      </c>
      <c r="BU305" s="879" t="str">
        <v/>
      </c>
      <c r="BV305" s="879" t="str">
        <v/>
      </c>
      <c r="BW305" s="879" t="str">
        <v/>
      </c>
      <c r="BX305" s="879" t="str">
        <v/>
      </c>
      <c r="BY305" s="879" t="str">
        <v/>
      </c>
      <c r="BZ305" s="882">
        <f>IF($BN306=0,0,        _xll.qDateNext($BN305,BZ$17,$CG$16,TRUE,Currency2))</f>
        <v>0</v>
      </c>
      <c r="CA305" s="882">
        <f>IF($BN306=0,0,        _xll.qDateNext($BN305,CA$17,$CG$16,TRUE,Currency2))</f>
        <v>0</v>
      </c>
      <c r="CB305" s="882">
        <f>IF($BN306=0,0,        _xll.qDateNext($BN305,CB$17,$CG$16,TRUE,Currency2))</f>
        <v>0</v>
      </c>
      <c r="CC305" s="882">
        <f>IF($BN306=0,0,        _xll.qDateNext($BN305,CC$17,$CG$16,TRUE,Currency2))</f>
        <v>0</v>
      </c>
      <c r="CD305" s="882">
        <f>IF($BN306=0,0,        _xll.qDateNext($BN305,CD$17,$CG$16,TRUE,Currency2))</f>
        <v>0</v>
      </c>
      <c r="CE305" s="882">
        <f>IF($BN306=0,0,        _xll.qDateNext($BN305,CE$17,$CG$16,TRUE,Currency2))</f>
        <v>0</v>
      </c>
      <c r="CF305" s="882">
        <f>IF($BN306=0,0,        _xll.qDateNext($BN305,CF$17,$CG$16,TRUE,Currency2))</f>
        <v>0</v>
      </c>
      <c r="CG305" s="882">
        <f>IF($BN306=0,0,        _xll.qDateNext($BN305,CG$17,$CG$16,TRUE,Currency2))</f>
        <v>0</v>
      </c>
      <c r="CH305" s="886">
        <v>0</v>
      </c>
      <c r="CI305" s="886">
        <v>0</v>
      </c>
      <c r="CJ305" s="886">
        <v>0</v>
      </c>
      <c r="CK305" s="886">
        <v>0</v>
      </c>
      <c r="CL305" s="886">
        <f t="shared" si="157"/>
        <v>0</v>
      </c>
      <c r="CM305" s="886">
        <f t="shared" si="158"/>
        <v>0</v>
      </c>
      <c r="CN305" s="886">
        <v>0</v>
      </c>
      <c r="CO305" s="886">
        <v>0</v>
      </c>
      <c r="CP305" s="648">
        <f t="shared" si="135"/>
        <v>0</v>
      </c>
      <c r="CQ305" s="648">
        <f t="shared" si="136"/>
        <v>0</v>
      </c>
      <c r="CR305" s="648">
        <f t="shared" si="137"/>
        <v>0</v>
      </c>
      <c r="CS305" s="648">
        <f t="shared" si="138"/>
        <v>0</v>
      </c>
      <c r="CT305" s="648">
        <f t="shared" si="139"/>
        <v>0</v>
      </c>
      <c r="CU305" s="648">
        <f t="shared" si="140"/>
        <v>0</v>
      </c>
      <c r="CV305" s="648">
        <f t="shared" si="141"/>
        <v>0</v>
      </c>
      <c r="CW305" s="648">
        <f t="shared" si="142"/>
        <v>0</v>
      </c>
      <c r="CX305" s="634">
        <v>0</v>
      </c>
      <c r="CY305" s="616"/>
      <c r="CZ305" s="619">
        <f>IF(BN306=0,0,             IF(ISNUMBER(CY305),CY305,             IF(ISTEXT(CY305),INDEX(CP305:CW305,MATCH(CY305,$CP$17:$CW$17,0)),           IF(CX305="INT",_xll.qInterp(BN306,BZ305:CG305,CP305:CW305),       INDEX(CP305:CW305,MATCH(CX305,$CP$17:$CW$17,0))))))</f>
        <v>0</v>
      </c>
      <c r="DA305" s="755">
        <f t="shared" si="143"/>
        <v>0</v>
      </c>
      <c r="DB305" s="387">
        <f t="shared" si="144"/>
        <v>0</v>
      </c>
      <c r="DC305" s="268">
        <f>IF($BN306=0,0,         IF(LEFT(DCC_Leg2_Fixed,2)="1/",uEvaluate(DCC_Leg2_Fixed),         _xll.qDateYears($BN305,$BN306,DCC_Leg2_Fixed)))</f>
        <v>0</v>
      </c>
      <c r="DD305" s="268">
        <f>IF($BN306,_xll.qDateYears($BN305,$BN306,DCC_Leg2_Float),0)</f>
        <v>0</v>
      </c>
      <c r="DF305" s="332">
        <f t="shared" si="159"/>
        <v>0</v>
      </c>
      <c r="DG305" s="357">
        <f t="shared" si="160"/>
        <v>0</v>
      </c>
      <c r="DH305" s="527"/>
      <c r="DJ305" s="324">
        <f t="shared" si="162"/>
        <v>0</v>
      </c>
      <c r="DK305" s="529"/>
      <c r="DL305" s="338"/>
    </row>
    <row r="306" spans="15:116">
      <c r="O306" s="121">
        <v>0</v>
      </c>
      <c r="P306" s="755">
        <f t="shared" si="131"/>
        <v>0</v>
      </c>
      <c r="Q306" s="125">
        <v>0</v>
      </c>
      <c r="R306" s="890">
        <f>IF(O307=0,0,         IF(OR(Currency1="AUD",Currency1="NZD",Currency1="GBP"),O306,   _xll.qDateNext(O306,"-2b",,,IF(Currency1="EUR","TGT","LON"))))</f>
        <v>0</v>
      </c>
      <c r="S306" s="879" t="str">
        <v/>
      </c>
      <c r="T306" s="879" t="str">
        <v/>
      </c>
      <c r="U306" s="879" t="str">
        <v/>
      </c>
      <c r="V306" s="879" t="str">
        <v/>
      </c>
      <c r="W306" s="879" t="str">
        <v/>
      </c>
      <c r="X306" s="879" t="str">
        <v/>
      </c>
      <c r="Y306" s="879" t="str">
        <v/>
      </c>
      <c r="Z306" s="879" t="str">
        <v/>
      </c>
      <c r="AA306" s="882">
        <f>IF($O307=0,0,        _xll.qDateNext($O306,AA$17,$AH$16,TRUE,Currency1))</f>
        <v>0</v>
      </c>
      <c r="AB306" s="882">
        <f>IF($O307=0,0,        _xll.qDateNext($O306,AB$17,$AH$16,TRUE,Currency1))</f>
        <v>0</v>
      </c>
      <c r="AC306" s="882">
        <f>IF($O307=0,0,        _xll.qDateNext($O306,AC$17,$AH$16,TRUE,Currency1))</f>
        <v>0</v>
      </c>
      <c r="AD306" s="882">
        <f>IF($O307=0,0,        _xll.qDateNext($O306,AD$17,$AH$16,TRUE,Currency1))</f>
        <v>0</v>
      </c>
      <c r="AE306" s="882">
        <f>IF($O307=0,0,        _xll.qDateNext($O306,AE$17,$AH$16,TRUE,Currency1))</f>
        <v>0</v>
      </c>
      <c r="AF306" s="882">
        <f>IF($O307=0,0,        _xll.qDateNext($O306,AF$17,$AH$16,TRUE,Currency1))</f>
        <v>0</v>
      </c>
      <c r="AG306" s="882">
        <f>IF($O307=0,0,        _xll.qDateNext($O306,AG$17,$AH$16,TRUE,Currency1))</f>
        <v>0</v>
      </c>
      <c r="AH306" s="882">
        <f>IF($O307=0,0,        _xll.qDateNext($O306,AH$17,$AH$16,TRUE,Currency1))</f>
        <v>0</v>
      </c>
      <c r="AI306" s="886">
        <f>IF($O307=0,0,           IF(FRM,_xll.qGetFwdRate(AI$14,$O306,AA306,"T",DCC_Leg1_Float),_xll.qGetFwdRate(AI$14,$O306,$O307,"T",DCC_Leg1_Float)))</f>
        <v>0</v>
      </c>
      <c r="AJ306" s="886">
        <f>IF($O307=0,0,           IF(FRM,_xll.qGetFwdRate(AJ$14,$O306,AB306,"T",DCC_Leg1_Float),_xll.qGetFwdRate(AJ$14,$O306,$O307,"T",DCC_Leg1_Float)))</f>
        <v>0</v>
      </c>
      <c r="AK306" s="886">
        <f t="shared" si="132"/>
        <v>0</v>
      </c>
      <c r="AL306" s="886">
        <f>IF($O307=0,0,           IF(FRM,_xll.qGetFwdRate(AL$14,$O306,AD306,"T",DCC_Leg1_Float),_xll.qGetFwdRate(AL$14,$O306,$O307,"T",DCC_Leg1_Float)))</f>
        <v>0</v>
      </c>
      <c r="AM306" s="886">
        <f t="shared" si="145"/>
        <v>0</v>
      </c>
      <c r="AN306" s="886">
        <f t="shared" si="146"/>
        <v>0</v>
      </c>
      <c r="AO306" s="886">
        <f>IF($O307=0,0,           IF(FRM,_xll.qGetFwdRate(AO$14,$O306,AG306,"T",DCC_Leg1_Float),_xll.qGetFwdRate(AO$14,$O306,$O307,"T",DCC_Leg1_Float)))</f>
        <v>0</v>
      </c>
      <c r="AP306" s="886">
        <f>IF($O307=0,0,           IF(FRM,_xll.qGetFwdRate(AP$14,$O306,AH306,"T",DCC_Leg1_Float),_xll.qGetFwdRate(AP$14,$O306,$O307,"T",DCC_Leg1_Float)))</f>
        <v>0</v>
      </c>
      <c r="AQ306" s="648">
        <f t="shared" si="147"/>
        <v>0</v>
      </c>
      <c r="AR306" s="648">
        <f t="shared" si="148"/>
        <v>0</v>
      </c>
      <c r="AS306" s="648">
        <f t="shared" si="149"/>
        <v>0</v>
      </c>
      <c r="AT306" s="648">
        <f t="shared" si="150"/>
        <v>0</v>
      </c>
      <c r="AU306" s="648">
        <f t="shared" si="151"/>
        <v>0</v>
      </c>
      <c r="AV306" s="648">
        <f t="shared" si="152"/>
        <v>0</v>
      </c>
      <c r="AW306" s="648">
        <f t="shared" si="153"/>
        <v>0</v>
      </c>
      <c r="AX306" s="648">
        <f t="shared" si="154"/>
        <v>0</v>
      </c>
      <c r="AY306" s="634">
        <v>0</v>
      </c>
      <c r="AZ306" s="616"/>
      <c r="BA306" s="619">
        <f>IF(O307=0,0,             IF(ISNUMBER(AZ306),AZ306,             IF(ISTEXT(AZ306),INDEX(AQ306:AX306,MATCH(AZ306,$AQ$17:$AX$17,0)),           IF(AY306="INT",_xll.qInterp(O307,AA306:AH306,AQ306:AX306),       INDEX(AQ306:AX306,MATCH(AY306,$AQ$17:$AX$17,0))))))</f>
        <v>0</v>
      </c>
      <c r="BB306" s="674">
        <v>100</v>
      </c>
      <c r="BC306" s="666">
        <f t="shared" si="133"/>
        <v>0</v>
      </c>
      <c r="BD306" s="268">
        <f>IF($O307=0,0,                IF(LEFT(DCC_Leg1_Fixed,2)="1/",uEvaluate(DCC_Leg1_Fixed),        _xll.qDateYears($O306,$O307,DCC_Leg1_Fixed)))</f>
        <v>0</v>
      </c>
      <c r="BE306" s="268">
        <f>IF($O307,_xll.qDateYears($O306,$O307,DCC_Leg1_Float),0)</f>
        <v>0</v>
      </c>
      <c r="BG306" s="332">
        <f t="shared" si="155"/>
        <v>0</v>
      </c>
      <c r="BH306" s="357">
        <f t="shared" si="156"/>
        <v>0</v>
      </c>
      <c r="BI306" s="527"/>
      <c r="BK306" s="324">
        <f t="shared" si="161"/>
        <v>0</v>
      </c>
      <c r="BM306" s="338"/>
      <c r="BN306" s="121">
        <v>0</v>
      </c>
      <c r="BO306" s="755">
        <f t="shared" si="134"/>
        <v>0</v>
      </c>
      <c r="BP306" s="339">
        <v>0</v>
      </c>
      <c r="BQ306" s="890">
        <f>IF(BN307=0,0,         IF(OR(Currency2="AUD",Currency1="NZD",Currency2="GBP"),BN306,   _xll.qDateNext(BN306,"-2b",,,IF(Currency2="EUR","TGT","LON"))))</f>
        <v>0</v>
      </c>
      <c r="BR306" s="879" t="str">
        <v/>
      </c>
      <c r="BS306" s="879" t="str">
        <v/>
      </c>
      <c r="BT306" s="879" t="str">
        <v/>
      </c>
      <c r="BU306" s="879" t="str">
        <v/>
      </c>
      <c r="BV306" s="879" t="str">
        <v/>
      </c>
      <c r="BW306" s="879" t="str">
        <v/>
      </c>
      <c r="BX306" s="879" t="str">
        <v/>
      </c>
      <c r="BY306" s="879" t="str">
        <v/>
      </c>
      <c r="BZ306" s="882">
        <f>IF($BN307=0,0,        _xll.qDateNext($BN306,BZ$17,$CG$16,TRUE,Currency2))</f>
        <v>0</v>
      </c>
      <c r="CA306" s="882">
        <f>IF($BN307=0,0,        _xll.qDateNext($BN306,CA$17,$CG$16,TRUE,Currency2))</f>
        <v>0</v>
      </c>
      <c r="CB306" s="882">
        <f>IF($BN307=0,0,        _xll.qDateNext($BN306,CB$17,$CG$16,TRUE,Currency2))</f>
        <v>0</v>
      </c>
      <c r="CC306" s="882">
        <f>IF($BN307=0,0,        _xll.qDateNext($BN306,CC$17,$CG$16,TRUE,Currency2))</f>
        <v>0</v>
      </c>
      <c r="CD306" s="882">
        <f>IF($BN307=0,0,        _xll.qDateNext($BN306,CD$17,$CG$16,TRUE,Currency2))</f>
        <v>0</v>
      </c>
      <c r="CE306" s="882">
        <f>IF($BN307=0,0,        _xll.qDateNext($BN306,CE$17,$CG$16,TRUE,Currency2))</f>
        <v>0</v>
      </c>
      <c r="CF306" s="882">
        <f>IF($BN307=0,0,        _xll.qDateNext($BN306,CF$17,$CG$16,TRUE,Currency2))</f>
        <v>0</v>
      </c>
      <c r="CG306" s="882">
        <f>IF($BN307=0,0,        _xll.qDateNext($BN306,CG$17,$CG$16,TRUE,Currency2))</f>
        <v>0</v>
      </c>
      <c r="CH306" s="886">
        <v>0</v>
      </c>
      <c r="CI306" s="886">
        <v>0</v>
      </c>
      <c r="CJ306" s="886">
        <v>0</v>
      </c>
      <c r="CK306" s="886">
        <v>0</v>
      </c>
      <c r="CL306" s="886">
        <f t="shared" si="157"/>
        <v>0</v>
      </c>
      <c r="CM306" s="886">
        <f t="shared" si="158"/>
        <v>0</v>
      </c>
      <c r="CN306" s="886">
        <v>0</v>
      </c>
      <c r="CO306" s="886">
        <v>0</v>
      </c>
      <c r="CP306" s="648">
        <f t="shared" si="135"/>
        <v>0</v>
      </c>
      <c r="CQ306" s="648">
        <f t="shared" si="136"/>
        <v>0</v>
      </c>
      <c r="CR306" s="648">
        <f t="shared" si="137"/>
        <v>0</v>
      </c>
      <c r="CS306" s="648">
        <f t="shared" si="138"/>
        <v>0</v>
      </c>
      <c r="CT306" s="648">
        <f t="shared" si="139"/>
        <v>0</v>
      </c>
      <c r="CU306" s="648">
        <f t="shared" si="140"/>
        <v>0</v>
      </c>
      <c r="CV306" s="648">
        <f t="shared" si="141"/>
        <v>0</v>
      </c>
      <c r="CW306" s="648">
        <f t="shared" si="142"/>
        <v>0</v>
      </c>
      <c r="CX306" s="634">
        <v>0</v>
      </c>
      <c r="CY306" s="616"/>
      <c r="CZ306" s="619">
        <f>IF(BN307=0,0,             IF(ISNUMBER(CY306),CY306,             IF(ISTEXT(CY306),INDEX(CP306:CW306,MATCH(CY306,$CP$17:$CW$17,0)),           IF(CX306="INT",_xll.qInterp(BN307,BZ306:CG306,CP306:CW306),       INDEX(CP306:CW306,MATCH(CX306,$CP$17:$CW$17,0))))))</f>
        <v>0</v>
      </c>
      <c r="DA306" s="755">
        <f t="shared" si="143"/>
        <v>0</v>
      </c>
      <c r="DB306" s="387">
        <f t="shared" si="144"/>
        <v>0</v>
      </c>
      <c r="DC306" s="268">
        <f>IF($BN307=0,0,         IF(LEFT(DCC_Leg2_Fixed,2)="1/",uEvaluate(DCC_Leg2_Fixed),         _xll.qDateYears($BN306,$BN307,DCC_Leg2_Fixed)))</f>
        <v>0</v>
      </c>
      <c r="DD306" s="268">
        <f>IF($BN307,_xll.qDateYears($BN306,$BN307,DCC_Leg2_Float),0)</f>
        <v>0</v>
      </c>
      <c r="DF306" s="332">
        <f t="shared" si="159"/>
        <v>0</v>
      </c>
      <c r="DG306" s="357">
        <f t="shared" si="160"/>
        <v>0</v>
      </c>
      <c r="DH306" s="527"/>
      <c r="DJ306" s="324">
        <f t="shared" si="162"/>
        <v>0</v>
      </c>
      <c r="DK306" s="529"/>
      <c r="DL306" s="338"/>
    </row>
    <row r="307" spans="15:116">
      <c r="O307" s="121">
        <v>0</v>
      </c>
      <c r="P307" s="755">
        <f t="shared" si="131"/>
        <v>0</v>
      </c>
      <c r="Q307" s="125">
        <v>0</v>
      </c>
      <c r="R307" s="890">
        <f>IF(O308=0,0,         IF(OR(Currency1="AUD",Currency1="NZD",Currency1="GBP"),O307,   _xll.qDateNext(O307,"-2b",,,IF(Currency1="EUR","TGT","LON"))))</f>
        <v>0</v>
      </c>
      <c r="S307" s="879" t="str">
        <v/>
      </c>
      <c r="T307" s="879" t="str">
        <v/>
      </c>
      <c r="U307" s="879" t="str">
        <v/>
      </c>
      <c r="V307" s="879" t="str">
        <v/>
      </c>
      <c r="W307" s="879" t="str">
        <v/>
      </c>
      <c r="X307" s="879" t="str">
        <v/>
      </c>
      <c r="Y307" s="879" t="str">
        <v/>
      </c>
      <c r="Z307" s="879" t="str">
        <v/>
      </c>
      <c r="AA307" s="882">
        <f>IF($O308=0,0,        _xll.qDateNext($O307,AA$17,$AH$16,TRUE,Currency1))</f>
        <v>0</v>
      </c>
      <c r="AB307" s="882">
        <f>IF($O308=0,0,        _xll.qDateNext($O307,AB$17,$AH$16,TRUE,Currency1))</f>
        <v>0</v>
      </c>
      <c r="AC307" s="882">
        <f>IF($O308=0,0,        _xll.qDateNext($O307,AC$17,$AH$16,TRUE,Currency1))</f>
        <v>0</v>
      </c>
      <c r="AD307" s="882">
        <f>IF($O308=0,0,        _xll.qDateNext($O307,AD$17,$AH$16,TRUE,Currency1))</f>
        <v>0</v>
      </c>
      <c r="AE307" s="882">
        <f>IF($O308=0,0,        _xll.qDateNext($O307,AE$17,$AH$16,TRUE,Currency1))</f>
        <v>0</v>
      </c>
      <c r="AF307" s="882">
        <f>IF($O308=0,0,        _xll.qDateNext($O307,AF$17,$AH$16,TRUE,Currency1))</f>
        <v>0</v>
      </c>
      <c r="AG307" s="882">
        <f>IF($O308=0,0,        _xll.qDateNext($O307,AG$17,$AH$16,TRUE,Currency1))</f>
        <v>0</v>
      </c>
      <c r="AH307" s="882">
        <f>IF($O308=0,0,        _xll.qDateNext($O307,AH$17,$AH$16,TRUE,Currency1))</f>
        <v>0</v>
      </c>
      <c r="AI307" s="886">
        <f>IF($O308=0,0,           IF(FRM,_xll.qGetFwdRate(AI$14,$O307,AA307,"T",DCC_Leg1_Float),_xll.qGetFwdRate(AI$14,$O307,$O308,"T",DCC_Leg1_Float)))</f>
        <v>0</v>
      </c>
      <c r="AJ307" s="886">
        <f>IF($O308=0,0,           IF(FRM,_xll.qGetFwdRate(AJ$14,$O307,AB307,"T",DCC_Leg1_Float),_xll.qGetFwdRate(AJ$14,$O307,$O308,"T",DCC_Leg1_Float)))</f>
        <v>0</v>
      </c>
      <c r="AK307" s="886">
        <f t="shared" si="132"/>
        <v>0</v>
      </c>
      <c r="AL307" s="886">
        <f>IF($O308=0,0,           IF(FRM,_xll.qGetFwdRate(AL$14,$O307,AD307,"T",DCC_Leg1_Float),_xll.qGetFwdRate(AL$14,$O307,$O308,"T",DCC_Leg1_Float)))</f>
        <v>0</v>
      </c>
      <c r="AM307" s="886">
        <f t="shared" si="145"/>
        <v>0</v>
      </c>
      <c r="AN307" s="886">
        <f t="shared" si="146"/>
        <v>0</v>
      </c>
      <c r="AO307" s="886">
        <f>IF($O308=0,0,           IF(FRM,_xll.qGetFwdRate(AO$14,$O307,AG307,"T",DCC_Leg1_Float),_xll.qGetFwdRate(AO$14,$O307,$O308,"T",DCC_Leg1_Float)))</f>
        <v>0</v>
      </c>
      <c r="AP307" s="886">
        <f>IF($O308=0,0,           IF(FRM,_xll.qGetFwdRate(AP$14,$O307,AH307,"T",DCC_Leg1_Float),_xll.qGetFwdRate(AP$14,$O307,$O308,"T",DCC_Leg1_Float)))</f>
        <v>0</v>
      </c>
      <c r="AQ307" s="648">
        <f t="shared" si="147"/>
        <v>0</v>
      </c>
      <c r="AR307" s="648">
        <f t="shared" si="148"/>
        <v>0</v>
      </c>
      <c r="AS307" s="648">
        <f t="shared" si="149"/>
        <v>0</v>
      </c>
      <c r="AT307" s="648">
        <f t="shared" si="150"/>
        <v>0</v>
      </c>
      <c r="AU307" s="648">
        <f t="shared" si="151"/>
        <v>0</v>
      </c>
      <c r="AV307" s="648">
        <f t="shared" si="152"/>
        <v>0</v>
      </c>
      <c r="AW307" s="648">
        <f t="shared" si="153"/>
        <v>0</v>
      </c>
      <c r="AX307" s="648">
        <f t="shared" si="154"/>
        <v>0</v>
      </c>
      <c r="AY307" s="634">
        <v>0</v>
      </c>
      <c r="AZ307" s="616"/>
      <c r="BA307" s="619">
        <f>IF(O308=0,0,             IF(ISNUMBER(AZ307),AZ307,             IF(ISTEXT(AZ307),INDEX(AQ307:AX307,MATCH(AZ307,$AQ$17:$AX$17,0)),           IF(AY307="INT",_xll.qInterp(O308,AA307:AH307,AQ307:AX307),       INDEX(AQ307:AX307,MATCH(AY307,$AQ$17:$AX$17,0))))))</f>
        <v>0</v>
      </c>
      <c r="BB307" s="674">
        <v>100</v>
      </c>
      <c r="BC307" s="666">
        <f t="shared" si="133"/>
        <v>0</v>
      </c>
      <c r="BD307" s="268">
        <f>IF($O308=0,0,                IF(LEFT(DCC_Leg1_Fixed,2)="1/",uEvaluate(DCC_Leg1_Fixed),        _xll.qDateYears($O307,$O308,DCC_Leg1_Fixed)))</f>
        <v>0</v>
      </c>
      <c r="BE307" s="268">
        <f>IF($O308,_xll.qDateYears($O307,$O308,DCC_Leg1_Float),0)</f>
        <v>0</v>
      </c>
      <c r="BG307" s="332">
        <f t="shared" si="155"/>
        <v>0</v>
      </c>
      <c r="BH307" s="357">
        <f t="shared" si="156"/>
        <v>0</v>
      </c>
      <c r="BI307" s="527"/>
      <c r="BK307" s="324">
        <f t="shared" si="161"/>
        <v>0</v>
      </c>
      <c r="BM307" s="338"/>
      <c r="BN307" s="121">
        <v>0</v>
      </c>
      <c r="BO307" s="755">
        <f t="shared" si="134"/>
        <v>0</v>
      </c>
      <c r="BP307" s="339">
        <v>0</v>
      </c>
      <c r="BQ307" s="890">
        <f>IF(BN308=0,0,         IF(OR(Currency2="AUD",Currency1="NZD",Currency2="GBP"),BN307,   _xll.qDateNext(BN307,"-2b",,,IF(Currency2="EUR","TGT","LON"))))</f>
        <v>0</v>
      </c>
      <c r="BR307" s="879" t="str">
        <v/>
      </c>
      <c r="BS307" s="879" t="str">
        <v/>
      </c>
      <c r="BT307" s="879" t="str">
        <v/>
      </c>
      <c r="BU307" s="879" t="str">
        <v/>
      </c>
      <c r="BV307" s="879" t="str">
        <v/>
      </c>
      <c r="BW307" s="879" t="str">
        <v/>
      </c>
      <c r="BX307" s="879" t="str">
        <v/>
      </c>
      <c r="BY307" s="879" t="str">
        <v/>
      </c>
      <c r="BZ307" s="882">
        <f>IF($BN308=0,0,        _xll.qDateNext($BN307,BZ$17,$CG$16,TRUE,Currency2))</f>
        <v>0</v>
      </c>
      <c r="CA307" s="882">
        <f>IF($BN308=0,0,        _xll.qDateNext($BN307,CA$17,$CG$16,TRUE,Currency2))</f>
        <v>0</v>
      </c>
      <c r="CB307" s="882">
        <f>IF($BN308=0,0,        _xll.qDateNext($BN307,CB$17,$CG$16,TRUE,Currency2))</f>
        <v>0</v>
      </c>
      <c r="CC307" s="882">
        <f>IF($BN308=0,0,        _xll.qDateNext($BN307,CC$17,$CG$16,TRUE,Currency2))</f>
        <v>0</v>
      </c>
      <c r="CD307" s="882">
        <f>IF($BN308=0,0,        _xll.qDateNext($BN307,CD$17,$CG$16,TRUE,Currency2))</f>
        <v>0</v>
      </c>
      <c r="CE307" s="882">
        <f>IF($BN308=0,0,        _xll.qDateNext($BN307,CE$17,$CG$16,TRUE,Currency2))</f>
        <v>0</v>
      </c>
      <c r="CF307" s="882">
        <f>IF($BN308=0,0,        _xll.qDateNext($BN307,CF$17,$CG$16,TRUE,Currency2))</f>
        <v>0</v>
      </c>
      <c r="CG307" s="882">
        <f>IF($BN308=0,0,        _xll.qDateNext($BN307,CG$17,$CG$16,TRUE,Currency2))</f>
        <v>0</v>
      </c>
      <c r="CH307" s="886">
        <v>0</v>
      </c>
      <c r="CI307" s="886">
        <v>0</v>
      </c>
      <c r="CJ307" s="886">
        <v>0</v>
      </c>
      <c r="CK307" s="886">
        <v>0</v>
      </c>
      <c r="CL307" s="886">
        <f t="shared" si="157"/>
        <v>0</v>
      </c>
      <c r="CM307" s="886">
        <f t="shared" si="158"/>
        <v>0</v>
      </c>
      <c r="CN307" s="886">
        <v>0</v>
      </c>
      <c r="CO307" s="886">
        <v>0</v>
      </c>
      <c r="CP307" s="648">
        <f t="shared" si="135"/>
        <v>0</v>
      </c>
      <c r="CQ307" s="648">
        <f t="shared" si="136"/>
        <v>0</v>
      </c>
      <c r="CR307" s="648">
        <f t="shared" si="137"/>
        <v>0</v>
      </c>
      <c r="CS307" s="648">
        <f t="shared" si="138"/>
        <v>0</v>
      </c>
      <c r="CT307" s="648">
        <f t="shared" si="139"/>
        <v>0</v>
      </c>
      <c r="CU307" s="648">
        <f t="shared" si="140"/>
        <v>0</v>
      </c>
      <c r="CV307" s="648">
        <f t="shared" si="141"/>
        <v>0</v>
      </c>
      <c r="CW307" s="648">
        <f t="shared" si="142"/>
        <v>0</v>
      </c>
      <c r="CX307" s="634">
        <v>0</v>
      </c>
      <c r="CY307" s="616"/>
      <c r="CZ307" s="619">
        <f>IF(BN308=0,0,             IF(ISNUMBER(CY307),CY307,             IF(ISTEXT(CY307),INDEX(CP307:CW307,MATCH(CY307,$CP$17:$CW$17,0)),           IF(CX307="INT",_xll.qInterp(BN308,BZ307:CG307,CP307:CW307),       INDEX(CP307:CW307,MATCH(CX307,$CP$17:$CW$17,0))))))</f>
        <v>0</v>
      </c>
      <c r="DA307" s="755">
        <f t="shared" si="143"/>
        <v>0</v>
      </c>
      <c r="DB307" s="387">
        <f t="shared" si="144"/>
        <v>0</v>
      </c>
      <c r="DC307" s="268">
        <f>IF($BN308=0,0,         IF(LEFT(DCC_Leg2_Fixed,2)="1/",uEvaluate(DCC_Leg2_Fixed),         _xll.qDateYears($BN307,$BN308,DCC_Leg2_Fixed)))</f>
        <v>0</v>
      </c>
      <c r="DD307" s="268">
        <f>IF($BN308,_xll.qDateYears($BN307,$BN308,DCC_Leg2_Float),0)</f>
        <v>0</v>
      </c>
      <c r="DF307" s="332">
        <f t="shared" si="159"/>
        <v>0</v>
      </c>
      <c r="DG307" s="357">
        <f t="shared" si="160"/>
        <v>0</v>
      </c>
      <c r="DH307" s="527"/>
      <c r="DJ307" s="324">
        <f t="shared" si="162"/>
        <v>0</v>
      </c>
      <c r="DK307" s="529"/>
      <c r="DL307" s="338"/>
    </row>
    <row r="308" spans="15:116">
      <c r="O308" s="121">
        <v>0</v>
      </c>
      <c r="P308" s="755">
        <f t="shared" si="131"/>
        <v>0</v>
      </c>
      <c r="Q308" s="125">
        <v>0</v>
      </c>
      <c r="R308" s="890">
        <f>IF(O309=0,0,         IF(OR(Currency1="AUD",Currency1="NZD",Currency1="GBP"),O308,   _xll.qDateNext(O308,"-2b",,,IF(Currency1="EUR","TGT","LON"))))</f>
        <v>0</v>
      </c>
      <c r="S308" s="879" t="str">
        <v/>
      </c>
      <c r="T308" s="879" t="str">
        <v/>
      </c>
      <c r="U308" s="879" t="str">
        <v/>
      </c>
      <c r="V308" s="879" t="str">
        <v/>
      </c>
      <c r="W308" s="879" t="str">
        <v/>
      </c>
      <c r="X308" s="879" t="str">
        <v/>
      </c>
      <c r="Y308" s="879" t="str">
        <v/>
      </c>
      <c r="Z308" s="879" t="str">
        <v/>
      </c>
      <c r="AA308" s="882">
        <f>IF($O309=0,0,        _xll.qDateNext($O308,AA$17,$AH$16,TRUE,Currency1))</f>
        <v>0</v>
      </c>
      <c r="AB308" s="882">
        <f>IF($O309=0,0,        _xll.qDateNext($O308,AB$17,$AH$16,TRUE,Currency1))</f>
        <v>0</v>
      </c>
      <c r="AC308" s="882">
        <f>IF($O309=0,0,        _xll.qDateNext($O308,AC$17,$AH$16,TRUE,Currency1))</f>
        <v>0</v>
      </c>
      <c r="AD308" s="882">
        <f>IF($O309=0,0,        _xll.qDateNext($O308,AD$17,$AH$16,TRUE,Currency1))</f>
        <v>0</v>
      </c>
      <c r="AE308" s="882">
        <f>IF($O309=0,0,        _xll.qDateNext($O308,AE$17,$AH$16,TRUE,Currency1))</f>
        <v>0</v>
      </c>
      <c r="AF308" s="882">
        <f>IF($O309=0,0,        _xll.qDateNext($O308,AF$17,$AH$16,TRUE,Currency1))</f>
        <v>0</v>
      </c>
      <c r="AG308" s="882">
        <f>IF($O309=0,0,        _xll.qDateNext($O308,AG$17,$AH$16,TRUE,Currency1))</f>
        <v>0</v>
      </c>
      <c r="AH308" s="882">
        <f>IF($O309=0,0,        _xll.qDateNext($O308,AH$17,$AH$16,TRUE,Currency1))</f>
        <v>0</v>
      </c>
      <c r="AI308" s="886">
        <f>IF($O309=0,0,           IF(FRM,_xll.qGetFwdRate(AI$14,$O308,AA308,"T",DCC_Leg1_Float),_xll.qGetFwdRate(AI$14,$O308,$O309,"T",DCC_Leg1_Float)))</f>
        <v>0</v>
      </c>
      <c r="AJ308" s="886">
        <f>IF($O309=0,0,           IF(FRM,_xll.qGetFwdRate(AJ$14,$O308,AB308,"T",DCC_Leg1_Float),_xll.qGetFwdRate(AJ$14,$O308,$O309,"T",DCC_Leg1_Float)))</f>
        <v>0</v>
      </c>
      <c r="AK308" s="886">
        <f t="shared" si="132"/>
        <v>0</v>
      </c>
      <c r="AL308" s="886">
        <f>IF($O309=0,0,           IF(FRM,_xll.qGetFwdRate(AL$14,$O308,AD308,"T",DCC_Leg1_Float),_xll.qGetFwdRate(AL$14,$O308,$O309,"T",DCC_Leg1_Float)))</f>
        <v>0</v>
      </c>
      <c r="AM308" s="886">
        <f t="shared" si="145"/>
        <v>0</v>
      </c>
      <c r="AN308" s="886">
        <f t="shared" si="146"/>
        <v>0</v>
      </c>
      <c r="AO308" s="886">
        <f>IF($O309=0,0,           IF(FRM,_xll.qGetFwdRate(AO$14,$O308,AG308,"T",DCC_Leg1_Float),_xll.qGetFwdRate(AO$14,$O308,$O309,"T",DCC_Leg1_Float)))</f>
        <v>0</v>
      </c>
      <c r="AP308" s="886">
        <f>IF($O309=0,0,           IF(FRM,_xll.qGetFwdRate(AP$14,$O308,AH308,"T",DCC_Leg1_Float),_xll.qGetFwdRate(AP$14,$O308,$O309,"T",DCC_Leg1_Float)))</f>
        <v>0</v>
      </c>
      <c r="AQ308" s="648">
        <f t="shared" si="147"/>
        <v>0</v>
      </c>
      <c r="AR308" s="648">
        <f t="shared" si="148"/>
        <v>0</v>
      </c>
      <c r="AS308" s="648">
        <f t="shared" si="149"/>
        <v>0</v>
      </c>
      <c r="AT308" s="648">
        <f t="shared" si="150"/>
        <v>0</v>
      </c>
      <c r="AU308" s="648">
        <f t="shared" si="151"/>
        <v>0</v>
      </c>
      <c r="AV308" s="648">
        <f t="shared" si="152"/>
        <v>0</v>
      </c>
      <c r="AW308" s="648">
        <f t="shared" si="153"/>
        <v>0</v>
      </c>
      <c r="AX308" s="648">
        <f t="shared" si="154"/>
        <v>0</v>
      </c>
      <c r="AY308" s="634">
        <v>0</v>
      </c>
      <c r="AZ308" s="616"/>
      <c r="BA308" s="619">
        <f>IF(O309=0,0,             IF(ISNUMBER(AZ308),AZ308,             IF(ISTEXT(AZ308),INDEX(AQ308:AX308,MATCH(AZ308,$AQ$17:$AX$17,0)),           IF(AY308="INT",_xll.qInterp(O309,AA308:AH308,AQ308:AX308),       INDEX(AQ308:AX308,MATCH(AY308,$AQ$17:$AX$17,0))))))</f>
        <v>0</v>
      </c>
      <c r="BB308" s="674">
        <v>100</v>
      </c>
      <c r="BC308" s="666">
        <f t="shared" si="133"/>
        <v>0</v>
      </c>
      <c r="BD308" s="268">
        <f>IF($O309=0,0,                IF(LEFT(DCC_Leg1_Fixed,2)="1/",uEvaluate(DCC_Leg1_Fixed),        _xll.qDateYears($O308,$O309,DCC_Leg1_Fixed)))</f>
        <v>0</v>
      </c>
      <c r="BE308" s="268">
        <f>IF($O309,_xll.qDateYears($O308,$O309,DCC_Leg1_Float),0)</f>
        <v>0</v>
      </c>
      <c r="BG308" s="332">
        <f t="shared" si="155"/>
        <v>0</v>
      </c>
      <c r="BH308" s="357">
        <f t="shared" si="156"/>
        <v>0</v>
      </c>
      <c r="BI308" s="527"/>
      <c r="BK308" s="324">
        <f t="shared" si="161"/>
        <v>0</v>
      </c>
      <c r="BM308" s="338"/>
      <c r="BN308" s="121">
        <v>0</v>
      </c>
      <c r="BO308" s="755">
        <f t="shared" si="134"/>
        <v>0</v>
      </c>
      <c r="BP308" s="339">
        <v>0</v>
      </c>
      <c r="BQ308" s="890">
        <f>IF(BN309=0,0,         IF(OR(Currency2="AUD",Currency1="NZD",Currency2="GBP"),BN308,   _xll.qDateNext(BN308,"-2b",,,IF(Currency2="EUR","TGT","LON"))))</f>
        <v>0</v>
      </c>
      <c r="BR308" s="879" t="str">
        <v/>
      </c>
      <c r="BS308" s="879" t="str">
        <v/>
      </c>
      <c r="BT308" s="879" t="str">
        <v/>
      </c>
      <c r="BU308" s="879" t="str">
        <v/>
      </c>
      <c r="BV308" s="879" t="str">
        <v/>
      </c>
      <c r="BW308" s="879" t="str">
        <v/>
      </c>
      <c r="BX308" s="879" t="str">
        <v/>
      </c>
      <c r="BY308" s="879" t="str">
        <v/>
      </c>
      <c r="BZ308" s="882">
        <f>IF($BN309=0,0,        _xll.qDateNext($BN308,BZ$17,$CG$16,TRUE,Currency2))</f>
        <v>0</v>
      </c>
      <c r="CA308" s="882">
        <f>IF($BN309=0,0,        _xll.qDateNext($BN308,CA$17,$CG$16,TRUE,Currency2))</f>
        <v>0</v>
      </c>
      <c r="CB308" s="882">
        <f>IF($BN309=0,0,        _xll.qDateNext($BN308,CB$17,$CG$16,TRUE,Currency2))</f>
        <v>0</v>
      </c>
      <c r="CC308" s="882">
        <f>IF($BN309=0,0,        _xll.qDateNext($BN308,CC$17,$CG$16,TRUE,Currency2))</f>
        <v>0</v>
      </c>
      <c r="CD308" s="882">
        <f>IF($BN309=0,0,        _xll.qDateNext($BN308,CD$17,$CG$16,TRUE,Currency2))</f>
        <v>0</v>
      </c>
      <c r="CE308" s="882">
        <f>IF($BN309=0,0,        _xll.qDateNext($BN308,CE$17,$CG$16,TRUE,Currency2))</f>
        <v>0</v>
      </c>
      <c r="CF308" s="882">
        <f>IF($BN309=0,0,        _xll.qDateNext($BN308,CF$17,$CG$16,TRUE,Currency2))</f>
        <v>0</v>
      </c>
      <c r="CG308" s="882">
        <f>IF($BN309=0,0,        _xll.qDateNext($BN308,CG$17,$CG$16,TRUE,Currency2))</f>
        <v>0</v>
      </c>
      <c r="CH308" s="886">
        <v>0</v>
      </c>
      <c r="CI308" s="886">
        <v>0</v>
      </c>
      <c r="CJ308" s="886">
        <v>0</v>
      </c>
      <c r="CK308" s="886">
        <v>0</v>
      </c>
      <c r="CL308" s="886">
        <f t="shared" si="157"/>
        <v>0</v>
      </c>
      <c r="CM308" s="886">
        <f t="shared" si="158"/>
        <v>0</v>
      </c>
      <c r="CN308" s="886">
        <v>0</v>
      </c>
      <c r="CO308" s="886">
        <v>0</v>
      </c>
      <c r="CP308" s="648">
        <f t="shared" si="135"/>
        <v>0</v>
      </c>
      <c r="CQ308" s="648">
        <f t="shared" si="136"/>
        <v>0</v>
      </c>
      <c r="CR308" s="648">
        <f t="shared" si="137"/>
        <v>0</v>
      </c>
      <c r="CS308" s="648">
        <f t="shared" si="138"/>
        <v>0</v>
      </c>
      <c r="CT308" s="648">
        <f t="shared" si="139"/>
        <v>0</v>
      </c>
      <c r="CU308" s="648">
        <f t="shared" si="140"/>
        <v>0</v>
      </c>
      <c r="CV308" s="648">
        <f t="shared" si="141"/>
        <v>0</v>
      </c>
      <c r="CW308" s="648">
        <f t="shared" si="142"/>
        <v>0</v>
      </c>
      <c r="CX308" s="634">
        <v>0</v>
      </c>
      <c r="CY308" s="616"/>
      <c r="CZ308" s="619">
        <f>IF(BN309=0,0,             IF(ISNUMBER(CY308),CY308,             IF(ISTEXT(CY308),INDEX(CP308:CW308,MATCH(CY308,$CP$17:$CW$17,0)),           IF(CX308="INT",_xll.qInterp(BN309,BZ308:CG308,CP308:CW308),       INDEX(CP308:CW308,MATCH(CX308,$CP$17:$CW$17,0))))))</f>
        <v>0</v>
      </c>
      <c r="DA308" s="755">
        <f t="shared" si="143"/>
        <v>0</v>
      </c>
      <c r="DB308" s="387">
        <f t="shared" si="144"/>
        <v>0</v>
      </c>
      <c r="DC308" s="268">
        <f>IF($BN309=0,0,         IF(LEFT(DCC_Leg2_Fixed,2)="1/",uEvaluate(DCC_Leg2_Fixed),         _xll.qDateYears($BN308,$BN309,DCC_Leg2_Fixed)))</f>
        <v>0</v>
      </c>
      <c r="DD308" s="268">
        <f>IF($BN309,_xll.qDateYears($BN308,$BN309,DCC_Leg2_Float),0)</f>
        <v>0</v>
      </c>
      <c r="DF308" s="332">
        <f t="shared" si="159"/>
        <v>0</v>
      </c>
      <c r="DG308" s="357">
        <f t="shared" si="160"/>
        <v>0</v>
      </c>
      <c r="DH308" s="527"/>
      <c r="DJ308" s="324">
        <f t="shared" si="162"/>
        <v>0</v>
      </c>
      <c r="DK308" s="529"/>
      <c r="DL308" s="338"/>
    </row>
    <row r="309" spans="15:116">
      <c r="O309" s="121">
        <v>0</v>
      </c>
      <c r="P309" s="755">
        <f t="shared" si="131"/>
        <v>0</v>
      </c>
      <c r="Q309" s="125">
        <v>0</v>
      </c>
      <c r="R309" s="890">
        <f>IF(O310=0,0,         IF(OR(Currency1="AUD",Currency1="NZD",Currency1="GBP"),O309,   _xll.qDateNext(O309,"-2b",,,IF(Currency1="EUR","TGT","LON"))))</f>
        <v>0</v>
      </c>
      <c r="S309" s="879" t="str">
        <v/>
      </c>
      <c r="T309" s="879" t="str">
        <v/>
      </c>
      <c r="U309" s="879" t="str">
        <v/>
      </c>
      <c r="V309" s="879" t="str">
        <v/>
      </c>
      <c r="W309" s="879" t="str">
        <v/>
      </c>
      <c r="X309" s="879" t="str">
        <v/>
      </c>
      <c r="Y309" s="879" t="str">
        <v/>
      </c>
      <c r="Z309" s="879" t="str">
        <v/>
      </c>
      <c r="AA309" s="882">
        <f>IF($O310=0,0,        _xll.qDateNext($O309,AA$17,$AH$16,TRUE,Currency1))</f>
        <v>0</v>
      </c>
      <c r="AB309" s="882">
        <f>IF($O310=0,0,        _xll.qDateNext($O309,AB$17,$AH$16,TRUE,Currency1))</f>
        <v>0</v>
      </c>
      <c r="AC309" s="882">
        <f>IF($O310=0,0,        _xll.qDateNext($O309,AC$17,$AH$16,TRUE,Currency1))</f>
        <v>0</v>
      </c>
      <c r="AD309" s="882">
        <f>IF($O310=0,0,        _xll.qDateNext($O309,AD$17,$AH$16,TRUE,Currency1))</f>
        <v>0</v>
      </c>
      <c r="AE309" s="882">
        <f>IF($O310=0,0,        _xll.qDateNext($O309,AE$17,$AH$16,TRUE,Currency1))</f>
        <v>0</v>
      </c>
      <c r="AF309" s="882">
        <f>IF($O310=0,0,        _xll.qDateNext($O309,AF$17,$AH$16,TRUE,Currency1))</f>
        <v>0</v>
      </c>
      <c r="AG309" s="882">
        <f>IF($O310=0,0,        _xll.qDateNext($O309,AG$17,$AH$16,TRUE,Currency1))</f>
        <v>0</v>
      </c>
      <c r="AH309" s="882">
        <f>IF($O310=0,0,        _xll.qDateNext($O309,AH$17,$AH$16,TRUE,Currency1))</f>
        <v>0</v>
      </c>
      <c r="AI309" s="886">
        <f>IF($O310=0,0,           IF(FRM,_xll.qGetFwdRate(AI$14,$O309,AA309,"T",DCC_Leg1_Float),_xll.qGetFwdRate(AI$14,$O309,$O310,"T",DCC_Leg1_Float)))</f>
        <v>0</v>
      </c>
      <c r="AJ309" s="886">
        <f>IF($O310=0,0,           IF(FRM,_xll.qGetFwdRate(AJ$14,$O309,AB309,"T",DCC_Leg1_Float),_xll.qGetFwdRate(AJ$14,$O309,$O310,"T",DCC_Leg1_Float)))</f>
        <v>0</v>
      </c>
      <c r="AK309" s="886">
        <f t="shared" si="132"/>
        <v>0</v>
      </c>
      <c r="AL309" s="886">
        <f>IF($O310=0,0,           IF(FRM,_xll.qGetFwdRate(AL$14,$O309,AD309,"T",DCC_Leg1_Float),_xll.qGetFwdRate(AL$14,$O309,$O310,"T",DCC_Leg1_Float)))</f>
        <v>0</v>
      </c>
      <c r="AM309" s="886">
        <f t="shared" si="145"/>
        <v>0</v>
      </c>
      <c r="AN309" s="886">
        <f t="shared" si="146"/>
        <v>0</v>
      </c>
      <c r="AO309" s="886">
        <f>IF($O310=0,0,           IF(FRM,_xll.qGetFwdRate(AO$14,$O309,AG309,"T",DCC_Leg1_Float),_xll.qGetFwdRate(AO$14,$O309,$O310,"T",DCC_Leg1_Float)))</f>
        <v>0</v>
      </c>
      <c r="AP309" s="886">
        <f>IF($O310=0,0,           IF(FRM,_xll.qGetFwdRate(AP$14,$O309,AH309,"T",DCC_Leg1_Float),_xll.qGetFwdRate(AP$14,$O309,$O310,"T",DCC_Leg1_Float)))</f>
        <v>0</v>
      </c>
      <c r="AQ309" s="648">
        <f t="shared" si="147"/>
        <v>0</v>
      </c>
      <c r="AR309" s="648">
        <f t="shared" si="148"/>
        <v>0</v>
      </c>
      <c r="AS309" s="648">
        <f t="shared" si="149"/>
        <v>0</v>
      </c>
      <c r="AT309" s="648">
        <f t="shared" si="150"/>
        <v>0</v>
      </c>
      <c r="AU309" s="648">
        <f t="shared" si="151"/>
        <v>0</v>
      </c>
      <c r="AV309" s="648">
        <f t="shared" si="152"/>
        <v>0</v>
      </c>
      <c r="AW309" s="648">
        <f t="shared" si="153"/>
        <v>0</v>
      </c>
      <c r="AX309" s="648">
        <f t="shared" si="154"/>
        <v>0</v>
      </c>
      <c r="AY309" s="634">
        <v>0</v>
      </c>
      <c r="AZ309" s="616"/>
      <c r="BA309" s="619">
        <f>IF(O310=0,0,             IF(ISNUMBER(AZ309),AZ309,             IF(ISTEXT(AZ309),INDEX(AQ309:AX309,MATCH(AZ309,$AQ$17:$AX$17,0)),           IF(AY309="INT",_xll.qInterp(O310,AA309:AH309,AQ309:AX309),       INDEX(AQ309:AX309,MATCH(AY309,$AQ$17:$AX$17,0))))))</f>
        <v>0</v>
      </c>
      <c r="BB309" s="674">
        <v>100</v>
      </c>
      <c r="BC309" s="666">
        <f t="shared" si="133"/>
        <v>0</v>
      </c>
      <c r="BD309" s="268">
        <f>IF($O310=0,0,                IF(LEFT(DCC_Leg1_Fixed,2)="1/",uEvaluate(DCC_Leg1_Fixed),        _xll.qDateYears($O309,$O310,DCC_Leg1_Fixed)))</f>
        <v>0</v>
      </c>
      <c r="BE309" s="268">
        <f>IF($O310,_xll.qDateYears($O309,$O310,DCC_Leg1_Float),0)</f>
        <v>0</v>
      </c>
      <c r="BG309" s="332">
        <f t="shared" si="155"/>
        <v>0</v>
      </c>
      <c r="BH309" s="357">
        <f t="shared" si="156"/>
        <v>0</v>
      </c>
      <c r="BI309" s="527"/>
      <c r="BK309" s="324">
        <f t="shared" si="161"/>
        <v>0</v>
      </c>
      <c r="BM309" s="338"/>
      <c r="BN309" s="121">
        <v>0</v>
      </c>
      <c r="BO309" s="755">
        <f t="shared" si="134"/>
        <v>0</v>
      </c>
      <c r="BP309" s="339">
        <v>0</v>
      </c>
      <c r="BQ309" s="890">
        <f>IF(BN310=0,0,         IF(OR(Currency2="AUD",Currency1="NZD",Currency2="GBP"),BN309,   _xll.qDateNext(BN309,"-2b",,,IF(Currency2="EUR","TGT","LON"))))</f>
        <v>0</v>
      </c>
      <c r="BR309" s="879" t="str">
        <v/>
      </c>
      <c r="BS309" s="879" t="str">
        <v/>
      </c>
      <c r="BT309" s="879" t="str">
        <v/>
      </c>
      <c r="BU309" s="879" t="str">
        <v/>
      </c>
      <c r="BV309" s="879" t="str">
        <v/>
      </c>
      <c r="BW309" s="879" t="str">
        <v/>
      </c>
      <c r="BX309" s="879" t="str">
        <v/>
      </c>
      <c r="BY309" s="879" t="str">
        <v/>
      </c>
      <c r="BZ309" s="882">
        <f>IF($BN310=0,0,        _xll.qDateNext($BN309,BZ$17,$CG$16,TRUE,Currency2))</f>
        <v>0</v>
      </c>
      <c r="CA309" s="882">
        <f>IF($BN310=0,0,        _xll.qDateNext($BN309,CA$17,$CG$16,TRUE,Currency2))</f>
        <v>0</v>
      </c>
      <c r="CB309" s="882">
        <f>IF($BN310=0,0,        _xll.qDateNext($BN309,CB$17,$CG$16,TRUE,Currency2))</f>
        <v>0</v>
      </c>
      <c r="CC309" s="882">
        <f>IF($BN310=0,0,        _xll.qDateNext($BN309,CC$17,$CG$16,TRUE,Currency2))</f>
        <v>0</v>
      </c>
      <c r="CD309" s="882">
        <f>IF($BN310=0,0,        _xll.qDateNext($BN309,CD$17,$CG$16,TRUE,Currency2))</f>
        <v>0</v>
      </c>
      <c r="CE309" s="882">
        <f>IF($BN310=0,0,        _xll.qDateNext($BN309,CE$17,$CG$16,TRUE,Currency2))</f>
        <v>0</v>
      </c>
      <c r="CF309" s="882">
        <f>IF($BN310=0,0,        _xll.qDateNext($BN309,CF$17,$CG$16,TRUE,Currency2))</f>
        <v>0</v>
      </c>
      <c r="CG309" s="882">
        <f>IF($BN310=0,0,        _xll.qDateNext($BN309,CG$17,$CG$16,TRUE,Currency2))</f>
        <v>0</v>
      </c>
      <c r="CH309" s="886">
        <v>0</v>
      </c>
      <c r="CI309" s="886">
        <v>0</v>
      </c>
      <c r="CJ309" s="886">
        <v>0</v>
      </c>
      <c r="CK309" s="886">
        <v>0</v>
      </c>
      <c r="CL309" s="886">
        <f t="shared" si="157"/>
        <v>0</v>
      </c>
      <c r="CM309" s="886">
        <f t="shared" si="158"/>
        <v>0</v>
      </c>
      <c r="CN309" s="886">
        <v>0</v>
      </c>
      <c r="CO309" s="886">
        <v>0</v>
      </c>
      <c r="CP309" s="648">
        <f t="shared" si="135"/>
        <v>0</v>
      </c>
      <c r="CQ309" s="648">
        <f t="shared" si="136"/>
        <v>0</v>
      </c>
      <c r="CR309" s="648">
        <f t="shared" si="137"/>
        <v>0</v>
      </c>
      <c r="CS309" s="648">
        <f t="shared" si="138"/>
        <v>0</v>
      </c>
      <c r="CT309" s="648">
        <f t="shared" si="139"/>
        <v>0</v>
      </c>
      <c r="CU309" s="648">
        <f t="shared" si="140"/>
        <v>0</v>
      </c>
      <c r="CV309" s="648">
        <f t="shared" si="141"/>
        <v>0</v>
      </c>
      <c r="CW309" s="648">
        <f t="shared" si="142"/>
        <v>0</v>
      </c>
      <c r="CX309" s="634">
        <v>0</v>
      </c>
      <c r="CY309" s="616"/>
      <c r="CZ309" s="619">
        <f>IF(BN310=0,0,             IF(ISNUMBER(CY309),CY309,             IF(ISTEXT(CY309),INDEX(CP309:CW309,MATCH(CY309,$CP$17:$CW$17,0)),           IF(CX309="INT",_xll.qInterp(BN310,BZ309:CG309,CP309:CW309),       INDEX(CP309:CW309,MATCH(CX309,$CP$17:$CW$17,0))))))</f>
        <v>0</v>
      </c>
      <c r="DA309" s="755">
        <f t="shared" si="143"/>
        <v>0</v>
      </c>
      <c r="DB309" s="387">
        <f t="shared" si="144"/>
        <v>0</v>
      </c>
      <c r="DC309" s="268">
        <f>IF($BN310=0,0,         IF(LEFT(DCC_Leg2_Fixed,2)="1/",uEvaluate(DCC_Leg2_Fixed),         _xll.qDateYears($BN309,$BN310,DCC_Leg2_Fixed)))</f>
        <v>0</v>
      </c>
      <c r="DD309" s="268">
        <f>IF($BN310,_xll.qDateYears($BN309,$BN310,DCC_Leg2_Float),0)</f>
        <v>0</v>
      </c>
      <c r="DF309" s="332">
        <f t="shared" si="159"/>
        <v>0</v>
      </c>
      <c r="DG309" s="357">
        <f t="shared" si="160"/>
        <v>0</v>
      </c>
      <c r="DH309" s="527"/>
      <c r="DJ309" s="324">
        <f t="shared" si="162"/>
        <v>0</v>
      </c>
      <c r="DK309" s="529"/>
      <c r="DL309" s="338"/>
    </row>
    <row r="310" spans="15:116">
      <c r="O310" s="121">
        <v>0</v>
      </c>
      <c r="P310" s="755">
        <f t="shared" si="131"/>
        <v>0</v>
      </c>
      <c r="Q310" s="125">
        <v>0</v>
      </c>
      <c r="R310" s="890">
        <f>IF(O311=0,0,         IF(OR(Currency1="AUD",Currency1="NZD",Currency1="GBP"),O310,   _xll.qDateNext(O310,"-2b",,,IF(Currency1="EUR","TGT","LON"))))</f>
        <v>0</v>
      </c>
      <c r="S310" s="879" t="str">
        <v/>
      </c>
      <c r="T310" s="879" t="str">
        <v/>
      </c>
      <c r="U310" s="879" t="str">
        <v/>
      </c>
      <c r="V310" s="879" t="str">
        <v/>
      </c>
      <c r="W310" s="879" t="str">
        <v/>
      </c>
      <c r="X310" s="879" t="str">
        <v/>
      </c>
      <c r="Y310" s="879" t="str">
        <v/>
      </c>
      <c r="Z310" s="879" t="str">
        <v/>
      </c>
      <c r="AA310" s="882">
        <f>IF($O311=0,0,        _xll.qDateNext($O310,AA$17,$AH$16,TRUE,Currency1))</f>
        <v>0</v>
      </c>
      <c r="AB310" s="882">
        <f>IF($O311=0,0,        _xll.qDateNext($O310,AB$17,$AH$16,TRUE,Currency1))</f>
        <v>0</v>
      </c>
      <c r="AC310" s="882">
        <f>IF($O311=0,0,        _xll.qDateNext($O310,AC$17,$AH$16,TRUE,Currency1))</f>
        <v>0</v>
      </c>
      <c r="AD310" s="882">
        <f>IF($O311=0,0,        _xll.qDateNext($O310,AD$17,$AH$16,TRUE,Currency1))</f>
        <v>0</v>
      </c>
      <c r="AE310" s="882">
        <f>IF($O311=0,0,        _xll.qDateNext($O310,AE$17,$AH$16,TRUE,Currency1))</f>
        <v>0</v>
      </c>
      <c r="AF310" s="882">
        <f>IF($O311=0,0,        _xll.qDateNext($O310,AF$17,$AH$16,TRUE,Currency1))</f>
        <v>0</v>
      </c>
      <c r="AG310" s="882">
        <f>IF($O311=0,0,        _xll.qDateNext($O310,AG$17,$AH$16,TRUE,Currency1))</f>
        <v>0</v>
      </c>
      <c r="AH310" s="882">
        <f>IF($O311=0,0,        _xll.qDateNext($O310,AH$17,$AH$16,TRUE,Currency1))</f>
        <v>0</v>
      </c>
      <c r="AI310" s="886">
        <f>IF($O311=0,0,           IF(FRM,_xll.qGetFwdRate(AI$14,$O310,AA310,"T",DCC_Leg1_Float),_xll.qGetFwdRate(AI$14,$O310,$O311,"T",DCC_Leg1_Float)))</f>
        <v>0</v>
      </c>
      <c r="AJ310" s="886">
        <f>IF($O311=0,0,           IF(FRM,_xll.qGetFwdRate(AJ$14,$O310,AB310,"T",DCC_Leg1_Float),_xll.qGetFwdRate(AJ$14,$O310,$O311,"T",DCC_Leg1_Float)))</f>
        <v>0</v>
      </c>
      <c r="AK310" s="886">
        <f t="shared" si="132"/>
        <v>0</v>
      </c>
      <c r="AL310" s="886">
        <f>IF($O311=0,0,           IF(FRM,_xll.qGetFwdRate(AL$14,$O310,AD310,"T",DCC_Leg1_Float),_xll.qGetFwdRate(AL$14,$O310,$O311,"T",DCC_Leg1_Float)))</f>
        <v>0</v>
      </c>
      <c r="AM310" s="886">
        <f t="shared" si="145"/>
        <v>0</v>
      </c>
      <c r="AN310" s="886">
        <f t="shared" si="146"/>
        <v>0</v>
      </c>
      <c r="AO310" s="886">
        <f>IF($O311=0,0,           IF(FRM,_xll.qGetFwdRate(AO$14,$O310,AG310,"T",DCC_Leg1_Float),_xll.qGetFwdRate(AO$14,$O310,$O311,"T",DCC_Leg1_Float)))</f>
        <v>0</v>
      </c>
      <c r="AP310" s="886">
        <f>IF($O311=0,0,           IF(FRM,_xll.qGetFwdRate(AP$14,$O310,AH310,"T",DCC_Leg1_Float),_xll.qGetFwdRate(AP$14,$O310,$O311,"T",DCC_Leg1_Float)))</f>
        <v>0</v>
      </c>
      <c r="AQ310" s="648">
        <f t="shared" si="147"/>
        <v>0</v>
      </c>
      <c r="AR310" s="648">
        <f t="shared" si="148"/>
        <v>0</v>
      </c>
      <c r="AS310" s="648">
        <f t="shared" si="149"/>
        <v>0</v>
      </c>
      <c r="AT310" s="648">
        <f t="shared" si="150"/>
        <v>0</v>
      </c>
      <c r="AU310" s="648">
        <f t="shared" si="151"/>
        <v>0</v>
      </c>
      <c r="AV310" s="648">
        <f t="shared" si="152"/>
        <v>0</v>
      </c>
      <c r="AW310" s="648">
        <f t="shared" si="153"/>
        <v>0</v>
      </c>
      <c r="AX310" s="648">
        <f t="shared" si="154"/>
        <v>0</v>
      </c>
      <c r="AY310" s="634">
        <v>0</v>
      </c>
      <c r="AZ310" s="616"/>
      <c r="BA310" s="619">
        <f>IF(O311=0,0,             IF(ISNUMBER(AZ310),AZ310,             IF(ISTEXT(AZ310),INDEX(AQ310:AX310,MATCH(AZ310,$AQ$17:$AX$17,0)),           IF(AY310="INT",_xll.qInterp(O311,AA310:AH310,AQ310:AX310),       INDEX(AQ310:AX310,MATCH(AY310,$AQ$17:$AX$17,0))))))</f>
        <v>0</v>
      </c>
      <c r="BB310" s="674">
        <v>100</v>
      </c>
      <c r="BC310" s="666">
        <f t="shared" si="133"/>
        <v>0</v>
      </c>
      <c r="BD310" s="268">
        <f>IF($O311=0,0,                IF(LEFT(DCC_Leg1_Fixed,2)="1/",uEvaluate(DCC_Leg1_Fixed),        _xll.qDateYears($O310,$O311,DCC_Leg1_Fixed)))</f>
        <v>0</v>
      </c>
      <c r="BE310" s="268">
        <f>IF($O311,_xll.qDateYears($O310,$O311,DCC_Leg1_Float),0)</f>
        <v>0</v>
      </c>
      <c r="BG310" s="332">
        <f t="shared" si="155"/>
        <v>0</v>
      </c>
      <c r="BH310" s="357">
        <f t="shared" si="156"/>
        <v>0</v>
      </c>
      <c r="BI310" s="527"/>
      <c r="BK310" s="324">
        <f t="shared" si="161"/>
        <v>0</v>
      </c>
      <c r="BM310" s="338"/>
      <c r="BN310" s="121">
        <v>0</v>
      </c>
      <c r="BO310" s="755">
        <f t="shared" si="134"/>
        <v>0</v>
      </c>
      <c r="BP310" s="339">
        <v>0</v>
      </c>
      <c r="BQ310" s="890">
        <f>IF(BN311=0,0,         IF(OR(Currency2="AUD",Currency1="NZD",Currency2="GBP"),BN310,   _xll.qDateNext(BN310,"-2b",,,IF(Currency2="EUR","TGT","LON"))))</f>
        <v>0</v>
      </c>
      <c r="BR310" s="879" t="str">
        <v/>
      </c>
      <c r="BS310" s="879" t="str">
        <v/>
      </c>
      <c r="BT310" s="879" t="str">
        <v/>
      </c>
      <c r="BU310" s="879" t="str">
        <v/>
      </c>
      <c r="BV310" s="879" t="str">
        <v/>
      </c>
      <c r="BW310" s="879" t="str">
        <v/>
      </c>
      <c r="BX310" s="879" t="str">
        <v/>
      </c>
      <c r="BY310" s="879" t="str">
        <v/>
      </c>
      <c r="BZ310" s="882">
        <f>IF($BN311=0,0,        _xll.qDateNext($BN310,BZ$17,$CG$16,TRUE,Currency2))</f>
        <v>0</v>
      </c>
      <c r="CA310" s="882">
        <f>IF($BN311=0,0,        _xll.qDateNext($BN310,CA$17,$CG$16,TRUE,Currency2))</f>
        <v>0</v>
      </c>
      <c r="CB310" s="882">
        <f>IF($BN311=0,0,        _xll.qDateNext($BN310,CB$17,$CG$16,TRUE,Currency2))</f>
        <v>0</v>
      </c>
      <c r="CC310" s="882">
        <f>IF($BN311=0,0,        _xll.qDateNext($BN310,CC$17,$CG$16,TRUE,Currency2))</f>
        <v>0</v>
      </c>
      <c r="CD310" s="882">
        <f>IF($BN311=0,0,        _xll.qDateNext($BN310,CD$17,$CG$16,TRUE,Currency2))</f>
        <v>0</v>
      </c>
      <c r="CE310" s="882">
        <f>IF($BN311=0,0,        _xll.qDateNext($BN310,CE$17,$CG$16,TRUE,Currency2))</f>
        <v>0</v>
      </c>
      <c r="CF310" s="882">
        <f>IF($BN311=0,0,        _xll.qDateNext($BN310,CF$17,$CG$16,TRUE,Currency2))</f>
        <v>0</v>
      </c>
      <c r="CG310" s="882">
        <f>IF($BN311=0,0,        _xll.qDateNext($BN310,CG$17,$CG$16,TRUE,Currency2))</f>
        <v>0</v>
      </c>
      <c r="CH310" s="886">
        <v>0</v>
      </c>
      <c r="CI310" s="886">
        <v>0</v>
      </c>
      <c r="CJ310" s="886">
        <v>0</v>
      </c>
      <c r="CK310" s="886">
        <v>0</v>
      </c>
      <c r="CL310" s="886">
        <f t="shared" si="157"/>
        <v>0</v>
      </c>
      <c r="CM310" s="886">
        <f t="shared" si="158"/>
        <v>0</v>
      </c>
      <c r="CN310" s="886">
        <v>0</v>
      </c>
      <c r="CO310" s="886">
        <v>0</v>
      </c>
      <c r="CP310" s="648">
        <f t="shared" si="135"/>
        <v>0</v>
      </c>
      <c r="CQ310" s="648">
        <f t="shared" si="136"/>
        <v>0</v>
      </c>
      <c r="CR310" s="648">
        <f t="shared" si="137"/>
        <v>0</v>
      </c>
      <c r="CS310" s="648">
        <f t="shared" si="138"/>
        <v>0</v>
      </c>
      <c r="CT310" s="648">
        <f t="shared" si="139"/>
        <v>0</v>
      </c>
      <c r="CU310" s="648">
        <f t="shared" si="140"/>
        <v>0</v>
      </c>
      <c r="CV310" s="648">
        <f t="shared" si="141"/>
        <v>0</v>
      </c>
      <c r="CW310" s="648">
        <f t="shared" si="142"/>
        <v>0</v>
      </c>
      <c r="CX310" s="634">
        <v>0</v>
      </c>
      <c r="CY310" s="616"/>
      <c r="CZ310" s="619">
        <f>IF(BN311=0,0,             IF(ISNUMBER(CY310),CY310,             IF(ISTEXT(CY310),INDEX(CP310:CW310,MATCH(CY310,$CP$17:$CW$17,0)),           IF(CX310="INT",_xll.qInterp(BN311,BZ310:CG310,CP310:CW310),       INDEX(CP310:CW310,MATCH(CX310,$CP$17:$CW$17,0))))))</f>
        <v>0</v>
      </c>
      <c r="DA310" s="755">
        <f t="shared" si="143"/>
        <v>0</v>
      </c>
      <c r="DB310" s="387">
        <f t="shared" si="144"/>
        <v>0</v>
      </c>
      <c r="DC310" s="268">
        <f>IF($BN311=0,0,         IF(LEFT(DCC_Leg2_Fixed,2)="1/",uEvaluate(DCC_Leg2_Fixed),         _xll.qDateYears($BN310,$BN311,DCC_Leg2_Fixed)))</f>
        <v>0</v>
      </c>
      <c r="DD310" s="268">
        <f>IF($BN311,_xll.qDateYears($BN310,$BN311,DCC_Leg2_Float),0)</f>
        <v>0</v>
      </c>
      <c r="DF310" s="332">
        <f t="shared" si="159"/>
        <v>0</v>
      </c>
      <c r="DG310" s="357">
        <f t="shared" si="160"/>
        <v>0</v>
      </c>
      <c r="DH310" s="527"/>
      <c r="DJ310" s="324">
        <f t="shared" si="162"/>
        <v>0</v>
      </c>
      <c r="DK310" s="529"/>
      <c r="DL310" s="338"/>
    </row>
    <row r="311" spans="15:116">
      <c r="O311" s="121">
        <v>0</v>
      </c>
      <c r="P311" s="755">
        <f t="shared" si="131"/>
        <v>0</v>
      </c>
      <c r="Q311" s="125">
        <v>0</v>
      </c>
      <c r="R311" s="890">
        <f>IF(O312=0,0,         IF(OR(Currency1="AUD",Currency1="NZD",Currency1="GBP"),O311,   _xll.qDateNext(O311,"-2b",,,IF(Currency1="EUR","TGT","LON"))))</f>
        <v>0</v>
      </c>
      <c r="S311" s="879" t="str">
        <v/>
      </c>
      <c r="T311" s="879" t="str">
        <v/>
      </c>
      <c r="U311" s="879" t="str">
        <v/>
      </c>
      <c r="V311" s="879" t="str">
        <v/>
      </c>
      <c r="W311" s="879" t="str">
        <v/>
      </c>
      <c r="X311" s="879" t="str">
        <v/>
      </c>
      <c r="Y311" s="879" t="str">
        <v/>
      </c>
      <c r="Z311" s="879" t="str">
        <v/>
      </c>
      <c r="AA311" s="882">
        <f>IF($O312=0,0,        _xll.qDateNext($O311,AA$17,$AH$16,TRUE,Currency1))</f>
        <v>0</v>
      </c>
      <c r="AB311" s="882">
        <f>IF($O312=0,0,        _xll.qDateNext($O311,AB$17,$AH$16,TRUE,Currency1))</f>
        <v>0</v>
      </c>
      <c r="AC311" s="882">
        <f>IF($O312=0,0,        _xll.qDateNext($O311,AC$17,$AH$16,TRUE,Currency1))</f>
        <v>0</v>
      </c>
      <c r="AD311" s="882">
        <f>IF($O312=0,0,        _xll.qDateNext($O311,AD$17,$AH$16,TRUE,Currency1))</f>
        <v>0</v>
      </c>
      <c r="AE311" s="882">
        <f>IF($O312=0,0,        _xll.qDateNext($O311,AE$17,$AH$16,TRUE,Currency1))</f>
        <v>0</v>
      </c>
      <c r="AF311" s="882">
        <f>IF($O312=0,0,        _xll.qDateNext($O311,AF$17,$AH$16,TRUE,Currency1))</f>
        <v>0</v>
      </c>
      <c r="AG311" s="882">
        <f>IF($O312=0,0,        _xll.qDateNext($O311,AG$17,$AH$16,TRUE,Currency1))</f>
        <v>0</v>
      </c>
      <c r="AH311" s="882">
        <f>IF($O312=0,0,        _xll.qDateNext($O311,AH$17,$AH$16,TRUE,Currency1))</f>
        <v>0</v>
      </c>
      <c r="AI311" s="886">
        <f>IF($O312=0,0,           IF(FRM,_xll.qGetFwdRate(AI$14,$O311,AA311,"T",DCC_Leg1_Float),_xll.qGetFwdRate(AI$14,$O311,$O312,"T",DCC_Leg1_Float)))</f>
        <v>0</v>
      </c>
      <c r="AJ311" s="886">
        <f>IF($O312=0,0,           IF(FRM,_xll.qGetFwdRate(AJ$14,$O311,AB311,"T",DCC_Leg1_Float),_xll.qGetFwdRate(AJ$14,$O311,$O312,"T",DCC_Leg1_Float)))</f>
        <v>0</v>
      </c>
      <c r="AK311" s="886">
        <f t="shared" si="132"/>
        <v>0</v>
      </c>
      <c r="AL311" s="886">
        <f>IF($O312=0,0,           IF(FRM,_xll.qGetFwdRate(AL$14,$O311,AD311,"T",DCC_Leg1_Float),_xll.qGetFwdRate(AL$14,$O311,$O312,"T",DCC_Leg1_Float)))</f>
        <v>0</v>
      </c>
      <c r="AM311" s="886">
        <f t="shared" si="145"/>
        <v>0</v>
      </c>
      <c r="AN311" s="886">
        <f t="shared" si="146"/>
        <v>0</v>
      </c>
      <c r="AO311" s="886">
        <f>IF($O312=0,0,           IF(FRM,_xll.qGetFwdRate(AO$14,$O311,AG311,"T",DCC_Leg1_Float),_xll.qGetFwdRate(AO$14,$O311,$O312,"T",DCC_Leg1_Float)))</f>
        <v>0</v>
      </c>
      <c r="AP311" s="886">
        <f>IF($O312=0,0,           IF(FRM,_xll.qGetFwdRate(AP$14,$O311,AH311,"T",DCC_Leg1_Float),_xll.qGetFwdRate(AP$14,$O311,$O312,"T",DCC_Leg1_Float)))</f>
        <v>0</v>
      </c>
      <c r="AQ311" s="648">
        <f t="shared" si="147"/>
        <v>0</v>
      </c>
      <c r="AR311" s="648">
        <f t="shared" si="148"/>
        <v>0</v>
      </c>
      <c r="AS311" s="648">
        <f t="shared" si="149"/>
        <v>0</v>
      </c>
      <c r="AT311" s="648">
        <f t="shared" si="150"/>
        <v>0</v>
      </c>
      <c r="AU311" s="648">
        <f t="shared" si="151"/>
        <v>0</v>
      </c>
      <c r="AV311" s="648">
        <f t="shared" si="152"/>
        <v>0</v>
      </c>
      <c r="AW311" s="648">
        <f t="shared" si="153"/>
        <v>0</v>
      </c>
      <c r="AX311" s="648">
        <f t="shared" si="154"/>
        <v>0</v>
      </c>
      <c r="AY311" s="634">
        <v>0</v>
      </c>
      <c r="AZ311" s="616"/>
      <c r="BA311" s="619">
        <f>IF(O312=0,0,             IF(ISNUMBER(AZ311),AZ311,             IF(ISTEXT(AZ311),INDEX(AQ311:AX311,MATCH(AZ311,$AQ$17:$AX$17,0)),           IF(AY311="INT",_xll.qInterp(O312,AA311:AH311,AQ311:AX311),       INDEX(AQ311:AX311,MATCH(AY311,$AQ$17:$AX$17,0))))))</f>
        <v>0</v>
      </c>
      <c r="BB311" s="674">
        <v>100</v>
      </c>
      <c r="BC311" s="666">
        <f t="shared" si="133"/>
        <v>0</v>
      </c>
      <c r="BD311" s="268">
        <f>IF($O312=0,0,                IF(LEFT(DCC_Leg1_Fixed,2)="1/",uEvaluate(DCC_Leg1_Fixed),        _xll.qDateYears($O311,$O312,DCC_Leg1_Fixed)))</f>
        <v>0</v>
      </c>
      <c r="BE311" s="268">
        <f>IF($O312,_xll.qDateYears($O311,$O312,DCC_Leg1_Float),0)</f>
        <v>0</v>
      </c>
      <c r="BG311" s="332">
        <f t="shared" si="155"/>
        <v>0</v>
      </c>
      <c r="BH311" s="357">
        <f t="shared" si="156"/>
        <v>0</v>
      </c>
      <c r="BI311" s="527"/>
      <c r="BK311" s="324">
        <f t="shared" si="161"/>
        <v>0</v>
      </c>
      <c r="BM311" s="338"/>
      <c r="BN311" s="121">
        <v>0</v>
      </c>
      <c r="BO311" s="755">
        <f t="shared" si="134"/>
        <v>0</v>
      </c>
      <c r="BP311" s="339">
        <v>0</v>
      </c>
      <c r="BQ311" s="890">
        <f>IF(BN312=0,0,         IF(OR(Currency2="AUD",Currency1="NZD",Currency2="GBP"),BN311,   _xll.qDateNext(BN311,"-2b",,,IF(Currency2="EUR","TGT","LON"))))</f>
        <v>0</v>
      </c>
      <c r="BR311" s="879" t="str">
        <v/>
      </c>
      <c r="BS311" s="879" t="str">
        <v/>
      </c>
      <c r="BT311" s="879" t="str">
        <v/>
      </c>
      <c r="BU311" s="879" t="str">
        <v/>
      </c>
      <c r="BV311" s="879" t="str">
        <v/>
      </c>
      <c r="BW311" s="879" t="str">
        <v/>
      </c>
      <c r="BX311" s="879" t="str">
        <v/>
      </c>
      <c r="BY311" s="879" t="str">
        <v/>
      </c>
      <c r="BZ311" s="882">
        <f>IF($BN312=0,0,        _xll.qDateNext($BN311,BZ$17,$CG$16,TRUE,Currency2))</f>
        <v>0</v>
      </c>
      <c r="CA311" s="882">
        <f>IF($BN312=0,0,        _xll.qDateNext($BN311,CA$17,$CG$16,TRUE,Currency2))</f>
        <v>0</v>
      </c>
      <c r="CB311" s="882">
        <f>IF($BN312=0,0,        _xll.qDateNext($BN311,CB$17,$CG$16,TRUE,Currency2))</f>
        <v>0</v>
      </c>
      <c r="CC311" s="882">
        <f>IF($BN312=0,0,        _xll.qDateNext($BN311,CC$17,$CG$16,TRUE,Currency2))</f>
        <v>0</v>
      </c>
      <c r="CD311" s="882">
        <f>IF($BN312=0,0,        _xll.qDateNext($BN311,CD$17,$CG$16,TRUE,Currency2))</f>
        <v>0</v>
      </c>
      <c r="CE311" s="882">
        <f>IF($BN312=0,0,        _xll.qDateNext($BN311,CE$17,$CG$16,TRUE,Currency2))</f>
        <v>0</v>
      </c>
      <c r="CF311" s="882">
        <f>IF($BN312=0,0,        _xll.qDateNext($BN311,CF$17,$CG$16,TRUE,Currency2))</f>
        <v>0</v>
      </c>
      <c r="CG311" s="882">
        <f>IF($BN312=0,0,        _xll.qDateNext($BN311,CG$17,$CG$16,TRUE,Currency2))</f>
        <v>0</v>
      </c>
      <c r="CH311" s="886">
        <v>0</v>
      </c>
      <c r="CI311" s="886">
        <v>0</v>
      </c>
      <c r="CJ311" s="886">
        <v>0</v>
      </c>
      <c r="CK311" s="886">
        <v>0</v>
      </c>
      <c r="CL311" s="886">
        <f t="shared" si="157"/>
        <v>0</v>
      </c>
      <c r="CM311" s="886">
        <f t="shared" si="158"/>
        <v>0</v>
      </c>
      <c r="CN311" s="886">
        <v>0</v>
      </c>
      <c r="CO311" s="886">
        <v>0</v>
      </c>
      <c r="CP311" s="648">
        <f t="shared" si="135"/>
        <v>0</v>
      </c>
      <c r="CQ311" s="648">
        <f t="shared" si="136"/>
        <v>0</v>
      </c>
      <c r="CR311" s="648">
        <f t="shared" si="137"/>
        <v>0</v>
      </c>
      <c r="CS311" s="648">
        <f t="shared" si="138"/>
        <v>0</v>
      </c>
      <c r="CT311" s="648">
        <f t="shared" si="139"/>
        <v>0</v>
      </c>
      <c r="CU311" s="648">
        <f t="shared" si="140"/>
        <v>0</v>
      </c>
      <c r="CV311" s="648">
        <f t="shared" si="141"/>
        <v>0</v>
      </c>
      <c r="CW311" s="648">
        <f t="shared" si="142"/>
        <v>0</v>
      </c>
      <c r="CX311" s="634">
        <v>0</v>
      </c>
      <c r="CY311" s="616"/>
      <c r="CZ311" s="619">
        <f>IF(BN312=0,0,             IF(ISNUMBER(CY311),CY311,             IF(ISTEXT(CY311),INDEX(CP311:CW311,MATCH(CY311,$CP$17:$CW$17,0)),           IF(CX311="INT",_xll.qInterp(BN312,BZ311:CG311,CP311:CW311),       INDEX(CP311:CW311,MATCH(CX311,$CP$17:$CW$17,0))))))</f>
        <v>0</v>
      </c>
      <c r="DA311" s="755">
        <f t="shared" si="143"/>
        <v>0</v>
      </c>
      <c r="DB311" s="387">
        <f t="shared" si="144"/>
        <v>0</v>
      </c>
      <c r="DC311" s="268">
        <f>IF($BN312=0,0,         IF(LEFT(DCC_Leg2_Fixed,2)="1/",uEvaluate(DCC_Leg2_Fixed),         _xll.qDateYears($BN311,$BN312,DCC_Leg2_Fixed)))</f>
        <v>0</v>
      </c>
      <c r="DD311" s="268">
        <f>IF($BN312,_xll.qDateYears($BN311,$BN312,DCC_Leg2_Float),0)</f>
        <v>0</v>
      </c>
      <c r="DF311" s="332">
        <f t="shared" si="159"/>
        <v>0</v>
      </c>
      <c r="DG311" s="357">
        <f t="shared" si="160"/>
        <v>0</v>
      </c>
      <c r="DH311" s="527"/>
      <c r="DJ311" s="324">
        <f t="shared" si="162"/>
        <v>0</v>
      </c>
      <c r="DK311" s="529"/>
      <c r="DL311" s="338"/>
    </row>
    <row r="312" spans="15:116">
      <c r="O312" s="121">
        <v>0</v>
      </c>
      <c r="P312" s="755">
        <f t="shared" si="131"/>
        <v>0</v>
      </c>
      <c r="Q312" s="125">
        <v>0</v>
      </c>
      <c r="R312" s="890">
        <f>IF(O313=0,0,         IF(OR(Currency1="AUD",Currency1="NZD",Currency1="GBP"),O312,   _xll.qDateNext(O312,"-2b",,,IF(Currency1="EUR","TGT","LON"))))</f>
        <v>0</v>
      </c>
      <c r="S312" s="879" t="str">
        <v/>
      </c>
      <c r="T312" s="879" t="str">
        <v/>
      </c>
      <c r="U312" s="879" t="str">
        <v/>
      </c>
      <c r="V312" s="879" t="str">
        <v/>
      </c>
      <c r="W312" s="879" t="str">
        <v/>
      </c>
      <c r="X312" s="879" t="str">
        <v/>
      </c>
      <c r="Y312" s="879" t="str">
        <v/>
      </c>
      <c r="Z312" s="879" t="str">
        <v/>
      </c>
      <c r="AA312" s="882">
        <f>IF($O313=0,0,        _xll.qDateNext($O312,AA$17,$AH$16,TRUE,Currency1))</f>
        <v>0</v>
      </c>
      <c r="AB312" s="882">
        <f>IF($O313=0,0,        _xll.qDateNext($O312,AB$17,$AH$16,TRUE,Currency1))</f>
        <v>0</v>
      </c>
      <c r="AC312" s="882">
        <f>IF($O313=0,0,        _xll.qDateNext($O312,AC$17,$AH$16,TRUE,Currency1))</f>
        <v>0</v>
      </c>
      <c r="AD312" s="882">
        <f>IF($O313=0,0,        _xll.qDateNext($O312,AD$17,$AH$16,TRUE,Currency1))</f>
        <v>0</v>
      </c>
      <c r="AE312" s="882">
        <f>IF($O313=0,0,        _xll.qDateNext($O312,AE$17,$AH$16,TRUE,Currency1))</f>
        <v>0</v>
      </c>
      <c r="AF312" s="882">
        <f>IF($O313=0,0,        _xll.qDateNext($O312,AF$17,$AH$16,TRUE,Currency1))</f>
        <v>0</v>
      </c>
      <c r="AG312" s="882">
        <f>IF($O313=0,0,        _xll.qDateNext($O312,AG$17,$AH$16,TRUE,Currency1))</f>
        <v>0</v>
      </c>
      <c r="AH312" s="882">
        <f>IF($O313=0,0,        _xll.qDateNext($O312,AH$17,$AH$16,TRUE,Currency1))</f>
        <v>0</v>
      </c>
      <c r="AI312" s="886">
        <f>IF($O313=0,0,           IF(FRM,_xll.qGetFwdRate(AI$14,$O312,AA312,"T",DCC_Leg1_Float),_xll.qGetFwdRate(AI$14,$O312,$O313,"T",DCC_Leg1_Float)))</f>
        <v>0</v>
      </c>
      <c r="AJ312" s="886">
        <f>IF($O313=0,0,           IF(FRM,_xll.qGetFwdRate(AJ$14,$O312,AB312,"T",DCC_Leg1_Float),_xll.qGetFwdRate(AJ$14,$O312,$O313,"T",DCC_Leg1_Float)))</f>
        <v>0</v>
      </c>
      <c r="AK312" s="886">
        <f t="shared" si="132"/>
        <v>0</v>
      </c>
      <c r="AL312" s="886">
        <f>IF($O313=0,0,           IF(FRM,_xll.qGetFwdRate(AL$14,$O312,AD312,"T",DCC_Leg1_Float),_xll.qGetFwdRate(AL$14,$O312,$O313,"T",DCC_Leg1_Float)))</f>
        <v>0</v>
      </c>
      <c r="AM312" s="886">
        <f t="shared" si="145"/>
        <v>0</v>
      </c>
      <c r="AN312" s="886">
        <f t="shared" si="146"/>
        <v>0</v>
      </c>
      <c r="AO312" s="886">
        <f>IF($O313=0,0,           IF(FRM,_xll.qGetFwdRate(AO$14,$O312,AG312,"T",DCC_Leg1_Float),_xll.qGetFwdRate(AO$14,$O312,$O313,"T",DCC_Leg1_Float)))</f>
        <v>0</v>
      </c>
      <c r="AP312" s="886">
        <f>IF($O313=0,0,           IF(FRM,_xll.qGetFwdRate(AP$14,$O312,AH312,"T",DCC_Leg1_Float),_xll.qGetFwdRate(AP$14,$O312,$O313,"T",DCC_Leg1_Float)))</f>
        <v>0</v>
      </c>
      <c r="AQ312" s="648">
        <f t="shared" si="147"/>
        <v>0</v>
      </c>
      <c r="AR312" s="648">
        <f t="shared" si="148"/>
        <v>0</v>
      </c>
      <c r="AS312" s="648">
        <f t="shared" si="149"/>
        <v>0</v>
      </c>
      <c r="AT312" s="648">
        <f t="shared" si="150"/>
        <v>0</v>
      </c>
      <c r="AU312" s="648">
        <f t="shared" si="151"/>
        <v>0</v>
      </c>
      <c r="AV312" s="648">
        <f t="shared" si="152"/>
        <v>0</v>
      </c>
      <c r="AW312" s="648">
        <f t="shared" si="153"/>
        <v>0</v>
      </c>
      <c r="AX312" s="648">
        <f t="shared" si="154"/>
        <v>0</v>
      </c>
      <c r="AY312" s="634">
        <v>0</v>
      </c>
      <c r="AZ312" s="616"/>
      <c r="BA312" s="619">
        <f>IF(O313=0,0,             IF(ISNUMBER(AZ312),AZ312,             IF(ISTEXT(AZ312),INDEX(AQ312:AX312,MATCH(AZ312,$AQ$17:$AX$17,0)),           IF(AY312="INT",_xll.qInterp(O313,AA312:AH312,AQ312:AX312),       INDEX(AQ312:AX312,MATCH(AY312,$AQ$17:$AX$17,0))))))</f>
        <v>0</v>
      </c>
      <c r="BB312" s="674">
        <v>100</v>
      </c>
      <c r="BC312" s="666">
        <f t="shared" si="133"/>
        <v>0</v>
      </c>
      <c r="BD312" s="268">
        <f>IF($O313=0,0,                IF(LEFT(DCC_Leg1_Fixed,2)="1/",uEvaluate(DCC_Leg1_Fixed),        _xll.qDateYears($O312,$O313,DCC_Leg1_Fixed)))</f>
        <v>0</v>
      </c>
      <c r="BE312" s="268">
        <f>IF($O313,_xll.qDateYears($O312,$O313,DCC_Leg1_Float),0)</f>
        <v>0</v>
      </c>
      <c r="BG312" s="332">
        <f t="shared" si="155"/>
        <v>0</v>
      </c>
      <c r="BH312" s="357">
        <f t="shared" si="156"/>
        <v>0</v>
      </c>
      <c r="BI312" s="527"/>
      <c r="BK312" s="324">
        <f t="shared" si="161"/>
        <v>0</v>
      </c>
      <c r="BM312" s="338"/>
      <c r="BN312" s="121">
        <v>0</v>
      </c>
      <c r="BO312" s="755">
        <f t="shared" si="134"/>
        <v>0</v>
      </c>
      <c r="BP312" s="339">
        <v>0</v>
      </c>
      <c r="BQ312" s="890">
        <f>IF(BN313=0,0,         IF(OR(Currency2="AUD",Currency1="NZD",Currency2="GBP"),BN312,   _xll.qDateNext(BN312,"-2b",,,IF(Currency2="EUR","TGT","LON"))))</f>
        <v>0</v>
      </c>
      <c r="BR312" s="879" t="str">
        <v/>
      </c>
      <c r="BS312" s="879" t="str">
        <v/>
      </c>
      <c r="BT312" s="879" t="str">
        <v/>
      </c>
      <c r="BU312" s="879" t="str">
        <v/>
      </c>
      <c r="BV312" s="879" t="str">
        <v/>
      </c>
      <c r="BW312" s="879" t="str">
        <v/>
      </c>
      <c r="BX312" s="879" t="str">
        <v/>
      </c>
      <c r="BY312" s="879" t="str">
        <v/>
      </c>
      <c r="BZ312" s="882">
        <f>IF($BN313=0,0,        _xll.qDateNext($BN312,BZ$17,$CG$16,TRUE,Currency2))</f>
        <v>0</v>
      </c>
      <c r="CA312" s="882">
        <f>IF($BN313=0,0,        _xll.qDateNext($BN312,CA$17,$CG$16,TRUE,Currency2))</f>
        <v>0</v>
      </c>
      <c r="CB312" s="882">
        <f>IF($BN313=0,0,        _xll.qDateNext($BN312,CB$17,$CG$16,TRUE,Currency2))</f>
        <v>0</v>
      </c>
      <c r="CC312" s="882">
        <f>IF($BN313=0,0,        _xll.qDateNext($BN312,CC$17,$CG$16,TRUE,Currency2))</f>
        <v>0</v>
      </c>
      <c r="CD312" s="882">
        <f>IF($BN313=0,0,        _xll.qDateNext($BN312,CD$17,$CG$16,TRUE,Currency2))</f>
        <v>0</v>
      </c>
      <c r="CE312" s="882">
        <f>IF($BN313=0,0,        _xll.qDateNext($BN312,CE$17,$CG$16,TRUE,Currency2))</f>
        <v>0</v>
      </c>
      <c r="CF312" s="882">
        <f>IF($BN313=0,0,        _xll.qDateNext($BN312,CF$17,$CG$16,TRUE,Currency2))</f>
        <v>0</v>
      </c>
      <c r="CG312" s="882">
        <f>IF($BN313=0,0,        _xll.qDateNext($BN312,CG$17,$CG$16,TRUE,Currency2))</f>
        <v>0</v>
      </c>
      <c r="CH312" s="886">
        <v>0</v>
      </c>
      <c r="CI312" s="886">
        <v>0</v>
      </c>
      <c r="CJ312" s="886">
        <v>0</v>
      </c>
      <c r="CK312" s="886">
        <v>0</v>
      </c>
      <c r="CL312" s="886">
        <f t="shared" si="157"/>
        <v>0</v>
      </c>
      <c r="CM312" s="886">
        <f t="shared" si="158"/>
        <v>0</v>
      </c>
      <c r="CN312" s="886">
        <v>0</v>
      </c>
      <c r="CO312" s="886">
        <v>0</v>
      </c>
      <c r="CP312" s="648">
        <f t="shared" si="135"/>
        <v>0</v>
      </c>
      <c r="CQ312" s="648">
        <f t="shared" si="136"/>
        <v>0</v>
      </c>
      <c r="CR312" s="648">
        <f t="shared" si="137"/>
        <v>0</v>
      </c>
      <c r="CS312" s="648">
        <f t="shared" si="138"/>
        <v>0</v>
      </c>
      <c r="CT312" s="648">
        <f t="shared" si="139"/>
        <v>0</v>
      </c>
      <c r="CU312" s="648">
        <f t="shared" si="140"/>
        <v>0</v>
      </c>
      <c r="CV312" s="648">
        <f t="shared" si="141"/>
        <v>0</v>
      </c>
      <c r="CW312" s="648">
        <f t="shared" si="142"/>
        <v>0</v>
      </c>
      <c r="CX312" s="634">
        <v>0</v>
      </c>
      <c r="CY312" s="616"/>
      <c r="CZ312" s="619">
        <f>IF(BN313=0,0,             IF(ISNUMBER(CY312),CY312,             IF(ISTEXT(CY312),INDEX(CP312:CW312,MATCH(CY312,$CP$17:$CW$17,0)),           IF(CX312="INT",_xll.qInterp(BN313,BZ312:CG312,CP312:CW312),       INDEX(CP312:CW312,MATCH(CX312,$CP$17:$CW$17,0))))))</f>
        <v>0</v>
      </c>
      <c r="DA312" s="755">
        <f t="shared" si="143"/>
        <v>0</v>
      </c>
      <c r="DB312" s="387">
        <f t="shared" si="144"/>
        <v>0</v>
      </c>
      <c r="DC312" s="268">
        <f>IF($BN313=0,0,         IF(LEFT(DCC_Leg2_Fixed,2)="1/",uEvaluate(DCC_Leg2_Fixed),         _xll.qDateYears($BN312,$BN313,DCC_Leg2_Fixed)))</f>
        <v>0</v>
      </c>
      <c r="DD312" s="268">
        <f>IF($BN313,_xll.qDateYears($BN312,$BN313,DCC_Leg2_Float),0)</f>
        <v>0</v>
      </c>
      <c r="DF312" s="332">
        <f t="shared" si="159"/>
        <v>0</v>
      </c>
      <c r="DG312" s="357">
        <f t="shared" si="160"/>
        <v>0</v>
      </c>
      <c r="DH312" s="527"/>
      <c r="DJ312" s="324">
        <f t="shared" si="162"/>
        <v>0</v>
      </c>
      <c r="DK312" s="529"/>
      <c r="DL312" s="338"/>
    </row>
    <row r="313" spans="15:116">
      <c r="O313" s="121">
        <v>0</v>
      </c>
      <c r="P313" s="755">
        <f t="shared" si="131"/>
        <v>0</v>
      </c>
      <c r="Q313" s="125">
        <v>0</v>
      </c>
      <c r="R313" s="890">
        <f>IF(O314=0,0,         IF(OR(Currency1="AUD",Currency1="NZD",Currency1="GBP"),O313,   _xll.qDateNext(O313,"-2b",,,IF(Currency1="EUR","TGT","LON"))))</f>
        <v>0</v>
      </c>
      <c r="S313" s="879" t="str">
        <v/>
      </c>
      <c r="T313" s="879" t="str">
        <v/>
      </c>
      <c r="U313" s="879" t="str">
        <v/>
      </c>
      <c r="V313" s="879" t="str">
        <v/>
      </c>
      <c r="W313" s="879" t="str">
        <v/>
      </c>
      <c r="X313" s="879" t="str">
        <v/>
      </c>
      <c r="Y313" s="879" t="str">
        <v/>
      </c>
      <c r="Z313" s="879" t="str">
        <v/>
      </c>
      <c r="AA313" s="882">
        <f>IF($O314=0,0,        _xll.qDateNext($O313,AA$17,$AH$16,TRUE,Currency1))</f>
        <v>0</v>
      </c>
      <c r="AB313" s="882">
        <f>IF($O314=0,0,        _xll.qDateNext($O313,AB$17,$AH$16,TRUE,Currency1))</f>
        <v>0</v>
      </c>
      <c r="AC313" s="882">
        <f>IF($O314=0,0,        _xll.qDateNext($O313,AC$17,$AH$16,TRUE,Currency1))</f>
        <v>0</v>
      </c>
      <c r="AD313" s="882">
        <f>IF($O314=0,0,        _xll.qDateNext($O313,AD$17,$AH$16,TRUE,Currency1))</f>
        <v>0</v>
      </c>
      <c r="AE313" s="882">
        <f>IF($O314=0,0,        _xll.qDateNext($O313,AE$17,$AH$16,TRUE,Currency1))</f>
        <v>0</v>
      </c>
      <c r="AF313" s="882">
        <f>IF($O314=0,0,        _xll.qDateNext($O313,AF$17,$AH$16,TRUE,Currency1))</f>
        <v>0</v>
      </c>
      <c r="AG313" s="882">
        <f>IF($O314=0,0,        _xll.qDateNext($O313,AG$17,$AH$16,TRUE,Currency1))</f>
        <v>0</v>
      </c>
      <c r="AH313" s="882">
        <f>IF($O314=0,0,        _xll.qDateNext($O313,AH$17,$AH$16,TRUE,Currency1))</f>
        <v>0</v>
      </c>
      <c r="AI313" s="886">
        <f>IF($O314=0,0,           IF(FRM,_xll.qGetFwdRate(AI$14,$O313,AA313,"T",DCC_Leg1_Float),_xll.qGetFwdRate(AI$14,$O313,$O314,"T",DCC_Leg1_Float)))</f>
        <v>0</v>
      </c>
      <c r="AJ313" s="886">
        <f>IF($O314=0,0,           IF(FRM,_xll.qGetFwdRate(AJ$14,$O313,AB313,"T",DCC_Leg1_Float),_xll.qGetFwdRate(AJ$14,$O313,$O314,"T",DCC_Leg1_Float)))</f>
        <v>0</v>
      </c>
      <c r="AK313" s="886">
        <f t="shared" si="132"/>
        <v>0</v>
      </c>
      <c r="AL313" s="886">
        <f>IF($O314=0,0,           IF(FRM,_xll.qGetFwdRate(AL$14,$O313,AD313,"T",DCC_Leg1_Float),_xll.qGetFwdRate(AL$14,$O313,$O314,"T",DCC_Leg1_Float)))</f>
        <v>0</v>
      </c>
      <c r="AM313" s="886">
        <f t="shared" si="145"/>
        <v>0</v>
      </c>
      <c r="AN313" s="886">
        <f t="shared" si="146"/>
        <v>0</v>
      </c>
      <c r="AO313" s="886">
        <f>IF($O314=0,0,           IF(FRM,_xll.qGetFwdRate(AO$14,$O313,AG313,"T",DCC_Leg1_Float),_xll.qGetFwdRate(AO$14,$O313,$O314,"T",DCC_Leg1_Float)))</f>
        <v>0</v>
      </c>
      <c r="AP313" s="886">
        <f>IF($O314=0,0,           IF(FRM,_xll.qGetFwdRate(AP$14,$O313,AH313,"T",DCC_Leg1_Float),_xll.qGetFwdRate(AP$14,$O313,$O314,"T",DCC_Leg1_Float)))</f>
        <v>0</v>
      </c>
      <c r="AQ313" s="648">
        <f t="shared" si="147"/>
        <v>0</v>
      </c>
      <c r="AR313" s="648">
        <f t="shared" si="148"/>
        <v>0</v>
      </c>
      <c r="AS313" s="648">
        <f t="shared" si="149"/>
        <v>0</v>
      </c>
      <c r="AT313" s="648">
        <f t="shared" si="150"/>
        <v>0</v>
      </c>
      <c r="AU313" s="648">
        <f t="shared" si="151"/>
        <v>0</v>
      </c>
      <c r="AV313" s="648">
        <f t="shared" si="152"/>
        <v>0</v>
      </c>
      <c r="AW313" s="648">
        <f t="shared" si="153"/>
        <v>0</v>
      </c>
      <c r="AX313" s="648">
        <f t="shared" si="154"/>
        <v>0</v>
      </c>
      <c r="AY313" s="634">
        <v>0</v>
      </c>
      <c r="AZ313" s="616"/>
      <c r="BA313" s="619">
        <f>IF(O314=0,0,             IF(ISNUMBER(AZ313),AZ313,             IF(ISTEXT(AZ313),INDEX(AQ313:AX313,MATCH(AZ313,$AQ$17:$AX$17,0)),           IF(AY313="INT",_xll.qInterp(O314,AA313:AH313,AQ313:AX313),       INDEX(AQ313:AX313,MATCH(AY313,$AQ$17:$AX$17,0))))))</f>
        <v>0</v>
      </c>
      <c r="BB313" s="674">
        <v>100</v>
      </c>
      <c r="BC313" s="666">
        <f t="shared" si="133"/>
        <v>0</v>
      </c>
      <c r="BD313" s="268">
        <f>IF($O314=0,0,                IF(LEFT(DCC_Leg1_Fixed,2)="1/",uEvaluate(DCC_Leg1_Fixed),        _xll.qDateYears($O313,$O314,DCC_Leg1_Fixed)))</f>
        <v>0</v>
      </c>
      <c r="BE313" s="268">
        <f>IF($O314,_xll.qDateYears($O313,$O314,DCC_Leg1_Float),0)</f>
        <v>0</v>
      </c>
      <c r="BG313" s="332">
        <f t="shared" si="155"/>
        <v>0</v>
      </c>
      <c r="BH313" s="357">
        <f t="shared" si="156"/>
        <v>0</v>
      </c>
      <c r="BI313" s="527"/>
      <c r="BK313" s="324">
        <f t="shared" si="161"/>
        <v>0</v>
      </c>
      <c r="BM313" s="338"/>
      <c r="BN313" s="121">
        <v>0</v>
      </c>
      <c r="BO313" s="755">
        <f t="shared" si="134"/>
        <v>0</v>
      </c>
      <c r="BP313" s="339">
        <v>0</v>
      </c>
      <c r="BQ313" s="890">
        <f>IF(BN314=0,0,         IF(OR(Currency2="AUD",Currency1="NZD",Currency2="GBP"),BN313,   _xll.qDateNext(BN313,"-2b",,,IF(Currency2="EUR","TGT","LON"))))</f>
        <v>0</v>
      </c>
      <c r="BR313" s="879" t="str">
        <v/>
      </c>
      <c r="BS313" s="879" t="str">
        <v/>
      </c>
      <c r="BT313" s="879" t="str">
        <v/>
      </c>
      <c r="BU313" s="879" t="str">
        <v/>
      </c>
      <c r="BV313" s="879" t="str">
        <v/>
      </c>
      <c r="BW313" s="879" t="str">
        <v/>
      </c>
      <c r="BX313" s="879" t="str">
        <v/>
      </c>
      <c r="BY313" s="879" t="str">
        <v/>
      </c>
      <c r="BZ313" s="882">
        <f>IF($BN314=0,0,        _xll.qDateNext($BN313,BZ$17,$CG$16,TRUE,Currency2))</f>
        <v>0</v>
      </c>
      <c r="CA313" s="882">
        <f>IF($BN314=0,0,        _xll.qDateNext($BN313,CA$17,$CG$16,TRUE,Currency2))</f>
        <v>0</v>
      </c>
      <c r="CB313" s="882">
        <f>IF($BN314=0,0,        _xll.qDateNext($BN313,CB$17,$CG$16,TRUE,Currency2))</f>
        <v>0</v>
      </c>
      <c r="CC313" s="882">
        <f>IF($BN314=0,0,        _xll.qDateNext($BN313,CC$17,$CG$16,TRUE,Currency2))</f>
        <v>0</v>
      </c>
      <c r="CD313" s="882">
        <f>IF($BN314=0,0,        _xll.qDateNext($BN313,CD$17,$CG$16,TRUE,Currency2))</f>
        <v>0</v>
      </c>
      <c r="CE313" s="882">
        <f>IF($BN314=0,0,        _xll.qDateNext($BN313,CE$17,$CG$16,TRUE,Currency2))</f>
        <v>0</v>
      </c>
      <c r="CF313" s="882">
        <f>IF($BN314=0,0,        _xll.qDateNext($BN313,CF$17,$CG$16,TRUE,Currency2))</f>
        <v>0</v>
      </c>
      <c r="CG313" s="882">
        <f>IF($BN314=0,0,        _xll.qDateNext($BN313,CG$17,$CG$16,TRUE,Currency2))</f>
        <v>0</v>
      </c>
      <c r="CH313" s="886">
        <v>0</v>
      </c>
      <c r="CI313" s="886">
        <v>0</v>
      </c>
      <c r="CJ313" s="886">
        <v>0</v>
      </c>
      <c r="CK313" s="886">
        <v>0</v>
      </c>
      <c r="CL313" s="886">
        <f t="shared" si="157"/>
        <v>0</v>
      </c>
      <c r="CM313" s="886">
        <f t="shared" si="158"/>
        <v>0</v>
      </c>
      <c r="CN313" s="886">
        <v>0</v>
      </c>
      <c r="CO313" s="886">
        <v>0</v>
      </c>
      <c r="CP313" s="648">
        <f t="shared" si="135"/>
        <v>0</v>
      </c>
      <c r="CQ313" s="648">
        <f t="shared" si="136"/>
        <v>0</v>
      </c>
      <c r="CR313" s="648">
        <f t="shared" si="137"/>
        <v>0</v>
      </c>
      <c r="CS313" s="648">
        <f t="shared" si="138"/>
        <v>0</v>
      </c>
      <c r="CT313" s="648">
        <f t="shared" si="139"/>
        <v>0</v>
      </c>
      <c r="CU313" s="648">
        <f t="shared" si="140"/>
        <v>0</v>
      </c>
      <c r="CV313" s="648">
        <f t="shared" si="141"/>
        <v>0</v>
      </c>
      <c r="CW313" s="648">
        <f t="shared" si="142"/>
        <v>0</v>
      </c>
      <c r="CX313" s="634">
        <v>0</v>
      </c>
      <c r="CY313" s="616"/>
      <c r="CZ313" s="619">
        <f>IF(BN314=0,0,             IF(ISNUMBER(CY313),CY313,             IF(ISTEXT(CY313),INDEX(CP313:CW313,MATCH(CY313,$CP$17:$CW$17,0)),           IF(CX313="INT",_xll.qInterp(BN314,BZ313:CG313,CP313:CW313),       INDEX(CP313:CW313,MATCH(CX313,$CP$17:$CW$17,0))))))</f>
        <v>0</v>
      </c>
      <c r="DA313" s="755">
        <f t="shared" si="143"/>
        <v>0</v>
      </c>
      <c r="DB313" s="387">
        <f t="shared" si="144"/>
        <v>0</v>
      </c>
      <c r="DC313" s="268">
        <f>IF($BN314=0,0,         IF(LEFT(DCC_Leg2_Fixed,2)="1/",uEvaluate(DCC_Leg2_Fixed),         _xll.qDateYears($BN313,$BN314,DCC_Leg2_Fixed)))</f>
        <v>0</v>
      </c>
      <c r="DD313" s="268">
        <f>IF($BN314,_xll.qDateYears($BN313,$BN314,DCC_Leg2_Float),0)</f>
        <v>0</v>
      </c>
      <c r="DF313" s="332">
        <f t="shared" si="159"/>
        <v>0</v>
      </c>
      <c r="DG313" s="357">
        <f t="shared" si="160"/>
        <v>0</v>
      </c>
      <c r="DH313" s="527"/>
      <c r="DJ313" s="324">
        <f t="shared" si="162"/>
        <v>0</v>
      </c>
      <c r="DK313" s="529"/>
      <c r="DL313" s="338"/>
    </row>
    <row r="314" spans="15:116">
      <c r="O314" s="121">
        <v>0</v>
      </c>
      <c r="P314" s="755">
        <f t="shared" si="131"/>
        <v>0</v>
      </c>
      <c r="Q314" s="125">
        <v>0</v>
      </c>
      <c r="R314" s="890">
        <f>IF(O315=0,0,         IF(OR(Currency1="AUD",Currency1="NZD",Currency1="GBP"),O314,   _xll.qDateNext(O314,"-2b",,,IF(Currency1="EUR","TGT","LON"))))</f>
        <v>0</v>
      </c>
      <c r="S314" s="879" t="str">
        <v/>
      </c>
      <c r="T314" s="879" t="str">
        <v/>
      </c>
      <c r="U314" s="879" t="str">
        <v/>
      </c>
      <c r="V314" s="879" t="str">
        <v/>
      </c>
      <c r="W314" s="879" t="str">
        <v/>
      </c>
      <c r="X314" s="879" t="str">
        <v/>
      </c>
      <c r="Y314" s="879" t="str">
        <v/>
      </c>
      <c r="Z314" s="879" t="str">
        <v/>
      </c>
      <c r="AA314" s="882">
        <f>IF($O315=0,0,        _xll.qDateNext($O314,AA$17,$AH$16,TRUE,Currency1))</f>
        <v>0</v>
      </c>
      <c r="AB314" s="882">
        <f>IF($O315=0,0,        _xll.qDateNext($O314,AB$17,$AH$16,TRUE,Currency1))</f>
        <v>0</v>
      </c>
      <c r="AC314" s="882">
        <f>IF($O315=0,0,        _xll.qDateNext($O314,AC$17,$AH$16,TRUE,Currency1))</f>
        <v>0</v>
      </c>
      <c r="AD314" s="882">
        <f>IF($O315=0,0,        _xll.qDateNext($O314,AD$17,$AH$16,TRUE,Currency1))</f>
        <v>0</v>
      </c>
      <c r="AE314" s="882">
        <f>IF($O315=0,0,        _xll.qDateNext($O314,AE$17,$AH$16,TRUE,Currency1))</f>
        <v>0</v>
      </c>
      <c r="AF314" s="882">
        <f>IF($O315=0,0,        _xll.qDateNext($O314,AF$17,$AH$16,TRUE,Currency1))</f>
        <v>0</v>
      </c>
      <c r="AG314" s="882">
        <f>IF($O315=0,0,        _xll.qDateNext($O314,AG$17,$AH$16,TRUE,Currency1))</f>
        <v>0</v>
      </c>
      <c r="AH314" s="882">
        <f>IF($O315=0,0,        _xll.qDateNext($O314,AH$17,$AH$16,TRUE,Currency1))</f>
        <v>0</v>
      </c>
      <c r="AI314" s="886">
        <f>IF($O315=0,0,           IF(FRM,_xll.qGetFwdRate(AI$14,$O314,AA314,"T",DCC_Leg1_Float),_xll.qGetFwdRate(AI$14,$O314,$O315,"T",DCC_Leg1_Float)))</f>
        <v>0</v>
      </c>
      <c r="AJ314" s="886">
        <f>IF($O315=0,0,           IF(FRM,_xll.qGetFwdRate(AJ$14,$O314,AB314,"T",DCC_Leg1_Float),_xll.qGetFwdRate(AJ$14,$O314,$O315,"T",DCC_Leg1_Float)))</f>
        <v>0</v>
      </c>
      <c r="AK314" s="886">
        <f t="shared" si="132"/>
        <v>0</v>
      </c>
      <c r="AL314" s="886">
        <f>IF($O315=0,0,           IF(FRM,_xll.qGetFwdRate(AL$14,$O314,AD314,"T",DCC_Leg1_Float),_xll.qGetFwdRate(AL$14,$O314,$O315,"T",DCC_Leg1_Float)))</f>
        <v>0</v>
      </c>
      <c r="AM314" s="886">
        <f t="shared" si="145"/>
        <v>0</v>
      </c>
      <c r="AN314" s="886">
        <f t="shared" si="146"/>
        <v>0</v>
      </c>
      <c r="AO314" s="886">
        <f>IF($O315=0,0,           IF(FRM,_xll.qGetFwdRate(AO$14,$O314,AG314,"T",DCC_Leg1_Float),_xll.qGetFwdRate(AO$14,$O314,$O315,"T",DCC_Leg1_Float)))</f>
        <v>0</v>
      </c>
      <c r="AP314" s="886">
        <f>IF($O315=0,0,           IF(FRM,_xll.qGetFwdRate(AP$14,$O314,AH314,"T",DCC_Leg1_Float),_xll.qGetFwdRate(AP$14,$O314,$O315,"T",DCC_Leg1_Float)))</f>
        <v>0</v>
      </c>
      <c r="AQ314" s="648">
        <f t="shared" si="147"/>
        <v>0</v>
      </c>
      <c r="AR314" s="648">
        <f t="shared" si="148"/>
        <v>0</v>
      </c>
      <c r="AS314" s="648">
        <f t="shared" si="149"/>
        <v>0</v>
      </c>
      <c r="AT314" s="648">
        <f t="shared" si="150"/>
        <v>0</v>
      </c>
      <c r="AU314" s="648">
        <f t="shared" si="151"/>
        <v>0</v>
      </c>
      <c r="AV314" s="648">
        <f t="shared" si="152"/>
        <v>0</v>
      </c>
      <c r="AW314" s="648">
        <f t="shared" si="153"/>
        <v>0</v>
      </c>
      <c r="AX314" s="648">
        <f t="shared" si="154"/>
        <v>0</v>
      </c>
      <c r="AY314" s="634">
        <v>0</v>
      </c>
      <c r="AZ314" s="616"/>
      <c r="BA314" s="619">
        <f>IF(O315=0,0,             IF(ISNUMBER(AZ314),AZ314,             IF(ISTEXT(AZ314),INDEX(AQ314:AX314,MATCH(AZ314,$AQ$17:$AX$17,0)),           IF(AY314="INT",_xll.qInterp(O315,AA314:AH314,AQ314:AX314),       INDEX(AQ314:AX314,MATCH(AY314,$AQ$17:$AX$17,0))))))</f>
        <v>0</v>
      </c>
      <c r="BB314" s="674">
        <v>100</v>
      </c>
      <c r="BC314" s="666">
        <f t="shared" si="133"/>
        <v>0</v>
      </c>
      <c r="BD314" s="268">
        <f>IF($O315=0,0,                IF(LEFT(DCC_Leg1_Fixed,2)="1/",uEvaluate(DCC_Leg1_Fixed),        _xll.qDateYears($O314,$O315,DCC_Leg1_Fixed)))</f>
        <v>0</v>
      </c>
      <c r="BE314" s="268">
        <f>IF($O315,_xll.qDateYears($O314,$O315,DCC_Leg1_Float),0)</f>
        <v>0</v>
      </c>
      <c r="BG314" s="332">
        <f t="shared" si="155"/>
        <v>0</v>
      </c>
      <c r="BH314" s="357">
        <f t="shared" si="156"/>
        <v>0</v>
      </c>
      <c r="BI314" s="527"/>
      <c r="BK314" s="324">
        <f t="shared" si="161"/>
        <v>0</v>
      </c>
      <c r="BM314" s="338"/>
      <c r="BN314" s="121">
        <v>0</v>
      </c>
      <c r="BO314" s="755">
        <f t="shared" si="134"/>
        <v>0</v>
      </c>
      <c r="BP314" s="339">
        <v>0</v>
      </c>
      <c r="BQ314" s="890">
        <f>IF(BN315=0,0,         IF(OR(Currency2="AUD",Currency1="NZD",Currency2="GBP"),BN314,   _xll.qDateNext(BN314,"-2b",,,IF(Currency2="EUR","TGT","LON"))))</f>
        <v>0</v>
      </c>
      <c r="BR314" s="879" t="str">
        <v/>
      </c>
      <c r="BS314" s="879" t="str">
        <v/>
      </c>
      <c r="BT314" s="879" t="str">
        <v/>
      </c>
      <c r="BU314" s="879" t="str">
        <v/>
      </c>
      <c r="BV314" s="879" t="str">
        <v/>
      </c>
      <c r="BW314" s="879" t="str">
        <v/>
      </c>
      <c r="BX314" s="879" t="str">
        <v/>
      </c>
      <c r="BY314" s="879" t="str">
        <v/>
      </c>
      <c r="BZ314" s="882">
        <f>IF($BN315=0,0,        _xll.qDateNext($BN314,BZ$17,$CG$16,TRUE,Currency2))</f>
        <v>0</v>
      </c>
      <c r="CA314" s="882">
        <f>IF($BN315=0,0,        _xll.qDateNext($BN314,CA$17,$CG$16,TRUE,Currency2))</f>
        <v>0</v>
      </c>
      <c r="CB314" s="882">
        <f>IF($BN315=0,0,        _xll.qDateNext($BN314,CB$17,$CG$16,TRUE,Currency2))</f>
        <v>0</v>
      </c>
      <c r="CC314" s="882">
        <f>IF($BN315=0,0,        _xll.qDateNext($BN314,CC$17,$CG$16,TRUE,Currency2))</f>
        <v>0</v>
      </c>
      <c r="CD314" s="882">
        <f>IF($BN315=0,0,        _xll.qDateNext($BN314,CD$17,$CG$16,TRUE,Currency2))</f>
        <v>0</v>
      </c>
      <c r="CE314" s="882">
        <f>IF($BN315=0,0,        _xll.qDateNext($BN314,CE$17,$CG$16,TRUE,Currency2))</f>
        <v>0</v>
      </c>
      <c r="CF314" s="882">
        <f>IF($BN315=0,0,        _xll.qDateNext($BN314,CF$17,$CG$16,TRUE,Currency2))</f>
        <v>0</v>
      </c>
      <c r="CG314" s="882">
        <f>IF($BN315=0,0,        _xll.qDateNext($BN314,CG$17,$CG$16,TRUE,Currency2))</f>
        <v>0</v>
      </c>
      <c r="CH314" s="886">
        <v>0</v>
      </c>
      <c r="CI314" s="886">
        <v>0</v>
      </c>
      <c r="CJ314" s="886">
        <v>0</v>
      </c>
      <c r="CK314" s="886">
        <v>0</v>
      </c>
      <c r="CL314" s="886">
        <f t="shared" si="157"/>
        <v>0</v>
      </c>
      <c r="CM314" s="886">
        <f t="shared" si="158"/>
        <v>0</v>
      </c>
      <c r="CN314" s="886">
        <v>0</v>
      </c>
      <c r="CO314" s="886">
        <v>0</v>
      </c>
      <c r="CP314" s="648">
        <f t="shared" si="135"/>
        <v>0</v>
      </c>
      <c r="CQ314" s="648">
        <f t="shared" si="136"/>
        <v>0</v>
      </c>
      <c r="CR314" s="648">
        <f t="shared" si="137"/>
        <v>0</v>
      </c>
      <c r="CS314" s="648">
        <f t="shared" si="138"/>
        <v>0</v>
      </c>
      <c r="CT314" s="648">
        <f t="shared" si="139"/>
        <v>0</v>
      </c>
      <c r="CU314" s="648">
        <f t="shared" si="140"/>
        <v>0</v>
      </c>
      <c r="CV314" s="648">
        <f t="shared" si="141"/>
        <v>0</v>
      </c>
      <c r="CW314" s="648">
        <f t="shared" si="142"/>
        <v>0</v>
      </c>
      <c r="CX314" s="634">
        <v>0</v>
      </c>
      <c r="CY314" s="616"/>
      <c r="CZ314" s="619">
        <f>IF(BN315=0,0,             IF(ISNUMBER(CY314),CY314,             IF(ISTEXT(CY314),INDEX(CP314:CW314,MATCH(CY314,$CP$17:$CW$17,0)),           IF(CX314="INT",_xll.qInterp(BN315,BZ314:CG314,CP314:CW314),       INDEX(CP314:CW314,MATCH(CX314,$CP$17:$CW$17,0))))))</f>
        <v>0</v>
      </c>
      <c r="DA314" s="755">
        <f t="shared" si="143"/>
        <v>0</v>
      </c>
      <c r="DB314" s="387">
        <f t="shared" si="144"/>
        <v>0</v>
      </c>
      <c r="DC314" s="268">
        <f>IF($BN315=0,0,         IF(LEFT(DCC_Leg2_Fixed,2)="1/",uEvaluate(DCC_Leg2_Fixed),         _xll.qDateYears($BN314,$BN315,DCC_Leg2_Fixed)))</f>
        <v>0</v>
      </c>
      <c r="DD314" s="268">
        <f>IF($BN315,_xll.qDateYears($BN314,$BN315,DCC_Leg2_Float),0)</f>
        <v>0</v>
      </c>
      <c r="DF314" s="332">
        <f t="shared" si="159"/>
        <v>0</v>
      </c>
      <c r="DG314" s="357">
        <f t="shared" si="160"/>
        <v>0</v>
      </c>
      <c r="DH314" s="527"/>
      <c r="DJ314" s="324">
        <f t="shared" si="162"/>
        <v>0</v>
      </c>
      <c r="DK314" s="529"/>
      <c r="DL314" s="338"/>
    </row>
    <row r="315" spans="15:116">
      <c r="O315" s="121">
        <v>0</v>
      </c>
      <c r="P315" s="755">
        <f t="shared" si="131"/>
        <v>0</v>
      </c>
      <c r="Q315" s="125">
        <v>0</v>
      </c>
      <c r="R315" s="890">
        <f>IF(O316=0,0,         IF(OR(Currency1="AUD",Currency1="NZD",Currency1="GBP"),O315,   _xll.qDateNext(O315,"-2b",,,IF(Currency1="EUR","TGT","LON"))))</f>
        <v>0</v>
      </c>
      <c r="S315" s="879" t="str">
        <v/>
      </c>
      <c r="T315" s="879" t="str">
        <v/>
      </c>
      <c r="U315" s="879" t="str">
        <v/>
      </c>
      <c r="V315" s="879" t="str">
        <v/>
      </c>
      <c r="W315" s="879" t="str">
        <v/>
      </c>
      <c r="X315" s="879" t="str">
        <v/>
      </c>
      <c r="Y315" s="879" t="str">
        <v/>
      </c>
      <c r="Z315" s="879" t="str">
        <v/>
      </c>
      <c r="AA315" s="882">
        <f>IF($O316=0,0,        _xll.qDateNext($O315,AA$17,$AH$16,TRUE,Currency1))</f>
        <v>0</v>
      </c>
      <c r="AB315" s="882">
        <f>IF($O316=0,0,        _xll.qDateNext($O315,AB$17,$AH$16,TRUE,Currency1))</f>
        <v>0</v>
      </c>
      <c r="AC315" s="882">
        <f>IF($O316=0,0,        _xll.qDateNext($O315,AC$17,$AH$16,TRUE,Currency1))</f>
        <v>0</v>
      </c>
      <c r="AD315" s="882">
        <f>IF($O316=0,0,        _xll.qDateNext($O315,AD$17,$AH$16,TRUE,Currency1))</f>
        <v>0</v>
      </c>
      <c r="AE315" s="882">
        <f>IF($O316=0,0,        _xll.qDateNext($O315,AE$17,$AH$16,TRUE,Currency1))</f>
        <v>0</v>
      </c>
      <c r="AF315" s="882">
        <f>IF($O316=0,0,        _xll.qDateNext($O315,AF$17,$AH$16,TRUE,Currency1))</f>
        <v>0</v>
      </c>
      <c r="AG315" s="882">
        <f>IF($O316=0,0,        _xll.qDateNext($O315,AG$17,$AH$16,TRUE,Currency1))</f>
        <v>0</v>
      </c>
      <c r="AH315" s="882">
        <f>IF($O316=0,0,        _xll.qDateNext($O315,AH$17,$AH$16,TRUE,Currency1))</f>
        <v>0</v>
      </c>
      <c r="AI315" s="886">
        <f>IF($O316=0,0,           IF(FRM,_xll.qGetFwdRate(AI$14,$O315,AA315,"T",DCC_Leg1_Float),_xll.qGetFwdRate(AI$14,$O315,$O316,"T",DCC_Leg1_Float)))</f>
        <v>0</v>
      </c>
      <c r="AJ315" s="886">
        <f>IF($O316=0,0,           IF(FRM,_xll.qGetFwdRate(AJ$14,$O315,AB315,"T",DCC_Leg1_Float),_xll.qGetFwdRate(AJ$14,$O315,$O316,"T",DCC_Leg1_Float)))</f>
        <v>0</v>
      </c>
      <c r="AK315" s="886">
        <f t="shared" si="132"/>
        <v>0</v>
      </c>
      <c r="AL315" s="886">
        <f>IF($O316=0,0,           IF(FRM,_xll.qGetFwdRate(AL$14,$O315,AD315,"T",DCC_Leg1_Float),_xll.qGetFwdRate(AL$14,$O315,$O316,"T",DCC_Leg1_Float)))</f>
        <v>0</v>
      </c>
      <c r="AM315" s="886">
        <f t="shared" si="145"/>
        <v>0</v>
      </c>
      <c r="AN315" s="886">
        <f t="shared" si="146"/>
        <v>0</v>
      </c>
      <c r="AO315" s="886">
        <f>IF($O316=0,0,           IF(FRM,_xll.qGetFwdRate(AO$14,$O315,AG315,"T",DCC_Leg1_Float),_xll.qGetFwdRate(AO$14,$O315,$O316,"T",DCC_Leg1_Float)))</f>
        <v>0</v>
      </c>
      <c r="AP315" s="886">
        <f>IF($O316=0,0,           IF(FRM,_xll.qGetFwdRate(AP$14,$O315,AH315,"T",DCC_Leg1_Float),_xll.qGetFwdRate(AP$14,$O315,$O316,"T",DCC_Leg1_Float)))</f>
        <v>0</v>
      </c>
      <c r="AQ315" s="648">
        <f t="shared" si="147"/>
        <v>0</v>
      </c>
      <c r="AR315" s="648">
        <f t="shared" si="148"/>
        <v>0</v>
      </c>
      <c r="AS315" s="648">
        <f t="shared" si="149"/>
        <v>0</v>
      </c>
      <c r="AT315" s="648">
        <f t="shared" si="150"/>
        <v>0</v>
      </c>
      <c r="AU315" s="648">
        <f t="shared" si="151"/>
        <v>0</v>
      </c>
      <c r="AV315" s="648">
        <f t="shared" si="152"/>
        <v>0</v>
      </c>
      <c r="AW315" s="648">
        <f t="shared" si="153"/>
        <v>0</v>
      </c>
      <c r="AX315" s="648">
        <f t="shared" si="154"/>
        <v>0</v>
      </c>
      <c r="AY315" s="634">
        <v>0</v>
      </c>
      <c r="AZ315" s="616"/>
      <c r="BA315" s="619">
        <f>IF(O316=0,0,             IF(ISNUMBER(AZ315),AZ315,             IF(ISTEXT(AZ315),INDEX(AQ315:AX315,MATCH(AZ315,$AQ$17:$AX$17,0)),           IF(AY315="INT",_xll.qInterp(O316,AA315:AH315,AQ315:AX315),       INDEX(AQ315:AX315,MATCH(AY315,$AQ$17:$AX$17,0))))))</f>
        <v>0</v>
      </c>
      <c r="BB315" s="674">
        <v>100</v>
      </c>
      <c r="BC315" s="666">
        <f t="shared" si="133"/>
        <v>0</v>
      </c>
      <c r="BD315" s="268">
        <f>IF($O316=0,0,                IF(LEFT(DCC_Leg1_Fixed,2)="1/",uEvaluate(DCC_Leg1_Fixed),        _xll.qDateYears($O315,$O316,DCC_Leg1_Fixed)))</f>
        <v>0</v>
      </c>
      <c r="BE315" s="268">
        <f>IF($O316,_xll.qDateYears($O315,$O316,DCC_Leg1_Float),0)</f>
        <v>0</v>
      </c>
      <c r="BG315" s="332">
        <f t="shared" si="155"/>
        <v>0</v>
      </c>
      <c r="BH315" s="357">
        <f t="shared" si="156"/>
        <v>0</v>
      </c>
      <c r="BI315" s="527"/>
      <c r="BK315" s="324">
        <f t="shared" si="161"/>
        <v>0</v>
      </c>
      <c r="BM315" s="338"/>
      <c r="BN315" s="121">
        <v>0</v>
      </c>
      <c r="BO315" s="755">
        <f t="shared" si="134"/>
        <v>0</v>
      </c>
      <c r="BP315" s="339">
        <v>0</v>
      </c>
      <c r="BQ315" s="890">
        <f>IF(BN316=0,0,         IF(OR(Currency2="AUD",Currency1="NZD",Currency2="GBP"),BN315,   _xll.qDateNext(BN315,"-2b",,,IF(Currency2="EUR","TGT","LON"))))</f>
        <v>0</v>
      </c>
      <c r="BR315" s="879" t="str">
        <v/>
      </c>
      <c r="BS315" s="879" t="str">
        <v/>
      </c>
      <c r="BT315" s="879" t="str">
        <v/>
      </c>
      <c r="BU315" s="879" t="str">
        <v/>
      </c>
      <c r="BV315" s="879" t="str">
        <v/>
      </c>
      <c r="BW315" s="879" t="str">
        <v/>
      </c>
      <c r="BX315" s="879" t="str">
        <v/>
      </c>
      <c r="BY315" s="879" t="str">
        <v/>
      </c>
      <c r="BZ315" s="882">
        <f>IF($BN316=0,0,        _xll.qDateNext($BN315,BZ$17,$CG$16,TRUE,Currency2))</f>
        <v>0</v>
      </c>
      <c r="CA315" s="882">
        <f>IF($BN316=0,0,        _xll.qDateNext($BN315,CA$17,$CG$16,TRUE,Currency2))</f>
        <v>0</v>
      </c>
      <c r="CB315" s="882">
        <f>IF($BN316=0,0,        _xll.qDateNext($BN315,CB$17,$CG$16,TRUE,Currency2))</f>
        <v>0</v>
      </c>
      <c r="CC315" s="882">
        <f>IF($BN316=0,0,        _xll.qDateNext($BN315,CC$17,$CG$16,TRUE,Currency2))</f>
        <v>0</v>
      </c>
      <c r="CD315" s="882">
        <f>IF($BN316=0,0,        _xll.qDateNext($BN315,CD$17,$CG$16,TRUE,Currency2))</f>
        <v>0</v>
      </c>
      <c r="CE315" s="882">
        <f>IF($BN316=0,0,        _xll.qDateNext($BN315,CE$17,$CG$16,TRUE,Currency2))</f>
        <v>0</v>
      </c>
      <c r="CF315" s="882">
        <f>IF($BN316=0,0,        _xll.qDateNext($BN315,CF$17,$CG$16,TRUE,Currency2))</f>
        <v>0</v>
      </c>
      <c r="CG315" s="882">
        <f>IF($BN316=0,0,        _xll.qDateNext($BN315,CG$17,$CG$16,TRUE,Currency2))</f>
        <v>0</v>
      </c>
      <c r="CH315" s="886">
        <v>0</v>
      </c>
      <c r="CI315" s="886">
        <v>0</v>
      </c>
      <c r="CJ315" s="886">
        <v>0</v>
      </c>
      <c r="CK315" s="886">
        <v>0</v>
      </c>
      <c r="CL315" s="886">
        <f t="shared" si="157"/>
        <v>0</v>
      </c>
      <c r="CM315" s="886">
        <f t="shared" si="158"/>
        <v>0</v>
      </c>
      <c r="CN315" s="886">
        <v>0</v>
      </c>
      <c r="CO315" s="886">
        <v>0</v>
      </c>
      <c r="CP315" s="648">
        <f t="shared" si="135"/>
        <v>0</v>
      </c>
      <c r="CQ315" s="648">
        <f t="shared" si="136"/>
        <v>0</v>
      </c>
      <c r="CR315" s="648">
        <f t="shared" si="137"/>
        <v>0</v>
      </c>
      <c r="CS315" s="648">
        <f t="shared" si="138"/>
        <v>0</v>
      </c>
      <c r="CT315" s="648">
        <f t="shared" si="139"/>
        <v>0</v>
      </c>
      <c r="CU315" s="648">
        <f t="shared" si="140"/>
        <v>0</v>
      </c>
      <c r="CV315" s="648">
        <f t="shared" si="141"/>
        <v>0</v>
      </c>
      <c r="CW315" s="648">
        <f t="shared" si="142"/>
        <v>0</v>
      </c>
      <c r="CX315" s="634">
        <v>0</v>
      </c>
      <c r="CY315" s="616"/>
      <c r="CZ315" s="619">
        <f>IF(BN316=0,0,             IF(ISNUMBER(CY315),CY315,             IF(ISTEXT(CY315),INDEX(CP315:CW315,MATCH(CY315,$CP$17:$CW$17,0)),           IF(CX315="INT",_xll.qInterp(BN316,BZ315:CG315,CP315:CW315),       INDEX(CP315:CW315,MATCH(CX315,$CP$17:$CW$17,0))))))</f>
        <v>0</v>
      </c>
      <c r="DA315" s="755">
        <f t="shared" si="143"/>
        <v>0</v>
      </c>
      <c r="DB315" s="387">
        <f t="shared" si="144"/>
        <v>0</v>
      </c>
      <c r="DC315" s="268">
        <f>IF($BN316=0,0,         IF(LEFT(DCC_Leg2_Fixed,2)="1/",uEvaluate(DCC_Leg2_Fixed),         _xll.qDateYears($BN315,$BN316,DCC_Leg2_Fixed)))</f>
        <v>0</v>
      </c>
      <c r="DD315" s="268">
        <f>IF($BN316,_xll.qDateYears($BN315,$BN316,DCC_Leg2_Float),0)</f>
        <v>0</v>
      </c>
      <c r="DF315" s="332">
        <f t="shared" si="159"/>
        <v>0</v>
      </c>
      <c r="DG315" s="357">
        <f t="shared" si="160"/>
        <v>0</v>
      </c>
      <c r="DH315" s="527"/>
      <c r="DJ315" s="324">
        <f t="shared" si="162"/>
        <v>0</v>
      </c>
      <c r="DK315" s="529"/>
      <c r="DL315" s="338"/>
    </row>
    <row r="316" spans="15:116">
      <c r="O316" s="121">
        <v>0</v>
      </c>
      <c r="P316" s="755">
        <f t="shared" si="131"/>
        <v>0</v>
      </c>
      <c r="Q316" s="125">
        <v>0</v>
      </c>
      <c r="R316" s="890">
        <f>IF(O317=0,0,         IF(OR(Currency1="AUD",Currency1="NZD",Currency1="GBP"),O316,   _xll.qDateNext(O316,"-2b",,,IF(Currency1="EUR","TGT","LON"))))</f>
        <v>0</v>
      </c>
      <c r="S316" s="879" t="str">
        <v/>
      </c>
      <c r="T316" s="879" t="str">
        <v/>
      </c>
      <c r="U316" s="879" t="str">
        <v/>
      </c>
      <c r="V316" s="879" t="str">
        <v/>
      </c>
      <c r="W316" s="879" t="str">
        <v/>
      </c>
      <c r="X316" s="879" t="str">
        <v/>
      </c>
      <c r="Y316" s="879" t="str">
        <v/>
      </c>
      <c r="Z316" s="879" t="str">
        <v/>
      </c>
      <c r="AA316" s="882">
        <f>IF($O317=0,0,        _xll.qDateNext($O316,AA$17,$AH$16,TRUE,Currency1))</f>
        <v>0</v>
      </c>
      <c r="AB316" s="882">
        <f>IF($O317=0,0,        _xll.qDateNext($O316,AB$17,$AH$16,TRUE,Currency1))</f>
        <v>0</v>
      </c>
      <c r="AC316" s="882">
        <f>IF($O317=0,0,        _xll.qDateNext($O316,AC$17,$AH$16,TRUE,Currency1))</f>
        <v>0</v>
      </c>
      <c r="AD316" s="882">
        <f>IF($O317=0,0,        _xll.qDateNext($O316,AD$17,$AH$16,TRUE,Currency1))</f>
        <v>0</v>
      </c>
      <c r="AE316" s="882">
        <f>IF($O317=0,0,        _xll.qDateNext($O316,AE$17,$AH$16,TRUE,Currency1))</f>
        <v>0</v>
      </c>
      <c r="AF316" s="882">
        <f>IF($O317=0,0,        _xll.qDateNext($O316,AF$17,$AH$16,TRUE,Currency1))</f>
        <v>0</v>
      </c>
      <c r="AG316" s="882">
        <f>IF($O317=0,0,        _xll.qDateNext($O316,AG$17,$AH$16,TRUE,Currency1))</f>
        <v>0</v>
      </c>
      <c r="AH316" s="882">
        <f>IF($O317=0,0,        _xll.qDateNext($O316,AH$17,$AH$16,TRUE,Currency1))</f>
        <v>0</v>
      </c>
      <c r="AI316" s="886">
        <f>IF($O317=0,0,           IF(FRM,_xll.qGetFwdRate(AI$14,$O316,AA316,"T",DCC_Leg1_Float),_xll.qGetFwdRate(AI$14,$O316,$O317,"T",DCC_Leg1_Float)))</f>
        <v>0</v>
      </c>
      <c r="AJ316" s="886">
        <f>IF($O317=0,0,           IF(FRM,_xll.qGetFwdRate(AJ$14,$O316,AB316,"T",DCC_Leg1_Float),_xll.qGetFwdRate(AJ$14,$O316,$O317,"T",DCC_Leg1_Float)))</f>
        <v>0</v>
      </c>
      <c r="AK316" s="886">
        <f t="shared" si="132"/>
        <v>0</v>
      </c>
      <c r="AL316" s="886">
        <f>IF($O317=0,0,           IF(FRM,_xll.qGetFwdRate(AL$14,$O316,AD316,"T",DCC_Leg1_Float),_xll.qGetFwdRate(AL$14,$O316,$O317,"T",DCC_Leg1_Float)))</f>
        <v>0</v>
      </c>
      <c r="AM316" s="886">
        <f t="shared" si="145"/>
        <v>0</v>
      </c>
      <c r="AN316" s="886">
        <f t="shared" si="146"/>
        <v>0</v>
      </c>
      <c r="AO316" s="886">
        <f>IF($O317=0,0,           IF(FRM,_xll.qGetFwdRate(AO$14,$O316,AG316,"T",DCC_Leg1_Float),_xll.qGetFwdRate(AO$14,$O316,$O317,"T",DCC_Leg1_Float)))</f>
        <v>0</v>
      </c>
      <c r="AP316" s="886">
        <f>IF($O317=0,0,           IF(FRM,_xll.qGetFwdRate(AP$14,$O316,AH316,"T",DCC_Leg1_Float),_xll.qGetFwdRate(AP$14,$O316,$O317,"T",DCC_Leg1_Float)))</f>
        <v>0</v>
      </c>
      <c r="AQ316" s="648">
        <f t="shared" si="147"/>
        <v>0</v>
      </c>
      <c r="AR316" s="648">
        <f t="shared" si="148"/>
        <v>0</v>
      </c>
      <c r="AS316" s="648">
        <f t="shared" si="149"/>
        <v>0</v>
      </c>
      <c r="AT316" s="648">
        <f t="shared" si="150"/>
        <v>0</v>
      </c>
      <c r="AU316" s="648">
        <f t="shared" si="151"/>
        <v>0</v>
      </c>
      <c r="AV316" s="648">
        <f t="shared" si="152"/>
        <v>0</v>
      </c>
      <c r="AW316" s="648">
        <f t="shared" si="153"/>
        <v>0</v>
      </c>
      <c r="AX316" s="648">
        <f t="shared" si="154"/>
        <v>0</v>
      </c>
      <c r="AY316" s="634">
        <v>0</v>
      </c>
      <c r="AZ316" s="616"/>
      <c r="BA316" s="619">
        <f>IF(O317=0,0,             IF(ISNUMBER(AZ316),AZ316,             IF(ISTEXT(AZ316),INDEX(AQ316:AX316,MATCH(AZ316,$AQ$17:$AX$17,0)),           IF(AY316="INT",_xll.qInterp(O317,AA316:AH316,AQ316:AX316),       INDEX(AQ316:AX316,MATCH(AY316,$AQ$17:$AX$17,0))))))</f>
        <v>0</v>
      </c>
      <c r="BB316" s="674">
        <v>100</v>
      </c>
      <c r="BC316" s="666">
        <f t="shared" si="133"/>
        <v>0</v>
      </c>
      <c r="BD316" s="268">
        <f>IF($O317=0,0,                IF(LEFT(DCC_Leg1_Fixed,2)="1/",uEvaluate(DCC_Leg1_Fixed),        _xll.qDateYears($O316,$O317,DCC_Leg1_Fixed)))</f>
        <v>0</v>
      </c>
      <c r="BE316" s="268">
        <f>IF($O317,_xll.qDateYears($O316,$O317,DCC_Leg1_Float),0)</f>
        <v>0</v>
      </c>
      <c r="BG316" s="332">
        <f t="shared" si="155"/>
        <v>0</v>
      </c>
      <c r="BH316" s="357">
        <f t="shared" si="156"/>
        <v>0</v>
      </c>
      <c r="BI316" s="527"/>
      <c r="BK316" s="324">
        <f t="shared" si="161"/>
        <v>0</v>
      </c>
      <c r="BM316" s="338"/>
      <c r="BN316" s="121">
        <v>0</v>
      </c>
      <c r="BO316" s="755">
        <f t="shared" si="134"/>
        <v>0</v>
      </c>
      <c r="BP316" s="339">
        <v>0</v>
      </c>
      <c r="BQ316" s="890">
        <f>IF(BN317=0,0,         IF(OR(Currency2="AUD",Currency1="NZD",Currency2="GBP"),BN316,   _xll.qDateNext(BN316,"-2b",,,IF(Currency2="EUR","TGT","LON"))))</f>
        <v>0</v>
      </c>
      <c r="BR316" s="879" t="str">
        <v/>
      </c>
      <c r="BS316" s="879" t="str">
        <v/>
      </c>
      <c r="BT316" s="879" t="str">
        <v/>
      </c>
      <c r="BU316" s="879" t="str">
        <v/>
      </c>
      <c r="BV316" s="879" t="str">
        <v/>
      </c>
      <c r="BW316" s="879" t="str">
        <v/>
      </c>
      <c r="BX316" s="879" t="str">
        <v/>
      </c>
      <c r="BY316" s="879" t="str">
        <v/>
      </c>
      <c r="BZ316" s="882">
        <f>IF($BN317=0,0,        _xll.qDateNext($BN316,BZ$17,$CG$16,TRUE,Currency2))</f>
        <v>0</v>
      </c>
      <c r="CA316" s="882">
        <f>IF($BN317=0,0,        _xll.qDateNext($BN316,CA$17,$CG$16,TRUE,Currency2))</f>
        <v>0</v>
      </c>
      <c r="CB316" s="882">
        <f>IF($BN317=0,0,        _xll.qDateNext($BN316,CB$17,$CG$16,TRUE,Currency2))</f>
        <v>0</v>
      </c>
      <c r="CC316" s="882">
        <f>IF($BN317=0,0,        _xll.qDateNext($BN316,CC$17,$CG$16,TRUE,Currency2))</f>
        <v>0</v>
      </c>
      <c r="CD316" s="882">
        <f>IF($BN317=0,0,        _xll.qDateNext($BN316,CD$17,$CG$16,TRUE,Currency2))</f>
        <v>0</v>
      </c>
      <c r="CE316" s="882">
        <f>IF($BN317=0,0,        _xll.qDateNext($BN316,CE$17,$CG$16,TRUE,Currency2))</f>
        <v>0</v>
      </c>
      <c r="CF316" s="882">
        <f>IF($BN317=0,0,        _xll.qDateNext($BN316,CF$17,$CG$16,TRUE,Currency2))</f>
        <v>0</v>
      </c>
      <c r="CG316" s="882">
        <f>IF($BN317=0,0,        _xll.qDateNext($BN316,CG$17,$CG$16,TRUE,Currency2))</f>
        <v>0</v>
      </c>
      <c r="CH316" s="886">
        <v>0</v>
      </c>
      <c r="CI316" s="886">
        <v>0</v>
      </c>
      <c r="CJ316" s="886">
        <v>0</v>
      </c>
      <c r="CK316" s="886">
        <v>0</v>
      </c>
      <c r="CL316" s="886">
        <f t="shared" si="157"/>
        <v>0</v>
      </c>
      <c r="CM316" s="886">
        <f t="shared" si="158"/>
        <v>0</v>
      </c>
      <c r="CN316" s="886">
        <v>0</v>
      </c>
      <c r="CO316" s="886">
        <v>0</v>
      </c>
      <c r="CP316" s="648">
        <f t="shared" si="135"/>
        <v>0</v>
      </c>
      <c r="CQ316" s="648">
        <f t="shared" si="136"/>
        <v>0</v>
      </c>
      <c r="CR316" s="648">
        <f t="shared" si="137"/>
        <v>0</v>
      </c>
      <c r="CS316" s="648">
        <f t="shared" si="138"/>
        <v>0</v>
      </c>
      <c r="CT316" s="648">
        <f t="shared" si="139"/>
        <v>0</v>
      </c>
      <c r="CU316" s="648">
        <f t="shared" si="140"/>
        <v>0</v>
      </c>
      <c r="CV316" s="648">
        <f t="shared" si="141"/>
        <v>0</v>
      </c>
      <c r="CW316" s="648">
        <f t="shared" si="142"/>
        <v>0</v>
      </c>
      <c r="CX316" s="634">
        <v>0</v>
      </c>
      <c r="CY316" s="616"/>
      <c r="CZ316" s="619">
        <f>IF(BN317=0,0,             IF(ISNUMBER(CY316),CY316,             IF(ISTEXT(CY316),INDEX(CP316:CW316,MATCH(CY316,$CP$17:$CW$17,0)),           IF(CX316="INT",_xll.qInterp(BN317,BZ316:CG316,CP316:CW316),       INDEX(CP316:CW316,MATCH(CX316,$CP$17:$CW$17,0))))))</f>
        <v>0</v>
      </c>
      <c r="DA316" s="755">
        <f t="shared" si="143"/>
        <v>0</v>
      </c>
      <c r="DB316" s="387">
        <f t="shared" si="144"/>
        <v>0</v>
      </c>
      <c r="DC316" s="268">
        <f>IF($BN317=0,0,         IF(LEFT(DCC_Leg2_Fixed,2)="1/",uEvaluate(DCC_Leg2_Fixed),         _xll.qDateYears($BN316,$BN317,DCC_Leg2_Fixed)))</f>
        <v>0</v>
      </c>
      <c r="DD316" s="268">
        <f>IF($BN317,_xll.qDateYears($BN316,$BN317,DCC_Leg2_Float),0)</f>
        <v>0</v>
      </c>
      <c r="DF316" s="332">
        <f t="shared" si="159"/>
        <v>0</v>
      </c>
      <c r="DG316" s="357">
        <f t="shared" si="160"/>
        <v>0</v>
      </c>
      <c r="DH316" s="527"/>
      <c r="DJ316" s="324">
        <f t="shared" si="162"/>
        <v>0</v>
      </c>
      <c r="DK316" s="529"/>
      <c r="DL316" s="338"/>
    </row>
    <row r="317" spans="15:116">
      <c r="O317" s="121">
        <v>0</v>
      </c>
      <c r="P317" s="755">
        <f t="shared" si="131"/>
        <v>0</v>
      </c>
      <c r="Q317" s="125">
        <v>0</v>
      </c>
      <c r="R317" s="890">
        <f>IF(O318=0,0,         IF(OR(Currency1="AUD",Currency1="NZD",Currency1="GBP"),O317,   _xll.qDateNext(O317,"-2b",,,IF(Currency1="EUR","TGT","LON"))))</f>
        <v>0</v>
      </c>
      <c r="S317" s="879" t="str">
        <v/>
      </c>
      <c r="T317" s="879" t="str">
        <v/>
      </c>
      <c r="U317" s="879" t="str">
        <v/>
      </c>
      <c r="V317" s="879" t="str">
        <v/>
      </c>
      <c r="W317" s="879" t="str">
        <v/>
      </c>
      <c r="X317" s="879" t="str">
        <v/>
      </c>
      <c r="Y317" s="879" t="str">
        <v/>
      </c>
      <c r="Z317" s="879" t="str">
        <v/>
      </c>
      <c r="AA317" s="882">
        <f>IF($O318=0,0,        _xll.qDateNext($O317,AA$17,$AH$16,TRUE,Currency1))</f>
        <v>0</v>
      </c>
      <c r="AB317" s="882">
        <f>IF($O318=0,0,        _xll.qDateNext($O317,AB$17,$AH$16,TRUE,Currency1))</f>
        <v>0</v>
      </c>
      <c r="AC317" s="882">
        <f>IF($O318=0,0,        _xll.qDateNext($O317,AC$17,$AH$16,TRUE,Currency1))</f>
        <v>0</v>
      </c>
      <c r="AD317" s="882">
        <f>IF($O318=0,0,        _xll.qDateNext($O317,AD$17,$AH$16,TRUE,Currency1))</f>
        <v>0</v>
      </c>
      <c r="AE317" s="882">
        <f>IF($O318=0,0,        _xll.qDateNext($O317,AE$17,$AH$16,TRUE,Currency1))</f>
        <v>0</v>
      </c>
      <c r="AF317" s="882">
        <f>IF($O318=0,0,        _xll.qDateNext($O317,AF$17,$AH$16,TRUE,Currency1))</f>
        <v>0</v>
      </c>
      <c r="AG317" s="882">
        <f>IF($O318=0,0,        _xll.qDateNext($O317,AG$17,$AH$16,TRUE,Currency1))</f>
        <v>0</v>
      </c>
      <c r="AH317" s="882">
        <f>IF($O318=0,0,        _xll.qDateNext($O317,AH$17,$AH$16,TRUE,Currency1))</f>
        <v>0</v>
      </c>
      <c r="AI317" s="886">
        <f>IF($O318=0,0,           IF(FRM,_xll.qGetFwdRate(AI$14,$O317,AA317,"T",DCC_Leg1_Float),_xll.qGetFwdRate(AI$14,$O317,$O318,"T",DCC_Leg1_Float)))</f>
        <v>0</v>
      </c>
      <c r="AJ317" s="886">
        <f>IF($O318=0,0,           IF(FRM,_xll.qGetFwdRate(AJ$14,$O317,AB317,"T",DCC_Leg1_Float),_xll.qGetFwdRate(AJ$14,$O317,$O318,"T",DCC_Leg1_Float)))</f>
        <v>0</v>
      </c>
      <c r="AK317" s="886">
        <f t="shared" si="132"/>
        <v>0</v>
      </c>
      <c r="AL317" s="886">
        <f>IF($O318=0,0,           IF(FRM,_xll.qGetFwdRate(AL$14,$O317,AD317,"T",DCC_Leg1_Float),_xll.qGetFwdRate(AL$14,$O317,$O318,"T",DCC_Leg1_Float)))</f>
        <v>0</v>
      </c>
      <c r="AM317" s="886">
        <f t="shared" si="145"/>
        <v>0</v>
      </c>
      <c r="AN317" s="886">
        <f t="shared" si="146"/>
        <v>0</v>
      </c>
      <c r="AO317" s="886">
        <f>IF($O318=0,0,           IF(FRM,_xll.qGetFwdRate(AO$14,$O317,AG317,"T",DCC_Leg1_Float),_xll.qGetFwdRate(AO$14,$O317,$O318,"T",DCC_Leg1_Float)))</f>
        <v>0</v>
      </c>
      <c r="AP317" s="886">
        <f>IF($O318=0,0,           IF(FRM,_xll.qGetFwdRate(AP$14,$O317,AH317,"T",DCC_Leg1_Float),_xll.qGetFwdRate(AP$14,$O317,$O318,"T",DCC_Leg1_Float)))</f>
        <v>0</v>
      </c>
      <c r="AQ317" s="648">
        <f t="shared" si="147"/>
        <v>0</v>
      </c>
      <c r="AR317" s="648">
        <f t="shared" si="148"/>
        <v>0</v>
      </c>
      <c r="AS317" s="648">
        <f t="shared" si="149"/>
        <v>0</v>
      </c>
      <c r="AT317" s="648">
        <f t="shared" si="150"/>
        <v>0</v>
      </c>
      <c r="AU317" s="648">
        <f t="shared" si="151"/>
        <v>0</v>
      </c>
      <c r="AV317" s="648">
        <f t="shared" si="152"/>
        <v>0</v>
      </c>
      <c r="AW317" s="648">
        <f t="shared" si="153"/>
        <v>0</v>
      </c>
      <c r="AX317" s="648">
        <f t="shared" si="154"/>
        <v>0</v>
      </c>
      <c r="AY317" s="634">
        <v>0</v>
      </c>
      <c r="AZ317" s="616"/>
      <c r="BA317" s="619">
        <f>IF(O318=0,0,             IF(ISNUMBER(AZ317),AZ317,             IF(ISTEXT(AZ317),INDEX(AQ317:AX317,MATCH(AZ317,$AQ$17:$AX$17,0)),           IF(AY317="INT",_xll.qInterp(O318,AA317:AH317,AQ317:AX317),       INDEX(AQ317:AX317,MATCH(AY317,$AQ$17:$AX$17,0))))))</f>
        <v>0</v>
      </c>
      <c r="BB317" s="674">
        <v>100</v>
      </c>
      <c r="BC317" s="666">
        <f t="shared" si="133"/>
        <v>0</v>
      </c>
      <c r="BD317" s="268">
        <f>IF($O318=0,0,                IF(LEFT(DCC_Leg1_Fixed,2)="1/",uEvaluate(DCC_Leg1_Fixed),        _xll.qDateYears($O317,$O318,DCC_Leg1_Fixed)))</f>
        <v>0</v>
      </c>
      <c r="BE317" s="268">
        <f>IF($O318,_xll.qDateYears($O317,$O318,DCC_Leg1_Float),0)</f>
        <v>0</v>
      </c>
      <c r="BG317" s="332">
        <f t="shared" si="155"/>
        <v>0</v>
      </c>
      <c r="BH317" s="357">
        <f t="shared" si="156"/>
        <v>0</v>
      </c>
      <c r="BI317" s="527"/>
      <c r="BK317" s="324">
        <f t="shared" si="161"/>
        <v>0</v>
      </c>
      <c r="BM317" s="338"/>
      <c r="BN317" s="121">
        <v>0</v>
      </c>
      <c r="BO317" s="755">
        <f t="shared" si="134"/>
        <v>0</v>
      </c>
      <c r="BP317" s="339">
        <v>0</v>
      </c>
      <c r="BQ317" s="890">
        <f>IF(BN318=0,0,         IF(OR(Currency2="AUD",Currency1="NZD",Currency2="GBP"),BN317,   _xll.qDateNext(BN317,"-2b",,,IF(Currency2="EUR","TGT","LON"))))</f>
        <v>0</v>
      </c>
      <c r="BR317" s="879" t="str">
        <v/>
      </c>
      <c r="BS317" s="879" t="str">
        <v/>
      </c>
      <c r="BT317" s="879" t="str">
        <v/>
      </c>
      <c r="BU317" s="879" t="str">
        <v/>
      </c>
      <c r="BV317" s="879" t="str">
        <v/>
      </c>
      <c r="BW317" s="879" t="str">
        <v/>
      </c>
      <c r="BX317" s="879" t="str">
        <v/>
      </c>
      <c r="BY317" s="879" t="str">
        <v/>
      </c>
      <c r="BZ317" s="882">
        <f>IF($BN318=0,0,        _xll.qDateNext($BN317,BZ$17,$CG$16,TRUE,Currency2))</f>
        <v>0</v>
      </c>
      <c r="CA317" s="882">
        <f>IF($BN318=0,0,        _xll.qDateNext($BN317,CA$17,$CG$16,TRUE,Currency2))</f>
        <v>0</v>
      </c>
      <c r="CB317" s="882">
        <f>IF($BN318=0,0,        _xll.qDateNext($BN317,CB$17,$CG$16,TRUE,Currency2))</f>
        <v>0</v>
      </c>
      <c r="CC317" s="882">
        <f>IF($BN318=0,0,        _xll.qDateNext($BN317,CC$17,$CG$16,TRUE,Currency2))</f>
        <v>0</v>
      </c>
      <c r="CD317" s="882">
        <f>IF($BN318=0,0,        _xll.qDateNext($BN317,CD$17,$CG$16,TRUE,Currency2))</f>
        <v>0</v>
      </c>
      <c r="CE317" s="882">
        <f>IF($BN318=0,0,        _xll.qDateNext($BN317,CE$17,$CG$16,TRUE,Currency2))</f>
        <v>0</v>
      </c>
      <c r="CF317" s="882">
        <f>IF($BN318=0,0,        _xll.qDateNext($BN317,CF$17,$CG$16,TRUE,Currency2))</f>
        <v>0</v>
      </c>
      <c r="CG317" s="882">
        <f>IF($BN318=0,0,        _xll.qDateNext($BN317,CG$17,$CG$16,TRUE,Currency2))</f>
        <v>0</v>
      </c>
      <c r="CH317" s="886">
        <v>0</v>
      </c>
      <c r="CI317" s="886">
        <v>0</v>
      </c>
      <c r="CJ317" s="886">
        <v>0</v>
      </c>
      <c r="CK317" s="886">
        <v>0</v>
      </c>
      <c r="CL317" s="886">
        <f t="shared" si="157"/>
        <v>0</v>
      </c>
      <c r="CM317" s="886">
        <f t="shared" si="158"/>
        <v>0</v>
      </c>
      <c r="CN317" s="886">
        <v>0</v>
      </c>
      <c r="CO317" s="886">
        <v>0</v>
      </c>
      <c r="CP317" s="648">
        <f t="shared" si="135"/>
        <v>0</v>
      </c>
      <c r="CQ317" s="648">
        <f t="shared" si="136"/>
        <v>0</v>
      </c>
      <c r="CR317" s="648">
        <f t="shared" si="137"/>
        <v>0</v>
      </c>
      <c r="CS317" s="648">
        <f t="shared" si="138"/>
        <v>0</v>
      </c>
      <c r="CT317" s="648">
        <f t="shared" si="139"/>
        <v>0</v>
      </c>
      <c r="CU317" s="648">
        <f t="shared" si="140"/>
        <v>0</v>
      </c>
      <c r="CV317" s="648">
        <f t="shared" si="141"/>
        <v>0</v>
      </c>
      <c r="CW317" s="648">
        <f t="shared" si="142"/>
        <v>0</v>
      </c>
      <c r="CX317" s="634">
        <v>0</v>
      </c>
      <c r="CY317" s="616"/>
      <c r="CZ317" s="619">
        <f>IF(BN318=0,0,             IF(ISNUMBER(CY317),CY317,             IF(ISTEXT(CY317),INDEX(CP317:CW317,MATCH(CY317,$CP$17:$CW$17,0)),           IF(CX317="INT",_xll.qInterp(BN318,BZ317:CG317,CP317:CW317),       INDEX(CP317:CW317,MATCH(CX317,$CP$17:$CW$17,0))))))</f>
        <v>0</v>
      </c>
      <c r="DA317" s="755">
        <f t="shared" si="143"/>
        <v>0</v>
      </c>
      <c r="DB317" s="387">
        <f t="shared" si="144"/>
        <v>0</v>
      </c>
      <c r="DC317" s="268">
        <f>IF($BN318=0,0,         IF(LEFT(DCC_Leg2_Fixed,2)="1/",uEvaluate(DCC_Leg2_Fixed),         _xll.qDateYears($BN317,$BN318,DCC_Leg2_Fixed)))</f>
        <v>0</v>
      </c>
      <c r="DD317" s="268">
        <f>IF($BN318,_xll.qDateYears($BN317,$BN318,DCC_Leg2_Float),0)</f>
        <v>0</v>
      </c>
      <c r="DF317" s="332">
        <f t="shared" si="159"/>
        <v>0</v>
      </c>
      <c r="DG317" s="357">
        <f t="shared" si="160"/>
        <v>0</v>
      </c>
      <c r="DH317" s="527"/>
      <c r="DJ317" s="324">
        <f t="shared" si="162"/>
        <v>0</v>
      </c>
      <c r="DK317" s="529"/>
      <c r="DL317" s="338"/>
    </row>
    <row r="318" spans="15:116">
      <c r="O318" s="121">
        <v>0</v>
      </c>
      <c r="P318" s="755">
        <f t="shared" si="131"/>
        <v>0</v>
      </c>
      <c r="Q318" s="125">
        <v>0</v>
      </c>
      <c r="R318" s="890">
        <f>IF(O319=0,0,         IF(OR(Currency1="AUD",Currency1="NZD",Currency1="GBP"),O318,   _xll.qDateNext(O318,"-2b",,,IF(Currency1="EUR","TGT","LON"))))</f>
        <v>0</v>
      </c>
      <c r="S318" s="879" t="str">
        <v/>
      </c>
      <c r="T318" s="879" t="str">
        <v/>
      </c>
      <c r="U318" s="879" t="str">
        <v/>
      </c>
      <c r="V318" s="879" t="str">
        <v/>
      </c>
      <c r="W318" s="879" t="str">
        <v/>
      </c>
      <c r="X318" s="879" t="str">
        <v/>
      </c>
      <c r="Y318" s="879" t="str">
        <v/>
      </c>
      <c r="Z318" s="879" t="str">
        <v/>
      </c>
      <c r="AA318" s="882">
        <f>IF($O319=0,0,        _xll.qDateNext($O318,AA$17,$AH$16,TRUE,Currency1))</f>
        <v>0</v>
      </c>
      <c r="AB318" s="882">
        <f>IF($O319=0,0,        _xll.qDateNext($O318,AB$17,$AH$16,TRUE,Currency1))</f>
        <v>0</v>
      </c>
      <c r="AC318" s="882">
        <f>IF($O319=0,0,        _xll.qDateNext($O318,AC$17,$AH$16,TRUE,Currency1))</f>
        <v>0</v>
      </c>
      <c r="AD318" s="882">
        <f>IF($O319=0,0,        _xll.qDateNext($O318,AD$17,$AH$16,TRUE,Currency1))</f>
        <v>0</v>
      </c>
      <c r="AE318" s="882">
        <f>IF($O319=0,0,        _xll.qDateNext($O318,AE$17,$AH$16,TRUE,Currency1))</f>
        <v>0</v>
      </c>
      <c r="AF318" s="882">
        <f>IF($O319=0,0,        _xll.qDateNext($O318,AF$17,$AH$16,TRUE,Currency1))</f>
        <v>0</v>
      </c>
      <c r="AG318" s="882">
        <f>IF($O319=0,0,        _xll.qDateNext($O318,AG$17,$AH$16,TRUE,Currency1))</f>
        <v>0</v>
      </c>
      <c r="AH318" s="882">
        <f>IF($O319=0,0,        _xll.qDateNext($O318,AH$17,$AH$16,TRUE,Currency1))</f>
        <v>0</v>
      </c>
      <c r="AI318" s="886">
        <f>IF($O319=0,0,           IF(FRM,_xll.qGetFwdRate(AI$14,$O318,AA318,"T",DCC_Leg1_Float),_xll.qGetFwdRate(AI$14,$O318,$O319,"T",DCC_Leg1_Float)))</f>
        <v>0</v>
      </c>
      <c r="AJ318" s="886">
        <f>IF($O319=0,0,           IF(FRM,_xll.qGetFwdRate(AJ$14,$O318,AB318,"T",DCC_Leg1_Float),_xll.qGetFwdRate(AJ$14,$O318,$O319,"T",DCC_Leg1_Float)))</f>
        <v>0</v>
      </c>
      <c r="AK318" s="886">
        <f t="shared" si="132"/>
        <v>0</v>
      </c>
      <c r="AL318" s="886">
        <f>IF($O319=0,0,           IF(FRM,_xll.qGetFwdRate(AL$14,$O318,AD318,"T",DCC_Leg1_Float),_xll.qGetFwdRate(AL$14,$O318,$O319,"T",DCC_Leg1_Float)))</f>
        <v>0</v>
      </c>
      <c r="AM318" s="886">
        <f t="shared" si="145"/>
        <v>0</v>
      </c>
      <c r="AN318" s="886">
        <f t="shared" si="146"/>
        <v>0</v>
      </c>
      <c r="AO318" s="886">
        <f>IF($O319=0,0,           IF(FRM,_xll.qGetFwdRate(AO$14,$O318,AG318,"T",DCC_Leg1_Float),_xll.qGetFwdRate(AO$14,$O318,$O319,"T",DCC_Leg1_Float)))</f>
        <v>0</v>
      </c>
      <c r="AP318" s="886">
        <f>IF($O319=0,0,           IF(FRM,_xll.qGetFwdRate(AP$14,$O318,AH318,"T",DCC_Leg1_Float),_xll.qGetFwdRate(AP$14,$O318,$O319,"T",DCC_Leg1_Float)))</f>
        <v>0</v>
      </c>
      <c r="AQ318" s="648">
        <f t="shared" si="147"/>
        <v>0</v>
      </c>
      <c r="AR318" s="648">
        <f t="shared" si="148"/>
        <v>0</v>
      </c>
      <c r="AS318" s="648">
        <f t="shared" si="149"/>
        <v>0</v>
      </c>
      <c r="AT318" s="648">
        <f t="shared" si="150"/>
        <v>0</v>
      </c>
      <c r="AU318" s="648">
        <f t="shared" si="151"/>
        <v>0</v>
      </c>
      <c r="AV318" s="648">
        <f t="shared" si="152"/>
        <v>0</v>
      </c>
      <c r="AW318" s="648">
        <f t="shared" si="153"/>
        <v>0</v>
      </c>
      <c r="AX318" s="648">
        <f t="shared" si="154"/>
        <v>0</v>
      </c>
      <c r="AY318" s="634">
        <v>0</v>
      </c>
      <c r="AZ318" s="616"/>
      <c r="BA318" s="619">
        <f>IF(O319=0,0,             IF(ISNUMBER(AZ318),AZ318,             IF(ISTEXT(AZ318),INDEX(AQ318:AX318,MATCH(AZ318,$AQ$17:$AX$17,0)),           IF(AY318="INT",_xll.qInterp(O319,AA318:AH318,AQ318:AX318),       INDEX(AQ318:AX318,MATCH(AY318,$AQ$17:$AX$17,0))))))</f>
        <v>0</v>
      </c>
      <c r="BB318" s="674">
        <v>100</v>
      </c>
      <c r="BC318" s="666">
        <f t="shared" si="133"/>
        <v>0</v>
      </c>
      <c r="BD318" s="268">
        <f>IF($O319=0,0,                IF(LEFT(DCC_Leg1_Fixed,2)="1/",uEvaluate(DCC_Leg1_Fixed),        _xll.qDateYears($O318,$O319,DCC_Leg1_Fixed)))</f>
        <v>0</v>
      </c>
      <c r="BE318" s="268">
        <f>IF($O319,_xll.qDateYears($O318,$O319,DCC_Leg1_Float),0)</f>
        <v>0</v>
      </c>
      <c r="BG318" s="332">
        <f t="shared" si="155"/>
        <v>0</v>
      </c>
      <c r="BH318" s="357">
        <f t="shared" si="156"/>
        <v>0</v>
      </c>
      <c r="BI318" s="527"/>
      <c r="BK318" s="324">
        <f t="shared" si="161"/>
        <v>0</v>
      </c>
      <c r="BM318" s="338"/>
      <c r="BN318" s="121">
        <v>0</v>
      </c>
      <c r="BO318" s="755">
        <f t="shared" si="134"/>
        <v>0</v>
      </c>
      <c r="BP318" s="339">
        <v>0</v>
      </c>
      <c r="BQ318" s="890">
        <f>IF(BN319=0,0,         IF(OR(Currency2="AUD",Currency1="NZD",Currency2="GBP"),BN318,   _xll.qDateNext(BN318,"-2b",,,IF(Currency2="EUR","TGT","LON"))))</f>
        <v>0</v>
      </c>
      <c r="BR318" s="879" t="str">
        <v/>
      </c>
      <c r="BS318" s="879" t="str">
        <v/>
      </c>
      <c r="BT318" s="879" t="str">
        <v/>
      </c>
      <c r="BU318" s="879" t="str">
        <v/>
      </c>
      <c r="BV318" s="879" t="str">
        <v/>
      </c>
      <c r="BW318" s="879" t="str">
        <v/>
      </c>
      <c r="BX318" s="879" t="str">
        <v/>
      </c>
      <c r="BY318" s="879" t="str">
        <v/>
      </c>
      <c r="BZ318" s="882">
        <f>IF($BN319=0,0,        _xll.qDateNext($BN318,BZ$17,$CG$16,TRUE,Currency2))</f>
        <v>0</v>
      </c>
      <c r="CA318" s="882">
        <f>IF($BN319=0,0,        _xll.qDateNext($BN318,CA$17,$CG$16,TRUE,Currency2))</f>
        <v>0</v>
      </c>
      <c r="CB318" s="882">
        <f>IF($BN319=0,0,        _xll.qDateNext($BN318,CB$17,$CG$16,TRUE,Currency2))</f>
        <v>0</v>
      </c>
      <c r="CC318" s="882">
        <f>IF($BN319=0,0,        _xll.qDateNext($BN318,CC$17,$CG$16,TRUE,Currency2))</f>
        <v>0</v>
      </c>
      <c r="CD318" s="882">
        <f>IF($BN319=0,0,        _xll.qDateNext($BN318,CD$17,$CG$16,TRUE,Currency2))</f>
        <v>0</v>
      </c>
      <c r="CE318" s="882">
        <f>IF($BN319=0,0,        _xll.qDateNext($BN318,CE$17,$CG$16,TRUE,Currency2))</f>
        <v>0</v>
      </c>
      <c r="CF318" s="882">
        <f>IF($BN319=0,0,        _xll.qDateNext($BN318,CF$17,$CG$16,TRUE,Currency2))</f>
        <v>0</v>
      </c>
      <c r="CG318" s="882">
        <f>IF($BN319=0,0,        _xll.qDateNext($BN318,CG$17,$CG$16,TRUE,Currency2))</f>
        <v>0</v>
      </c>
      <c r="CH318" s="886">
        <v>0</v>
      </c>
      <c r="CI318" s="886">
        <v>0</v>
      </c>
      <c r="CJ318" s="886">
        <v>0</v>
      </c>
      <c r="CK318" s="886">
        <v>0</v>
      </c>
      <c r="CL318" s="886">
        <f t="shared" si="157"/>
        <v>0</v>
      </c>
      <c r="CM318" s="886">
        <f t="shared" si="158"/>
        <v>0</v>
      </c>
      <c r="CN318" s="886">
        <v>0</v>
      </c>
      <c r="CO318" s="886">
        <v>0</v>
      </c>
      <c r="CP318" s="648">
        <f t="shared" si="135"/>
        <v>0</v>
      </c>
      <c r="CQ318" s="648">
        <f t="shared" si="136"/>
        <v>0</v>
      </c>
      <c r="CR318" s="648">
        <f t="shared" si="137"/>
        <v>0</v>
      </c>
      <c r="CS318" s="648">
        <f t="shared" si="138"/>
        <v>0</v>
      </c>
      <c r="CT318" s="648">
        <f t="shared" si="139"/>
        <v>0</v>
      </c>
      <c r="CU318" s="648">
        <f t="shared" si="140"/>
        <v>0</v>
      </c>
      <c r="CV318" s="648">
        <f t="shared" si="141"/>
        <v>0</v>
      </c>
      <c r="CW318" s="648">
        <f t="shared" si="142"/>
        <v>0</v>
      </c>
      <c r="CX318" s="634">
        <v>0</v>
      </c>
      <c r="CY318" s="616"/>
      <c r="CZ318" s="619">
        <f>IF(BN319=0,0,             IF(ISNUMBER(CY318),CY318,             IF(ISTEXT(CY318),INDEX(CP318:CW318,MATCH(CY318,$CP$17:$CW$17,0)),           IF(CX318="INT",_xll.qInterp(BN319,BZ318:CG318,CP318:CW318),       INDEX(CP318:CW318,MATCH(CX318,$CP$17:$CW$17,0))))))</f>
        <v>0</v>
      </c>
      <c r="DA318" s="755">
        <f t="shared" si="143"/>
        <v>0</v>
      </c>
      <c r="DB318" s="387">
        <f t="shared" si="144"/>
        <v>0</v>
      </c>
      <c r="DC318" s="268">
        <f>IF($BN319=0,0,         IF(LEFT(DCC_Leg2_Fixed,2)="1/",uEvaluate(DCC_Leg2_Fixed),         _xll.qDateYears($BN318,$BN319,DCC_Leg2_Fixed)))</f>
        <v>0</v>
      </c>
      <c r="DD318" s="268">
        <f>IF($BN319,_xll.qDateYears($BN318,$BN319,DCC_Leg2_Float),0)</f>
        <v>0</v>
      </c>
      <c r="DF318" s="332">
        <f t="shared" si="159"/>
        <v>0</v>
      </c>
      <c r="DG318" s="357">
        <f t="shared" si="160"/>
        <v>0</v>
      </c>
      <c r="DH318" s="527"/>
      <c r="DJ318" s="324">
        <f t="shared" si="162"/>
        <v>0</v>
      </c>
      <c r="DK318" s="529"/>
      <c r="DL318" s="338"/>
    </row>
    <row r="319" spans="15:116">
      <c r="O319" s="121">
        <v>0</v>
      </c>
      <c r="P319" s="755">
        <f t="shared" si="131"/>
        <v>0</v>
      </c>
      <c r="Q319" s="125">
        <v>0</v>
      </c>
      <c r="R319" s="890">
        <f>IF(O320=0,0,         IF(OR(Currency1="AUD",Currency1="NZD",Currency1="GBP"),O319,   _xll.qDateNext(O319,"-2b",,,IF(Currency1="EUR","TGT","LON"))))</f>
        <v>0</v>
      </c>
      <c r="S319" s="879" t="str">
        <v/>
      </c>
      <c r="T319" s="879" t="str">
        <v/>
      </c>
      <c r="U319" s="879" t="str">
        <v/>
      </c>
      <c r="V319" s="879" t="str">
        <v/>
      </c>
      <c r="W319" s="879" t="str">
        <v/>
      </c>
      <c r="X319" s="879" t="str">
        <v/>
      </c>
      <c r="Y319" s="879" t="str">
        <v/>
      </c>
      <c r="Z319" s="879" t="str">
        <v/>
      </c>
      <c r="AA319" s="882">
        <f>IF($O320=0,0,        _xll.qDateNext($O319,AA$17,$AH$16,TRUE,Currency1))</f>
        <v>0</v>
      </c>
      <c r="AB319" s="882">
        <f>IF($O320=0,0,        _xll.qDateNext($O319,AB$17,$AH$16,TRUE,Currency1))</f>
        <v>0</v>
      </c>
      <c r="AC319" s="882">
        <f>IF($O320=0,0,        _xll.qDateNext($O319,AC$17,$AH$16,TRUE,Currency1))</f>
        <v>0</v>
      </c>
      <c r="AD319" s="882">
        <f>IF($O320=0,0,        _xll.qDateNext($O319,AD$17,$AH$16,TRUE,Currency1))</f>
        <v>0</v>
      </c>
      <c r="AE319" s="882">
        <f>IF($O320=0,0,        _xll.qDateNext($O319,AE$17,$AH$16,TRUE,Currency1))</f>
        <v>0</v>
      </c>
      <c r="AF319" s="882">
        <f>IF($O320=0,0,        _xll.qDateNext($O319,AF$17,$AH$16,TRUE,Currency1))</f>
        <v>0</v>
      </c>
      <c r="AG319" s="882">
        <f>IF($O320=0,0,        _xll.qDateNext($O319,AG$17,$AH$16,TRUE,Currency1))</f>
        <v>0</v>
      </c>
      <c r="AH319" s="882">
        <f>IF($O320=0,0,        _xll.qDateNext($O319,AH$17,$AH$16,TRUE,Currency1))</f>
        <v>0</v>
      </c>
      <c r="AI319" s="886">
        <f>IF($O320=0,0,           IF(FRM,_xll.qGetFwdRate(AI$14,$O319,AA319,"T",DCC_Leg1_Float),_xll.qGetFwdRate(AI$14,$O319,$O320,"T",DCC_Leg1_Float)))</f>
        <v>0</v>
      </c>
      <c r="AJ319" s="886">
        <f>IF($O320=0,0,           IF(FRM,_xll.qGetFwdRate(AJ$14,$O319,AB319,"T",DCC_Leg1_Float),_xll.qGetFwdRate(AJ$14,$O319,$O320,"T",DCC_Leg1_Float)))</f>
        <v>0</v>
      </c>
      <c r="AK319" s="886">
        <f t="shared" si="132"/>
        <v>0</v>
      </c>
      <c r="AL319" s="886">
        <f>IF($O320=0,0,           IF(FRM,_xll.qGetFwdRate(AL$14,$O319,AD319,"T",DCC_Leg1_Float),_xll.qGetFwdRate(AL$14,$O319,$O320,"T",DCC_Leg1_Float)))</f>
        <v>0</v>
      </c>
      <c r="AM319" s="886">
        <f t="shared" si="145"/>
        <v>0</v>
      </c>
      <c r="AN319" s="886">
        <f t="shared" si="146"/>
        <v>0</v>
      </c>
      <c r="AO319" s="886">
        <f>IF($O320=0,0,           IF(FRM,_xll.qGetFwdRate(AO$14,$O319,AG319,"T",DCC_Leg1_Float),_xll.qGetFwdRate(AO$14,$O319,$O320,"T",DCC_Leg1_Float)))</f>
        <v>0</v>
      </c>
      <c r="AP319" s="886">
        <f>IF($O320=0,0,           IF(FRM,_xll.qGetFwdRate(AP$14,$O319,AH319,"T",DCC_Leg1_Float),_xll.qGetFwdRate(AP$14,$O319,$O320,"T",DCC_Leg1_Float)))</f>
        <v>0</v>
      </c>
      <c r="AQ319" s="648">
        <f t="shared" si="147"/>
        <v>0</v>
      </c>
      <c r="AR319" s="648">
        <f t="shared" si="148"/>
        <v>0</v>
      </c>
      <c r="AS319" s="648">
        <f t="shared" si="149"/>
        <v>0</v>
      </c>
      <c r="AT319" s="648">
        <f t="shared" si="150"/>
        <v>0</v>
      </c>
      <c r="AU319" s="648">
        <f t="shared" si="151"/>
        <v>0</v>
      </c>
      <c r="AV319" s="648">
        <f t="shared" si="152"/>
        <v>0</v>
      </c>
      <c r="AW319" s="648">
        <f t="shared" si="153"/>
        <v>0</v>
      </c>
      <c r="AX319" s="648">
        <f t="shared" si="154"/>
        <v>0</v>
      </c>
      <c r="AY319" s="634">
        <v>0</v>
      </c>
      <c r="AZ319" s="616"/>
      <c r="BA319" s="619">
        <f>IF(O320=0,0,             IF(ISNUMBER(AZ319),AZ319,             IF(ISTEXT(AZ319),INDEX(AQ319:AX319,MATCH(AZ319,$AQ$17:$AX$17,0)),           IF(AY319="INT",_xll.qInterp(O320,AA319:AH319,AQ319:AX319),       INDEX(AQ319:AX319,MATCH(AY319,$AQ$17:$AX$17,0))))))</f>
        <v>0</v>
      </c>
      <c r="BB319" s="674">
        <v>100</v>
      </c>
      <c r="BC319" s="666">
        <f t="shared" si="133"/>
        <v>0</v>
      </c>
      <c r="BD319" s="268">
        <f>IF($O320=0,0,                IF(LEFT(DCC_Leg1_Fixed,2)="1/",uEvaluate(DCC_Leg1_Fixed),        _xll.qDateYears($O319,$O320,DCC_Leg1_Fixed)))</f>
        <v>0</v>
      </c>
      <c r="BE319" s="268">
        <f>IF($O320,_xll.qDateYears($O319,$O320,DCC_Leg1_Float),0)</f>
        <v>0</v>
      </c>
      <c r="BG319" s="332">
        <f t="shared" si="155"/>
        <v>0</v>
      </c>
      <c r="BH319" s="357">
        <f t="shared" si="156"/>
        <v>0</v>
      </c>
      <c r="BI319" s="527"/>
      <c r="BK319" s="324">
        <f t="shared" si="161"/>
        <v>0</v>
      </c>
      <c r="BM319" s="338"/>
      <c r="BN319" s="121">
        <v>0</v>
      </c>
      <c r="BO319" s="755">
        <f t="shared" si="134"/>
        <v>0</v>
      </c>
      <c r="BP319" s="339">
        <v>0</v>
      </c>
      <c r="BQ319" s="890">
        <f>IF(BN320=0,0,         IF(OR(Currency2="AUD",Currency1="NZD",Currency2="GBP"),BN319,   _xll.qDateNext(BN319,"-2b",,,IF(Currency2="EUR","TGT","LON"))))</f>
        <v>0</v>
      </c>
      <c r="BR319" s="879" t="str">
        <v/>
      </c>
      <c r="BS319" s="879" t="str">
        <v/>
      </c>
      <c r="BT319" s="879" t="str">
        <v/>
      </c>
      <c r="BU319" s="879" t="str">
        <v/>
      </c>
      <c r="BV319" s="879" t="str">
        <v/>
      </c>
      <c r="BW319" s="879" t="str">
        <v/>
      </c>
      <c r="BX319" s="879" t="str">
        <v/>
      </c>
      <c r="BY319" s="879" t="str">
        <v/>
      </c>
      <c r="BZ319" s="882">
        <f>IF($BN320=0,0,        _xll.qDateNext($BN319,BZ$17,$CG$16,TRUE,Currency2))</f>
        <v>0</v>
      </c>
      <c r="CA319" s="882">
        <f>IF($BN320=0,0,        _xll.qDateNext($BN319,CA$17,$CG$16,TRUE,Currency2))</f>
        <v>0</v>
      </c>
      <c r="CB319" s="882">
        <f>IF($BN320=0,0,        _xll.qDateNext($BN319,CB$17,$CG$16,TRUE,Currency2))</f>
        <v>0</v>
      </c>
      <c r="CC319" s="882">
        <f>IF($BN320=0,0,        _xll.qDateNext($BN319,CC$17,$CG$16,TRUE,Currency2))</f>
        <v>0</v>
      </c>
      <c r="CD319" s="882">
        <f>IF($BN320=0,0,        _xll.qDateNext($BN319,CD$17,$CG$16,TRUE,Currency2))</f>
        <v>0</v>
      </c>
      <c r="CE319" s="882">
        <f>IF($BN320=0,0,        _xll.qDateNext($BN319,CE$17,$CG$16,TRUE,Currency2))</f>
        <v>0</v>
      </c>
      <c r="CF319" s="882">
        <f>IF($BN320=0,0,        _xll.qDateNext($BN319,CF$17,$CG$16,TRUE,Currency2))</f>
        <v>0</v>
      </c>
      <c r="CG319" s="882">
        <f>IF($BN320=0,0,        _xll.qDateNext($BN319,CG$17,$CG$16,TRUE,Currency2))</f>
        <v>0</v>
      </c>
      <c r="CH319" s="886">
        <v>0</v>
      </c>
      <c r="CI319" s="886">
        <v>0</v>
      </c>
      <c r="CJ319" s="886">
        <v>0</v>
      </c>
      <c r="CK319" s="886">
        <v>0</v>
      </c>
      <c r="CL319" s="886">
        <f t="shared" si="157"/>
        <v>0</v>
      </c>
      <c r="CM319" s="886">
        <f t="shared" si="158"/>
        <v>0</v>
      </c>
      <c r="CN319" s="886">
        <v>0</v>
      </c>
      <c r="CO319" s="886">
        <v>0</v>
      </c>
      <c r="CP319" s="648">
        <f t="shared" si="135"/>
        <v>0</v>
      </c>
      <c r="CQ319" s="648">
        <f t="shared" si="136"/>
        <v>0</v>
      </c>
      <c r="CR319" s="648">
        <f t="shared" si="137"/>
        <v>0</v>
      </c>
      <c r="CS319" s="648">
        <f t="shared" si="138"/>
        <v>0</v>
      </c>
      <c r="CT319" s="648">
        <f t="shared" si="139"/>
        <v>0</v>
      </c>
      <c r="CU319" s="648">
        <f t="shared" si="140"/>
        <v>0</v>
      </c>
      <c r="CV319" s="648">
        <f t="shared" si="141"/>
        <v>0</v>
      </c>
      <c r="CW319" s="648">
        <f t="shared" si="142"/>
        <v>0</v>
      </c>
      <c r="CX319" s="634">
        <v>0</v>
      </c>
      <c r="CY319" s="616"/>
      <c r="CZ319" s="619">
        <f>IF(BN320=0,0,             IF(ISNUMBER(CY319),CY319,             IF(ISTEXT(CY319),INDEX(CP319:CW319,MATCH(CY319,$CP$17:$CW$17,0)),           IF(CX319="INT",_xll.qInterp(BN320,BZ319:CG319,CP319:CW319),       INDEX(CP319:CW319,MATCH(CX319,$CP$17:$CW$17,0))))))</f>
        <v>0</v>
      </c>
      <c r="DA319" s="755">
        <f t="shared" si="143"/>
        <v>0</v>
      </c>
      <c r="DB319" s="387">
        <f t="shared" si="144"/>
        <v>0</v>
      </c>
      <c r="DC319" s="268">
        <f>IF($BN320=0,0,         IF(LEFT(DCC_Leg2_Fixed,2)="1/",uEvaluate(DCC_Leg2_Fixed),         _xll.qDateYears($BN319,$BN320,DCC_Leg2_Fixed)))</f>
        <v>0</v>
      </c>
      <c r="DD319" s="268">
        <f>IF($BN320,_xll.qDateYears($BN319,$BN320,DCC_Leg2_Float),0)</f>
        <v>0</v>
      </c>
      <c r="DF319" s="332">
        <f t="shared" si="159"/>
        <v>0</v>
      </c>
      <c r="DG319" s="357">
        <f t="shared" si="160"/>
        <v>0</v>
      </c>
      <c r="DH319" s="527"/>
      <c r="DJ319" s="324">
        <f t="shared" si="162"/>
        <v>0</v>
      </c>
      <c r="DK319" s="529"/>
      <c r="DL319" s="338"/>
    </row>
    <row r="320" spans="15:116">
      <c r="O320" s="121">
        <v>0</v>
      </c>
      <c r="P320" s="755">
        <f t="shared" si="131"/>
        <v>0</v>
      </c>
      <c r="Q320" s="125">
        <v>0</v>
      </c>
      <c r="R320" s="890">
        <f>IF(O321=0,0,         IF(OR(Currency1="AUD",Currency1="NZD",Currency1="GBP"),O320,   _xll.qDateNext(O320,"-2b",,,IF(Currency1="EUR","TGT","LON"))))</f>
        <v>0</v>
      </c>
      <c r="S320" s="879" t="str">
        <v/>
      </c>
      <c r="T320" s="879" t="str">
        <v/>
      </c>
      <c r="U320" s="879" t="str">
        <v/>
      </c>
      <c r="V320" s="879" t="str">
        <v/>
      </c>
      <c r="W320" s="879" t="str">
        <v/>
      </c>
      <c r="X320" s="879" t="str">
        <v/>
      </c>
      <c r="Y320" s="879" t="str">
        <v/>
      </c>
      <c r="Z320" s="879" t="str">
        <v/>
      </c>
      <c r="AA320" s="882">
        <f>IF($O321=0,0,        _xll.qDateNext($O320,AA$17,$AH$16,TRUE,Currency1))</f>
        <v>0</v>
      </c>
      <c r="AB320" s="882">
        <f>IF($O321=0,0,        _xll.qDateNext($O320,AB$17,$AH$16,TRUE,Currency1))</f>
        <v>0</v>
      </c>
      <c r="AC320" s="882">
        <f>IF($O321=0,0,        _xll.qDateNext($O320,AC$17,$AH$16,TRUE,Currency1))</f>
        <v>0</v>
      </c>
      <c r="AD320" s="882">
        <f>IF($O321=0,0,        _xll.qDateNext($O320,AD$17,$AH$16,TRUE,Currency1))</f>
        <v>0</v>
      </c>
      <c r="AE320" s="882">
        <f>IF($O321=0,0,        _xll.qDateNext($O320,AE$17,$AH$16,TRUE,Currency1))</f>
        <v>0</v>
      </c>
      <c r="AF320" s="882">
        <f>IF($O321=0,0,        _xll.qDateNext($O320,AF$17,$AH$16,TRUE,Currency1))</f>
        <v>0</v>
      </c>
      <c r="AG320" s="882">
        <f>IF($O321=0,0,        _xll.qDateNext($O320,AG$17,$AH$16,TRUE,Currency1))</f>
        <v>0</v>
      </c>
      <c r="AH320" s="882">
        <f>IF($O321=0,0,        _xll.qDateNext($O320,AH$17,$AH$16,TRUE,Currency1))</f>
        <v>0</v>
      </c>
      <c r="AI320" s="886">
        <f>IF($O321=0,0,           IF(FRM,_xll.qGetFwdRate(AI$14,$O320,AA320,"T",DCC_Leg1_Float),_xll.qGetFwdRate(AI$14,$O320,$O321,"T",DCC_Leg1_Float)))</f>
        <v>0</v>
      </c>
      <c r="AJ320" s="886">
        <f>IF($O321=0,0,           IF(FRM,_xll.qGetFwdRate(AJ$14,$O320,AB320,"T",DCC_Leg1_Float),_xll.qGetFwdRate(AJ$14,$O320,$O321,"T",DCC_Leg1_Float)))</f>
        <v>0</v>
      </c>
      <c r="AK320" s="886">
        <f t="shared" si="132"/>
        <v>0</v>
      </c>
      <c r="AL320" s="886">
        <f>IF($O321=0,0,           IF(FRM,_xll.qGetFwdRate(AL$14,$O320,AD320,"T",DCC_Leg1_Float),_xll.qGetFwdRate(AL$14,$O320,$O321,"T",DCC_Leg1_Float)))</f>
        <v>0</v>
      </c>
      <c r="AM320" s="886">
        <f t="shared" si="145"/>
        <v>0</v>
      </c>
      <c r="AN320" s="886">
        <f t="shared" si="146"/>
        <v>0</v>
      </c>
      <c r="AO320" s="886">
        <f>IF($O321=0,0,           IF(FRM,_xll.qGetFwdRate(AO$14,$O320,AG320,"T",DCC_Leg1_Float),_xll.qGetFwdRate(AO$14,$O320,$O321,"T",DCC_Leg1_Float)))</f>
        <v>0</v>
      </c>
      <c r="AP320" s="886">
        <f>IF($O321=0,0,           IF(FRM,_xll.qGetFwdRate(AP$14,$O320,AH320,"T",DCC_Leg1_Float),_xll.qGetFwdRate(AP$14,$O320,$O321,"T",DCC_Leg1_Float)))</f>
        <v>0</v>
      </c>
      <c r="AQ320" s="648">
        <f t="shared" si="147"/>
        <v>0</v>
      </c>
      <c r="AR320" s="648">
        <f t="shared" si="148"/>
        <v>0</v>
      </c>
      <c r="AS320" s="648">
        <f t="shared" si="149"/>
        <v>0</v>
      </c>
      <c r="AT320" s="648">
        <f t="shared" si="150"/>
        <v>0</v>
      </c>
      <c r="AU320" s="648">
        <f t="shared" si="151"/>
        <v>0</v>
      </c>
      <c r="AV320" s="648">
        <f t="shared" si="152"/>
        <v>0</v>
      </c>
      <c r="AW320" s="648">
        <f t="shared" si="153"/>
        <v>0</v>
      </c>
      <c r="AX320" s="648">
        <f t="shared" si="154"/>
        <v>0</v>
      </c>
      <c r="AY320" s="634">
        <v>0</v>
      </c>
      <c r="AZ320" s="616"/>
      <c r="BA320" s="619">
        <f>IF(O321=0,0,             IF(ISNUMBER(AZ320),AZ320,             IF(ISTEXT(AZ320),INDEX(AQ320:AX320,MATCH(AZ320,$AQ$17:$AX$17,0)),           IF(AY320="INT",_xll.qInterp(O321,AA320:AH320,AQ320:AX320),       INDEX(AQ320:AX320,MATCH(AY320,$AQ$17:$AX$17,0))))))</f>
        <v>0</v>
      </c>
      <c r="BB320" s="674">
        <v>100</v>
      </c>
      <c r="BC320" s="666">
        <f t="shared" si="133"/>
        <v>0</v>
      </c>
      <c r="BD320" s="268">
        <f>IF($O321=0,0,                IF(LEFT(DCC_Leg1_Fixed,2)="1/",uEvaluate(DCC_Leg1_Fixed),        _xll.qDateYears($O320,$O321,DCC_Leg1_Fixed)))</f>
        <v>0</v>
      </c>
      <c r="BE320" s="268">
        <f>IF($O321,_xll.qDateYears($O320,$O321,DCC_Leg1_Float),0)</f>
        <v>0</v>
      </c>
      <c r="BG320" s="332">
        <f t="shared" si="155"/>
        <v>0</v>
      </c>
      <c r="BH320" s="357">
        <f t="shared" si="156"/>
        <v>0</v>
      </c>
      <c r="BI320" s="527"/>
      <c r="BK320" s="324">
        <f t="shared" si="161"/>
        <v>0</v>
      </c>
      <c r="BM320" s="338"/>
      <c r="BN320" s="121">
        <v>0</v>
      </c>
      <c r="BO320" s="755">
        <f t="shared" si="134"/>
        <v>0</v>
      </c>
      <c r="BP320" s="339">
        <v>0</v>
      </c>
      <c r="BQ320" s="890">
        <f>IF(BN321=0,0,         IF(OR(Currency2="AUD",Currency1="NZD",Currency2="GBP"),BN320,   _xll.qDateNext(BN320,"-2b",,,IF(Currency2="EUR","TGT","LON"))))</f>
        <v>0</v>
      </c>
      <c r="BR320" s="879" t="str">
        <v/>
      </c>
      <c r="BS320" s="879" t="str">
        <v/>
      </c>
      <c r="BT320" s="879" t="str">
        <v/>
      </c>
      <c r="BU320" s="879" t="str">
        <v/>
      </c>
      <c r="BV320" s="879" t="str">
        <v/>
      </c>
      <c r="BW320" s="879" t="str">
        <v/>
      </c>
      <c r="BX320" s="879" t="str">
        <v/>
      </c>
      <c r="BY320" s="879" t="str">
        <v/>
      </c>
      <c r="BZ320" s="882">
        <f>IF($BN321=0,0,        _xll.qDateNext($BN320,BZ$17,$CG$16,TRUE,Currency2))</f>
        <v>0</v>
      </c>
      <c r="CA320" s="882">
        <f>IF($BN321=0,0,        _xll.qDateNext($BN320,CA$17,$CG$16,TRUE,Currency2))</f>
        <v>0</v>
      </c>
      <c r="CB320" s="882">
        <f>IF($BN321=0,0,        _xll.qDateNext($BN320,CB$17,$CG$16,TRUE,Currency2))</f>
        <v>0</v>
      </c>
      <c r="CC320" s="882">
        <f>IF($BN321=0,0,        _xll.qDateNext($BN320,CC$17,$CG$16,TRUE,Currency2))</f>
        <v>0</v>
      </c>
      <c r="CD320" s="882">
        <f>IF($BN321=0,0,        _xll.qDateNext($BN320,CD$17,$CG$16,TRUE,Currency2))</f>
        <v>0</v>
      </c>
      <c r="CE320" s="882">
        <f>IF($BN321=0,0,        _xll.qDateNext($BN320,CE$17,$CG$16,TRUE,Currency2))</f>
        <v>0</v>
      </c>
      <c r="CF320" s="882">
        <f>IF($BN321=0,0,        _xll.qDateNext($BN320,CF$17,$CG$16,TRUE,Currency2))</f>
        <v>0</v>
      </c>
      <c r="CG320" s="882">
        <f>IF($BN321=0,0,        _xll.qDateNext($BN320,CG$17,$CG$16,TRUE,Currency2))</f>
        <v>0</v>
      </c>
      <c r="CH320" s="886">
        <v>0</v>
      </c>
      <c r="CI320" s="886">
        <v>0</v>
      </c>
      <c r="CJ320" s="886">
        <v>0</v>
      </c>
      <c r="CK320" s="886">
        <v>0</v>
      </c>
      <c r="CL320" s="886">
        <f t="shared" si="157"/>
        <v>0</v>
      </c>
      <c r="CM320" s="886">
        <f t="shared" si="158"/>
        <v>0</v>
      </c>
      <c r="CN320" s="886">
        <v>0</v>
      </c>
      <c r="CO320" s="886">
        <v>0</v>
      </c>
      <c r="CP320" s="648">
        <f t="shared" si="135"/>
        <v>0</v>
      </c>
      <c r="CQ320" s="648">
        <f t="shared" si="136"/>
        <v>0</v>
      </c>
      <c r="CR320" s="648">
        <f t="shared" si="137"/>
        <v>0</v>
      </c>
      <c r="CS320" s="648">
        <f t="shared" si="138"/>
        <v>0</v>
      </c>
      <c r="CT320" s="648">
        <f t="shared" si="139"/>
        <v>0</v>
      </c>
      <c r="CU320" s="648">
        <f t="shared" si="140"/>
        <v>0</v>
      </c>
      <c r="CV320" s="648">
        <f t="shared" si="141"/>
        <v>0</v>
      </c>
      <c r="CW320" s="648">
        <f t="shared" si="142"/>
        <v>0</v>
      </c>
      <c r="CX320" s="634">
        <v>0</v>
      </c>
      <c r="CY320" s="616"/>
      <c r="CZ320" s="619">
        <f>IF(BN321=0,0,             IF(ISNUMBER(CY320),CY320,             IF(ISTEXT(CY320),INDEX(CP320:CW320,MATCH(CY320,$CP$17:$CW$17,0)),           IF(CX320="INT",_xll.qInterp(BN321,BZ320:CG320,CP320:CW320),       INDEX(CP320:CW320,MATCH(CX320,$CP$17:$CW$17,0))))))</f>
        <v>0</v>
      </c>
      <c r="DA320" s="755">
        <f t="shared" si="143"/>
        <v>0</v>
      </c>
      <c r="DB320" s="387">
        <f t="shared" si="144"/>
        <v>0</v>
      </c>
      <c r="DC320" s="268">
        <f>IF($BN321=0,0,         IF(LEFT(DCC_Leg2_Fixed,2)="1/",uEvaluate(DCC_Leg2_Fixed),         _xll.qDateYears($BN320,$BN321,DCC_Leg2_Fixed)))</f>
        <v>0</v>
      </c>
      <c r="DD320" s="268">
        <f>IF($BN321,_xll.qDateYears($BN320,$BN321,DCC_Leg2_Float),0)</f>
        <v>0</v>
      </c>
      <c r="DF320" s="332">
        <f t="shared" si="159"/>
        <v>0</v>
      </c>
      <c r="DG320" s="357">
        <f t="shared" si="160"/>
        <v>0</v>
      </c>
      <c r="DH320" s="527"/>
      <c r="DJ320" s="324">
        <f t="shared" si="162"/>
        <v>0</v>
      </c>
      <c r="DK320" s="529"/>
      <c r="DL320" s="338"/>
    </row>
    <row r="321" spans="15:116">
      <c r="O321" s="121">
        <v>0</v>
      </c>
      <c r="P321" s="755">
        <f t="shared" si="131"/>
        <v>0</v>
      </c>
      <c r="Q321" s="125">
        <v>0</v>
      </c>
      <c r="R321" s="890">
        <f>IF(O322=0,0,         IF(OR(Currency1="AUD",Currency1="NZD",Currency1="GBP"),O321,   _xll.qDateNext(O321,"-2b",,,IF(Currency1="EUR","TGT","LON"))))</f>
        <v>0</v>
      </c>
      <c r="S321" s="879" t="str">
        <v/>
      </c>
      <c r="T321" s="879" t="str">
        <v/>
      </c>
      <c r="U321" s="879" t="str">
        <v/>
      </c>
      <c r="V321" s="879" t="str">
        <v/>
      </c>
      <c r="W321" s="879" t="str">
        <v/>
      </c>
      <c r="X321" s="879" t="str">
        <v/>
      </c>
      <c r="Y321" s="879" t="str">
        <v/>
      </c>
      <c r="Z321" s="879" t="str">
        <v/>
      </c>
      <c r="AA321" s="882">
        <f>IF($O322=0,0,        _xll.qDateNext($O321,AA$17,$AH$16,TRUE,Currency1))</f>
        <v>0</v>
      </c>
      <c r="AB321" s="882">
        <f>IF($O322=0,0,        _xll.qDateNext($O321,AB$17,$AH$16,TRUE,Currency1))</f>
        <v>0</v>
      </c>
      <c r="AC321" s="882">
        <f>IF($O322=0,0,        _xll.qDateNext($O321,AC$17,$AH$16,TRUE,Currency1))</f>
        <v>0</v>
      </c>
      <c r="AD321" s="882">
        <f>IF($O322=0,0,        _xll.qDateNext($O321,AD$17,$AH$16,TRUE,Currency1))</f>
        <v>0</v>
      </c>
      <c r="AE321" s="882">
        <f>IF($O322=0,0,        _xll.qDateNext($O321,AE$17,$AH$16,TRUE,Currency1))</f>
        <v>0</v>
      </c>
      <c r="AF321" s="882">
        <f>IF($O322=0,0,        _xll.qDateNext($O321,AF$17,$AH$16,TRUE,Currency1))</f>
        <v>0</v>
      </c>
      <c r="AG321" s="882">
        <f>IF($O322=0,0,        _xll.qDateNext($O321,AG$17,$AH$16,TRUE,Currency1))</f>
        <v>0</v>
      </c>
      <c r="AH321" s="882">
        <f>IF($O322=0,0,        _xll.qDateNext($O321,AH$17,$AH$16,TRUE,Currency1))</f>
        <v>0</v>
      </c>
      <c r="AI321" s="886">
        <f>IF($O322=0,0,           IF(FRM,_xll.qGetFwdRate(AI$14,$O321,AA321,"T",DCC_Leg1_Float),_xll.qGetFwdRate(AI$14,$O321,$O322,"T",DCC_Leg1_Float)))</f>
        <v>0</v>
      </c>
      <c r="AJ321" s="886">
        <f>IF($O322=0,0,           IF(FRM,_xll.qGetFwdRate(AJ$14,$O321,AB321,"T",DCC_Leg1_Float),_xll.qGetFwdRate(AJ$14,$O321,$O322,"T",DCC_Leg1_Float)))</f>
        <v>0</v>
      </c>
      <c r="AK321" s="886">
        <f t="shared" si="132"/>
        <v>0</v>
      </c>
      <c r="AL321" s="886">
        <f>IF($O322=0,0,           IF(FRM,_xll.qGetFwdRate(AL$14,$O321,AD321,"T",DCC_Leg1_Float),_xll.qGetFwdRate(AL$14,$O321,$O322,"T",DCC_Leg1_Float)))</f>
        <v>0</v>
      </c>
      <c r="AM321" s="886">
        <f t="shared" si="145"/>
        <v>0</v>
      </c>
      <c r="AN321" s="886">
        <f t="shared" si="146"/>
        <v>0</v>
      </c>
      <c r="AO321" s="886">
        <f>IF($O322=0,0,           IF(FRM,_xll.qGetFwdRate(AO$14,$O321,AG321,"T",DCC_Leg1_Float),_xll.qGetFwdRate(AO$14,$O321,$O322,"T",DCC_Leg1_Float)))</f>
        <v>0</v>
      </c>
      <c r="AP321" s="886">
        <f>IF($O322=0,0,           IF(FRM,_xll.qGetFwdRate(AP$14,$O321,AH321,"T",DCC_Leg1_Float),_xll.qGetFwdRate(AP$14,$O321,$O322,"T",DCC_Leg1_Float)))</f>
        <v>0</v>
      </c>
      <c r="AQ321" s="648">
        <f t="shared" si="147"/>
        <v>0</v>
      </c>
      <c r="AR321" s="648">
        <f t="shared" si="148"/>
        <v>0</v>
      </c>
      <c r="AS321" s="648">
        <f t="shared" si="149"/>
        <v>0</v>
      </c>
      <c r="AT321" s="648">
        <f t="shared" si="150"/>
        <v>0</v>
      </c>
      <c r="AU321" s="648">
        <f t="shared" si="151"/>
        <v>0</v>
      </c>
      <c r="AV321" s="648">
        <f t="shared" si="152"/>
        <v>0</v>
      </c>
      <c r="AW321" s="648">
        <f t="shared" si="153"/>
        <v>0</v>
      </c>
      <c r="AX321" s="648">
        <f t="shared" si="154"/>
        <v>0</v>
      </c>
      <c r="AY321" s="634">
        <v>0</v>
      </c>
      <c r="AZ321" s="616"/>
      <c r="BA321" s="619">
        <f>IF(O322=0,0,             IF(ISNUMBER(AZ321),AZ321,             IF(ISTEXT(AZ321),INDEX(AQ321:AX321,MATCH(AZ321,$AQ$17:$AX$17,0)),           IF(AY321="INT",_xll.qInterp(O322,AA321:AH321,AQ321:AX321),       INDEX(AQ321:AX321,MATCH(AY321,$AQ$17:$AX$17,0))))))</f>
        <v>0</v>
      </c>
      <c r="BB321" s="674">
        <v>100</v>
      </c>
      <c r="BC321" s="666">
        <f t="shared" si="133"/>
        <v>0</v>
      </c>
      <c r="BD321" s="268">
        <f>IF($O322=0,0,                IF(LEFT(DCC_Leg1_Fixed,2)="1/",uEvaluate(DCC_Leg1_Fixed),        _xll.qDateYears($O321,$O322,DCC_Leg1_Fixed)))</f>
        <v>0</v>
      </c>
      <c r="BE321" s="268">
        <f>IF($O322,_xll.qDateYears($O321,$O322,DCC_Leg1_Float),0)</f>
        <v>0</v>
      </c>
      <c r="BG321" s="332">
        <f t="shared" si="155"/>
        <v>0</v>
      </c>
      <c r="BH321" s="357">
        <f t="shared" si="156"/>
        <v>0</v>
      </c>
      <c r="BI321" s="527"/>
      <c r="BK321" s="324">
        <f t="shared" si="161"/>
        <v>0</v>
      </c>
      <c r="BM321" s="338"/>
      <c r="BN321" s="121">
        <v>0</v>
      </c>
      <c r="BO321" s="755">
        <f t="shared" si="134"/>
        <v>0</v>
      </c>
      <c r="BP321" s="339">
        <v>0</v>
      </c>
      <c r="BQ321" s="890">
        <f>IF(BN322=0,0,         IF(OR(Currency2="AUD",Currency1="NZD",Currency2="GBP"),BN321,   _xll.qDateNext(BN321,"-2b",,,IF(Currency2="EUR","TGT","LON"))))</f>
        <v>0</v>
      </c>
      <c r="BR321" s="879" t="str">
        <v/>
      </c>
      <c r="BS321" s="879" t="str">
        <v/>
      </c>
      <c r="BT321" s="879" t="str">
        <v/>
      </c>
      <c r="BU321" s="879" t="str">
        <v/>
      </c>
      <c r="BV321" s="879" t="str">
        <v/>
      </c>
      <c r="BW321" s="879" t="str">
        <v/>
      </c>
      <c r="BX321" s="879" t="str">
        <v/>
      </c>
      <c r="BY321" s="879" t="str">
        <v/>
      </c>
      <c r="BZ321" s="882">
        <f>IF($BN322=0,0,        _xll.qDateNext($BN321,BZ$17,$CG$16,TRUE,Currency2))</f>
        <v>0</v>
      </c>
      <c r="CA321" s="882">
        <f>IF($BN322=0,0,        _xll.qDateNext($BN321,CA$17,$CG$16,TRUE,Currency2))</f>
        <v>0</v>
      </c>
      <c r="CB321" s="882">
        <f>IF($BN322=0,0,        _xll.qDateNext($BN321,CB$17,$CG$16,TRUE,Currency2))</f>
        <v>0</v>
      </c>
      <c r="CC321" s="882">
        <f>IF($BN322=0,0,        _xll.qDateNext($BN321,CC$17,$CG$16,TRUE,Currency2))</f>
        <v>0</v>
      </c>
      <c r="CD321" s="882">
        <f>IF($BN322=0,0,        _xll.qDateNext($BN321,CD$17,$CG$16,TRUE,Currency2))</f>
        <v>0</v>
      </c>
      <c r="CE321" s="882">
        <f>IF($BN322=0,0,        _xll.qDateNext($BN321,CE$17,$CG$16,TRUE,Currency2))</f>
        <v>0</v>
      </c>
      <c r="CF321" s="882">
        <f>IF($BN322=0,0,        _xll.qDateNext($BN321,CF$17,$CG$16,TRUE,Currency2))</f>
        <v>0</v>
      </c>
      <c r="CG321" s="882">
        <f>IF($BN322=0,0,        _xll.qDateNext($BN321,CG$17,$CG$16,TRUE,Currency2))</f>
        <v>0</v>
      </c>
      <c r="CH321" s="886">
        <v>0</v>
      </c>
      <c r="CI321" s="886">
        <v>0</v>
      </c>
      <c r="CJ321" s="886">
        <v>0</v>
      </c>
      <c r="CK321" s="886">
        <v>0</v>
      </c>
      <c r="CL321" s="886">
        <f t="shared" si="157"/>
        <v>0</v>
      </c>
      <c r="CM321" s="886">
        <f t="shared" si="158"/>
        <v>0</v>
      </c>
      <c r="CN321" s="886">
        <v>0</v>
      </c>
      <c r="CO321" s="886">
        <v>0</v>
      </c>
      <c r="CP321" s="648">
        <f t="shared" si="135"/>
        <v>0</v>
      </c>
      <c r="CQ321" s="648">
        <f t="shared" si="136"/>
        <v>0</v>
      </c>
      <c r="CR321" s="648">
        <f t="shared" si="137"/>
        <v>0</v>
      </c>
      <c r="CS321" s="648">
        <f t="shared" si="138"/>
        <v>0</v>
      </c>
      <c r="CT321" s="648">
        <f t="shared" si="139"/>
        <v>0</v>
      </c>
      <c r="CU321" s="648">
        <f t="shared" si="140"/>
        <v>0</v>
      </c>
      <c r="CV321" s="648">
        <f t="shared" si="141"/>
        <v>0</v>
      </c>
      <c r="CW321" s="648">
        <f t="shared" si="142"/>
        <v>0</v>
      </c>
      <c r="CX321" s="634">
        <v>0</v>
      </c>
      <c r="CY321" s="616"/>
      <c r="CZ321" s="619">
        <f>IF(BN322=0,0,             IF(ISNUMBER(CY321),CY321,             IF(ISTEXT(CY321),INDEX(CP321:CW321,MATCH(CY321,$CP$17:$CW$17,0)),           IF(CX321="INT",_xll.qInterp(BN322,BZ321:CG321,CP321:CW321),       INDEX(CP321:CW321,MATCH(CX321,$CP$17:$CW$17,0))))))</f>
        <v>0</v>
      </c>
      <c r="DA321" s="755">
        <f t="shared" si="143"/>
        <v>0</v>
      </c>
      <c r="DB321" s="387">
        <f t="shared" si="144"/>
        <v>0</v>
      </c>
      <c r="DC321" s="268">
        <f>IF($BN322=0,0,         IF(LEFT(DCC_Leg2_Fixed,2)="1/",uEvaluate(DCC_Leg2_Fixed),         _xll.qDateYears($BN321,$BN322,DCC_Leg2_Fixed)))</f>
        <v>0</v>
      </c>
      <c r="DD321" s="268">
        <f>IF($BN322,_xll.qDateYears($BN321,$BN322,DCC_Leg2_Float),0)</f>
        <v>0</v>
      </c>
      <c r="DF321" s="332">
        <f t="shared" si="159"/>
        <v>0</v>
      </c>
      <c r="DG321" s="357">
        <f t="shared" si="160"/>
        <v>0</v>
      </c>
      <c r="DH321" s="527"/>
      <c r="DJ321" s="324">
        <f t="shared" si="162"/>
        <v>0</v>
      </c>
      <c r="DK321" s="529"/>
      <c r="DL321" s="338"/>
    </row>
    <row r="322" spans="15:116">
      <c r="O322" s="121">
        <v>0</v>
      </c>
      <c r="P322" s="755">
        <f t="shared" si="131"/>
        <v>0</v>
      </c>
      <c r="Q322" s="125">
        <v>0</v>
      </c>
      <c r="R322" s="890">
        <f>IF(O323=0,0,         IF(OR(Currency1="AUD",Currency1="NZD",Currency1="GBP"),O322,   _xll.qDateNext(O322,"-2b",,,IF(Currency1="EUR","TGT","LON"))))</f>
        <v>0</v>
      </c>
      <c r="S322" s="879" t="str">
        <v/>
      </c>
      <c r="T322" s="879" t="str">
        <v/>
      </c>
      <c r="U322" s="879" t="str">
        <v/>
      </c>
      <c r="V322" s="879" t="str">
        <v/>
      </c>
      <c r="W322" s="879" t="str">
        <v/>
      </c>
      <c r="X322" s="879" t="str">
        <v/>
      </c>
      <c r="Y322" s="879" t="str">
        <v/>
      </c>
      <c r="Z322" s="879" t="str">
        <v/>
      </c>
      <c r="AA322" s="882">
        <f>IF($O323=0,0,        _xll.qDateNext($O322,AA$17,$AH$16,TRUE,Currency1))</f>
        <v>0</v>
      </c>
      <c r="AB322" s="882">
        <f>IF($O323=0,0,        _xll.qDateNext($O322,AB$17,$AH$16,TRUE,Currency1))</f>
        <v>0</v>
      </c>
      <c r="AC322" s="882">
        <f>IF($O323=0,0,        _xll.qDateNext($O322,AC$17,$AH$16,TRUE,Currency1))</f>
        <v>0</v>
      </c>
      <c r="AD322" s="882">
        <f>IF($O323=0,0,        _xll.qDateNext($O322,AD$17,$AH$16,TRUE,Currency1))</f>
        <v>0</v>
      </c>
      <c r="AE322" s="882">
        <f>IF($O323=0,0,        _xll.qDateNext($O322,AE$17,$AH$16,TRUE,Currency1))</f>
        <v>0</v>
      </c>
      <c r="AF322" s="882">
        <f>IF($O323=0,0,        _xll.qDateNext($O322,AF$17,$AH$16,TRUE,Currency1))</f>
        <v>0</v>
      </c>
      <c r="AG322" s="882">
        <f>IF($O323=0,0,        _xll.qDateNext($O322,AG$17,$AH$16,TRUE,Currency1))</f>
        <v>0</v>
      </c>
      <c r="AH322" s="882">
        <f>IF($O323=0,0,        _xll.qDateNext($O322,AH$17,$AH$16,TRUE,Currency1))</f>
        <v>0</v>
      </c>
      <c r="AI322" s="886">
        <f>IF($O323=0,0,           IF(FRM,_xll.qGetFwdRate(AI$14,$O322,AA322,"T",DCC_Leg1_Float),_xll.qGetFwdRate(AI$14,$O322,$O323,"T",DCC_Leg1_Float)))</f>
        <v>0</v>
      </c>
      <c r="AJ322" s="886">
        <f>IF($O323=0,0,           IF(FRM,_xll.qGetFwdRate(AJ$14,$O322,AB322,"T",DCC_Leg1_Float),_xll.qGetFwdRate(AJ$14,$O322,$O323,"T",DCC_Leg1_Float)))</f>
        <v>0</v>
      </c>
      <c r="AK322" s="886">
        <f t="shared" si="132"/>
        <v>0</v>
      </c>
      <c r="AL322" s="886">
        <f>IF($O323=0,0,           IF(FRM,_xll.qGetFwdRate(AL$14,$O322,AD322,"T",DCC_Leg1_Float),_xll.qGetFwdRate(AL$14,$O322,$O323,"T",DCC_Leg1_Float)))</f>
        <v>0</v>
      </c>
      <c r="AM322" s="886">
        <f t="shared" si="145"/>
        <v>0</v>
      </c>
      <c r="AN322" s="886">
        <f t="shared" si="146"/>
        <v>0</v>
      </c>
      <c r="AO322" s="886">
        <f>IF($O323=0,0,           IF(FRM,_xll.qGetFwdRate(AO$14,$O322,AG322,"T",DCC_Leg1_Float),_xll.qGetFwdRate(AO$14,$O322,$O323,"T",DCC_Leg1_Float)))</f>
        <v>0</v>
      </c>
      <c r="AP322" s="886">
        <f>IF($O323=0,0,           IF(FRM,_xll.qGetFwdRate(AP$14,$O322,AH322,"T",DCC_Leg1_Float),_xll.qGetFwdRate(AP$14,$O322,$O323,"T",DCC_Leg1_Float)))</f>
        <v>0</v>
      </c>
      <c r="AQ322" s="648">
        <f t="shared" si="147"/>
        <v>0</v>
      </c>
      <c r="AR322" s="648">
        <f t="shared" si="148"/>
        <v>0</v>
      </c>
      <c r="AS322" s="648">
        <f t="shared" si="149"/>
        <v>0</v>
      </c>
      <c r="AT322" s="648">
        <f t="shared" si="150"/>
        <v>0</v>
      </c>
      <c r="AU322" s="648">
        <f t="shared" si="151"/>
        <v>0</v>
      </c>
      <c r="AV322" s="648">
        <f t="shared" si="152"/>
        <v>0</v>
      </c>
      <c r="AW322" s="648">
        <f t="shared" si="153"/>
        <v>0</v>
      </c>
      <c r="AX322" s="648">
        <f t="shared" si="154"/>
        <v>0</v>
      </c>
      <c r="AY322" s="634">
        <v>0</v>
      </c>
      <c r="AZ322" s="616"/>
      <c r="BA322" s="619">
        <f>IF(O323=0,0,             IF(ISNUMBER(AZ322),AZ322,             IF(ISTEXT(AZ322),INDEX(AQ322:AX322,MATCH(AZ322,$AQ$17:$AX$17,0)),           IF(AY322="INT",_xll.qInterp(O323,AA322:AH322,AQ322:AX322),       INDEX(AQ322:AX322,MATCH(AY322,$AQ$17:$AX$17,0))))))</f>
        <v>0</v>
      </c>
      <c r="BB322" s="674">
        <v>100</v>
      </c>
      <c r="BC322" s="666">
        <f t="shared" si="133"/>
        <v>0</v>
      </c>
      <c r="BD322" s="268">
        <f>IF($O323=0,0,                IF(LEFT(DCC_Leg1_Fixed,2)="1/",uEvaluate(DCC_Leg1_Fixed),        _xll.qDateYears($O322,$O323,DCC_Leg1_Fixed)))</f>
        <v>0</v>
      </c>
      <c r="BE322" s="268">
        <f>IF($O323,_xll.qDateYears($O322,$O323,DCC_Leg1_Float),0)</f>
        <v>0</v>
      </c>
      <c r="BG322" s="332">
        <f t="shared" si="155"/>
        <v>0</v>
      </c>
      <c r="BH322" s="357">
        <f t="shared" si="156"/>
        <v>0</v>
      </c>
      <c r="BI322" s="527"/>
      <c r="BK322" s="324">
        <f t="shared" si="161"/>
        <v>0</v>
      </c>
      <c r="BM322" s="338"/>
      <c r="BN322" s="121">
        <v>0</v>
      </c>
      <c r="BO322" s="755">
        <f t="shared" si="134"/>
        <v>0</v>
      </c>
      <c r="BP322" s="339">
        <v>0</v>
      </c>
      <c r="BQ322" s="890">
        <f>IF(BN323=0,0,         IF(OR(Currency2="AUD",Currency1="NZD",Currency2="GBP"),BN322,   _xll.qDateNext(BN322,"-2b",,,IF(Currency2="EUR","TGT","LON"))))</f>
        <v>0</v>
      </c>
      <c r="BR322" s="879" t="str">
        <v/>
      </c>
      <c r="BS322" s="879" t="str">
        <v/>
      </c>
      <c r="BT322" s="879" t="str">
        <v/>
      </c>
      <c r="BU322" s="879" t="str">
        <v/>
      </c>
      <c r="BV322" s="879" t="str">
        <v/>
      </c>
      <c r="BW322" s="879" t="str">
        <v/>
      </c>
      <c r="BX322" s="879" t="str">
        <v/>
      </c>
      <c r="BY322" s="879" t="str">
        <v/>
      </c>
      <c r="BZ322" s="882">
        <f>IF($BN323=0,0,        _xll.qDateNext($BN322,BZ$17,$CG$16,TRUE,Currency2))</f>
        <v>0</v>
      </c>
      <c r="CA322" s="882">
        <f>IF($BN323=0,0,        _xll.qDateNext($BN322,CA$17,$CG$16,TRUE,Currency2))</f>
        <v>0</v>
      </c>
      <c r="CB322" s="882">
        <f>IF($BN323=0,0,        _xll.qDateNext($BN322,CB$17,$CG$16,TRUE,Currency2))</f>
        <v>0</v>
      </c>
      <c r="CC322" s="882">
        <f>IF($BN323=0,0,        _xll.qDateNext($BN322,CC$17,$CG$16,TRUE,Currency2))</f>
        <v>0</v>
      </c>
      <c r="CD322" s="882">
        <f>IF($BN323=0,0,        _xll.qDateNext($BN322,CD$17,$CG$16,TRUE,Currency2))</f>
        <v>0</v>
      </c>
      <c r="CE322" s="882">
        <f>IF($BN323=0,0,        _xll.qDateNext($BN322,CE$17,$CG$16,TRUE,Currency2))</f>
        <v>0</v>
      </c>
      <c r="CF322" s="882">
        <f>IF($BN323=0,0,        _xll.qDateNext($BN322,CF$17,$CG$16,TRUE,Currency2))</f>
        <v>0</v>
      </c>
      <c r="CG322" s="882">
        <f>IF($BN323=0,0,        _xll.qDateNext($BN322,CG$17,$CG$16,TRUE,Currency2))</f>
        <v>0</v>
      </c>
      <c r="CH322" s="886">
        <v>0</v>
      </c>
      <c r="CI322" s="886">
        <v>0</v>
      </c>
      <c r="CJ322" s="886">
        <v>0</v>
      </c>
      <c r="CK322" s="886">
        <v>0</v>
      </c>
      <c r="CL322" s="886">
        <f t="shared" si="157"/>
        <v>0</v>
      </c>
      <c r="CM322" s="886">
        <f t="shared" si="158"/>
        <v>0</v>
      </c>
      <c r="CN322" s="886">
        <v>0</v>
      </c>
      <c r="CO322" s="886">
        <v>0</v>
      </c>
      <c r="CP322" s="648">
        <f t="shared" si="135"/>
        <v>0</v>
      </c>
      <c r="CQ322" s="648">
        <f t="shared" si="136"/>
        <v>0</v>
      </c>
      <c r="CR322" s="648">
        <f t="shared" si="137"/>
        <v>0</v>
      </c>
      <c r="CS322" s="648">
        <f t="shared" si="138"/>
        <v>0</v>
      </c>
      <c r="CT322" s="648">
        <f t="shared" si="139"/>
        <v>0</v>
      </c>
      <c r="CU322" s="648">
        <f t="shared" si="140"/>
        <v>0</v>
      </c>
      <c r="CV322" s="648">
        <f t="shared" si="141"/>
        <v>0</v>
      </c>
      <c r="CW322" s="648">
        <f t="shared" si="142"/>
        <v>0</v>
      </c>
      <c r="CX322" s="634">
        <v>0</v>
      </c>
      <c r="CY322" s="616"/>
      <c r="CZ322" s="619">
        <f>IF(BN323=0,0,             IF(ISNUMBER(CY322),CY322,             IF(ISTEXT(CY322),INDEX(CP322:CW322,MATCH(CY322,$CP$17:$CW$17,0)),           IF(CX322="INT",_xll.qInterp(BN323,BZ322:CG322,CP322:CW322),       INDEX(CP322:CW322,MATCH(CX322,$CP$17:$CW$17,0))))))</f>
        <v>0</v>
      </c>
      <c r="DA322" s="755">
        <f t="shared" si="143"/>
        <v>0</v>
      </c>
      <c r="DB322" s="387">
        <f t="shared" si="144"/>
        <v>0</v>
      </c>
      <c r="DC322" s="268">
        <f>IF($BN323=0,0,         IF(LEFT(DCC_Leg2_Fixed,2)="1/",uEvaluate(DCC_Leg2_Fixed),         _xll.qDateYears($BN322,$BN323,DCC_Leg2_Fixed)))</f>
        <v>0</v>
      </c>
      <c r="DD322" s="268">
        <f>IF($BN323,_xll.qDateYears($BN322,$BN323,DCC_Leg2_Float),0)</f>
        <v>0</v>
      </c>
      <c r="DF322" s="332">
        <f t="shared" si="159"/>
        <v>0</v>
      </c>
      <c r="DG322" s="357">
        <f t="shared" si="160"/>
        <v>0</v>
      </c>
      <c r="DH322" s="527"/>
      <c r="DJ322" s="324">
        <f t="shared" si="162"/>
        <v>0</v>
      </c>
      <c r="DK322" s="529"/>
      <c r="DL322" s="338"/>
    </row>
    <row r="323" spans="15:116">
      <c r="O323" s="121">
        <v>0</v>
      </c>
      <c r="P323" s="755">
        <f t="shared" si="131"/>
        <v>0</v>
      </c>
      <c r="Q323" s="125">
        <v>0</v>
      </c>
      <c r="R323" s="890">
        <f>IF(O324=0,0,         IF(OR(Currency1="AUD",Currency1="NZD",Currency1="GBP"),O323,   _xll.qDateNext(O323,"-2b",,,IF(Currency1="EUR","TGT","LON"))))</f>
        <v>0</v>
      </c>
      <c r="S323" s="879" t="str">
        <v/>
      </c>
      <c r="T323" s="879" t="str">
        <v/>
      </c>
      <c r="U323" s="879" t="str">
        <v/>
      </c>
      <c r="V323" s="879" t="str">
        <v/>
      </c>
      <c r="W323" s="879" t="str">
        <v/>
      </c>
      <c r="X323" s="879" t="str">
        <v/>
      </c>
      <c r="Y323" s="879" t="str">
        <v/>
      </c>
      <c r="Z323" s="879" t="str">
        <v/>
      </c>
      <c r="AA323" s="882">
        <f>IF($O324=0,0,        _xll.qDateNext($O323,AA$17,$AH$16,TRUE,Currency1))</f>
        <v>0</v>
      </c>
      <c r="AB323" s="882">
        <f>IF($O324=0,0,        _xll.qDateNext($O323,AB$17,$AH$16,TRUE,Currency1))</f>
        <v>0</v>
      </c>
      <c r="AC323" s="882">
        <f>IF($O324=0,0,        _xll.qDateNext($O323,AC$17,$AH$16,TRUE,Currency1))</f>
        <v>0</v>
      </c>
      <c r="AD323" s="882">
        <f>IF($O324=0,0,        _xll.qDateNext($O323,AD$17,$AH$16,TRUE,Currency1))</f>
        <v>0</v>
      </c>
      <c r="AE323" s="882">
        <f>IF($O324=0,0,        _xll.qDateNext($O323,AE$17,$AH$16,TRUE,Currency1))</f>
        <v>0</v>
      </c>
      <c r="AF323" s="882">
        <f>IF($O324=0,0,        _xll.qDateNext($O323,AF$17,$AH$16,TRUE,Currency1))</f>
        <v>0</v>
      </c>
      <c r="AG323" s="882">
        <f>IF($O324=0,0,        _xll.qDateNext($O323,AG$17,$AH$16,TRUE,Currency1))</f>
        <v>0</v>
      </c>
      <c r="AH323" s="882">
        <f>IF($O324=0,0,        _xll.qDateNext($O323,AH$17,$AH$16,TRUE,Currency1))</f>
        <v>0</v>
      </c>
      <c r="AI323" s="886">
        <f>IF($O324=0,0,           IF(FRM,_xll.qGetFwdRate(AI$14,$O323,AA323,"T",DCC_Leg1_Float),_xll.qGetFwdRate(AI$14,$O323,$O324,"T",DCC_Leg1_Float)))</f>
        <v>0</v>
      </c>
      <c r="AJ323" s="886">
        <f>IF($O324=0,0,           IF(FRM,_xll.qGetFwdRate(AJ$14,$O323,AB323,"T",DCC_Leg1_Float),_xll.qGetFwdRate(AJ$14,$O323,$O324,"T",DCC_Leg1_Float)))</f>
        <v>0</v>
      </c>
      <c r="AK323" s="886">
        <f t="shared" si="132"/>
        <v>0</v>
      </c>
      <c r="AL323" s="886">
        <f>IF($O324=0,0,           IF(FRM,_xll.qGetFwdRate(AL$14,$O323,AD323,"T",DCC_Leg1_Float),_xll.qGetFwdRate(AL$14,$O323,$O324,"T",DCC_Leg1_Float)))</f>
        <v>0</v>
      </c>
      <c r="AM323" s="886">
        <f t="shared" si="145"/>
        <v>0</v>
      </c>
      <c r="AN323" s="886">
        <f t="shared" si="146"/>
        <v>0</v>
      </c>
      <c r="AO323" s="886">
        <f>IF($O324=0,0,           IF(FRM,_xll.qGetFwdRate(AO$14,$O323,AG323,"T",DCC_Leg1_Float),_xll.qGetFwdRate(AO$14,$O323,$O324,"T",DCC_Leg1_Float)))</f>
        <v>0</v>
      </c>
      <c r="AP323" s="886">
        <f>IF($O324=0,0,           IF(FRM,_xll.qGetFwdRate(AP$14,$O323,AH323,"T",DCC_Leg1_Float),_xll.qGetFwdRate(AP$14,$O323,$O324,"T",DCC_Leg1_Float)))</f>
        <v>0</v>
      </c>
      <c r="AQ323" s="648">
        <f t="shared" si="147"/>
        <v>0</v>
      </c>
      <c r="AR323" s="648">
        <f t="shared" si="148"/>
        <v>0</v>
      </c>
      <c r="AS323" s="648">
        <f t="shared" si="149"/>
        <v>0</v>
      </c>
      <c r="AT323" s="648">
        <f t="shared" si="150"/>
        <v>0</v>
      </c>
      <c r="AU323" s="648">
        <f t="shared" si="151"/>
        <v>0</v>
      </c>
      <c r="AV323" s="648">
        <f t="shared" si="152"/>
        <v>0</v>
      </c>
      <c r="AW323" s="648">
        <f t="shared" si="153"/>
        <v>0</v>
      </c>
      <c r="AX323" s="648">
        <f t="shared" si="154"/>
        <v>0</v>
      </c>
      <c r="AY323" s="634">
        <v>0</v>
      </c>
      <c r="AZ323" s="616"/>
      <c r="BA323" s="619">
        <f>IF(O324=0,0,             IF(ISNUMBER(AZ323),AZ323,             IF(ISTEXT(AZ323),INDEX(AQ323:AX323,MATCH(AZ323,$AQ$17:$AX$17,0)),           IF(AY323="INT",_xll.qInterp(O324,AA323:AH323,AQ323:AX323),       INDEX(AQ323:AX323,MATCH(AY323,$AQ$17:$AX$17,0))))))</f>
        <v>0</v>
      </c>
      <c r="BB323" s="674">
        <v>100</v>
      </c>
      <c r="BC323" s="666">
        <f t="shared" si="133"/>
        <v>0</v>
      </c>
      <c r="BD323" s="268">
        <f>IF($O324=0,0,                IF(LEFT(DCC_Leg1_Fixed,2)="1/",uEvaluate(DCC_Leg1_Fixed),        _xll.qDateYears($O323,$O324,DCC_Leg1_Fixed)))</f>
        <v>0</v>
      </c>
      <c r="BE323" s="268">
        <f>IF($O324,_xll.qDateYears($O323,$O324,DCC_Leg1_Float),0)</f>
        <v>0</v>
      </c>
      <c r="BG323" s="332">
        <f t="shared" si="155"/>
        <v>0</v>
      </c>
      <c r="BH323" s="357">
        <f t="shared" si="156"/>
        <v>0</v>
      </c>
      <c r="BI323" s="527"/>
      <c r="BK323" s="324">
        <f t="shared" si="161"/>
        <v>0</v>
      </c>
      <c r="BM323" s="338"/>
      <c r="BN323" s="121">
        <v>0</v>
      </c>
      <c r="BO323" s="755">
        <f t="shared" si="134"/>
        <v>0</v>
      </c>
      <c r="BP323" s="339">
        <v>0</v>
      </c>
      <c r="BQ323" s="890">
        <f>IF(BN324=0,0,         IF(OR(Currency2="AUD",Currency1="NZD",Currency2="GBP"),BN323,   _xll.qDateNext(BN323,"-2b",,,IF(Currency2="EUR","TGT","LON"))))</f>
        <v>0</v>
      </c>
      <c r="BR323" s="879" t="str">
        <v/>
      </c>
      <c r="BS323" s="879" t="str">
        <v/>
      </c>
      <c r="BT323" s="879" t="str">
        <v/>
      </c>
      <c r="BU323" s="879" t="str">
        <v/>
      </c>
      <c r="BV323" s="879" t="str">
        <v/>
      </c>
      <c r="BW323" s="879" t="str">
        <v/>
      </c>
      <c r="BX323" s="879" t="str">
        <v/>
      </c>
      <c r="BY323" s="879" t="str">
        <v/>
      </c>
      <c r="BZ323" s="882">
        <f>IF($BN324=0,0,        _xll.qDateNext($BN323,BZ$17,$CG$16,TRUE,Currency2))</f>
        <v>0</v>
      </c>
      <c r="CA323" s="882">
        <f>IF($BN324=0,0,        _xll.qDateNext($BN323,CA$17,$CG$16,TRUE,Currency2))</f>
        <v>0</v>
      </c>
      <c r="CB323" s="882">
        <f>IF($BN324=0,0,        _xll.qDateNext($BN323,CB$17,$CG$16,TRUE,Currency2))</f>
        <v>0</v>
      </c>
      <c r="CC323" s="882">
        <f>IF($BN324=0,0,        _xll.qDateNext($BN323,CC$17,$CG$16,TRUE,Currency2))</f>
        <v>0</v>
      </c>
      <c r="CD323" s="882">
        <f>IF($BN324=0,0,        _xll.qDateNext($BN323,CD$17,$CG$16,TRUE,Currency2))</f>
        <v>0</v>
      </c>
      <c r="CE323" s="882">
        <f>IF($BN324=0,0,        _xll.qDateNext($BN323,CE$17,$CG$16,TRUE,Currency2))</f>
        <v>0</v>
      </c>
      <c r="CF323" s="882">
        <f>IF($BN324=0,0,        _xll.qDateNext($BN323,CF$17,$CG$16,TRUE,Currency2))</f>
        <v>0</v>
      </c>
      <c r="CG323" s="882">
        <f>IF($BN324=0,0,        _xll.qDateNext($BN323,CG$17,$CG$16,TRUE,Currency2))</f>
        <v>0</v>
      </c>
      <c r="CH323" s="886">
        <v>0</v>
      </c>
      <c r="CI323" s="886">
        <v>0</v>
      </c>
      <c r="CJ323" s="886">
        <v>0</v>
      </c>
      <c r="CK323" s="886">
        <v>0</v>
      </c>
      <c r="CL323" s="886">
        <f t="shared" si="157"/>
        <v>0</v>
      </c>
      <c r="CM323" s="886">
        <f t="shared" si="158"/>
        <v>0</v>
      </c>
      <c r="CN323" s="886">
        <v>0</v>
      </c>
      <c r="CO323" s="886">
        <v>0</v>
      </c>
      <c r="CP323" s="648">
        <f t="shared" si="135"/>
        <v>0</v>
      </c>
      <c r="CQ323" s="648">
        <f t="shared" si="136"/>
        <v>0</v>
      </c>
      <c r="CR323" s="648">
        <f t="shared" si="137"/>
        <v>0</v>
      </c>
      <c r="CS323" s="648">
        <f t="shared" si="138"/>
        <v>0</v>
      </c>
      <c r="CT323" s="648">
        <f t="shared" si="139"/>
        <v>0</v>
      </c>
      <c r="CU323" s="648">
        <f t="shared" si="140"/>
        <v>0</v>
      </c>
      <c r="CV323" s="648">
        <f t="shared" si="141"/>
        <v>0</v>
      </c>
      <c r="CW323" s="648">
        <f t="shared" si="142"/>
        <v>0</v>
      </c>
      <c r="CX323" s="634">
        <v>0</v>
      </c>
      <c r="CY323" s="616"/>
      <c r="CZ323" s="619">
        <f>IF(BN324=0,0,             IF(ISNUMBER(CY323),CY323,             IF(ISTEXT(CY323),INDEX(CP323:CW323,MATCH(CY323,$CP$17:$CW$17,0)),           IF(CX323="INT",_xll.qInterp(BN324,BZ323:CG323,CP323:CW323),       INDEX(CP323:CW323,MATCH(CX323,$CP$17:$CW$17,0))))))</f>
        <v>0</v>
      </c>
      <c r="DA323" s="755">
        <f t="shared" si="143"/>
        <v>0</v>
      </c>
      <c r="DB323" s="387">
        <f t="shared" si="144"/>
        <v>0</v>
      </c>
      <c r="DC323" s="268">
        <f>IF($BN324=0,0,         IF(LEFT(DCC_Leg2_Fixed,2)="1/",uEvaluate(DCC_Leg2_Fixed),         _xll.qDateYears($BN323,$BN324,DCC_Leg2_Fixed)))</f>
        <v>0</v>
      </c>
      <c r="DD323" s="268">
        <f>IF($BN324,_xll.qDateYears($BN323,$BN324,DCC_Leg2_Float),0)</f>
        <v>0</v>
      </c>
      <c r="DF323" s="332">
        <f t="shared" si="159"/>
        <v>0</v>
      </c>
      <c r="DG323" s="357">
        <f t="shared" si="160"/>
        <v>0</v>
      </c>
      <c r="DH323" s="527"/>
      <c r="DJ323" s="324">
        <f t="shared" si="162"/>
        <v>0</v>
      </c>
      <c r="DK323" s="529"/>
      <c r="DL323" s="338"/>
    </row>
    <row r="324" spans="15:116">
      <c r="O324" s="121">
        <v>0</v>
      </c>
      <c r="P324" s="755">
        <f t="shared" si="131"/>
        <v>0</v>
      </c>
      <c r="Q324" s="125">
        <v>0</v>
      </c>
      <c r="R324" s="890">
        <f>IF(O325=0,0,         IF(OR(Currency1="AUD",Currency1="NZD",Currency1="GBP"),O324,   _xll.qDateNext(O324,"-2b",,,IF(Currency1="EUR","TGT","LON"))))</f>
        <v>0</v>
      </c>
      <c r="S324" s="879" t="str">
        <v/>
      </c>
      <c r="T324" s="879" t="str">
        <v/>
      </c>
      <c r="U324" s="879" t="str">
        <v/>
      </c>
      <c r="V324" s="879" t="str">
        <v/>
      </c>
      <c r="W324" s="879" t="str">
        <v/>
      </c>
      <c r="X324" s="879" t="str">
        <v/>
      </c>
      <c r="Y324" s="879" t="str">
        <v/>
      </c>
      <c r="Z324" s="879" t="str">
        <v/>
      </c>
      <c r="AA324" s="882">
        <f>IF($O325=0,0,        _xll.qDateNext($O324,AA$17,$AH$16,TRUE,Currency1))</f>
        <v>0</v>
      </c>
      <c r="AB324" s="882">
        <f>IF($O325=0,0,        _xll.qDateNext($O324,AB$17,$AH$16,TRUE,Currency1))</f>
        <v>0</v>
      </c>
      <c r="AC324" s="882">
        <f>IF($O325=0,0,        _xll.qDateNext($O324,AC$17,$AH$16,TRUE,Currency1))</f>
        <v>0</v>
      </c>
      <c r="AD324" s="882">
        <f>IF($O325=0,0,        _xll.qDateNext($O324,AD$17,$AH$16,TRUE,Currency1))</f>
        <v>0</v>
      </c>
      <c r="AE324" s="882">
        <f>IF($O325=0,0,        _xll.qDateNext($O324,AE$17,$AH$16,TRUE,Currency1))</f>
        <v>0</v>
      </c>
      <c r="AF324" s="882">
        <f>IF($O325=0,0,        _xll.qDateNext($O324,AF$17,$AH$16,TRUE,Currency1))</f>
        <v>0</v>
      </c>
      <c r="AG324" s="882">
        <f>IF($O325=0,0,        _xll.qDateNext($O324,AG$17,$AH$16,TRUE,Currency1))</f>
        <v>0</v>
      </c>
      <c r="AH324" s="882">
        <f>IF($O325=0,0,        _xll.qDateNext($O324,AH$17,$AH$16,TRUE,Currency1))</f>
        <v>0</v>
      </c>
      <c r="AI324" s="886">
        <f>IF($O325=0,0,           IF(FRM,_xll.qGetFwdRate(AI$14,$O324,AA324,"T",DCC_Leg1_Float),_xll.qGetFwdRate(AI$14,$O324,$O325,"T",DCC_Leg1_Float)))</f>
        <v>0</v>
      </c>
      <c r="AJ324" s="886">
        <f>IF($O325=0,0,           IF(FRM,_xll.qGetFwdRate(AJ$14,$O324,AB324,"T",DCC_Leg1_Float),_xll.qGetFwdRate(AJ$14,$O324,$O325,"T",DCC_Leg1_Float)))</f>
        <v>0</v>
      </c>
      <c r="AK324" s="886">
        <f t="shared" si="132"/>
        <v>0</v>
      </c>
      <c r="AL324" s="886">
        <f>IF($O325=0,0,           IF(FRM,_xll.qGetFwdRate(AL$14,$O324,AD324,"T",DCC_Leg1_Float),_xll.qGetFwdRate(AL$14,$O324,$O325,"T",DCC_Leg1_Float)))</f>
        <v>0</v>
      </c>
      <c r="AM324" s="886">
        <f t="shared" si="145"/>
        <v>0</v>
      </c>
      <c r="AN324" s="886">
        <f t="shared" si="146"/>
        <v>0</v>
      </c>
      <c r="AO324" s="886">
        <f>IF($O325=0,0,           IF(FRM,_xll.qGetFwdRate(AO$14,$O324,AG324,"T",DCC_Leg1_Float),_xll.qGetFwdRate(AO$14,$O324,$O325,"T",DCC_Leg1_Float)))</f>
        <v>0</v>
      </c>
      <c r="AP324" s="886">
        <f>IF($O325=0,0,           IF(FRM,_xll.qGetFwdRate(AP$14,$O324,AH324,"T",DCC_Leg1_Float),_xll.qGetFwdRate(AP$14,$O324,$O325,"T",DCC_Leg1_Float)))</f>
        <v>0</v>
      </c>
      <c r="AQ324" s="648">
        <f t="shared" si="147"/>
        <v>0</v>
      </c>
      <c r="AR324" s="648">
        <f t="shared" si="148"/>
        <v>0</v>
      </c>
      <c r="AS324" s="648">
        <f t="shared" si="149"/>
        <v>0</v>
      </c>
      <c r="AT324" s="648">
        <f t="shared" si="150"/>
        <v>0</v>
      </c>
      <c r="AU324" s="648">
        <f t="shared" si="151"/>
        <v>0</v>
      </c>
      <c r="AV324" s="648">
        <f t="shared" si="152"/>
        <v>0</v>
      </c>
      <c r="AW324" s="648">
        <f t="shared" si="153"/>
        <v>0</v>
      </c>
      <c r="AX324" s="648">
        <f t="shared" si="154"/>
        <v>0</v>
      </c>
      <c r="AY324" s="634">
        <v>0</v>
      </c>
      <c r="AZ324" s="616"/>
      <c r="BA324" s="619">
        <f>IF(O325=0,0,             IF(ISNUMBER(AZ324),AZ324,             IF(ISTEXT(AZ324),INDEX(AQ324:AX324,MATCH(AZ324,$AQ$17:$AX$17,0)),           IF(AY324="INT",_xll.qInterp(O325,AA324:AH324,AQ324:AX324),       INDEX(AQ324:AX324,MATCH(AY324,$AQ$17:$AX$17,0))))))</f>
        <v>0</v>
      </c>
      <c r="BB324" s="674">
        <v>100</v>
      </c>
      <c r="BC324" s="666">
        <f t="shared" si="133"/>
        <v>0</v>
      </c>
      <c r="BD324" s="268">
        <f>IF($O325=0,0,                IF(LEFT(DCC_Leg1_Fixed,2)="1/",uEvaluate(DCC_Leg1_Fixed),        _xll.qDateYears($O324,$O325,DCC_Leg1_Fixed)))</f>
        <v>0</v>
      </c>
      <c r="BE324" s="268">
        <f>IF($O325,_xll.qDateYears($O324,$O325,DCC_Leg1_Float),0)</f>
        <v>0</v>
      </c>
      <c r="BG324" s="332">
        <f t="shared" si="155"/>
        <v>0</v>
      </c>
      <c r="BH324" s="357">
        <f t="shared" si="156"/>
        <v>0</v>
      </c>
      <c r="BI324" s="527"/>
      <c r="BK324" s="324">
        <f t="shared" si="161"/>
        <v>0</v>
      </c>
      <c r="BM324" s="338"/>
      <c r="BN324" s="121">
        <v>0</v>
      </c>
      <c r="BO324" s="755">
        <f t="shared" si="134"/>
        <v>0</v>
      </c>
      <c r="BP324" s="339">
        <v>0</v>
      </c>
      <c r="BQ324" s="890">
        <f>IF(BN325=0,0,         IF(OR(Currency2="AUD",Currency1="NZD",Currency2="GBP"),BN324,   _xll.qDateNext(BN324,"-2b",,,IF(Currency2="EUR","TGT","LON"))))</f>
        <v>0</v>
      </c>
      <c r="BR324" s="879" t="str">
        <v/>
      </c>
      <c r="BS324" s="879" t="str">
        <v/>
      </c>
      <c r="BT324" s="879" t="str">
        <v/>
      </c>
      <c r="BU324" s="879" t="str">
        <v/>
      </c>
      <c r="BV324" s="879" t="str">
        <v/>
      </c>
      <c r="BW324" s="879" t="str">
        <v/>
      </c>
      <c r="BX324" s="879" t="str">
        <v/>
      </c>
      <c r="BY324" s="879" t="str">
        <v/>
      </c>
      <c r="BZ324" s="882">
        <f>IF($BN325=0,0,        _xll.qDateNext($BN324,BZ$17,$CG$16,TRUE,Currency2))</f>
        <v>0</v>
      </c>
      <c r="CA324" s="882">
        <f>IF($BN325=0,0,        _xll.qDateNext($BN324,CA$17,$CG$16,TRUE,Currency2))</f>
        <v>0</v>
      </c>
      <c r="CB324" s="882">
        <f>IF($BN325=0,0,        _xll.qDateNext($BN324,CB$17,$CG$16,TRUE,Currency2))</f>
        <v>0</v>
      </c>
      <c r="CC324" s="882">
        <f>IF($BN325=0,0,        _xll.qDateNext($BN324,CC$17,$CG$16,TRUE,Currency2))</f>
        <v>0</v>
      </c>
      <c r="CD324" s="882">
        <f>IF($BN325=0,0,        _xll.qDateNext($BN324,CD$17,$CG$16,TRUE,Currency2))</f>
        <v>0</v>
      </c>
      <c r="CE324" s="882">
        <f>IF($BN325=0,0,        _xll.qDateNext($BN324,CE$17,$CG$16,TRUE,Currency2))</f>
        <v>0</v>
      </c>
      <c r="CF324" s="882">
        <f>IF($BN325=0,0,        _xll.qDateNext($BN324,CF$17,$CG$16,TRUE,Currency2))</f>
        <v>0</v>
      </c>
      <c r="CG324" s="882">
        <f>IF($BN325=0,0,        _xll.qDateNext($BN324,CG$17,$CG$16,TRUE,Currency2))</f>
        <v>0</v>
      </c>
      <c r="CH324" s="886">
        <v>0</v>
      </c>
      <c r="CI324" s="886">
        <v>0</v>
      </c>
      <c r="CJ324" s="886">
        <v>0</v>
      </c>
      <c r="CK324" s="886">
        <v>0</v>
      </c>
      <c r="CL324" s="886">
        <f t="shared" si="157"/>
        <v>0</v>
      </c>
      <c r="CM324" s="886">
        <f t="shared" si="158"/>
        <v>0</v>
      </c>
      <c r="CN324" s="886">
        <v>0</v>
      </c>
      <c r="CO324" s="886">
        <v>0</v>
      </c>
      <c r="CP324" s="648">
        <f t="shared" si="135"/>
        <v>0</v>
      </c>
      <c r="CQ324" s="648">
        <f t="shared" si="136"/>
        <v>0</v>
      </c>
      <c r="CR324" s="648">
        <f t="shared" si="137"/>
        <v>0</v>
      </c>
      <c r="CS324" s="648">
        <f t="shared" si="138"/>
        <v>0</v>
      </c>
      <c r="CT324" s="648">
        <f t="shared" si="139"/>
        <v>0</v>
      </c>
      <c r="CU324" s="648">
        <f t="shared" si="140"/>
        <v>0</v>
      </c>
      <c r="CV324" s="648">
        <f t="shared" si="141"/>
        <v>0</v>
      </c>
      <c r="CW324" s="648">
        <f t="shared" si="142"/>
        <v>0</v>
      </c>
      <c r="CX324" s="634">
        <v>0</v>
      </c>
      <c r="CY324" s="616"/>
      <c r="CZ324" s="619">
        <f>IF(BN325=0,0,             IF(ISNUMBER(CY324),CY324,             IF(ISTEXT(CY324),INDEX(CP324:CW324,MATCH(CY324,$CP$17:$CW$17,0)),           IF(CX324="INT",_xll.qInterp(BN325,BZ324:CG324,CP324:CW324),       INDEX(CP324:CW324,MATCH(CX324,$CP$17:$CW$17,0))))))</f>
        <v>0</v>
      </c>
      <c r="DA324" s="755">
        <f t="shared" si="143"/>
        <v>0</v>
      </c>
      <c r="DB324" s="387">
        <f t="shared" si="144"/>
        <v>0</v>
      </c>
      <c r="DC324" s="268">
        <f>IF($BN325=0,0,         IF(LEFT(DCC_Leg2_Fixed,2)="1/",uEvaluate(DCC_Leg2_Fixed),         _xll.qDateYears($BN324,$BN325,DCC_Leg2_Fixed)))</f>
        <v>0</v>
      </c>
      <c r="DD324" s="268">
        <f>IF($BN325,_xll.qDateYears($BN324,$BN325,DCC_Leg2_Float),0)</f>
        <v>0</v>
      </c>
      <c r="DF324" s="332">
        <f t="shared" si="159"/>
        <v>0</v>
      </c>
      <c r="DG324" s="357">
        <f t="shared" si="160"/>
        <v>0</v>
      </c>
      <c r="DH324" s="527"/>
      <c r="DJ324" s="324">
        <f t="shared" si="162"/>
        <v>0</v>
      </c>
      <c r="DK324" s="529"/>
      <c r="DL324" s="338"/>
    </row>
    <row r="325" spans="15:116">
      <c r="O325" s="121">
        <v>0</v>
      </c>
      <c r="P325" s="755">
        <f t="shared" si="131"/>
        <v>0</v>
      </c>
      <c r="Q325" s="125">
        <v>0</v>
      </c>
      <c r="R325" s="890">
        <f>IF(O326=0,0,         IF(OR(Currency1="AUD",Currency1="NZD",Currency1="GBP"),O325,   _xll.qDateNext(O325,"-2b",,,IF(Currency1="EUR","TGT","LON"))))</f>
        <v>0</v>
      </c>
      <c r="S325" s="879" t="str">
        <v/>
      </c>
      <c r="T325" s="879" t="str">
        <v/>
      </c>
      <c r="U325" s="879" t="str">
        <v/>
      </c>
      <c r="V325" s="879" t="str">
        <v/>
      </c>
      <c r="W325" s="879" t="str">
        <v/>
      </c>
      <c r="X325" s="879" t="str">
        <v/>
      </c>
      <c r="Y325" s="879" t="str">
        <v/>
      </c>
      <c r="Z325" s="879" t="str">
        <v/>
      </c>
      <c r="AA325" s="882">
        <f>IF($O326=0,0,        _xll.qDateNext($O325,AA$17,$AH$16,TRUE,Currency1))</f>
        <v>0</v>
      </c>
      <c r="AB325" s="882">
        <f>IF($O326=0,0,        _xll.qDateNext($O325,AB$17,$AH$16,TRUE,Currency1))</f>
        <v>0</v>
      </c>
      <c r="AC325" s="882">
        <f>IF($O326=0,0,        _xll.qDateNext($O325,AC$17,$AH$16,TRUE,Currency1))</f>
        <v>0</v>
      </c>
      <c r="AD325" s="882">
        <f>IF($O326=0,0,        _xll.qDateNext($O325,AD$17,$AH$16,TRUE,Currency1))</f>
        <v>0</v>
      </c>
      <c r="AE325" s="882">
        <f>IF($O326=0,0,        _xll.qDateNext($O325,AE$17,$AH$16,TRUE,Currency1))</f>
        <v>0</v>
      </c>
      <c r="AF325" s="882">
        <f>IF($O326=0,0,        _xll.qDateNext($O325,AF$17,$AH$16,TRUE,Currency1))</f>
        <v>0</v>
      </c>
      <c r="AG325" s="882">
        <f>IF($O326=0,0,        _xll.qDateNext($O325,AG$17,$AH$16,TRUE,Currency1))</f>
        <v>0</v>
      </c>
      <c r="AH325" s="882">
        <f>IF($O326=0,0,        _xll.qDateNext($O325,AH$17,$AH$16,TRUE,Currency1))</f>
        <v>0</v>
      </c>
      <c r="AI325" s="886">
        <f>IF($O326=0,0,           IF(FRM,_xll.qGetFwdRate(AI$14,$O325,AA325,"T",DCC_Leg1_Float),_xll.qGetFwdRate(AI$14,$O325,$O326,"T",DCC_Leg1_Float)))</f>
        <v>0</v>
      </c>
      <c r="AJ325" s="886">
        <f>IF($O326=0,0,           IF(FRM,_xll.qGetFwdRate(AJ$14,$O325,AB325,"T",DCC_Leg1_Float),_xll.qGetFwdRate(AJ$14,$O325,$O326,"T",DCC_Leg1_Float)))</f>
        <v>0</v>
      </c>
      <c r="AK325" s="886">
        <f t="shared" si="132"/>
        <v>0</v>
      </c>
      <c r="AL325" s="886">
        <f>IF($O326=0,0,           IF(FRM,_xll.qGetFwdRate(AL$14,$O325,AD325,"T",DCC_Leg1_Float),_xll.qGetFwdRate(AL$14,$O325,$O326,"T",DCC_Leg1_Float)))</f>
        <v>0</v>
      </c>
      <c r="AM325" s="886">
        <f t="shared" si="145"/>
        <v>0</v>
      </c>
      <c r="AN325" s="886">
        <f t="shared" si="146"/>
        <v>0</v>
      </c>
      <c r="AO325" s="886">
        <f>IF($O326=0,0,           IF(FRM,_xll.qGetFwdRate(AO$14,$O325,AG325,"T",DCC_Leg1_Float),_xll.qGetFwdRate(AO$14,$O325,$O326,"T",DCC_Leg1_Float)))</f>
        <v>0</v>
      </c>
      <c r="AP325" s="886">
        <f>IF($O326=0,0,           IF(FRM,_xll.qGetFwdRate(AP$14,$O325,AH325,"T",DCC_Leg1_Float),_xll.qGetFwdRate(AP$14,$O325,$O326,"T",DCC_Leg1_Float)))</f>
        <v>0</v>
      </c>
      <c r="AQ325" s="648">
        <f t="shared" si="147"/>
        <v>0</v>
      </c>
      <c r="AR325" s="648">
        <f t="shared" si="148"/>
        <v>0</v>
      </c>
      <c r="AS325" s="648">
        <f t="shared" si="149"/>
        <v>0</v>
      </c>
      <c r="AT325" s="648">
        <f t="shared" si="150"/>
        <v>0</v>
      </c>
      <c r="AU325" s="648">
        <f t="shared" si="151"/>
        <v>0</v>
      </c>
      <c r="AV325" s="648">
        <f t="shared" si="152"/>
        <v>0</v>
      </c>
      <c r="AW325" s="648">
        <f t="shared" si="153"/>
        <v>0</v>
      </c>
      <c r="AX325" s="648">
        <f t="shared" si="154"/>
        <v>0</v>
      </c>
      <c r="AY325" s="634">
        <v>0</v>
      </c>
      <c r="AZ325" s="616"/>
      <c r="BA325" s="619">
        <f>IF(O326=0,0,             IF(ISNUMBER(AZ325),AZ325,             IF(ISTEXT(AZ325),INDEX(AQ325:AX325,MATCH(AZ325,$AQ$17:$AX$17,0)),           IF(AY325="INT",_xll.qInterp(O326,AA325:AH325,AQ325:AX325),       INDEX(AQ325:AX325,MATCH(AY325,$AQ$17:$AX$17,0))))))</f>
        <v>0</v>
      </c>
      <c r="BB325" s="674">
        <v>100</v>
      </c>
      <c r="BC325" s="666">
        <f t="shared" si="133"/>
        <v>0</v>
      </c>
      <c r="BD325" s="268">
        <f>IF($O326=0,0,                IF(LEFT(DCC_Leg1_Fixed,2)="1/",uEvaluate(DCC_Leg1_Fixed),        _xll.qDateYears($O325,$O326,DCC_Leg1_Fixed)))</f>
        <v>0</v>
      </c>
      <c r="BE325" s="268">
        <f>IF($O326,_xll.qDateYears($O325,$O326,DCC_Leg1_Float),0)</f>
        <v>0</v>
      </c>
      <c r="BG325" s="332">
        <f t="shared" si="155"/>
        <v>0</v>
      </c>
      <c r="BH325" s="357">
        <f t="shared" si="156"/>
        <v>0</v>
      </c>
      <c r="BI325" s="527"/>
      <c r="BK325" s="324">
        <f t="shared" si="161"/>
        <v>0</v>
      </c>
      <c r="BM325" s="338"/>
      <c r="BN325" s="121">
        <v>0</v>
      </c>
      <c r="BO325" s="755">
        <f t="shared" si="134"/>
        <v>0</v>
      </c>
      <c r="BP325" s="339">
        <v>0</v>
      </c>
      <c r="BQ325" s="890">
        <f>IF(BN326=0,0,         IF(OR(Currency2="AUD",Currency1="NZD",Currency2="GBP"),BN325,   _xll.qDateNext(BN325,"-2b",,,IF(Currency2="EUR","TGT","LON"))))</f>
        <v>0</v>
      </c>
      <c r="BR325" s="879" t="str">
        <v/>
      </c>
      <c r="BS325" s="879" t="str">
        <v/>
      </c>
      <c r="BT325" s="879" t="str">
        <v/>
      </c>
      <c r="BU325" s="879" t="str">
        <v/>
      </c>
      <c r="BV325" s="879" t="str">
        <v/>
      </c>
      <c r="BW325" s="879" t="str">
        <v/>
      </c>
      <c r="BX325" s="879" t="str">
        <v/>
      </c>
      <c r="BY325" s="879" t="str">
        <v/>
      </c>
      <c r="BZ325" s="882">
        <f>IF($BN326=0,0,        _xll.qDateNext($BN325,BZ$17,$CG$16,TRUE,Currency2))</f>
        <v>0</v>
      </c>
      <c r="CA325" s="882">
        <f>IF($BN326=0,0,        _xll.qDateNext($BN325,CA$17,$CG$16,TRUE,Currency2))</f>
        <v>0</v>
      </c>
      <c r="CB325" s="882">
        <f>IF($BN326=0,0,        _xll.qDateNext($BN325,CB$17,$CG$16,TRUE,Currency2))</f>
        <v>0</v>
      </c>
      <c r="CC325" s="882">
        <f>IF($BN326=0,0,        _xll.qDateNext($BN325,CC$17,$CG$16,TRUE,Currency2))</f>
        <v>0</v>
      </c>
      <c r="CD325" s="882">
        <f>IF($BN326=0,0,        _xll.qDateNext($BN325,CD$17,$CG$16,TRUE,Currency2))</f>
        <v>0</v>
      </c>
      <c r="CE325" s="882">
        <f>IF($BN326=0,0,        _xll.qDateNext($BN325,CE$17,$CG$16,TRUE,Currency2))</f>
        <v>0</v>
      </c>
      <c r="CF325" s="882">
        <f>IF($BN326=0,0,        _xll.qDateNext($BN325,CF$17,$CG$16,TRUE,Currency2))</f>
        <v>0</v>
      </c>
      <c r="CG325" s="882">
        <f>IF($BN326=0,0,        _xll.qDateNext($BN325,CG$17,$CG$16,TRUE,Currency2))</f>
        <v>0</v>
      </c>
      <c r="CH325" s="886">
        <v>0</v>
      </c>
      <c r="CI325" s="886">
        <v>0</v>
      </c>
      <c r="CJ325" s="886">
        <v>0</v>
      </c>
      <c r="CK325" s="886">
        <v>0</v>
      </c>
      <c r="CL325" s="886">
        <f t="shared" si="157"/>
        <v>0</v>
      </c>
      <c r="CM325" s="886">
        <f t="shared" si="158"/>
        <v>0</v>
      </c>
      <c r="CN325" s="886">
        <v>0</v>
      </c>
      <c r="CO325" s="886">
        <v>0</v>
      </c>
      <c r="CP325" s="648">
        <f t="shared" si="135"/>
        <v>0</v>
      </c>
      <c r="CQ325" s="648">
        <f t="shared" si="136"/>
        <v>0</v>
      </c>
      <c r="CR325" s="648">
        <f t="shared" si="137"/>
        <v>0</v>
      </c>
      <c r="CS325" s="648">
        <f t="shared" si="138"/>
        <v>0</v>
      </c>
      <c r="CT325" s="648">
        <f t="shared" si="139"/>
        <v>0</v>
      </c>
      <c r="CU325" s="648">
        <f t="shared" si="140"/>
        <v>0</v>
      </c>
      <c r="CV325" s="648">
        <f t="shared" si="141"/>
        <v>0</v>
      </c>
      <c r="CW325" s="648">
        <f t="shared" si="142"/>
        <v>0</v>
      </c>
      <c r="CX325" s="634">
        <v>0</v>
      </c>
      <c r="CY325" s="616"/>
      <c r="CZ325" s="619">
        <f>IF(BN326=0,0,             IF(ISNUMBER(CY325),CY325,             IF(ISTEXT(CY325),INDEX(CP325:CW325,MATCH(CY325,$CP$17:$CW$17,0)),           IF(CX325="INT",_xll.qInterp(BN326,BZ325:CG325,CP325:CW325),       INDEX(CP325:CW325,MATCH(CX325,$CP$17:$CW$17,0))))))</f>
        <v>0</v>
      </c>
      <c r="DA325" s="755">
        <f t="shared" si="143"/>
        <v>0</v>
      </c>
      <c r="DB325" s="387">
        <f t="shared" si="144"/>
        <v>0</v>
      </c>
      <c r="DC325" s="268">
        <f>IF($BN326=0,0,         IF(LEFT(DCC_Leg2_Fixed,2)="1/",uEvaluate(DCC_Leg2_Fixed),         _xll.qDateYears($BN325,$BN326,DCC_Leg2_Fixed)))</f>
        <v>0</v>
      </c>
      <c r="DD325" s="268">
        <f>IF($BN326,_xll.qDateYears($BN325,$BN326,DCC_Leg2_Float),0)</f>
        <v>0</v>
      </c>
      <c r="DF325" s="332">
        <f t="shared" si="159"/>
        <v>0</v>
      </c>
      <c r="DG325" s="357">
        <f t="shared" si="160"/>
        <v>0</v>
      </c>
      <c r="DH325" s="527"/>
      <c r="DJ325" s="324">
        <f t="shared" si="162"/>
        <v>0</v>
      </c>
      <c r="DK325" s="529"/>
      <c r="DL325" s="338"/>
    </row>
    <row r="326" spans="15:116">
      <c r="O326" s="121">
        <v>0</v>
      </c>
      <c r="P326" s="755">
        <f t="shared" si="131"/>
        <v>0</v>
      </c>
      <c r="Q326" s="125">
        <v>0</v>
      </c>
      <c r="R326" s="890">
        <f>IF(O327=0,0,         IF(OR(Currency1="AUD",Currency1="NZD",Currency1="GBP"),O326,   _xll.qDateNext(O326,"-2b",,,IF(Currency1="EUR","TGT","LON"))))</f>
        <v>0</v>
      </c>
      <c r="S326" s="879" t="str">
        <v/>
      </c>
      <c r="T326" s="879" t="str">
        <v/>
      </c>
      <c r="U326" s="879" t="str">
        <v/>
      </c>
      <c r="V326" s="879" t="str">
        <v/>
      </c>
      <c r="W326" s="879" t="str">
        <v/>
      </c>
      <c r="X326" s="879" t="str">
        <v/>
      </c>
      <c r="Y326" s="879" t="str">
        <v/>
      </c>
      <c r="Z326" s="879" t="str">
        <v/>
      </c>
      <c r="AA326" s="882">
        <f>IF($O327=0,0,        _xll.qDateNext($O326,AA$17,$AH$16,TRUE,Currency1))</f>
        <v>0</v>
      </c>
      <c r="AB326" s="882">
        <f>IF($O327=0,0,        _xll.qDateNext($O326,AB$17,$AH$16,TRUE,Currency1))</f>
        <v>0</v>
      </c>
      <c r="AC326" s="882">
        <f>IF($O327=0,0,        _xll.qDateNext($O326,AC$17,$AH$16,TRUE,Currency1))</f>
        <v>0</v>
      </c>
      <c r="AD326" s="882">
        <f>IF($O327=0,0,        _xll.qDateNext($O326,AD$17,$AH$16,TRUE,Currency1))</f>
        <v>0</v>
      </c>
      <c r="AE326" s="882">
        <f>IF($O327=0,0,        _xll.qDateNext($O326,AE$17,$AH$16,TRUE,Currency1))</f>
        <v>0</v>
      </c>
      <c r="AF326" s="882">
        <f>IF($O327=0,0,        _xll.qDateNext($O326,AF$17,$AH$16,TRUE,Currency1))</f>
        <v>0</v>
      </c>
      <c r="AG326" s="882">
        <f>IF($O327=0,0,        _xll.qDateNext($O326,AG$17,$AH$16,TRUE,Currency1))</f>
        <v>0</v>
      </c>
      <c r="AH326" s="882">
        <f>IF($O327=0,0,        _xll.qDateNext($O326,AH$17,$AH$16,TRUE,Currency1))</f>
        <v>0</v>
      </c>
      <c r="AI326" s="886">
        <f>IF($O327=0,0,           IF(FRM,_xll.qGetFwdRate(AI$14,$O326,AA326,"T",DCC_Leg1_Float),_xll.qGetFwdRate(AI$14,$O326,$O327,"T",DCC_Leg1_Float)))</f>
        <v>0</v>
      </c>
      <c r="AJ326" s="886">
        <f>IF($O327=0,0,           IF(FRM,_xll.qGetFwdRate(AJ$14,$O326,AB326,"T",DCC_Leg1_Float),_xll.qGetFwdRate(AJ$14,$O326,$O327,"T",DCC_Leg1_Float)))</f>
        <v>0</v>
      </c>
      <c r="AK326" s="886">
        <f t="shared" si="132"/>
        <v>0</v>
      </c>
      <c r="AL326" s="886">
        <f>IF($O327=0,0,           IF(FRM,_xll.qGetFwdRate(AL$14,$O326,AD326,"T",DCC_Leg1_Float),_xll.qGetFwdRate(AL$14,$O326,$O327,"T",DCC_Leg1_Float)))</f>
        <v>0</v>
      </c>
      <c r="AM326" s="886">
        <f t="shared" si="145"/>
        <v>0</v>
      </c>
      <c r="AN326" s="886">
        <f t="shared" si="146"/>
        <v>0</v>
      </c>
      <c r="AO326" s="886">
        <f>IF($O327=0,0,           IF(FRM,_xll.qGetFwdRate(AO$14,$O326,AG326,"T",DCC_Leg1_Float),_xll.qGetFwdRate(AO$14,$O326,$O327,"T",DCC_Leg1_Float)))</f>
        <v>0</v>
      </c>
      <c r="AP326" s="886">
        <f>IF($O327=0,0,           IF(FRM,_xll.qGetFwdRate(AP$14,$O326,AH326,"T",DCC_Leg1_Float),_xll.qGetFwdRate(AP$14,$O326,$O327,"T",DCC_Leg1_Float)))</f>
        <v>0</v>
      </c>
      <c r="AQ326" s="648">
        <f t="shared" si="147"/>
        <v>0</v>
      </c>
      <c r="AR326" s="648">
        <f t="shared" si="148"/>
        <v>0</v>
      </c>
      <c r="AS326" s="648">
        <f t="shared" si="149"/>
        <v>0</v>
      </c>
      <c r="AT326" s="648">
        <f t="shared" si="150"/>
        <v>0</v>
      </c>
      <c r="AU326" s="648">
        <f t="shared" si="151"/>
        <v>0</v>
      </c>
      <c r="AV326" s="648">
        <f t="shared" si="152"/>
        <v>0</v>
      </c>
      <c r="AW326" s="648">
        <f t="shared" si="153"/>
        <v>0</v>
      </c>
      <c r="AX326" s="648">
        <f t="shared" si="154"/>
        <v>0</v>
      </c>
      <c r="AY326" s="634">
        <v>0</v>
      </c>
      <c r="AZ326" s="616"/>
      <c r="BA326" s="619">
        <f>IF(O327=0,0,             IF(ISNUMBER(AZ326),AZ326,             IF(ISTEXT(AZ326),INDEX(AQ326:AX326,MATCH(AZ326,$AQ$17:$AX$17,0)),           IF(AY326="INT",_xll.qInterp(O327,AA326:AH326,AQ326:AX326),       INDEX(AQ326:AX326,MATCH(AY326,$AQ$17:$AX$17,0))))))</f>
        <v>0</v>
      </c>
      <c r="BB326" s="674">
        <v>100</v>
      </c>
      <c r="BC326" s="666">
        <f t="shared" si="133"/>
        <v>0</v>
      </c>
      <c r="BD326" s="268">
        <f>IF($O327=0,0,                IF(LEFT(DCC_Leg1_Fixed,2)="1/",uEvaluate(DCC_Leg1_Fixed),        _xll.qDateYears($O326,$O327,DCC_Leg1_Fixed)))</f>
        <v>0</v>
      </c>
      <c r="BE326" s="268">
        <f>IF($O327,_xll.qDateYears($O326,$O327,DCC_Leg1_Float),0)</f>
        <v>0</v>
      </c>
      <c r="BG326" s="332">
        <f t="shared" si="155"/>
        <v>0</v>
      </c>
      <c r="BH326" s="357">
        <f t="shared" si="156"/>
        <v>0</v>
      </c>
      <c r="BI326" s="527"/>
      <c r="BK326" s="324">
        <f t="shared" si="161"/>
        <v>0</v>
      </c>
      <c r="BM326" s="338"/>
      <c r="BN326" s="121">
        <v>0</v>
      </c>
      <c r="BO326" s="755">
        <f t="shared" si="134"/>
        <v>0</v>
      </c>
      <c r="BP326" s="339">
        <v>0</v>
      </c>
      <c r="BQ326" s="890">
        <f>IF(BN327=0,0,         IF(OR(Currency2="AUD",Currency1="NZD",Currency2="GBP"),BN326,   _xll.qDateNext(BN326,"-2b",,,IF(Currency2="EUR","TGT","LON"))))</f>
        <v>0</v>
      </c>
      <c r="BR326" s="879" t="str">
        <v/>
      </c>
      <c r="BS326" s="879" t="str">
        <v/>
      </c>
      <c r="BT326" s="879" t="str">
        <v/>
      </c>
      <c r="BU326" s="879" t="str">
        <v/>
      </c>
      <c r="BV326" s="879" t="str">
        <v/>
      </c>
      <c r="BW326" s="879" t="str">
        <v/>
      </c>
      <c r="BX326" s="879" t="str">
        <v/>
      </c>
      <c r="BY326" s="879" t="str">
        <v/>
      </c>
      <c r="BZ326" s="882">
        <f>IF($BN327=0,0,        _xll.qDateNext($BN326,BZ$17,$CG$16,TRUE,Currency2))</f>
        <v>0</v>
      </c>
      <c r="CA326" s="882">
        <f>IF($BN327=0,0,        _xll.qDateNext($BN326,CA$17,$CG$16,TRUE,Currency2))</f>
        <v>0</v>
      </c>
      <c r="CB326" s="882">
        <f>IF($BN327=0,0,        _xll.qDateNext($BN326,CB$17,$CG$16,TRUE,Currency2))</f>
        <v>0</v>
      </c>
      <c r="CC326" s="882">
        <f>IF($BN327=0,0,        _xll.qDateNext($BN326,CC$17,$CG$16,TRUE,Currency2))</f>
        <v>0</v>
      </c>
      <c r="CD326" s="882">
        <f>IF($BN327=0,0,        _xll.qDateNext($BN326,CD$17,$CG$16,TRUE,Currency2))</f>
        <v>0</v>
      </c>
      <c r="CE326" s="882">
        <f>IF($BN327=0,0,        _xll.qDateNext($BN326,CE$17,$CG$16,TRUE,Currency2))</f>
        <v>0</v>
      </c>
      <c r="CF326" s="882">
        <f>IF($BN327=0,0,        _xll.qDateNext($BN326,CF$17,$CG$16,TRUE,Currency2))</f>
        <v>0</v>
      </c>
      <c r="CG326" s="882">
        <f>IF($BN327=0,0,        _xll.qDateNext($BN326,CG$17,$CG$16,TRUE,Currency2))</f>
        <v>0</v>
      </c>
      <c r="CH326" s="886">
        <v>0</v>
      </c>
      <c r="CI326" s="886">
        <v>0</v>
      </c>
      <c r="CJ326" s="886">
        <v>0</v>
      </c>
      <c r="CK326" s="886">
        <v>0</v>
      </c>
      <c r="CL326" s="886">
        <f t="shared" si="157"/>
        <v>0</v>
      </c>
      <c r="CM326" s="886">
        <f t="shared" si="158"/>
        <v>0</v>
      </c>
      <c r="CN326" s="886">
        <v>0</v>
      </c>
      <c r="CO326" s="886">
        <v>0</v>
      </c>
      <c r="CP326" s="648">
        <f t="shared" si="135"/>
        <v>0</v>
      </c>
      <c r="CQ326" s="648">
        <f t="shared" si="136"/>
        <v>0</v>
      </c>
      <c r="CR326" s="648">
        <f t="shared" si="137"/>
        <v>0</v>
      </c>
      <c r="CS326" s="648">
        <f t="shared" si="138"/>
        <v>0</v>
      </c>
      <c r="CT326" s="648">
        <f t="shared" si="139"/>
        <v>0</v>
      </c>
      <c r="CU326" s="648">
        <f t="shared" si="140"/>
        <v>0</v>
      </c>
      <c r="CV326" s="648">
        <f t="shared" si="141"/>
        <v>0</v>
      </c>
      <c r="CW326" s="648">
        <f t="shared" si="142"/>
        <v>0</v>
      </c>
      <c r="CX326" s="634">
        <v>0</v>
      </c>
      <c r="CY326" s="616"/>
      <c r="CZ326" s="619">
        <f>IF(BN327=0,0,             IF(ISNUMBER(CY326),CY326,             IF(ISTEXT(CY326),INDEX(CP326:CW326,MATCH(CY326,$CP$17:$CW$17,0)),           IF(CX326="INT",_xll.qInterp(BN327,BZ326:CG326,CP326:CW326),       INDEX(CP326:CW326,MATCH(CX326,$CP$17:$CW$17,0))))))</f>
        <v>0</v>
      </c>
      <c r="DA326" s="755">
        <f t="shared" si="143"/>
        <v>0</v>
      </c>
      <c r="DB326" s="387">
        <f t="shared" si="144"/>
        <v>0</v>
      </c>
      <c r="DC326" s="268">
        <f>IF($BN327=0,0,         IF(LEFT(DCC_Leg2_Fixed,2)="1/",uEvaluate(DCC_Leg2_Fixed),         _xll.qDateYears($BN326,$BN327,DCC_Leg2_Fixed)))</f>
        <v>0</v>
      </c>
      <c r="DD326" s="268">
        <f>IF($BN327,_xll.qDateYears($BN326,$BN327,DCC_Leg2_Float),0)</f>
        <v>0</v>
      </c>
      <c r="DF326" s="332">
        <f t="shared" si="159"/>
        <v>0</v>
      </c>
      <c r="DG326" s="357">
        <f t="shared" si="160"/>
        <v>0</v>
      </c>
      <c r="DH326" s="527"/>
      <c r="DJ326" s="324">
        <f t="shared" si="162"/>
        <v>0</v>
      </c>
      <c r="DK326" s="529"/>
      <c r="DL326" s="338"/>
    </row>
    <row r="327" spans="15:116">
      <c r="O327" s="121">
        <v>0</v>
      </c>
      <c r="P327" s="755">
        <f t="shared" si="131"/>
        <v>0</v>
      </c>
      <c r="Q327" s="125">
        <v>0</v>
      </c>
      <c r="R327" s="890">
        <f>IF(O328=0,0,         IF(OR(Currency1="AUD",Currency1="NZD",Currency1="GBP"),O327,   _xll.qDateNext(O327,"-2b",,,IF(Currency1="EUR","TGT","LON"))))</f>
        <v>0</v>
      </c>
      <c r="S327" s="879" t="str">
        <v/>
      </c>
      <c r="T327" s="879" t="str">
        <v/>
      </c>
      <c r="U327" s="879" t="str">
        <v/>
      </c>
      <c r="V327" s="879" t="str">
        <v/>
      </c>
      <c r="W327" s="879" t="str">
        <v/>
      </c>
      <c r="X327" s="879" t="str">
        <v/>
      </c>
      <c r="Y327" s="879" t="str">
        <v/>
      </c>
      <c r="Z327" s="879" t="str">
        <v/>
      </c>
      <c r="AA327" s="882">
        <f>IF($O328=0,0,        _xll.qDateNext($O327,AA$17,$AH$16,TRUE,Currency1))</f>
        <v>0</v>
      </c>
      <c r="AB327" s="882">
        <f>IF($O328=0,0,        _xll.qDateNext($O327,AB$17,$AH$16,TRUE,Currency1))</f>
        <v>0</v>
      </c>
      <c r="AC327" s="882">
        <f>IF($O328=0,0,        _xll.qDateNext($O327,AC$17,$AH$16,TRUE,Currency1))</f>
        <v>0</v>
      </c>
      <c r="AD327" s="882">
        <f>IF($O328=0,0,        _xll.qDateNext($O327,AD$17,$AH$16,TRUE,Currency1))</f>
        <v>0</v>
      </c>
      <c r="AE327" s="882">
        <f>IF($O328=0,0,        _xll.qDateNext($O327,AE$17,$AH$16,TRUE,Currency1))</f>
        <v>0</v>
      </c>
      <c r="AF327" s="882">
        <f>IF($O328=0,0,        _xll.qDateNext($O327,AF$17,$AH$16,TRUE,Currency1))</f>
        <v>0</v>
      </c>
      <c r="AG327" s="882">
        <f>IF($O328=0,0,        _xll.qDateNext($O327,AG$17,$AH$16,TRUE,Currency1))</f>
        <v>0</v>
      </c>
      <c r="AH327" s="882">
        <f>IF($O328=0,0,        _xll.qDateNext($O327,AH$17,$AH$16,TRUE,Currency1))</f>
        <v>0</v>
      </c>
      <c r="AI327" s="886">
        <f>IF($O328=0,0,           IF(FRM,_xll.qGetFwdRate(AI$14,$O327,AA327,"T",DCC_Leg1_Float),_xll.qGetFwdRate(AI$14,$O327,$O328,"T",DCC_Leg1_Float)))</f>
        <v>0</v>
      </c>
      <c r="AJ327" s="886">
        <f>IF($O328=0,0,           IF(FRM,_xll.qGetFwdRate(AJ$14,$O327,AB327,"T",DCC_Leg1_Float),_xll.qGetFwdRate(AJ$14,$O327,$O328,"T",DCC_Leg1_Float)))</f>
        <v>0</v>
      </c>
      <c r="AK327" s="886">
        <f t="shared" si="132"/>
        <v>0</v>
      </c>
      <c r="AL327" s="886">
        <f>IF($O328=0,0,           IF(FRM,_xll.qGetFwdRate(AL$14,$O327,AD327,"T",DCC_Leg1_Float),_xll.qGetFwdRate(AL$14,$O327,$O328,"T",DCC_Leg1_Float)))</f>
        <v>0</v>
      </c>
      <c r="AM327" s="886">
        <f t="shared" si="145"/>
        <v>0</v>
      </c>
      <c r="AN327" s="886">
        <f t="shared" si="146"/>
        <v>0</v>
      </c>
      <c r="AO327" s="886">
        <f>IF($O328=0,0,           IF(FRM,_xll.qGetFwdRate(AO$14,$O327,AG327,"T",DCC_Leg1_Float),_xll.qGetFwdRate(AO$14,$O327,$O328,"T",DCC_Leg1_Float)))</f>
        <v>0</v>
      </c>
      <c r="AP327" s="886">
        <f>IF($O328=0,0,           IF(FRM,_xll.qGetFwdRate(AP$14,$O327,AH327,"T",DCC_Leg1_Float),_xll.qGetFwdRate(AP$14,$O327,$O328,"T",DCC_Leg1_Float)))</f>
        <v>0</v>
      </c>
      <c r="AQ327" s="648">
        <f t="shared" si="147"/>
        <v>0</v>
      </c>
      <c r="AR327" s="648">
        <f t="shared" si="148"/>
        <v>0</v>
      </c>
      <c r="AS327" s="648">
        <f t="shared" si="149"/>
        <v>0</v>
      </c>
      <c r="AT327" s="648">
        <f t="shared" si="150"/>
        <v>0</v>
      </c>
      <c r="AU327" s="648">
        <f t="shared" si="151"/>
        <v>0</v>
      </c>
      <c r="AV327" s="648">
        <f t="shared" si="152"/>
        <v>0</v>
      </c>
      <c r="AW327" s="648">
        <f t="shared" si="153"/>
        <v>0</v>
      </c>
      <c r="AX327" s="648">
        <f t="shared" si="154"/>
        <v>0</v>
      </c>
      <c r="AY327" s="634">
        <v>0</v>
      </c>
      <c r="AZ327" s="616"/>
      <c r="BA327" s="619">
        <f>IF(O328=0,0,             IF(ISNUMBER(AZ327),AZ327,             IF(ISTEXT(AZ327),INDEX(AQ327:AX327,MATCH(AZ327,$AQ$17:$AX$17,0)),           IF(AY327="INT",_xll.qInterp(O328,AA327:AH327,AQ327:AX327),       INDEX(AQ327:AX327,MATCH(AY327,$AQ$17:$AX$17,0))))))</f>
        <v>0</v>
      </c>
      <c r="BB327" s="674">
        <v>100</v>
      </c>
      <c r="BC327" s="666">
        <f t="shared" si="133"/>
        <v>0</v>
      </c>
      <c r="BD327" s="268">
        <f>IF($O328=0,0,                IF(LEFT(DCC_Leg1_Fixed,2)="1/",uEvaluate(DCC_Leg1_Fixed),        _xll.qDateYears($O327,$O328,DCC_Leg1_Fixed)))</f>
        <v>0</v>
      </c>
      <c r="BE327" s="268">
        <f>IF($O328,_xll.qDateYears($O327,$O328,DCC_Leg1_Float),0)</f>
        <v>0</v>
      </c>
      <c r="BG327" s="332">
        <f t="shared" si="155"/>
        <v>0</v>
      </c>
      <c r="BH327" s="357">
        <f t="shared" si="156"/>
        <v>0</v>
      </c>
      <c r="BI327" s="527"/>
      <c r="BK327" s="324">
        <f t="shared" si="161"/>
        <v>0</v>
      </c>
      <c r="BM327" s="338"/>
      <c r="BN327" s="121">
        <v>0</v>
      </c>
      <c r="BO327" s="755">
        <f t="shared" si="134"/>
        <v>0</v>
      </c>
      <c r="BP327" s="339">
        <v>0</v>
      </c>
      <c r="BQ327" s="890">
        <f>IF(BN328=0,0,         IF(OR(Currency2="AUD",Currency1="NZD",Currency2="GBP"),BN327,   _xll.qDateNext(BN327,"-2b",,,IF(Currency2="EUR","TGT","LON"))))</f>
        <v>0</v>
      </c>
      <c r="BR327" s="879" t="str">
        <v/>
      </c>
      <c r="BS327" s="879" t="str">
        <v/>
      </c>
      <c r="BT327" s="879" t="str">
        <v/>
      </c>
      <c r="BU327" s="879" t="str">
        <v/>
      </c>
      <c r="BV327" s="879" t="str">
        <v/>
      </c>
      <c r="BW327" s="879" t="str">
        <v/>
      </c>
      <c r="BX327" s="879" t="str">
        <v/>
      </c>
      <c r="BY327" s="879" t="str">
        <v/>
      </c>
      <c r="BZ327" s="882">
        <f>IF($BN328=0,0,        _xll.qDateNext($BN327,BZ$17,$CG$16,TRUE,Currency2))</f>
        <v>0</v>
      </c>
      <c r="CA327" s="882">
        <f>IF($BN328=0,0,        _xll.qDateNext($BN327,CA$17,$CG$16,TRUE,Currency2))</f>
        <v>0</v>
      </c>
      <c r="CB327" s="882">
        <f>IF($BN328=0,0,        _xll.qDateNext($BN327,CB$17,$CG$16,TRUE,Currency2))</f>
        <v>0</v>
      </c>
      <c r="CC327" s="882">
        <f>IF($BN328=0,0,        _xll.qDateNext($BN327,CC$17,$CG$16,TRUE,Currency2))</f>
        <v>0</v>
      </c>
      <c r="CD327" s="882">
        <f>IF($BN328=0,0,        _xll.qDateNext($BN327,CD$17,$CG$16,TRUE,Currency2))</f>
        <v>0</v>
      </c>
      <c r="CE327" s="882">
        <f>IF($BN328=0,0,        _xll.qDateNext($BN327,CE$17,$CG$16,TRUE,Currency2))</f>
        <v>0</v>
      </c>
      <c r="CF327" s="882">
        <f>IF($BN328=0,0,        _xll.qDateNext($BN327,CF$17,$CG$16,TRUE,Currency2))</f>
        <v>0</v>
      </c>
      <c r="CG327" s="882">
        <f>IF($BN328=0,0,        _xll.qDateNext($BN327,CG$17,$CG$16,TRUE,Currency2))</f>
        <v>0</v>
      </c>
      <c r="CH327" s="886">
        <v>0</v>
      </c>
      <c r="CI327" s="886">
        <v>0</v>
      </c>
      <c r="CJ327" s="886">
        <v>0</v>
      </c>
      <c r="CK327" s="886">
        <v>0</v>
      </c>
      <c r="CL327" s="886">
        <f t="shared" si="157"/>
        <v>0</v>
      </c>
      <c r="CM327" s="886">
        <f t="shared" si="158"/>
        <v>0</v>
      </c>
      <c r="CN327" s="886">
        <v>0</v>
      </c>
      <c r="CO327" s="886">
        <v>0</v>
      </c>
      <c r="CP327" s="648">
        <f t="shared" si="135"/>
        <v>0</v>
      </c>
      <c r="CQ327" s="648">
        <f t="shared" si="136"/>
        <v>0</v>
      </c>
      <c r="CR327" s="648">
        <f t="shared" si="137"/>
        <v>0</v>
      </c>
      <c r="CS327" s="648">
        <f t="shared" si="138"/>
        <v>0</v>
      </c>
      <c r="CT327" s="648">
        <f t="shared" si="139"/>
        <v>0</v>
      </c>
      <c r="CU327" s="648">
        <f t="shared" si="140"/>
        <v>0</v>
      </c>
      <c r="CV327" s="648">
        <f t="shared" si="141"/>
        <v>0</v>
      </c>
      <c r="CW327" s="648">
        <f t="shared" si="142"/>
        <v>0</v>
      </c>
      <c r="CX327" s="634">
        <v>0</v>
      </c>
      <c r="CY327" s="616"/>
      <c r="CZ327" s="619">
        <f>IF(BN328=0,0,             IF(ISNUMBER(CY327),CY327,             IF(ISTEXT(CY327),INDEX(CP327:CW327,MATCH(CY327,$CP$17:$CW$17,0)),           IF(CX327="INT",_xll.qInterp(BN328,BZ327:CG327,CP327:CW327),       INDEX(CP327:CW327,MATCH(CX327,$CP$17:$CW$17,0))))))</f>
        <v>0</v>
      </c>
      <c r="DA327" s="755">
        <f t="shared" si="143"/>
        <v>0</v>
      </c>
      <c r="DB327" s="387">
        <f t="shared" si="144"/>
        <v>0</v>
      </c>
      <c r="DC327" s="268">
        <f>IF($BN328=0,0,         IF(LEFT(DCC_Leg2_Fixed,2)="1/",uEvaluate(DCC_Leg2_Fixed),         _xll.qDateYears($BN327,$BN328,DCC_Leg2_Fixed)))</f>
        <v>0</v>
      </c>
      <c r="DD327" s="268">
        <f>IF($BN328,_xll.qDateYears($BN327,$BN328,DCC_Leg2_Float),0)</f>
        <v>0</v>
      </c>
      <c r="DF327" s="332">
        <f t="shared" si="159"/>
        <v>0</v>
      </c>
      <c r="DG327" s="357">
        <f t="shared" si="160"/>
        <v>0</v>
      </c>
      <c r="DH327" s="527"/>
      <c r="DJ327" s="324">
        <f t="shared" si="162"/>
        <v>0</v>
      </c>
      <c r="DK327" s="529"/>
      <c r="DL327" s="338"/>
    </row>
    <row r="328" spans="15:116">
      <c r="O328" s="121">
        <v>0</v>
      </c>
      <c r="P328" s="755">
        <f t="shared" si="131"/>
        <v>0</v>
      </c>
      <c r="Q328" s="125">
        <v>0</v>
      </c>
      <c r="R328" s="890">
        <f>IF(O329=0,0,         IF(OR(Currency1="AUD",Currency1="NZD",Currency1="GBP"),O328,   _xll.qDateNext(O328,"-2b",,,IF(Currency1="EUR","TGT","LON"))))</f>
        <v>0</v>
      </c>
      <c r="S328" s="879" t="str">
        <v/>
      </c>
      <c r="T328" s="879" t="str">
        <v/>
      </c>
      <c r="U328" s="879" t="str">
        <v/>
      </c>
      <c r="V328" s="879" t="str">
        <v/>
      </c>
      <c r="W328" s="879" t="str">
        <v/>
      </c>
      <c r="X328" s="879" t="str">
        <v/>
      </c>
      <c r="Y328" s="879" t="str">
        <v/>
      </c>
      <c r="Z328" s="879" t="str">
        <v/>
      </c>
      <c r="AA328" s="882">
        <f>IF($O329=0,0,        _xll.qDateNext($O328,AA$17,$AH$16,TRUE,Currency1))</f>
        <v>0</v>
      </c>
      <c r="AB328" s="882">
        <f>IF($O329=0,0,        _xll.qDateNext($O328,AB$17,$AH$16,TRUE,Currency1))</f>
        <v>0</v>
      </c>
      <c r="AC328" s="882">
        <f>IF($O329=0,0,        _xll.qDateNext($O328,AC$17,$AH$16,TRUE,Currency1))</f>
        <v>0</v>
      </c>
      <c r="AD328" s="882">
        <f>IF($O329=0,0,        _xll.qDateNext($O328,AD$17,$AH$16,TRUE,Currency1))</f>
        <v>0</v>
      </c>
      <c r="AE328" s="882">
        <f>IF($O329=0,0,        _xll.qDateNext($O328,AE$17,$AH$16,TRUE,Currency1))</f>
        <v>0</v>
      </c>
      <c r="AF328" s="882">
        <f>IF($O329=0,0,        _xll.qDateNext($O328,AF$17,$AH$16,TRUE,Currency1))</f>
        <v>0</v>
      </c>
      <c r="AG328" s="882">
        <f>IF($O329=0,0,        _xll.qDateNext($O328,AG$17,$AH$16,TRUE,Currency1))</f>
        <v>0</v>
      </c>
      <c r="AH328" s="882">
        <f>IF($O329=0,0,        _xll.qDateNext($O328,AH$17,$AH$16,TRUE,Currency1))</f>
        <v>0</v>
      </c>
      <c r="AI328" s="886">
        <f>IF($O329=0,0,           IF(FRM,_xll.qGetFwdRate(AI$14,$O328,AA328,"T",DCC_Leg1_Float),_xll.qGetFwdRate(AI$14,$O328,$O329,"T",DCC_Leg1_Float)))</f>
        <v>0</v>
      </c>
      <c r="AJ328" s="886">
        <f>IF($O329=0,0,           IF(FRM,_xll.qGetFwdRate(AJ$14,$O328,AB328,"T",DCC_Leg1_Float),_xll.qGetFwdRate(AJ$14,$O328,$O329,"T",DCC_Leg1_Float)))</f>
        <v>0</v>
      </c>
      <c r="AK328" s="886">
        <f t="shared" si="132"/>
        <v>0</v>
      </c>
      <c r="AL328" s="886">
        <f>IF($O329=0,0,           IF(FRM,_xll.qGetFwdRate(AL$14,$O328,AD328,"T",DCC_Leg1_Float),_xll.qGetFwdRate(AL$14,$O328,$O329,"T",DCC_Leg1_Float)))</f>
        <v>0</v>
      </c>
      <c r="AM328" s="886">
        <f t="shared" si="145"/>
        <v>0</v>
      </c>
      <c r="AN328" s="886">
        <f t="shared" si="146"/>
        <v>0</v>
      </c>
      <c r="AO328" s="886">
        <f>IF($O329=0,0,           IF(FRM,_xll.qGetFwdRate(AO$14,$O328,AG328,"T",DCC_Leg1_Float),_xll.qGetFwdRate(AO$14,$O328,$O329,"T",DCC_Leg1_Float)))</f>
        <v>0</v>
      </c>
      <c r="AP328" s="886">
        <f>IF($O329=0,0,           IF(FRM,_xll.qGetFwdRate(AP$14,$O328,AH328,"T",DCC_Leg1_Float),_xll.qGetFwdRate(AP$14,$O328,$O329,"T",DCC_Leg1_Float)))</f>
        <v>0</v>
      </c>
      <c r="AQ328" s="648">
        <f t="shared" si="147"/>
        <v>0</v>
      </c>
      <c r="AR328" s="648">
        <f t="shared" si="148"/>
        <v>0</v>
      </c>
      <c r="AS328" s="648">
        <f t="shared" si="149"/>
        <v>0</v>
      </c>
      <c r="AT328" s="648">
        <f t="shared" si="150"/>
        <v>0</v>
      </c>
      <c r="AU328" s="648">
        <f t="shared" si="151"/>
        <v>0</v>
      </c>
      <c r="AV328" s="648">
        <f t="shared" si="152"/>
        <v>0</v>
      </c>
      <c r="AW328" s="648">
        <f t="shared" si="153"/>
        <v>0</v>
      </c>
      <c r="AX328" s="648">
        <f t="shared" si="154"/>
        <v>0</v>
      </c>
      <c r="AY328" s="634">
        <v>0</v>
      </c>
      <c r="AZ328" s="616"/>
      <c r="BA328" s="619">
        <f>IF(O329=0,0,             IF(ISNUMBER(AZ328),AZ328,             IF(ISTEXT(AZ328),INDEX(AQ328:AX328,MATCH(AZ328,$AQ$17:$AX$17,0)),           IF(AY328="INT",_xll.qInterp(O329,AA328:AH328,AQ328:AX328),       INDEX(AQ328:AX328,MATCH(AY328,$AQ$17:$AX$17,0))))))</f>
        <v>0</v>
      </c>
      <c r="BB328" s="674">
        <v>100</v>
      </c>
      <c r="BC328" s="666">
        <f t="shared" si="133"/>
        <v>0</v>
      </c>
      <c r="BD328" s="268">
        <f>IF($O329=0,0,                IF(LEFT(DCC_Leg1_Fixed,2)="1/",uEvaluate(DCC_Leg1_Fixed),        _xll.qDateYears($O328,$O329,DCC_Leg1_Fixed)))</f>
        <v>0</v>
      </c>
      <c r="BE328" s="268">
        <f>IF($O329,_xll.qDateYears($O328,$O329,DCC_Leg1_Float),0)</f>
        <v>0</v>
      </c>
      <c r="BG328" s="332">
        <f t="shared" si="155"/>
        <v>0</v>
      </c>
      <c r="BH328" s="357">
        <f t="shared" si="156"/>
        <v>0</v>
      </c>
      <c r="BI328" s="527"/>
      <c r="BK328" s="324">
        <f t="shared" si="161"/>
        <v>0</v>
      </c>
      <c r="BM328" s="338"/>
      <c r="BN328" s="121">
        <v>0</v>
      </c>
      <c r="BO328" s="755">
        <f t="shared" si="134"/>
        <v>0</v>
      </c>
      <c r="BP328" s="339">
        <v>0</v>
      </c>
      <c r="BQ328" s="890">
        <f>IF(BN329=0,0,         IF(OR(Currency2="AUD",Currency1="NZD",Currency2="GBP"),BN328,   _xll.qDateNext(BN328,"-2b",,,IF(Currency2="EUR","TGT","LON"))))</f>
        <v>0</v>
      </c>
      <c r="BR328" s="879" t="str">
        <v/>
      </c>
      <c r="BS328" s="879" t="str">
        <v/>
      </c>
      <c r="BT328" s="879" t="str">
        <v/>
      </c>
      <c r="BU328" s="879" t="str">
        <v/>
      </c>
      <c r="BV328" s="879" t="str">
        <v/>
      </c>
      <c r="BW328" s="879" t="str">
        <v/>
      </c>
      <c r="BX328" s="879" t="str">
        <v/>
      </c>
      <c r="BY328" s="879" t="str">
        <v/>
      </c>
      <c r="BZ328" s="882">
        <f>IF($BN329=0,0,        _xll.qDateNext($BN328,BZ$17,$CG$16,TRUE,Currency2))</f>
        <v>0</v>
      </c>
      <c r="CA328" s="882">
        <f>IF($BN329=0,0,        _xll.qDateNext($BN328,CA$17,$CG$16,TRUE,Currency2))</f>
        <v>0</v>
      </c>
      <c r="CB328" s="882">
        <f>IF($BN329=0,0,        _xll.qDateNext($BN328,CB$17,$CG$16,TRUE,Currency2))</f>
        <v>0</v>
      </c>
      <c r="CC328" s="882">
        <f>IF($BN329=0,0,        _xll.qDateNext($BN328,CC$17,$CG$16,TRUE,Currency2))</f>
        <v>0</v>
      </c>
      <c r="CD328" s="882">
        <f>IF($BN329=0,0,        _xll.qDateNext($BN328,CD$17,$CG$16,TRUE,Currency2))</f>
        <v>0</v>
      </c>
      <c r="CE328" s="882">
        <f>IF($BN329=0,0,        _xll.qDateNext($BN328,CE$17,$CG$16,TRUE,Currency2))</f>
        <v>0</v>
      </c>
      <c r="CF328" s="882">
        <f>IF($BN329=0,0,        _xll.qDateNext($BN328,CF$17,$CG$16,TRUE,Currency2))</f>
        <v>0</v>
      </c>
      <c r="CG328" s="882">
        <f>IF($BN329=0,0,        _xll.qDateNext($BN328,CG$17,$CG$16,TRUE,Currency2))</f>
        <v>0</v>
      </c>
      <c r="CH328" s="886">
        <v>0</v>
      </c>
      <c r="CI328" s="886">
        <v>0</v>
      </c>
      <c r="CJ328" s="886">
        <v>0</v>
      </c>
      <c r="CK328" s="886">
        <v>0</v>
      </c>
      <c r="CL328" s="886">
        <f t="shared" si="157"/>
        <v>0</v>
      </c>
      <c r="CM328" s="886">
        <f t="shared" si="158"/>
        <v>0</v>
      </c>
      <c r="CN328" s="886">
        <v>0</v>
      </c>
      <c r="CO328" s="886">
        <v>0</v>
      </c>
      <c r="CP328" s="648">
        <f t="shared" si="135"/>
        <v>0</v>
      </c>
      <c r="CQ328" s="648">
        <f t="shared" si="136"/>
        <v>0</v>
      </c>
      <c r="CR328" s="648">
        <f t="shared" si="137"/>
        <v>0</v>
      </c>
      <c r="CS328" s="648">
        <f t="shared" si="138"/>
        <v>0</v>
      </c>
      <c r="CT328" s="648">
        <f t="shared" si="139"/>
        <v>0</v>
      </c>
      <c r="CU328" s="648">
        <f t="shared" si="140"/>
        <v>0</v>
      </c>
      <c r="CV328" s="648">
        <f t="shared" si="141"/>
        <v>0</v>
      </c>
      <c r="CW328" s="648">
        <f t="shared" si="142"/>
        <v>0</v>
      </c>
      <c r="CX328" s="634">
        <v>0</v>
      </c>
      <c r="CY328" s="616"/>
      <c r="CZ328" s="619">
        <f>IF(BN329=0,0,             IF(ISNUMBER(CY328),CY328,             IF(ISTEXT(CY328),INDEX(CP328:CW328,MATCH(CY328,$CP$17:$CW$17,0)),           IF(CX328="INT",_xll.qInterp(BN329,BZ328:CG328,CP328:CW328),       INDEX(CP328:CW328,MATCH(CX328,$CP$17:$CW$17,0))))))</f>
        <v>0</v>
      </c>
      <c r="DA328" s="755">
        <f t="shared" si="143"/>
        <v>0</v>
      </c>
      <c r="DB328" s="387">
        <f t="shared" si="144"/>
        <v>0</v>
      </c>
      <c r="DC328" s="268">
        <f>IF($BN329=0,0,         IF(LEFT(DCC_Leg2_Fixed,2)="1/",uEvaluate(DCC_Leg2_Fixed),         _xll.qDateYears($BN328,$BN329,DCC_Leg2_Fixed)))</f>
        <v>0</v>
      </c>
      <c r="DD328" s="268">
        <f>IF($BN329,_xll.qDateYears($BN328,$BN329,DCC_Leg2_Float),0)</f>
        <v>0</v>
      </c>
      <c r="DF328" s="332">
        <f t="shared" si="159"/>
        <v>0</v>
      </c>
      <c r="DG328" s="357">
        <f t="shared" si="160"/>
        <v>0</v>
      </c>
      <c r="DH328" s="527"/>
      <c r="DJ328" s="324">
        <f t="shared" si="162"/>
        <v>0</v>
      </c>
      <c r="DK328" s="529"/>
      <c r="DL328" s="338"/>
    </row>
    <row r="329" spans="15:116">
      <c r="O329" s="121">
        <v>0</v>
      </c>
      <c r="P329" s="755">
        <f t="shared" si="131"/>
        <v>0</v>
      </c>
      <c r="Q329" s="125">
        <v>0</v>
      </c>
      <c r="R329" s="890">
        <f>IF(O330=0,0,         IF(OR(Currency1="AUD",Currency1="NZD",Currency1="GBP"),O329,   _xll.qDateNext(O329,"-2b",,,IF(Currency1="EUR","TGT","LON"))))</f>
        <v>0</v>
      </c>
      <c r="S329" s="879" t="str">
        <v/>
      </c>
      <c r="T329" s="879" t="str">
        <v/>
      </c>
      <c r="U329" s="879" t="str">
        <v/>
      </c>
      <c r="V329" s="879" t="str">
        <v/>
      </c>
      <c r="W329" s="879" t="str">
        <v/>
      </c>
      <c r="X329" s="879" t="str">
        <v/>
      </c>
      <c r="Y329" s="879" t="str">
        <v/>
      </c>
      <c r="Z329" s="879" t="str">
        <v/>
      </c>
      <c r="AA329" s="882">
        <f>IF($O330=0,0,        _xll.qDateNext($O329,AA$17,$AH$16,TRUE,Currency1))</f>
        <v>0</v>
      </c>
      <c r="AB329" s="882">
        <f>IF($O330=0,0,        _xll.qDateNext($O329,AB$17,$AH$16,TRUE,Currency1))</f>
        <v>0</v>
      </c>
      <c r="AC329" s="882">
        <f>IF($O330=0,0,        _xll.qDateNext($O329,AC$17,$AH$16,TRUE,Currency1))</f>
        <v>0</v>
      </c>
      <c r="AD329" s="882">
        <f>IF($O330=0,0,        _xll.qDateNext($O329,AD$17,$AH$16,TRUE,Currency1))</f>
        <v>0</v>
      </c>
      <c r="AE329" s="882">
        <f>IF($O330=0,0,        _xll.qDateNext($O329,AE$17,$AH$16,TRUE,Currency1))</f>
        <v>0</v>
      </c>
      <c r="AF329" s="882">
        <f>IF($O330=0,0,        _xll.qDateNext($O329,AF$17,$AH$16,TRUE,Currency1))</f>
        <v>0</v>
      </c>
      <c r="AG329" s="882">
        <f>IF($O330=0,0,        _xll.qDateNext($O329,AG$17,$AH$16,TRUE,Currency1))</f>
        <v>0</v>
      </c>
      <c r="AH329" s="882">
        <f>IF($O330=0,0,        _xll.qDateNext($O329,AH$17,$AH$16,TRUE,Currency1))</f>
        <v>0</v>
      </c>
      <c r="AI329" s="886">
        <f>IF($O330=0,0,           IF(FRM,_xll.qGetFwdRate(AI$14,$O329,AA329,"T",DCC_Leg1_Float),_xll.qGetFwdRate(AI$14,$O329,$O330,"T",DCC_Leg1_Float)))</f>
        <v>0</v>
      </c>
      <c r="AJ329" s="886">
        <f>IF($O330=0,0,           IF(FRM,_xll.qGetFwdRate(AJ$14,$O329,AB329,"T",DCC_Leg1_Float),_xll.qGetFwdRate(AJ$14,$O329,$O330,"T",DCC_Leg1_Float)))</f>
        <v>0</v>
      </c>
      <c r="AK329" s="886">
        <f t="shared" si="132"/>
        <v>0</v>
      </c>
      <c r="AL329" s="886">
        <f>IF($O330=0,0,           IF(FRM,_xll.qGetFwdRate(AL$14,$O329,AD329,"T",DCC_Leg1_Float),_xll.qGetFwdRate(AL$14,$O329,$O330,"T",DCC_Leg1_Float)))</f>
        <v>0</v>
      </c>
      <c r="AM329" s="886">
        <f t="shared" si="145"/>
        <v>0</v>
      </c>
      <c r="AN329" s="886">
        <f t="shared" si="146"/>
        <v>0</v>
      </c>
      <c r="AO329" s="886">
        <f>IF($O330=0,0,           IF(FRM,_xll.qGetFwdRate(AO$14,$O329,AG329,"T",DCC_Leg1_Float),_xll.qGetFwdRate(AO$14,$O329,$O330,"T",DCC_Leg1_Float)))</f>
        <v>0</v>
      </c>
      <c r="AP329" s="886">
        <f>IF($O330=0,0,           IF(FRM,_xll.qGetFwdRate(AP$14,$O329,AH329,"T",DCC_Leg1_Float),_xll.qGetFwdRate(AP$14,$O329,$O330,"T",DCC_Leg1_Float)))</f>
        <v>0</v>
      </c>
      <c r="AQ329" s="648">
        <f t="shared" si="147"/>
        <v>0</v>
      </c>
      <c r="AR329" s="648">
        <f t="shared" si="148"/>
        <v>0</v>
      </c>
      <c r="AS329" s="648">
        <f t="shared" si="149"/>
        <v>0</v>
      </c>
      <c r="AT329" s="648">
        <f t="shared" si="150"/>
        <v>0</v>
      </c>
      <c r="AU329" s="648">
        <f t="shared" si="151"/>
        <v>0</v>
      </c>
      <c r="AV329" s="648">
        <f t="shared" si="152"/>
        <v>0</v>
      </c>
      <c r="AW329" s="648">
        <f t="shared" si="153"/>
        <v>0</v>
      </c>
      <c r="AX329" s="648">
        <f t="shared" si="154"/>
        <v>0</v>
      </c>
      <c r="AY329" s="634">
        <v>0</v>
      </c>
      <c r="AZ329" s="616"/>
      <c r="BA329" s="619">
        <f>IF(O330=0,0,             IF(ISNUMBER(AZ329),AZ329,             IF(ISTEXT(AZ329),INDEX(AQ329:AX329,MATCH(AZ329,$AQ$17:$AX$17,0)),           IF(AY329="INT",_xll.qInterp(O330,AA329:AH329,AQ329:AX329),       INDEX(AQ329:AX329,MATCH(AY329,$AQ$17:$AX$17,0))))))</f>
        <v>0</v>
      </c>
      <c r="BB329" s="674">
        <v>100</v>
      </c>
      <c r="BC329" s="666">
        <f t="shared" si="133"/>
        <v>0</v>
      </c>
      <c r="BD329" s="268">
        <f>IF($O330=0,0,                IF(LEFT(DCC_Leg1_Fixed,2)="1/",uEvaluate(DCC_Leg1_Fixed),        _xll.qDateYears($O329,$O330,DCC_Leg1_Fixed)))</f>
        <v>0</v>
      </c>
      <c r="BE329" s="268">
        <f>IF($O330,_xll.qDateYears($O329,$O330,DCC_Leg1_Float),0)</f>
        <v>0</v>
      </c>
      <c r="BG329" s="332">
        <f t="shared" si="155"/>
        <v>0</v>
      </c>
      <c r="BH329" s="357">
        <f t="shared" si="156"/>
        <v>0</v>
      </c>
      <c r="BI329" s="527"/>
      <c r="BK329" s="324">
        <f t="shared" si="161"/>
        <v>0</v>
      </c>
      <c r="BM329" s="338"/>
      <c r="BN329" s="121">
        <v>0</v>
      </c>
      <c r="BO329" s="755">
        <f t="shared" si="134"/>
        <v>0</v>
      </c>
      <c r="BP329" s="339">
        <v>0</v>
      </c>
      <c r="BQ329" s="890">
        <f>IF(BN330=0,0,         IF(OR(Currency2="AUD",Currency1="NZD",Currency2="GBP"),BN329,   _xll.qDateNext(BN329,"-2b",,,IF(Currency2="EUR","TGT","LON"))))</f>
        <v>0</v>
      </c>
      <c r="BR329" s="879" t="str">
        <v/>
      </c>
      <c r="BS329" s="879" t="str">
        <v/>
      </c>
      <c r="BT329" s="879" t="str">
        <v/>
      </c>
      <c r="BU329" s="879" t="str">
        <v/>
      </c>
      <c r="BV329" s="879" t="str">
        <v/>
      </c>
      <c r="BW329" s="879" t="str">
        <v/>
      </c>
      <c r="BX329" s="879" t="str">
        <v/>
      </c>
      <c r="BY329" s="879" t="str">
        <v/>
      </c>
      <c r="BZ329" s="882">
        <f>IF($BN330=0,0,        _xll.qDateNext($BN329,BZ$17,$CG$16,TRUE,Currency2))</f>
        <v>0</v>
      </c>
      <c r="CA329" s="882">
        <f>IF($BN330=0,0,        _xll.qDateNext($BN329,CA$17,$CG$16,TRUE,Currency2))</f>
        <v>0</v>
      </c>
      <c r="CB329" s="882">
        <f>IF($BN330=0,0,        _xll.qDateNext($BN329,CB$17,$CG$16,TRUE,Currency2))</f>
        <v>0</v>
      </c>
      <c r="CC329" s="882">
        <f>IF($BN330=0,0,        _xll.qDateNext($BN329,CC$17,$CG$16,TRUE,Currency2))</f>
        <v>0</v>
      </c>
      <c r="CD329" s="882">
        <f>IF($BN330=0,0,        _xll.qDateNext($BN329,CD$17,$CG$16,TRUE,Currency2))</f>
        <v>0</v>
      </c>
      <c r="CE329" s="882">
        <f>IF($BN330=0,0,        _xll.qDateNext($BN329,CE$17,$CG$16,TRUE,Currency2))</f>
        <v>0</v>
      </c>
      <c r="CF329" s="882">
        <f>IF($BN330=0,0,        _xll.qDateNext($BN329,CF$17,$CG$16,TRUE,Currency2))</f>
        <v>0</v>
      </c>
      <c r="CG329" s="882">
        <f>IF($BN330=0,0,        _xll.qDateNext($BN329,CG$17,$CG$16,TRUE,Currency2))</f>
        <v>0</v>
      </c>
      <c r="CH329" s="886">
        <v>0</v>
      </c>
      <c r="CI329" s="886">
        <v>0</v>
      </c>
      <c r="CJ329" s="886">
        <v>0</v>
      </c>
      <c r="CK329" s="886">
        <v>0</v>
      </c>
      <c r="CL329" s="886">
        <f t="shared" si="157"/>
        <v>0</v>
      </c>
      <c r="CM329" s="886">
        <f t="shared" si="158"/>
        <v>0</v>
      </c>
      <c r="CN329" s="886">
        <v>0</v>
      </c>
      <c r="CO329" s="886">
        <v>0</v>
      </c>
      <c r="CP329" s="648">
        <f t="shared" si="135"/>
        <v>0</v>
      </c>
      <c r="CQ329" s="648">
        <f t="shared" si="136"/>
        <v>0</v>
      </c>
      <c r="CR329" s="648">
        <f t="shared" si="137"/>
        <v>0</v>
      </c>
      <c r="CS329" s="648">
        <f t="shared" si="138"/>
        <v>0</v>
      </c>
      <c r="CT329" s="648">
        <f t="shared" si="139"/>
        <v>0</v>
      </c>
      <c r="CU329" s="648">
        <f t="shared" si="140"/>
        <v>0</v>
      </c>
      <c r="CV329" s="648">
        <f t="shared" si="141"/>
        <v>0</v>
      </c>
      <c r="CW329" s="648">
        <f t="shared" si="142"/>
        <v>0</v>
      </c>
      <c r="CX329" s="634">
        <v>0</v>
      </c>
      <c r="CY329" s="616"/>
      <c r="CZ329" s="619">
        <f>IF(BN330=0,0,             IF(ISNUMBER(CY329),CY329,             IF(ISTEXT(CY329),INDEX(CP329:CW329,MATCH(CY329,$CP$17:$CW$17,0)),           IF(CX329="INT",_xll.qInterp(BN330,BZ329:CG329,CP329:CW329),       INDEX(CP329:CW329,MATCH(CX329,$CP$17:$CW$17,0))))))</f>
        <v>0</v>
      </c>
      <c r="DA329" s="755">
        <f t="shared" si="143"/>
        <v>0</v>
      </c>
      <c r="DB329" s="387">
        <f t="shared" si="144"/>
        <v>0</v>
      </c>
      <c r="DC329" s="268">
        <f>IF($BN330=0,0,         IF(LEFT(DCC_Leg2_Fixed,2)="1/",uEvaluate(DCC_Leg2_Fixed),         _xll.qDateYears($BN329,$BN330,DCC_Leg2_Fixed)))</f>
        <v>0</v>
      </c>
      <c r="DD329" s="268">
        <f>IF($BN330,_xll.qDateYears($BN329,$BN330,DCC_Leg2_Float),0)</f>
        <v>0</v>
      </c>
      <c r="DF329" s="332">
        <f t="shared" si="159"/>
        <v>0</v>
      </c>
      <c r="DG329" s="357">
        <f t="shared" si="160"/>
        <v>0</v>
      </c>
      <c r="DH329" s="527"/>
      <c r="DJ329" s="324">
        <f t="shared" si="162"/>
        <v>0</v>
      </c>
      <c r="DK329" s="529"/>
      <c r="DL329" s="338"/>
    </row>
    <row r="330" spans="15:116">
      <c r="O330" s="121">
        <v>0</v>
      </c>
      <c r="P330" s="755">
        <f t="shared" si="131"/>
        <v>0</v>
      </c>
      <c r="Q330" s="125">
        <v>0</v>
      </c>
      <c r="R330" s="890">
        <f>IF(O331=0,0,         IF(OR(Currency1="AUD",Currency1="NZD",Currency1="GBP"),O330,   _xll.qDateNext(O330,"-2b",,,IF(Currency1="EUR","TGT","LON"))))</f>
        <v>0</v>
      </c>
      <c r="S330" s="879" t="str">
        <v/>
      </c>
      <c r="T330" s="879" t="str">
        <v/>
      </c>
      <c r="U330" s="879" t="str">
        <v/>
      </c>
      <c r="V330" s="879" t="str">
        <v/>
      </c>
      <c r="W330" s="879" t="str">
        <v/>
      </c>
      <c r="X330" s="879" t="str">
        <v/>
      </c>
      <c r="Y330" s="879" t="str">
        <v/>
      </c>
      <c r="Z330" s="879" t="str">
        <v/>
      </c>
      <c r="AA330" s="882">
        <f>IF($O331=0,0,        _xll.qDateNext($O330,AA$17,$AH$16,TRUE,Currency1))</f>
        <v>0</v>
      </c>
      <c r="AB330" s="882">
        <f>IF($O331=0,0,        _xll.qDateNext($O330,AB$17,$AH$16,TRUE,Currency1))</f>
        <v>0</v>
      </c>
      <c r="AC330" s="882">
        <f>IF($O331=0,0,        _xll.qDateNext($O330,AC$17,$AH$16,TRUE,Currency1))</f>
        <v>0</v>
      </c>
      <c r="AD330" s="882">
        <f>IF($O331=0,0,        _xll.qDateNext($O330,AD$17,$AH$16,TRUE,Currency1))</f>
        <v>0</v>
      </c>
      <c r="AE330" s="882">
        <f>IF($O331=0,0,        _xll.qDateNext($O330,AE$17,$AH$16,TRUE,Currency1))</f>
        <v>0</v>
      </c>
      <c r="AF330" s="882">
        <f>IF($O331=0,0,        _xll.qDateNext($O330,AF$17,$AH$16,TRUE,Currency1))</f>
        <v>0</v>
      </c>
      <c r="AG330" s="882">
        <f>IF($O331=0,0,        _xll.qDateNext($O330,AG$17,$AH$16,TRUE,Currency1))</f>
        <v>0</v>
      </c>
      <c r="AH330" s="882">
        <f>IF($O331=0,0,        _xll.qDateNext($O330,AH$17,$AH$16,TRUE,Currency1))</f>
        <v>0</v>
      </c>
      <c r="AI330" s="886">
        <f>IF($O331=0,0,           IF(FRM,_xll.qGetFwdRate(AI$14,$O330,AA330,"T",DCC_Leg1_Float),_xll.qGetFwdRate(AI$14,$O330,$O331,"T",DCC_Leg1_Float)))</f>
        <v>0</v>
      </c>
      <c r="AJ330" s="886">
        <f>IF($O331=0,0,           IF(FRM,_xll.qGetFwdRate(AJ$14,$O330,AB330,"T",DCC_Leg1_Float),_xll.qGetFwdRate(AJ$14,$O330,$O331,"T",DCC_Leg1_Float)))</f>
        <v>0</v>
      </c>
      <c r="AK330" s="886">
        <f t="shared" si="132"/>
        <v>0</v>
      </c>
      <c r="AL330" s="886">
        <f>IF($O331=0,0,           IF(FRM,_xll.qGetFwdRate(AL$14,$O330,AD330,"T",DCC_Leg1_Float),_xll.qGetFwdRate(AL$14,$O330,$O331,"T",DCC_Leg1_Float)))</f>
        <v>0</v>
      </c>
      <c r="AM330" s="886">
        <f t="shared" si="145"/>
        <v>0</v>
      </c>
      <c r="AN330" s="886">
        <f t="shared" si="146"/>
        <v>0</v>
      </c>
      <c r="AO330" s="886">
        <f>IF($O331=0,0,           IF(FRM,_xll.qGetFwdRate(AO$14,$O330,AG330,"T",DCC_Leg1_Float),_xll.qGetFwdRate(AO$14,$O330,$O331,"T",DCC_Leg1_Float)))</f>
        <v>0</v>
      </c>
      <c r="AP330" s="886">
        <f>IF($O331=0,0,           IF(FRM,_xll.qGetFwdRate(AP$14,$O330,AH330,"T",DCC_Leg1_Float),_xll.qGetFwdRate(AP$14,$O330,$O331,"T",DCC_Leg1_Float)))</f>
        <v>0</v>
      </c>
      <c r="AQ330" s="648">
        <f t="shared" si="147"/>
        <v>0</v>
      </c>
      <c r="AR330" s="648">
        <f t="shared" si="148"/>
        <v>0</v>
      </c>
      <c r="AS330" s="648">
        <f t="shared" si="149"/>
        <v>0</v>
      </c>
      <c r="AT330" s="648">
        <f t="shared" si="150"/>
        <v>0</v>
      </c>
      <c r="AU330" s="648">
        <f t="shared" si="151"/>
        <v>0</v>
      </c>
      <c r="AV330" s="648">
        <f t="shared" si="152"/>
        <v>0</v>
      </c>
      <c r="AW330" s="648">
        <f t="shared" si="153"/>
        <v>0</v>
      </c>
      <c r="AX330" s="648">
        <f t="shared" si="154"/>
        <v>0</v>
      </c>
      <c r="AY330" s="634">
        <v>0</v>
      </c>
      <c r="AZ330" s="616"/>
      <c r="BA330" s="619">
        <f>IF(O331=0,0,             IF(ISNUMBER(AZ330),AZ330,             IF(ISTEXT(AZ330),INDEX(AQ330:AX330,MATCH(AZ330,$AQ$17:$AX$17,0)),           IF(AY330="INT",_xll.qInterp(O331,AA330:AH330,AQ330:AX330),       INDEX(AQ330:AX330,MATCH(AY330,$AQ$17:$AX$17,0))))))</f>
        <v>0</v>
      </c>
      <c r="BB330" s="674">
        <v>100</v>
      </c>
      <c r="BC330" s="666">
        <f t="shared" si="133"/>
        <v>0</v>
      </c>
      <c r="BD330" s="268">
        <f>IF($O331=0,0,                IF(LEFT(DCC_Leg1_Fixed,2)="1/",uEvaluate(DCC_Leg1_Fixed),        _xll.qDateYears($O330,$O331,DCC_Leg1_Fixed)))</f>
        <v>0</v>
      </c>
      <c r="BE330" s="268">
        <f>IF($O331,_xll.qDateYears($O330,$O331,DCC_Leg1_Float),0)</f>
        <v>0</v>
      </c>
      <c r="BG330" s="332">
        <f t="shared" si="155"/>
        <v>0</v>
      </c>
      <c r="BH330" s="357">
        <f t="shared" si="156"/>
        <v>0</v>
      </c>
      <c r="BI330" s="527"/>
      <c r="BK330" s="324">
        <f t="shared" si="161"/>
        <v>0</v>
      </c>
      <c r="BM330" s="338"/>
      <c r="BN330" s="121">
        <v>0</v>
      </c>
      <c r="BO330" s="755">
        <f t="shared" si="134"/>
        <v>0</v>
      </c>
      <c r="BP330" s="339">
        <v>0</v>
      </c>
      <c r="BQ330" s="890">
        <f>IF(BN331=0,0,         IF(OR(Currency2="AUD",Currency1="NZD",Currency2="GBP"),BN330,   _xll.qDateNext(BN330,"-2b",,,IF(Currency2="EUR","TGT","LON"))))</f>
        <v>0</v>
      </c>
      <c r="BR330" s="879" t="str">
        <v/>
      </c>
      <c r="BS330" s="879" t="str">
        <v/>
      </c>
      <c r="BT330" s="879" t="str">
        <v/>
      </c>
      <c r="BU330" s="879" t="str">
        <v/>
      </c>
      <c r="BV330" s="879" t="str">
        <v/>
      </c>
      <c r="BW330" s="879" t="str">
        <v/>
      </c>
      <c r="BX330" s="879" t="str">
        <v/>
      </c>
      <c r="BY330" s="879" t="str">
        <v/>
      </c>
      <c r="BZ330" s="882">
        <f>IF($BN331=0,0,        _xll.qDateNext($BN330,BZ$17,$CG$16,TRUE,Currency2))</f>
        <v>0</v>
      </c>
      <c r="CA330" s="882">
        <f>IF($BN331=0,0,        _xll.qDateNext($BN330,CA$17,$CG$16,TRUE,Currency2))</f>
        <v>0</v>
      </c>
      <c r="CB330" s="882">
        <f>IF($BN331=0,0,        _xll.qDateNext($BN330,CB$17,$CG$16,TRUE,Currency2))</f>
        <v>0</v>
      </c>
      <c r="CC330" s="882">
        <f>IF($BN331=0,0,        _xll.qDateNext($BN330,CC$17,$CG$16,TRUE,Currency2))</f>
        <v>0</v>
      </c>
      <c r="CD330" s="882">
        <f>IF($BN331=0,0,        _xll.qDateNext($BN330,CD$17,$CG$16,TRUE,Currency2))</f>
        <v>0</v>
      </c>
      <c r="CE330" s="882">
        <f>IF($BN331=0,0,        _xll.qDateNext($BN330,CE$17,$CG$16,TRUE,Currency2))</f>
        <v>0</v>
      </c>
      <c r="CF330" s="882">
        <f>IF($BN331=0,0,        _xll.qDateNext($BN330,CF$17,$CG$16,TRUE,Currency2))</f>
        <v>0</v>
      </c>
      <c r="CG330" s="882">
        <f>IF($BN331=0,0,        _xll.qDateNext($BN330,CG$17,$CG$16,TRUE,Currency2))</f>
        <v>0</v>
      </c>
      <c r="CH330" s="886">
        <v>0</v>
      </c>
      <c r="CI330" s="886">
        <v>0</v>
      </c>
      <c r="CJ330" s="886">
        <v>0</v>
      </c>
      <c r="CK330" s="886">
        <v>0</v>
      </c>
      <c r="CL330" s="886">
        <f t="shared" si="157"/>
        <v>0</v>
      </c>
      <c r="CM330" s="886">
        <f t="shared" si="158"/>
        <v>0</v>
      </c>
      <c r="CN330" s="886">
        <v>0</v>
      </c>
      <c r="CO330" s="886">
        <v>0</v>
      </c>
      <c r="CP330" s="648">
        <f t="shared" si="135"/>
        <v>0</v>
      </c>
      <c r="CQ330" s="648">
        <f t="shared" si="136"/>
        <v>0</v>
      </c>
      <c r="CR330" s="648">
        <f t="shared" si="137"/>
        <v>0</v>
      </c>
      <c r="CS330" s="648">
        <f t="shared" si="138"/>
        <v>0</v>
      </c>
      <c r="CT330" s="648">
        <f t="shared" si="139"/>
        <v>0</v>
      </c>
      <c r="CU330" s="648">
        <f t="shared" si="140"/>
        <v>0</v>
      </c>
      <c r="CV330" s="648">
        <f t="shared" si="141"/>
        <v>0</v>
      </c>
      <c r="CW330" s="648">
        <f t="shared" si="142"/>
        <v>0</v>
      </c>
      <c r="CX330" s="634">
        <v>0</v>
      </c>
      <c r="CY330" s="616"/>
      <c r="CZ330" s="619">
        <f>IF(BN331=0,0,             IF(ISNUMBER(CY330),CY330,             IF(ISTEXT(CY330),INDEX(CP330:CW330,MATCH(CY330,$CP$17:$CW$17,0)),           IF(CX330="INT",_xll.qInterp(BN331,BZ330:CG330,CP330:CW330),       INDEX(CP330:CW330,MATCH(CX330,$CP$17:$CW$17,0))))))</f>
        <v>0</v>
      </c>
      <c r="DA330" s="755">
        <f t="shared" si="143"/>
        <v>0</v>
      </c>
      <c r="DB330" s="387">
        <f t="shared" si="144"/>
        <v>0</v>
      </c>
      <c r="DC330" s="268">
        <f>IF($BN331=0,0,         IF(LEFT(DCC_Leg2_Fixed,2)="1/",uEvaluate(DCC_Leg2_Fixed),         _xll.qDateYears($BN330,$BN331,DCC_Leg2_Fixed)))</f>
        <v>0</v>
      </c>
      <c r="DD330" s="268">
        <f>IF($BN331,_xll.qDateYears($BN330,$BN331,DCC_Leg2_Float),0)</f>
        <v>0</v>
      </c>
      <c r="DF330" s="332">
        <f t="shared" si="159"/>
        <v>0</v>
      </c>
      <c r="DG330" s="357">
        <f t="shared" si="160"/>
        <v>0</v>
      </c>
      <c r="DH330" s="527"/>
      <c r="DJ330" s="324">
        <f t="shared" si="162"/>
        <v>0</v>
      </c>
      <c r="DK330" s="529"/>
      <c r="DL330" s="338"/>
    </row>
    <row r="331" spans="15:116">
      <c r="O331" s="121">
        <v>0</v>
      </c>
      <c r="P331" s="755">
        <f t="shared" si="131"/>
        <v>0</v>
      </c>
      <c r="Q331" s="125">
        <v>0</v>
      </c>
      <c r="R331" s="890">
        <f>IF(O332=0,0,         IF(OR(Currency1="AUD",Currency1="NZD",Currency1="GBP"),O331,   _xll.qDateNext(O331,"-2b",,,IF(Currency1="EUR","TGT","LON"))))</f>
        <v>0</v>
      </c>
      <c r="S331" s="879" t="str">
        <v/>
      </c>
      <c r="T331" s="879" t="str">
        <v/>
      </c>
      <c r="U331" s="879" t="str">
        <v/>
      </c>
      <c r="V331" s="879" t="str">
        <v/>
      </c>
      <c r="W331" s="879" t="str">
        <v/>
      </c>
      <c r="X331" s="879" t="str">
        <v/>
      </c>
      <c r="Y331" s="879" t="str">
        <v/>
      </c>
      <c r="Z331" s="879" t="str">
        <v/>
      </c>
      <c r="AA331" s="882">
        <f>IF($O332=0,0,        _xll.qDateNext($O331,AA$17,$AH$16,TRUE,Currency1))</f>
        <v>0</v>
      </c>
      <c r="AB331" s="882">
        <f>IF($O332=0,0,        _xll.qDateNext($O331,AB$17,$AH$16,TRUE,Currency1))</f>
        <v>0</v>
      </c>
      <c r="AC331" s="882">
        <f>IF($O332=0,0,        _xll.qDateNext($O331,AC$17,$AH$16,TRUE,Currency1))</f>
        <v>0</v>
      </c>
      <c r="AD331" s="882">
        <f>IF($O332=0,0,        _xll.qDateNext($O331,AD$17,$AH$16,TRUE,Currency1))</f>
        <v>0</v>
      </c>
      <c r="AE331" s="882">
        <f>IF($O332=0,0,        _xll.qDateNext($O331,AE$17,$AH$16,TRUE,Currency1))</f>
        <v>0</v>
      </c>
      <c r="AF331" s="882">
        <f>IF($O332=0,0,        _xll.qDateNext($O331,AF$17,$AH$16,TRUE,Currency1))</f>
        <v>0</v>
      </c>
      <c r="AG331" s="882">
        <f>IF($O332=0,0,        _xll.qDateNext($O331,AG$17,$AH$16,TRUE,Currency1))</f>
        <v>0</v>
      </c>
      <c r="AH331" s="882">
        <f>IF($O332=0,0,        _xll.qDateNext($O331,AH$17,$AH$16,TRUE,Currency1))</f>
        <v>0</v>
      </c>
      <c r="AI331" s="886">
        <f>IF($O332=0,0,           IF(FRM,_xll.qGetFwdRate(AI$14,$O331,AA331,"T",DCC_Leg1_Float),_xll.qGetFwdRate(AI$14,$O331,$O332,"T",DCC_Leg1_Float)))</f>
        <v>0</v>
      </c>
      <c r="AJ331" s="886">
        <f>IF($O332=0,0,           IF(FRM,_xll.qGetFwdRate(AJ$14,$O331,AB331,"T",DCC_Leg1_Float),_xll.qGetFwdRate(AJ$14,$O331,$O332,"T",DCC_Leg1_Float)))</f>
        <v>0</v>
      </c>
      <c r="AK331" s="886">
        <f t="shared" si="132"/>
        <v>0</v>
      </c>
      <c r="AL331" s="886">
        <f>IF($O332=0,0,           IF(FRM,_xll.qGetFwdRate(AL$14,$O331,AD331,"T",DCC_Leg1_Float),_xll.qGetFwdRate(AL$14,$O331,$O332,"T",DCC_Leg1_Float)))</f>
        <v>0</v>
      </c>
      <c r="AM331" s="886">
        <f t="shared" si="145"/>
        <v>0</v>
      </c>
      <c r="AN331" s="886">
        <f t="shared" si="146"/>
        <v>0</v>
      </c>
      <c r="AO331" s="886">
        <f>IF($O332=0,0,           IF(FRM,_xll.qGetFwdRate(AO$14,$O331,AG331,"T",DCC_Leg1_Float),_xll.qGetFwdRate(AO$14,$O331,$O332,"T",DCC_Leg1_Float)))</f>
        <v>0</v>
      </c>
      <c r="AP331" s="886">
        <f>IF($O332=0,0,           IF(FRM,_xll.qGetFwdRate(AP$14,$O331,AH331,"T",DCC_Leg1_Float),_xll.qGetFwdRate(AP$14,$O331,$O332,"T",DCC_Leg1_Float)))</f>
        <v>0</v>
      </c>
      <c r="AQ331" s="648">
        <f t="shared" si="147"/>
        <v>0</v>
      </c>
      <c r="AR331" s="648">
        <f t="shared" si="148"/>
        <v>0</v>
      </c>
      <c r="AS331" s="648">
        <f t="shared" si="149"/>
        <v>0</v>
      </c>
      <c r="AT331" s="648">
        <f t="shared" si="150"/>
        <v>0</v>
      </c>
      <c r="AU331" s="648">
        <f t="shared" si="151"/>
        <v>0</v>
      </c>
      <c r="AV331" s="648">
        <f t="shared" si="152"/>
        <v>0</v>
      </c>
      <c r="AW331" s="648">
        <f t="shared" si="153"/>
        <v>0</v>
      </c>
      <c r="AX331" s="648">
        <f t="shared" si="154"/>
        <v>0</v>
      </c>
      <c r="AY331" s="634">
        <v>0</v>
      </c>
      <c r="AZ331" s="616"/>
      <c r="BA331" s="619">
        <f>IF(O332=0,0,             IF(ISNUMBER(AZ331),AZ331,             IF(ISTEXT(AZ331),INDEX(AQ331:AX331,MATCH(AZ331,$AQ$17:$AX$17,0)),           IF(AY331="INT",_xll.qInterp(O332,AA331:AH331,AQ331:AX331),       INDEX(AQ331:AX331,MATCH(AY331,$AQ$17:$AX$17,0))))))</f>
        <v>0</v>
      </c>
      <c r="BB331" s="674">
        <v>100</v>
      </c>
      <c r="BC331" s="666">
        <f t="shared" si="133"/>
        <v>0</v>
      </c>
      <c r="BD331" s="268">
        <f>IF($O332=0,0,                IF(LEFT(DCC_Leg1_Fixed,2)="1/",uEvaluate(DCC_Leg1_Fixed),        _xll.qDateYears($O331,$O332,DCC_Leg1_Fixed)))</f>
        <v>0</v>
      </c>
      <c r="BE331" s="268">
        <f>IF($O332,_xll.qDateYears($O331,$O332,DCC_Leg1_Float),0)</f>
        <v>0</v>
      </c>
      <c r="BG331" s="332">
        <f t="shared" si="155"/>
        <v>0</v>
      </c>
      <c r="BH331" s="357">
        <f t="shared" si="156"/>
        <v>0</v>
      </c>
      <c r="BI331" s="527"/>
      <c r="BK331" s="324">
        <f t="shared" si="161"/>
        <v>0</v>
      </c>
      <c r="BM331" s="338"/>
      <c r="BN331" s="121">
        <v>0</v>
      </c>
      <c r="BO331" s="755">
        <f t="shared" si="134"/>
        <v>0</v>
      </c>
      <c r="BP331" s="339">
        <v>0</v>
      </c>
      <c r="BQ331" s="890">
        <f>IF(BN332=0,0,         IF(OR(Currency2="AUD",Currency1="NZD",Currency2="GBP"),BN331,   _xll.qDateNext(BN331,"-2b",,,IF(Currency2="EUR","TGT","LON"))))</f>
        <v>0</v>
      </c>
      <c r="BR331" s="879" t="str">
        <v/>
      </c>
      <c r="BS331" s="879" t="str">
        <v/>
      </c>
      <c r="BT331" s="879" t="str">
        <v/>
      </c>
      <c r="BU331" s="879" t="str">
        <v/>
      </c>
      <c r="BV331" s="879" t="str">
        <v/>
      </c>
      <c r="BW331" s="879" t="str">
        <v/>
      </c>
      <c r="BX331" s="879" t="str">
        <v/>
      </c>
      <c r="BY331" s="879" t="str">
        <v/>
      </c>
      <c r="BZ331" s="882">
        <f>IF($BN332=0,0,        _xll.qDateNext($BN331,BZ$17,$CG$16,TRUE,Currency2))</f>
        <v>0</v>
      </c>
      <c r="CA331" s="882">
        <f>IF($BN332=0,0,        _xll.qDateNext($BN331,CA$17,$CG$16,TRUE,Currency2))</f>
        <v>0</v>
      </c>
      <c r="CB331" s="882">
        <f>IF($BN332=0,0,        _xll.qDateNext($BN331,CB$17,$CG$16,TRUE,Currency2))</f>
        <v>0</v>
      </c>
      <c r="CC331" s="882">
        <f>IF($BN332=0,0,        _xll.qDateNext($BN331,CC$17,$CG$16,TRUE,Currency2))</f>
        <v>0</v>
      </c>
      <c r="CD331" s="882">
        <f>IF($BN332=0,0,        _xll.qDateNext($BN331,CD$17,$CG$16,TRUE,Currency2))</f>
        <v>0</v>
      </c>
      <c r="CE331" s="882">
        <f>IF($BN332=0,0,        _xll.qDateNext($BN331,CE$17,$CG$16,TRUE,Currency2))</f>
        <v>0</v>
      </c>
      <c r="CF331" s="882">
        <f>IF($BN332=0,0,        _xll.qDateNext($BN331,CF$17,$CG$16,TRUE,Currency2))</f>
        <v>0</v>
      </c>
      <c r="CG331" s="882">
        <f>IF($BN332=0,0,        _xll.qDateNext($BN331,CG$17,$CG$16,TRUE,Currency2))</f>
        <v>0</v>
      </c>
      <c r="CH331" s="886">
        <v>0</v>
      </c>
      <c r="CI331" s="886">
        <v>0</v>
      </c>
      <c r="CJ331" s="886">
        <v>0</v>
      </c>
      <c r="CK331" s="886">
        <v>0</v>
      </c>
      <c r="CL331" s="886">
        <f t="shared" si="157"/>
        <v>0</v>
      </c>
      <c r="CM331" s="886">
        <f t="shared" si="158"/>
        <v>0</v>
      </c>
      <c r="CN331" s="886">
        <v>0</v>
      </c>
      <c r="CO331" s="886">
        <v>0</v>
      </c>
      <c r="CP331" s="648">
        <f t="shared" si="135"/>
        <v>0</v>
      </c>
      <c r="CQ331" s="648">
        <f t="shared" si="136"/>
        <v>0</v>
      </c>
      <c r="CR331" s="648">
        <f t="shared" si="137"/>
        <v>0</v>
      </c>
      <c r="CS331" s="648">
        <f t="shared" si="138"/>
        <v>0</v>
      </c>
      <c r="CT331" s="648">
        <f t="shared" si="139"/>
        <v>0</v>
      </c>
      <c r="CU331" s="648">
        <f t="shared" si="140"/>
        <v>0</v>
      </c>
      <c r="CV331" s="648">
        <f t="shared" si="141"/>
        <v>0</v>
      </c>
      <c r="CW331" s="648">
        <f t="shared" si="142"/>
        <v>0</v>
      </c>
      <c r="CX331" s="634">
        <v>0</v>
      </c>
      <c r="CY331" s="616"/>
      <c r="CZ331" s="619">
        <f>IF(BN332=0,0,             IF(ISNUMBER(CY331),CY331,             IF(ISTEXT(CY331),INDEX(CP331:CW331,MATCH(CY331,$CP$17:$CW$17,0)),           IF(CX331="INT",_xll.qInterp(BN332,BZ331:CG331,CP331:CW331),       INDEX(CP331:CW331,MATCH(CX331,$CP$17:$CW$17,0))))))</f>
        <v>0</v>
      </c>
      <c r="DA331" s="755">
        <f t="shared" si="143"/>
        <v>0</v>
      </c>
      <c r="DB331" s="387">
        <f t="shared" si="144"/>
        <v>0</v>
      </c>
      <c r="DC331" s="268">
        <f>IF($BN332=0,0,         IF(LEFT(DCC_Leg2_Fixed,2)="1/",uEvaluate(DCC_Leg2_Fixed),         _xll.qDateYears($BN331,$BN332,DCC_Leg2_Fixed)))</f>
        <v>0</v>
      </c>
      <c r="DD331" s="268">
        <f>IF($BN332,_xll.qDateYears($BN331,$BN332,DCC_Leg2_Float),0)</f>
        <v>0</v>
      </c>
      <c r="DF331" s="332">
        <f t="shared" si="159"/>
        <v>0</v>
      </c>
      <c r="DG331" s="357">
        <f t="shared" si="160"/>
        <v>0</v>
      </c>
      <c r="DH331" s="527"/>
      <c r="DJ331" s="324">
        <f t="shared" si="162"/>
        <v>0</v>
      </c>
      <c r="DK331" s="529"/>
      <c r="DL331" s="338"/>
    </row>
    <row r="332" spans="15:116">
      <c r="O332" s="121">
        <v>0</v>
      </c>
      <c r="P332" s="755">
        <f t="shared" si="131"/>
        <v>0</v>
      </c>
      <c r="Q332" s="125">
        <v>0</v>
      </c>
      <c r="R332" s="890">
        <f>IF(O333=0,0,         IF(OR(Currency1="AUD",Currency1="NZD",Currency1="GBP"),O332,   _xll.qDateNext(O332,"-2b",,,IF(Currency1="EUR","TGT","LON"))))</f>
        <v>0</v>
      </c>
      <c r="S332" s="879" t="str">
        <v/>
      </c>
      <c r="T332" s="879" t="str">
        <v/>
      </c>
      <c r="U332" s="879" t="str">
        <v/>
      </c>
      <c r="V332" s="879" t="str">
        <v/>
      </c>
      <c r="W332" s="879" t="str">
        <v/>
      </c>
      <c r="X332" s="879" t="str">
        <v/>
      </c>
      <c r="Y332" s="879" t="str">
        <v/>
      </c>
      <c r="Z332" s="879" t="str">
        <v/>
      </c>
      <c r="AA332" s="882">
        <f>IF($O333=0,0,        _xll.qDateNext($O332,AA$17,$AH$16,TRUE,Currency1))</f>
        <v>0</v>
      </c>
      <c r="AB332" s="882">
        <f>IF($O333=0,0,        _xll.qDateNext($O332,AB$17,$AH$16,TRUE,Currency1))</f>
        <v>0</v>
      </c>
      <c r="AC332" s="882">
        <f>IF($O333=0,0,        _xll.qDateNext($O332,AC$17,$AH$16,TRUE,Currency1))</f>
        <v>0</v>
      </c>
      <c r="AD332" s="882">
        <f>IF($O333=0,0,        _xll.qDateNext($O332,AD$17,$AH$16,TRUE,Currency1))</f>
        <v>0</v>
      </c>
      <c r="AE332" s="882">
        <f>IF($O333=0,0,        _xll.qDateNext($O332,AE$17,$AH$16,TRUE,Currency1))</f>
        <v>0</v>
      </c>
      <c r="AF332" s="882">
        <f>IF($O333=0,0,        _xll.qDateNext($O332,AF$17,$AH$16,TRUE,Currency1))</f>
        <v>0</v>
      </c>
      <c r="AG332" s="882">
        <f>IF($O333=0,0,        _xll.qDateNext($O332,AG$17,$AH$16,TRUE,Currency1))</f>
        <v>0</v>
      </c>
      <c r="AH332" s="882">
        <f>IF($O333=0,0,        _xll.qDateNext($O332,AH$17,$AH$16,TRUE,Currency1))</f>
        <v>0</v>
      </c>
      <c r="AI332" s="886">
        <f>IF($O333=0,0,           IF(FRM,_xll.qGetFwdRate(AI$14,$O332,AA332,"T",DCC_Leg1_Float),_xll.qGetFwdRate(AI$14,$O332,$O333,"T",DCC_Leg1_Float)))</f>
        <v>0</v>
      </c>
      <c r="AJ332" s="886">
        <f>IF($O333=0,0,           IF(FRM,_xll.qGetFwdRate(AJ$14,$O332,AB332,"T",DCC_Leg1_Float),_xll.qGetFwdRate(AJ$14,$O332,$O333,"T",DCC_Leg1_Float)))</f>
        <v>0</v>
      </c>
      <c r="AK332" s="886">
        <f t="shared" si="132"/>
        <v>0</v>
      </c>
      <c r="AL332" s="886">
        <f>IF($O333=0,0,           IF(FRM,_xll.qGetFwdRate(AL$14,$O332,AD332,"T",DCC_Leg1_Float),_xll.qGetFwdRate(AL$14,$O332,$O333,"T",DCC_Leg1_Float)))</f>
        <v>0</v>
      </c>
      <c r="AM332" s="886">
        <f t="shared" si="145"/>
        <v>0</v>
      </c>
      <c r="AN332" s="886">
        <f t="shared" si="146"/>
        <v>0</v>
      </c>
      <c r="AO332" s="886">
        <f>IF($O333=0,0,           IF(FRM,_xll.qGetFwdRate(AO$14,$O332,AG332,"T",DCC_Leg1_Float),_xll.qGetFwdRate(AO$14,$O332,$O333,"T",DCC_Leg1_Float)))</f>
        <v>0</v>
      </c>
      <c r="AP332" s="886">
        <f>IF($O333=0,0,           IF(FRM,_xll.qGetFwdRate(AP$14,$O332,AH332,"T",DCC_Leg1_Float),_xll.qGetFwdRate(AP$14,$O332,$O333,"T",DCC_Leg1_Float)))</f>
        <v>0</v>
      </c>
      <c r="AQ332" s="648">
        <f t="shared" si="147"/>
        <v>0</v>
      </c>
      <c r="AR332" s="648">
        <f t="shared" si="148"/>
        <v>0</v>
      </c>
      <c r="AS332" s="648">
        <f t="shared" si="149"/>
        <v>0</v>
      </c>
      <c r="AT332" s="648">
        <f t="shared" si="150"/>
        <v>0</v>
      </c>
      <c r="AU332" s="648">
        <f t="shared" si="151"/>
        <v>0</v>
      </c>
      <c r="AV332" s="648">
        <f t="shared" si="152"/>
        <v>0</v>
      </c>
      <c r="AW332" s="648">
        <f t="shared" si="153"/>
        <v>0</v>
      </c>
      <c r="AX332" s="648">
        <f t="shared" si="154"/>
        <v>0</v>
      </c>
      <c r="AY332" s="634">
        <v>0</v>
      </c>
      <c r="AZ332" s="616"/>
      <c r="BA332" s="619">
        <f>IF(O333=0,0,             IF(ISNUMBER(AZ332),AZ332,             IF(ISTEXT(AZ332),INDEX(AQ332:AX332,MATCH(AZ332,$AQ$17:$AX$17,0)),           IF(AY332="INT",_xll.qInterp(O333,AA332:AH332,AQ332:AX332),       INDEX(AQ332:AX332,MATCH(AY332,$AQ$17:$AX$17,0))))))</f>
        <v>0</v>
      </c>
      <c r="BB332" s="674">
        <v>100</v>
      </c>
      <c r="BC332" s="666">
        <f t="shared" si="133"/>
        <v>0</v>
      </c>
      <c r="BD332" s="268">
        <f>IF($O333=0,0,                IF(LEFT(DCC_Leg1_Fixed,2)="1/",uEvaluate(DCC_Leg1_Fixed),        _xll.qDateYears($O332,$O333,DCC_Leg1_Fixed)))</f>
        <v>0</v>
      </c>
      <c r="BE332" s="268">
        <f>IF($O333,_xll.qDateYears($O332,$O333,DCC_Leg1_Float),0)</f>
        <v>0</v>
      </c>
      <c r="BG332" s="332">
        <f t="shared" si="155"/>
        <v>0</v>
      </c>
      <c r="BH332" s="357">
        <f t="shared" si="156"/>
        <v>0</v>
      </c>
      <c r="BI332" s="527"/>
      <c r="BK332" s="324">
        <f t="shared" si="161"/>
        <v>0</v>
      </c>
      <c r="BM332" s="338"/>
      <c r="BN332" s="121">
        <v>0</v>
      </c>
      <c r="BO332" s="755">
        <f t="shared" si="134"/>
        <v>0</v>
      </c>
      <c r="BP332" s="339">
        <v>0</v>
      </c>
      <c r="BQ332" s="890">
        <f>IF(BN333=0,0,         IF(OR(Currency2="AUD",Currency1="NZD",Currency2="GBP"),BN332,   _xll.qDateNext(BN332,"-2b",,,IF(Currency2="EUR","TGT","LON"))))</f>
        <v>0</v>
      </c>
      <c r="BR332" s="879" t="str">
        <v/>
      </c>
      <c r="BS332" s="879" t="str">
        <v/>
      </c>
      <c r="BT332" s="879" t="str">
        <v/>
      </c>
      <c r="BU332" s="879" t="str">
        <v/>
      </c>
      <c r="BV332" s="879" t="str">
        <v/>
      </c>
      <c r="BW332" s="879" t="str">
        <v/>
      </c>
      <c r="BX332" s="879" t="str">
        <v/>
      </c>
      <c r="BY332" s="879" t="str">
        <v/>
      </c>
      <c r="BZ332" s="882">
        <f>IF($BN333=0,0,        _xll.qDateNext($BN332,BZ$17,$CG$16,TRUE,Currency2))</f>
        <v>0</v>
      </c>
      <c r="CA332" s="882">
        <f>IF($BN333=0,0,        _xll.qDateNext($BN332,CA$17,$CG$16,TRUE,Currency2))</f>
        <v>0</v>
      </c>
      <c r="CB332" s="882">
        <f>IF($BN333=0,0,        _xll.qDateNext($BN332,CB$17,$CG$16,TRUE,Currency2))</f>
        <v>0</v>
      </c>
      <c r="CC332" s="882">
        <f>IF($BN333=0,0,        _xll.qDateNext($BN332,CC$17,$CG$16,TRUE,Currency2))</f>
        <v>0</v>
      </c>
      <c r="CD332" s="882">
        <f>IF($BN333=0,0,        _xll.qDateNext($BN332,CD$17,$CG$16,TRUE,Currency2))</f>
        <v>0</v>
      </c>
      <c r="CE332" s="882">
        <f>IF($BN333=0,0,        _xll.qDateNext($BN332,CE$17,$CG$16,TRUE,Currency2))</f>
        <v>0</v>
      </c>
      <c r="CF332" s="882">
        <f>IF($BN333=0,0,        _xll.qDateNext($BN332,CF$17,$CG$16,TRUE,Currency2))</f>
        <v>0</v>
      </c>
      <c r="CG332" s="882">
        <f>IF($BN333=0,0,        _xll.qDateNext($BN332,CG$17,$CG$16,TRUE,Currency2))</f>
        <v>0</v>
      </c>
      <c r="CH332" s="886">
        <v>0</v>
      </c>
      <c r="CI332" s="886">
        <v>0</v>
      </c>
      <c r="CJ332" s="886">
        <v>0</v>
      </c>
      <c r="CK332" s="886">
        <v>0</v>
      </c>
      <c r="CL332" s="886">
        <f t="shared" si="157"/>
        <v>0</v>
      </c>
      <c r="CM332" s="886">
        <f t="shared" si="158"/>
        <v>0</v>
      </c>
      <c r="CN332" s="886">
        <v>0</v>
      </c>
      <c r="CO332" s="886">
        <v>0</v>
      </c>
      <c r="CP332" s="648">
        <f t="shared" si="135"/>
        <v>0</v>
      </c>
      <c r="CQ332" s="648">
        <f t="shared" si="136"/>
        <v>0</v>
      </c>
      <c r="CR332" s="648">
        <f t="shared" si="137"/>
        <v>0</v>
      </c>
      <c r="CS332" s="648">
        <f t="shared" si="138"/>
        <v>0</v>
      </c>
      <c r="CT332" s="648">
        <f t="shared" si="139"/>
        <v>0</v>
      </c>
      <c r="CU332" s="648">
        <f t="shared" si="140"/>
        <v>0</v>
      </c>
      <c r="CV332" s="648">
        <f t="shared" si="141"/>
        <v>0</v>
      </c>
      <c r="CW332" s="648">
        <f t="shared" si="142"/>
        <v>0</v>
      </c>
      <c r="CX332" s="634">
        <v>0</v>
      </c>
      <c r="CY332" s="616"/>
      <c r="CZ332" s="619">
        <f>IF(BN333=0,0,             IF(ISNUMBER(CY332),CY332,             IF(ISTEXT(CY332),INDEX(CP332:CW332,MATCH(CY332,$CP$17:$CW$17,0)),           IF(CX332="INT",_xll.qInterp(BN333,BZ332:CG332,CP332:CW332),       INDEX(CP332:CW332,MATCH(CX332,$CP$17:$CW$17,0))))))</f>
        <v>0</v>
      </c>
      <c r="DA332" s="755">
        <f t="shared" si="143"/>
        <v>0</v>
      </c>
      <c r="DB332" s="387">
        <f t="shared" si="144"/>
        <v>0</v>
      </c>
      <c r="DC332" s="268">
        <f>IF($BN333=0,0,         IF(LEFT(DCC_Leg2_Fixed,2)="1/",uEvaluate(DCC_Leg2_Fixed),         _xll.qDateYears($BN332,$BN333,DCC_Leg2_Fixed)))</f>
        <v>0</v>
      </c>
      <c r="DD332" s="268">
        <f>IF($BN333,_xll.qDateYears($BN332,$BN333,DCC_Leg2_Float),0)</f>
        <v>0</v>
      </c>
      <c r="DF332" s="332">
        <f t="shared" si="159"/>
        <v>0</v>
      </c>
      <c r="DG332" s="357">
        <f t="shared" si="160"/>
        <v>0</v>
      </c>
      <c r="DH332" s="527"/>
      <c r="DJ332" s="324">
        <f t="shared" si="162"/>
        <v>0</v>
      </c>
      <c r="DK332" s="529"/>
      <c r="DL332" s="338"/>
    </row>
    <row r="333" spans="15:116">
      <c r="O333" s="121">
        <v>0</v>
      </c>
      <c r="P333" s="755">
        <f t="shared" si="131"/>
        <v>0</v>
      </c>
      <c r="Q333" s="125">
        <v>0</v>
      </c>
      <c r="R333" s="890">
        <f>IF(O334=0,0,         IF(OR(Currency1="AUD",Currency1="NZD",Currency1="GBP"),O333,   _xll.qDateNext(O333,"-2b",,,IF(Currency1="EUR","TGT","LON"))))</f>
        <v>0</v>
      </c>
      <c r="S333" s="879" t="str">
        <v/>
      </c>
      <c r="T333" s="879" t="str">
        <v/>
      </c>
      <c r="U333" s="879" t="str">
        <v/>
      </c>
      <c r="V333" s="879" t="str">
        <v/>
      </c>
      <c r="W333" s="879" t="str">
        <v/>
      </c>
      <c r="X333" s="879" t="str">
        <v/>
      </c>
      <c r="Y333" s="879" t="str">
        <v/>
      </c>
      <c r="Z333" s="879" t="str">
        <v/>
      </c>
      <c r="AA333" s="882">
        <f>IF($O334=0,0,        _xll.qDateNext($O333,AA$17,$AH$16,TRUE,Currency1))</f>
        <v>0</v>
      </c>
      <c r="AB333" s="882">
        <f>IF($O334=0,0,        _xll.qDateNext($O333,AB$17,$AH$16,TRUE,Currency1))</f>
        <v>0</v>
      </c>
      <c r="AC333" s="882">
        <f>IF($O334=0,0,        _xll.qDateNext($O333,AC$17,$AH$16,TRUE,Currency1))</f>
        <v>0</v>
      </c>
      <c r="AD333" s="882">
        <f>IF($O334=0,0,        _xll.qDateNext($O333,AD$17,$AH$16,TRUE,Currency1))</f>
        <v>0</v>
      </c>
      <c r="AE333" s="882">
        <f>IF($O334=0,0,        _xll.qDateNext($O333,AE$17,$AH$16,TRUE,Currency1))</f>
        <v>0</v>
      </c>
      <c r="AF333" s="882">
        <f>IF($O334=0,0,        _xll.qDateNext($O333,AF$17,$AH$16,TRUE,Currency1))</f>
        <v>0</v>
      </c>
      <c r="AG333" s="882">
        <f>IF($O334=0,0,        _xll.qDateNext($O333,AG$17,$AH$16,TRUE,Currency1))</f>
        <v>0</v>
      </c>
      <c r="AH333" s="882">
        <f>IF($O334=0,0,        _xll.qDateNext($O333,AH$17,$AH$16,TRUE,Currency1))</f>
        <v>0</v>
      </c>
      <c r="AI333" s="886">
        <f>IF($O334=0,0,           IF(FRM,_xll.qGetFwdRate(AI$14,$O333,AA333,"T",DCC_Leg1_Float),_xll.qGetFwdRate(AI$14,$O333,$O334,"T",DCC_Leg1_Float)))</f>
        <v>0</v>
      </c>
      <c r="AJ333" s="886">
        <f>IF($O334=0,0,           IF(FRM,_xll.qGetFwdRate(AJ$14,$O333,AB333,"T",DCC_Leg1_Float),_xll.qGetFwdRate(AJ$14,$O333,$O334,"T",DCC_Leg1_Float)))</f>
        <v>0</v>
      </c>
      <c r="AK333" s="886">
        <f t="shared" si="132"/>
        <v>0</v>
      </c>
      <c r="AL333" s="886">
        <f>IF($O334=0,0,           IF(FRM,_xll.qGetFwdRate(AL$14,$O333,AD333,"T",DCC_Leg1_Float),_xll.qGetFwdRate(AL$14,$O333,$O334,"T",DCC_Leg1_Float)))</f>
        <v>0</v>
      </c>
      <c r="AM333" s="886">
        <f t="shared" si="145"/>
        <v>0</v>
      </c>
      <c r="AN333" s="886">
        <f t="shared" si="146"/>
        <v>0</v>
      </c>
      <c r="AO333" s="886">
        <f>IF($O334=0,0,           IF(FRM,_xll.qGetFwdRate(AO$14,$O333,AG333,"T",DCC_Leg1_Float),_xll.qGetFwdRate(AO$14,$O333,$O334,"T",DCC_Leg1_Float)))</f>
        <v>0</v>
      </c>
      <c r="AP333" s="886">
        <f>IF($O334=0,0,           IF(FRM,_xll.qGetFwdRate(AP$14,$O333,AH333,"T",DCC_Leg1_Float),_xll.qGetFwdRate(AP$14,$O333,$O334,"T",DCC_Leg1_Float)))</f>
        <v>0</v>
      </c>
      <c r="AQ333" s="648">
        <f t="shared" si="147"/>
        <v>0</v>
      </c>
      <c r="AR333" s="648">
        <f t="shared" si="148"/>
        <v>0</v>
      </c>
      <c r="AS333" s="648">
        <f t="shared" si="149"/>
        <v>0</v>
      </c>
      <c r="AT333" s="648">
        <f t="shared" si="150"/>
        <v>0</v>
      </c>
      <c r="AU333" s="648">
        <f t="shared" si="151"/>
        <v>0</v>
      </c>
      <c r="AV333" s="648">
        <f t="shared" si="152"/>
        <v>0</v>
      </c>
      <c r="AW333" s="648">
        <f t="shared" si="153"/>
        <v>0</v>
      </c>
      <c r="AX333" s="648">
        <f t="shared" si="154"/>
        <v>0</v>
      </c>
      <c r="AY333" s="634">
        <v>0</v>
      </c>
      <c r="AZ333" s="616"/>
      <c r="BA333" s="619">
        <f>IF(O334=0,0,             IF(ISNUMBER(AZ333),AZ333,             IF(ISTEXT(AZ333),INDEX(AQ333:AX333,MATCH(AZ333,$AQ$17:$AX$17,0)),           IF(AY333="INT",_xll.qInterp(O334,AA333:AH333,AQ333:AX333),       INDEX(AQ333:AX333,MATCH(AY333,$AQ$17:$AX$17,0))))))</f>
        <v>0</v>
      </c>
      <c r="BB333" s="674">
        <v>100</v>
      </c>
      <c r="BC333" s="666">
        <f t="shared" si="133"/>
        <v>0</v>
      </c>
      <c r="BD333" s="268">
        <f>IF($O334=0,0,                IF(LEFT(DCC_Leg1_Fixed,2)="1/",uEvaluate(DCC_Leg1_Fixed),        _xll.qDateYears($O333,$O334,DCC_Leg1_Fixed)))</f>
        <v>0</v>
      </c>
      <c r="BE333" s="268">
        <f>IF($O334,_xll.qDateYears($O333,$O334,DCC_Leg1_Float),0)</f>
        <v>0</v>
      </c>
      <c r="BG333" s="332">
        <f t="shared" si="155"/>
        <v>0</v>
      </c>
      <c r="BH333" s="357">
        <f t="shared" si="156"/>
        <v>0</v>
      </c>
      <c r="BI333" s="527"/>
      <c r="BK333" s="324">
        <f t="shared" si="161"/>
        <v>0</v>
      </c>
      <c r="BM333" s="338"/>
      <c r="BN333" s="121">
        <v>0</v>
      </c>
      <c r="BO333" s="755">
        <f t="shared" si="134"/>
        <v>0</v>
      </c>
      <c r="BP333" s="339">
        <v>0</v>
      </c>
      <c r="BQ333" s="890">
        <f>IF(BN334=0,0,         IF(OR(Currency2="AUD",Currency1="NZD",Currency2="GBP"),BN333,   _xll.qDateNext(BN333,"-2b",,,IF(Currency2="EUR","TGT","LON"))))</f>
        <v>0</v>
      </c>
      <c r="BR333" s="879" t="str">
        <v/>
      </c>
      <c r="BS333" s="879" t="str">
        <v/>
      </c>
      <c r="BT333" s="879" t="str">
        <v/>
      </c>
      <c r="BU333" s="879" t="str">
        <v/>
      </c>
      <c r="BV333" s="879" t="str">
        <v/>
      </c>
      <c r="BW333" s="879" t="str">
        <v/>
      </c>
      <c r="BX333" s="879" t="str">
        <v/>
      </c>
      <c r="BY333" s="879" t="str">
        <v/>
      </c>
      <c r="BZ333" s="882">
        <f>IF($BN334=0,0,        _xll.qDateNext($BN333,BZ$17,$CG$16,TRUE,Currency2))</f>
        <v>0</v>
      </c>
      <c r="CA333" s="882">
        <f>IF($BN334=0,0,        _xll.qDateNext($BN333,CA$17,$CG$16,TRUE,Currency2))</f>
        <v>0</v>
      </c>
      <c r="CB333" s="882">
        <f>IF($BN334=0,0,        _xll.qDateNext($BN333,CB$17,$CG$16,TRUE,Currency2))</f>
        <v>0</v>
      </c>
      <c r="CC333" s="882">
        <f>IF($BN334=0,0,        _xll.qDateNext($BN333,CC$17,$CG$16,TRUE,Currency2))</f>
        <v>0</v>
      </c>
      <c r="CD333" s="882">
        <f>IF($BN334=0,0,        _xll.qDateNext($BN333,CD$17,$CG$16,TRUE,Currency2))</f>
        <v>0</v>
      </c>
      <c r="CE333" s="882">
        <f>IF($BN334=0,0,        _xll.qDateNext($BN333,CE$17,$CG$16,TRUE,Currency2))</f>
        <v>0</v>
      </c>
      <c r="CF333" s="882">
        <f>IF($BN334=0,0,        _xll.qDateNext($BN333,CF$17,$CG$16,TRUE,Currency2))</f>
        <v>0</v>
      </c>
      <c r="CG333" s="882">
        <f>IF($BN334=0,0,        _xll.qDateNext($BN333,CG$17,$CG$16,TRUE,Currency2))</f>
        <v>0</v>
      </c>
      <c r="CH333" s="886">
        <v>0</v>
      </c>
      <c r="CI333" s="886">
        <v>0</v>
      </c>
      <c r="CJ333" s="886">
        <v>0</v>
      </c>
      <c r="CK333" s="886">
        <v>0</v>
      </c>
      <c r="CL333" s="886">
        <f t="shared" si="157"/>
        <v>0</v>
      </c>
      <c r="CM333" s="886">
        <f t="shared" si="158"/>
        <v>0</v>
      </c>
      <c r="CN333" s="886">
        <v>0</v>
      </c>
      <c r="CO333" s="886">
        <v>0</v>
      </c>
      <c r="CP333" s="648">
        <f t="shared" si="135"/>
        <v>0</v>
      </c>
      <c r="CQ333" s="648">
        <f t="shared" si="136"/>
        <v>0</v>
      </c>
      <c r="CR333" s="648">
        <f t="shared" si="137"/>
        <v>0</v>
      </c>
      <c r="CS333" s="648">
        <f t="shared" si="138"/>
        <v>0</v>
      </c>
      <c r="CT333" s="648">
        <f t="shared" si="139"/>
        <v>0</v>
      </c>
      <c r="CU333" s="648">
        <f t="shared" si="140"/>
        <v>0</v>
      </c>
      <c r="CV333" s="648">
        <f t="shared" si="141"/>
        <v>0</v>
      </c>
      <c r="CW333" s="648">
        <f t="shared" si="142"/>
        <v>0</v>
      </c>
      <c r="CX333" s="634">
        <v>0</v>
      </c>
      <c r="CY333" s="616"/>
      <c r="CZ333" s="619">
        <f>IF(BN334=0,0,             IF(ISNUMBER(CY333),CY333,             IF(ISTEXT(CY333),INDEX(CP333:CW333,MATCH(CY333,$CP$17:$CW$17,0)),           IF(CX333="INT",_xll.qInterp(BN334,BZ333:CG333,CP333:CW333),       INDEX(CP333:CW333,MATCH(CX333,$CP$17:$CW$17,0))))))</f>
        <v>0</v>
      </c>
      <c r="DA333" s="755">
        <f t="shared" si="143"/>
        <v>0</v>
      </c>
      <c r="DB333" s="387">
        <f t="shared" si="144"/>
        <v>0</v>
      </c>
      <c r="DC333" s="268">
        <f>IF($BN334=0,0,         IF(LEFT(DCC_Leg2_Fixed,2)="1/",uEvaluate(DCC_Leg2_Fixed),         _xll.qDateYears($BN333,$BN334,DCC_Leg2_Fixed)))</f>
        <v>0</v>
      </c>
      <c r="DD333" s="268">
        <f>IF($BN334,_xll.qDateYears($BN333,$BN334,DCC_Leg2_Float),0)</f>
        <v>0</v>
      </c>
      <c r="DF333" s="332">
        <f t="shared" si="159"/>
        <v>0</v>
      </c>
      <c r="DG333" s="357">
        <f t="shared" si="160"/>
        <v>0</v>
      </c>
      <c r="DH333" s="527"/>
      <c r="DJ333" s="324">
        <f t="shared" si="162"/>
        <v>0</v>
      </c>
      <c r="DK333" s="529"/>
      <c r="DL333" s="338"/>
    </row>
    <row r="334" spans="15:116">
      <c r="O334" s="121">
        <v>0</v>
      </c>
      <c r="P334" s="755">
        <f t="shared" si="131"/>
        <v>0</v>
      </c>
      <c r="Q334" s="125">
        <v>0</v>
      </c>
      <c r="R334" s="890">
        <f>IF(O335=0,0,         IF(OR(Currency1="AUD",Currency1="NZD",Currency1="GBP"),O334,   _xll.qDateNext(O334,"-2b",,,IF(Currency1="EUR","TGT","LON"))))</f>
        <v>0</v>
      </c>
      <c r="S334" s="879" t="str">
        <v/>
      </c>
      <c r="T334" s="879" t="str">
        <v/>
      </c>
      <c r="U334" s="879" t="str">
        <v/>
      </c>
      <c r="V334" s="879" t="str">
        <v/>
      </c>
      <c r="W334" s="879" t="str">
        <v/>
      </c>
      <c r="X334" s="879" t="str">
        <v/>
      </c>
      <c r="Y334" s="879" t="str">
        <v/>
      </c>
      <c r="Z334" s="879" t="str">
        <v/>
      </c>
      <c r="AA334" s="882">
        <f>IF($O335=0,0,        _xll.qDateNext($O334,AA$17,$AH$16,TRUE,Currency1))</f>
        <v>0</v>
      </c>
      <c r="AB334" s="882">
        <f>IF($O335=0,0,        _xll.qDateNext($O334,AB$17,$AH$16,TRUE,Currency1))</f>
        <v>0</v>
      </c>
      <c r="AC334" s="882">
        <f>IF($O335=0,0,        _xll.qDateNext($O334,AC$17,$AH$16,TRUE,Currency1))</f>
        <v>0</v>
      </c>
      <c r="AD334" s="882">
        <f>IF($O335=0,0,        _xll.qDateNext($O334,AD$17,$AH$16,TRUE,Currency1))</f>
        <v>0</v>
      </c>
      <c r="AE334" s="882">
        <f>IF($O335=0,0,        _xll.qDateNext($O334,AE$17,$AH$16,TRUE,Currency1))</f>
        <v>0</v>
      </c>
      <c r="AF334" s="882">
        <f>IF($O335=0,0,        _xll.qDateNext($O334,AF$17,$AH$16,TRUE,Currency1))</f>
        <v>0</v>
      </c>
      <c r="AG334" s="882">
        <f>IF($O335=0,0,        _xll.qDateNext($O334,AG$17,$AH$16,TRUE,Currency1))</f>
        <v>0</v>
      </c>
      <c r="AH334" s="882">
        <f>IF($O335=0,0,        _xll.qDateNext($O334,AH$17,$AH$16,TRUE,Currency1))</f>
        <v>0</v>
      </c>
      <c r="AI334" s="886">
        <f>IF($O335=0,0,           IF(FRM,_xll.qGetFwdRate(AI$14,$O334,AA334,"T",DCC_Leg1_Float),_xll.qGetFwdRate(AI$14,$O334,$O335,"T",DCC_Leg1_Float)))</f>
        <v>0</v>
      </c>
      <c r="AJ334" s="886">
        <f>IF($O335=0,0,           IF(FRM,_xll.qGetFwdRate(AJ$14,$O334,AB334,"T",DCC_Leg1_Float),_xll.qGetFwdRate(AJ$14,$O334,$O335,"T",DCC_Leg1_Float)))</f>
        <v>0</v>
      </c>
      <c r="AK334" s="886">
        <f t="shared" si="132"/>
        <v>0</v>
      </c>
      <c r="AL334" s="886">
        <f>IF($O335=0,0,           IF(FRM,_xll.qGetFwdRate(AL$14,$O334,AD334,"T",DCC_Leg1_Float),_xll.qGetFwdRate(AL$14,$O334,$O335,"T",DCC_Leg1_Float)))</f>
        <v>0</v>
      </c>
      <c r="AM334" s="886">
        <f t="shared" si="145"/>
        <v>0</v>
      </c>
      <c r="AN334" s="886">
        <f t="shared" si="146"/>
        <v>0</v>
      </c>
      <c r="AO334" s="886">
        <f>IF($O335=0,0,           IF(FRM,_xll.qGetFwdRate(AO$14,$O334,AG334,"T",DCC_Leg1_Float),_xll.qGetFwdRate(AO$14,$O334,$O335,"T",DCC_Leg1_Float)))</f>
        <v>0</v>
      </c>
      <c r="AP334" s="886">
        <f>IF($O335=0,0,           IF(FRM,_xll.qGetFwdRate(AP$14,$O334,AH334,"T",DCC_Leg1_Float),_xll.qGetFwdRate(AP$14,$O334,$O335,"T",DCC_Leg1_Float)))</f>
        <v>0</v>
      </c>
      <c r="AQ334" s="648">
        <f t="shared" si="147"/>
        <v>0</v>
      </c>
      <c r="AR334" s="648">
        <f t="shared" si="148"/>
        <v>0</v>
      </c>
      <c r="AS334" s="648">
        <f t="shared" si="149"/>
        <v>0</v>
      </c>
      <c r="AT334" s="648">
        <f t="shared" si="150"/>
        <v>0</v>
      </c>
      <c r="AU334" s="648">
        <f t="shared" si="151"/>
        <v>0</v>
      </c>
      <c r="AV334" s="648">
        <f t="shared" si="152"/>
        <v>0</v>
      </c>
      <c r="AW334" s="648">
        <f t="shared" si="153"/>
        <v>0</v>
      </c>
      <c r="AX334" s="648">
        <f t="shared" si="154"/>
        <v>0</v>
      </c>
      <c r="AY334" s="634">
        <v>0</v>
      </c>
      <c r="AZ334" s="616"/>
      <c r="BA334" s="619">
        <f>IF(O335=0,0,             IF(ISNUMBER(AZ334),AZ334,             IF(ISTEXT(AZ334),INDEX(AQ334:AX334,MATCH(AZ334,$AQ$17:$AX$17,0)),           IF(AY334="INT",_xll.qInterp(O335,AA334:AH334,AQ334:AX334),       INDEX(AQ334:AX334,MATCH(AY334,$AQ$17:$AX$17,0))))))</f>
        <v>0</v>
      </c>
      <c r="BB334" s="674">
        <v>100</v>
      </c>
      <c r="BC334" s="666">
        <f t="shared" si="133"/>
        <v>0</v>
      </c>
      <c r="BD334" s="268">
        <f>IF($O335=0,0,                IF(LEFT(DCC_Leg1_Fixed,2)="1/",uEvaluate(DCC_Leg1_Fixed),        _xll.qDateYears($O334,$O335,DCC_Leg1_Fixed)))</f>
        <v>0</v>
      </c>
      <c r="BE334" s="268">
        <f>IF($O335,_xll.qDateYears($O334,$O335,DCC_Leg1_Float),0)</f>
        <v>0</v>
      </c>
      <c r="BG334" s="332">
        <f t="shared" si="155"/>
        <v>0</v>
      </c>
      <c r="BH334" s="357">
        <f t="shared" si="156"/>
        <v>0</v>
      </c>
      <c r="BI334" s="527"/>
      <c r="BK334" s="324">
        <f t="shared" si="161"/>
        <v>0</v>
      </c>
      <c r="BM334" s="338"/>
      <c r="BN334" s="121">
        <v>0</v>
      </c>
      <c r="BO334" s="755">
        <f t="shared" si="134"/>
        <v>0</v>
      </c>
      <c r="BP334" s="339">
        <v>0</v>
      </c>
      <c r="BQ334" s="890">
        <f>IF(BN335=0,0,         IF(OR(Currency2="AUD",Currency1="NZD",Currency2="GBP"),BN334,   _xll.qDateNext(BN334,"-2b",,,IF(Currency2="EUR","TGT","LON"))))</f>
        <v>0</v>
      </c>
      <c r="BR334" s="879" t="str">
        <v/>
      </c>
      <c r="BS334" s="879" t="str">
        <v/>
      </c>
      <c r="BT334" s="879" t="str">
        <v/>
      </c>
      <c r="BU334" s="879" t="str">
        <v/>
      </c>
      <c r="BV334" s="879" t="str">
        <v/>
      </c>
      <c r="BW334" s="879" t="str">
        <v/>
      </c>
      <c r="BX334" s="879" t="str">
        <v/>
      </c>
      <c r="BY334" s="879" t="str">
        <v/>
      </c>
      <c r="BZ334" s="882">
        <f>IF($BN335=0,0,        _xll.qDateNext($BN334,BZ$17,$CG$16,TRUE,Currency2))</f>
        <v>0</v>
      </c>
      <c r="CA334" s="882">
        <f>IF($BN335=0,0,        _xll.qDateNext($BN334,CA$17,$CG$16,TRUE,Currency2))</f>
        <v>0</v>
      </c>
      <c r="CB334" s="882">
        <f>IF($BN335=0,0,        _xll.qDateNext($BN334,CB$17,$CG$16,TRUE,Currency2))</f>
        <v>0</v>
      </c>
      <c r="CC334" s="882">
        <f>IF($BN335=0,0,        _xll.qDateNext($BN334,CC$17,$CG$16,TRUE,Currency2))</f>
        <v>0</v>
      </c>
      <c r="CD334" s="882">
        <f>IF($BN335=0,0,        _xll.qDateNext($BN334,CD$17,$CG$16,TRUE,Currency2))</f>
        <v>0</v>
      </c>
      <c r="CE334" s="882">
        <f>IF($BN335=0,0,        _xll.qDateNext($BN334,CE$17,$CG$16,TRUE,Currency2))</f>
        <v>0</v>
      </c>
      <c r="CF334" s="882">
        <f>IF($BN335=0,0,        _xll.qDateNext($BN334,CF$17,$CG$16,TRUE,Currency2))</f>
        <v>0</v>
      </c>
      <c r="CG334" s="882">
        <f>IF($BN335=0,0,        _xll.qDateNext($BN334,CG$17,$CG$16,TRUE,Currency2))</f>
        <v>0</v>
      </c>
      <c r="CH334" s="886">
        <v>0</v>
      </c>
      <c r="CI334" s="886">
        <v>0</v>
      </c>
      <c r="CJ334" s="886">
        <v>0</v>
      </c>
      <c r="CK334" s="886">
        <v>0</v>
      </c>
      <c r="CL334" s="886">
        <f t="shared" si="157"/>
        <v>0</v>
      </c>
      <c r="CM334" s="886">
        <f t="shared" si="158"/>
        <v>0</v>
      </c>
      <c r="CN334" s="886">
        <v>0</v>
      </c>
      <c r="CO334" s="886">
        <v>0</v>
      </c>
      <c r="CP334" s="648">
        <f t="shared" si="135"/>
        <v>0</v>
      </c>
      <c r="CQ334" s="648">
        <f t="shared" si="136"/>
        <v>0</v>
      </c>
      <c r="CR334" s="648">
        <f t="shared" si="137"/>
        <v>0</v>
      </c>
      <c r="CS334" s="648">
        <f t="shared" si="138"/>
        <v>0</v>
      </c>
      <c r="CT334" s="648">
        <f t="shared" si="139"/>
        <v>0</v>
      </c>
      <c r="CU334" s="648">
        <f t="shared" si="140"/>
        <v>0</v>
      </c>
      <c r="CV334" s="648">
        <f t="shared" si="141"/>
        <v>0</v>
      </c>
      <c r="CW334" s="648">
        <f t="shared" si="142"/>
        <v>0</v>
      </c>
      <c r="CX334" s="634">
        <v>0</v>
      </c>
      <c r="CY334" s="616"/>
      <c r="CZ334" s="619">
        <f>IF(BN335=0,0,             IF(ISNUMBER(CY334),CY334,             IF(ISTEXT(CY334),INDEX(CP334:CW334,MATCH(CY334,$CP$17:$CW$17,0)),           IF(CX334="INT",_xll.qInterp(BN335,BZ334:CG334,CP334:CW334),       INDEX(CP334:CW334,MATCH(CX334,$CP$17:$CW$17,0))))))</f>
        <v>0</v>
      </c>
      <c r="DA334" s="755">
        <f t="shared" si="143"/>
        <v>0</v>
      </c>
      <c r="DB334" s="387">
        <f t="shared" si="144"/>
        <v>0</v>
      </c>
      <c r="DC334" s="268">
        <f>IF($BN335=0,0,         IF(LEFT(DCC_Leg2_Fixed,2)="1/",uEvaluate(DCC_Leg2_Fixed),         _xll.qDateYears($BN334,$BN335,DCC_Leg2_Fixed)))</f>
        <v>0</v>
      </c>
      <c r="DD334" s="268">
        <f>IF($BN335,_xll.qDateYears($BN334,$BN335,DCC_Leg2_Float),0)</f>
        <v>0</v>
      </c>
      <c r="DF334" s="332">
        <f t="shared" si="159"/>
        <v>0</v>
      </c>
      <c r="DG334" s="357">
        <f t="shared" si="160"/>
        <v>0</v>
      </c>
      <c r="DH334" s="527"/>
      <c r="DJ334" s="324">
        <f t="shared" si="162"/>
        <v>0</v>
      </c>
      <c r="DK334" s="529"/>
      <c r="DL334" s="338"/>
    </row>
    <row r="335" spans="15:116">
      <c r="O335" s="121">
        <v>0</v>
      </c>
      <c r="P335" s="755">
        <f t="shared" si="131"/>
        <v>0</v>
      </c>
      <c r="Q335" s="125">
        <v>0</v>
      </c>
      <c r="R335" s="890">
        <f>IF(O336=0,0,         IF(OR(Currency1="AUD",Currency1="NZD",Currency1="GBP"),O335,   _xll.qDateNext(O335,"-2b",,,IF(Currency1="EUR","TGT","LON"))))</f>
        <v>0</v>
      </c>
      <c r="S335" s="879" t="str">
        <v/>
      </c>
      <c r="T335" s="879" t="str">
        <v/>
      </c>
      <c r="U335" s="879" t="str">
        <v/>
      </c>
      <c r="V335" s="879" t="str">
        <v/>
      </c>
      <c r="W335" s="879" t="str">
        <v/>
      </c>
      <c r="X335" s="879" t="str">
        <v/>
      </c>
      <c r="Y335" s="879" t="str">
        <v/>
      </c>
      <c r="Z335" s="879" t="str">
        <v/>
      </c>
      <c r="AA335" s="882">
        <f>IF($O336=0,0,        _xll.qDateNext($O335,AA$17,$AH$16,TRUE,Currency1))</f>
        <v>0</v>
      </c>
      <c r="AB335" s="882">
        <f>IF($O336=0,0,        _xll.qDateNext($O335,AB$17,$AH$16,TRUE,Currency1))</f>
        <v>0</v>
      </c>
      <c r="AC335" s="882">
        <f>IF($O336=0,0,        _xll.qDateNext($O335,AC$17,$AH$16,TRUE,Currency1))</f>
        <v>0</v>
      </c>
      <c r="AD335" s="882">
        <f>IF($O336=0,0,        _xll.qDateNext($O335,AD$17,$AH$16,TRUE,Currency1))</f>
        <v>0</v>
      </c>
      <c r="AE335" s="882">
        <f>IF($O336=0,0,        _xll.qDateNext($O335,AE$17,$AH$16,TRUE,Currency1))</f>
        <v>0</v>
      </c>
      <c r="AF335" s="882">
        <f>IF($O336=0,0,        _xll.qDateNext($O335,AF$17,$AH$16,TRUE,Currency1))</f>
        <v>0</v>
      </c>
      <c r="AG335" s="882">
        <f>IF($O336=0,0,        _xll.qDateNext($O335,AG$17,$AH$16,TRUE,Currency1))</f>
        <v>0</v>
      </c>
      <c r="AH335" s="882">
        <f>IF($O336=0,0,        _xll.qDateNext($O335,AH$17,$AH$16,TRUE,Currency1))</f>
        <v>0</v>
      </c>
      <c r="AI335" s="886">
        <f>IF($O336=0,0,           IF(FRM,_xll.qGetFwdRate(AI$14,$O335,AA335,"T",DCC_Leg1_Float),_xll.qGetFwdRate(AI$14,$O335,$O336,"T",DCC_Leg1_Float)))</f>
        <v>0</v>
      </c>
      <c r="AJ335" s="886">
        <f>IF($O336=0,0,           IF(FRM,_xll.qGetFwdRate(AJ$14,$O335,AB335,"T",DCC_Leg1_Float),_xll.qGetFwdRate(AJ$14,$O335,$O336,"T",DCC_Leg1_Float)))</f>
        <v>0</v>
      </c>
      <c r="AK335" s="886">
        <f t="shared" si="132"/>
        <v>0</v>
      </c>
      <c r="AL335" s="886">
        <f>IF($O336=0,0,           IF(FRM,_xll.qGetFwdRate(AL$14,$O335,AD335,"T",DCC_Leg1_Float),_xll.qGetFwdRate(AL$14,$O335,$O336,"T",DCC_Leg1_Float)))</f>
        <v>0</v>
      </c>
      <c r="AM335" s="886">
        <f t="shared" si="145"/>
        <v>0</v>
      </c>
      <c r="AN335" s="886">
        <f t="shared" si="146"/>
        <v>0</v>
      </c>
      <c r="AO335" s="886">
        <f>IF($O336=0,0,           IF(FRM,_xll.qGetFwdRate(AO$14,$O335,AG335,"T",DCC_Leg1_Float),_xll.qGetFwdRate(AO$14,$O335,$O336,"T",DCC_Leg1_Float)))</f>
        <v>0</v>
      </c>
      <c r="AP335" s="886">
        <f>IF($O336=0,0,           IF(FRM,_xll.qGetFwdRate(AP$14,$O335,AH335,"T",DCC_Leg1_Float),_xll.qGetFwdRate(AP$14,$O335,$O336,"T",DCC_Leg1_Float)))</f>
        <v>0</v>
      </c>
      <c r="AQ335" s="648">
        <f t="shared" si="147"/>
        <v>0</v>
      </c>
      <c r="AR335" s="648">
        <f t="shared" si="148"/>
        <v>0</v>
      </c>
      <c r="AS335" s="648">
        <f t="shared" si="149"/>
        <v>0</v>
      </c>
      <c r="AT335" s="648">
        <f t="shared" si="150"/>
        <v>0</v>
      </c>
      <c r="AU335" s="648">
        <f t="shared" si="151"/>
        <v>0</v>
      </c>
      <c r="AV335" s="648">
        <f t="shared" si="152"/>
        <v>0</v>
      </c>
      <c r="AW335" s="648">
        <f t="shared" si="153"/>
        <v>0</v>
      </c>
      <c r="AX335" s="648">
        <f t="shared" si="154"/>
        <v>0</v>
      </c>
      <c r="AY335" s="634">
        <v>0</v>
      </c>
      <c r="AZ335" s="616"/>
      <c r="BA335" s="619">
        <f>IF(O336=0,0,             IF(ISNUMBER(AZ335),AZ335,             IF(ISTEXT(AZ335),INDEX(AQ335:AX335,MATCH(AZ335,$AQ$17:$AX$17,0)),           IF(AY335="INT",_xll.qInterp(O336,AA335:AH335,AQ335:AX335),       INDEX(AQ335:AX335,MATCH(AY335,$AQ$17:$AX$17,0))))))</f>
        <v>0</v>
      </c>
      <c r="BB335" s="674">
        <v>100</v>
      </c>
      <c r="BC335" s="666">
        <f t="shared" si="133"/>
        <v>0</v>
      </c>
      <c r="BD335" s="268">
        <f>IF($O336=0,0,                IF(LEFT(DCC_Leg1_Fixed,2)="1/",uEvaluate(DCC_Leg1_Fixed),        _xll.qDateYears($O335,$O336,DCC_Leg1_Fixed)))</f>
        <v>0</v>
      </c>
      <c r="BE335" s="268">
        <f>IF($O336,_xll.qDateYears($O335,$O336,DCC_Leg1_Float),0)</f>
        <v>0</v>
      </c>
      <c r="BG335" s="332">
        <f t="shared" si="155"/>
        <v>0</v>
      </c>
      <c r="BH335" s="357">
        <f t="shared" si="156"/>
        <v>0</v>
      </c>
      <c r="BI335" s="527"/>
      <c r="BK335" s="324">
        <f t="shared" si="161"/>
        <v>0</v>
      </c>
      <c r="BM335" s="338"/>
      <c r="BN335" s="121">
        <v>0</v>
      </c>
      <c r="BO335" s="755">
        <f t="shared" si="134"/>
        <v>0</v>
      </c>
      <c r="BP335" s="339">
        <v>0</v>
      </c>
      <c r="BQ335" s="890">
        <f>IF(BN336=0,0,         IF(OR(Currency2="AUD",Currency1="NZD",Currency2="GBP"),BN335,   _xll.qDateNext(BN335,"-2b",,,IF(Currency2="EUR","TGT","LON"))))</f>
        <v>0</v>
      </c>
      <c r="BR335" s="879" t="str">
        <v/>
      </c>
      <c r="BS335" s="879" t="str">
        <v/>
      </c>
      <c r="BT335" s="879" t="str">
        <v/>
      </c>
      <c r="BU335" s="879" t="str">
        <v/>
      </c>
      <c r="BV335" s="879" t="str">
        <v/>
      </c>
      <c r="BW335" s="879" t="str">
        <v/>
      </c>
      <c r="BX335" s="879" t="str">
        <v/>
      </c>
      <c r="BY335" s="879" t="str">
        <v/>
      </c>
      <c r="BZ335" s="882">
        <f>IF($BN336=0,0,        _xll.qDateNext($BN335,BZ$17,$CG$16,TRUE,Currency2))</f>
        <v>0</v>
      </c>
      <c r="CA335" s="882">
        <f>IF($BN336=0,0,        _xll.qDateNext($BN335,CA$17,$CG$16,TRUE,Currency2))</f>
        <v>0</v>
      </c>
      <c r="CB335" s="882">
        <f>IF($BN336=0,0,        _xll.qDateNext($BN335,CB$17,$CG$16,TRUE,Currency2))</f>
        <v>0</v>
      </c>
      <c r="CC335" s="882">
        <f>IF($BN336=0,0,        _xll.qDateNext($BN335,CC$17,$CG$16,TRUE,Currency2))</f>
        <v>0</v>
      </c>
      <c r="CD335" s="882">
        <f>IF($BN336=0,0,        _xll.qDateNext($BN335,CD$17,$CG$16,TRUE,Currency2))</f>
        <v>0</v>
      </c>
      <c r="CE335" s="882">
        <f>IF($BN336=0,0,        _xll.qDateNext($BN335,CE$17,$CG$16,TRUE,Currency2))</f>
        <v>0</v>
      </c>
      <c r="CF335" s="882">
        <f>IF($BN336=0,0,        _xll.qDateNext($BN335,CF$17,$CG$16,TRUE,Currency2))</f>
        <v>0</v>
      </c>
      <c r="CG335" s="882">
        <f>IF($BN336=0,0,        _xll.qDateNext($BN335,CG$17,$CG$16,TRUE,Currency2))</f>
        <v>0</v>
      </c>
      <c r="CH335" s="886">
        <v>0</v>
      </c>
      <c r="CI335" s="886">
        <v>0</v>
      </c>
      <c r="CJ335" s="886">
        <v>0</v>
      </c>
      <c r="CK335" s="886">
        <v>0</v>
      </c>
      <c r="CL335" s="886">
        <f t="shared" si="157"/>
        <v>0</v>
      </c>
      <c r="CM335" s="886">
        <f t="shared" si="158"/>
        <v>0</v>
      </c>
      <c r="CN335" s="886">
        <v>0</v>
      </c>
      <c r="CO335" s="886">
        <v>0</v>
      </c>
      <c r="CP335" s="648">
        <f t="shared" si="135"/>
        <v>0</v>
      </c>
      <c r="CQ335" s="648">
        <f t="shared" si="136"/>
        <v>0</v>
      </c>
      <c r="CR335" s="648">
        <f t="shared" si="137"/>
        <v>0</v>
      </c>
      <c r="CS335" s="648">
        <f t="shared" si="138"/>
        <v>0</v>
      </c>
      <c r="CT335" s="648">
        <f t="shared" si="139"/>
        <v>0</v>
      </c>
      <c r="CU335" s="648">
        <f t="shared" si="140"/>
        <v>0</v>
      </c>
      <c r="CV335" s="648">
        <f t="shared" si="141"/>
        <v>0</v>
      </c>
      <c r="CW335" s="648">
        <f t="shared" si="142"/>
        <v>0</v>
      </c>
      <c r="CX335" s="634">
        <v>0</v>
      </c>
      <c r="CY335" s="616"/>
      <c r="CZ335" s="619">
        <f>IF(BN336=0,0,             IF(ISNUMBER(CY335),CY335,             IF(ISTEXT(CY335),INDEX(CP335:CW335,MATCH(CY335,$CP$17:$CW$17,0)),           IF(CX335="INT",_xll.qInterp(BN336,BZ335:CG335,CP335:CW335),       INDEX(CP335:CW335,MATCH(CX335,$CP$17:$CW$17,0))))))</f>
        <v>0</v>
      </c>
      <c r="DA335" s="755">
        <f t="shared" si="143"/>
        <v>0</v>
      </c>
      <c r="DB335" s="387">
        <f t="shared" si="144"/>
        <v>0</v>
      </c>
      <c r="DC335" s="268">
        <f>IF($BN336=0,0,         IF(LEFT(DCC_Leg2_Fixed,2)="1/",uEvaluate(DCC_Leg2_Fixed),         _xll.qDateYears($BN335,$BN336,DCC_Leg2_Fixed)))</f>
        <v>0</v>
      </c>
      <c r="DD335" s="268">
        <f>IF($BN336,_xll.qDateYears($BN335,$BN336,DCC_Leg2_Float),0)</f>
        <v>0</v>
      </c>
      <c r="DF335" s="332">
        <f t="shared" si="159"/>
        <v>0</v>
      </c>
      <c r="DG335" s="357">
        <f t="shared" si="160"/>
        <v>0</v>
      </c>
      <c r="DH335" s="527"/>
      <c r="DJ335" s="324">
        <f t="shared" si="162"/>
        <v>0</v>
      </c>
      <c r="DK335" s="529"/>
      <c r="DL335" s="338"/>
    </row>
    <row r="336" spans="15:116">
      <c r="O336" s="121">
        <v>0</v>
      </c>
      <c r="P336" s="755">
        <f t="shared" si="131"/>
        <v>0</v>
      </c>
      <c r="Q336" s="125">
        <v>0</v>
      </c>
      <c r="R336" s="890">
        <f>IF(O337=0,0,         IF(OR(Currency1="AUD",Currency1="NZD",Currency1="GBP"),O336,   _xll.qDateNext(O336,"-2b",,,IF(Currency1="EUR","TGT","LON"))))</f>
        <v>0</v>
      </c>
      <c r="S336" s="879" t="str">
        <v/>
      </c>
      <c r="T336" s="879" t="str">
        <v/>
      </c>
      <c r="U336" s="879" t="str">
        <v/>
      </c>
      <c r="V336" s="879" t="str">
        <v/>
      </c>
      <c r="W336" s="879" t="str">
        <v/>
      </c>
      <c r="X336" s="879" t="str">
        <v/>
      </c>
      <c r="Y336" s="879" t="str">
        <v/>
      </c>
      <c r="Z336" s="879" t="str">
        <v/>
      </c>
      <c r="AA336" s="882">
        <f>IF($O337=0,0,        _xll.qDateNext($O336,AA$17,$AH$16,TRUE,Currency1))</f>
        <v>0</v>
      </c>
      <c r="AB336" s="882">
        <f>IF($O337=0,0,        _xll.qDateNext($O336,AB$17,$AH$16,TRUE,Currency1))</f>
        <v>0</v>
      </c>
      <c r="AC336" s="882">
        <f>IF($O337=0,0,        _xll.qDateNext($O336,AC$17,$AH$16,TRUE,Currency1))</f>
        <v>0</v>
      </c>
      <c r="AD336" s="882">
        <f>IF($O337=0,0,        _xll.qDateNext($O336,AD$17,$AH$16,TRUE,Currency1))</f>
        <v>0</v>
      </c>
      <c r="AE336" s="882">
        <f>IF($O337=0,0,        _xll.qDateNext($O336,AE$17,$AH$16,TRUE,Currency1))</f>
        <v>0</v>
      </c>
      <c r="AF336" s="882">
        <f>IF($O337=0,0,        _xll.qDateNext($O336,AF$17,$AH$16,TRUE,Currency1))</f>
        <v>0</v>
      </c>
      <c r="AG336" s="882">
        <f>IF($O337=0,0,        _xll.qDateNext($O336,AG$17,$AH$16,TRUE,Currency1))</f>
        <v>0</v>
      </c>
      <c r="AH336" s="882">
        <f>IF($O337=0,0,        _xll.qDateNext($O336,AH$17,$AH$16,TRUE,Currency1))</f>
        <v>0</v>
      </c>
      <c r="AI336" s="886">
        <f>IF($O337=0,0,           IF(FRM,_xll.qGetFwdRate(AI$14,$O336,AA336,"T",DCC_Leg1_Float),_xll.qGetFwdRate(AI$14,$O336,$O337,"T",DCC_Leg1_Float)))</f>
        <v>0</v>
      </c>
      <c r="AJ336" s="886">
        <f>IF($O337=0,0,           IF(FRM,_xll.qGetFwdRate(AJ$14,$O336,AB336,"T",DCC_Leg1_Float),_xll.qGetFwdRate(AJ$14,$O336,$O337,"T",DCC_Leg1_Float)))</f>
        <v>0</v>
      </c>
      <c r="AK336" s="886">
        <f t="shared" si="132"/>
        <v>0</v>
      </c>
      <c r="AL336" s="886">
        <f>IF($O337=0,0,           IF(FRM,_xll.qGetFwdRate(AL$14,$O336,AD336,"T",DCC_Leg1_Float),_xll.qGetFwdRate(AL$14,$O336,$O337,"T",DCC_Leg1_Float)))</f>
        <v>0</v>
      </c>
      <c r="AM336" s="886">
        <f t="shared" si="145"/>
        <v>0</v>
      </c>
      <c r="AN336" s="886">
        <f t="shared" si="146"/>
        <v>0</v>
      </c>
      <c r="AO336" s="886">
        <f>IF($O337=0,0,           IF(FRM,_xll.qGetFwdRate(AO$14,$O336,AG336,"T",DCC_Leg1_Float),_xll.qGetFwdRate(AO$14,$O336,$O337,"T",DCC_Leg1_Float)))</f>
        <v>0</v>
      </c>
      <c r="AP336" s="886">
        <f>IF($O337=0,0,           IF(FRM,_xll.qGetFwdRate(AP$14,$O336,AH336,"T",DCC_Leg1_Float),_xll.qGetFwdRate(AP$14,$O336,$O337,"T",DCC_Leg1_Float)))</f>
        <v>0</v>
      </c>
      <c r="AQ336" s="648">
        <f t="shared" si="147"/>
        <v>0</v>
      </c>
      <c r="AR336" s="648">
        <f t="shared" si="148"/>
        <v>0</v>
      </c>
      <c r="AS336" s="648">
        <f t="shared" si="149"/>
        <v>0</v>
      </c>
      <c r="AT336" s="648">
        <f t="shared" si="150"/>
        <v>0</v>
      </c>
      <c r="AU336" s="648">
        <f t="shared" si="151"/>
        <v>0</v>
      </c>
      <c r="AV336" s="648">
        <f t="shared" si="152"/>
        <v>0</v>
      </c>
      <c r="AW336" s="648">
        <f t="shared" si="153"/>
        <v>0</v>
      </c>
      <c r="AX336" s="648">
        <f t="shared" si="154"/>
        <v>0</v>
      </c>
      <c r="AY336" s="634">
        <v>0</v>
      </c>
      <c r="AZ336" s="616"/>
      <c r="BA336" s="619">
        <f>IF(O337=0,0,             IF(ISNUMBER(AZ336),AZ336,             IF(ISTEXT(AZ336),INDEX(AQ336:AX336,MATCH(AZ336,$AQ$17:$AX$17,0)),           IF(AY336="INT",_xll.qInterp(O337,AA336:AH336,AQ336:AX336),       INDEX(AQ336:AX336,MATCH(AY336,$AQ$17:$AX$17,0))))))</f>
        <v>0</v>
      </c>
      <c r="BB336" s="674">
        <v>100</v>
      </c>
      <c r="BC336" s="666">
        <f t="shared" si="133"/>
        <v>0</v>
      </c>
      <c r="BD336" s="268">
        <f>IF($O337=0,0,                IF(LEFT(DCC_Leg1_Fixed,2)="1/",uEvaluate(DCC_Leg1_Fixed),        _xll.qDateYears($O336,$O337,DCC_Leg1_Fixed)))</f>
        <v>0</v>
      </c>
      <c r="BE336" s="268">
        <f>IF($O337,_xll.qDateYears($O336,$O337,DCC_Leg1_Float),0)</f>
        <v>0</v>
      </c>
      <c r="BG336" s="332">
        <f t="shared" si="155"/>
        <v>0</v>
      </c>
      <c r="BH336" s="357">
        <f t="shared" si="156"/>
        <v>0</v>
      </c>
      <c r="BI336" s="527"/>
      <c r="BK336" s="324">
        <f t="shared" si="161"/>
        <v>0</v>
      </c>
      <c r="BM336" s="338"/>
      <c r="BN336" s="121">
        <v>0</v>
      </c>
      <c r="BO336" s="755">
        <f t="shared" si="134"/>
        <v>0</v>
      </c>
      <c r="BP336" s="339">
        <v>0</v>
      </c>
      <c r="BQ336" s="890">
        <f>IF(BN337=0,0,         IF(OR(Currency2="AUD",Currency1="NZD",Currency2="GBP"),BN336,   _xll.qDateNext(BN336,"-2b",,,IF(Currency2="EUR","TGT","LON"))))</f>
        <v>0</v>
      </c>
      <c r="BR336" s="879" t="str">
        <v/>
      </c>
      <c r="BS336" s="879" t="str">
        <v/>
      </c>
      <c r="BT336" s="879" t="str">
        <v/>
      </c>
      <c r="BU336" s="879" t="str">
        <v/>
      </c>
      <c r="BV336" s="879" t="str">
        <v/>
      </c>
      <c r="BW336" s="879" t="str">
        <v/>
      </c>
      <c r="BX336" s="879" t="str">
        <v/>
      </c>
      <c r="BY336" s="879" t="str">
        <v/>
      </c>
      <c r="BZ336" s="882">
        <f>IF($BN337=0,0,        _xll.qDateNext($BN336,BZ$17,$CG$16,TRUE,Currency2))</f>
        <v>0</v>
      </c>
      <c r="CA336" s="882">
        <f>IF($BN337=0,0,        _xll.qDateNext($BN336,CA$17,$CG$16,TRUE,Currency2))</f>
        <v>0</v>
      </c>
      <c r="CB336" s="882">
        <f>IF($BN337=0,0,        _xll.qDateNext($BN336,CB$17,$CG$16,TRUE,Currency2))</f>
        <v>0</v>
      </c>
      <c r="CC336" s="882">
        <f>IF($BN337=0,0,        _xll.qDateNext($BN336,CC$17,$CG$16,TRUE,Currency2))</f>
        <v>0</v>
      </c>
      <c r="CD336" s="882">
        <f>IF($BN337=0,0,        _xll.qDateNext($BN336,CD$17,$CG$16,TRUE,Currency2))</f>
        <v>0</v>
      </c>
      <c r="CE336" s="882">
        <f>IF($BN337=0,0,        _xll.qDateNext($BN336,CE$17,$CG$16,TRUE,Currency2))</f>
        <v>0</v>
      </c>
      <c r="CF336" s="882">
        <f>IF($BN337=0,0,        _xll.qDateNext($BN336,CF$17,$CG$16,TRUE,Currency2))</f>
        <v>0</v>
      </c>
      <c r="CG336" s="882">
        <f>IF($BN337=0,0,        _xll.qDateNext($BN336,CG$17,$CG$16,TRUE,Currency2))</f>
        <v>0</v>
      </c>
      <c r="CH336" s="886">
        <v>0</v>
      </c>
      <c r="CI336" s="886">
        <v>0</v>
      </c>
      <c r="CJ336" s="886">
        <v>0</v>
      </c>
      <c r="CK336" s="886">
        <v>0</v>
      </c>
      <c r="CL336" s="886">
        <f t="shared" si="157"/>
        <v>0</v>
      </c>
      <c r="CM336" s="886">
        <f t="shared" si="158"/>
        <v>0</v>
      </c>
      <c r="CN336" s="886">
        <v>0</v>
      </c>
      <c r="CO336" s="886">
        <v>0</v>
      </c>
      <c r="CP336" s="648">
        <f t="shared" si="135"/>
        <v>0</v>
      </c>
      <c r="CQ336" s="648">
        <f t="shared" si="136"/>
        <v>0</v>
      </c>
      <c r="CR336" s="648">
        <f t="shared" si="137"/>
        <v>0</v>
      </c>
      <c r="CS336" s="648">
        <f t="shared" si="138"/>
        <v>0</v>
      </c>
      <c r="CT336" s="648">
        <f t="shared" si="139"/>
        <v>0</v>
      </c>
      <c r="CU336" s="648">
        <f t="shared" si="140"/>
        <v>0</v>
      </c>
      <c r="CV336" s="648">
        <f t="shared" si="141"/>
        <v>0</v>
      </c>
      <c r="CW336" s="648">
        <f t="shared" si="142"/>
        <v>0</v>
      </c>
      <c r="CX336" s="634">
        <v>0</v>
      </c>
      <c r="CY336" s="616"/>
      <c r="CZ336" s="619">
        <f>IF(BN337=0,0,             IF(ISNUMBER(CY336),CY336,             IF(ISTEXT(CY336),INDEX(CP336:CW336,MATCH(CY336,$CP$17:$CW$17,0)),           IF(CX336="INT",_xll.qInterp(BN337,BZ336:CG336,CP336:CW336),       INDEX(CP336:CW336,MATCH(CX336,$CP$17:$CW$17,0))))))</f>
        <v>0</v>
      </c>
      <c r="DA336" s="755">
        <f t="shared" si="143"/>
        <v>0</v>
      </c>
      <c r="DB336" s="387">
        <f t="shared" si="144"/>
        <v>0</v>
      </c>
      <c r="DC336" s="268">
        <f>IF($BN337=0,0,         IF(LEFT(DCC_Leg2_Fixed,2)="1/",uEvaluate(DCC_Leg2_Fixed),         _xll.qDateYears($BN336,$BN337,DCC_Leg2_Fixed)))</f>
        <v>0</v>
      </c>
      <c r="DD336" s="268">
        <f>IF($BN337,_xll.qDateYears($BN336,$BN337,DCC_Leg2_Float),0)</f>
        <v>0</v>
      </c>
      <c r="DF336" s="332">
        <f t="shared" si="159"/>
        <v>0</v>
      </c>
      <c r="DG336" s="357">
        <f t="shared" si="160"/>
        <v>0</v>
      </c>
      <c r="DH336" s="527"/>
      <c r="DJ336" s="324">
        <f t="shared" si="162"/>
        <v>0</v>
      </c>
      <c r="DK336" s="529"/>
      <c r="DL336" s="338"/>
    </row>
    <row r="337" spans="15:116">
      <c r="O337" s="121">
        <v>0</v>
      </c>
      <c r="P337" s="755">
        <f t="shared" si="131"/>
        <v>0</v>
      </c>
      <c r="Q337" s="125">
        <v>0</v>
      </c>
      <c r="R337" s="890">
        <f>IF(O338=0,0,         IF(OR(Currency1="AUD",Currency1="NZD",Currency1="GBP"),O337,   _xll.qDateNext(O337,"-2b",,,IF(Currency1="EUR","TGT","LON"))))</f>
        <v>0</v>
      </c>
      <c r="S337" s="879" t="str">
        <v/>
      </c>
      <c r="T337" s="879" t="str">
        <v/>
      </c>
      <c r="U337" s="879" t="str">
        <v/>
      </c>
      <c r="V337" s="879" t="str">
        <v/>
      </c>
      <c r="W337" s="879" t="str">
        <v/>
      </c>
      <c r="X337" s="879" t="str">
        <v/>
      </c>
      <c r="Y337" s="879" t="str">
        <v/>
      </c>
      <c r="Z337" s="879" t="str">
        <v/>
      </c>
      <c r="AA337" s="882">
        <f>IF($O338=0,0,        _xll.qDateNext($O337,AA$17,$AH$16,TRUE,Currency1))</f>
        <v>0</v>
      </c>
      <c r="AB337" s="882">
        <f>IF($O338=0,0,        _xll.qDateNext($O337,AB$17,$AH$16,TRUE,Currency1))</f>
        <v>0</v>
      </c>
      <c r="AC337" s="882">
        <f>IF($O338=0,0,        _xll.qDateNext($O337,AC$17,$AH$16,TRUE,Currency1))</f>
        <v>0</v>
      </c>
      <c r="AD337" s="882">
        <f>IF($O338=0,0,        _xll.qDateNext($O337,AD$17,$AH$16,TRUE,Currency1))</f>
        <v>0</v>
      </c>
      <c r="AE337" s="882">
        <f>IF($O338=0,0,        _xll.qDateNext($O337,AE$17,$AH$16,TRUE,Currency1))</f>
        <v>0</v>
      </c>
      <c r="AF337" s="882">
        <f>IF($O338=0,0,        _xll.qDateNext($O337,AF$17,$AH$16,TRUE,Currency1))</f>
        <v>0</v>
      </c>
      <c r="AG337" s="882">
        <f>IF($O338=0,0,        _xll.qDateNext($O337,AG$17,$AH$16,TRUE,Currency1))</f>
        <v>0</v>
      </c>
      <c r="AH337" s="882">
        <f>IF($O338=0,0,        _xll.qDateNext($O337,AH$17,$AH$16,TRUE,Currency1))</f>
        <v>0</v>
      </c>
      <c r="AI337" s="886">
        <f>IF($O338=0,0,           IF(FRM,_xll.qGetFwdRate(AI$14,$O337,AA337,"T",DCC_Leg1_Float),_xll.qGetFwdRate(AI$14,$O337,$O338,"T",DCC_Leg1_Float)))</f>
        <v>0</v>
      </c>
      <c r="AJ337" s="886">
        <f>IF($O338=0,0,           IF(FRM,_xll.qGetFwdRate(AJ$14,$O337,AB337,"T",DCC_Leg1_Float),_xll.qGetFwdRate(AJ$14,$O337,$O338,"T",DCC_Leg1_Float)))</f>
        <v>0</v>
      </c>
      <c r="AK337" s="886">
        <f t="shared" si="132"/>
        <v>0</v>
      </c>
      <c r="AL337" s="886">
        <f>IF($O338=0,0,           IF(FRM,_xll.qGetFwdRate(AL$14,$O337,AD337,"T",DCC_Leg1_Float),_xll.qGetFwdRate(AL$14,$O337,$O338,"T",DCC_Leg1_Float)))</f>
        <v>0</v>
      </c>
      <c r="AM337" s="886">
        <f t="shared" si="145"/>
        <v>0</v>
      </c>
      <c r="AN337" s="886">
        <f t="shared" si="146"/>
        <v>0</v>
      </c>
      <c r="AO337" s="886">
        <f>IF($O338=0,0,           IF(FRM,_xll.qGetFwdRate(AO$14,$O337,AG337,"T",DCC_Leg1_Float),_xll.qGetFwdRate(AO$14,$O337,$O338,"T",DCC_Leg1_Float)))</f>
        <v>0</v>
      </c>
      <c r="AP337" s="886">
        <f>IF($O338=0,0,           IF(FRM,_xll.qGetFwdRate(AP$14,$O337,AH337,"T",DCC_Leg1_Float),_xll.qGetFwdRate(AP$14,$O337,$O338,"T",DCC_Leg1_Float)))</f>
        <v>0</v>
      </c>
      <c r="AQ337" s="648">
        <f t="shared" si="147"/>
        <v>0</v>
      </c>
      <c r="AR337" s="648">
        <f t="shared" si="148"/>
        <v>0</v>
      </c>
      <c r="AS337" s="648">
        <f t="shared" si="149"/>
        <v>0</v>
      </c>
      <c r="AT337" s="648">
        <f t="shared" si="150"/>
        <v>0</v>
      </c>
      <c r="AU337" s="648">
        <f t="shared" si="151"/>
        <v>0</v>
      </c>
      <c r="AV337" s="648">
        <f t="shared" si="152"/>
        <v>0</v>
      </c>
      <c r="AW337" s="648">
        <f t="shared" si="153"/>
        <v>0</v>
      </c>
      <c r="AX337" s="648">
        <f t="shared" si="154"/>
        <v>0</v>
      </c>
      <c r="AY337" s="634">
        <v>0</v>
      </c>
      <c r="AZ337" s="616"/>
      <c r="BA337" s="619">
        <f>IF(O338=0,0,             IF(ISNUMBER(AZ337),AZ337,             IF(ISTEXT(AZ337),INDEX(AQ337:AX337,MATCH(AZ337,$AQ$17:$AX$17,0)),           IF(AY337="INT",_xll.qInterp(O338,AA337:AH337,AQ337:AX337),       INDEX(AQ337:AX337,MATCH(AY337,$AQ$17:$AX$17,0))))))</f>
        <v>0</v>
      </c>
      <c r="BB337" s="674">
        <v>100</v>
      </c>
      <c r="BC337" s="666">
        <f t="shared" si="133"/>
        <v>0</v>
      </c>
      <c r="BD337" s="268">
        <f>IF($O338=0,0,                IF(LEFT(DCC_Leg1_Fixed,2)="1/",uEvaluate(DCC_Leg1_Fixed),        _xll.qDateYears($O337,$O338,DCC_Leg1_Fixed)))</f>
        <v>0</v>
      </c>
      <c r="BE337" s="268">
        <f>IF($O338,_xll.qDateYears($O337,$O338,DCC_Leg1_Float),0)</f>
        <v>0</v>
      </c>
      <c r="BG337" s="332">
        <f t="shared" si="155"/>
        <v>0</v>
      </c>
      <c r="BH337" s="357">
        <f t="shared" si="156"/>
        <v>0</v>
      </c>
      <c r="BI337" s="527"/>
      <c r="BK337" s="324">
        <f t="shared" si="161"/>
        <v>0</v>
      </c>
      <c r="BM337" s="338"/>
      <c r="BN337" s="121">
        <v>0</v>
      </c>
      <c r="BO337" s="755">
        <f t="shared" si="134"/>
        <v>0</v>
      </c>
      <c r="BP337" s="339">
        <v>0</v>
      </c>
      <c r="BQ337" s="890">
        <f>IF(BN338=0,0,         IF(OR(Currency2="AUD",Currency1="NZD",Currency2="GBP"),BN337,   _xll.qDateNext(BN337,"-2b",,,IF(Currency2="EUR","TGT","LON"))))</f>
        <v>0</v>
      </c>
      <c r="BR337" s="879" t="str">
        <v/>
      </c>
      <c r="BS337" s="879" t="str">
        <v/>
      </c>
      <c r="BT337" s="879" t="str">
        <v/>
      </c>
      <c r="BU337" s="879" t="str">
        <v/>
      </c>
      <c r="BV337" s="879" t="str">
        <v/>
      </c>
      <c r="BW337" s="879" t="str">
        <v/>
      </c>
      <c r="BX337" s="879" t="str">
        <v/>
      </c>
      <c r="BY337" s="879" t="str">
        <v/>
      </c>
      <c r="BZ337" s="882">
        <f>IF($BN338=0,0,        _xll.qDateNext($BN337,BZ$17,$CG$16,TRUE,Currency2))</f>
        <v>0</v>
      </c>
      <c r="CA337" s="882">
        <f>IF($BN338=0,0,        _xll.qDateNext($BN337,CA$17,$CG$16,TRUE,Currency2))</f>
        <v>0</v>
      </c>
      <c r="CB337" s="882">
        <f>IF($BN338=0,0,        _xll.qDateNext($BN337,CB$17,$CG$16,TRUE,Currency2))</f>
        <v>0</v>
      </c>
      <c r="CC337" s="882">
        <f>IF($BN338=0,0,        _xll.qDateNext($BN337,CC$17,$CG$16,TRUE,Currency2))</f>
        <v>0</v>
      </c>
      <c r="CD337" s="882">
        <f>IF($BN338=0,0,        _xll.qDateNext($BN337,CD$17,$CG$16,TRUE,Currency2))</f>
        <v>0</v>
      </c>
      <c r="CE337" s="882">
        <f>IF($BN338=0,0,        _xll.qDateNext($BN337,CE$17,$CG$16,TRUE,Currency2))</f>
        <v>0</v>
      </c>
      <c r="CF337" s="882">
        <f>IF($BN338=0,0,        _xll.qDateNext($BN337,CF$17,$CG$16,TRUE,Currency2))</f>
        <v>0</v>
      </c>
      <c r="CG337" s="882">
        <f>IF($BN338=0,0,        _xll.qDateNext($BN337,CG$17,$CG$16,TRUE,Currency2))</f>
        <v>0</v>
      </c>
      <c r="CH337" s="886">
        <v>0</v>
      </c>
      <c r="CI337" s="886">
        <v>0</v>
      </c>
      <c r="CJ337" s="886">
        <v>0</v>
      </c>
      <c r="CK337" s="886">
        <v>0</v>
      </c>
      <c r="CL337" s="886">
        <f t="shared" si="157"/>
        <v>0</v>
      </c>
      <c r="CM337" s="886">
        <f t="shared" si="158"/>
        <v>0</v>
      </c>
      <c r="CN337" s="886">
        <v>0</v>
      </c>
      <c r="CO337" s="886">
        <v>0</v>
      </c>
      <c r="CP337" s="648">
        <f t="shared" si="135"/>
        <v>0</v>
      </c>
      <c r="CQ337" s="648">
        <f t="shared" si="136"/>
        <v>0</v>
      </c>
      <c r="CR337" s="648">
        <f t="shared" si="137"/>
        <v>0</v>
      </c>
      <c r="CS337" s="648">
        <f t="shared" si="138"/>
        <v>0</v>
      </c>
      <c r="CT337" s="648">
        <f t="shared" si="139"/>
        <v>0</v>
      </c>
      <c r="CU337" s="648">
        <f t="shared" si="140"/>
        <v>0</v>
      </c>
      <c r="CV337" s="648">
        <f t="shared" si="141"/>
        <v>0</v>
      </c>
      <c r="CW337" s="648">
        <f t="shared" si="142"/>
        <v>0</v>
      </c>
      <c r="CX337" s="634">
        <v>0</v>
      </c>
      <c r="CY337" s="616"/>
      <c r="CZ337" s="619">
        <f>IF(BN338=0,0,             IF(ISNUMBER(CY337),CY337,             IF(ISTEXT(CY337),INDEX(CP337:CW337,MATCH(CY337,$CP$17:$CW$17,0)),           IF(CX337="INT",_xll.qInterp(BN338,BZ337:CG337,CP337:CW337),       INDEX(CP337:CW337,MATCH(CX337,$CP$17:$CW$17,0))))))</f>
        <v>0</v>
      </c>
      <c r="DA337" s="755">
        <f t="shared" si="143"/>
        <v>0</v>
      </c>
      <c r="DB337" s="387">
        <f t="shared" si="144"/>
        <v>0</v>
      </c>
      <c r="DC337" s="268">
        <f>IF($BN338=0,0,         IF(LEFT(DCC_Leg2_Fixed,2)="1/",uEvaluate(DCC_Leg2_Fixed),         _xll.qDateYears($BN337,$BN338,DCC_Leg2_Fixed)))</f>
        <v>0</v>
      </c>
      <c r="DD337" s="268">
        <f>IF($BN338,_xll.qDateYears($BN337,$BN338,DCC_Leg2_Float),0)</f>
        <v>0</v>
      </c>
      <c r="DF337" s="332">
        <f t="shared" si="159"/>
        <v>0</v>
      </c>
      <c r="DG337" s="357">
        <f t="shared" si="160"/>
        <v>0</v>
      </c>
      <c r="DH337" s="527"/>
      <c r="DJ337" s="324">
        <f t="shared" si="162"/>
        <v>0</v>
      </c>
      <c r="DK337" s="529"/>
      <c r="DL337" s="338"/>
    </row>
    <row r="338" spans="15:116">
      <c r="O338" s="121">
        <v>0</v>
      </c>
      <c r="P338" s="755">
        <f t="shared" ref="P338:P401" si="163">IF(O339,O339-O338,0)</f>
        <v>0</v>
      </c>
      <c r="Q338" s="125">
        <v>0</v>
      </c>
      <c r="R338" s="890">
        <f>IF(O339=0,0,         IF(OR(Currency1="AUD",Currency1="NZD",Currency1="GBP"),O338,   _xll.qDateNext(O338,"-2b",,,IF(Currency1="EUR","TGT","LON"))))</f>
        <v>0</v>
      </c>
      <c r="S338" s="879" t="str">
        <v/>
      </c>
      <c r="T338" s="879" t="str">
        <v/>
      </c>
      <c r="U338" s="879" t="str">
        <v/>
      </c>
      <c r="V338" s="879" t="str">
        <v/>
      </c>
      <c r="W338" s="879" t="str">
        <v/>
      </c>
      <c r="X338" s="879" t="str">
        <v/>
      </c>
      <c r="Y338" s="879" t="str">
        <v/>
      </c>
      <c r="Z338" s="879" t="str">
        <v/>
      </c>
      <c r="AA338" s="882">
        <f>IF($O339=0,0,        _xll.qDateNext($O338,AA$17,$AH$16,TRUE,Currency1))</f>
        <v>0</v>
      </c>
      <c r="AB338" s="882">
        <f>IF($O339=0,0,        _xll.qDateNext($O338,AB$17,$AH$16,TRUE,Currency1))</f>
        <v>0</v>
      </c>
      <c r="AC338" s="882">
        <f>IF($O339=0,0,        _xll.qDateNext($O338,AC$17,$AH$16,TRUE,Currency1))</f>
        <v>0</v>
      </c>
      <c r="AD338" s="882">
        <f>IF($O339=0,0,        _xll.qDateNext($O338,AD$17,$AH$16,TRUE,Currency1))</f>
        <v>0</v>
      </c>
      <c r="AE338" s="882">
        <f>IF($O339=0,0,        _xll.qDateNext($O338,AE$17,$AH$16,TRUE,Currency1))</f>
        <v>0</v>
      </c>
      <c r="AF338" s="882">
        <f>IF($O339=0,0,        _xll.qDateNext($O338,AF$17,$AH$16,TRUE,Currency1))</f>
        <v>0</v>
      </c>
      <c r="AG338" s="882">
        <f>IF($O339=0,0,        _xll.qDateNext($O338,AG$17,$AH$16,TRUE,Currency1))</f>
        <v>0</v>
      </c>
      <c r="AH338" s="882">
        <f>IF($O339=0,0,        _xll.qDateNext($O338,AH$17,$AH$16,TRUE,Currency1))</f>
        <v>0</v>
      </c>
      <c r="AI338" s="886">
        <f>IF($O339=0,0,           IF(FRM,_xll.qGetFwdRate(AI$14,$O338,AA338,"T",DCC_Leg1_Float),_xll.qGetFwdRate(AI$14,$O338,$O339,"T",DCC_Leg1_Float)))</f>
        <v>0</v>
      </c>
      <c r="AJ338" s="886">
        <f>IF($O339=0,0,           IF(FRM,_xll.qGetFwdRate(AJ$14,$O338,AB338,"T",DCC_Leg1_Float),_xll.qGetFwdRate(AJ$14,$O338,$O339,"T",DCC_Leg1_Float)))</f>
        <v>0</v>
      </c>
      <c r="AK338" s="886">
        <f t="shared" ref="AK338:AK401" si="164">AVERAGE(AJ338,AL338)</f>
        <v>0</v>
      </c>
      <c r="AL338" s="886">
        <f>IF($O339=0,0,           IF(FRM,_xll.qGetFwdRate(AL$14,$O338,AD338,"T",DCC_Leg1_Float),_xll.qGetFwdRate(AL$14,$O338,$O339,"T",DCC_Leg1_Float)))</f>
        <v>0</v>
      </c>
      <c r="AM338" s="886">
        <f t="shared" si="145"/>
        <v>0</v>
      </c>
      <c r="AN338" s="886">
        <f t="shared" si="146"/>
        <v>0</v>
      </c>
      <c r="AO338" s="886">
        <f>IF($O339=0,0,           IF(FRM,_xll.qGetFwdRate(AO$14,$O338,AG338,"T",DCC_Leg1_Float),_xll.qGetFwdRate(AO$14,$O338,$O339,"T",DCC_Leg1_Float)))</f>
        <v>0</v>
      </c>
      <c r="AP338" s="886">
        <f>IF($O339=0,0,           IF(FRM,_xll.qGetFwdRate(AP$14,$O338,AH338,"T",DCC_Leg1_Float),_xll.qGetFwdRate(AP$14,$O338,$O339,"T",DCC_Leg1_Float)))</f>
        <v>0</v>
      </c>
      <c r="AQ338" s="648">
        <f t="shared" si="147"/>
        <v>0</v>
      </c>
      <c r="AR338" s="648">
        <f t="shared" si="148"/>
        <v>0</v>
      </c>
      <c r="AS338" s="648">
        <f t="shared" si="149"/>
        <v>0</v>
      </c>
      <c r="AT338" s="648">
        <f t="shared" si="150"/>
        <v>0</v>
      </c>
      <c r="AU338" s="648">
        <f t="shared" si="151"/>
        <v>0</v>
      </c>
      <c r="AV338" s="648">
        <f t="shared" si="152"/>
        <v>0</v>
      </c>
      <c r="AW338" s="648">
        <f t="shared" si="153"/>
        <v>0</v>
      </c>
      <c r="AX338" s="648">
        <f t="shared" si="154"/>
        <v>0</v>
      </c>
      <c r="AY338" s="634">
        <v>0</v>
      </c>
      <c r="AZ338" s="616"/>
      <c r="BA338" s="619">
        <f>IF(O339=0,0,             IF(ISNUMBER(AZ338),AZ338,             IF(ISTEXT(AZ338),INDEX(AQ338:AX338,MATCH(AZ338,$AQ$17:$AX$17,0)),           IF(AY338="INT",_xll.qInterp(O339,AA338:AH338,AQ338:AX338),       INDEX(AQ338:AX338,MATCH(AY338,$AQ$17:$AX$17,0))))))</f>
        <v>0</v>
      </c>
      <c r="BB338" s="674">
        <v>100</v>
      </c>
      <c r="BC338" s="666">
        <f t="shared" ref="BC338:BC401" si="165">IF(O339,BB338*1000000*$BE$11,0)</f>
        <v>0</v>
      </c>
      <c r="BD338" s="268">
        <f>IF($O339=0,0,                IF(LEFT(DCC_Leg1_Fixed,2)="1/",uEvaluate(DCC_Leg1_Fixed),        _xll.qDateYears($O338,$O339,DCC_Leg1_Fixed)))</f>
        <v>0</v>
      </c>
      <c r="BE338" s="268">
        <f>IF($O339,_xll.qDateYears($O338,$O339,DCC_Leg1_Float),0)</f>
        <v>0</v>
      </c>
      <c r="BG338" s="332">
        <f t="shared" si="155"/>
        <v>0</v>
      </c>
      <c r="BH338" s="357">
        <f t="shared" si="156"/>
        <v>0</v>
      </c>
      <c r="BI338" s="527"/>
      <c r="BK338" s="324">
        <f t="shared" si="161"/>
        <v>0</v>
      </c>
      <c r="BM338" s="338"/>
      <c r="BN338" s="121">
        <v>0</v>
      </c>
      <c r="BO338" s="755">
        <f t="shared" ref="BO338:BO401" si="166">IF(BN339,BN339-BN338,0)</f>
        <v>0</v>
      </c>
      <c r="BP338" s="339">
        <v>0</v>
      </c>
      <c r="BQ338" s="890">
        <f>IF(BN339=0,0,         IF(OR(Currency2="AUD",Currency1="NZD",Currency2="GBP"),BN338,   _xll.qDateNext(BN338,"-2b",,,IF(Currency2="EUR","TGT","LON"))))</f>
        <v>0</v>
      </c>
      <c r="BR338" s="879" t="str">
        <v/>
      </c>
      <c r="BS338" s="879" t="str">
        <v/>
      </c>
      <c r="BT338" s="879" t="str">
        <v/>
      </c>
      <c r="BU338" s="879" t="str">
        <v/>
      </c>
      <c r="BV338" s="879" t="str">
        <v/>
      </c>
      <c r="BW338" s="879" t="str">
        <v/>
      </c>
      <c r="BX338" s="879" t="str">
        <v/>
      </c>
      <c r="BY338" s="879" t="str">
        <v/>
      </c>
      <c r="BZ338" s="882">
        <f>IF($BN339=0,0,        _xll.qDateNext($BN338,BZ$17,$CG$16,TRUE,Currency2))</f>
        <v>0</v>
      </c>
      <c r="CA338" s="882">
        <f>IF($BN339=0,0,        _xll.qDateNext($BN338,CA$17,$CG$16,TRUE,Currency2))</f>
        <v>0</v>
      </c>
      <c r="CB338" s="882">
        <f>IF($BN339=0,0,        _xll.qDateNext($BN338,CB$17,$CG$16,TRUE,Currency2))</f>
        <v>0</v>
      </c>
      <c r="CC338" s="882">
        <f>IF($BN339=0,0,        _xll.qDateNext($BN338,CC$17,$CG$16,TRUE,Currency2))</f>
        <v>0</v>
      </c>
      <c r="CD338" s="882">
        <f>IF($BN339=0,0,        _xll.qDateNext($BN338,CD$17,$CG$16,TRUE,Currency2))</f>
        <v>0</v>
      </c>
      <c r="CE338" s="882">
        <f>IF($BN339=0,0,        _xll.qDateNext($BN338,CE$17,$CG$16,TRUE,Currency2))</f>
        <v>0</v>
      </c>
      <c r="CF338" s="882">
        <f>IF($BN339=0,0,        _xll.qDateNext($BN338,CF$17,$CG$16,TRUE,Currency2))</f>
        <v>0</v>
      </c>
      <c r="CG338" s="882">
        <f>IF($BN339=0,0,        _xll.qDateNext($BN338,CG$17,$CG$16,TRUE,Currency2))</f>
        <v>0</v>
      </c>
      <c r="CH338" s="886">
        <v>0</v>
      </c>
      <c r="CI338" s="886">
        <v>0</v>
      </c>
      <c r="CJ338" s="886">
        <v>0</v>
      </c>
      <c r="CK338" s="886">
        <v>0</v>
      </c>
      <c r="CL338" s="886">
        <f t="shared" si="157"/>
        <v>0</v>
      </c>
      <c r="CM338" s="886">
        <f t="shared" si="158"/>
        <v>0</v>
      </c>
      <c r="CN338" s="886">
        <v>0</v>
      </c>
      <c r="CO338" s="886">
        <v>0</v>
      </c>
      <c r="CP338" s="648">
        <f t="shared" ref="CP338:CP401" si="167">IF($BN338=0,0,      IF(ISNUMBER(BR338),BR338,CH338))</f>
        <v>0</v>
      </c>
      <c r="CQ338" s="648">
        <f t="shared" ref="CQ338:CQ401" si="168">IF($BN338=0,0,      IF(ISNUMBER(BS338),BS338,CI338))</f>
        <v>0</v>
      </c>
      <c r="CR338" s="648">
        <f t="shared" ref="CR338:CR401" si="169">IF($BN338=0,0,      IF(ISNUMBER(BT338),BT338,CJ338))</f>
        <v>0</v>
      </c>
      <c r="CS338" s="648">
        <f t="shared" ref="CS338:CS401" si="170">IF($BN338=0,0,      IF(ISNUMBER(BU338),BU338,CK338))</f>
        <v>0</v>
      </c>
      <c r="CT338" s="648">
        <f t="shared" ref="CT338:CT401" si="171">IF($BN338=0,0,      IF(ISNUMBER(BV338),BV338,CL338))</f>
        <v>0</v>
      </c>
      <c r="CU338" s="648">
        <f t="shared" ref="CU338:CU401" si="172">IF($BN338=0,0,      IF(ISNUMBER(BW338),BW338,CM338))</f>
        <v>0</v>
      </c>
      <c r="CV338" s="648">
        <f t="shared" ref="CV338:CV401" si="173">IF($BN338=0,0,      IF(ISNUMBER(BX338),BX338,CN338))</f>
        <v>0</v>
      </c>
      <c r="CW338" s="648">
        <f t="shared" ref="CW338:CW401" si="174">IF($BN338=0,0,      IF(ISNUMBER(BY338),BY338,CO338))</f>
        <v>0</v>
      </c>
      <c r="CX338" s="634">
        <v>0</v>
      </c>
      <c r="CY338" s="616"/>
      <c r="CZ338" s="619">
        <f>IF(BN339=0,0,             IF(ISNUMBER(CY338),CY338,             IF(ISTEXT(CY338),INDEX(CP338:CW338,MATCH(CY338,$CP$17:$CW$17,0)),           IF(CX338="INT",_xll.qInterp(BN339,BZ338:CG338,CP338:CW338),       INDEX(CP338:CW338,MATCH(CX338,$CP$17:$CW$17,0))))))</f>
        <v>0</v>
      </c>
      <c r="DA338" s="755">
        <f t="shared" ref="DA338:DA401" si="175">IF(BN339,INDEX($BB$18:$BB$516,MATCH(BN338,OFFSET($O$18,0,0,$BE$12,1)))*FaceFX,0)</f>
        <v>0</v>
      </c>
      <c r="DB338" s="387">
        <f t="shared" ref="DB338:DB401" si="176">IF(BN338,DA338*1000000*$DD$11,0)</f>
        <v>0</v>
      </c>
      <c r="DC338" s="268">
        <f>IF($BN339=0,0,         IF(LEFT(DCC_Leg2_Fixed,2)="1/",uEvaluate(DCC_Leg2_Fixed),         _xll.qDateYears($BN338,$BN339,DCC_Leg2_Fixed)))</f>
        <v>0</v>
      </c>
      <c r="DD338" s="268">
        <f>IF($BN339,_xll.qDateYears($BN338,$BN339,DCC_Leg2_Float),0)</f>
        <v>0</v>
      </c>
      <c r="DF338" s="332">
        <f t="shared" si="159"/>
        <v>0</v>
      </c>
      <c r="DG338" s="357">
        <f t="shared" si="160"/>
        <v>0</v>
      </c>
      <c r="DH338" s="527"/>
      <c r="DJ338" s="324">
        <f t="shared" si="162"/>
        <v>0</v>
      </c>
      <c r="DK338" s="529"/>
      <c r="DL338" s="338"/>
    </row>
    <row r="339" spans="15:116">
      <c r="O339" s="121">
        <v>0</v>
      </c>
      <c r="P339" s="755">
        <f t="shared" si="163"/>
        <v>0</v>
      </c>
      <c r="Q339" s="125">
        <v>0</v>
      </c>
      <c r="R339" s="890">
        <f>IF(O340=0,0,         IF(OR(Currency1="AUD",Currency1="NZD",Currency1="GBP"),O339,   _xll.qDateNext(O339,"-2b",,,IF(Currency1="EUR","TGT","LON"))))</f>
        <v>0</v>
      </c>
      <c r="S339" s="879" t="str">
        <v/>
      </c>
      <c r="T339" s="879" t="str">
        <v/>
      </c>
      <c r="U339" s="879" t="str">
        <v/>
      </c>
      <c r="V339" s="879" t="str">
        <v/>
      </c>
      <c r="W339" s="879" t="str">
        <v/>
      </c>
      <c r="X339" s="879" t="str">
        <v/>
      </c>
      <c r="Y339" s="879" t="str">
        <v/>
      </c>
      <c r="Z339" s="879" t="str">
        <v/>
      </c>
      <c r="AA339" s="882">
        <f>IF($O340=0,0,        _xll.qDateNext($O339,AA$17,$AH$16,TRUE,Currency1))</f>
        <v>0</v>
      </c>
      <c r="AB339" s="882">
        <f>IF($O340=0,0,        _xll.qDateNext($O339,AB$17,$AH$16,TRUE,Currency1))</f>
        <v>0</v>
      </c>
      <c r="AC339" s="882">
        <f>IF($O340=0,0,        _xll.qDateNext($O339,AC$17,$AH$16,TRUE,Currency1))</f>
        <v>0</v>
      </c>
      <c r="AD339" s="882">
        <f>IF($O340=0,0,        _xll.qDateNext($O339,AD$17,$AH$16,TRUE,Currency1))</f>
        <v>0</v>
      </c>
      <c r="AE339" s="882">
        <f>IF($O340=0,0,        _xll.qDateNext($O339,AE$17,$AH$16,TRUE,Currency1))</f>
        <v>0</v>
      </c>
      <c r="AF339" s="882">
        <f>IF($O340=0,0,        _xll.qDateNext($O339,AF$17,$AH$16,TRUE,Currency1))</f>
        <v>0</v>
      </c>
      <c r="AG339" s="882">
        <f>IF($O340=0,0,        _xll.qDateNext($O339,AG$17,$AH$16,TRUE,Currency1))</f>
        <v>0</v>
      </c>
      <c r="AH339" s="882">
        <f>IF($O340=0,0,        _xll.qDateNext($O339,AH$17,$AH$16,TRUE,Currency1))</f>
        <v>0</v>
      </c>
      <c r="AI339" s="886">
        <f>IF($O340=0,0,           IF(FRM,_xll.qGetFwdRate(AI$14,$O339,AA339,"T",DCC_Leg1_Float),_xll.qGetFwdRate(AI$14,$O339,$O340,"T",DCC_Leg1_Float)))</f>
        <v>0</v>
      </c>
      <c r="AJ339" s="886">
        <f>IF($O340=0,0,           IF(FRM,_xll.qGetFwdRate(AJ$14,$O339,AB339,"T",DCC_Leg1_Float),_xll.qGetFwdRate(AJ$14,$O339,$O340,"T",DCC_Leg1_Float)))</f>
        <v>0</v>
      </c>
      <c r="AK339" s="886">
        <f t="shared" si="164"/>
        <v>0</v>
      </c>
      <c r="AL339" s="886">
        <f>IF($O340=0,0,           IF(FRM,_xll.qGetFwdRate(AL$14,$O339,AD339,"T",DCC_Leg1_Float),_xll.qGetFwdRate(AL$14,$O339,$O340,"T",DCC_Leg1_Float)))</f>
        <v>0</v>
      </c>
      <c r="AM339" s="886">
        <f t="shared" ref="AM339:AM402" si="177">(AO339-AL339)/3+AL339</f>
        <v>0</v>
      </c>
      <c r="AN339" s="886">
        <f t="shared" ref="AN339:AN402" si="178">AVERAGE(AM339,AO339)</f>
        <v>0</v>
      </c>
      <c r="AO339" s="886">
        <f>IF($O340=0,0,           IF(FRM,_xll.qGetFwdRate(AO$14,$O339,AG339,"T",DCC_Leg1_Float),_xll.qGetFwdRate(AO$14,$O339,$O340,"T",DCC_Leg1_Float)))</f>
        <v>0</v>
      </c>
      <c r="AP339" s="886">
        <f>IF($O340=0,0,           IF(FRM,_xll.qGetFwdRate(AP$14,$O339,AH339,"T",DCC_Leg1_Float),_xll.qGetFwdRate(AP$14,$O339,$O340,"T",DCC_Leg1_Float)))</f>
        <v>0</v>
      </c>
      <c r="AQ339" s="648">
        <f t="shared" ref="AQ339:AQ402" si="179">IF(ISNUMBER(S339),S339,AI339)</f>
        <v>0</v>
      </c>
      <c r="AR339" s="648">
        <f t="shared" ref="AR339:AR402" si="180">IF(ISNUMBER(T339),T339,AJ339)</f>
        <v>0</v>
      </c>
      <c r="AS339" s="648">
        <f t="shared" ref="AS339:AS402" si="181">IF(ISNUMBER(U339),U339,AK339)</f>
        <v>0</v>
      </c>
      <c r="AT339" s="648">
        <f t="shared" ref="AT339:AT402" si="182">IF(ISNUMBER(V339),V339,AL339)</f>
        <v>0</v>
      </c>
      <c r="AU339" s="648">
        <f t="shared" ref="AU339:AU402" si="183">IF(ISNUMBER(W339),W339,AM339)</f>
        <v>0</v>
      </c>
      <c r="AV339" s="648">
        <f t="shared" ref="AV339:AV402" si="184">IF(ISNUMBER(X339),X339,AN339)</f>
        <v>0</v>
      </c>
      <c r="AW339" s="648">
        <f t="shared" ref="AW339:AW402" si="185">IF(ISNUMBER(Y339),Y339,AO339)</f>
        <v>0</v>
      </c>
      <c r="AX339" s="648">
        <f t="shared" ref="AX339:AX402" si="186">IF(ISNUMBER(Z339),Z339,AP339)</f>
        <v>0</v>
      </c>
      <c r="AY339" s="634">
        <v>0</v>
      </c>
      <c r="AZ339" s="616"/>
      <c r="BA339" s="619">
        <f>IF(O340=0,0,             IF(ISNUMBER(AZ339),AZ339,             IF(ISTEXT(AZ339),INDEX(AQ339:AX339,MATCH(AZ339,$AQ$17:$AX$17,0)),           IF(AY339="INT",_xll.qInterp(O340,AA339:AH339,AQ339:AX339),       INDEX(AQ339:AX339,MATCH(AY339,$AQ$17:$AX$17,0))))))</f>
        <v>0</v>
      </c>
      <c r="BB339" s="674">
        <v>100</v>
      </c>
      <c r="BC339" s="666">
        <f t="shared" si="165"/>
        <v>0</v>
      </c>
      <c r="BD339" s="268">
        <f>IF($O340=0,0,                IF(LEFT(DCC_Leg1_Fixed,2)="1/",uEvaluate(DCC_Leg1_Fixed),        _xll.qDateYears($O339,$O340,DCC_Leg1_Fixed)))</f>
        <v>0</v>
      </c>
      <c r="BE339" s="268">
        <f>IF($O340,_xll.qDateYears($O339,$O340,DCC_Leg1_Float),0)</f>
        <v>0</v>
      </c>
      <c r="BG339" s="332">
        <f t="shared" ref="BG339:BG402" si="187">IF(Principal1?,$BC338-$BC339,       0)</f>
        <v>0</v>
      </c>
      <c r="BH339" s="357">
        <f t="shared" ref="BH339:BH402" si="188">IF(GenType_1a="Fixed",GenRate_1a%*$BC338*BD338,          IF(GenType_1a="Float",$BC338*(BA338%+GenRate_1a%%)*$BE338,        IF(GenType_1a="bp (Fixed)",GenRate_1a%%*$BD338*$BC338,   IF(GenType_1a="bp (Float)",GenRate_1a%%*$BC338*$BE338,0))))</f>
        <v>0</v>
      </c>
      <c r="BI339" s="527"/>
      <c r="BK339" s="324">
        <f t="shared" si="161"/>
        <v>0</v>
      </c>
      <c r="BM339" s="338"/>
      <c r="BN339" s="121">
        <v>0</v>
      </c>
      <c r="BO339" s="755">
        <f t="shared" si="166"/>
        <v>0</v>
      </c>
      <c r="BP339" s="339">
        <v>0</v>
      </c>
      <c r="BQ339" s="890">
        <f>IF(BN340=0,0,         IF(OR(Currency2="AUD",Currency1="NZD",Currency2="GBP"),BN339,   _xll.qDateNext(BN339,"-2b",,,IF(Currency2="EUR","TGT","LON"))))</f>
        <v>0</v>
      </c>
      <c r="BR339" s="879" t="str">
        <v/>
      </c>
      <c r="BS339" s="879" t="str">
        <v/>
      </c>
      <c r="BT339" s="879" t="str">
        <v/>
      </c>
      <c r="BU339" s="879" t="str">
        <v/>
      </c>
      <c r="BV339" s="879" t="str">
        <v/>
      </c>
      <c r="BW339" s="879" t="str">
        <v/>
      </c>
      <c r="BX339" s="879" t="str">
        <v/>
      </c>
      <c r="BY339" s="879" t="str">
        <v/>
      </c>
      <c r="BZ339" s="882">
        <f>IF($BN340=0,0,        _xll.qDateNext($BN339,BZ$17,$CG$16,TRUE,Currency2))</f>
        <v>0</v>
      </c>
      <c r="CA339" s="882">
        <f>IF($BN340=0,0,        _xll.qDateNext($BN339,CA$17,$CG$16,TRUE,Currency2))</f>
        <v>0</v>
      </c>
      <c r="CB339" s="882">
        <f>IF($BN340=0,0,        _xll.qDateNext($BN339,CB$17,$CG$16,TRUE,Currency2))</f>
        <v>0</v>
      </c>
      <c r="CC339" s="882">
        <f>IF($BN340=0,0,        _xll.qDateNext($BN339,CC$17,$CG$16,TRUE,Currency2))</f>
        <v>0</v>
      </c>
      <c r="CD339" s="882">
        <f>IF($BN340=0,0,        _xll.qDateNext($BN339,CD$17,$CG$16,TRUE,Currency2))</f>
        <v>0</v>
      </c>
      <c r="CE339" s="882">
        <f>IF($BN340=0,0,        _xll.qDateNext($BN339,CE$17,$CG$16,TRUE,Currency2))</f>
        <v>0</v>
      </c>
      <c r="CF339" s="882">
        <f>IF($BN340=0,0,        _xll.qDateNext($BN339,CF$17,$CG$16,TRUE,Currency2))</f>
        <v>0</v>
      </c>
      <c r="CG339" s="882">
        <f>IF($BN340=0,0,        _xll.qDateNext($BN339,CG$17,$CG$16,TRUE,Currency2))</f>
        <v>0</v>
      </c>
      <c r="CH339" s="886">
        <v>0</v>
      </c>
      <c r="CI339" s="886">
        <v>0</v>
      </c>
      <c r="CJ339" s="886">
        <v>0</v>
      </c>
      <c r="CK339" s="886">
        <v>0</v>
      </c>
      <c r="CL339" s="886">
        <f t="shared" ref="CL339:CL402" si="189">(CN339-CK339)/3+CK339</f>
        <v>0</v>
      </c>
      <c r="CM339" s="886">
        <f t="shared" ref="CM339:CM402" si="190">AVERAGE(CL339,CN339)</f>
        <v>0</v>
      </c>
      <c r="CN339" s="886">
        <v>0</v>
      </c>
      <c r="CO339" s="886">
        <v>0</v>
      </c>
      <c r="CP339" s="648">
        <f t="shared" si="167"/>
        <v>0</v>
      </c>
      <c r="CQ339" s="648">
        <f t="shared" si="168"/>
        <v>0</v>
      </c>
      <c r="CR339" s="648">
        <f t="shared" si="169"/>
        <v>0</v>
      </c>
      <c r="CS339" s="648">
        <f t="shared" si="170"/>
        <v>0</v>
      </c>
      <c r="CT339" s="648">
        <f t="shared" si="171"/>
        <v>0</v>
      </c>
      <c r="CU339" s="648">
        <f t="shared" si="172"/>
        <v>0</v>
      </c>
      <c r="CV339" s="648">
        <f t="shared" si="173"/>
        <v>0</v>
      </c>
      <c r="CW339" s="648">
        <f t="shared" si="174"/>
        <v>0</v>
      </c>
      <c r="CX339" s="634">
        <v>0</v>
      </c>
      <c r="CY339" s="616"/>
      <c r="CZ339" s="619">
        <f>IF(BN340=0,0,             IF(ISNUMBER(CY339),CY339,             IF(ISTEXT(CY339),INDEX(CP339:CW339,MATCH(CY339,$CP$17:$CW$17,0)),           IF(CX339="INT",_xll.qInterp(BN340,BZ339:CG339,CP339:CW339),       INDEX(CP339:CW339,MATCH(CX339,$CP$17:$CW$17,0))))))</f>
        <v>0</v>
      </c>
      <c r="DA339" s="755">
        <f t="shared" si="175"/>
        <v>0</v>
      </c>
      <c r="DB339" s="387">
        <f t="shared" si="176"/>
        <v>0</v>
      </c>
      <c r="DC339" s="268">
        <f>IF($BN340=0,0,         IF(LEFT(DCC_Leg2_Fixed,2)="1/",uEvaluate(DCC_Leg2_Fixed),         _xll.qDateYears($BN339,$BN340,DCC_Leg2_Fixed)))</f>
        <v>0</v>
      </c>
      <c r="DD339" s="268">
        <f>IF($BN340,_xll.qDateYears($BN339,$BN340,DCC_Leg2_Float),0)</f>
        <v>0</v>
      </c>
      <c r="DF339" s="332">
        <f t="shared" ref="DF339:DF402" si="191">IF(Principal2?,$DB338-$DB339,       0)</f>
        <v>0</v>
      </c>
      <c r="DG339" s="357">
        <f t="shared" ref="DG339:DG402" si="192">IF(GenType_2a="Fixed",GenRate_2a%*$DB338*DC338,          IF(GenType_2a="Float",$DB338*(CZ338%+GenRate_2a%%)*$DD338,        IF(GenType_2a="bp (Fixed)",GenRate_2a%%*$DC338*$DB338,   IF(GenType_2a="bp (Float)",GenRate_2a%%*$DB338*$DD338,0))))</f>
        <v>0</v>
      </c>
      <c r="DH339" s="527"/>
      <c r="DJ339" s="324">
        <f t="shared" si="162"/>
        <v>0</v>
      </c>
      <c r="DK339" s="529"/>
      <c r="DL339" s="338"/>
    </row>
    <row r="340" spans="15:116">
      <c r="O340" s="121">
        <v>0</v>
      </c>
      <c r="P340" s="755">
        <f t="shared" si="163"/>
        <v>0</v>
      </c>
      <c r="Q340" s="125">
        <v>0</v>
      </c>
      <c r="R340" s="890">
        <f>IF(O341=0,0,         IF(OR(Currency1="AUD",Currency1="NZD",Currency1="GBP"),O340,   _xll.qDateNext(O340,"-2b",,,IF(Currency1="EUR","TGT","LON"))))</f>
        <v>0</v>
      </c>
      <c r="S340" s="879" t="str">
        <v/>
      </c>
      <c r="T340" s="879" t="str">
        <v/>
      </c>
      <c r="U340" s="879" t="str">
        <v/>
      </c>
      <c r="V340" s="879" t="str">
        <v/>
      </c>
      <c r="W340" s="879" t="str">
        <v/>
      </c>
      <c r="X340" s="879" t="str">
        <v/>
      </c>
      <c r="Y340" s="879" t="str">
        <v/>
      </c>
      <c r="Z340" s="879" t="str">
        <v/>
      </c>
      <c r="AA340" s="882">
        <f>IF($O341=0,0,        _xll.qDateNext($O340,AA$17,$AH$16,TRUE,Currency1))</f>
        <v>0</v>
      </c>
      <c r="AB340" s="882">
        <f>IF($O341=0,0,        _xll.qDateNext($O340,AB$17,$AH$16,TRUE,Currency1))</f>
        <v>0</v>
      </c>
      <c r="AC340" s="882">
        <f>IF($O341=0,0,        _xll.qDateNext($O340,AC$17,$AH$16,TRUE,Currency1))</f>
        <v>0</v>
      </c>
      <c r="AD340" s="882">
        <f>IF($O341=0,0,        _xll.qDateNext($O340,AD$17,$AH$16,TRUE,Currency1))</f>
        <v>0</v>
      </c>
      <c r="AE340" s="882">
        <f>IF($O341=0,0,        _xll.qDateNext($O340,AE$17,$AH$16,TRUE,Currency1))</f>
        <v>0</v>
      </c>
      <c r="AF340" s="882">
        <f>IF($O341=0,0,        _xll.qDateNext($O340,AF$17,$AH$16,TRUE,Currency1))</f>
        <v>0</v>
      </c>
      <c r="AG340" s="882">
        <f>IF($O341=0,0,        _xll.qDateNext($O340,AG$17,$AH$16,TRUE,Currency1))</f>
        <v>0</v>
      </c>
      <c r="AH340" s="882">
        <f>IF($O341=0,0,        _xll.qDateNext($O340,AH$17,$AH$16,TRUE,Currency1))</f>
        <v>0</v>
      </c>
      <c r="AI340" s="886">
        <f>IF($O341=0,0,           IF(FRM,_xll.qGetFwdRate(AI$14,$O340,AA340,"T",DCC_Leg1_Float),_xll.qGetFwdRate(AI$14,$O340,$O341,"T",DCC_Leg1_Float)))</f>
        <v>0</v>
      </c>
      <c r="AJ340" s="886">
        <f>IF($O341=0,0,           IF(FRM,_xll.qGetFwdRate(AJ$14,$O340,AB340,"T",DCC_Leg1_Float),_xll.qGetFwdRate(AJ$14,$O340,$O341,"T",DCC_Leg1_Float)))</f>
        <v>0</v>
      </c>
      <c r="AK340" s="886">
        <f t="shared" si="164"/>
        <v>0</v>
      </c>
      <c r="AL340" s="886">
        <f>IF($O341=0,0,           IF(FRM,_xll.qGetFwdRate(AL$14,$O340,AD340,"T",DCC_Leg1_Float),_xll.qGetFwdRate(AL$14,$O340,$O341,"T",DCC_Leg1_Float)))</f>
        <v>0</v>
      </c>
      <c r="AM340" s="886">
        <f t="shared" si="177"/>
        <v>0</v>
      </c>
      <c r="AN340" s="886">
        <f t="shared" si="178"/>
        <v>0</v>
      </c>
      <c r="AO340" s="886">
        <f>IF($O341=0,0,           IF(FRM,_xll.qGetFwdRate(AO$14,$O340,AG340,"T",DCC_Leg1_Float),_xll.qGetFwdRate(AO$14,$O340,$O341,"T",DCC_Leg1_Float)))</f>
        <v>0</v>
      </c>
      <c r="AP340" s="886">
        <f>IF($O341=0,0,           IF(FRM,_xll.qGetFwdRate(AP$14,$O340,AH340,"T",DCC_Leg1_Float),_xll.qGetFwdRate(AP$14,$O340,$O341,"T",DCC_Leg1_Float)))</f>
        <v>0</v>
      </c>
      <c r="AQ340" s="648">
        <f t="shared" si="179"/>
        <v>0</v>
      </c>
      <c r="AR340" s="648">
        <f t="shared" si="180"/>
        <v>0</v>
      </c>
      <c r="AS340" s="648">
        <f t="shared" si="181"/>
        <v>0</v>
      </c>
      <c r="AT340" s="648">
        <f t="shared" si="182"/>
        <v>0</v>
      </c>
      <c r="AU340" s="648">
        <f t="shared" si="183"/>
        <v>0</v>
      </c>
      <c r="AV340" s="648">
        <f t="shared" si="184"/>
        <v>0</v>
      </c>
      <c r="AW340" s="648">
        <f t="shared" si="185"/>
        <v>0</v>
      </c>
      <c r="AX340" s="648">
        <f t="shared" si="186"/>
        <v>0</v>
      </c>
      <c r="AY340" s="634">
        <v>0</v>
      </c>
      <c r="AZ340" s="616"/>
      <c r="BA340" s="619">
        <f>IF(O341=0,0,             IF(ISNUMBER(AZ340),AZ340,             IF(ISTEXT(AZ340),INDEX(AQ340:AX340,MATCH(AZ340,$AQ$17:$AX$17,0)),           IF(AY340="INT",_xll.qInterp(O341,AA340:AH340,AQ340:AX340),       INDEX(AQ340:AX340,MATCH(AY340,$AQ$17:$AX$17,0))))))</f>
        <v>0</v>
      </c>
      <c r="BB340" s="674">
        <v>100</v>
      </c>
      <c r="BC340" s="666">
        <f t="shared" si="165"/>
        <v>0</v>
      </c>
      <c r="BD340" s="268">
        <f>IF($O341=0,0,                IF(LEFT(DCC_Leg1_Fixed,2)="1/",uEvaluate(DCC_Leg1_Fixed),        _xll.qDateYears($O340,$O341,DCC_Leg1_Fixed)))</f>
        <v>0</v>
      </c>
      <c r="BE340" s="268">
        <f>IF($O341,_xll.qDateYears($O340,$O341,DCC_Leg1_Float),0)</f>
        <v>0</v>
      </c>
      <c r="BG340" s="332">
        <f t="shared" si="187"/>
        <v>0</v>
      </c>
      <c r="BH340" s="357">
        <f t="shared" si="188"/>
        <v>0</v>
      </c>
      <c r="BI340" s="527"/>
      <c r="BK340" s="324">
        <f t="shared" si="161"/>
        <v>0</v>
      </c>
      <c r="BM340" s="338"/>
      <c r="BN340" s="121">
        <v>0</v>
      </c>
      <c r="BO340" s="755">
        <f t="shared" si="166"/>
        <v>0</v>
      </c>
      <c r="BP340" s="339">
        <v>0</v>
      </c>
      <c r="BQ340" s="890">
        <f>IF(BN341=0,0,         IF(OR(Currency2="AUD",Currency1="NZD",Currency2="GBP"),BN340,   _xll.qDateNext(BN340,"-2b",,,IF(Currency2="EUR","TGT","LON"))))</f>
        <v>0</v>
      </c>
      <c r="BR340" s="879" t="str">
        <v/>
      </c>
      <c r="BS340" s="879" t="str">
        <v/>
      </c>
      <c r="BT340" s="879" t="str">
        <v/>
      </c>
      <c r="BU340" s="879" t="str">
        <v/>
      </c>
      <c r="BV340" s="879" t="str">
        <v/>
      </c>
      <c r="BW340" s="879" t="str">
        <v/>
      </c>
      <c r="BX340" s="879" t="str">
        <v/>
      </c>
      <c r="BY340" s="879" t="str">
        <v/>
      </c>
      <c r="BZ340" s="882">
        <f>IF($BN341=0,0,        _xll.qDateNext($BN340,BZ$17,$CG$16,TRUE,Currency2))</f>
        <v>0</v>
      </c>
      <c r="CA340" s="882">
        <f>IF($BN341=0,0,        _xll.qDateNext($BN340,CA$17,$CG$16,TRUE,Currency2))</f>
        <v>0</v>
      </c>
      <c r="CB340" s="882">
        <f>IF($BN341=0,0,        _xll.qDateNext($BN340,CB$17,$CG$16,TRUE,Currency2))</f>
        <v>0</v>
      </c>
      <c r="CC340" s="882">
        <f>IF($BN341=0,0,        _xll.qDateNext($BN340,CC$17,$CG$16,TRUE,Currency2))</f>
        <v>0</v>
      </c>
      <c r="CD340" s="882">
        <f>IF($BN341=0,0,        _xll.qDateNext($BN340,CD$17,$CG$16,TRUE,Currency2))</f>
        <v>0</v>
      </c>
      <c r="CE340" s="882">
        <f>IF($BN341=0,0,        _xll.qDateNext($BN340,CE$17,$CG$16,TRUE,Currency2))</f>
        <v>0</v>
      </c>
      <c r="CF340" s="882">
        <f>IF($BN341=0,0,        _xll.qDateNext($BN340,CF$17,$CG$16,TRUE,Currency2))</f>
        <v>0</v>
      </c>
      <c r="CG340" s="882">
        <f>IF($BN341=0,0,        _xll.qDateNext($BN340,CG$17,$CG$16,TRUE,Currency2))</f>
        <v>0</v>
      </c>
      <c r="CH340" s="886">
        <v>0</v>
      </c>
      <c r="CI340" s="886">
        <v>0</v>
      </c>
      <c r="CJ340" s="886">
        <v>0</v>
      </c>
      <c r="CK340" s="886">
        <v>0</v>
      </c>
      <c r="CL340" s="886">
        <f t="shared" si="189"/>
        <v>0</v>
      </c>
      <c r="CM340" s="886">
        <f t="shared" si="190"/>
        <v>0</v>
      </c>
      <c r="CN340" s="886">
        <v>0</v>
      </c>
      <c r="CO340" s="886">
        <v>0</v>
      </c>
      <c r="CP340" s="648">
        <f t="shared" si="167"/>
        <v>0</v>
      </c>
      <c r="CQ340" s="648">
        <f t="shared" si="168"/>
        <v>0</v>
      </c>
      <c r="CR340" s="648">
        <f t="shared" si="169"/>
        <v>0</v>
      </c>
      <c r="CS340" s="648">
        <f t="shared" si="170"/>
        <v>0</v>
      </c>
      <c r="CT340" s="648">
        <f t="shared" si="171"/>
        <v>0</v>
      </c>
      <c r="CU340" s="648">
        <f t="shared" si="172"/>
        <v>0</v>
      </c>
      <c r="CV340" s="648">
        <f t="shared" si="173"/>
        <v>0</v>
      </c>
      <c r="CW340" s="648">
        <f t="shared" si="174"/>
        <v>0</v>
      </c>
      <c r="CX340" s="634">
        <v>0</v>
      </c>
      <c r="CY340" s="616"/>
      <c r="CZ340" s="619">
        <f>IF(BN341=0,0,             IF(ISNUMBER(CY340),CY340,             IF(ISTEXT(CY340),INDEX(CP340:CW340,MATCH(CY340,$CP$17:$CW$17,0)),           IF(CX340="INT",_xll.qInterp(BN341,BZ340:CG340,CP340:CW340),       INDEX(CP340:CW340,MATCH(CX340,$CP$17:$CW$17,0))))))</f>
        <v>0</v>
      </c>
      <c r="DA340" s="755">
        <f t="shared" si="175"/>
        <v>0</v>
      </c>
      <c r="DB340" s="387">
        <f t="shared" si="176"/>
        <v>0</v>
      </c>
      <c r="DC340" s="268">
        <f>IF($BN341=0,0,         IF(LEFT(DCC_Leg2_Fixed,2)="1/",uEvaluate(DCC_Leg2_Fixed),         _xll.qDateYears($BN340,$BN341,DCC_Leg2_Fixed)))</f>
        <v>0</v>
      </c>
      <c r="DD340" s="268">
        <f>IF($BN341,_xll.qDateYears($BN340,$BN341,DCC_Leg2_Float),0)</f>
        <v>0</v>
      </c>
      <c r="DF340" s="332">
        <f t="shared" si="191"/>
        <v>0</v>
      </c>
      <c r="DG340" s="357">
        <f t="shared" si="192"/>
        <v>0</v>
      </c>
      <c r="DH340" s="527"/>
      <c r="DJ340" s="324">
        <f t="shared" si="162"/>
        <v>0</v>
      </c>
      <c r="DK340" s="529"/>
      <c r="DL340" s="338"/>
    </row>
    <row r="341" spans="15:116">
      <c r="O341" s="121">
        <v>0</v>
      </c>
      <c r="P341" s="755">
        <f t="shared" si="163"/>
        <v>0</v>
      </c>
      <c r="Q341" s="125">
        <v>0</v>
      </c>
      <c r="R341" s="890">
        <f>IF(O342=0,0,         IF(OR(Currency1="AUD",Currency1="NZD",Currency1="GBP"),O341,   _xll.qDateNext(O341,"-2b",,,IF(Currency1="EUR","TGT","LON"))))</f>
        <v>0</v>
      </c>
      <c r="S341" s="879" t="str">
        <v/>
      </c>
      <c r="T341" s="879" t="str">
        <v/>
      </c>
      <c r="U341" s="879" t="str">
        <v/>
      </c>
      <c r="V341" s="879" t="str">
        <v/>
      </c>
      <c r="W341" s="879" t="str">
        <v/>
      </c>
      <c r="X341" s="879" t="str">
        <v/>
      </c>
      <c r="Y341" s="879" t="str">
        <v/>
      </c>
      <c r="Z341" s="879" t="str">
        <v/>
      </c>
      <c r="AA341" s="882">
        <f>IF($O342=0,0,        _xll.qDateNext($O341,AA$17,$AH$16,TRUE,Currency1))</f>
        <v>0</v>
      </c>
      <c r="AB341" s="882">
        <f>IF($O342=0,0,        _xll.qDateNext($O341,AB$17,$AH$16,TRUE,Currency1))</f>
        <v>0</v>
      </c>
      <c r="AC341" s="882">
        <f>IF($O342=0,0,        _xll.qDateNext($O341,AC$17,$AH$16,TRUE,Currency1))</f>
        <v>0</v>
      </c>
      <c r="AD341" s="882">
        <f>IF($O342=0,0,        _xll.qDateNext($O341,AD$17,$AH$16,TRUE,Currency1))</f>
        <v>0</v>
      </c>
      <c r="AE341" s="882">
        <f>IF($O342=0,0,        _xll.qDateNext($O341,AE$17,$AH$16,TRUE,Currency1))</f>
        <v>0</v>
      </c>
      <c r="AF341" s="882">
        <f>IF($O342=0,0,        _xll.qDateNext($O341,AF$17,$AH$16,TRUE,Currency1))</f>
        <v>0</v>
      </c>
      <c r="AG341" s="882">
        <f>IF($O342=0,0,        _xll.qDateNext($O341,AG$17,$AH$16,TRUE,Currency1))</f>
        <v>0</v>
      </c>
      <c r="AH341" s="882">
        <f>IF($O342=0,0,        _xll.qDateNext($O341,AH$17,$AH$16,TRUE,Currency1))</f>
        <v>0</v>
      </c>
      <c r="AI341" s="886">
        <f>IF($O342=0,0,           IF(FRM,_xll.qGetFwdRate(AI$14,$O341,AA341,"T",DCC_Leg1_Float),_xll.qGetFwdRate(AI$14,$O341,$O342,"T",DCC_Leg1_Float)))</f>
        <v>0</v>
      </c>
      <c r="AJ341" s="886">
        <f>IF($O342=0,0,           IF(FRM,_xll.qGetFwdRate(AJ$14,$O341,AB341,"T",DCC_Leg1_Float),_xll.qGetFwdRate(AJ$14,$O341,$O342,"T",DCC_Leg1_Float)))</f>
        <v>0</v>
      </c>
      <c r="AK341" s="886">
        <f t="shared" si="164"/>
        <v>0</v>
      </c>
      <c r="AL341" s="886">
        <f>IF($O342=0,0,           IF(FRM,_xll.qGetFwdRate(AL$14,$O341,AD341,"T",DCC_Leg1_Float),_xll.qGetFwdRate(AL$14,$O341,$O342,"T",DCC_Leg1_Float)))</f>
        <v>0</v>
      </c>
      <c r="AM341" s="886">
        <f t="shared" si="177"/>
        <v>0</v>
      </c>
      <c r="AN341" s="886">
        <f t="shared" si="178"/>
        <v>0</v>
      </c>
      <c r="AO341" s="886">
        <f>IF($O342=0,0,           IF(FRM,_xll.qGetFwdRate(AO$14,$O341,AG341,"T",DCC_Leg1_Float),_xll.qGetFwdRate(AO$14,$O341,$O342,"T",DCC_Leg1_Float)))</f>
        <v>0</v>
      </c>
      <c r="AP341" s="886">
        <f>IF($O342=0,0,           IF(FRM,_xll.qGetFwdRate(AP$14,$O341,AH341,"T",DCC_Leg1_Float),_xll.qGetFwdRate(AP$14,$O341,$O342,"T",DCC_Leg1_Float)))</f>
        <v>0</v>
      </c>
      <c r="AQ341" s="648">
        <f t="shared" si="179"/>
        <v>0</v>
      </c>
      <c r="AR341" s="648">
        <f t="shared" si="180"/>
        <v>0</v>
      </c>
      <c r="AS341" s="648">
        <f t="shared" si="181"/>
        <v>0</v>
      </c>
      <c r="AT341" s="648">
        <f t="shared" si="182"/>
        <v>0</v>
      </c>
      <c r="AU341" s="648">
        <f t="shared" si="183"/>
        <v>0</v>
      </c>
      <c r="AV341" s="648">
        <f t="shared" si="184"/>
        <v>0</v>
      </c>
      <c r="AW341" s="648">
        <f t="shared" si="185"/>
        <v>0</v>
      </c>
      <c r="AX341" s="648">
        <f t="shared" si="186"/>
        <v>0</v>
      </c>
      <c r="AY341" s="634">
        <v>0</v>
      </c>
      <c r="AZ341" s="616"/>
      <c r="BA341" s="619">
        <f>IF(O342=0,0,             IF(ISNUMBER(AZ341),AZ341,             IF(ISTEXT(AZ341),INDEX(AQ341:AX341,MATCH(AZ341,$AQ$17:$AX$17,0)),           IF(AY341="INT",_xll.qInterp(O342,AA341:AH341,AQ341:AX341),       INDEX(AQ341:AX341,MATCH(AY341,$AQ$17:$AX$17,0))))))</f>
        <v>0</v>
      </c>
      <c r="BB341" s="674">
        <v>100</v>
      </c>
      <c r="BC341" s="666">
        <f t="shared" si="165"/>
        <v>0</v>
      </c>
      <c r="BD341" s="268">
        <f>IF($O342=0,0,                IF(LEFT(DCC_Leg1_Fixed,2)="1/",uEvaluate(DCC_Leg1_Fixed),        _xll.qDateYears($O341,$O342,DCC_Leg1_Fixed)))</f>
        <v>0</v>
      </c>
      <c r="BE341" s="268">
        <f>IF($O342,_xll.qDateYears($O341,$O342,DCC_Leg1_Float),0)</f>
        <v>0</v>
      </c>
      <c r="BG341" s="332">
        <f t="shared" si="187"/>
        <v>0</v>
      </c>
      <c r="BH341" s="357">
        <f t="shared" si="188"/>
        <v>0</v>
      </c>
      <c r="BI341" s="527"/>
      <c r="BK341" s="324">
        <f t="shared" si="161"/>
        <v>0</v>
      </c>
      <c r="BM341" s="338"/>
      <c r="BN341" s="121">
        <v>0</v>
      </c>
      <c r="BO341" s="755">
        <f t="shared" si="166"/>
        <v>0</v>
      </c>
      <c r="BP341" s="339">
        <v>0</v>
      </c>
      <c r="BQ341" s="890">
        <f>IF(BN342=0,0,         IF(OR(Currency2="AUD",Currency1="NZD",Currency2="GBP"),BN341,   _xll.qDateNext(BN341,"-2b",,,IF(Currency2="EUR","TGT","LON"))))</f>
        <v>0</v>
      </c>
      <c r="BR341" s="879" t="str">
        <v/>
      </c>
      <c r="BS341" s="879" t="str">
        <v/>
      </c>
      <c r="BT341" s="879" t="str">
        <v/>
      </c>
      <c r="BU341" s="879" t="str">
        <v/>
      </c>
      <c r="BV341" s="879" t="str">
        <v/>
      </c>
      <c r="BW341" s="879" t="str">
        <v/>
      </c>
      <c r="BX341" s="879" t="str">
        <v/>
      </c>
      <c r="BY341" s="879" t="str">
        <v/>
      </c>
      <c r="BZ341" s="882">
        <f>IF($BN342=0,0,        _xll.qDateNext($BN341,BZ$17,$CG$16,TRUE,Currency2))</f>
        <v>0</v>
      </c>
      <c r="CA341" s="882">
        <f>IF($BN342=0,0,        _xll.qDateNext($BN341,CA$17,$CG$16,TRUE,Currency2))</f>
        <v>0</v>
      </c>
      <c r="CB341" s="882">
        <f>IF($BN342=0,0,        _xll.qDateNext($BN341,CB$17,$CG$16,TRUE,Currency2))</f>
        <v>0</v>
      </c>
      <c r="CC341" s="882">
        <f>IF($BN342=0,0,        _xll.qDateNext($BN341,CC$17,$CG$16,TRUE,Currency2))</f>
        <v>0</v>
      </c>
      <c r="CD341" s="882">
        <f>IF($BN342=0,0,        _xll.qDateNext($BN341,CD$17,$CG$16,TRUE,Currency2))</f>
        <v>0</v>
      </c>
      <c r="CE341" s="882">
        <f>IF($BN342=0,0,        _xll.qDateNext($BN341,CE$17,$CG$16,TRUE,Currency2))</f>
        <v>0</v>
      </c>
      <c r="CF341" s="882">
        <f>IF($BN342=0,0,        _xll.qDateNext($BN341,CF$17,$CG$16,TRUE,Currency2))</f>
        <v>0</v>
      </c>
      <c r="CG341" s="882">
        <f>IF($BN342=0,0,        _xll.qDateNext($BN341,CG$17,$CG$16,TRUE,Currency2))</f>
        <v>0</v>
      </c>
      <c r="CH341" s="886">
        <v>0</v>
      </c>
      <c r="CI341" s="886">
        <v>0</v>
      </c>
      <c r="CJ341" s="886">
        <v>0</v>
      </c>
      <c r="CK341" s="886">
        <v>0</v>
      </c>
      <c r="CL341" s="886">
        <f t="shared" si="189"/>
        <v>0</v>
      </c>
      <c r="CM341" s="886">
        <f t="shared" si="190"/>
        <v>0</v>
      </c>
      <c r="CN341" s="886">
        <v>0</v>
      </c>
      <c r="CO341" s="886">
        <v>0</v>
      </c>
      <c r="CP341" s="648">
        <f t="shared" si="167"/>
        <v>0</v>
      </c>
      <c r="CQ341" s="648">
        <f t="shared" si="168"/>
        <v>0</v>
      </c>
      <c r="CR341" s="648">
        <f t="shared" si="169"/>
        <v>0</v>
      </c>
      <c r="CS341" s="648">
        <f t="shared" si="170"/>
        <v>0</v>
      </c>
      <c r="CT341" s="648">
        <f t="shared" si="171"/>
        <v>0</v>
      </c>
      <c r="CU341" s="648">
        <f t="shared" si="172"/>
        <v>0</v>
      </c>
      <c r="CV341" s="648">
        <f t="shared" si="173"/>
        <v>0</v>
      </c>
      <c r="CW341" s="648">
        <f t="shared" si="174"/>
        <v>0</v>
      </c>
      <c r="CX341" s="634">
        <v>0</v>
      </c>
      <c r="CY341" s="616"/>
      <c r="CZ341" s="619">
        <f>IF(BN342=0,0,             IF(ISNUMBER(CY341),CY341,             IF(ISTEXT(CY341),INDEX(CP341:CW341,MATCH(CY341,$CP$17:$CW$17,0)),           IF(CX341="INT",_xll.qInterp(BN342,BZ341:CG341,CP341:CW341),       INDEX(CP341:CW341,MATCH(CX341,$CP$17:$CW$17,0))))))</f>
        <v>0</v>
      </c>
      <c r="DA341" s="755">
        <f t="shared" si="175"/>
        <v>0</v>
      </c>
      <c r="DB341" s="387">
        <f t="shared" si="176"/>
        <v>0</v>
      </c>
      <c r="DC341" s="268">
        <f>IF($BN342=0,0,         IF(LEFT(DCC_Leg2_Fixed,2)="1/",uEvaluate(DCC_Leg2_Fixed),         _xll.qDateYears($BN341,$BN342,DCC_Leg2_Fixed)))</f>
        <v>0</v>
      </c>
      <c r="DD341" s="268">
        <f>IF($BN342,_xll.qDateYears($BN341,$BN342,DCC_Leg2_Float),0)</f>
        <v>0</v>
      </c>
      <c r="DF341" s="332">
        <f t="shared" si="191"/>
        <v>0</v>
      </c>
      <c r="DG341" s="357">
        <f t="shared" si="192"/>
        <v>0</v>
      </c>
      <c r="DH341" s="527"/>
      <c r="DJ341" s="324">
        <f t="shared" si="162"/>
        <v>0</v>
      </c>
      <c r="DK341" s="529"/>
      <c r="DL341" s="338"/>
    </row>
    <row r="342" spans="15:116">
      <c r="O342" s="121">
        <v>0</v>
      </c>
      <c r="P342" s="755">
        <f t="shared" si="163"/>
        <v>0</v>
      </c>
      <c r="Q342" s="125">
        <v>0</v>
      </c>
      <c r="R342" s="890">
        <f>IF(O343=0,0,         IF(OR(Currency1="AUD",Currency1="NZD",Currency1="GBP"),O342,   _xll.qDateNext(O342,"-2b",,,IF(Currency1="EUR","TGT","LON"))))</f>
        <v>0</v>
      </c>
      <c r="S342" s="879" t="str">
        <v/>
      </c>
      <c r="T342" s="879" t="str">
        <v/>
      </c>
      <c r="U342" s="879" t="str">
        <v/>
      </c>
      <c r="V342" s="879" t="str">
        <v/>
      </c>
      <c r="W342" s="879" t="str">
        <v/>
      </c>
      <c r="X342" s="879" t="str">
        <v/>
      </c>
      <c r="Y342" s="879" t="str">
        <v/>
      </c>
      <c r="Z342" s="879" t="str">
        <v/>
      </c>
      <c r="AA342" s="882">
        <f>IF($O343=0,0,        _xll.qDateNext($O342,AA$17,$AH$16,TRUE,Currency1))</f>
        <v>0</v>
      </c>
      <c r="AB342" s="882">
        <f>IF($O343=0,0,        _xll.qDateNext($O342,AB$17,$AH$16,TRUE,Currency1))</f>
        <v>0</v>
      </c>
      <c r="AC342" s="882">
        <f>IF($O343=0,0,        _xll.qDateNext($O342,AC$17,$AH$16,TRUE,Currency1))</f>
        <v>0</v>
      </c>
      <c r="AD342" s="882">
        <f>IF($O343=0,0,        _xll.qDateNext($O342,AD$17,$AH$16,TRUE,Currency1))</f>
        <v>0</v>
      </c>
      <c r="AE342" s="882">
        <f>IF($O343=0,0,        _xll.qDateNext($O342,AE$17,$AH$16,TRUE,Currency1))</f>
        <v>0</v>
      </c>
      <c r="AF342" s="882">
        <f>IF($O343=0,0,        _xll.qDateNext($O342,AF$17,$AH$16,TRUE,Currency1))</f>
        <v>0</v>
      </c>
      <c r="AG342" s="882">
        <f>IF($O343=0,0,        _xll.qDateNext($O342,AG$17,$AH$16,TRUE,Currency1))</f>
        <v>0</v>
      </c>
      <c r="AH342" s="882">
        <f>IF($O343=0,0,        _xll.qDateNext($O342,AH$17,$AH$16,TRUE,Currency1))</f>
        <v>0</v>
      </c>
      <c r="AI342" s="886">
        <f>IF($O343=0,0,           IF(FRM,_xll.qGetFwdRate(AI$14,$O342,AA342,"T",DCC_Leg1_Float),_xll.qGetFwdRate(AI$14,$O342,$O343,"T",DCC_Leg1_Float)))</f>
        <v>0</v>
      </c>
      <c r="AJ342" s="886">
        <f>IF($O343=0,0,           IF(FRM,_xll.qGetFwdRate(AJ$14,$O342,AB342,"T",DCC_Leg1_Float),_xll.qGetFwdRate(AJ$14,$O342,$O343,"T",DCC_Leg1_Float)))</f>
        <v>0</v>
      </c>
      <c r="AK342" s="886">
        <f t="shared" si="164"/>
        <v>0</v>
      </c>
      <c r="AL342" s="886">
        <f>IF($O343=0,0,           IF(FRM,_xll.qGetFwdRate(AL$14,$O342,AD342,"T",DCC_Leg1_Float),_xll.qGetFwdRate(AL$14,$O342,$O343,"T",DCC_Leg1_Float)))</f>
        <v>0</v>
      </c>
      <c r="AM342" s="886">
        <f t="shared" si="177"/>
        <v>0</v>
      </c>
      <c r="AN342" s="886">
        <f t="shared" si="178"/>
        <v>0</v>
      </c>
      <c r="AO342" s="886">
        <f>IF($O343=0,0,           IF(FRM,_xll.qGetFwdRate(AO$14,$O342,AG342,"T",DCC_Leg1_Float),_xll.qGetFwdRate(AO$14,$O342,$O343,"T",DCC_Leg1_Float)))</f>
        <v>0</v>
      </c>
      <c r="AP342" s="886">
        <f>IF($O343=0,0,           IF(FRM,_xll.qGetFwdRate(AP$14,$O342,AH342,"T",DCC_Leg1_Float),_xll.qGetFwdRate(AP$14,$O342,$O343,"T",DCC_Leg1_Float)))</f>
        <v>0</v>
      </c>
      <c r="AQ342" s="648">
        <f t="shared" si="179"/>
        <v>0</v>
      </c>
      <c r="AR342" s="648">
        <f t="shared" si="180"/>
        <v>0</v>
      </c>
      <c r="AS342" s="648">
        <f t="shared" si="181"/>
        <v>0</v>
      </c>
      <c r="AT342" s="648">
        <f t="shared" si="182"/>
        <v>0</v>
      </c>
      <c r="AU342" s="648">
        <f t="shared" si="183"/>
        <v>0</v>
      </c>
      <c r="AV342" s="648">
        <f t="shared" si="184"/>
        <v>0</v>
      </c>
      <c r="AW342" s="648">
        <f t="shared" si="185"/>
        <v>0</v>
      </c>
      <c r="AX342" s="648">
        <f t="shared" si="186"/>
        <v>0</v>
      </c>
      <c r="AY342" s="634">
        <v>0</v>
      </c>
      <c r="AZ342" s="616"/>
      <c r="BA342" s="619">
        <f>IF(O343=0,0,             IF(ISNUMBER(AZ342),AZ342,             IF(ISTEXT(AZ342),INDEX(AQ342:AX342,MATCH(AZ342,$AQ$17:$AX$17,0)),           IF(AY342="INT",_xll.qInterp(O343,AA342:AH342,AQ342:AX342),       INDEX(AQ342:AX342,MATCH(AY342,$AQ$17:$AX$17,0))))))</f>
        <v>0</v>
      </c>
      <c r="BB342" s="674">
        <v>100</v>
      </c>
      <c r="BC342" s="666">
        <f t="shared" si="165"/>
        <v>0</v>
      </c>
      <c r="BD342" s="268">
        <f>IF($O343=0,0,                IF(LEFT(DCC_Leg1_Fixed,2)="1/",uEvaluate(DCC_Leg1_Fixed),        _xll.qDateYears($O342,$O343,DCC_Leg1_Fixed)))</f>
        <v>0</v>
      </c>
      <c r="BE342" s="268">
        <f>IF($O343,_xll.qDateYears($O342,$O343,DCC_Leg1_Float),0)</f>
        <v>0</v>
      </c>
      <c r="BG342" s="332">
        <f t="shared" si="187"/>
        <v>0</v>
      </c>
      <c r="BH342" s="357">
        <f t="shared" si="188"/>
        <v>0</v>
      </c>
      <c r="BI342" s="527"/>
      <c r="BK342" s="324">
        <f t="shared" si="161"/>
        <v>0</v>
      </c>
      <c r="BM342" s="338"/>
      <c r="BN342" s="121">
        <v>0</v>
      </c>
      <c r="BO342" s="755">
        <f t="shared" si="166"/>
        <v>0</v>
      </c>
      <c r="BP342" s="339">
        <v>0</v>
      </c>
      <c r="BQ342" s="890">
        <f>IF(BN343=0,0,         IF(OR(Currency2="AUD",Currency1="NZD",Currency2="GBP"),BN342,   _xll.qDateNext(BN342,"-2b",,,IF(Currency2="EUR","TGT","LON"))))</f>
        <v>0</v>
      </c>
      <c r="BR342" s="879" t="str">
        <v/>
      </c>
      <c r="BS342" s="879" t="str">
        <v/>
      </c>
      <c r="BT342" s="879" t="str">
        <v/>
      </c>
      <c r="BU342" s="879" t="str">
        <v/>
      </c>
      <c r="BV342" s="879" t="str">
        <v/>
      </c>
      <c r="BW342" s="879" t="str">
        <v/>
      </c>
      <c r="BX342" s="879" t="str">
        <v/>
      </c>
      <c r="BY342" s="879" t="str">
        <v/>
      </c>
      <c r="BZ342" s="882">
        <f>IF($BN343=0,0,        _xll.qDateNext($BN342,BZ$17,$CG$16,TRUE,Currency2))</f>
        <v>0</v>
      </c>
      <c r="CA342" s="882">
        <f>IF($BN343=0,0,        _xll.qDateNext($BN342,CA$17,$CG$16,TRUE,Currency2))</f>
        <v>0</v>
      </c>
      <c r="CB342" s="882">
        <f>IF($BN343=0,0,        _xll.qDateNext($BN342,CB$17,$CG$16,TRUE,Currency2))</f>
        <v>0</v>
      </c>
      <c r="CC342" s="882">
        <f>IF($BN343=0,0,        _xll.qDateNext($BN342,CC$17,$CG$16,TRUE,Currency2))</f>
        <v>0</v>
      </c>
      <c r="CD342" s="882">
        <f>IF($BN343=0,0,        _xll.qDateNext($BN342,CD$17,$CG$16,TRUE,Currency2))</f>
        <v>0</v>
      </c>
      <c r="CE342" s="882">
        <f>IF($BN343=0,0,        _xll.qDateNext($BN342,CE$17,$CG$16,TRUE,Currency2))</f>
        <v>0</v>
      </c>
      <c r="CF342" s="882">
        <f>IF($BN343=0,0,        _xll.qDateNext($BN342,CF$17,$CG$16,TRUE,Currency2))</f>
        <v>0</v>
      </c>
      <c r="CG342" s="882">
        <f>IF($BN343=0,0,        _xll.qDateNext($BN342,CG$17,$CG$16,TRUE,Currency2))</f>
        <v>0</v>
      </c>
      <c r="CH342" s="886">
        <v>0</v>
      </c>
      <c r="CI342" s="886">
        <v>0</v>
      </c>
      <c r="CJ342" s="886">
        <v>0</v>
      </c>
      <c r="CK342" s="886">
        <v>0</v>
      </c>
      <c r="CL342" s="886">
        <f t="shared" si="189"/>
        <v>0</v>
      </c>
      <c r="CM342" s="886">
        <f t="shared" si="190"/>
        <v>0</v>
      </c>
      <c r="CN342" s="886">
        <v>0</v>
      </c>
      <c r="CO342" s="886">
        <v>0</v>
      </c>
      <c r="CP342" s="648">
        <f t="shared" si="167"/>
        <v>0</v>
      </c>
      <c r="CQ342" s="648">
        <f t="shared" si="168"/>
        <v>0</v>
      </c>
      <c r="CR342" s="648">
        <f t="shared" si="169"/>
        <v>0</v>
      </c>
      <c r="CS342" s="648">
        <f t="shared" si="170"/>
        <v>0</v>
      </c>
      <c r="CT342" s="648">
        <f t="shared" si="171"/>
        <v>0</v>
      </c>
      <c r="CU342" s="648">
        <f t="shared" si="172"/>
        <v>0</v>
      </c>
      <c r="CV342" s="648">
        <f t="shared" si="173"/>
        <v>0</v>
      </c>
      <c r="CW342" s="648">
        <f t="shared" si="174"/>
        <v>0</v>
      </c>
      <c r="CX342" s="634">
        <v>0</v>
      </c>
      <c r="CY342" s="616"/>
      <c r="CZ342" s="619">
        <f>IF(BN343=0,0,             IF(ISNUMBER(CY342),CY342,             IF(ISTEXT(CY342),INDEX(CP342:CW342,MATCH(CY342,$CP$17:$CW$17,0)),           IF(CX342="INT",_xll.qInterp(BN343,BZ342:CG342,CP342:CW342),       INDEX(CP342:CW342,MATCH(CX342,$CP$17:$CW$17,0))))))</f>
        <v>0</v>
      </c>
      <c r="DA342" s="755">
        <f t="shared" si="175"/>
        <v>0</v>
      </c>
      <c r="DB342" s="387">
        <f t="shared" si="176"/>
        <v>0</v>
      </c>
      <c r="DC342" s="268">
        <f>IF($BN343=0,0,         IF(LEFT(DCC_Leg2_Fixed,2)="1/",uEvaluate(DCC_Leg2_Fixed),         _xll.qDateYears($BN342,$BN343,DCC_Leg2_Fixed)))</f>
        <v>0</v>
      </c>
      <c r="DD342" s="268">
        <f>IF($BN343,_xll.qDateYears($BN342,$BN343,DCC_Leg2_Float),0)</f>
        <v>0</v>
      </c>
      <c r="DF342" s="332">
        <f t="shared" si="191"/>
        <v>0</v>
      </c>
      <c r="DG342" s="357">
        <f t="shared" si="192"/>
        <v>0</v>
      </c>
      <c r="DH342" s="527"/>
      <c r="DJ342" s="324">
        <f t="shared" si="162"/>
        <v>0</v>
      </c>
      <c r="DK342" s="529"/>
      <c r="DL342" s="338"/>
    </row>
    <row r="343" spans="15:116">
      <c r="O343" s="121">
        <v>0</v>
      </c>
      <c r="P343" s="755">
        <f t="shared" si="163"/>
        <v>0</v>
      </c>
      <c r="Q343" s="125">
        <v>0</v>
      </c>
      <c r="R343" s="890">
        <f>IF(O344=0,0,         IF(OR(Currency1="AUD",Currency1="NZD",Currency1="GBP"),O343,   _xll.qDateNext(O343,"-2b",,,IF(Currency1="EUR","TGT","LON"))))</f>
        <v>0</v>
      </c>
      <c r="S343" s="879" t="str">
        <v/>
      </c>
      <c r="T343" s="879" t="str">
        <v/>
      </c>
      <c r="U343" s="879" t="str">
        <v/>
      </c>
      <c r="V343" s="879" t="str">
        <v/>
      </c>
      <c r="W343" s="879" t="str">
        <v/>
      </c>
      <c r="X343" s="879" t="str">
        <v/>
      </c>
      <c r="Y343" s="879" t="str">
        <v/>
      </c>
      <c r="Z343" s="879" t="str">
        <v/>
      </c>
      <c r="AA343" s="882">
        <f>IF($O344=0,0,        _xll.qDateNext($O343,AA$17,$AH$16,TRUE,Currency1))</f>
        <v>0</v>
      </c>
      <c r="AB343" s="882">
        <f>IF($O344=0,0,        _xll.qDateNext($O343,AB$17,$AH$16,TRUE,Currency1))</f>
        <v>0</v>
      </c>
      <c r="AC343" s="882">
        <f>IF($O344=0,0,        _xll.qDateNext($O343,AC$17,$AH$16,TRUE,Currency1))</f>
        <v>0</v>
      </c>
      <c r="AD343" s="882">
        <f>IF($O344=0,0,        _xll.qDateNext($O343,AD$17,$AH$16,TRUE,Currency1))</f>
        <v>0</v>
      </c>
      <c r="AE343" s="882">
        <f>IF($O344=0,0,        _xll.qDateNext($O343,AE$17,$AH$16,TRUE,Currency1))</f>
        <v>0</v>
      </c>
      <c r="AF343" s="882">
        <f>IF($O344=0,0,        _xll.qDateNext($O343,AF$17,$AH$16,TRUE,Currency1))</f>
        <v>0</v>
      </c>
      <c r="AG343" s="882">
        <f>IF($O344=0,0,        _xll.qDateNext($O343,AG$17,$AH$16,TRUE,Currency1))</f>
        <v>0</v>
      </c>
      <c r="AH343" s="882">
        <f>IF($O344=0,0,        _xll.qDateNext($O343,AH$17,$AH$16,TRUE,Currency1))</f>
        <v>0</v>
      </c>
      <c r="AI343" s="886">
        <f>IF($O344=0,0,           IF(FRM,_xll.qGetFwdRate(AI$14,$O343,AA343,"T",DCC_Leg1_Float),_xll.qGetFwdRate(AI$14,$O343,$O344,"T",DCC_Leg1_Float)))</f>
        <v>0</v>
      </c>
      <c r="AJ343" s="886">
        <f>IF($O344=0,0,           IF(FRM,_xll.qGetFwdRate(AJ$14,$O343,AB343,"T",DCC_Leg1_Float),_xll.qGetFwdRate(AJ$14,$O343,$O344,"T",DCC_Leg1_Float)))</f>
        <v>0</v>
      </c>
      <c r="AK343" s="886">
        <f t="shared" si="164"/>
        <v>0</v>
      </c>
      <c r="AL343" s="886">
        <f>IF($O344=0,0,           IF(FRM,_xll.qGetFwdRate(AL$14,$O343,AD343,"T",DCC_Leg1_Float),_xll.qGetFwdRate(AL$14,$O343,$O344,"T",DCC_Leg1_Float)))</f>
        <v>0</v>
      </c>
      <c r="AM343" s="886">
        <f t="shared" si="177"/>
        <v>0</v>
      </c>
      <c r="AN343" s="886">
        <f t="shared" si="178"/>
        <v>0</v>
      </c>
      <c r="AO343" s="886">
        <f>IF($O344=0,0,           IF(FRM,_xll.qGetFwdRate(AO$14,$O343,AG343,"T",DCC_Leg1_Float),_xll.qGetFwdRate(AO$14,$O343,$O344,"T",DCC_Leg1_Float)))</f>
        <v>0</v>
      </c>
      <c r="AP343" s="886">
        <f>IF($O344=0,0,           IF(FRM,_xll.qGetFwdRate(AP$14,$O343,AH343,"T",DCC_Leg1_Float),_xll.qGetFwdRate(AP$14,$O343,$O344,"T",DCC_Leg1_Float)))</f>
        <v>0</v>
      </c>
      <c r="AQ343" s="648">
        <f t="shared" si="179"/>
        <v>0</v>
      </c>
      <c r="AR343" s="648">
        <f t="shared" si="180"/>
        <v>0</v>
      </c>
      <c r="AS343" s="648">
        <f t="shared" si="181"/>
        <v>0</v>
      </c>
      <c r="AT343" s="648">
        <f t="shared" si="182"/>
        <v>0</v>
      </c>
      <c r="AU343" s="648">
        <f t="shared" si="183"/>
        <v>0</v>
      </c>
      <c r="AV343" s="648">
        <f t="shared" si="184"/>
        <v>0</v>
      </c>
      <c r="AW343" s="648">
        <f t="shared" si="185"/>
        <v>0</v>
      </c>
      <c r="AX343" s="648">
        <f t="shared" si="186"/>
        <v>0</v>
      </c>
      <c r="AY343" s="634">
        <v>0</v>
      </c>
      <c r="AZ343" s="616"/>
      <c r="BA343" s="619">
        <f>IF(O344=0,0,             IF(ISNUMBER(AZ343),AZ343,             IF(ISTEXT(AZ343),INDEX(AQ343:AX343,MATCH(AZ343,$AQ$17:$AX$17,0)),           IF(AY343="INT",_xll.qInterp(O344,AA343:AH343,AQ343:AX343),       INDEX(AQ343:AX343,MATCH(AY343,$AQ$17:$AX$17,0))))))</f>
        <v>0</v>
      </c>
      <c r="BB343" s="674">
        <v>100</v>
      </c>
      <c r="BC343" s="666">
        <f t="shared" si="165"/>
        <v>0</v>
      </c>
      <c r="BD343" s="268">
        <f>IF($O344=0,0,                IF(LEFT(DCC_Leg1_Fixed,2)="1/",uEvaluate(DCC_Leg1_Fixed),        _xll.qDateYears($O343,$O344,DCC_Leg1_Fixed)))</f>
        <v>0</v>
      </c>
      <c r="BE343" s="268">
        <f>IF($O344,_xll.qDateYears($O343,$O344,DCC_Leg1_Float),0)</f>
        <v>0</v>
      </c>
      <c r="BG343" s="332">
        <f t="shared" si="187"/>
        <v>0</v>
      </c>
      <c r="BH343" s="357">
        <f t="shared" si="188"/>
        <v>0</v>
      </c>
      <c r="BI343" s="527"/>
      <c r="BK343" s="324">
        <f t="shared" si="161"/>
        <v>0</v>
      </c>
      <c r="BM343" s="338"/>
      <c r="BN343" s="121">
        <v>0</v>
      </c>
      <c r="BO343" s="755">
        <f t="shared" si="166"/>
        <v>0</v>
      </c>
      <c r="BP343" s="339">
        <v>0</v>
      </c>
      <c r="BQ343" s="890">
        <f>IF(BN344=0,0,         IF(OR(Currency2="AUD",Currency1="NZD",Currency2="GBP"),BN343,   _xll.qDateNext(BN343,"-2b",,,IF(Currency2="EUR","TGT","LON"))))</f>
        <v>0</v>
      </c>
      <c r="BR343" s="879" t="str">
        <v/>
      </c>
      <c r="BS343" s="879" t="str">
        <v/>
      </c>
      <c r="BT343" s="879" t="str">
        <v/>
      </c>
      <c r="BU343" s="879" t="str">
        <v/>
      </c>
      <c r="BV343" s="879" t="str">
        <v/>
      </c>
      <c r="BW343" s="879" t="str">
        <v/>
      </c>
      <c r="BX343" s="879" t="str">
        <v/>
      </c>
      <c r="BY343" s="879" t="str">
        <v/>
      </c>
      <c r="BZ343" s="882">
        <f>IF($BN344=0,0,        _xll.qDateNext($BN343,BZ$17,$CG$16,TRUE,Currency2))</f>
        <v>0</v>
      </c>
      <c r="CA343" s="882">
        <f>IF($BN344=0,0,        _xll.qDateNext($BN343,CA$17,$CG$16,TRUE,Currency2))</f>
        <v>0</v>
      </c>
      <c r="CB343" s="882">
        <f>IF($BN344=0,0,        _xll.qDateNext($BN343,CB$17,$CG$16,TRUE,Currency2))</f>
        <v>0</v>
      </c>
      <c r="CC343" s="882">
        <f>IF($BN344=0,0,        _xll.qDateNext($BN343,CC$17,$CG$16,TRUE,Currency2))</f>
        <v>0</v>
      </c>
      <c r="CD343" s="882">
        <f>IF($BN344=0,0,        _xll.qDateNext($BN343,CD$17,$CG$16,TRUE,Currency2))</f>
        <v>0</v>
      </c>
      <c r="CE343" s="882">
        <f>IF($BN344=0,0,        _xll.qDateNext($BN343,CE$17,$CG$16,TRUE,Currency2))</f>
        <v>0</v>
      </c>
      <c r="CF343" s="882">
        <f>IF($BN344=0,0,        _xll.qDateNext($BN343,CF$17,$CG$16,TRUE,Currency2))</f>
        <v>0</v>
      </c>
      <c r="CG343" s="882">
        <f>IF($BN344=0,0,        _xll.qDateNext($BN343,CG$17,$CG$16,TRUE,Currency2))</f>
        <v>0</v>
      </c>
      <c r="CH343" s="886">
        <v>0</v>
      </c>
      <c r="CI343" s="886">
        <v>0</v>
      </c>
      <c r="CJ343" s="886">
        <v>0</v>
      </c>
      <c r="CK343" s="886">
        <v>0</v>
      </c>
      <c r="CL343" s="886">
        <f t="shared" si="189"/>
        <v>0</v>
      </c>
      <c r="CM343" s="886">
        <f t="shared" si="190"/>
        <v>0</v>
      </c>
      <c r="CN343" s="886">
        <v>0</v>
      </c>
      <c r="CO343" s="886">
        <v>0</v>
      </c>
      <c r="CP343" s="648">
        <f t="shared" si="167"/>
        <v>0</v>
      </c>
      <c r="CQ343" s="648">
        <f t="shared" si="168"/>
        <v>0</v>
      </c>
      <c r="CR343" s="648">
        <f t="shared" si="169"/>
        <v>0</v>
      </c>
      <c r="CS343" s="648">
        <f t="shared" si="170"/>
        <v>0</v>
      </c>
      <c r="CT343" s="648">
        <f t="shared" si="171"/>
        <v>0</v>
      </c>
      <c r="CU343" s="648">
        <f t="shared" si="172"/>
        <v>0</v>
      </c>
      <c r="CV343" s="648">
        <f t="shared" si="173"/>
        <v>0</v>
      </c>
      <c r="CW343" s="648">
        <f t="shared" si="174"/>
        <v>0</v>
      </c>
      <c r="CX343" s="634">
        <v>0</v>
      </c>
      <c r="CY343" s="616"/>
      <c r="CZ343" s="619">
        <f>IF(BN344=0,0,             IF(ISNUMBER(CY343),CY343,             IF(ISTEXT(CY343),INDEX(CP343:CW343,MATCH(CY343,$CP$17:$CW$17,0)),           IF(CX343="INT",_xll.qInterp(BN344,BZ343:CG343,CP343:CW343),       INDEX(CP343:CW343,MATCH(CX343,$CP$17:$CW$17,0))))))</f>
        <v>0</v>
      </c>
      <c r="DA343" s="755">
        <f t="shared" si="175"/>
        <v>0</v>
      </c>
      <c r="DB343" s="387">
        <f t="shared" si="176"/>
        <v>0</v>
      </c>
      <c r="DC343" s="268">
        <f>IF($BN344=0,0,         IF(LEFT(DCC_Leg2_Fixed,2)="1/",uEvaluate(DCC_Leg2_Fixed),         _xll.qDateYears($BN343,$BN344,DCC_Leg2_Fixed)))</f>
        <v>0</v>
      </c>
      <c r="DD343" s="268">
        <f>IF($BN344,_xll.qDateYears($BN343,$BN344,DCC_Leg2_Float),0)</f>
        <v>0</v>
      </c>
      <c r="DF343" s="332">
        <f t="shared" si="191"/>
        <v>0</v>
      </c>
      <c r="DG343" s="357">
        <f t="shared" si="192"/>
        <v>0</v>
      </c>
      <c r="DH343" s="527"/>
      <c r="DJ343" s="324">
        <f t="shared" si="162"/>
        <v>0</v>
      </c>
      <c r="DK343" s="529"/>
      <c r="DL343" s="338"/>
    </row>
    <row r="344" spans="15:116">
      <c r="O344" s="121">
        <v>0</v>
      </c>
      <c r="P344" s="755">
        <f t="shared" si="163"/>
        <v>0</v>
      </c>
      <c r="Q344" s="125">
        <v>0</v>
      </c>
      <c r="R344" s="890">
        <f>IF(O345=0,0,         IF(OR(Currency1="AUD",Currency1="NZD",Currency1="GBP"),O344,   _xll.qDateNext(O344,"-2b",,,IF(Currency1="EUR","TGT","LON"))))</f>
        <v>0</v>
      </c>
      <c r="S344" s="879" t="str">
        <v/>
      </c>
      <c r="T344" s="879" t="str">
        <v/>
      </c>
      <c r="U344" s="879" t="str">
        <v/>
      </c>
      <c r="V344" s="879" t="str">
        <v/>
      </c>
      <c r="W344" s="879" t="str">
        <v/>
      </c>
      <c r="X344" s="879" t="str">
        <v/>
      </c>
      <c r="Y344" s="879" t="str">
        <v/>
      </c>
      <c r="Z344" s="879" t="str">
        <v/>
      </c>
      <c r="AA344" s="882">
        <f>IF($O345=0,0,        _xll.qDateNext($O344,AA$17,$AH$16,TRUE,Currency1))</f>
        <v>0</v>
      </c>
      <c r="AB344" s="882">
        <f>IF($O345=0,0,        _xll.qDateNext($O344,AB$17,$AH$16,TRUE,Currency1))</f>
        <v>0</v>
      </c>
      <c r="AC344" s="882">
        <f>IF($O345=0,0,        _xll.qDateNext($O344,AC$17,$AH$16,TRUE,Currency1))</f>
        <v>0</v>
      </c>
      <c r="AD344" s="882">
        <f>IF($O345=0,0,        _xll.qDateNext($O344,AD$17,$AH$16,TRUE,Currency1))</f>
        <v>0</v>
      </c>
      <c r="AE344" s="882">
        <f>IF($O345=0,0,        _xll.qDateNext($O344,AE$17,$AH$16,TRUE,Currency1))</f>
        <v>0</v>
      </c>
      <c r="AF344" s="882">
        <f>IF($O345=0,0,        _xll.qDateNext($O344,AF$17,$AH$16,TRUE,Currency1))</f>
        <v>0</v>
      </c>
      <c r="AG344" s="882">
        <f>IF($O345=0,0,        _xll.qDateNext($O344,AG$17,$AH$16,TRUE,Currency1))</f>
        <v>0</v>
      </c>
      <c r="AH344" s="882">
        <f>IF($O345=0,0,        _xll.qDateNext($O344,AH$17,$AH$16,TRUE,Currency1))</f>
        <v>0</v>
      </c>
      <c r="AI344" s="886">
        <f>IF($O345=0,0,           IF(FRM,_xll.qGetFwdRate(AI$14,$O344,AA344,"T",DCC_Leg1_Float),_xll.qGetFwdRate(AI$14,$O344,$O345,"T",DCC_Leg1_Float)))</f>
        <v>0</v>
      </c>
      <c r="AJ344" s="886">
        <f>IF($O345=0,0,           IF(FRM,_xll.qGetFwdRate(AJ$14,$O344,AB344,"T",DCC_Leg1_Float),_xll.qGetFwdRate(AJ$14,$O344,$O345,"T",DCC_Leg1_Float)))</f>
        <v>0</v>
      </c>
      <c r="AK344" s="886">
        <f t="shared" si="164"/>
        <v>0</v>
      </c>
      <c r="AL344" s="886">
        <f>IF($O345=0,0,           IF(FRM,_xll.qGetFwdRate(AL$14,$O344,AD344,"T",DCC_Leg1_Float),_xll.qGetFwdRate(AL$14,$O344,$O345,"T",DCC_Leg1_Float)))</f>
        <v>0</v>
      </c>
      <c r="AM344" s="886">
        <f t="shared" si="177"/>
        <v>0</v>
      </c>
      <c r="AN344" s="886">
        <f t="shared" si="178"/>
        <v>0</v>
      </c>
      <c r="AO344" s="886">
        <f>IF($O345=0,0,           IF(FRM,_xll.qGetFwdRate(AO$14,$O344,AG344,"T",DCC_Leg1_Float),_xll.qGetFwdRate(AO$14,$O344,$O345,"T",DCC_Leg1_Float)))</f>
        <v>0</v>
      </c>
      <c r="AP344" s="886">
        <f>IF($O345=0,0,           IF(FRM,_xll.qGetFwdRate(AP$14,$O344,AH344,"T",DCC_Leg1_Float),_xll.qGetFwdRate(AP$14,$O344,$O345,"T",DCC_Leg1_Float)))</f>
        <v>0</v>
      </c>
      <c r="AQ344" s="648">
        <f t="shared" si="179"/>
        <v>0</v>
      </c>
      <c r="AR344" s="648">
        <f t="shared" si="180"/>
        <v>0</v>
      </c>
      <c r="AS344" s="648">
        <f t="shared" si="181"/>
        <v>0</v>
      </c>
      <c r="AT344" s="648">
        <f t="shared" si="182"/>
        <v>0</v>
      </c>
      <c r="AU344" s="648">
        <f t="shared" si="183"/>
        <v>0</v>
      </c>
      <c r="AV344" s="648">
        <f t="shared" si="184"/>
        <v>0</v>
      </c>
      <c r="AW344" s="648">
        <f t="shared" si="185"/>
        <v>0</v>
      </c>
      <c r="AX344" s="648">
        <f t="shared" si="186"/>
        <v>0</v>
      </c>
      <c r="AY344" s="634">
        <v>0</v>
      </c>
      <c r="AZ344" s="616"/>
      <c r="BA344" s="619">
        <f>IF(O345=0,0,             IF(ISNUMBER(AZ344),AZ344,             IF(ISTEXT(AZ344),INDEX(AQ344:AX344,MATCH(AZ344,$AQ$17:$AX$17,0)),           IF(AY344="INT",_xll.qInterp(O345,AA344:AH344,AQ344:AX344),       INDEX(AQ344:AX344,MATCH(AY344,$AQ$17:$AX$17,0))))))</f>
        <v>0</v>
      </c>
      <c r="BB344" s="674">
        <v>100</v>
      </c>
      <c r="BC344" s="666">
        <f t="shared" si="165"/>
        <v>0</v>
      </c>
      <c r="BD344" s="268">
        <f>IF($O345=0,0,                IF(LEFT(DCC_Leg1_Fixed,2)="1/",uEvaluate(DCC_Leg1_Fixed),        _xll.qDateYears($O344,$O345,DCC_Leg1_Fixed)))</f>
        <v>0</v>
      </c>
      <c r="BE344" s="268">
        <f>IF($O345,_xll.qDateYears($O344,$O345,DCC_Leg1_Float),0)</f>
        <v>0</v>
      </c>
      <c r="BG344" s="332">
        <f t="shared" si="187"/>
        <v>0</v>
      </c>
      <c r="BH344" s="357">
        <f t="shared" si="188"/>
        <v>0</v>
      </c>
      <c r="BI344" s="527"/>
      <c r="BK344" s="324">
        <f t="shared" si="161"/>
        <v>0</v>
      </c>
      <c r="BM344" s="338"/>
      <c r="BN344" s="121">
        <v>0</v>
      </c>
      <c r="BO344" s="755">
        <f t="shared" si="166"/>
        <v>0</v>
      </c>
      <c r="BP344" s="339">
        <v>0</v>
      </c>
      <c r="BQ344" s="890">
        <f>IF(BN345=0,0,         IF(OR(Currency2="AUD",Currency1="NZD",Currency2="GBP"),BN344,   _xll.qDateNext(BN344,"-2b",,,IF(Currency2="EUR","TGT","LON"))))</f>
        <v>0</v>
      </c>
      <c r="BR344" s="879" t="str">
        <v/>
      </c>
      <c r="BS344" s="879" t="str">
        <v/>
      </c>
      <c r="BT344" s="879" t="str">
        <v/>
      </c>
      <c r="BU344" s="879" t="str">
        <v/>
      </c>
      <c r="BV344" s="879" t="str">
        <v/>
      </c>
      <c r="BW344" s="879" t="str">
        <v/>
      </c>
      <c r="BX344" s="879" t="str">
        <v/>
      </c>
      <c r="BY344" s="879" t="str">
        <v/>
      </c>
      <c r="BZ344" s="882">
        <f>IF($BN345=0,0,        _xll.qDateNext($BN344,BZ$17,$CG$16,TRUE,Currency2))</f>
        <v>0</v>
      </c>
      <c r="CA344" s="882">
        <f>IF($BN345=0,0,        _xll.qDateNext($BN344,CA$17,$CG$16,TRUE,Currency2))</f>
        <v>0</v>
      </c>
      <c r="CB344" s="882">
        <f>IF($BN345=0,0,        _xll.qDateNext($BN344,CB$17,$CG$16,TRUE,Currency2))</f>
        <v>0</v>
      </c>
      <c r="CC344" s="882">
        <f>IF($BN345=0,0,        _xll.qDateNext($BN344,CC$17,$CG$16,TRUE,Currency2))</f>
        <v>0</v>
      </c>
      <c r="CD344" s="882">
        <f>IF($BN345=0,0,        _xll.qDateNext($BN344,CD$17,$CG$16,TRUE,Currency2))</f>
        <v>0</v>
      </c>
      <c r="CE344" s="882">
        <f>IF($BN345=0,0,        _xll.qDateNext($BN344,CE$17,$CG$16,TRUE,Currency2))</f>
        <v>0</v>
      </c>
      <c r="CF344" s="882">
        <f>IF($BN345=0,0,        _xll.qDateNext($BN344,CF$17,$CG$16,TRUE,Currency2))</f>
        <v>0</v>
      </c>
      <c r="CG344" s="882">
        <f>IF($BN345=0,0,        _xll.qDateNext($BN344,CG$17,$CG$16,TRUE,Currency2))</f>
        <v>0</v>
      </c>
      <c r="CH344" s="886">
        <v>0</v>
      </c>
      <c r="CI344" s="886">
        <v>0</v>
      </c>
      <c r="CJ344" s="886">
        <v>0</v>
      </c>
      <c r="CK344" s="886">
        <v>0</v>
      </c>
      <c r="CL344" s="886">
        <f t="shared" si="189"/>
        <v>0</v>
      </c>
      <c r="CM344" s="886">
        <f t="shared" si="190"/>
        <v>0</v>
      </c>
      <c r="CN344" s="886">
        <v>0</v>
      </c>
      <c r="CO344" s="886">
        <v>0</v>
      </c>
      <c r="CP344" s="648">
        <f t="shared" si="167"/>
        <v>0</v>
      </c>
      <c r="CQ344" s="648">
        <f t="shared" si="168"/>
        <v>0</v>
      </c>
      <c r="CR344" s="648">
        <f t="shared" si="169"/>
        <v>0</v>
      </c>
      <c r="CS344" s="648">
        <f t="shared" si="170"/>
        <v>0</v>
      </c>
      <c r="CT344" s="648">
        <f t="shared" si="171"/>
        <v>0</v>
      </c>
      <c r="CU344" s="648">
        <f t="shared" si="172"/>
        <v>0</v>
      </c>
      <c r="CV344" s="648">
        <f t="shared" si="173"/>
        <v>0</v>
      </c>
      <c r="CW344" s="648">
        <f t="shared" si="174"/>
        <v>0</v>
      </c>
      <c r="CX344" s="634">
        <v>0</v>
      </c>
      <c r="CY344" s="616"/>
      <c r="CZ344" s="619">
        <f>IF(BN345=0,0,             IF(ISNUMBER(CY344),CY344,             IF(ISTEXT(CY344),INDEX(CP344:CW344,MATCH(CY344,$CP$17:$CW$17,0)),           IF(CX344="INT",_xll.qInterp(BN345,BZ344:CG344,CP344:CW344),       INDEX(CP344:CW344,MATCH(CX344,$CP$17:$CW$17,0))))))</f>
        <v>0</v>
      </c>
      <c r="DA344" s="755">
        <f t="shared" si="175"/>
        <v>0</v>
      </c>
      <c r="DB344" s="387">
        <f t="shared" si="176"/>
        <v>0</v>
      </c>
      <c r="DC344" s="268">
        <f>IF($BN345=0,0,         IF(LEFT(DCC_Leg2_Fixed,2)="1/",uEvaluate(DCC_Leg2_Fixed),         _xll.qDateYears($BN344,$BN345,DCC_Leg2_Fixed)))</f>
        <v>0</v>
      </c>
      <c r="DD344" s="268">
        <f>IF($BN345,_xll.qDateYears($BN344,$BN345,DCC_Leg2_Float),0)</f>
        <v>0</v>
      </c>
      <c r="DF344" s="332">
        <f t="shared" si="191"/>
        <v>0</v>
      </c>
      <c r="DG344" s="357">
        <f t="shared" si="192"/>
        <v>0</v>
      </c>
      <c r="DH344" s="527"/>
      <c r="DJ344" s="324">
        <f t="shared" si="162"/>
        <v>0</v>
      </c>
      <c r="DK344" s="529"/>
      <c r="DL344" s="338"/>
    </row>
    <row r="345" spans="15:116">
      <c r="O345" s="121">
        <v>0</v>
      </c>
      <c r="P345" s="755">
        <f t="shared" si="163"/>
        <v>0</v>
      </c>
      <c r="Q345" s="125">
        <v>0</v>
      </c>
      <c r="R345" s="890">
        <f>IF(O346=0,0,         IF(OR(Currency1="AUD",Currency1="NZD",Currency1="GBP"),O345,   _xll.qDateNext(O345,"-2b",,,IF(Currency1="EUR","TGT","LON"))))</f>
        <v>0</v>
      </c>
      <c r="S345" s="879" t="str">
        <v/>
      </c>
      <c r="T345" s="879" t="str">
        <v/>
      </c>
      <c r="U345" s="879" t="str">
        <v/>
      </c>
      <c r="V345" s="879" t="str">
        <v/>
      </c>
      <c r="W345" s="879" t="str">
        <v/>
      </c>
      <c r="X345" s="879" t="str">
        <v/>
      </c>
      <c r="Y345" s="879" t="str">
        <v/>
      </c>
      <c r="Z345" s="879" t="str">
        <v/>
      </c>
      <c r="AA345" s="882">
        <f>IF($O346=0,0,        _xll.qDateNext($O345,AA$17,$AH$16,TRUE,Currency1))</f>
        <v>0</v>
      </c>
      <c r="AB345" s="882">
        <f>IF($O346=0,0,        _xll.qDateNext($O345,AB$17,$AH$16,TRUE,Currency1))</f>
        <v>0</v>
      </c>
      <c r="AC345" s="882">
        <f>IF($O346=0,0,        _xll.qDateNext($O345,AC$17,$AH$16,TRUE,Currency1))</f>
        <v>0</v>
      </c>
      <c r="AD345" s="882">
        <f>IF($O346=0,0,        _xll.qDateNext($O345,AD$17,$AH$16,TRUE,Currency1))</f>
        <v>0</v>
      </c>
      <c r="AE345" s="882">
        <f>IF($O346=0,0,        _xll.qDateNext($O345,AE$17,$AH$16,TRUE,Currency1))</f>
        <v>0</v>
      </c>
      <c r="AF345" s="882">
        <f>IF($O346=0,0,        _xll.qDateNext($O345,AF$17,$AH$16,TRUE,Currency1))</f>
        <v>0</v>
      </c>
      <c r="AG345" s="882">
        <f>IF($O346=0,0,        _xll.qDateNext($O345,AG$17,$AH$16,TRUE,Currency1))</f>
        <v>0</v>
      </c>
      <c r="AH345" s="882">
        <f>IF($O346=0,0,        _xll.qDateNext($O345,AH$17,$AH$16,TRUE,Currency1))</f>
        <v>0</v>
      </c>
      <c r="AI345" s="886">
        <f>IF($O346=0,0,           IF(FRM,_xll.qGetFwdRate(AI$14,$O345,AA345,"T",DCC_Leg1_Float),_xll.qGetFwdRate(AI$14,$O345,$O346,"T",DCC_Leg1_Float)))</f>
        <v>0</v>
      </c>
      <c r="AJ345" s="886">
        <f>IF($O346=0,0,           IF(FRM,_xll.qGetFwdRate(AJ$14,$O345,AB345,"T",DCC_Leg1_Float),_xll.qGetFwdRate(AJ$14,$O345,$O346,"T",DCC_Leg1_Float)))</f>
        <v>0</v>
      </c>
      <c r="AK345" s="886">
        <f t="shared" si="164"/>
        <v>0</v>
      </c>
      <c r="AL345" s="886">
        <f>IF($O346=0,0,           IF(FRM,_xll.qGetFwdRate(AL$14,$O345,AD345,"T",DCC_Leg1_Float),_xll.qGetFwdRate(AL$14,$O345,$O346,"T",DCC_Leg1_Float)))</f>
        <v>0</v>
      </c>
      <c r="AM345" s="886">
        <f t="shared" si="177"/>
        <v>0</v>
      </c>
      <c r="AN345" s="886">
        <f t="shared" si="178"/>
        <v>0</v>
      </c>
      <c r="AO345" s="886">
        <f>IF($O346=0,0,           IF(FRM,_xll.qGetFwdRate(AO$14,$O345,AG345,"T",DCC_Leg1_Float),_xll.qGetFwdRate(AO$14,$O345,$O346,"T",DCC_Leg1_Float)))</f>
        <v>0</v>
      </c>
      <c r="AP345" s="886">
        <f>IF($O346=0,0,           IF(FRM,_xll.qGetFwdRate(AP$14,$O345,AH345,"T",DCC_Leg1_Float),_xll.qGetFwdRate(AP$14,$O345,$O346,"T",DCC_Leg1_Float)))</f>
        <v>0</v>
      </c>
      <c r="AQ345" s="648">
        <f t="shared" si="179"/>
        <v>0</v>
      </c>
      <c r="AR345" s="648">
        <f t="shared" si="180"/>
        <v>0</v>
      </c>
      <c r="AS345" s="648">
        <f t="shared" si="181"/>
        <v>0</v>
      </c>
      <c r="AT345" s="648">
        <f t="shared" si="182"/>
        <v>0</v>
      </c>
      <c r="AU345" s="648">
        <f t="shared" si="183"/>
        <v>0</v>
      </c>
      <c r="AV345" s="648">
        <f t="shared" si="184"/>
        <v>0</v>
      </c>
      <c r="AW345" s="648">
        <f t="shared" si="185"/>
        <v>0</v>
      </c>
      <c r="AX345" s="648">
        <f t="shared" si="186"/>
        <v>0</v>
      </c>
      <c r="AY345" s="634">
        <v>0</v>
      </c>
      <c r="AZ345" s="616"/>
      <c r="BA345" s="619">
        <f>IF(O346=0,0,             IF(ISNUMBER(AZ345),AZ345,             IF(ISTEXT(AZ345),INDEX(AQ345:AX345,MATCH(AZ345,$AQ$17:$AX$17,0)),           IF(AY345="INT",_xll.qInterp(O346,AA345:AH345,AQ345:AX345),       INDEX(AQ345:AX345,MATCH(AY345,$AQ$17:$AX$17,0))))))</f>
        <v>0</v>
      </c>
      <c r="BB345" s="674">
        <v>100</v>
      </c>
      <c r="BC345" s="666">
        <f t="shared" si="165"/>
        <v>0</v>
      </c>
      <c r="BD345" s="268">
        <f>IF($O346=0,0,                IF(LEFT(DCC_Leg1_Fixed,2)="1/",uEvaluate(DCC_Leg1_Fixed),        _xll.qDateYears($O345,$O346,DCC_Leg1_Fixed)))</f>
        <v>0</v>
      </c>
      <c r="BE345" s="268">
        <f>IF($O346,_xll.qDateYears($O345,$O346,DCC_Leg1_Float),0)</f>
        <v>0</v>
      </c>
      <c r="BG345" s="332">
        <f t="shared" si="187"/>
        <v>0</v>
      </c>
      <c r="BH345" s="357">
        <f t="shared" si="188"/>
        <v>0</v>
      </c>
      <c r="BI345" s="527"/>
      <c r="BK345" s="324">
        <f t="shared" si="161"/>
        <v>0</v>
      </c>
      <c r="BM345" s="338"/>
      <c r="BN345" s="121">
        <v>0</v>
      </c>
      <c r="BO345" s="755">
        <f t="shared" si="166"/>
        <v>0</v>
      </c>
      <c r="BP345" s="339">
        <v>0</v>
      </c>
      <c r="BQ345" s="890">
        <f>IF(BN346=0,0,         IF(OR(Currency2="AUD",Currency1="NZD",Currency2="GBP"),BN345,   _xll.qDateNext(BN345,"-2b",,,IF(Currency2="EUR","TGT","LON"))))</f>
        <v>0</v>
      </c>
      <c r="BR345" s="879" t="str">
        <v/>
      </c>
      <c r="BS345" s="879" t="str">
        <v/>
      </c>
      <c r="BT345" s="879" t="str">
        <v/>
      </c>
      <c r="BU345" s="879" t="str">
        <v/>
      </c>
      <c r="BV345" s="879" t="str">
        <v/>
      </c>
      <c r="BW345" s="879" t="str">
        <v/>
      </c>
      <c r="BX345" s="879" t="str">
        <v/>
      </c>
      <c r="BY345" s="879" t="str">
        <v/>
      </c>
      <c r="BZ345" s="882">
        <f>IF($BN346=0,0,        _xll.qDateNext($BN345,BZ$17,$CG$16,TRUE,Currency2))</f>
        <v>0</v>
      </c>
      <c r="CA345" s="882">
        <f>IF($BN346=0,0,        _xll.qDateNext($BN345,CA$17,$CG$16,TRUE,Currency2))</f>
        <v>0</v>
      </c>
      <c r="CB345" s="882">
        <f>IF($BN346=0,0,        _xll.qDateNext($BN345,CB$17,$CG$16,TRUE,Currency2))</f>
        <v>0</v>
      </c>
      <c r="CC345" s="882">
        <f>IF($BN346=0,0,        _xll.qDateNext($BN345,CC$17,$CG$16,TRUE,Currency2))</f>
        <v>0</v>
      </c>
      <c r="CD345" s="882">
        <f>IF($BN346=0,0,        _xll.qDateNext($BN345,CD$17,$CG$16,TRUE,Currency2))</f>
        <v>0</v>
      </c>
      <c r="CE345" s="882">
        <f>IF($BN346=0,0,        _xll.qDateNext($BN345,CE$17,$CG$16,TRUE,Currency2))</f>
        <v>0</v>
      </c>
      <c r="CF345" s="882">
        <f>IF($BN346=0,0,        _xll.qDateNext($BN345,CF$17,$CG$16,TRUE,Currency2))</f>
        <v>0</v>
      </c>
      <c r="CG345" s="882">
        <f>IF($BN346=0,0,        _xll.qDateNext($BN345,CG$17,$CG$16,TRUE,Currency2))</f>
        <v>0</v>
      </c>
      <c r="CH345" s="886">
        <v>0</v>
      </c>
      <c r="CI345" s="886">
        <v>0</v>
      </c>
      <c r="CJ345" s="886">
        <v>0</v>
      </c>
      <c r="CK345" s="886">
        <v>0</v>
      </c>
      <c r="CL345" s="886">
        <f t="shared" si="189"/>
        <v>0</v>
      </c>
      <c r="CM345" s="886">
        <f t="shared" si="190"/>
        <v>0</v>
      </c>
      <c r="CN345" s="886">
        <v>0</v>
      </c>
      <c r="CO345" s="886">
        <v>0</v>
      </c>
      <c r="CP345" s="648">
        <f t="shared" si="167"/>
        <v>0</v>
      </c>
      <c r="CQ345" s="648">
        <f t="shared" si="168"/>
        <v>0</v>
      </c>
      <c r="CR345" s="648">
        <f t="shared" si="169"/>
        <v>0</v>
      </c>
      <c r="CS345" s="648">
        <f t="shared" si="170"/>
        <v>0</v>
      </c>
      <c r="CT345" s="648">
        <f t="shared" si="171"/>
        <v>0</v>
      </c>
      <c r="CU345" s="648">
        <f t="shared" si="172"/>
        <v>0</v>
      </c>
      <c r="CV345" s="648">
        <f t="shared" si="173"/>
        <v>0</v>
      </c>
      <c r="CW345" s="648">
        <f t="shared" si="174"/>
        <v>0</v>
      </c>
      <c r="CX345" s="634">
        <v>0</v>
      </c>
      <c r="CY345" s="616"/>
      <c r="CZ345" s="619">
        <f>IF(BN346=0,0,             IF(ISNUMBER(CY345),CY345,             IF(ISTEXT(CY345),INDEX(CP345:CW345,MATCH(CY345,$CP$17:$CW$17,0)),           IF(CX345="INT",_xll.qInterp(BN346,BZ345:CG345,CP345:CW345),       INDEX(CP345:CW345,MATCH(CX345,$CP$17:$CW$17,0))))))</f>
        <v>0</v>
      </c>
      <c r="DA345" s="755">
        <f t="shared" si="175"/>
        <v>0</v>
      </c>
      <c r="DB345" s="387">
        <f t="shared" si="176"/>
        <v>0</v>
      </c>
      <c r="DC345" s="268">
        <f>IF($BN346=0,0,         IF(LEFT(DCC_Leg2_Fixed,2)="1/",uEvaluate(DCC_Leg2_Fixed),         _xll.qDateYears($BN345,$BN346,DCC_Leg2_Fixed)))</f>
        <v>0</v>
      </c>
      <c r="DD345" s="268">
        <f>IF($BN346,_xll.qDateYears($BN345,$BN346,DCC_Leg2_Float),0)</f>
        <v>0</v>
      </c>
      <c r="DF345" s="332">
        <f t="shared" si="191"/>
        <v>0</v>
      </c>
      <c r="DG345" s="357">
        <f t="shared" si="192"/>
        <v>0</v>
      </c>
      <c r="DH345" s="527"/>
      <c r="DJ345" s="324">
        <f t="shared" si="162"/>
        <v>0</v>
      </c>
      <c r="DK345" s="529"/>
      <c r="DL345" s="338"/>
    </row>
    <row r="346" spans="15:116">
      <c r="O346" s="121">
        <v>0</v>
      </c>
      <c r="P346" s="755">
        <f t="shared" si="163"/>
        <v>0</v>
      </c>
      <c r="Q346" s="125">
        <v>0</v>
      </c>
      <c r="R346" s="890">
        <f>IF(O347=0,0,         IF(OR(Currency1="AUD",Currency1="NZD",Currency1="GBP"),O346,   _xll.qDateNext(O346,"-2b",,,IF(Currency1="EUR","TGT","LON"))))</f>
        <v>0</v>
      </c>
      <c r="S346" s="879" t="str">
        <v/>
      </c>
      <c r="T346" s="879" t="str">
        <v/>
      </c>
      <c r="U346" s="879" t="str">
        <v/>
      </c>
      <c r="V346" s="879" t="str">
        <v/>
      </c>
      <c r="W346" s="879" t="str">
        <v/>
      </c>
      <c r="X346" s="879" t="str">
        <v/>
      </c>
      <c r="Y346" s="879" t="str">
        <v/>
      </c>
      <c r="Z346" s="879" t="str">
        <v/>
      </c>
      <c r="AA346" s="882">
        <f>IF($O347=0,0,        _xll.qDateNext($O346,AA$17,$AH$16,TRUE,Currency1))</f>
        <v>0</v>
      </c>
      <c r="AB346" s="882">
        <f>IF($O347=0,0,        _xll.qDateNext($O346,AB$17,$AH$16,TRUE,Currency1))</f>
        <v>0</v>
      </c>
      <c r="AC346" s="882">
        <f>IF($O347=0,0,        _xll.qDateNext($O346,AC$17,$AH$16,TRUE,Currency1))</f>
        <v>0</v>
      </c>
      <c r="AD346" s="882">
        <f>IF($O347=0,0,        _xll.qDateNext($O346,AD$17,$AH$16,TRUE,Currency1))</f>
        <v>0</v>
      </c>
      <c r="AE346" s="882">
        <f>IF($O347=0,0,        _xll.qDateNext($O346,AE$17,$AH$16,TRUE,Currency1))</f>
        <v>0</v>
      </c>
      <c r="AF346" s="882">
        <f>IF($O347=0,0,        _xll.qDateNext($O346,AF$17,$AH$16,TRUE,Currency1))</f>
        <v>0</v>
      </c>
      <c r="AG346" s="882">
        <f>IF($O347=0,0,        _xll.qDateNext($O346,AG$17,$AH$16,TRUE,Currency1))</f>
        <v>0</v>
      </c>
      <c r="AH346" s="882">
        <f>IF($O347=0,0,        _xll.qDateNext($O346,AH$17,$AH$16,TRUE,Currency1))</f>
        <v>0</v>
      </c>
      <c r="AI346" s="886">
        <f>IF($O347=0,0,           IF(FRM,_xll.qGetFwdRate(AI$14,$O346,AA346,"T",DCC_Leg1_Float),_xll.qGetFwdRate(AI$14,$O346,$O347,"T",DCC_Leg1_Float)))</f>
        <v>0</v>
      </c>
      <c r="AJ346" s="886">
        <f>IF($O347=0,0,           IF(FRM,_xll.qGetFwdRate(AJ$14,$O346,AB346,"T",DCC_Leg1_Float),_xll.qGetFwdRate(AJ$14,$O346,$O347,"T",DCC_Leg1_Float)))</f>
        <v>0</v>
      </c>
      <c r="AK346" s="886">
        <f t="shared" si="164"/>
        <v>0</v>
      </c>
      <c r="AL346" s="886">
        <f>IF($O347=0,0,           IF(FRM,_xll.qGetFwdRate(AL$14,$O346,AD346,"T",DCC_Leg1_Float),_xll.qGetFwdRate(AL$14,$O346,$O347,"T",DCC_Leg1_Float)))</f>
        <v>0</v>
      </c>
      <c r="AM346" s="886">
        <f t="shared" si="177"/>
        <v>0</v>
      </c>
      <c r="AN346" s="886">
        <f t="shared" si="178"/>
        <v>0</v>
      </c>
      <c r="AO346" s="886">
        <f>IF($O347=0,0,           IF(FRM,_xll.qGetFwdRate(AO$14,$O346,AG346,"T",DCC_Leg1_Float),_xll.qGetFwdRate(AO$14,$O346,$O347,"T",DCC_Leg1_Float)))</f>
        <v>0</v>
      </c>
      <c r="AP346" s="886">
        <f>IF($O347=0,0,           IF(FRM,_xll.qGetFwdRate(AP$14,$O346,AH346,"T",DCC_Leg1_Float),_xll.qGetFwdRate(AP$14,$O346,$O347,"T",DCC_Leg1_Float)))</f>
        <v>0</v>
      </c>
      <c r="AQ346" s="648">
        <f t="shared" si="179"/>
        <v>0</v>
      </c>
      <c r="AR346" s="648">
        <f t="shared" si="180"/>
        <v>0</v>
      </c>
      <c r="AS346" s="648">
        <f t="shared" si="181"/>
        <v>0</v>
      </c>
      <c r="AT346" s="648">
        <f t="shared" si="182"/>
        <v>0</v>
      </c>
      <c r="AU346" s="648">
        <f t="shared" si="183"/>
        <v>0</v>
      </c>
      <c r="AV346" s="648">
        <f t="shared" si="184"/>
        <v>0</v>
      </c>
      <c r="AW346" s="648">
        <f t="shared" si="185"/>
        <v>0</v>
      </c>
      <c r="AX346" s="648">
        <f t="shared" si="186"/>
        <v>0</v>
      </c>
      <c r="AY346" s="634">
        <v>0</v>
      </c>
      <c r="AZ346" s="616"/>
      <c r="BA346" s="619">
        <f>IF(O347=0,0,             IF(ISNUMBER(AZ346),AZ346,             IF(ISTEXT(AZ346),INDEX(AQ346:AX346,MATCH(AZ346,$AQ$17:$AX$17,0)),           IF(AY346="INT",_xll.qInterp(O347,AA346:AH346,AQ346:AX346),       INDEX(AQ346:AX346,MATCH(AY346,$AQ$17:$AX$17,0))))))</f>
        <v>0</v>
      </c>
      <c r="BB346" s="674">
        <v>100</v>
      </c>
      <c r="BC346" s="666">
        <f t="shared" si="165"/>
        <v>0</v>
      </c>
      <c r="BD346" s="268">
        <f>IF($O347=0,0,                IF(LEFT(DCC_Leg1_Fixed,2)="1/",uEvaluate(DCC_Leg1_Fixed),        _xll.qDateYears($O346,$O347,DCC_Leg1_Fixed)))</f>
        <v>0</v>
      </c>
      <c r="BE346" s="268">
        <f>IF($O347,_xll.qDateYears($O346,$O347,DCC_Leg1_Float),0)</f>
        <v>0</v>
      </c>
      <c r="BG346" s="332">
        <f t="shared" si="187"/>
        <v>0</v>
      </c>
      <c r="BH346" s="357">
        <f t="shared" si="188"/>
        <v>0</v>
      </c>
      <c r="BI346" s="527"/>
      <c r="BK346" s="324">
        <f t="shared" si="161"/>
        <v>0</v>
      </c>
      <c r="BM346" s="338"/>
      <c r="BN346" s="121">
        <v>0</v>
      </c>
      <c r="BO346" s="755">
        <f t="shared" si="166"/>
        <v>0</v>
      </c>
      <c r="BP346" s="339">
        <v>0</v>
      </c>
      <c r="BQ346" s="890">
        <f>IF(BN347=0,0,         IF(OR(Currency2="AUD",Currency1="NZD",Currency2="GBP"),BN346,   _xll.qDateNext(BN346,"-2b",,,IF(Currency2="EUR","TGT","LON"))))</f>
        <v>0</v>
      </c>
      <c r="BR346" s="879" t="str">
        <v/>
      </c>
      <c r="BS346" s="879" t="str">
        <v/>
      </c>
      <c r="BT346" s="879" t="str">
        <v/>
      </c>
      <c r="BU346" s="879" t="str">
        <v/>
      </c>
      <c r="BV346" s="879" t="str">
        <v/>
      </c>
      <c r="BW346" s="879" t="str">
        <v/>
      </c>
      <c r="BX346" s="879" t="str">
        <v/>
      </c>
      <c r="BY346" s="879" t="str">
        <v/>
      </c>
      <c r="BZ346" s="882">
        <f>IF($BN347=0,0,        _xll.qDateNext($BN346,BZ$17,$CG$16,TRUE,Currency2))</f>
        <v>0</v>
      </c>
      <c r="CA346" s="882">
        <f>IF($BN347=0,0,        _xll.qDateNext($BN346,CA$17,$CG$16,TRUE,Currency2))</f>
        <v>0</v>
      </c>
      <c r="CB346" s="882">
        <f>IF($BN347=0,0,        _xll.qDateNext($BN346,CB$17,$CG$16,TRUE,Currency2))</f>
        <v>0</v>
      </c>
      <c r="CC346" s="882">
        <f>IF($BN347=0,0,        _xll.qDateNext($BN346,CC$17,$CG$16,TRUE,Currency2))</f>
        <v>0</v>
      </c>
      <c r="CD346" s="882">
        <f>IF($BN347=0,0,        _xll.qDateNext($BN346,CD$17,$CG$16,TRUE,Currency2))</f>
        <v>0</v>
      </c>
      <c r="CE346" s="882">
        <f>IF($BN347=0,0,        _xll.qDateNext($BN346,CE$17,$CG$16,TRUE,Currency2))</f>
        <v>0</v>
      </c>
      <c r="CF346" s="882">
        <f>IF($BN347=0,0,        _xll.qDateNext($BN346,CF$17,$CG$16,TRUE,Currency2))</f>
        <v>0</v>
      </c>
      <c r="CG346" s="882">
        <f>IF($BN347=0,0,        _xll.qDateNext($BN346,CG$17,$CG$16,TRUE,Currency2))</f>
        <v>0</v>
      </c>
      <c r="CH346" s="886">
        <v>0</v>
      </c>
      <c r="CI346" s="886">
        <v>0</v>
      </c>
      <c r="CJ346" s="886">
        <v>0</v>
      </c>
      <c r="CK346" s="886">
        <v>0</v>
      </c>
      <c r="CL346" s="886">
        <f t="shared" si="189"/>
        <v>0</v>
      </c>
      <c r="CM346" s="886">
        <f t="shared" si="190"/>
        <v>0</v>
      </c>
      <c r="CN346" s="886">
        <v>0</v>
      </c>
      <c r="CO346" s="886">
        <v>0</v>
      </c>
      <c r="CP346" s="648">
        <f t="shared" si="167"/>
        <v>0</v>
      </c>
      <c r="CQ346" s="648">
        <f t="shared" si="168"/>
        <v>0</v>
      </c>
      <c r="CR346" s="648">
        <f t="shared" si="169"/>
        <v>0</v>
      </c>
      <c r="CS346" s="648">
        <f t="shared" si="170"/>
        <v>0</v>
      </c>
      <c r="CT346" s="648">
        <f t="shared" si="171"/>
        <v>0</v>
      </c>
      <c r="CU346" s="648">
        <f t="shared" si="172"/>
        <v>0</v>
      </c>
      <c r="CV346" s="648">
        <f t="shared" si="173"/>
        <v>0</v>
      </c>
      <c r="CW346" s="648">
        <f t="shared" si="174"/>
        <v>0</v>
      </c>
      <c r="CX346" s="634">
        <v>0</v>
      </c>
      <c r="CY346" s="616"/>
      <c r="CZ346" s="619">
        <f>IF(BN347=0,0,             IF(ISNUMBER(CY346),CY346,             IF(ISTEXT(CY346),INDEX(CP346:CW346,MATCH(CY346,$CP$17:$CW$17,0)),           IF(CX346="INT",_xll.qInterp(BN347,BZ346:CG346,CP346:CW346),       INDEX(CP346:CW346,MATCH(CX346,$CP$17:$CW$17,0))))))</f>
        <v>0</v>
      </c>
      <c r="DA346" s="755">
        <f t="shared" si="175"/>
        <v>0</v>
      </c>
      <c r="DB346" s="387">
        <f t="shared" si="176"/>
        <v>0</v>
      </c>
      <c r="DC346" s="268">
        <f>IF($BN347=0,0,         IF(LEFT(DCC_Leg2_Fixed,2)="1/",uEvaluate(DCC_Leg2_Fixed),         _xll.qDateYears($BN346,$BN347,DCC_Leg2_Fixed)))</f>
        <v>0</v>
      </c>
      <c r="DD346" s="268">
        <f>IF($BN347,_xll.qDateYears($BN346,$BN347,DCC_Leg2_Float),0)</f>
        <v>0</v>
      </c>
      <c r="DF346" s="332">
        <f t="shared" si="191"/>
        <v>0</v>
      </c>
      <c r="DG346" s="357">
        <f t="shared" si="192"/>
        <v>0</v>
      </c>
      <c r="DH346" s="527"/>
      <c r="DJ346" s="324">
        <f t="shared" si="162"/>
        <v>0</v>
      </c>
      <c r="DK346" s="529"/>
      <c r="DL346" s="338"/>
    </row>
    <row r="347" spans="15:116">
      <c r="O347" s="121">
        <v>0</v>
      </c>
      <c r="P347" s="755">
        <f t="shared" si="163"/>
        <v>0</v>
      </c>
      <c r="Q347" s="125">
        <v>0</v>
      </c>
      <c r="R347" s="890">
        <f>IF(O348=0,0,         IF(OR(Currency1="AUD",Currency1="NZD",Currency1="GBP"),O347,   _xll.qDateNext(O347,"-2b",,,IF(Currency1="EUR","TGT","LON"))))</f>
        <v>0</v>
      </c>
      <c r="S347" s="879" t="str">
        <v/>
      </c>
      <c r="T347" s="879" t="str">
        <v/>
      </c>
      <c r="U347" s="879" t="str">
        <v/>
      </c>
      <c r="V347" s="879" t="str">
        <v/>
      </c>
      <c r="W347" s="879" t="str">
        <v/>
      </c>
      <c r="X347" s="879" t="str">
        <v/>
      </c>
      <c r="Y347" s="879" t="str">
        <v/>
      </c>
      <c r="Z347" s="879" t="str">
        <v/>
      </c>
      <c r="AA347" s="882">
        <f>IF($O348=0,0,        _xll.qDateNext($O347,AA$17,$AH$16,TRUE,Currency1))</f>
        <v>0</v>
      </c>
      <c r="AB347" s="882">
        <f>IF($O348=0,0,        _xll.qDateNext($O347,AB$17,$AH$16,TRUE,Currency1))</f>
        <v>0</v>
      </c>
      <c r="AC347" s="882">
        <f>IF($O348=0,0,        _xll.qDateNext($O347,AC$17,$AH$16,TRUE,Currency1))</f>
        <v>0</v>
      </c>
      <c r="AD347" s="882">
        <f>IF($O348=0,0,        _xll.qDateNext($O347,AD$17,$AH$16,TRUE,Currency1))</f>
        <v>0</v>
      </c>
      <c r="AE347" s="882">
        <f>IF($O348=0,0,        _xll.qDateNext($O347,AE$17,$AH$16,TRUE,Currency1))</f>
        <v>0</v>
      </c>
      <c r="AF347" s="882">
        <f>IF($O348=0,0,        _xll.qDateNext($O347,AF$17,$AH$16,TRUE,Currency1))</f>
        <v>0</v>
      </c>
      <c r="AG347" s="882">
        <f>IF($O348=0,0,        _xll.qDateNext($O347,AG$17,$AH$16,TRUE,Currency1))</f>
        <v>0</v>
      </c>
      <c r="AH347" s="882">
        <f>IF($O348=0,0,        _xll.qDateNext($O347,AH$17,$AH$16,TRUE,Currency1))</f>
        <v>0</v>
      </c>
      <c r="AI347" s="886">
        <f>IF($O348=0,0,           IF(FRM,_xll.qGetFwdRate(AI$14,$O347,AA347,"T",DCC_Leg1_Float),_xll.qGetFwdRate(AI$14,$O347,$O348,"T",DCC_Leg1_Float)))</f>
        <v>0</v>
      </c>
      <c r="AJ347" s="886">
        <f>IF($O348=0,0,           IF(FRM,_xll.qGetFwdRate(AJ$14,$O347,AB347,"T",DCC_Leg1_Float),_xll.qGetFwdRate(AJ$14,$O347,$O348,"T",DCC_Leg1_Float)))</f>
        <v>0</v>
      </c>
      <c r="AK347" s="886">
        <f t="shared" si="164"/>
        <v>0</v>
      </c>
      <c r="AL347" s="886">
        <f>IF($O348=0,0,           IF(FRM,_xll.qGetFwdRate(AL$14,$O347,AD347,"T",DCC_Leg1_Float),_xll.qGetFwdRate(AL$14,$O347,$O348,"T",DCC_Leg1_Float)))</f>
        <v>0</v>
      </c>
      <c r="AM347" s="886">
        <f t="shared" si="177"/>
        <v>0</v>
      </c>
      <c r="AN347" s="886">
        <f t="shared" si="178"/>
        <v>0</v>
      </c>
      <c r="AO347" s="886">
        <f>IF($O348=0,0,           IF(FRM,_xll.qGetFwdRate(AO$14,$O347,AG347,"T",DCC_Leg1_Float),_xll.qGetFwdRate(AO$14,$O347,$O348,"T",DCC_Leg1_Float)))</f>
        <v>0</v>
      </c>
      <c r="AP347" s="886">
        <f>IF($O348=0,0,           IF(FRM,_xll.qGetFwdRate(AP$14,$O347,AH347,"T",DCC_Leg1_Float),_xll.qGetFwdRate(AP$14,$O347,$O348,"T",DCC_Leg1_Float)))</f>
        <v>0</v>
      </c>
      <c r="AQ347" s="648">
        <f t="shared" si="179"/>
        <v>0</v>
      </c>
      <c r="AR347" s="648">
        <f t="shared" si="180"/>
        <v>0</v>
      </c>
      <c r="AS347" s="648">
        <f t="shared" si="181"/>
        <v>0</v>
      </c>
      <c r="AT347" s="648">
        <f t="shared" si="182"/>
        <v>0</v>
      </c>
      <c r="AU347" s="648">
        <f t="shared" si="183"/>
        <v>0</v>
      </c>
      <c r="AV347" s="648">
        <f t="shared" si="184"/>
        <v>0</v>
      </c>
      <c r="AW347" s="648">
        <f t="shared" si="185"/>
        <v>0</v>
      </c>
      <c r="AX347" s="648">
        <f t="shared" si="186"/>
        <v>0</v>
      </c>
      <c r="AY347" s="634">
        <v>0</v>
      </c>
      <c r="AZ347" s="616"/>
      <c r="BA347" s="619">
        <f>IF(O348=0,0,             IF(ISNUMBER(AZ347),AZ347,             IF(ISTEXT(AZ347),INDEX(AQ347:AX347,MATCH(AZ347,$AQ$17:$AX$17,0)),           IF(AY347="INT",_xll.qInterp(O348,AA347:AH347,AQ347:AX347),       INDEX(AQ347:AX347,MATCH(AY347,$AQ$17:$AX$17,0))))))</f>
        <v>0</v>
      </c>
      <c r="BB347" s="674">
        <v>100</v>
      </c>
      <c r="BC347" s="666">
        <f t="shared" si="165"/>
        <v>0</v>
      </c>
      <c r="BD347" s="268">
        <f>IF($O348=0,0,                IF(LEFT(DCC_Leg1_Fixed,2)="1/",uEvaluate(DCC_Leg1_Fixed),        _xll.qDateYears($O347,$O348,DCC_Leg1_Fixed)))</f>
        <v>0</v>
      </c>
      <c r="BE347" s="268">
        <f>IF($O348,_xll.qDateYears($O347,$O348,DCC_Leg1_Float),0)</f>
        <v>0</v>
      </c>
      <c r="BG347" s="332">
        <f t="shared" si="187"/>
        <v>0</v>
      </c>
      <c r="BH347" s="357">
        <f t="shared" si="188"/>
        <v>0</v>
      </c>
      <c r="BI347" s="527"/>
      <c r="BK347" s="324">
        <f t="shared" si="161"/>
        <v>0</v>
      </c>
      <c r="BM347" s="338"/>
      <c r="BN347" s="121">
        <v>0</v>
      </c>
      <c r="BO347" s="755">
        <f t="shared" si="166"/>
        <v>0</v>
      </c>
      <c r="BP347" s="339">
        <v>0</v>
      </c>
      <c r="BQ347" s="890">
        <f>IF(BN348=0,0,         IF(OR(Currency2="AUD",Currency1="NZD",Currency2="GBP"),BN347,   _xll.qDateNext(BN347,"-2b",,,IF(Currency2="EUR","TGT","LON"))))</f>
        <v>0</v>
      </c>
      <c r="BR347" s="879" t="str">
        <v/>
      </c>
      <c r="BS347" s="879" t="str">
        <v/>
      </c>
      <c r="BT347" s="879" t="str">
        <v/>
      </c>
      <c r="BU347" s="879" t="str">
        <v/>
      </c>
      <c r="BV347" s="879" t="str">
        <v/>
      </c>
      <c r="BW347" s="879" t="str">
        <v/>
      </c>
      <c r="BX347" s="879" t="str">
        <v/>
      </c>
      <c r="BY347" s="879" t="str">
        <v/>
      </c>
      <c r="BZ347" s="882">
        <f>IF($BN348=0,0,        _xll.qDateNext($BN347,BZ$17,$CG$16,TRUE,Currency2))</f>
        <v>0</v>
      </c>
      <c r="CA347" s="882">
        <f>IF($BN348=0,0,        _xll.qDateNext($BN347,CA$17,$CG$16,TRUE,Currency2))</f>
        <v>0</v>
      </c>
      <c r="CB347" s="882">
        <f>IF($BN348=0,0,        _xll.qDateNext($BN347,CB$17,$CG$16,TRUE,Currency2))</f>
        <v>0</v>
      </c>
      <c r="CC347" s="882">
        <f>IF($BN348=0,0,        _xll.qDateNext($BN347,CC$17,$CG$16,TRUE,Currency2))</f>
        <v>0</v>
      </c>
      <c r="CD347" s="882">
        <f>IF($BN348=0,0,        _xll.qDateNext($BN347,CD$17,$CG$16,TRUE,Currency2))</f>
        <v>0</v>
      </c>
      <c r="CE347" s="882">
        <f>IF($BN348=0,0,        _xll.qDateNext($BN347,CE$17,$CG$16,TRUE,Currency2))</f>
        <v>0</v>
      </c>
      <c r="CF347" s="882">
        <f>IF($BN348=0,0,        _xll.qDateNext($BN347,CF$17,$CG$16,TRUE,Currency2))</f>
        <v>0</v>
      </c>
      <c r="CG347" s="882">
        <f>IF($BN348=0,0,        _xll.qDateNext($BN347,CG$17,$CG$16,TRUE,Currency2))</f>
        <v>0</v>
      </c>
      <c r="CH347" s="886">
        <v>0</v>
      </c>
      <c r="CI347" s="886">
        <v>0</v>
      </c>
      <c r="CJ347" s="886">
        <v>0</v>
      </c>
      <c r="CK347" s="886">
        <v>0</v>
      </c>
      <c r="CL347" s="886">
        <f t="shared" si="189"/>
        <v>0</v>
      </c>
      <c r="CM347" s="886">
        <f t="shared" si="190"/>
        <v>0</v>
      </c>
      <c r="CN347" s="886">
        <v>0</v>
      </c>
      <c r="CO347" s="886">
        <v>0</v>
      </c>
      <c r="CP347" s="648">
        <f t="shared" si="167"/>
        <v>0</v>
      </c>
      <c r="CQ347" s="648">
        <f t="shared" si="168"/>
        <v>0</v>
      </c>
      <c r="CR347" s="648">
        <f t="shared" si="169"/>
        <v>0</v>
      </c>
      <c r="CS347" s="648">
        <f t="shared" si="170"/>
        <v>0</v>
      </c>
      <c r="CT347" s="648">
        <f t="shared" si="171"/>
        <v>0</v>
      </c>
      <c r="CU347" s="648">
        <f t="shared" si="172"/>
        <v>0</v>
      </c>
      <c r="CV347" s="648">
        <f t="shared" si="173"/>
        <v>0</v>
      </c>
      <c r="CW347" s="648">
        <f t="shared" si="174"/>
        <v>0</v>
      </c>
      <c r="CX347" s="634">
        <v>0</v>
      </c>
      <c r="CY347" s="616"/>
      <c r="CZ347" s="619">
        <f>IF(BN348=0,0,             IF(ISNUMBER(CY347),CY347,             IF(ISTEXT(CY347),INDEX(CP347:CW347,MATCH(CY347,$CP$17:$CW$17,0)),           IF(CX347="INT",_xll.qInterp(BN348,BZ347:CG347,CP347:CW347),       INDEX(CP347:CW347,MATCH(CX347,$CP$17:$CW$17,0))))))</f>
        <v>0</v>
      </c>
      <c r="DA347" s="755">
        <f t="shared" si="175"/>
        <v>0</v>
      </c>
      <c r="DB347" s="387">
        <f t="shared" si="176"/>
        <v>0</v>
      </c>
      <c r="DC347" s="268">
        <f>IF($BN348=0,0,         IF(LEFT(DCC_Leg2_Fixed,2)="1/",uEvaluate(DCC_Leg2_Fixed),         _xll.qDateYears($BN347,$BN348,DCC_Leg2_Fixed)))</f>
        <v>0</v>
      </c>
      <c r="DD347" s="268">
        <f>IF($BN348,_xll.qDateYears($BN347,$BN348,DCC_Leg2_Float),0)</f>
        <v>0</v>
      </c>
      <c r="DF347" s="332">
        <f t="shared" si="191"/>
        <v>0</v>
      </c>
      <c r="DG347" s="357">
        <f t="shared" si="192"/>
        <v>0</v>
      </c>
      <c r="DH347" s="527"/>
      <c r="DJ347" s="324">
        <f t="shared" si="162"/>
        <v>0</v>
      </c>
      <c r="DK347" s="529"/>
      <c r="DL347" s="338"/>
    </row>
    <row r="348" spans="15:116">
      <c r="O348" s="121">
        <v>0</v>
      </c>
      <c r="P348" s="755">
        <f t="shared" si="163"/>
        <v>0</v>
      </c>
      <c r="Q348" s="125">
        <v>0</v>
      </c>
      <c r="R348" s="890">
        <f>IF(O349=0,0,         IF(OR(Currency1="AUD",Currency1="NZD",Currency1="GBP"),O348,   _xll.qDateNext(O348,"-2b",,,IF(Currency1="EUR","TGT","LON"))))</f>
        <v>0</v>
      </c>
      <c r="S348" s="879" t="str">
        <v/>
      </c>
      <c r="T348" s="879" t="str">
        <v/>
      </c>
      <c r="U348" s="879" t="str">
        <v/>
      </c>
      <c r="V348" s="879" t="str">
        <v/>
      </c>
      <c r="W348" s="879" t="str">
        <v/>
      </c>
      <c r="X348" s="879" t="str">
        <v/>
      </c>
      <c r="Y348" s="879" t="str">
        <v/>
      </c>
      <c r="Z348" s="879" t="str">
        <v/>
      </c>
      <c r="AA348" s="882">
        <f>IF($O349=0,0,        _xll.qDateNext($O348,AA$17,$AH$16,TRUE,Currency1))</f>
        <v>0</v>
      </c>
      <c r="AB348" s="882">
        <f>IF($O349=0,0,        _xll.qDateNext($O348,AB$17,$AH$16,TRUE,Currency1))</f>
        <v>0</v>
      </c>
      <c r="AC348" s="882">
        <f>IF($O349=0,0,        _xll.qDateNext($O348,AC$17,$AH$16,TRUE,Currency1))</f>
        <v>0</v>
      </c>
      <c r="AD348" s="882">
        <f>IF($O349=0,0,        _xll.qDateNext($O348,AD$17,$AH$16,TRUE,Currency1))</f>
        <v>0</v>
      </c>
      <c r="AE348" s="882">
        <f>IF($O349=0,0,        _xll.qDateNext($O348,AE$17,$AH$16,TRUE,Currency1))</f>
        <v>0</v>
      </c>
      <c r="AF348" s="882">
        <f>IF($O349=0,0,        _xll.qDateNext($O348,AF$17,$AH$16,TRUE,Currency1))</f>
        <v>0</v>
      </c>
      <c r="AG348" s="882">
        <f>IF($O349=0,0,        _xll.qDateNext($O348,AG$17,$AH$16,TRUE,Currency1))</f>
        <v>0</v>
      </c>
      <c r="AH348" s="882">
        <f>IF($O349=0,0,        _xll.qDateNext($O348,AH$17,$AH$16,TRUE,Currency1))</f>
        <v>0</v>
      </c>
      <c r="AI348" s="886">
        <f>IF($O349=0,0,           IF(FRM,_xll.qGetFwdRate(AI$14,$O348,AA348,"T",DCC_Leg1_Float),_xll.qGetFwdRate(AI$14,$O348,$O349,"T",DCC_Leg1_Float)))</f>
        <v>0</v>
      </c>
      <c r="AJ348" s="886">
        <f>IF($O349=0,0,           IF(FRM,_xll.qGetFwdRate(AJ$14,$O348,AB348,"T",DCC_Leg1_Float),_xll.qGetFwdRate(AJ$14,$O348,$O349,"T",DCC_Leg1_Float)))</f>
        <v>0</v>
      </c>
      <c r="AK348" s="886">
        <f t="shared" si="164"/>
        <v>0</v>
      </c>
      <c r="AL348" s="886">
        <f>IF($O349=0,0,           IF(FRM,_xll.qGetFwdRate(AL$14,$O348,AD348,"T",DCC_Leg1_Float),_xll.qGetFwdRate(AL$14,$O348,$O349,"T",DCC_Leg1_Float)))</f>
        <v>0</v>
      </c>
      <c r="AM348" s="886">
        <f t="shared" si="177"/>
        <v>0</v>
      </c>
      <c r="AN348" s="886">
        <f t="shared" si="178"/>
        <v>0</v>
      </c>
      <c r="AO348" s="886">
        <f>IF($O349=0,0,           IF(FRM,_xll.qGetFwdRate(AO$14,$O348,AG348,"T",DCC_Leg1_Float),_xll.qGetFwdRate(AO$14,$O348,$O349,"T",DCC_Leg1_Float)))</f>
        <v>0</v>
      </c>
      <c r="AP348" s="886">
        <f>IF($O349=0,0,           IF(FRM,_xll.qGetFwdRate(AP$14,$O348,AH348,"T",DCC_Leg1_Float),_xll.qGetFwdRate(AP$14,$O348,$O349,"T",DCC_Leg1_Float)))</f>
        <v>0</v>
      </c>
      <c r="AQ348" s="648">
        <f t="shared" si="179"/>
        <v>0</v>
      </c>
      <c r="AR348" s="648">
        <f t="shared" si="180"/>
        <v>0</v>
      </c>
      <c r="AS348" s="648">
        <f t="shared" si="181"/>
        <v>0</v>
      </c>
      <c r="AT348" s="648">
        <f t="shared" si="182"/>
        <v>0</v>
      </c>
      <c r="AU348" s="648">
        <f t="shared" si="183"/>
        <v>0</v>
      </c>
      <c r="AV348" s="648">
        <f t="shared" si="184"/>
        <v>0</v>
      </c>
      <c r="AW348" s="648">
        <f t="shared" si="185"/>
        <v>0</v>
      </c>
      <c r="AX348" s="648">
        <f t="shared" si="186"/>
        <v>0</v>
      </c>
      <c r="AY348" s="634">
        <v>0</v>
      </c>
      <c r="AZ348" s="616"/>
      <c r="BA348" s="619">
        <f>IF(O349=0,0,             IF(ISNUMBER(AZ348),AZ348,             IF(ISTEXT(AZ348),INDEX(AQ348:AX348,MATCH(AZ348,$AQ$17:$AX$17,0)),           IF(AY348="INT",_xll.qInterp(O349,AA348:AH348,AQ348:AX348),       INDEX(AQ348:AX348,MATCH(AY348,$AQ$17:$AX$17,0))))))</f>
        <v>0</v>
      </c>
      <c r="BB348" s="674">
        <v>100</v>
      </c>
      <c r="BC348" s="666">
        <f t="shared" si="165"/>
        <v>0</v>
      </c>
      <c r="BD348" s="268">
        <f>IF($O349=0,0,                IF(LEFT(DCC_Leg1_Fixed,2)="1/",uEvaluate(DCC_Leg1_Fixed),        _xll.qDateYears($O348,$O349,DCC_Leg1_Fixed)))</f>
        <v>0</v>
      </c>
      <c r="BE348" s="268">
        <f>IF($O349,_xll.qDateYears($O348,$O349,DCC_Leg1_Float),0)</f>
        <v>0</v>
      </c>
      <c r="BG348" s="332">
        <f t="shared" si="187"/>
        <v>0</v>
      </c>
      <c r="BH348" s="357">
        <f t="shared" si="188"/>
        <v>0</v>
      </c>
      <c r="BI348" s="527"/>
      <c r="BK348" s="324">
        <f t="shared" si="161"/>
        <v>0</v>
      </c>
      <c r="BM348" s="338"/>
      <c r="BN348" s="121">
        <v>0</v>
      </c>
      <c r="BO348" s="755">
        <f t="shared" si="166"/>
        <v>0</v>
      </c>
      <c r="BP348" s="339">
        <v>0</v>
      </c>
      <c r="BQ348" s="890">
        <f>IF(BN349=0,0,         IF(OR(Currency2="AUD",Currency1="NZD",Currency2="GBP"),BN348,   _xll.qDateNext(BN348,"-2b",,,IF(Currency2="EUR","TGT","LON"))))</f>
        <v>0</v>
      </c>
      <c r="BR348" s="879" t="str">
        <v/>
      </c>
      <c r="BS348" s="879" t="str">
        <v/>
      </c>
      <c r="BT348" s="879" t="str">
        <v/>
      </c>
      <c r="BU348" s="879" t="str">
        <v/>
      </c>
      <c r="BV348" s="879" t="str">
        <v/>
      </c>
      <c r="BW348" s="879" t="str">
        <v/>
      </c>
      <c r="BX348" s="879" t="str">
        <v/>
      </c>
      <c r="BY348" s="879" t="str">
        <v/>
      </c>
      <c r="BZ348" s="882">
        <f>IF($BN349=0,0,        _xll.qDateNext($BN348,BZ$17,$CG$16,TRUE,Currency2))</f>
        <v>0</v>
      </c>
      <c r="CA348" s="882">
        <f>IF($BN349=0,0,        _xll.qDateNext($BN348,CA$17,$CG$16,TRUE,Currency2))</f>
        <v>0</v>
      </c>
      <c r="CB348" s="882">
        <f>IF($BN349=0,0,        _xll.qDateNext($BN348,CB$17,$CG$16,TRUE,Currency2))</f>
        <v>0</v>
      </c>
      <c r="CC348" s="882">
        <f>IF($BN349=0,0,        _xll.qDateNext($BN348,CC$17,$CG$16,TRUE,Currency2))</f>
        <v>0</v>
      </c>
      <c r="CD348" s="882">
        <f>IF($BN349=0,0,        _xll.qDateNext($BN348,CD$17,$CG$16,TRUE,Currency2))</f>
        <v>0</v>
      </c>
      <c r="CE348" s="882">
        <f>IF($BN349=0,0,        _xll.qDateNext($BN348,CE$17,$CG$16,TRUE,Currency2))</f>
        <v>0</v>
      </c>
      <c r="CF348" s="882">
        <f>IF($BN349=0,0,        _xll.qDateNext($BN348,CF$17,$CG$16,TRUE,Currency2))</f>
        <v>0</v>
      </c>
      <c r="CG348" s="882">
        <f>IF($BN349=0,0,        _xll.qDateNext($BN348,CG$17,$CG$16,TRUE,Currency2))</f>
        <v>0</v>
      </c>
      <c r="CH348" s="886">
        <v>0</v>
      </c>
      <c r="CI348" s="886">
        <v>0</v>
      </c>
      <c r="CJ348" s="886">
        <v>0</v>
      </c>
      <c r="CK348" s="886">
        <v>0</v>
      </c>
      <c r="CL348" s="886">
        <f t="shared" si="189"/>
        <v>0</v>
      </c>
      <c r="CM348" s="886">
        <f t="shared" si="190"/>
        <v>0</v>
      </c>
      <c r="CN348" s="886">
        <v>0</v>
      </c>
      <c r="CO348" s="886">
        <v>0</v>
      </c>
      <c r="CP348" s="648">
        <f t="shared" si="167"/>
        <v>0</v>
      </c>
      <c r="CQ348" s="648">
        <f t="shared" si="168"/>
        <v>0</v>
      </c>
      <c r="CR348" s="648">
        <f t="shared" si="169"/>
        <v>0</v>
      </c>
      <c r="CS348" s="648">
        <f t="shared" si="170"/>
        <v>0</v>
      </c>
      <c r="CT348" s="648">
        <f t="shared" si="171"/>
        <v>0</v>
      </c>
      <c r="CU348" s="648">
        <f t="shared" si="172"/>
        <v>0</v>
      </c>
      <c r="CV348" s="648">
        <f t="shared" si="173"/>
        <v>0</v>
      </c>
      <c r="CW348" s="648">
        <f t="shared" si="174"/>
        <v>0</v>
      </c>
      <c r="CX348" s="634">
        <v>0</v>
      </c>
      <c r="CY348" s="616"/>
      <c r="CZ348" s="619">
        <f>IF(BN349=0,0,             IF(ISNUMBER(CY348),CY348,             IF(ISTEXT(CY348),INDEX(CP348:CW348,MATCH(CY348,$CP$17:$CW$17,0)),           IF(CX348="INT",_xll.qInterp(BN349,BZ348:CG348,CP348:CW348),       INDEX(CP348:CW348,MATCH(CX348,$CP$17:$CW$17,0))))))</f>
        <v>0</v>
      </c>
      <c r="DA348" s="755">
        <f t="shared" si="175"/>
        <v>0</v>
      </c>
      <c r="DB348" s="387">
        <f t="shared" si="176"/>
        <v>0</v>
      </c>
      <c r="DC348" s="268">
        <f>IF($BN349=0,0,         IF(LEFT(DCC_Leg2_Fixed,2)="1/",uEvaluate(DCC_Leg2_Fixed),         _xll.qDateYears($BN348,$BN349,DCC_Leg2_Fixed)))</f>
        <v>0</v>
      </c>
      <c r="DD348" s="268">
        <f>IF($BN349,_xll.qDateYears($BN348,$BN349,DCC_Leg2_Float),0)</f>
        <v>0</v>
      </c>
      <c r="DF348" s="332">
        <f t="shared" si="191"/>
        <v>0</v>
      </c>
      <c r="DG348" s="357">
        <f t="shared" si="192"/>
        <v>0</v>
      </c>
      <c r="DH348" s="527"/>
      <c r="DJ348" s="324">
        <f t="shared" si="162"/>
        <v>0</v>
      </c>
      <c r="DK348" s="529"/>
      <c r="DL348" s="338"/>
    </row>
    <row r="349" spans="15:116">
      <c r="O349" s="121">
        <v>0</v>
      </c>
      <c r="P349" s="755">
        <f t="shared" si="163"/>
        <v>0</v>
      </c>
      <c r="Q349" s="125">
        <v>0</v>
      </c>
      <c r="R349" s="890">
        <f>IF(O350=0,0,         IF(OR(Currency1="AUD",Currency1="NZD",Currency1="GBP"),O349,   _xll.qDateNext(O349,"-2b",,,IF(Currency1="EUR","TGT","LON"))))</f>
        <v>0</v>
      </c>
      <c r="S349" s="879" t="str">
        <v/>
      </c>
      <c r="T349" s="879" t="str">
        <v/>
      </c>
      <c r="U349" s="879" t="str">
        <v/>
      </c>
      <c r="V349" s="879" t="str">
        <v/>
      </c>
      <c r="W349" s="879" t="str">
        <v/>
      </c>
      <c r="X349" s="879" t="str">
        <v/>
      </c>
      <c r="Y349" s="879" t="str">
        <v/>
      </c>
      <c r="Z349" s="879" t="str">
        <v/>
      </c>
      <c r="AA349" s="882">
        <f>IF($O350=0,0,        _xll.qDateNext($O349,AA$17,$AH$16,TRUE,Currency1))</f>
        <v>0</v>
      </c>
      <c r="AB349" s="882">
        <f>IF($O350=0,0,        _xll.qDateNext($O349,AB$17,$AH$16,TRUE,Currency1))</f>
        <v>0</v>
      </c>
      <c r="AC349" s="882">
        <f>IF($O350=0,0,        _xll.qDateNext($O349,AC$17,$AH$16,TRUE,Currency1))</f>
        <v>0</v>
      </c>
      <c r="AD349" s="882">
        <f>IF($O350=0,0,        _xll.qDateNext($O349,AD$17,$AH$16,TRUE,Currency1))</f>
        <v>0</v>
      </c>
      <c r="AE349" s="882">
        <f>IF($O350=0,0,        _xll.qDateNext($O349,AE$17,$AH$16,TRUE,Currency1))</f>
        <v>0</v>
      </c>
      <c r="AF349" s="882">
        <f>IF($O350=0,0,        _xll.qDateNext($O349,AF$17,$AH$16,TRUE,Currency1))</f>
        <v>0</v>
      </c>
      <c r="AG349" s="882">
        <f>IF($O350=0,0,        _xll.qDateNext($O349,AG$17,$AH$16,TRUE,Currency1))</f>
        <v>0</v>
      </c>
      <c r="AH349" s="882">
        <f>IF($O350=0,0,        _xll.qDateNext($O349,AH$17,$AH$16,TRUE,Currency1))</f>
        <v>0</v>
      </c>
      <c r="AI349" s="886">
        <f>IF($O350=0,0,           IF(FRM,_xll.qGetFwdRate(AI$14,$O349,AA349,"T",DCC_Leg1_Float),_xll.qGetFwdRate(AI$14,$O349,$O350,"T",DCC_Leg1_Float)))</f>
        <v>0</v>
      </c>
      <c r="AJ349" s="886">
        <f>IF($O350=0,0,           IF(FRM,_xll.qGetFwdRate(AJ$14,$O349,AB349,"T",DCC_Leg1_Float),_xll.qGetFwdRate(AJ$14,$O349,$O350,"T",DCC_Leg1_Float)))</f>
        <v>0</v>
      </c>
      <c r="AK349" s="886">
        <f t="shared" si="164"/>
        <v>0</v>
      </c>
      <c r="AL349" s="886">
        <f>IF($O350=0,0,           IF(FRM,_xll.qGetFwdRate(AL$14,$O349,AD349,"T",DCC_Leg1_Float),_xll.qGetFwdRate(AL$14,$O349,$O350,"T",DCC_Leg1_Float)))</f>
        <v>0</v>
      </c>
      <c r="AM349" s="886">
        <f t="shared" si="177"/>
        <v>0</v>
      </c>
      <c r="AN349" s="886">
        <f t="shared" si="178"/>
        <v>0</v>
      </c>
      <c r="AO349" s="886">
        <f>IF($O350=0,0,           IF(FRM,_xll.qGetFwdRate(AO$14,$O349,AG349,"T",DCC_Leg1_Float),_xll.qGetFwdRate(AO$14,$O349,$O350,"T",DCC_Leg1_Float)))</f>
        <v>0</v>
      </c>
      <c r="AP349" s="886">
        <f>IF($O350=0,0,           IF(FRM,_xll.qGetFwdRate(AP$14,$O349,AH349,"T",DCC_Leg1_Float),_xll.qGetFwdRate(AP$14,$O349,$O350,"T",DCC_Leg1_Float)))</f>
        <v>0</v>
      </c>
      <c r="AQ349" s="648">
        <f t="shared" si="179"/>
        <v>0</v>
      </c>
      <c r="AR349" s="648">
        <f t="shared" si="180"/>
        <v>0</v>
      </c>
      <c r="AS349" s="648">
        <f t="shared" si="181"/>
        <v>0</v>
      </c>
      <c r="AT349" s="648">
        <f t="shared" si="182"/>
        <v>0</v>
      </c>
      <c r="AU349" s="648">
        <f t="shared" si="183"/>
        <v>0</v>
      </c>
      <c r="AV349" s="648">
        <f t="shared" si="184"/>
        <v>0</v>
      </c>
      <c r="AW349" s="648">
        <f t="shared" si="185"/>
        <v>0</v>
      </c>
      <c r="AX349" s="648">
        <f t="shared" si="186"/>
        <v>0</v>
      </c>
      <c r="AY349" s="634">
        <v>0</v>
      </c>
      <c r="AZ349" s="616"/>
      <c r="BA349" s="619">
        <f>IF(O350=0,0,             IF(ISNUMBER(AZ349),AZ349,             IF(ISTEXT(AZ349),INDEX(AQ349:AX349,MATCH(AZ349,$AQ$17:$AX$17,0)),           IF(AY349="INT",_xll.qInterp(O350,AA349:AH349,AQ349:AX349),       INDEX(AQ349:AX349,MATCH(AY349,$AQ$17:$AX$17,0))))))</f>
        <v>0</v>
      </c>
      <c r="BB349" s="674">
        <v>100</v>
      </c>
      <c r="BC349" s="666">
        <f t="shared" si="165"/>
        <v>0</v>
      </c>
      <c r="BD349" s="268">
        <f>IF($O350=0,0,                IF(LEFT(DCC_Leg1_Fixed,2)="1/",uEvaluate(DCC_Leg1_Fixed),        _xll.qDateYears($O349,$O350,DCC_Leg1_Fixed)))</f>
        <v>0</v>
      </c>
      <c r="BE349" s="268">
        <f>IF($O350,_xll.qDateYears($O349,$O350,DCC_Leg1_Float),0)</f>
        <v>0</v>
      </c>
      <c r="BG349" s="332">
        <f t="shared" si="187"/>
        <v>0</v>
      </c>
      <c r="BH349" s="357">
        <f t="shared" si="188"/>
        <v>0</v>
      </c>
      <c r="BI349" s="527"/>
      <c r="BK349" s="324">
        <f t="shared" si="161"/>
        <v>0</v>
      </c>
      <c r="BM349" s="338"/>
      <c r="BN349" s="121">
        <v>0</v>
      </c>
      <c r="BO349" s="755">
        <f t="shared" si="166"/>
        <v>0</v>
      </c>
      <c r="BP349" s="339">
        <v>0</v>
      </c>
      <c r="BQ349" s="890">
        <f>IF(BN350=0,0,         IF(OR(Currency2="AUD",Currency1="NZD",Currency2="GBP"),BN349,   _xll.qDateNext(BN349,"-2b",,,IF(Currency2="EUR","TGT","LON"))))</f>
        <v>0</v>
      </c>
      <c r="BR349" s="879" t="str">
        <v/>
      </c>
      <c r="BS349" s="879" t="str">
        <v/>
      </c>
      <c r="BT349" s="879" t="str">
        <v/>
      </c>
      <c r="BU349" s="879" t="str">
        <v/>
      </c>
      <c r="BV349" s="879" t="str">
        <v/>
      </c>
      <c r="BW349" s="879" t="str">
        <v/>
      </c>
      <c r="BX349" s="879" t="str">
        <v/>
      </c>
      <c r="BY349" s="879" t="str">
        <v/>
      </c>
      <c r="BZ349" s="882">
        <f>IF($BN350=0,0,        _xll.qDateNext($BN349,BZ$17,$CG$16,TRUE,Currency2))</f>
        <v>0</v>
      </c>
      <c r="CA349" s="882">
        <f>IF($BN350=0,0,        _xll.qDateNext($BN349,CA$17,$CG$16,TRUE,Currency2))</f>
        <v>0</v>
      </c>
      <c r="CB349" s="882">
        <f>IF($BN350=0,0,        _xll.qDateNext($BN349,CB$17,$CG$16,TRUE,Currency2))</f>
        <v>0</v>
      </c>
      <c r="CC349" s="882">
        <f>IF($BN350=0,0,        _xll.qDateNext($BN349,CC$17,$CG$16,TRUE,Currency2))</f>
        <v>0</v>
      </c>
      <c r="CD349" s="882">
        <f>IF($BN350=0,0,        _xll.qDateNext($BN349,CD$17,$CG$16,TRUE,Currency2))</f>
        <v>0</v>
      </c>
      <c r="CE349" s="882">
        <f>IF($BN350=0,0,        _xll.qDateNext($BN349,CE$17,$CG$16,TRUE,Currency2))</f>
        <v>0</v>
      </c>
      <c r="CF349" s="882">
        <f>IF($BN350=0,0,        _xll.qDateNext($BN349,CF$17,$CG$16,TRUE,Currency2))</f>
        <v>0</v>
      </c>
      <c r="CG349" s="882">
        <f>IF($BN350=0,0,        _xll.qDateNext($BN349,CG$17,$CG$16,TRUE,Currency2))</f>
        <v>0</v>
      </c>
      <c r="CH349" s="886">
        <v>0</v>
      </c>
      <c r="CI349" s="886">
        <v>0</v>
      </c>
      <c r="CJ349" s="886">
        <v>0</v>
      </c>
      <c r="CK349" s="886">
        <v>0</v>
      </c>
      <c r="CL349" s="886">
        <f t="shared" si="189"/>
        <v>0</v>
      </c>
      <c r="CM349" s="886">
        <f t="shared" si="190"/>
        <v>0</v>
      </c>
      <c r="CN349" s="886">
        <v>0</v>
      </c>
      <c r="CO349" s="886">
        <v>0</v>
      </c>
      <c r="CP349" s="648">
        <f t="shared" si="167"/>
        <v>0</v>
      </c>
      <c r="CQ349" s="648">
        <f t="shared" si="168"/>
        <v>0</v>
      </c>
      <c r="CR349" s="648">
        <f t="shared" si="169"/>
        <v>0</v>
      </c>
      <c r="CS349" s="648">
        <f t="shared" si="170"/>
        <v>0</v>
      </c>
      <c r="CT349" s="648">
        <f t="shared" si="171"/>
        <v>0</v>
      </c>
      <c r="CU349" s="648">
        <f t="shared" si="172"/>
        <v>0</v>
      </c>
      <c r="CV349" s="648">
        <f t="shared" si="173"/>
        <v>0</v>
      </c>
      <c r="CW349" s="648">
        <f t="shared" si="174"/>
        <v>0</v>
      </c>
      <c r="CX349" s="634">
        <v>0</v>
      </c>
      <c r="CY349" s="616"/>
      <c r="CZ349" s="619">
        <f>IF(BN350=0,0,             IF(ISNUMBER(CY349),CY349,             IF(ISTEXT(CY349),INDEX(CP349:CW349,MATCH(CY349,$CP$17:$CW$17,0)),           IF(CX349="INT",_xll.qInterp(BN350,BZ349:CG349,CP349:CW349),       INDEX(CP349:CW349,MATCH(CX349,$CP$17:$CW$17,0))))))</f>
        <v>0</v>
      </c>
      <c r="DA349" s="755">
        <f t="shared" si="175"/>
        <v>0</v>
      </c>
      <c r="DB349" s="387">
        <f t="shared" si="176"/>
        <v>0</v>
      </c>
      <c r="DC349" s="268">
        <f>IF($BN350=0,0,         IF(LEFT(DCC_Leg2_Fixed,2)="1/",uEvaluate(DCC_Leg2_Fixed),         _xll.qDateYears($BN349,$BN350,DCC_Leg2_Fixed)))</f>
        <v>0</v>
      </c>
      <c r="DD349" s="268">
        <f>IF($BN350,_xll.qDateYears($BN349,$BN350,DCC_Leg2_Float),0)</f>
        <v>0</v>
      </c>
      <c r="DF349" s="332">
        <f t="shared" si="191"/>
        <v>0</v>
      </c>
      <c r="DG349" s="357">
        <f t="shared" si="192"/>
        <v>0</v>
      </c>
      <c r="DH349" s="527"/>
      <c r="DJ349" s="324">
        <f t="shared" si="162"/>
        <v>0</v>
      </c>
      <c r="DK349" s="529"/>
      <c r="DL349" s="338"/>
    </row>
    <row r="350" spans="15:116">
      <c r="O350" s="121">
        <v>0</v>
      </c>
      <c r="P350" s="755">
        <f t="shared" si="163"/>
        <v>0</v>
      </c>
      <c r="Q350" s="125">
        <v>0</v>
      </c>
      <c r="R350" s="890">
        <f>IF(O351=0,0,         IF(OR(Currency1="AUD",Currency1="NZD",Currency1="GBP"),O350,   _xll.qDateNext(O350,"-2b",,,IF(Currency1="EUR","TGT","LON"))))</f>
        <v>0</v>
      </c>
      <c r="S350" s="879" t="str">
        <v/>
      </c>
      <c r="T350" s="879" t="str">
        <v/>
      </c>
      <c r="U350" s="879" t="str">
        <v/>
      </c>
      <c r="V350" s="879" t="str">
        <v/>
      </c>
      <c r="W350" s="879" t="str">
        <v/>
      </c>
      <c r="X350" s="879" t="str">
        <v/>
      </c>
      <c r="Y350" s="879" t="str">
        <v/>
      </c>
      <c r="Z350" s="879" t="str">
        <v/>
      </c>
      <c r="AA350" s="882">
        <f>IF($O351=0,0,        _xll.qDateNext($O350,AA$17,$AH$16,TRUE,Currency1))</f>
        <v>0</v>
      </c>
      <c r="AB350" s="882">
        <f>IF($O351=0,0,        _xll.qDateNext($O350,AB$17,$AH$16,TRUE,Currency1))</f>
        <v>0</v>
      </c>
      <c r="AC350" s="882">
        <f>IF($O351=0,0,        _xll.qDateNext($O350,AC$17,$AH$16,TRUE,Currency1))</f>
        <v>0</v>
      </c>
      <c r="AD350" s="882">
        <f>IF($O351=0,0,        _xll.qDateNext($O350,AD$17,$AH$16,TRUE,Currency1))</f>
        <v>0</v>
      </c>
      <c r="AE350" s="882">
        <f>IF($O351=0,0,        _xll.qDateNext($O350,AE$17,$AH$16,TRUE,Currency1))</f>
        <v>0</v>
      </c>
      <c r="AF350" s="882">
        <f>IF($O351=0,0,        _xll.qDateNext($O350,AF$17,$AH$16,TRUE,Currency1))</f>
        <v>0</v>
      </c>
      <c r="AG350" s="882">
        <f>IF($O351=0,0,        _xll.qDateNext($O350,AG$17,$AH$16,TRUE,Currency1))</f>
        <v>0</v>
      </c>
      <c r="AH350" s="882">
        <f>IF($O351=0,0,        _xll.qDateNext($O350,AH$17,$AH$16,TRUE,Currency1))</f>
        <v>0</v>
      </c>
      <c r="AI350" s="886">
        <f>IF($O351=0,0,           IF(FRM,_xll.qGetFwdRate(AI$14,$O350,AA350,"T",DCC_Leg1_Float),_xll.qGetFwdRate(AI$14,$O350,$O351,"T",DCC_Leg1_Float)))</f>
        <v>0</v>
      </c>
      <c r="AJ350" s="886">
        <f>IF($O351=0,0,           IF(FRM,_xll.qGetFwdRate(AJ$14,$O350,AB350,"T",DCC_Leg1_Float),_xll.qGetFwdRate(AJ$14,$O350,$O351,"T",DCC_Leg1_Float)))</f>
        <v>0</v>
      </c>
      <c r="AK350" s="886">
        <f t="shared" si="164"/>
        <v>0</v>
      </c>
      <c r="AL350" s="886">
        <f>IF($O351=0,0,           IF(FRM,_xll.qGetFwdRate(AL$14,$O350,AD350,"T",DCC_Leg1_Float),_xll.qGetFwdRate(AL$14,$O350,$O351,"T",DCC_Leg1_Float)))</f>
        <v>0</v>
      </c>
      <c r="AM350" s="886">
        <f t="shared" si="177"/>
        <v>0</v>
      </c>
      <c r="AN350" s="886">
        <f t="shared" si="178"/>
        <v>0</v>
      </c>
      <c r="AO350" s="886">
        <f>IF($O351=0,0,           IF(FRM,_xll.qGetFwdRate(AO$14,$O350,AG350,"T",DCC_Leg1_Float),_xll.qGetFwdRate(AO$14,$O350,$O351,"T",DCC_Leg1_Float)))</f>
        <v>0</v>
      </c>
      <c r="AP350" s="886">
        <f>IF($O351=0,0,           IF(FRM,_xll.qGetFwdRate(AP$14,$O350,AH350,"T",DCC_Leg1_Float),_xll.qGetFwdRate(AP$14,$O350,$O351,"T",DCC_Leg1_Float)))</f>
        <v>0</v>
      </c>
      <c r="AQ350" s="648">
        <f t="shared" si="179"/>
        <v>0</v>
      </c>
      <c r="AR350" s="648">
        <f t="shared" si="180"/>
        <v>0</v>
      </c>
      <c r="AS350" s="648">
        <f t="shared" si="181"/>
        <v>0</v>
      </c>
      <c r="AT350" s="648">
        <f t="shared" si="182"/>
        <v>0</v>
      </c>
      <c r="AU350" s="648">
        <f t="shared" si="183"/>
        <v>0</v>
      </c>
      <c r="AV350" s="648">
        <f t="shared" si="184"/>
        <v>0</v>
      </c>
      <c r="AW350" s="648">
        <f t="shared" si="185"/>
        <v>0</v>
      </c>
      <c r="AX350" s="648">
        <f t="shared" si="186"/>
        <v>0</v>
      </c>
      <c r="AY350" s="634">
        <v>0</v>
      </c>
      <c r="AZ350" s="616"/>
      <c r="BA350" s="619">
        <f>IF(O351=0,0,             IF(ISNUMBER(AZ350),AZ350,             IF(ISTEXT(AZ350),INDEX(AQ350:AX350,MATCH(AZ350,$AQ$17:$AX$17,0)),           IF(AY350="INT",_xll.qInterp(O351,AA350:AH350,AQ350:AX350),       INDEX(AQ350:AX350,MATCH(AY350,$AQ$17:$AX$17,0))))))</f>
        <v>0</v>
      </c>
      <c r="BB350" s="674">
        <v>100</v>
      </c>
      <c r="BC350" s="666">
        <f t="shared" si="165"/>
        <v>0</v>
      </c>
      <c r="BD350" s="268">
        <f>IF($O351=0,0,                IF(LEFT(DCC_Leg1_Fixed,2)="1/",uEvaluate(DCC_Leg1_Fixed),        _xll.qDateYears($O350,$O351,DCC_Leg1_Fixed)))</f>
        <v>0</v>
      </c>
      <c r="BE350" s="268">
        <f>IF($O351,_xll.qDateYears($O350,$O351,DCC_Leg1_Float),0)</f>
        <v>0</v>
      </c>
      <c r="BG350" s="332">
        <f t="shared" si="187"/>
        <v>0</v>
      </c>
      <c r="BH350" s="357">
        <f t="shared" si="188"/>
        <v>0</v>
      </c>
      <c r="BI350" s="527"/>
      <c r="BK350" s="324">
        <f t="shared" si="161"/>
        <v>0</v>
      </c>
      <c r="BM350" s="338"/>
      <c r="BN350" s="121">
        <v>0</v>
      </c>
      <c r="BO350" s="755">
        <f t="shared" si="166"/>
        <v>0</v>
      </c>
      <c r="BP350" s="339">
        <v>0</v>
      </c>
      <c r="BQ350" s="890">
        <f>IF(BN351=0,0,         IF(OR(Currency2="AUD",Currency1="NZD",Currency2="GBP"),BN350,   _xll.qDateNext(BN350,"-2b",,,IF(Currency2="EUR","TGT","LON"))))</f>
        <v>0</v>
      </c>
      <c r="BR350" s="879" t="str">
        <v/>
      </c>
      <c r="BS350" s="879" t="str">
        <v/>
      </c>
      <c r="BT350" s="879" t="str">
        <v/>
      </c>
      <c r="BU350" s="879" t="str">
        <v/>
      </c>
      <c r="BV350" s="879" t="str">
        <v/>
      </c>
      <c r="BW350" s="879" t="str">
        <v/>
      </c>
      <c r="BX350" s="879" t="str">
        <v/>
      </c>
      <c r="BY350" s="879" t="str">
        <v/>
      </c>
      <c r="BZ350" s="882">
        <f>IF($BN351=0,0,        _xll.qDateNext($BN350,BZ$17,$CG$16,TRUE,Currency2))</f>
        <v>0</v>
      </c>
      <c r="CA350" s="882">
        <f>IF($BN351=0,0,        _xll.qDateNext($BN350,CA$17,$CG$16,TRUE,Currency2))</f>
        <v>0</v>
      </c>
      <c r="CB350" s="882">
        <f>IF($BN351=0,0,        _xll.qDateNext($BN350,CB$17,$CG$16,TRUE,Currency2))</f>
        <v>0</v>
      </c>
      <c r="CC350" s="882">
        <f>IF($BN351=0,0,        _xll.qDateNext($BN350,CC$17,$CG$16,TRUE,Currency2))</f>
        <v>0</v>
      </c>
      <c r="CD350" s="882">
        <f>IF($BN351=0,0,        _xll.qDateNext($BN350,CD$17,$CG$16,TRUE,Currency2))</f>
        <v>0</v>
      </c>
      <c r="CE350" s="882">
        <f>IF($BN351=0,0,        _xll.qDateNext($BN350,CE$17,$CG$16,TRUE,Currency2))</f>
        <v>0</v>
      </c>
      <c r="CF350" s="882">
        <f>IF($BN351=0,0,        _xll.qDateNext($BN350,CF$17,$CG$16,TRUE,Currency2))</f>
        <v>0</v>
      </c>
      <c r="CG350" s="882">
        <f>IF($BN351=0,0,        _xll.qDateNext($BN350,CG$17,$CG$16,TRUE,Currency2))</f>
        <v>0</v>
      </c>
      <c r="CH350" s="886">
        <v>0</v>
      </c>
      <c r="CI350" s="886">
        <v>0</v>
      </c>
      <c r="CJ350" s="886">
        <v>0</v>
      </c>
      <c r="CK350" s="886">
        <v>0</v>
      </c>
      <c r="CL350" s="886">
        <f t="shared" si="189"/>
        <v>0</v>
      </c>
      <c r="CM350" s="886">
        <f t="shared" si="190"/>
        <v>0</v>
      </c>
      <c r="CN350" s="886">
        <v>0</v>
      </c>
      <c r="CO350" s="886">
        <v>0</v>
      </c>
      <c r="CP350" s="648">
        <f t="shared" si="167"/>
        <v>0</v>
      </c>
      <c r="CQ350" s="648">
        <f t="shared" si="168"/>
        <v>0</v>
      </c>
      <c r="CR350" s="648">
        <f t="shared" si="169"/>
        <v>0</v>
      </c>
      <c r="CS350" s="648">
        <f t="shared" si="170"/>
        <v>0</v>
      </c>
      <c r="CT350" s="648">
        <f t="shared" si="171"/>
        <v>0</v>
      </c>
      <c r="CU350" s="648">
        <f t="shared" si="172"/>
        <v>0</v>
      </c>
      <c r="CV350" s="648">
        <f t="shared" si="173"/>
        <v>0</v>
      </c>
      <c r="CW350" s="648">
        <f t="shared" si="174"/>
        <v>0</v>
      </c>
      <c r="CX350" s="634">
        <v>0</v>
      </c>
      <c r="CY350" s="616"/>
      <c r="CZ350" s="619">
        <f>IF(BN351=0,0,             IF(ISNUMBER(CY350),CY350,             IF(ISTEXT(CY350),INDEX(CP350:CW350,MATCH(CY350,$CP$17:$CW$17,0)),           IF(CX350="INT",_xll.qInterp(BN351,BZ350:CG350,CP350:CW350),       INDEX(CP350:CW350,MATCH(CX350,$CP$17:$CW$17,0))))))</f>
        <v>0</v>
      </c>
      <c r="DA350" s="755">
        <f t="shared" si="175"/>
        <v>0</v>
      </c>
      <c r="DB350" s="387">
        <f t="shared" si="176"/>
        <v>0</v>
      </c>
      <c r="DC350" s="268">
        <f>IF($BN351=0,0,         IF(LEFT(DCC_Leg2_Fixed,2)="1/",uEvaluate(DCC_Leg2_Fixed),         _xll.qDateYears($BN350,$BN351,DCC_Leg2_Fixed)))</f>
        <v>0</v>
      </c>
      <c r="DD350" s="268">
        <f>IF($BN351,_xll.qDateYears($BN350,$BN351,DCC_Leg2_Float),0)</f>
        <v>0</v>
      </c>
      <c r="DF350" s="332">
        <f t="shared" si="191"/>
        <v>0</v>
      </c>
      <c r="DG350" s="357">
        <f t="shared" si="192"/>
        <v>0</v>
      </c>
      <c r="DH350" s="527"/>
      <c r="DJ350" s="324">
        <f t="shared" si="162"/>
        <v>0</v>
      </c>
      <c r="DK350" s="529"/>
      <c r="DL350" s="338"/>
    </row>
    <row r="351" spans="15:116">
      <c r="O351" s="121">
        <v>0</v>
      </c>
      <c r="P351" s="755">
        <f t="shared" si="163"/>
        <v>0</v>
      </c>
      <c r="Q351" s="125">
        <v>0</v>
      </c>
      <c r="R351" s="890">
        <f>IF(O352=0,0,         IF(OR(Currency1="AUD",Currency1="NZD",Currency1="GBP"),O351,   _xll.qDateNext(O351,"-2b",,,IF(Currency1="EUR","TGT","LON"))))</f>
        <v>0</v>
      </c>
      <c r="S351" s="879" t="str">
        <v/>
      </c>
      <c r="T351" s="879" t="str">
        <v/>
      </c>
      <c r="U351" s="879" t="str">
        <v/>
      </c>
      <c r="V351" s="879" t="str">
        <v/>
      </c>
      <c r="W351" s="879" t="str">
        <v/>
      </c>
      <c r="X351" s="879" t="str">
        <v/>
      </c>
      <c r="Y351" s="879" t="str">
        <v/>
      </c>
      <c r="Z351" s="879" t="str">
        <v/>
      </c>
      <c r="AA351" s="882">
        <f>IF($O352=0,0,        _xll.qDateNext($O351,AA$17,$AH$16,TRUE,Currency1))</f>
        <v>0</v>
      </c>
      <c r="AB351" s="882">
        <f>IF($O352=0,0,        _xll.qDateNext($O351,AB$17,$AH$16,TRUE,Currency1))</f>
        <v>0</v>
      </c>
      <c r="AC351" s="882">
        <f>IF($O352=0,0,        _xll.qDateNext($O351,AC$17,$AH$16,TRUE,Currency1))</f>
        <v>0</v>
      </c>
      <c r="AD351" s="882">
        <f>IF($O352=0,0,        _xll.qDateNext($O351,AD$17,$AH$16,TRUE,Currency1))</f>
        <v>0</v>
      </c>
      <c r="AE351" s="882">
        <f>IF($O352=0,0,        _xll.qDateNext($O351,AE$17,$AH$16,TRUE,Currency1))</f>
        <v>0</v>
      </c>
      <c r="AF351" s="882">
        <f>IF($O352=0,0,        _xll.qDateNext($O351,AF$17,$AH$16,TRUE,Currency1))</f>
        <v>0</v>
      </c>
      <c r="AG351" s="882">
        <f>IF($O352=0,0,        _xll.qDateNext($O351,AG$17,$AH$16,TRUE,Currency1))</f>
        <v>0</v>
      </c>
      <c r="AH351" s="882">
        <f>IF($O352=0,0,        _xll.qDateNext($O351,AH$17,$AH$16,TRUE,Currency1))</f>
        <v>0</v>
      </c>
      <c r="AI351" s="886">
        <f>IF($O352=0,0,           IF(FRM,_xll.qGetFwdRate(AI$14,$O351,AA351,"T",DCC_Leg1_Float),_xll.qGetFwdRate(AI$14,$O351,$O352,"T",DCC_Leg1_Float)))</f>
        <v>0</v>
      </c>
      <c r="AJ351" s="886">
        <f>IF($O352=0,0,           IF(FRM,_xll.qGetFwdRate(AJ$14,$O351,AB351,"T",DCC_Leg1_Float),_xll.qGetFwdRate(AJ$14,$O351,$O352,"T",DCC_Leg1_Float)))</f>
        <v>0</v>
      </c>
      <c r="AK351" s="886">
        <f t="shared" si="164"/>
        <v>0</v>
      </c>
      <c r="AL351" s="886">
        <f>IF($O352=0,0,           IF(FRM,_xll.qGetFwdRate(AL$14,$O351,AD351,"T",DCC_Leg1_Float),_xll.qGetFwdRate(AL$14,$O351,$O352,"T",DCC_Leg1_Float)))</f>
        <v>0</v>
      </c>
      <c r="AM351" s="886">
        <f t="shared" si="177"/>
        <v>0</v>
      </c>
      <c r="AN351" s="886">
        <f t="shared" si="178"/>
        <v>0</v>
      </c>
      <c r="AO351" s="886">
        <f>IF($O352=0,0,           IF(FRM,_xll.qGetFwdRate(AO$14,$O351,AG351,"T",DCC_Leg1_Float),_xll.qGetFwdRate(AO$14,$O351,$O352,"T",DCC_Leg1_Float)))</f>
        <v>0</v>
      </c>
      <c r="AP351" s="886">
        <f>IF($O352=0,0,           IF(FRM,_xll.qGetFwdRate(AP$14,$O351,AH351,"T",DCC_Leg1_Float),_xll.qGetFwdRate(AP$14,$O351,$O352,"T",DCC_Leg1_Float)))</f>
        <v>0</v>
      </c>
      <c r="AQ351" s="648">
        <f t="shared" si="179"/>
        <v>0</v>
      </c>
      <c r="AR351" s="648">
        <f t="shared" si="180"/>
        <v>0</v>
      </c>
      <c r="AS351" s="648">
        <f t="shared" si="181"/>
        <v>0</v>
      </c>
      <c r="AT351" s="648">
        <f t="shared" si="182"/>
        <v>0</v>
      </c>
      <c r="AU351" s="648">
        <f t="shared" si="183"/>
        <v>0</v>
      </c>
      <c r="AV351" s="648">
        <f t="shared" si="184"/>
        <v>0</v>
      </c>
      <c r="AW351" s="648">
        <f t="shared" si="185"/>
        <v>0</v>
      </c>
      <c r="AX351" s="648">
        <f t="shared" si="186"/>
        <v>0</v>
      </c>
      <c r="AY351" s="634">
        <v>0</v>
      </c>
      <c r="AZ351" s="616"/>
      <c r="BA351" s="619">
        <f>IF(O352=0,0,             IF(ISNUMBER(AZ351),AZ351,             IF(ISTEXT(AZ351),INDEX(AQ351:AX351,MATCH(AZ351,$AQ$17:$AX$17,0)),           IF(AY351="INT",_xll.qInterp(O352,AA351:AH351,AQ351:AX351),       INDEX(AQ351:AX351,MATCH(AY351,$AQ$17:$AX$17,0))))))</f>
        <v>0</v>
      </c>
      <c r="BB351" s="674">
        <v>100</v>
      </c>
      <c r="BC351" s="666">
        <f t="shared" si="165"/>
        <v>0</v>
      </c>
      <c r="BD351" s="268">
        <f>IF($O352=0,0,                IF(LEFT(DCC_Leg1_Fixed,2)="1/",uEvaluate(DCC_Leg1_Fixed),        _xll.qDateYears($O351,$O352,DCC_Leg1_Fixed)))</f>
        <v>0</v>
      </c>
      <c r="BE351" s="268">
        <f>IF($O352,_xll.qDateYears($O351,$O352,DCC_Leg1_Float),0)</f>
        <v>0</v>
      </c>
      <c r="BG351" s="332">
        <f t="shared" si="187"/>
        <v>0</v>
      </c>
      <c r="BH351" s="357">
        <f t="shared" si="188"/>
        <v>0</v>
      </c>
      <c r="BI351" s="527"/>
      <c r="BK351" s="324">
        <f t="shared" si="161"/>
        <v>0</v>
      </c>
      <c r="BM351" s="338"/>
      <c r="BN351" s="121">
        <v>0</v>
      </c>
      <c r="BO351" s="755">
        <f t="shared" si="166"/>
        <v>0</v>
      </c>
      <c r="BP351" s="339">
        <v>0</v>
      </c>
      <c r="BQ351" s="890">
        <f>IF(BN352=0,0,         IF(OR(Currency2="AUD",Currency1="NZD",Currency2="GBP"),BN351,   _xll.qDateNext(BN351,"-2b",,,IF(Currency2="EUR","TGT","LON"))))</f>
        <v>0</v>
      </c>
      <c r="BR351" s="879" t="str">
        <v/>
      </c>
      <c r="BS351" s="879" t="str">
        <v/>
      </c>
      <c r="BT351" s="879" t="str">
        <v/>
      </c>
      <c r="BU351" s="879" t="str">
        <v/>
      </c>
      <c r="BV351" s="879" t="str">
        <v/>
      </c>
      <c r="BW351" s="879" t="str">
        <v/>
      </c>
      <c r="BX351" s="879" t="str">
        <v/>
      </c>
      <c r="BY351" s="879" t="str">
        <v/>
      </c>
      <c r="BZ351" s="882">
        <f>IF($BN352=0,0,        _xll.qDateNext($BN351,BZ$17,$CG$16,TRUE,Currency2))</f>
        <v>0</v>
      </c>
      <c r="CA351" s="882">
        <f>IF($BN352=0,0,        _xll.qDateNext($BN351,CA$17,$CG$16,TRUE,Currency2))</f>
        <v>0</v>
      </c>
      <c r="CB351" s="882">
        <f>IF($BN352=0,0,        _xll.qDateNext($BN351,CB$17,$CG$16,TRUE,Currency2))</f>
        <v>0</v>
      </c>
      <c r="CC351" s="882">
        <f>IF($BN352=0,0,        _xll.qDateNext($BN351,CC$17,$CG$16,TRUE,Currency2))</f>
        <v>0</v>
      </c>
      <c r="CD351" s="882">
        <f>IF($BN352=0,0,        _xll.qDateNext($BN351,CD$17,$CG$16,TRUE,Currency2))</f>
        <v>0</v>
      </c>
      <c r="CE351" s="882">
        <f>IF($BN352=0,0,        _xll.qDateNext($BN351,CE$17,$CG$16,TRUE,Currency2))</f>
        <v>0</v>
      </c>
      <c r="CF351" s="882">
        <f>IF($BN352=0,0,        _xll.qDateNext($BN351,CF$17,$CG$16,TRUE,Currency2))</f>
        <v>0</v>
      </c>
      <c r="CG351" s="882">
        <f>IF($BN352=0,0,        _xll.qDateNext($BN351,CG$17,$CG$16,TRUE,Currency2))</f>
        <v>0</v>
      </c>
      <c r="CH351" s="886">
        <v>0</v>
      </c>
      <c r="CI351" s="886">
        <v>0</v>
      </c>
      <c r="CJ351" s="886">
        <v>0</v>
      </c>
      <c r="CK351" s="886">
        <v>0</v>
      </c>
      <c r="CL351" s="886">
        <f t="shared" si="189"/>
        <v>0</v>
      </c>
      <c r="CM351" s="886">
        <f t="shared" si="190"/>
        <v>0</v>
      </c>
      <c r="CN351" s="886">
        <v>0</v>
      </c>
      <c r="CO351" s="886">
        <v>0</v>
      </c>
      <c r="CP351" s="648">
        <f t="shared" si="167"/>
        <v>0</v>
      </c>
      <c r="CQ351" s="648">
        <f t="shared" si="168"/>
        <v>0</v>
      </c>
      <c r="CR351" s="648">
        <f t="shared" si="169"/>
        <v>0</v>
      </c>
      <c r="CS351" s="648">
        <f t="shared" si="170"/>
        <v>0</v>
      </c>
      <c r="CT351" s="648">
        <f t="shared" si="171"/>
        <v>0</v>
      </c>
      <c r="CU351" s="648">
        <f t="shared" si="172"/>
        <v>0</v>
      </c>
      <c r="CV351" s="648">
        <f t="shared" si="173"/>
        <v>0</v>
      </c>
      <c r="CW351" s="648">
        <f t="shared" si="174"/>
        <v>0</v>
      </c>
      <c r="CX351" s="634">
        <v>0</v>
      </c>
      <c r="CY351" s="616"/>
      <c r="CZ351" s="619">
        <f>IF(BN352=0,0,             IF(ISNUMBER(CY351),CY351,             IF(ISTEXT(CY351),INDEX(CP351:CW351,MATCH(CY351,$CP$17:$CW$17,0)),           IF(CX351="INT",_xll.qInterp(BN352,BZ351:CG351,CP351:CW351),       INDEX(CP351:CW351,MATCH(CX351,$CP$17:$CW$17,0))))))</f>
        <v>0</v>
      </c>
      <c r="DA351" s="755">
        <f t="shared" si="175"/>
        <v>0</v>
      </c>
      <c r="DB351" s="387">
        <f t="shared" si="176"/>
        <v>0</v>
      </c>
      <c r="DC351" s="268">
        <f>IF($BN352=0,0,         IF(LEFT(DCC_Leg2_Fixed,2)="1/",uEvaluate(DCC_Leg2_Fixed),         _xll.qDateYears($BN351,$BN352,DCC_Leg2_Fixed)))</f>
        <v>0</v>
      </c>
      <c r="DD351" s="268">
        <f>IF($BN352,_xll.qDateYears($BN351,$BN352,DCC_Leg2_Float),0)</f>
        <v>0</v>
      </c>
      <c r="DF351" s="332">
        <f t="shared" si="191"/>
        <v>0</v>
      </c>
      <c r="DG351" s="357">
        <f t="shared" si="192"/>
        <v>0</v>
      </c>
      <c r="DH351" s="527"/>
      <c r="DJ351" s="324">
        <f t="shared" si="162"/>
        <v>0</v>
      </c>
      <c r="DK351" s="529"/>
      <c r="DL351" s="338"/>
    </row>
    <row r="352" spans="15:116">
      <c r="O352" s="121">
        <v>0</v>
      </c>
      <c r="P352" s="755">
        <f t="shared" si="163"/>
        <v>0</v>
      </c>
      <c r="Q352" s="125">
        <v>0</v>
      </c>
      <c r="R352" s="890">
        <f>IF(O353=0,0,         IF(OR(Currency1="AUD",Currency1="NZD",Currency1="GBP"),O352,   _xll.qDateNext(O352,"-2b",,,IF(Currency1="EUR","TGT","LON"))))</f>
        <v>0</v>
      </c>
      <c r="S352" s="879" t="str">
        <v/>
      </c>
      <c r="T352" s="879" t="str">
        <v/>
      </c>
      <c r="U352" s="879" t="str">
        <v/>
      </c>
      <c r="V352" s="879" t="str">
        <v/>
      </c>
      <c r="W352" s="879" t="str">
        <v/>
      </c>
      <c r="X352" s="879" t="str">
        <v/>
      </c>
      <c r="Y352" s="879" t="str">
        <v/>
      </c>
      <c r="Z352" s="879" t="str">
        <v/>
      </c>
      <c r="AA352" s="882">
        <f>IF($O353=0,0,        _xll.qDateNext($O352,AA$17,$AH$16,TRUE,Currency1))</f>
        <v>0</v>
      </c>
      <c r="AB352" s="882">
        <f>IF($O353=0,0,        _xll.qDateNext($O352,AB$17,$AH$16,TRUE,Currency1))</f>
        <v>0</v>
      </c>
      <c r="AC352" s="882">
        <f>IF($O353=0,0,        _xll.qDateNext($O352,AC$17,$AH$16,TRUE,Currency1))</f>
        <v>0</v>
      </c>
      <c r="AD352" s="882">
        <f>IF($O353=0,0,        _xll.qDateNext($O352,AD$17,$AH$16,TRUE,Currency1))</f>
        <v>0</v>
      </c>
      <c r="AE352" s="882">
        <f>IF($O353=0,0,        _xll.qDateNext($O352,AE$17,$AH$16,TRUE,Currency1))</f>
        <v>0</v>
      </c>
      <c r="AF352" s="882">
        <f>IF($O353=0,0,        _xll.qDateNext($O352,AF$17,$AH$16,TRUE,Currency1))</f>
        <v>0</v>
      </c>
      <c r="AG352" s="882">
        <f>IF($O353=0,0,        _xll.qDateNext($O352,AG$17,$AH$16,TRUE,Currency1))</f>
        <v>0</v>
      </c>
      <c r="AH352" s="882">
        <f>IF($O353=0,0,        _xll.qDateNext($O352,AH$17,$AH$16,TRUE,Currency1))</f>
        <v>0</v>
      </c>
      <c r="AI352" s="886">
        <f>IF($O353=0,0,           IF(FRM,_xll.qGetFwdRate(AI$14,$O352,AA352,"T",DCC_Leg1_Float),_xll.qGetFwdRate(AI$14,$O352,$O353,"T",DCC_Leg1_Float)))</f>
        <v>0</v>
      </c>
      <c r="AJ352" s="886">
        <f>IF($O353=0,0,           IF(FRM,_xll.qGetFwdRate(AJ$14,$O352,AB352,"T",DCC_Leg1_Float),_xll.qGetFwdRate(AJ$14,$O352,$O353,"T",DCC_Leg1_Float)))</f>
        <v>0</v>
      </c>
      <c r="AK352" s="886">
        <f t="shared" si="164"/>
        <v>0</v>
      </c>
      <c r="AL352" s="886">
        <f>IF($O353=0,0,           IF(FRM,_xll.qGetFwdRate(AL$14,$O352,AD352,"T",DCC_Leg1_Float),_xll.qGetFwdRate(AL$14,$O352,$O353,"T",DCC_Leg1_Float)))</f>
        <v>0</v>
      </c>
      <c r="AM352" s="886">
        <f t="shared" si="177"/>
        <v>0</v>
      </c>
      <c r="AN352" s="886">
        <f t="shared" si="178"/>
        <v>0</v>
      </c>
      <c r="AO352" s="886">
        <f>IF($O353=0,0,           IF(FRM,_xll.qGetFwdRate(AO$14,$O352,AG352,"T",DCC_Leg1_Float),_xll.qGetFwdRate(AO$14,$O352,$O353,"T",DCC_Leg1_Float)))</f>
        <v>0</v>
      </c>
      <c r="AP352" s="886">
        <f>IF($O353=0,0,           IF(FRM,_xll.qGetFwdRate(AP$14,$O352,AH352,"T",DCC_Leg1_Float),_xll.qGetFwdRate(AP$14,$O352,$O353,"T",DCC_Leg1_Float)))</f>
        <v>0</v>
      </c>
      <c r="AQ352" s="648">
        <f t="shared" si="179"/>
        <v>0</v>
      </c>
      <c r="AR352" s="648">
        <f t="shared" si="180"/>
        <v>0</v>
      </c>
      <c r="AS352" s="648">
        <f t="shared" si="181"/>
        <v>0</v>
      </c>
      <c r="AT352" s="648">
        <f t="shared" si="182"/>
        <v>0</v>
      </c>
      <c r="AU352" s="648">
        <f t="shared" si="183"/>
        <v>0</v>
      </c>
      <c r="AV352" s="648">
        <f t="shared" si="184"/>
        <v>0</v>
      </c>
      <c r="AW352" s="648">
        <f t="shared" si="185"/>
        <v>0</v>
      </c>
      <c r="AX352" s="648">
        <f t="shared" si="186"/>
        <v>0</v>
      </c>
      <c r="AY352" s="634">
        <v>0</v>
      </c>
      <c r="AZ352" s="616"/>
      <c r="BA352" s="619">
        <f>IF(O353=0,0,             IF(ISNUMBER(AZ352),AZ352,             IF(ISTEXT(AZ352),INDEX(AQ352:AX352,MATCH(AZ352,$AQ$17:$AX$17,0)),           IF(AY352="INT",_xll.qInterp(O353,AA352:AH352,AQ352:AX352),       INDEX(AQ352:AX352,MATCH(AY352,$AQ$17:$AX$17,0))))))</f>
        <v>0</v>
      </c>
      <c r="BB352" s="674">
        <v>100</v>
      </c>
      <c r="BC352" s="666">
        <f t="shared" si="165"/>
        <v>0</v>
      </c>
      <c r="BD352" s="268">
        <f>IF($O353=0,0,                IF(LEFT(DCC_Leg1_Fixed,2)="1/",uEvaluate(DCC_Leg1_Fixed),        _xll.qDateYears($O352,$O353,DCC_Leg1_Fixed)))</f>
        <v>0</v>
      </c>
      <c r="BE352" s="268">
        <f>IF($O353,_xll.qDateYears($O352,$O353,DCC_Leg1_Float),0)</f>
        <v>0</v>
      </c>
      <c r="BG352" s="332">
        <f t="shared" si="187"/>
        <v>0</v>
      </c>
      <c r="BH352" s="357">
        <f t="shared" si="188"/>
        <v>0</v>
      </c>
      <c r="BI352" s="527"/>
      <c r="BK352" s="324">
        <f t="shared" si="161"/>
        <v>0</v>
      </c>
      <c r="BM352" s="338"/>
      <c r="BN352" s="121">
        <v>0</v>
      </c>
      <c r="BO352" s="755">
        <f t="shared" si="166"/>
        <v>0</v>
      </c>
      <c r="BP352" s="339">
        <v>0</v>
      </c>
      <c r="BQ352" s="890">
        <f>IF(BN353=0,0,         IF(OR(Currency2="AUD",Currency1="NZD",Currency2="GBP"),BN352,   _xll.qDateNext(BN352,"-2b",,,IF(Currency2="EUR","TGT","LON"))))</f>
        <v>0</v>
      </c>
      <c r="BR352" s="879" t="str">
        <v/>
      </c>
      <c r="BS352" s="879" t="str">
        <v/>
      </c>
      <c r="BT352" s="879" t="str">
        <v/>
      </c>
      <c r="BU352" s="879" t="str">
        <v/>
      </c>
      <c r="BV352" s="879" t="str">
        <v/>
      </c>
      <c r="BW352" s="879" t="str">
        <v/>
      </c>
      <c r="BX352" s="879" t="str">
        <v/>
      </c>
      <c r="BY352" s="879" t="str">
        <v/>
      </c>
      <c r="BZ352" s="882">
        <f>IF($BN353=0,0,        _xll.qDateNext($BN352,BZ$17,$CG$16,TRUE,Currency2))</f>
        <v>0</v>
      </c>
      <c r="CA352" s="882">
        <f>IF($BN353=0,0,        _xll.qDateNext($BN352,CA$17,$CG$16,TRUE,Currency2))</f>
        <v>0</v>
      </c>
      <c r="CB352" s="882">
        <f>IF($BN353=0,0,        _xll.qDateNext($BN352,CB$17,$CG$16,TRUE,Currency2))</f>
        <v>0</v>
      </c>
      <c r="CC352" s="882">
        <f>IF($BN353=0,0,        _xll.qDateNext($BN352,CC$17,$CG$16,TRUE,Currency2))</f>
        <v>0</v>
      </c>
      <c r="CD352" s="882">
        <f>IF($BN353=0,0,        _xll.qDateNext($BN352,CD$17,$CG$16,TRUE,Currency2))</f>
        <v>0</v>
      </c>
      <c r="CE352" s="882">
        <f>IF($BN353=0,0,        _xll.qDateNext($BN352,CE$17,$CG$16,TRUE,Currency2))</f>
        <v>0</v>
      </c>
      <c r="CF352" s="882">
        <f>IF($BN353=0,0,        _xll.qDateNext($BN352,CF$17,$CG$16,TRUE,Currency2))</f>
        <v>0</v>
      </c>
      <c r="CG352" s="882">
        <f>IF($BN353=0,0,        _xll.qDateNext($BN352,CG$17,$CG$16,TRUE,Currency2))</f>
        <v>0</v>
      </c>
      <c r="CH352" s="886">
        <v>0</v>
      </c>
      <c r="CI352" s="886">
        <v>0</v>
      </c>
      <c r="CJ352" s="886">
        <v>0</v>
      </c>
      <c r="CK352" s="886">
        <v>0</v>
      </c>
      <c r="CL352" s="886">
        <f t="shared" si="189"/>
        <v>0</v>
      </c>
      <c r="CM352" s="886">
        <f t="shared" si="190"/>
        <v>0</v>
      </c>
      <c r="CN352" s="886">
        <v>0</v>
      </c>
      <c r="CO352" s="886">
        <v>0</v>
      </c>
      <c r="CP352" s="648">
        <f t="shared" si="167"/>
        <v>0</v>
      </c>
      <c r="CQ352" s="648">
        <f t="shared" si="168"/>
        <v>0</v>
      </c>
      <c r="CR352" s="648">
        <f t="shared" si="169"/>
        <v>0</v>
      </c>
      <c r="CS352" s="648">
        <f t="shared" si="170"/>
        <v>0</v>
      </c>
      <c r="CT352" s="648">
        <f t="shared" si="171"/>
        <v>0</v>
      </c>
      <c r="CU352" s="648">
        <f t="shared" si="172"/>
        <v>0</v>
      </c>
      <c r="CV352" s="648">
        <f t="shared" si="173"/>
        <v>0</v>
      </c>
      <c r="CW352" s="648">
        <f t="shared" si="174"/>
        <v>0</v>
      </c>
      <c r="CX352" s="634">
        <v>0</v>
      </c>
      <c r="CY352" s="616"/>
      <c r="CZ352" s="619">
        <f>IF(BN353=0,0,             IF(ISNUMBER(CY352),CY352,             IF(ISTEXT(CY352),INDEX(CP352:CW352,MATCH(CY352,$CP$17:$CW$17,0)),           IF(CX352="INT",_xll.qInterp(BN353,BZ352:CG352,CP352:CW352),       INDEX(CP352:CW352,MATCH(CX352,$CP$17:$CW$17,0))))))</f>
        <v>0</v>
      </c>
      <c r="DA352" s="755">
        <f t="shared" si="175"/>
        <v>0</v>
      </c>
      <c r="DB352" s="387">
        <f t="shared" si="176"/>
        <v>0</v>
      </c>
      <c r="DC352" s="268">
        <f>IF($BN353=0,0,         IF(LEFT(DCC_Leg2_Fixed,2)="1/",uEvaluate(DCC_Leg2_Fixed),         _xll.qDateYears($BN352,$BN353,DCC_Leg2_Fixed)))</f>
        <v>0</v>
      </c>
      <c r="DD352" s="268">
        <f>IF($BN353,_xll.qDateYears($BN352,$BN353,DCC_Leg2_Float),0)</f>
        <v>0</v>
      </c>
      <c r="DF352" s="332">
        <f t="shared" si="191"/>
        <v>0</v>
      </c>
      <c r="DG352" s="357">
        <f t="shared" si="192"/>
        <v>0</v>
      </c>
      <c r="DH352" s="527"/>
      <c r="DJ352" s="324">
        <f t="shared" si="162"/>
        <v>0</v>
      </c>
      <c r="DK352" s="529"/>
      <c r="DL352" s="338"/>
    </row>
    <row r="353" spans="15:116">
      <c r="O353" s="121">
        <v>0</v>
      </c>
      <c r="P353" s="755">
        <f t="shared" si="163"/>
        <v>0</v>
      </c>
      <c r="Q353" s="125">
        <v>0</v>
      </c>
      <c r="R353" s="890">
        <f>IF(O354=0,0,         IF(OR(Currency1="AUD",Currency1="NZD",Currency1="GBP"),O353,   _xll.qDateNext(O353,"-2b",,,IF(Currency1="EUR","TGT","LON"))))</f>
        <v>0</v>
      </c>
      <c r="S353" s="879" t="str">
        <v/>
      </c>
      <c r="T353" s="879" t="str">
        <v/>
      </c>
      <c r="U353" s="879" t="str">
        <v/>
      </c>
      <c r="V353" s="879" t="str">
        <v/>
      </c>
      <c r="W353" s="879" t="str">
        <v/>
      </c>
      <c r="X353" s="879" t="str">
        <v/>
      </c>
      <c r="Y353" s="879" t="str">
        <v/>
      </c>
      <c r="Z353" s="879" t="str">
        <v/>
      </c>
      <c r="AA353" s="882">
        <f>IF($O354=0,0,        _xll.qDateNext($O353,AA$17,$AH$16,TRUE,Currency1))</f>
        <v>0</v>
      </c>
      <c r="AB353" s="882">
        <f>IF($O354=0,0,        _xll.qDateNext($O353,AB$17,$AH$16,TRUE,Currency1))</f>
        <v>0</v>
      </c>
      <c r="AC353" s="882">
        <f>IF($O354=0,0,        _xll.qDateNext($O353,AC$17,$AH$16,TRUE,Currency1))</f>
        <v>0</v>
      </c>
      <c r="AD353" s="882">
        <f>IF($O354=0,0,        _xll.qDateNext($O353,AD$17,$AH$16,TRUE,Currency1))</f>
        <v>0</v>
      </c>
      <c r="AE353" s="882">
        <f>IF($O354=0,0,        _xll.qDateNext($O353,AE$17,$AH$16,TRUE,Currency1))</f>
        <v>0</v>
      </c>
      <c r="AF353" s="882">
        <f>IF($O354=0,0,        _xll.qDateNext($O353,AF$17,$AH$16,TRUE,Currency1))</f>
        <v>0</v>
      </c>
      <c r="AG353" s="882">
        <f>IF($O354=0,0,        _xll.qDateNext($O353,AG$17,$AH$16,TRUE,Currency1))</f>
        <v>0</v>
      </c>
      <c r="AH353" s="882">
        <f>IF($O354=0,0,        _xll.qDateNext($O353,AH$17,$AH$16,TRUE,Currency1))</f>
        <v>0</v>
      </c>
      <c r="AI353" s="886">
        <f>IF($O354=0,0,           IF(FRM,_xll.qGetFwdRate(AI$14,$O353,AA353,"T",DCC_Leg1_Float),_xll.qGetFwdRate(AI$14,$O353,$O354,"T",DCC_Leg1_Float)))</f>
        <v>0</v>
      </c>
      <c r="AJ353" s="886">
        <f>IF($O354=0,0,           IF(FRM,_xll.qGetFwdRate(AJ$14,$O353,AB353,"T",DCC_Leg1_Float),_xll.qGetFwdRate(AJ$14,$O353,$O354,"T",DCC_Leg1_Float)))</f>
        <v>0</v>
      </c>
      <c r="AK353" s="886">
        <f t="shared" si="164"/>
        <v>0</v>
      </c>
      <c r="AL353" s="886">
        <f>IF($O354=0,0,           IF(FRM,_xll.qGetFwdRate(AL$14,$O353,AD353,"T",DCC_Leg1_Float),_xll.qGetFwdRate(AL$14,$O353,$O354,"T",DCC_Leg1_Float)))</f>
        <v>0</v>
      </c>
      <c r="AM353" s="886">
        <f t="shared" si="177"/>
        <v>0</v>
      </c>
      <c r="AN353" s="886">
        <f t="shared" si="178"/>
        <v>0</v>
      </c>
      <c r="AO353" s="886">
        <f>IF($O354=0,0,           IF(FRM,_xll.qGetFwdRate(AO$14,$O353,AG353,"T",DCC_Leg1_Float),_xll.qGetFwdRate(AO$14,$O353,$O354,"T",DCC_Leg1_Float)))</f>
        <v>0</v>
      </c>
      <c r="AP353" s="886">
        <f>IF($O354=0,0,           IF(FRM,_xll.qGetFwdRate(AP$14,$O353,AH353,"T",DCC_Leg1_Float),_xll.qGetFwdRate(AP$14,$O353,$O354,"T",DCC_Leg1_Float)))</f>
        <v>0</v>
      </c>
      <c r="AQ353" s="648">
        <f t="shared" si="179"/>
        <v>0</v>
      </c>
      <c r="AR353" s="648">
        <f t="shared" si="180"/>
        <v>0</v>
      </c>
      <c r="AS353" s="648">
        <f t="shared" si="181"/>
        <v>0</v>
      </c>
      <c r="AT353" s="648">
        <f t="shared" si="182"/>
        <v>0</v>
      </c>
      <c r="AU353" s="648">
        <f t="shared" si="183"/>
        <v>0</v>
      </c>
      <c r="AV353" s="648">
        <f t="shared" si="184"/>
        <v>0</v>
      </c>
      <c r="AW353" s="648">
        <f t="shared" si="185"/>
        <v>0</v>
      </c>
      <c r="AX353" s="648">
        <f t="shared" si="186"/>
        <v>0</v>
      </c>
      <c r="AY353" s="634">
        <v>0</v>
      </c>
      <c r="AZ353" s="616"/>
      <c r="BA353" s="619">
        <f>IF(O354=0,0,             IF(ISNUMBER(AZ353),AZ353,             IF(ISTEXT(AZ353),INDEX(AQ353:AX353,MATCH(AZ353,$AQ$17:$AX$17,0)),           IF(AY353="INT",_xll.qInterp(O354,AA353:AH353,AQ353:AX353),       INDEX(AQ353:AX353,MATCH(AY353,$AQ$17:$AX$17,0))))))</f>
        <v>0</v>
      </c>
      <c r="BB353" s="674">
        <v>100</v>
      </c>
      <c r="BC353" s="666">
        <f t="shared" si="165"/>
        <v>0</v>
      </c>
      <c r="BD353" s="268">
        <f>IF($O354=0,0,                IF(LEFT(DCC_Leg1_Fixed,2)="1/",uEvaluate(DCC_Leg1_Fixed),        _xll.qDateYears($O353,$O354,DCC_Leg1_Fixed)))</f>
        <v>0</v>
      </c>
      <c r="BE353" s="268">
        <f>IF($O354,_xll.qDateYears($O353,$O354,DCC_Leg1_Float),0)</f>
        <v>0</v>
      </c>
      <c r="BG353" s="332">
        <f t="shared" si="187"/>
        <v>0</v>
      </c>
      <c r="BH353" s="357">
        <f t="shared" si="188"/>
        <v>0</v>
      </c>
      <c r="BI353" s="527"/>
      <c r="BK353" s="324">
        <f t="shared" si="161"/>
        <v>0</v>
      </c>
      <c r="BM353" s="338"/>
      <c r="BN353" s="121">
        <v>0</v>
      </c>
      <c r="BO353" s="755">
        <f t="shared" si="166"/>
        <v>0</v>
      </c>
      <c r="BP353" s="339">
        <v>0</v>
      </c>
      <c r="BQ353" s="890">
        <f>IF(BN354=0,0,         IF(OR(Currency2="AUD",Currency1="NZD",Currency2="GBP"),BN353,   _xll.qDateNext(BN353,"-2b",,,IF(Currency2="EUR","TGT","LON"))))</f>
        <v>0</v>
      </c>
      <c r="BR353" s="879" t="str">
        <v/>
      </c>
      <c r="BS353" s="879" t="str">
        <v/>
      </c>
      <c r="BT353" s="879" t="str">
        <v/>
      </c>
      <c r="BU353" s="879" t="str">
        <v/>
      </c>
      <c r="BV353" s="879" t="str">
        <v/>
      </c>
      <c r="BW353" s="879" t="str">
        <v/>
      </c>
      <c r="BX353" s="879" t="str">
        <v/>
      </c>
      <c r="BY353" s="879" t="str">
        <v/>
      </c>
      <c r="BZ353" s="882">
        <f>IF($BN354=0,0,        _xll.qDateNext($BN353,BZ$17,$CG$16,TRUE,Currency2))</f>
        <v>0</v>
      </c>
      <c r="CA353" s="882">
        <f>IF($BN354=0,0,        _xll.qDateNext($BN353,CA$17,$CG$16,TRUE,Currency2))</f>
        <v>0</v>
      </c>
      <c r="CB353" s="882">
        <f>IF($BN354=0,0,        _xll.qDateNext($BN353,CB$17,$CG$16,TRUE,Currency2))</f>
        <v>0</v>
      </c>
      <c r="CC353" s="882">
        <f>IF($BN354=0,0,        _xll.qDateNext($BN353,CC$17,$CG$16,TRUE,Currency2))</f>
        <v>0</v>
      </c>
      <c r="CD353" s="882">
        <f>IF($BN354=0,0,        _xll.qDateNext($BN353,CD$17,$CG$16,TRUE,Currency2))</f>
        <v>0</v>
      </c>
      <c r="CE353" s="882">
        <f>IF($BN354=0,0,        _xll.qDateNext($BN353,CE$17,$CG$16,TRUE,Currency2))</f>
        <v>0</v>
      </c>
      <c r="CF353" s="882">
        <f>IF($BN354=0,0,        _xll.qDateNext($BN353,CF$17,$CG$16,TRUE,Currency2))</f>
        <v>0</v>
      </c>
      <c r="CG353" s="882">
        <f>IF($BN354=0,0,        _xll.qDateNext($BN353,CG$17,$CG$16,TRUE,Currency2))</f>
        <v>0</v>
      </c>
      <c r="CH353" s="886">
        <v>0</v>
      </c>
      <c r="CI353" s="886">
        <v>0</v>
      </c>
      <c r="CJ353" s="886">
        <v>0</v>
      </c>
      <c r="CK353" s="886">
        <v>0</v>
      </c>
      <c r="CL353" s="886">
        <f t="shared" si="189"/>
        <v>0</v>
      </c>
      <c r="CM353" s="886">
        <f t="shared" si="190"/>
        <v>0</v>
      </c>
      <c r="CN353" s="886">
        <v>0</v>
      </c>
      <c r="CO353" s="886">
        <v>0</v>
      </c>
      <c r="CP353" s="648">
        <f t="shared" si="167"/>
        <v>0</v>
      </c>
      <c r="CQ353" s="648">
        <f t="shared" si="168"/>
        <v>0</v>
      </c>
      <c r="CR353" s="648">
        <f t="shared" si="169"/>
        <v>0</v>
      </c>
      <c r="CS353" s="648">
        <f t="shared" si="170"/>
        <v>0</v>
      </c>
      <c r="CT353" s="648">
        <f t="shared" si="171"/>
        <v>0</v>
      </c>
      <c r="CU353" s="648">
        <f t="shared" si="172"/>
        <v>0</v>
      </c>
      <c r="CV353" s="648">
        <f t="shared" si="173"/>
        <v>0</v>
      </c>
      <c r="CW353" s="648">
        <f t="shared" si="174"/>
        <v>0</v>
      </c>
      <c r="CX353" s="634">
        <v>0</v>
      </c>
      <c r="CY353" s="616"/>
      <c r="CZ353" s="619">
        <f>IF(BN354=0,0,             IF(ISNUMBER(CY353),CY353,             IF(ISTEXT(CY353),INDEX(CP353:CW353,MATCH(CY353,$CP$17:$CW$17,0)),           IF(CX353="INT",_xll.qInterp(BN354,BZ353:CG353,CP353:CW353),       INDEX(CP353:CW353,MATCH(CX353,$CP$17:$CW$17,0))))))</f>
        <v>0</v>
      </c>
      <c r="DA353" s="755">
        <f t="shared" si="175"/>
        <v>0</v>
      </c>
      <c r="DB353" s="387">
        <f t="shared" si="176"/>
        <v>0</v>
      </c>
      <c r="DC353" s="268">
        <f>IF($BN354=0,0,         IF(LEFT(DCC_Leg2_Fixed,2)="1/",uEvaluate(DCC_Leg2_Fixed),         _xll.qDateYears($BN353,$BN354,DCC_Leg2_Fixed)))</f>
        <v>0</v>
      </c>
      <c r="DD353" s="268">
        <f>IF($BN354,_xll.qDateYears($BN353,$BN354,DCC_Leg2_Float),0)</f>
        <v>0</v>
      </c>
      <c r="DF353" s="332">
        <f t="shared" si="191"/>
        <v>0</v>
      </c>
      <c r="DG353" s="357">
        <f t="shared" si="192"/>
        <v>0</v>
      </c>
      <c r="DH353" s="527"/>
      <c r="DJ353" s="324">
        <f t="shared" si="162"/>
        <v>0</v>
      </c>
      <c r="DK353" s="529"/>
      <c r="DL353" s="338"/>
    </row>
    <row r="354" spans="15:116">
      <c r="O354" s="121">
        <v>0</v>
      </c>
      <c r="P354" s="755">
        <f t="shared" si="163"/>
        <v>0</v>
      </c>
      <c r="Q354" s="125">
        <v>0</v>
      </c>
      <c r="R354" s="890">
        <f>IF(O355=0,0,         IF(OR(Currency1="AUD",Currency1="NZD",Currency1="GBP"),O354,   _xll.qDateNext(O354,"-2b",,,IF(Currency1="EUR","TGT","LON"))))</f>
        <v>0</v>
      </c>
      <c r="S354" s="879" t="str">
        <v/>
      </c>
      <c r="T354" s="879" t="str">
        <v/>
      </c>
      <c r="U354" s="879" t="str">
        <v/>
      </c>
      <c r="V354" s="879" t="str">
        <v/>
      </c>
      <c r="W354" s="879" t="str">
        <v/>
      </c>
      <c r="X354" s="879" t="str">
        <v/>
      </c>
      <c r="Y354" s="879" t="str">
        <v/>
      </c>
      <c r="Z354" s="879" t="str">
        <v/>
      </c>
      <c r="AA354" s="882">
        <f>IF($O355=0,0,        _xll.qDateNext($O354,AA$17,$AH$16,TRUE,Currency1))</f>
        <v>0</v>
      </c>
      <c r="AB354" s="882">
        <f>IF($O355=0,0,        _xll.qDateNext($O354,AB$17,$AH$16,TRUE,Currency1))</f>
        <v>0</v>
      </c>
      <c r="AC354" s="882">
        <f>IF($O355=0,0,        _xll.qDateNext($O354,AC$17,$AH$16,TRUE,Currency1))</f>
        <v>0</v>
      </c>
      <c r="AD354" s="882">
        <f>IF($O355=0,0,        _xll.qDateNext($O354,AD$17,$AH$16,TRUE,Currency1))</f>
        <v>0</v>
      </c>
      <c r="AE354" s="882">
        <f>IF($O355=0,0,        _xll.qDateNext($O354,AE$17,$AH$16,TRUE,Currency1))</f>
        <v>0</v>
      </c>
      <c r="AF354" s="882">
        <f>IF($O355=0,0,        _xll.qDateNext($O354,AF$17,$AH$16,TRUE,Currency1))</f>
        <v>0</v>
      </c>
      <c r="AG354" s="882">
        <f>IF($O355=0,0,        _xll.qDateNext($O354,AG$17,$AH$16,TRUE,Currency1))</f>
        <v>0</v>
      </c>
      <c r="AH354" s="882">
        <f>IF($O355=0,0,        _xll.qDateNext($O354,AH$17,$AH$16,TRUE,Currency1))</f>
        <v>0</v>
      </c>
      <c r="AI354" s="886">
        <f>IF($O355=0,0,           IF(FRM,_xll.qGetFwdRate(AI$14,$O354,AA354,"T",DCC_Leg1_Float),_xll.qGetFwdRate(AI$14,$O354,$O355,"T",DCC_Leg1_Float)))</f>
        <v>0</v>
      </c>
      <c r="AJ354" s="886">
        <f>IF($O355=0,0,           IF(FRM,_xll.qGetFwdRate(AJ$14,$O354,AB354,"T",DCC_Leg1_Float),_xll.qGetFwdRate(AJ$14,$O354,$O355,"T",DCC_Leg1_Float)))</f>
        <v>0</v>
      </c>
      <c r="AK354" s="886">
        <f t="shared" si="164"/>
        <v>0</v>
      </c>
      <c r="AL354" s="886">
        <f>IF($O355=0,0,           IF(FRM,_xll.qGetFwdRate(AL$14,$O354,AD354,"T",DCC_Leg1_Float),_xll.qGetFwdRate(AL$14,$O354,$O355,"T",DCC_Leg1_Float)))</f>
        <v>0</v>
      </c>
      <c r="AM354" s="886">
        <f t="shared" si="177"/>
        <v>0</v>
      </c>
      <c r="AN354" s="886">
        <f t="shared" si="178"/>
        <v>0</v>
      </c>
      <c r="AO354" s="886">
        <f>IF($O355=0,0,           IF(FRM,_xll.qGetFwdRate(AO$14,$O354,AG354,"T",DCC_Leg1_Float),_xll.qGetFwdRate(AO$14,$O354,$O355,"T",DCC_Leg1_Float)))</f>
        <v>0</v>
      </c>
      <c r="AP354" s="886">
        <f>IF($O355=0,0,           IF(FRM,_xll.qGetFwdRate(AP$14,$O354,AH354,"T",DCC_Leg1_Float),_xll.qGetFwdRate(AP$14,$O354,$O355,"T",DCC_Leg1_Float)))</f>
        <v>0</v>
      </c>
      <c r="AQ354" s="648">
        <f t="shared" si="179"/>
        <v>0</v>
      </c>
      <c r="AR354" s="648">
        <f t="shared" si="180"/>
        <v>0</v>
      </c>
      <c r="AS354" s="648">
        <f t="shared" si="181"/>
        <v>0</v>
      </c>
      <c r="AT354" s="648">
        <f t="shared" si="182"/>
        <v>0</v>
      </c>
      <c r="AU354" s="648">
        <f t="shared" si="183"/>
        <v>0</v>
      </c>
      <c r="AV354" s="648">
        <f t="shared" si="184"/>
        <v>0</v>
      </c>
      <c r="AW354" s="648">
        <f t="shared" si="185"/>
        <v>0</v>
      </c>
      <c r="AX354" s="648">
        <f t="shared" si="186"/>
        <v>0</v>
      </c>
      <c r="AY354" s="634">
        <v>0</v>
      </c>
      <c r="AZ354" s="616"/>
      <c r="BA354" s="619">
        <f>IF(O355=0,0,             IF(ISNUMBER(AZ354),AZ354,             IF(ISTEXT(AZ354),INDEX(AQ354:AX354,MATCH(AZ354,$AQ$17:$AX$17,0)),           IF(AY354="INT",_xll.qInterp(O355,AA354:AH354,AQ354:AX354),       INDEX(AQ354:AX354,MATCH(AY354,$AQ$17:$AX$17,0))))))</f>
        <v>0</v>
      </c>
      <c r="BB354" s="674">
        <v>100</v>
      </c>
      <c r="BC354" s="666">
        <f t="shared" si="165"/>
        <v>0</v>
      </c>
      <c r="BD354" s="268">
        <f>IF($O355=0,0,                IF(LEFT(DCC_Leg1_Fixed,2)="1/",uEvaluate(DCC_Leg1_Fixed),        _xll.qDateYears($O354,$O355,DCC_Leg1_Fixed)))</f>
        <v>0</v>
      </c>
      <c r="BE354" s="268">
        <f>IF($O355,_xll.qDateYears($O354,$O355,DCC_Leg1_Float),0)</f>
        <v>0</v>
      </c>
      <c r="BG354" s="332">
        <f t="shared" si="187"/>
        <v>0</v>
      </c>
      <c r="BH354" s="357">
        <f t="shared" si="188"/>
        <v>0</v>
      </c>
      <c r="BI354" s="527"/>
      <c r="BK354" s="324">
        <f t="shared" si="161"/>
        <v>0</v>
      </c>
      <c r="BM354" s="338"/>
      <c r="BN354" s="121">
        <v>0</v>
      </c>
      <c r="BO354" s="755">
        <f t="shared" si="166"/>
        <v>0</v>
      </c>
      <c r="BP354" s="339">
        <v>0</v>
      </c>
      <c r="BQ354" s="890">
        <f>IF(BN355=0,0,         IF(OR(Currency2="AUD",Currency1="NZD",Currency2="GBP"),BN354,   _xll.qDateNext(BN354,"-2b",,,IF(Currency2="EUR","TGT","LON"))))</f>
        <v>0</v>
      </c>
      <c r="BR354" s="879" t="str">
        <v/>
      </c>
      <c r="BS354" s="879" t="str">
        <v/>
      </c>
      <c r="BT354" s="879" t="str">
        <v/>
      </c>
      <c r="BU354" s="879" t="str">
        <v/>
      </c>
      <c r="BV354" s="879" t="str">
        <v/>
      </c>
      <c r="BW354" s="879" t="str">
        <v/>
      </c>
      <c r="BX354" s="879" t="str">
        <v/>
      </c>
      <c r="BY354" s="879" t="str">
        <v/>
      </c>
      <c r="BZ354" s="882">
        <f>IF($BN355=0,0,        _xll.qDateNext($BN354,BZ$17,$CG$16,TRUE,Currency2))</f>
        <v>0</v>
      </c>
      <c r="CA354" s="882">
        <f>IF($BN355=0,0,        _xll.qDateNext($BN354,CA$17,$CG$16,TRUE,Currency2))</f>
        <v>0</v>
      </c>
      <c r="CB354" s="882">
        <f>IF($BN355=0,0,        _xll.qDateNext($BN354,CB$17,$CG$16,TRUE,Currency2))</f>
        <v>0</v>
      </c>
      <c r="CC354" s="882">
        <f>IF($BN355=0,0,        _xll.qDateNext($BN354,CC$17,$CG$16,TRUE,Currency2))</f>
        <v>0</v>
      </c>
      <c r="CD354" s="882">
        <f>IF($BN355=0,0,        _xll.qDateNext($BN354,CD$17,$CG$16,TRUE,Currency2))</f>
        <v>0</v>
      </c>
      <c r="CE354" s="882">
        <f>IF($BN355=0,0,        _xll.qDateNext($BN354,CE$17,$CG$16,TRUE,Currency2))</f>
        <v>0</v>
      </c>
      <c r="CF354" s="882">
        <f>IF($BN355=0,0,        _xll.qDateNext($BN354,CF$17,$CG$16,TRUE,Currency2))</f>
        <v>0</v>
      </c>
      <c r="CG354" s="882">
        <f>IF($BN355=0,0,        _xll.qDateNext($BN354,CG$17,$CG$16,TRUE,Currency2))</f>
        <v>0</v>
      </c>
      <c r="CH354" s="886">
        <v>0</v>
      </c>
      <c r="CI354" s="886">
        <v>0</v>
      </c>
      <c r="CJ354" s="886">
        <v>0</v>
      </c>
      <c r="CK354" s="886">
        <v>0</v>
      </c>
      <c r="CL354" s="886">
        <f t="shared" si="189"/>
        <v>0</v>
      </c>
      <c r="CM354" s="886">
        <f t="shared" si="190"/>
        <v>0</v>
      </c>
      <c r="CN354" s="886">
        <v>0</v>
      </c>
      <c r="CO354" s="886">
        <v>0</v>
      </c>
      <c r="CP354" s="648">
        <f t="shared" si="167"/>
        <v>0</v>
      </c>
      <c r="CQ354" s="648">
        <f t="shared" si="168"/>
        <v>0</v>
      </c>
      <c r="CR354" s="648">
        <f t="shared" si="169"/>
        <v>0</v>
      </c>
      <c r="CS354" s="648">
        <f t="shared" si="170"/>
        <v>0</v>
      </c>
      <c r="CT354" s="648">
        <f t="shared" si="171"/>
        <v>0</v>
      </c>
      <c r="CU354" s="648">
        <f t="shared" si="172"/>
        <v>0</v>
      </c>
      <c r="CV354" s="648">
        <f t="shared" si="173"/>
        <v>0</v>
      </c>
      <c r="CW354" s="648">
        <f t="shared" si="174"/>
        <v>0</v>
      </c>
      <c r="CX354" s="634">
        <v>0</v>
      </c>
      <c r="CY354" s="616"/>
      <c r="CZ354" s="619">
        <f>IF(BN355=0,0,             IF(ISNUMBER(CY354),CY354,             IF(ISTEXT(CY354),INDEX(CP354:CW354,MATCH(CY354,$CP$17:$CW$17,0)),           IF(CX354="INT",_xll.qInterp(BN355,BZ354:CG354,CP354:CW354),       INDEX(CP354:CW354,MATCH(CX354,$CP$17:$CW$17,0))))))</f>
        <v>0</v>
      </c>
      <c r="DA354" s="755">
        <f t="shared" si="175"/>
        <v>0</v>
      </c>
      <c r="DB354" s="387">
        <f t="shared" si="176"/>
        <v>0</v>
      </c>
      <c r="DC354" s="268">
        <f>IF($BN355=0,0,         IF(LEFT(DCC_Leg2_Fixed,2)="1/",uEvaluate(DCC_Leg2_Fixed),         _xll.qDateYears($BN354,$BN355,DCC_Leg2_Fixed)))</f>
        <v>0</v>
      </c>
      <c r="DD354" s="268">
        <f>IF($BN355,_xll.qDateYears($BN354,$BN355,DCC_Leg2_Float),0)</f>
        <v>0</v>
      </c>
      <c r="DF354" s="332">
        <f t="shared" si="191"/>
        <v>0</v>
      </c>
      <c r="DG354" s="357">
        <f t="shared" si="192"/>
        <v>0</v>
      </c>
      <c r="DH354" s="527"/>
      <c r="DJ354" s="324">
        <f t="shared" si="162"/>
        <v>0</v>
      </c>
      <c r="DK354" s="529"/>
      <c r="DL354" s="338"/>
    </row>
    <row r="355" spans="15:116">
      <c r="O355" s="121">
        <v>0</v>
      </c>
      <c r="P355" s="755">
        <f t="shared" si="163"/>
        <v>0</v>
      </c>
      <c r="Q355" s="125">
        <v>0</v>
      </c>
      <c r="R355" s="890">
        <f>IF(O356=0,0,         IF(OR(Currency1="AUD",Currency1="NZD",Currency1="GBP"),O355,   _xll.qDateNext(O355,"-2b",,,IF(Currency1="EUR","TGT","LON"))))</f>
        <v>0</v>
      </c>
      <c r="S355" s="879" t="str">
        <v/>
      </c>
      <c r="T355" s="879" t="str">
        <v/>
      </c>
      <c r="U355" s="879" t="str">
        <v/>
      </c>
      <c r="V355" s="879" t="str">
        <v/>
      </c>
      <c r="W355" s="879" t="str">
        <v/>
      </c>
      <c r="X355" s="879" t="str">
        <v/>
      </c>
      <c r="Y355" s="879" t="str">
        <v/>
      </c>
      <c r="Z355" s="879" t="str">
        <v/>
      </c>
      <c r="AA355" s="882">
        <f>IF($O356=0,0,        _xll.qDateNext($O355,AA$17,$AH$16,TRUE,Currency1))</f>
        <v>0</v>
      </c>
      <c r="AB355" s="882">
        <f>IF($O356=0,0,        _xll.qDateNext($O355,AB$17,$AH$16,TRUE,Currency1))</f>
        <v>0</v>
      </c>
      <c r="AC355" s="882">
        <f>IF($O356=0,0,        _xll.qDateNext($O355,AC$17,$AH$16,TRUE,Currency1))</f>
        <v>0</v>
      </c>
      <c r="AD355" s="882">
        <f>IF($O356=0,0,        _xll.qDateNext($O355,AD$17,$AH$16,TRUE,Currency1))</f>
        <v>0</v>
      </c>
      <c r="AE355" s="882">
        <f>IF($O356=0,0,        _xll.qDateNext($O355,AE$17,$AH$16,TRUE,Currency1))</f>
        <v>0</v>
      </c>
      <c r="AF355" s="882">
        <f>IF($O356=0,0,        _xll.qDateNext($O355,AF$17,$AH$16,TRUE,Currency1))</f>
        <v>0</v>
      </c>
      <c r="AG355" s="882">
        <f>IF($O356=0,0,        _xll.qDateNext($O355,AG$17,$AH$16,TRUE,Currency1))</f>
        <v>0</v>
      </c>
      <c r="AH355" s="882">
        <f>IF($O356=0,0,        _xll.qDateNext($O355,AH$17,$AH$16,TRUE,Currency1))</f>
        <v>0</v>
      </c>
      <c r="AI355" s="886">
        <f>IF($O356=0,0,           IF(FRM,_xll.qGetFwdRate(AI$14,$O355,AA355,"T",DCC_Leg1_Float),_xll.qGetFwdRate(AI$14,$O355,$O356,"T",DCC_Leg1_Float)))</f>
        <v>0</v>
      </c>
      <c r="AJ355" s="886">
        <f>IF($O356=0,0,           IF(FRM,_xll.qGetFwdRate(AJ$14,$O355,AB355,"T",DCC_Leg1_Float),_xll.qGetFwdRate(AJ$14,$O355,$O356,"T",DCC_Leg1_Float)))</f>
        <v>0</v>
      </c>
      <c r="AK355" s="886">
        <f t="shared" si="164"/>
        <v>0</v>
      </c>
      <c r="AL355" s="886">
        <f>IF($O356=0,0,           IF(FRM,_xll.qGetFwdRate(AL$14,$O355,AD355,"T",DCC_Leg1_Float),_xll.qGetFwdRate(AL$14,$O355,$O356,"T",DCC_Leg1_Float)))</f>
        <v>0</v>
      </c>
      <c r="AM355" s="886">
        <f t="shared" si="177"/>
        <v>0</v>
      </c>
      <c r="AN355" s="886">
        <f t="shared" si="178"/>
        <v>0</v>
      </c>
      <c r="AO355" s="886">
        <f>IF($O356=0,0,           IF(FRM,_xll.qGetFwdRate(AO$14,$O355,AG355,"T",DCC_Leg1_Float),_xll.qGetFwdRate(AO$14,$O355,$O356,"T",DCC_Leg1_Float)))</f>
        <v>0</v>
      </c>
      <c r="AP355" s="886">
        <f>IF($O356=0,0,           IF(FRM,_xll.qGetFwdRate(AP$14,$O355,AH355,"T",DCC_Leg1_Float),_xll.qGetFwdRate(AP$14,$O355,$O356,"T",DCC_Leg1_Float)))</f>
        <v>0</v>
      </c>
      <c r="AQ355" s="648">
        <f t="shared" si="179"/>
        <v>0</v>
      </c>
      <c r="AR355" s="648">
        <f t="shared" si="180"/>
        <v>0</v>
      </c>
      <c r="AS355" s="648">
        <f t="shared" si="181"/>
        <v>0</v>
      </c>
      <c r="AT355" s="648">
        <f t="shared" si="182"/>
        <v>0</v>
      </c>
      <c r="AU355" s="648">
        <f t="shared" si="183"/>
        <v>0</v>
      </c>
      <c r="AV355" s="648">
        <f t="shared" si="184"/>
        <v>0</v>
      </c>
      <c r="AW355" s="648">
        <f t="shared" si="185"/>
        <v>0</v>
      </c>
      <c r="AX355" s="648">
        <f t="shared" si="186"/>
        <v>0</v>
      </c>
      <c r="AY355" s="634">
        <v>0</v>
      </c>
      <c r="AZ355" s="616"/>
      <c r="BA355" s="619">
        <f>IF(O356=0,0,             IF(ISNUMBER(AZ355),AZ355,             IF(ISTEXT(AZ355),INDEX(AQ355:AX355,MATCH(AZ355,$AQ$17:$AX$17,0)),           IF(AY355="INT",_xll.qInterp(O356,AA355:AH355,AQ355:AX355),       INDEX(AQ355:AX355,MATCH(AY355,$AQ$17:$AX$17,0))))))</f>
        <v>0</v>
      </c>
      <c r="BB355" s="674">
        <v>100</v>
      </c>
      <c r="BC355" s="666">
        <f t="shared" si="165"/>
        <v>0</v>
      </c>
      <c r="BD355" s="268">
        <f>IF($O356=0,0,                IF(LEFT(DCC_Leg1_Fixed,2)="1/",uEvaluate(DCC_Leg1_Fixed),        _xll.qDateYears($O355,$O356,DCC_Leg1_Fixed)))</f>
        <v>0</v>
      </c>
      <c r="BE355" s="268">
        <f>IF($O356,_xll.qDateYears($O355,$O356,DCC_Leg1_Float),0)</f>
        <v>0</v>
      </c>
      <c r="BG355" s="332">
        <f t="shared" si="187"/>
        <v>0</v>
      </c>
      <c r="BH355" s="357">
        <f t="shared" si="188"/>
        <v>0</v>
      </c>
      <c r="BI355" s="527"/>
      <c r="BK355" s="324">
        <f t="shared" si="161"/>
        <v>0</v>
      </c>
      <c r="BM355" s="338"/>
      <c r="BN355" s="121">
        <v>0</v>
      </c>
      <c r="BO355" s="755">
        <f t="shared" si="166"/>
        <v>0</v>
      </c>
      <c r="BP355" s="339">
        <v>0</v>
      </c>
      <c r="BQ355" s="890">
        <f>IF(BN356=0,0,         IF(OR(Currency2="AUD",Currency1="NZD",Currency2="GBP"),BN355,   _xll.qDateNext(BN355,"-2b",,,IF(Currency2="EUR","TGT","LON"))))</f>
        <v>0</v>
      </c>
      <c r="BR355" s="879" t="str">
        <v/>
      </c>
      <c r="BS355" s="879" t="str">
        <v/>
      </c>
      <c r="BT355" s="879" t="str">
        <v/>
      </c>
      <c r="BU355" s="879" t="str">
        <v/>
      </c>
      <c r="BV355" s="879" t="str">
        <v/>
      </c>
      <c r="BW355" s="879" t="str">
        <v/>
      </c>
      <c r="BX355" s="879" t="str">
        <v/>
      </c>
      <c r="BY355" s="879" t="str">
        <v/>
      </c>
      <c r="BZ355" s="882">
        <f>IF($BN356=0,0,        _xll.qDateNext($BN355,BZ$17,$CG$16,TRUE,Currency2))</f>
        <v>0</v>
      </c>
      <c r="CA355" s="882">
        <f>IF($BN356=0,0,        _xll.qDateNext($BN355,CA$17,$CG$16,TRUE,Currency2))</f>
        <v>0</v>
      </c>
      <c r="CB355" s="882">
        <f>IF($BN356=0,0,        _xll.qDateNext($BN355,CB$17,$CG$16,TRUE,Currency2))</f>
        <v>0</v>
      </c>
      <c r="CC355" s="882">
        <f>IF($BN356=0,0,        _xll.qDateNext($BN355,CC$17,$CG$16,TRUE,Currency2))</f>
        <v>0</v>
      </c>
      <c r="CD355" s="882">
        <f>IF($BN356=0,0,        _xll.qDateNext($BN355,CD$17,$CG$16,TRUE,Currency2))</f>
        <v>0</v>
      </c>
      <c r="CE355" s="882">
        <f>IF($BN356=0,0,        _xll.qDateNext($BN355,CE$17,$CG$16,TRUE,Currency2))</f>
        <v>0</v>
      </c>
      <c r="CF355" s="882">
        <f>IF($BN356=0,0,        _xll.qDateNext($BN355,CF$17,$CG$16,TRUE,Currency2))</f>
        <v>0</v>
      </c>
      <c r="CG355" s="882">
        <f>IF($BN356=0,0,        _xll.qDateNext($BN355,CG$17,$CG$16,TRUE,Currency2))</f>
        <v>0</v>
      </c>
      <c r="CH355" s="886">
        <v>0</v>
      </c>
      <c r="CI355" s="886">
        <v>0</v>
      </c>
      <c r="CJ355" s="886">
        <v>0</v>
      </c>
      <c r="CK355" s="886">
        <v>0</v>
      </c>
      <c r="CL355" s="886">
        <f t="shared" si="189"/>
        <v>0</v>
      </c>
      <c r="CM355" s="886">
        <f t="shared" si="190"/>
        <v>0</v>
      </c>
      <c r="CN355" s="886">
        <v>0</v>
      </c>
      <c r="CO355" s="886">
        <v>0</v>
      </c>
      <c r="CP355" s="648">
        <f t="shared" si="167"/>
        <v>0</v>
      </c>
      <c r="CQ355" s="648">
        <f t="shared" si="168"/>
        <v>0</v>
      </c>
      <c r="CR355" s="648">
        <f t="shared" si="169"/>
        <v>0</v>
      </c>
      <c r="CS355" s="648">
        <f t="shared" si="170"/>
        <v>0</v>
      </c>
      <c r="CT355" s="648">
        <f t="shared" si="171"/>
        <v>0</v>
      </c>
      <c r="CU355" s="648">
        <f t="shared" si="172"/>
        <v>0</v>
      </c>
      <c r="CV355" s="648">
        <f t="shared" si="173"/>
        <v>0</v>
      </c>
      <c r="CW355" s="648">
        <f t="shared" si="174"/>
        <v>0</v>
      </c>
      <c r="CX355" s="634">
        <v>0</v>
      </c>
      <c r="CY355" s="616"/>
      <c r="CZ355" s="619">
        <f>IF(BN356=0,0,             IF(ISNUMBER(CY355),CY355,             IF(ISTEXT(CY355),INDEX(CP355:CW355,MATCH(CY355,$CP$17:$CW$17,0)),           IF(CX355="INT",_xll.qInterp(BN356,BZ355:CG355,CP355:CW355),       INDEX(CP355:CW355,MATCH(CX355,$CP$17:$CW$17,0))))))</f>
        <v>0</v>
      </c>
      <c r="DA355" s="755">
        <f t="shared" si="175"/>
        <v>0</v>
      </c>
      <c r="DB355" s="387">
        <f t="shared" si="176"/>
        <v>0</v>
      </c>
      <c r="DC355" s="268">
        <f>IF($BN356=0,0,         IF(LEFT(DCC_Leg2_Fixed,2)="1/",uEvaluate(DCC_Leg2_Fixed),         _xll.qDateYears($BN355,$BN356,DCC_Leg2_Fixed)))</f>
        <v>0</v>
      </c>
      <c r="DD355" s="268">
        <f>IF($BN356,_xll.qDateYears($BN355,$BN356,DCC_Leg2_Float),0)</f>
        <v>0</v>
      </c>
      <c r="DF355" s="332">
        <f t="shared" si="191"/>
        <v>0</v>
      </c>
      <c r="DG355" s="357">
        <f t="shared" si="192"/>
        <v>0</v>
      </c>
      <c r="DH355" s="527"/>
      <c r="DJ355" s="324">
        <f t="shared" si="162"/>
        <v>0</v>
      </c>
      <c r="DK355" s="529"/>
      <c r="DL355" s="338"/>
    </row>
    <row r="356" spans="15:116">
      <c r="O356" s="121">
        <v>0</v>
      </c>
      <c r="P356" s="755">
        <f t="shared" si="163"/>
        <v>0</v>
      </c>
      <c r="Q356" s="125">
        <v>0</v>
      </c>
      <c r="R356" s="890">
        <f>IF(O357=0,0,         IF(OR(Currency1="AUD",Currency1="NZD",Currency1="GBP"),O356,   _xll.qDateNext(O356,"-2b",,,IF(Currency1="EUR","TGT","LON"))))</f>
        <v>0</v>
      </c>
      <c r="S356" s="879" t="str">
        <v/>
      </c>
      <c r="T356" s="879" t="str">
        <v/>
      </c>
      <c r="U356" s="879" t="str">
        <v/>
      </c>
      <c r="V356" s="879" t="str">
        <v/>
      </c>
      <c r="W356" s="879" t="str">
        <v/>
      </c>
      <c r="X356" s="879" t="str">
        <v/>
      </c>
      <c r="Y356" s="879" t="str">
        <v/>
      </c>
      <c r="Z356" s="879" t="str">
        <v/>
      </c>
      <c r="AA356" s="882">
        <f>IF($O357=0,0,        _xll.qDateNext($O356,AA$17,$AH$16,TRUE,Currency1))</f>
        <v>0</v>
      </c>
      <c r="AB356" s="882">
        <f>IF($O357=0,0,        _xll.qDateNext($O356,AB$17,$AH$16,TRUE,Currency1))</f>
        <v>0</v>
      </c>
      <c r="AC356" s="882">
        <f>IF($O357=0,0,        _xll.qDateNext($O356,AC$17,$AH$16,TRUE,Currency1))</f>
        <v>0</v>
      </c>
      <c r="AD356" s="882">
        <f>IF($O357=0,0,        _xll.qDateNext($O356,AD$17,$AH$16,TRUE,Currency1))</f>
        <v>0</v>
      </c>
      <c r="AE356" s="882">
        <f>IF($O357=0,0,        _xll.qDateNext($O356,AE$17,$AH$16,TRUE,Currency1))</f>
        <v>0</v>
      </c>
      <c r="AF356" s="882">
        <f>IF($O357=0,0,        _xll.qDateNext($O356,AF$17,$AH$16,TRUE,Currency1))</f>
        <v>0</v>
      </c>
      <c r="AG356" s="882">
        <f>IF($O357=0,0,        _xll.qDateNext($O356,AG$17,$AH$16,TRUE,Currency1))</f>
        <v>0</v>
      </c>
      <c r="AH356" s="882">
        <f>IF($O357=0,0,        _xll.qDateNext($O356,AH$17,$AH$16,TRUE,Currency1))</f>
        <v>0</v>
      </c>
      <c r="AI356" s="886">
        <f>IF($O357=0,0,           IF(FRM,_xll.qGetFwdRate(AI$14,$O356,AA356,"T",DCC_Leg1_Float),_xll.qGetFwdRate(AI$14,$O356,$O357,"T",DCC_Leg1_Float)))</f>
        <v>0</v>
      </c>
      <c r="AJ356" s="886">
        <f>IF($O357=0,0,           IF(FRM,_xll.qGetFwdRate(AJ$14,$O356,AB356,"T",DCC_Leg1_Float),_xll.qGetFwdRate(AJ$14,$O356,$O357,"T",DCC_Leg1_Float)))</f>
        <v>0</v>
      </c>
      <c r="AK356" s="886">
        <f t="shared" si="164"/>
        <v>0</v>
      </c>
      <c r="AL356" s="886">
        <f>IF($O357=0,0,           IF(FRM,_xll.qGetFwdRate(AL$14,$O356,AD356,"T",DCC_Leg1_Float),_xll.qGetFwdRate(AL$14,$O356,$O357,"T",DCC_Leg1_Float)))</f>
        <v>0</v>
      </c>
      <c r="AM356" s="886">
        <f t="shared" si="177"/>
        <v>0</v>
      </c>
      <c r="AN356" s="886">
        <f t="shared" si="178"/>
        <v>0</v>
      </c>
      <c r="AO356" s="886">
        <f>IF($O357=0,0,           IF(FRM,_xll.qGetFwdRate(AO$14,$O356,AG356,"T",DCC_Leg1_Float),_xll.qGetFwdRate(AO$14,$O356,$O357,"T",DCC_Leg1_Float)))</f>
        <v>0</v>
      </c>
      <c r="AP356" s="886">
        <f>IF($O357=0,0,           IF(FRM,_xll.qGetFwdRate(AP$14,$O356,AH356,"T",DCC_Leg1_Float),_xll.qGetFwdRate(AP$14,$O356,$O357,"T",DCC_Leg1_Float)))</f>
        <v>0</v>
      </c>
      <c r="AQ356" s="648">
        <f t="shared" si="179"/>
        <v>0</v>
      </c>
      <c r="AR356" s="648">
        <f t="shared" si="180"/>
        <v>0</v>
      </c>
      <c r="AS356" s="648">
        <f t="shared" si="181"/>
        <v>0</v>
      </c>
      <c r="AT356" s="648">
        <f t="shared" si="182"/>
        <v>0</v>
      </c>
      <c r="AU356" s="648">
        <f t="shared" si="183"/>
        <v>0</v>
      </c>
      <c r="AV356" s="648">
        <f t="shared" si="184"/>
        <v>0</v>
      </c>
      <c r="AW356" s="648">
        <f t="shared" si="185"/>
        <v>0</v>
      </c>
      <c r="AX356" s="648">
        <f t="shared" si="186"/>
        <v>0</v>
      </c>
      <c r="AY356" s="634">
        <v>0</v>
      </c>
      <c r="AZ356" s="616"/>
      <c r="BA356" s="619">
        <f>IF(O357=0,0,             IF(ISNUMBER(AZ356),AZ356,             IF(ISTEXT(AZ356),INDEX(AQ356:AX356,MATCH(AZ356,$AQ$17:$AX$17,0)),           IF(AY356="INT",_xll.qInterp(O357,AA356:AH356,AQ356:AX356),       INDEX(AQ356:AX356,MATCH(AY356,$AQ$17:$AX$17,0))))))</f>
        <v>0</v>
      </c>
      <c r="BB356" s="674">
        <v>100</v>
      </c>
      <c r="BC356" s="666">
        <f t="shared" si="165"/>
        <v>0</v>
      </c>
      <c r="BD356" s="268">
        <f>IF($O357=0,0,                IF(LEFT(DCC_Leg1_Fixed,2)="1/",uEvaluate(DCC_Leg1_Fixed),        _xll.qDateYears($O356,$O357,DCC_Leg1_Fixed)))</f>
        <v>0</v>
      </c>
      <c r="BE356" s="268">
        <f>IF($O357,_xll.qDateYears($O356,$O357,DCC_Leg1_Float),0)</f>
        <v>0</v>
      </c>
      <c r="BG356" s="332">
        <f t="shared" si="187"/>
        <v>0</v>
      </c>
      <c r="BH356" s="357">
        <f t="shared" si="188"/>
        <v>0</v>
      </c>
      <c r="BI356" s="527"/>
      <c r="BK356" s="324">
        <f t="shared" si="161"/>
        <v>0</v>
      </c>
      <c r="BM356" s="338"/>
      <c r="BN356" s="121">
        <v>0</v>
      </c>
      <c r="BO356" s="755">
        <f t="shared" si="166"/>
        <v>0</v>
      </c>
      <c r="BP356" s="339">
        <v>0</v>
      </c>
      <c r="BQ356" s="890">
        <f>IF(BN357=0,0,         IF(OR(Currency2="AUD",Currency1="NZD",Currency2="GBP"),BN356,   _xll.qDateNext(BN356,"-2b",,,IF(Currency2="EUR","TGT","LON"))))</f>
        <v>0</v>
      </c>
      <c r="BR356" s="879" t="str">
        <v/>
      </c>
      <c r="BS356" s="879" t="str">
        <v/>
      </c>
      <c r="BT356" s="879" t="str">
        <v/>
      </c>
      <c r="BU356" s="879" t="str">
        <v/>
      </c>
      <c r="BV356" s="879" t="str">
        <v/>
      </c>
      <c r="BW356" s="879" t="str">
        <v/>
      </c>
      <c r="BX356" s="879" t="str">
        <v/>
      </c>
      <c r="BY356" s="879" t="str">
        <v/>
      </c>
      <c r="BZ356" s="882">
        <f>IF($BN357=0,0,        _xll.qDateNext($BN356,BZ$17,$CG$16,TRUE,Currency2))</f>
        <v>0</v>
      </c>
      <c r="CA356" s="882">
        <f>IF($BN357=0,0,        _xll.qDateNext($BN356,CA$17,$CG$16,TRUE,Currency2))</f>
        <v>0</v>
      </c>
      <c r="CB356" s="882">
        <f>IF($BN357=0,0,        _xll.qDateNext($BN356,CB$17,$CG$16,TRUE,Currency2))</f>
        <v>0</v>
      </c>
      <c r="CC356" s="882">
        <f>IF($BN357=0,0,        _xll.qDateNext($BN356,CC$17,$CG$16,TRUE,Currency2))</f>
        <v>0</v>
      </c>
      <c r="CD356" s="882">
        <f>IF($BN357=0,0,        _xll.qDateNext($BN356,CD$17,$CG$16,TRUE,Currency2))</f>
        <v>0</v>
      </c>
      <c r="CE356" s="882">
        <f>IF($BN357=0,0,        _xll.qDateNext($BN356,CE$17,$CG$16,TRUE,Currency2))</f>
        <v>0</v>
      </c>
      <c r="CF356" s="882">
        <f>IF($BN357=0,0,        _xll.qDateNext($BN356,CF$17,$CG$16,TRUE,Currency2))</f>
        <v>0</v>
      </c>
      <c r="CG356" s="882">
        <f>IF($BN357=0,0,        _xll.qDateNext($BN356,CG$17,$CG$16,TRUE,Currency2))</f>
        <v>0</v>
      </c>
      <c r="CH356" s="886">
        <v>0</v>
      </c>
      <c r="CI356" s="886">
        <v>0</v>
      </c>
      <c r="CJ356" s="886">
        <v>0</v>
      </c>
      <c r="CK356" s="886">
        <v>0</v>
      </c>
      <c r="CL356" s="886">
        <f t="shared" si="189"/>
        <v>0</v>
      </c>
      <c r="CM356" s="886">
        <f t="shared" si="190"/>
        <v>0</v>
      </c>
      <c r="CN356" s="886">
        <v>0</v>
      </c>
      <c r="CO356" s="886">
        <v>0</v>
      </c>
      <c r="CP356" s="648">
        <f t="shared" si="167"/>
        <v>0</v>
      </c>
      <c r="CQ356" s="648">
        <f t="shared" si="168"/>
        <v>0</v>
      </c>
      <c r="CR356" s="648">
        <f t="shared" si="169"/>
        <v>0</v>
      </c>
      <c r="CS356" s="648">
        <f t="shared" si="170"/>
        <v>0</v>
      </c>
      <c r="CT356" s="648">
        <f t="shared" si="171"/>
        <v>0</v>
      </c>
      <c r="CU356" s="648">
        <f t="shared" si="172"/>
        <v>0</v>
      </c>
      <c r="CV356" s="648">
        <f t="shared" si="173"/>
        <v>0</v>
      </c>
      <c r="CW356" s="648">
        <f t="shared" si="174"/>
        <v>0</v>
      </c>
      <c r="CX356" s="634">
        <v>0</v>
      </c>
      <c r="CY356" s="616"/>
      <c r="CZ356" s="619">
        <f>IF(BN357=0,0,             IF(ISNUMBER(CY356),CY356,             IF(ISTEXT(CY356),INDEX(CP356:CW356,MATCH(CY356,$CP$17:$CW$17,0)),           IF(CX356="INT",_xll.qInterp(BN357,BZ356:CG356,CP356:CW356),       INDEX(CP356:CW356,MATCH(CX356,$CP$17:$CW$17,0))))))</f>
        <v>0</v>
      </c>
      <c r="DA356" s="755">
        <f t="shared" si="175"/>
        <v>0</v>
      </c>
      <c r="DB356" s="387">
        <f t="shared" si="176"/>
        <v>0</v>
      </c>
      <c r="DC356" s="268">
        <f>IF($BN357=0,0,         IF(LEFT(DCC_Leg2_Fixed,2)="1/",uEvaluate(DCC_Leg2_Fixed),         _xll.qDateYears($BN356,$BN357,DCC_Leg2_Fixed)))</f>
        <v>0</v>
      </c>
      <c r="DD356" s="268">
        <f>IF($BN357,_xll.qDateYears($BN356,$BN357,DCC_Leg2_Float),0)</f>
        <v>0</v>
      </c>
      <c r="DF356" s="332">
        <f t="shared" si="191"/>
        <v>0</v>
      </c>
      <c r="DG356" s="357">
        <f t="shared" si="192"/>
        <v>0</v>
      </c>
      <c r="DH356" s="527"/>
      <c r="DJ356" s="324">
        <f t="shared" si="162"/>
        <v>0</v>
      </c>
      <c r="DK356" s="529"/>
      <c r="DL356" s="338"/>
    </row>
    <row r="357" spans="15:116">
      <c r="O357" s="121">
        <v>0</v>
      </c>
      <c r="P357" s="755">
        <f t="shared" si="163"/>
        <v>0</v>
      </c>
      <c r="Q357" s="125">
        <v>0</v>
      </c>
      <c r="R357" s="890">
        <f>IF(O358=0,0,         IF(OR(Currency1="AUD",Currency1="NZD",Currency1="GBP"),O357,   _xll.qDateNext(O357,"-2b",,,IF(Currency1="EUR","TGT","LON"))))</f>
        <v>0</v>
      </c>
      <c r="S357" s="879" t="str">
        <v/>
      </c>
      <c r="T357" s="879" t="str">
        <v/>
      </c>
      <c r="U357" s="879" t="str">
        <v/>
      </c>
      <c r="V357" s="879" t="str">
        <v/>
      </c>
      <c r="W357" s="879" t="str">
        <v/>
      </c>
      <c r="X357" s="879" t="str">
        <v/>
      </c>
      <c r="Y357" s="879" t="str">
        <v/>
      </c>
      <c r="Z357" s="879" t="str">
        <v/>
      </c>
      <c r="AA357" s="882">
        <f>IF($O358=0,0,        _xll.qDateNext($O357,AA$17,$AH$16,TRUE,Currency1))</f>
        <v>0</v>
      </c>
      <c r="AB357" s="882">
        <f>IF($O358=0,0,        _xll.qDateNext($O357,AB$17,$AH$16,TRUE,Currency1))</f>
        <v>0</v>
      </c>
      <c r="AC357" s="882">
        <f>IF($O358=0,0,        _xll.qDateNext($O357,AC$17,$AH$16,TRUE,Currency1))</f>
        <v>0</v>
      </c>
      <c r="AD357" s="882">
        <f>IF($O358=0,0,        _xll.qDateNext($O357,AD$17,$AH$16,TRUE,Currency1))</f>
        <v>0</v>
      </c>
      <c r="AE357" s="882">
        <f>IF($O358=0,0,        _xll.qDateNext($O357,AE$17,$AH$16,TRUE,Currency1))</f>
        <v>0</v>
      </c>
      <c r="AF357" s="882">
        <f>IF($O358=0,0,        _xll.qDateNext($O357,AF$17,$AH$16,TRUE,Currency1))</f>
        <v>0</v>
      </c>
      <c r="AG357" s="882">
        <f>IF($O358=0,0,        _xll.qDateNext($O357,AG$17,$AH$16,TRUE,Currency1))</f>
        <v>0</v>
      </c>
      <c r="AH357" s="882">
        <f>IF($O358=0,0,        _xll.qDateNext($O357,AH$17,$AH$16,TRUE,Currency1))</f>
        <v>0</v>
      </c>
      <c r="AI357" s="886">
        <f>IF($O358=0,0,           IF(FRM,_xll.qGetFwdRate(AI$14,$O357,AA357,"T",DCC_Leg1_Float),_xll.qGetFwdRate(AI$14,$O357,$O358,"T",DCC_Leg1_Float)))</f>
        <v>0</v>
      </c>
      <c r="AJ357" s="886">
        <f>IF($O358=0,0,           IF(FRM,_xll.qGetFwdRate(AJ$14,$O357,AB357,"T",DCC_Leg1_Float),_xll.qGetFwdRate(AJ$14,$O357,$O358,"T",DCC_Leg1_Float)))</f>
        <v>0</v>
      </c>
      <c r="AK357" s="886">
        <f t="shared" si="164"/>
        <v>0</v>
      </c>
      <c r="AL357" s="886">
        <f>IF($O358=0,0,           IF(FRM,_xll.qGetFwdRate(AL$14,$O357,AD357,"T",DCC_Leg1_Float),_xll.qGetFwdRate(AL$14,$O357,$O358,"T",DCC_Leg1_Float)))</f>
        <v>0</v>
      </c>
      <c r="AM357" s="886">
        <f t="shared" si="177"/>
        <v>0</v>
      </c>
      <c r="AN357" s="886">
        <f t="shared" si="178"/>
        <v>0</v>
      </c>
      <c r="AO357" s="886">
        <f>IF($O358=0,0,           IF(FRM,_xll.qGetFwdRate(AO$14,$O357,AG357,"T",DCC_Leg1_Float),_xll.qGetFwdRate(AO$14,$O357,$O358,"T",DCC_Leg1_Float)))</f>
        <v>0</v>
      </c>
      <c r="AP357" s="886">
        <f>IF($O358=0,0,           IF(FRM,_xll.qGetFwdRate(AP$14,$O357,AH357,"T",DCC_Leg1_Float),_xll.qGetFwdRate(AP$14,$O357,$O358,"T",DCC_Leg1_Float)))</f>
        <v>0</v>
      </c>
      <c r="AQ357" s="648">
        <f t="shared" si="179"/>
        <v>0</v>
      </c>
      <c r="AR357" s="648">
        <f t="shared" si="180"/>
        <v>0</v>
      </c>
      <c r="AS357" s="648">
        <f t="shared" si="181"/>
        <v>0</v>
      </c>
      <c r="AT357" s="648">
        <f t="shared" si="182"/>
        <v>0</v>
      </c>
      <c r="AU357" s="648">
        <f t="shared" si="183"/>
        <v>0</v>
      </c>
      <c r="AV357" s="648">
        <f t="shared" si="184"/>
        <v>0</v>
      </c>
      <c r="AW357" s="648">
        <f t="shared" si="185"/>
        <v>0</v>
      </c>
      <c r="AX357" s="648">
        <f t="shared" si="186"/>
        <v>0</v>
      </c>
      <c r="AY357" s="634">
        <v>0</v>
      </c>
      <c r="AZ357" s="616"/>
      <c r="BA357" s="619">
        <f>IF(O358=0,0,             IF(ISNUMBER(AZ357),AZ357,             IF(ISTEXT(AZ357),INDEX(AQ357:AX357,MATCH(AZ357,$AQ$17:$AX$17,0)),           IF(AY357="INT",_xll.qInterp(O358,AA357:AH357,AQ357:AX357),       INDEX(AQ357:AX357,MATCH(AY357,$AQ$17:$AX$17,0))))))</f>
        <v>0</v>
      </c>
      <c r="BB357" s="674">
        <v>100</v>
      </c>
      <c r="BC357" s="666">
        <f t="shared" si="165"/>
        <v>0</v>
      </c>
      <c r="BD357" s="268">
        <f>IF($O358=0,0,                IF(LEFT(DCC_Leg1_Fixed,2)="1/",uEvaluate(DCC_Leg1_Fixed),        _xll.qDateYears($O357,$O358,DCC_Leg1_Fixed)))</f>
        <v>0</v>
      </c>
      <c r="BE357" s="268">
        <f>IF($O358,_xll.qDateYears($O357,$O358,DCC_Leg1_Float),0)</f>
        <v>0</v>
      </c>
      <c r="BG357" s="332">
        <f t="shared" si="187"/>
        <v>0</v>
      </c>
      <c r="BH357" s="357">
        <f t="shared" si="188"/>
        <v>0</v>
      </c>
      <c r="BI357" s="527"/>
      <c r="BK357" s="324">
        <f t="shared" si="161"/>
        <v>0</v>
      </c>
      <c r="BM357" s="338"/>
      <c r="BN357" s="121">
        <v>0</v>
      </c>
      <c r="BO357" s="755">
        <f t="shared" si="166"/>
        <v>0</v>
      </c>
      <c r="BP357" s="339">
        <v>0</v>
      </c>
      <c r="BQ357" s="890">
        <f>IF(BN358=0,0,         IF(OR(Currency2="AUD",Currency1="NZD",Currency2="GBP"),BN357,   _xll.qDateNext(BN357,"-2b",,,IF(Currency2="EUR","TGT","LON"))))</f>
        <v>0</v>
      </c>
      <c r="BR357" s="879" t="str">
        <v/>
      </c>
      <c r="BS357" s="879" t="str">
        <v/>
      </c>
      <c r="BT357" s="879" t="str">
        <v/>
      </c>
      <c r="BU357" s="879" t="str">
        <v/>
      </c>
      <c r="BV357" s="879" t="str">
        <v/>
      </c>
      <c r="BW357" s="879" t="str">
        <v/>
      </c>
      <c r="BX357" s="879" t="str">
        <v/>
      </c>
      <c r="BY357" s="879" t="str">
        <v/>
      </c>
      <c r="BZ357" s="882">
        <f>IF($BN358=0,0,        _xll.qDateNext($BN357,BZ$17,$CG$16,TRUE,Currency2))</f>
        <v>0</v>
      </c>
      <c r="CA357" s="882">
        <f>IF($BN358=0,0,        _xll.qDateNext($BN357,CA$17,$CG$16,TRUE,Currency2))</f>
        <v>0</v>
      </c>
      <c r="CB357" s="882">
        <f>IF($BN358=0,0,        _xll.qDateNext($BN357,CB$17,$CG$16,TRUE,Currency2))</f>
        <v>0</v>
      </c>
      <c r="CC357" s="882">
        <f>IF($BN358=0,0,        _xll.qDateNext($BN357,CC$17,$CG$16,TRUE,Currency2))</f>
        <v>0</v>
      </c>
      <c r="CD357" s="882">
        <f>IF($BN358=0,0,        _xll.qDateNext($BN357,CD$17,$CG$16,TRUE,Currency2))</f>
        <v>0</v>
      </c>
      <c r="CE357" s="882">
        <f>IF($BN358=0,0,        _xll.qDateNext($BN357,CE$17,$CG$16,TRUE,Currency2))</f>
        <v>0</v>
      </c>
      <c r="CF357" s="882">
        <f>IF($BN358=0,0,        _xll.qDateNext($BN357,CF$17,$CG$16,TRUE,Currency2))</f>
        <v>0</v>
      </c>
      <c r="CG357" s="882">
        <f>IF($BN358=0,0,        _xll.qDateNext($BN357,CG$17,$CG$16,TRUE,Currency2))</f>
        <v>0</v>
      </c>
      <c r="CH357" s="886">
        <v>0</v>
      </c>
      <c r="CI357" s="886">
        <v>0</v>
      </c>
      <c r="CJ357" s="886">
        <v>0</v>
      </c>
      <c r="CK357" s="886">
        <v>0</v>
      </c>
      <c r="CL357" s="886">
        <f t="shared" si="189"/>
        <v>0</v>
      </c>
      <c r="CM357" s="886">
        <f t="shared" si="190"/>
        <v>0</v>
      </c>
      <c r="CN357" s="886">
        <v>0</v>
      </c>
      <c r="CO357" s="886">
        <v>0</v>
      </c>
      <c r="CP357" s="648">
        <f t="shared" si="167"/>
        <v>0</v>
      </c>
      <c r="CQ357" s="648">
        <f t="shared" si="168"/>
        <v>0</v>
      </c>
      <c r="CR357" s="648">
        <f t="shared" si="169"/>
        <v>0</v>
      </c>
      <c r="CS357" s="648">
        <f t="shared" si="170"/>
        <v>0</v>
      </c>
      <c r="CT357" s="648">
        <f t="shared" si="171"/>
        <v>0</v>
      </c>
      <c r="CU357" s="648">
        <f t="shared" si="172"/>
        <v>0</v>
      </c>
      <c r="CV357" s="648">
        <f t="shared" si="173"/>
        <v>0</v>
      </c>
      <c r="CW357" s="648">
        <f t="shared" si="174"/>
        <v>0</v>
      </c>
      <c r="CX357" s="634">
        <v>0</v>
      </c>
      <c r="CY357" s="616"/>
      <c r="CZ357" s="619">
        <f>IF(BN358=0,0,             IF(ISNUMBER(CY357),CY357,             IF(ISTEXT(CY357),INDEX(CP357:CW357,MATCH(CY357,$CP$17:$CW$17,0)),           IF(CX357="INT",_xll.qInterp(BN358,BZ357:CG357,CP357:CW357),       INDEX(CP357:CW357,MATCH(CX357,$CP$17:$CW$17,0))))))</f>
        <v>0</v>
      </c>
      <c r="DA357" s="755">
        <f t="shared" si="175"/>
        <v>0</v>
      </c>
      <c r="DB357" s="387">
        <f t="shared" si="176"/>
        <v>0</v>
      </c>
      <c r="DC357" s="268">
        <f>IF($BN358=0,0,         IF(LEFT(DCC_Leg2_Fixed,2)="1/",uEvaluate(DCC_Leg2_Fixed),         _xll.qDateYears($BN357,$BN358,DCC_Leg2_Fixed)))</f>
        <v>0</v>
      </c>
      <c r="DD357" s="268">
        <f>IF($BN358,_xll.qDateYears($BN357,$BN358,DCC_Leg2_Float),0)</f>
        <v>0</v>
      </c>
      <c r="DF357" s="332">
        <f t="shared" si="191"/>
        <v>0</v>
      </c>
      <c r="DG357" s="357">
        <f t="shared" si="192"/>
        <v>0</v>
      </c>
      <c r="DH357" s="527"/>
      <c r="DJ357" s="324">
        <f t="shared" si="162"/>
        <v>0</v>
      </c>
      <c r="DK357" s="529"/>
      <c r="DL357" s="338"/>
    </row>
    <row r="358" spans="15:116">
      <c r="O358" s="121">
        <v>0</v>
      </c>
      <c r="P358" s="755">
        <f t="shared" si="163"/>
        <v>0</v>
      </c>
      <c r="Q358" s="125">
        <v>0</v>
      </c>
      <c r="R358" s="890">
        <f>IF(O359=0,0,         IF(OR(Currency1="AUD",Currency1="NZD",Currency1="GBP"),O358,   _xll.qDateNext(O358,"-2b",,,IF(Currency1="EUR","TGT","LON"))))</f>
        <v>0</v>
      </c>
      <c r="S358" s="879" t="str">
        <v/>
      </c>
      <c r="T358" s="879" t="str">
        <v/>
      </c>
      <c r="U358" s="879" t="str">
        <v/>
      </c>
      <c r="V358" s="879" t="str">
        <v/>
      </c>
      <c r="W358" s="879" t="str">
        <v/>
      </c>
      <c r="X358" s="879" t="str">
        <v/>
      </c>
      <c r="Y358" s="879" t="str">
        <v/>
      </c>
      <c r="Z358" s="879" t="str">
        <v/>
      </c>
      <c r="AA358" s="882">
        <f>IF($O359=0,0,        _xll.qDateNext($O358,AA$17,$AH$16,TRUE,Currency1))</f>
        <v>0</v>
      </c>
      <c r="AB358" s="882">
        <f>IF($O359=0,0,        _xll.qDateNext($O358,AB$17,$AH$16,TRUE,Currency1))</f>
        <v>0</v>
      </c>
      <c r="AC358" s="882">
        <f>IF($O359=0,0,        _xll.qDateNext($O358,AC$17,$AH$16,TRUE,Currency1))</f>
        <v>0</v>
      </c>
      <c r="AD358" s="882">
        <f>IF($O359=0,0,        _xll.qDateNext($O358,AD$17,$AH$16,TRUE,Currency1))</f>
        <v>0</v>
      </c>
      <c r="AE358" s="882">
        <f>IF($O359=0,0,        _xll.qDateNext($O358,AE$17,$AH$16,TRUE,Currency1))</f>
        <v>0</v>
      </c>
      <c r="AF358" s="882">
        <f>IF($O359=0,0,        _xll.qDateNext($O358,AF$17,$AH$16,TRUE,Currency1))</f>
        <v>0</v>
      </c>
      <c r="AG358" s="882">
        <f>IF($O359=0,0,        _xll.qDateNext($O358,AG$17,$AH$16,TRUE,Currency1))</f>
        <v>0</v>
      </c>
      <c r="AH358" s="882">
        <f>IF($O359=0,0,        _xll.qDateNext($O358,AH$17,$AH$16,TRUE,Currency1))</f>
        <v>0</v>
      </c>
      <c r="AI358" s="886">
        <f>IF($O359=0,0,           IF(FRM,_xll.qGetFwdRate(AI$14,$O358,AA358,"T",DCC_Leg1_Float),_xll.qGetFwdRate(AI$14,$O358,$O359,"T",DCC_Leg1_Float)))</f>
        <v>0</v>
      </c>
      <c r="AJ358" s="886">
        <f>IF($O359=0,0,           IF(FRM,_xll.qGetFwdRate(AJ$14,$O358,AB358,"T",DCC_Leg1_Float),_xll.qGetFwdRate(AJ$14,$O358,$O359,"T",DCC_Leg1_Float)))</f>
        <v>0</v>
      </c>
      <c r="AK358" s="886">
        <f t="shared" si="164"/>
        <v>0</v>
      </c>
      <c r="AL358" s="886">
        <f>IF($O359=0,0,           IF(FRM,_xll.qGetFwdRate(AL$14,$O358,AD358,"T",DCC_Leg1_Float),_xll.qGetFwdRate(AL$14,$O358,$O359,"T",DCC_Leg1_Float)))</f>
        <v>0</v>
      </c>
      <c r="AM358" s="886">
        <f t="shared" si="177"/>
        <v>0</v>
      </c>
      <c r="AN358" s="886">
        <f t="shared" si="178"/>
        <v>0</v>
      </c>
      <c r="AO358" s="886">
        <f>IF($O359=0,0,           IF(FRM,_xll.qGetFwdRate(AO$14,$O358,AG358,"T",DCC_Leg1_Float),_xll.qGetFwdRate(AO$14,$O358,$O359,"T",DCC_Leg1_Float)))</f>
        <v>0</v>
      </c>
      <c r="AP358" s="886">
        <f>IF($O359=0,0,           IF(FRM,_xll.qGetFwdRate(AP$14,$O358,AH358,"T",DCC_Leg1_Float),_xll.qGetFwdRate(AP$14,$O358,$O359,"T",DCC_Leg1_Float)))</f>
        <v>0</v>
      </c>
      <c r="AQ358" s="648">
        <f t="shared" si="179"/>
        <v>0</v>
      </c>
      <c r="AR358" s="648">
        <f t="shared" si="180"/>
        <v>0</v>
      </c>
      <c r="AS358" s="648">
        <f t="shared" si="181"/>
        <v>0</v>
      </c>
      <c r="AT358" s="648">
        <f t="shared" si="182"/>
        <v>0</v>
      </c>
      <c r="AU358" s="648">
        <f t="shared" si="183"/>
        <v>0</v>
      </c>
      <c r="AV358" s="648">
        <f t="shared" si="184"/>
        <v>0</v>
      </c>
      <c r="AW358" s="648">
        <f t="shared" si="185"/>
        <v>0</v>
      </c>
      <c r="AX358" s="648">
        <f t="shared" si="186"/>
        <v>0</v>
      </c>
      <c r="AY358" s="634">
        <v>0</v>
      </c>
      <c r="AZ358" s="616"/>
      <c r="BA358" s="619">
        <f>IF(O359=0,0,             IF(ISNUMBER(AZ358),AZ358,             IF(ISTEXT(AZ358),INDEX(AQ358:AX358,MATCH(AZ358,$AQ$17:$AX$17,0)),           IF(AY358="INT",_xll.qInterp(O359,AA358:AH358,AQ358:AX358),       INDEX(AQ358:AX358,MATCH(AY358,$AQ$17:$AX$17,0))))))</f>
        <v>0</v>
      </c>
      <c r="BB358" s="674">
        <v>100</v>
      </c>
      <c r="BC358" s="666">
        <f t="shared" si="165"/>
        <v>0</v>
      </c>
      <c r="BD358" s="268">
        <f>IF($O359=0,0,                IF(LEFT(DCC_Leg1_Fixed,2)="1/",uEvaluate(DCC_Leg1_Fixed),        _xll.qDateYears($O358,$O359,DCC_Leg1_Fixed)))</f>
        <v>0</v>
      </c>
      <c r="BE358" s="268">
        <f>IF($O359,_xll.qDateYears($O358,$O359,DCC_Leg1_Float),0)</f>
        <v>0</v>
      </c>
      <c r="BG358" s="332">
        <f t="shared" si="187"/>
        <v>0</v>
      </c>
      <c r="BH358" s="357">
        <f t="shared" si="188"/>
        <v>0</v>
      </c>
      <c r="BI358" s="527"/>
      <c r="BK358" s="324">
        <f t="shared" si="161"/>
        <v>0</v>
      </c>
      <c r="BM358" s="338"/>
      <c r="BN358" s="121">
        <v>0</v>
      </c>
      <c r="BO358" s="755">
        <f t="shared" si="166"/>
        <v>0</v>
      </c>
      <c r="BP358" s="339">
        <v>0</v>
      </c>
      <c r="BQ358" s="890">
        <f>IF(BN359=0,0,         IF(OR(Currency2="AUD",Currency1="NZD",Currency2="GBP"),BN358,   _xll.qDateNext(BN358,"-2b",,,IF(Currency2="EUR","TGT","LON"))))</f>
        <v>0</v>
      </c>
      <c r="BR358" s="879" t="str">
        <v/>
      </c>
      <c r="BS358" s="879" t="str">
        <v/>
      </c>
      <c r="BT358" s="879" t="str">
        <v/>
      </c>
      <c r="BU358" s="879" t="str">
        <v/>
      </c>
      <c r="BV358" s="879" t="str">
        <v/>
      </c>
      <c r="BW358" s="879" t="str">
        <v/>
      </c>
      <c r="BX358" s="879" t="str">
        <v/>
      </c>
      <c r="BY358" s="879" t="str">
        <v/>
      </c>
      <c r="BZ358" s="882">
        <f>IF($BN359=0,0,        _xll.qDateNext($BN358,BZ$17,$CG$16,TRUE,Currency2))</f>
        <v>0</v>
      </c>
      <c r="CA358" s="882">
        <f>IF($BN359=0,0,        _xll.qDateNext($BN358,CA$17,$CG$16,TRUE,Currency2))</f>
        <v>0</v>
      </c>
      <c r="CB358" s="882">
        <f>IF($BN359=0,0,        _xll.qDateNext($BN358,CB$17,$CG$16,TRUE,Currency2))</f>
        <v>0</v>
      </c>
      <c r="CC358" s="882">
        <f>IF($BN359=0,0,        _xll.qDateNext($BN358,CC$17,$CG$16,TRUE,Currency2))</f>
        <v>0</v>
      </c>
      <c r="CD358" s="882">
        <f>IF($BN359=0,0,        _xll.qDateNext($BN358,CD$17,$CG$16,TRUE,Currency2))</f>
        <v>0</v>
      </c>
      <c r="CE358" s="882">
        <f>IF($BN359=0,0,        _xll.qDateNext($BN358,CE$17,$CG$16,TRUE,Currency2))</f>
        <v>0</v>
      </c>
      <c r="CF358" s="882">
        <f>IF($BN359=0,0,        _xll.qDateNext($BN358,CF$17,$CG$16,TRUE,Currency2))</f>
        <v>0</v>
      </c>
      <c r="CG358" s="882">
        <f>IF($BN359=0,0,        _xll.qDateNext($BN358,CG$17,$CG$16,TRUE,Currency2))</f>
        <v>0</v>
      </c>
      <c r="CH358" s="886">
        <v>0</v>
      </c>
      <c r="CI358" s="886">
        <v>0</v>
      </c>
      <c r="CJ358" s="886">
        <v>0</v>
      </c>
      <c r="CK358" s="886">
        <v>0</v>
      </c>
      <c r="CL358" s="886">
        <f t="shared" si="189"/>
        <v>0</v>
      </c>
      <c r="CM358" s="886">
        <f t="shared" si="190"/>
        <v>0</v>
      </c>
      <c r="CN358" s="886">
        <v>0</v>
      </c>
      <c r="CO358" s="886">
        <v>0</v>
      </c>
      <c r="CP358" s="648">
        <f t="shared" si="167"/>
        <v>0</v>
      </c>
      <c r="CQ358" s="648">
        <f t="shared" si="168"/>
        <v>0</v>
      </c>
      <c r="CR358" s="648">
        <f t="shared" si="169"/>
        <v>0</v>
      </c>
      <c r="CS358" s="648">
        <f t="shared" si="170"/>
        <v>0</v>
      </c>
      <c r="CT358" s="648">
        <f t="shared" si="171"/>
        <v>0</v>
      </c>
      <c r="CU358" s="648">
        <f t="shared" si="172"/>
        <v>0</v>
      </c>
      <c r="CV358" s="648">
        <f t="shared" si="173"/>
        <v>0</v>
      </c>
      <c r="CW358" s="648">
        <f t="shared" si="174"/>
        <v>0</v>
      </c>
      <c r="CX358" s="634">
        <v>0</v>
      </c>
      <c r="CY358" s="616"/>
      <c r="CZ358" s="619">
        <f>IF(BN359=0,0,             IF(ISNUMBER(CY358),CY358,             IF(ISTEXT(CY358),INDEX(CP358:CW358,MATCH(CY358,$CP$17:$CW$17,0)),           IF(CX358="INT",_xll.qInterp(BN359,BZ358:CG358,CP358:CW358),       INDEX(CP358:CW358,MATCH(CX358,$CP$17:$CW$17,0))))))</f>
        <v>0</v>
      </c>
      <c r="DA358" s="755">
        <f t="shared" si="175"/>
        <v>0</v>
      </c>
      <c r="DB358" s="387">
        <f t="shared" si="176"/>
        <v>0</v>
      </c>
      <c r="DC358" s="268">
        <f>IF($BN359=0,0,         IF(LEFT(DCC_Leg2_Fixed,2)="1/",uEvaluate(DCC_Leg2_Fixed),         _xll.qDateYears($BN358,$BN359,DCC_Leg2_Fixed)))</f>
        <v>0</v>
      </c>
      <c r="DD358" s="268">
        <f>IF($BN359,_xll.qDateYears($BN358,$BN359,DCC_Leg2_Float),0)</f>
        <v>0</v>
      </c>
      <c r="DF358" s="332">
        <f t="shared" si="191"/>
        <v>0</v>
      </c>
      <c r="DG358" s="357">
        <f t="shared" si="192"/>
        <v>0</v>
      </c>
      <c r="DH358" s="527"/>
      <c r="DJ358" s="324">
        <f t="shared" si="162"/>
        <v>0</v>
      </c>
      <c r="DK358" s="529"/>
      <c r="DL358" s="338"/>
    </row>
    <row r="359" spans="15:116">
      <c r="O359" s="121">
        <v>0</v>
      </c>
      <c r="P359" s="755">
        <f t="shared" si="163"/>
        <v>0</v>
      </c>
      <c r="Q359" s="125">
        <v>0</v>
      </c>
      <c r="R359" s="890">
        <f>IF(O360=0,0,         IF(OR(Currency1="AUD",Currency1="NZD",Currency1="GBP"),O359,   _xll.qDateNext(O359,"-2b",,,IF(Currency1="EUR","TGT","LON"))))</f>
        <v>0</v>
      </c>
      <c r="S359" s="879" t="str">
        <v/>
      </c>
      <c r="T359" s="879" t="str">
        <v/>
      </c>
      <c r="U359" s="879" t="str">
        <v/>
      </c>
      <c r="V359" s="879" t="str">
        <v/>
      </c>
      <c r="W359" s="879" t="str">
        <v/>
      </c>
      <c r="X359" s="879" t="str">
        <v/>
      </c>
      <c r="Y359" s="879" t="str">
        <v/>
      </c>
      <c r="Z359" s="879" t="str">
        <v/>
      </c>
      <c r="AA359" s="882">
        <f>IF($O360=0,0,        _xll.qDateNext($O359,AA$17,$AH$16,TRUE,Currency1))</f>
        <v>0</v>
      </c>
      <c r="AB359" s="882">
        <f>IF($O360=0,0,        _xll.qDateNext($O359,AB$17,$AH$16,TRUE,Currency1))</f>
        <v>0</v>
      </c>
      <c r="AC359" s="882">
        <f>IF($O360=0,0,        _xll.qDateNext($O359,AC$17,$AH$16,TRUE,Currency1))</f>
        <v>0</v>
      </c>
      <c r="AD359" s="882">
        <f>IF($O360=0,0,        _xll.qDateNext($O359,AD$17,$AH$16,TRUE,Currency1))</f>
        <v>0</v>
      </c>
      <c r="AE359" s="882">
        <f>IF($O360=0,0,        _xll.qDateNext($O359,AE$17,$AH$16,TRUE,Currency1))</f>
        <v>0</v>
      </c>
      <c r="AF359" s="882">
        <f>IF($O360=0,0,        _xll.qDateNext($O359,AF$17,$AH$16,TRUE,Currency1))</f>
        <v>0</v>
      </c>
      <c r="AG359" s="882">
        <f>IF($O360=0,0,        _xll.qDateNext($O359,AG$17,$AH$16,TRUE,Currency1))</f>
        <v>0</v>
      </c>
      <c r="AH359" s="882">
        <f>IF($O360=0,0,        _xll.qDateNext($O359,AH$17,$AH$16,TRUE,Currency1))</f>
        <v>0</v>
      </c>
      <c r="AI359" s="886">
        <f>IF($O360=0,0,           IF(FRM,_xll.qGetFwdRate(AI$14,$O359,AA359,"T",DCC_Leg1_Float),_xll.qGetFwdRate(AI$14,$O359,$O360,"T",DCC_Leg1_Float)))</f>
        <v>0</v>
      </c>
      <c r="AJ359" s="886">
        <f>IF($O360=0,0,           IF(FRM,_xll.qGetFwdRate(AJ$14,$O359,AB359,"T",DCC_Leg1_Float),_xll.qGetFwdRate(AJ$14,$O359,$O360,"T",DCC_Leg1_Float)))</f>
        <v>0</v>
      </c>
      <c r="AK359" s="886">
        <f t="shared" si="164"/>
        <v>0</v>
      </c>
      <c r="AL359" s="886">
        <f>IF($O360=0,0,           IF(FRM,_xll.qGetFwdRate(AL$14,$O359,AD359,"T",DCC_Leg1_Float),_xll.qGetFwdRate(AL$14,$O359,$O360,"T",DCC_Leg1_Float)))</f>
        <v>0</v>
      </c>
      <c r="AM359" s="886">
        <f t="shared" si="177"/>
        <v>0</v>
      </c>
      <c r="AN359" s="886">
        <f t="shared" si="178"/>
        <v>0</v>
      </c>
      <c r="AO359" s="886">
        <f>IF($O360=0,0,           IF(FRM,_xll.qGetFwdRate(AO$14,$O359,AG359,"T",DCC_Leg1_Float),_xll.qGetFwdRate(AO$14,$O359,$O360,"T",DCC_Leg1_Float)))</f>
        <v>0</v>
      </c>
      <c r="AP359" s="886">
        <f>IF($O360=0,0,           IF(FRM,_xll.qGetFwdRate(AP$14,$O359,AH359,"T",DCC_Leg1_Float),_xll.qGetFwdRate(AP$14,$O359,$O360,"T",DCC_Leg1_Float)))</f>
        <v>0</v>
      </c>
      <c r="AQ359" s="648">
        <f t="shared" si="179"/>
        <v>0</v>
      </c>
      <c r="AR359" s="648">
        <f t="shared" si="180"/>
        <v>0</v>
      </c>
      <c r="AS359" s="648">
        <f t="shared" si="181"/>
        <v>0</v>
      </c>
      <c r="AT359" s="648">
        <f t="shared" si="182"/>
        <v>0</v>
      </c>
      <c r="AU359" s="648">
        <f t="shared" si="183"/>
        <v>0</v>
      </c>
      <c r="AV359" s="648">
        <f t="shared" si="184"/>
        <v>0</v>
      </c>
      <c r="AW359" s="648">
        <f t="shared" si="185"/>
        <v>0</v>
      </c>
      <c r="AX359" s="648">
        <f t="shared" si="186"/>
        <v>0</v>
      </c>
      <c r="AY359" s="634">
        <v>0</v>
      </c>
      <c r="AZ359" s="616"/>
      <c r="BA359" s="619">
        <f>IF(O360=0,0,             IF(ISNUMBER(AZ359),AZ359,             IF(ISTEXT(AZ359),INDEX(AQ359:AX359,MATCH(AZ359,$AQ$17:$AX$17,0)),           IF(AY359="INT",_xll.qInterp(O360,AA359:AH359,AQ359:AX359),       INDEX(AQ359:AX359,MATCH(AY359,$AQ$17:$AX$17,0))))))</f>
        <v>0</v>
      </c>
      <c r="BB359" s="674">
        <v>100</v>
      </c>
      <c r="BC359" s="666">
        <f t="shared" si="165"/>
        <v>0</v>
      </c>
      <c r="BD359" s="268">
        <f>IF($O360=0,0,                IF(LEFT(DCC_Leg1_Fixed,2)="1/",uEvaluate(DCC_Leg1_Fixed),        _xll.qDateYears($O359,$O360,DCC_Leg1_Fixed)))</f>
        <v>0</v>
      </c>
      <c r="BE359" s="268">
        <f>IF($O360,_xll.qDateYears($O359,$O360,DCC_Leg1_Float),0)</f>
        <v>0</v>
      </c>
      <c r="BG359" s="332">
        <f t="shared" si="187"/>
        <v>0</v>
      </c>
      <c r="BH359" s="357">
        <f t="shared" si="188"/>
        <v>0</v>
      </c>
      <c r="BI359" s="527"/>
      <c r="BK359" s="324">
        <f t="shared" si="161"/>
        <v>0</v>
      </c>
      <c r="BM359" s="338"/>
      <c r="BN359" s="121">
        <v>0</v>
      </c>
      <c r="BO359" s="755">
        <f t="shared" si="166"/>
        <v>0</v>
      </c>
      <c r="BP359" s="339">
        <v>0</v>
      </c>
      <c r="BQ359" s="890">
        <f>IF(BN360=0,0,         IF(OR(Currency2="AUD",Currency1="NZD",Currency2="GBP"),BN359,   _xll.qDateNext(BN359,"-2b",,,IF(Currency2="EUR","TGT","LON"))))</f>
        <v>0</v>
      </c>
      <c r="BR359" s="879" t="str">
        <v/>
      </c>
      <c r="BS359" s="879" t="str">
        <v/>
      </c>
      <c r="BT359" s="879" t="str">
        <v/>
      </c>
      <c r="BU359" s="879" t="str">
        <v/>
      </c>
      <c r="BV359" s="879" t="str">
        <v/>
      </c>
      <c r="BW359" s="879" t="str">
        <v/>
      </c>
      <c r="BX359" s="879" t="str">
        <v/>
      </c>
      <c r="BY359" s="879" t="str">
        <v/>
      </c>
      <c r="BZ359" s="882">
        <f>IF($BN360=0,0,        _xll.qDateNext($BN359,BZ$17,$CG$16,TRUE,Currency2))</f>
        <v>0</v>
      </c>
      <c r="CA359" s="882">
        <f>IF($BN360=0,0,        _xll.qDateNext($BN359,CA$17,$CG$16,TRUE,Currency2))</f>
        <v>0</v>
      </c>
      <c r="CB359" s="882">
        <f>IF($BN360=0,0,        _xll.qDateNext($BN359,CB$17,$CG$16,TRUE,Currency2))</f>
        <v>0</v>
      </c>
      <c r="CC359" s="882">
        <f>IF($BN360=0,0,        _xll.qDateNext($BN359,CC$17,$CG$16,TRUE,Currency2))</f>
        <v>0</v>
      </c>
      <c r="CD359" s="882">
        <f>IF($BN360=0,0,        _xll.qDateNext($BN359,CD$17,$CG$16,TRUE,Currency2))</f>
        <v>0</v>
      </c>
      <c r="CE359" s="882">
        <f>IF($BN360=0,0,        _xll.qDateNext($BN359,CE$17,$CG$16,TRUE,Currency2))</f>
        <v>0</v>
      </c>
      <c r="CF359" s="882">
        <f>IF($BN360=0,0,        _xll.qDateNext($BN359,CF$17,$CG$16,TRUE,Currency2))</f>
        <v>0</v>
      </c>
      <c r="CG359" s="882">
        <f>IF($BN360=0,0,        _xll.qDateNext($BN359,CG$17,$CG$16,TRUE,Currency2))</f>
        <v>0</v>
      </c>
      <c r="CH359" s="886">
        <v>0</v>
      </c>
      <c r="CI359" s="886">
        <v>0</v>
      </c>
      <c r="CJ359" s="886">
        <v>0</v>
      </c>
      <c r="CK359" s="886">
        <v>0</v>
      </c>
      <c r="CL359" s="886">
        <f t="shared" si="189"/>
        <v>0</v>
      </c>
      <c r="CM359" s="886">
        <f t="shared" si="190"/>
        <v>0</v>
      </c>
      <c r="CN359" s="886">
        <v>0</v>
      </c>
      <c r="CO359" s="886">
        <v>0</v>
      </c>
      <c r="CP359" s="648">
        <f t="shared" si="167"/>
        <v>0</v>
      </c>
      <c r="CQ359" s="648">
        <f t="shared" si="168"/>
        <v>0</v>
      </c>
      <c r="CR359" s="648">
        <f t="shared" si="169"/>
        <v>0</v>
      </c>
      <c r="CS359" s="648">
        <f t="shared" si="170"/>
        <v>0</v>
      </c>
      <c r="CT359" s="648">
        <f t="shared" si="171"/>
        <v>0</v>
      </c>
      <c r="CU359" s="648">
        <f t="shared" si="172"/>
        <v>0</v>
      </c>
      <c r="CV359" s="648">
        <f t="shared" si="173"/>
        <v>0</v>
      </c>
      <c r="CW359" s="648">
        <f t="shared" si="174"/>
        <v>0</v>
      </c>
      <c r="CX359" s="634">
        <v>0</v>
      </c>
      <c r="CY359" s="616"/>
      <c r="CZ359" s="619">
        <f>IF(BN360=0,0,             IF(ISNUMBER(CY359),CY359,             IF(ISTEXT(CY359),INDEX(CP359:CW359,MATCH(CY359,$CP$17:$CW$17,0)),           IF(CX359="INT",_xll.qInterp(BN360,BZ359:CG359,CP359:CW359),       INDEX(CP359:CW359,MATCH(CX359,$CP$17:$CW$17,0))))))</f>
        <v>0</v>
      </c>
      <c r="DA359" s="755">
        <f t="shared" si="175"/>
        <v>0</v>
      </c>
      <c r="DB359" s="387">
        <f t="shared" si="176"/>
        <v>0</v>
      </c>
      <c r="DC359" s="268">
        <f>IF($BN360=0,0,         IF(LEFT(DCC_Leg2_Fixed,2)="1/",uEvaluate(DCC_Leg2_Fixed),         _xll.qDateYears($BN359,$BN360,DCC_Leg2_Fixed)))</f>
        <v>0</v>
      </c>
      <c r="DD359" s="268">
        <f>IF($BN360,_xll.qDateYears($BN359,$BN360,DCC_Leg2_Float),0)</f>
        <v>0</v>
      </c>
      <c r="DF359" s="332">
        <f t="shared" si="191"/>
        <v>0</v>
      </c>
      <c r="DG359" s="357">
        <f t="shared" si="192"/>
        <v>0</v>
      </c>
      <c r="DH359" s="527"/>
      <c r="DJ359" s="324">
        <f t="shared" si="162"/>
        <v>0</v>
      </c>
      <c r="DK359" s="529"/>
      <c r="DL359" s="338"/>
    </row>
    <row r="360" spans="15:116">
      <c r="O360" s="121">
        <v>0</v>
      </c>
      <c r="P360" s="755">
        <f t="shared" si="163"/>
        <v>0</v>
      </c>
      <c r="Q360" s="125">
        <v>0</v>
      </c>
      <c r="R360" s="890">
        <f>IF(O361=0,0,         IF(OR(Currency1="AUD",Currency1="NZD",Currency1="GBP"),O360,   _xll.qDateNext(O360,"-2b",,,IF(Currency1="EUR","TGT","LON"))))</f>
        <v>0</v>
      </c>
      <c r="S360" s="879" t="str">
        <v/>
      </c>
      <c r="T360" s="879" t="str">
        <v/>
      </c>
      <c r="U360" s="879" t="str">
        <v/>
      </c>
      <c r="V360" s="879" t="str">
        <v/>
      </c>
      <c r="W360" s="879" t="str">
        <v/>
      </c>
      <c r="X360" s="879" t="str">
        <v/>
      </c>
      <c r="Y360" s="879" t="str">
        <v/>
      </c>
      <c r="Z360" s="879" t="str">
        <v/>
      </c>
      <c r="AA360" s="882">
        <f>IF($O361=0,0,        _xll.qDateNext($O360,AA$17,$AH$16,TRUE,Currency1))</f>
        <v>0</v>
      </c>
      <c r="AB360" s="882">
        <f>IF($O361=0,0,        _xll.qDateNext($O360,AB$17,$AH$16,TRUE,Currency1))</f>
        <v>0</v>
      </c>
      <c r="AC360" s="882">
        <f>IF($O361=0,0,        _xll.qDateNext($O360,AC$17,$AH$16,TRUE,Currency1))</f>
        <v>0</v>
      </c>
      <c r="AD360" s="882">
        <f>IF($O361=0,0,        _xll.qDateNext($O360,AD$17,$AH$16,TRUE,Currency1))</f>
        <v>0</v>
      </c>
      <c r="AE360" s="882">
        <f>IF($O361=0,0,        _xll.qDateNext($O360,AE$17,$AH$16,TRUE,Currency1))</f>
        <v>0</v>
      </c>
      <c r="AF360" s="882">
        <f>IF($O361=0,0,        _xll.qDateNext($O360,AF$17,$AH$16,TRUE,Currency1))</f>
        <v>0</v>
      </c>
      <c r="AG360" s="882">
        <f>IF($O361=0,0,        _xll.qDateNext($O360,AG$17,$AH$16,TRUE,Currency1))</f>
        <v>0</v>
      </c>
      <c r="AH360" s="882">
        <f>IF($O361=0,0,        _xll.qDateNext($O360,AH$17,$AH$16,TRUE,Currency1))</f>
        <v>0</v>
      </c>
      <c r="AI360" s="886">
        <f>IF($O361=0,0,           IF(FRM,_xll.qGetFwdRate(AI$14,$O360,AA360,"T",DCC_Leg1_Float),_xll.qGetFwdRate(AI$14,$O360,$O361,"T",DCC_Leg1_Float)))</f>
        <v>0</v>
      </c>
      <c r="AJ360" s="886">
        <f>IF($O361=0,0,           IF(FRM,_xll.qGetFwdRate(AJ$14,$O360,AB360,"T",DCC_Leg1_Float),_xll.qGetFwdRate(AJ$14,$O360,$O361,"T",DCC_Leg1_Float)))</f>
        <v>0</v>
      </c>
      <c r="AK360" s="886">
        <f t="shared" si="164"/>
        <v>0</v>
      </c>
      <c r="AL360" s="886">
        <f>IF($O361=0,0,           IF(FRM,_xll.qGetFwdRate(AL$14,$O360,AD360,"T",DCC_Leg1_Float),_xll.qGetFwdRate(AL$14,$O360,$O361,"T",DCC_Leg1_Float)))</f>
        <v>0</v>
      </c>
      <c r="AM360" s="886">
        <f t="shared" si="177"/>
        <v>0</v>
      </c>
      <c r="AN360" s="886">
        <f t="shared" si="178"/>
        <v>0</v>
      </c>
      <c r="AO360" s="886">
        <f>IF($O361=0,0,           IF(FRM,_xll.qGetFwdRate(AO$14,$O360,AG360,"T",DCC_Leg1_Float),_xll.qGetFwdRate(AO$14,$O360,$O361,"T",DCC_Leg1_Float)))</f>
        <v>0</v>
      </c>
      <c r="AP360" s="886">
        <f>IF($O361=0,0,           IF(FRM,_xll.qGetFwdRate(AP$14,$O360,AH360,"T",DCC_Leg1_Float),_xll.qGetFwdRate(AP$14,$O360,$O361,"T",DCC_Leg1_Float)))</f>
        <v>0</v>
      </c>
      <c r="AQ360" s="648">
        <f t="shared" si="179"/>
        <v>0</v>
      </c>
      <c r="AR360" s="648">
        <f t="shared" si="180"/>
        <v>0</v>
      </c>
      <c r="AS360" s="648">
        <f t="shared" si="181"/>
        <v>0</v>
      </c>
      <c r="AT360" s="648">
        <f t="shared" si="182"/>
        <v>0</v>
      </c>
      <c r="AU360" s="648">
        <f t="shared" si="183"/>
        <v>0</v>
      </c>
      <c r="AV360" s="648">
        <f t="shared" si="184"/>
        <v>0</v>
      </c>
      <c r="AW360" s="648">
        <f t="shared" si="185"/>
        <v>0</v>
      </c>
      <c r="AX360" s="648">
        <f t="shared" si="186"/>
        <v>0</v>
      </c>
      <c r="AY360" s="634">
        <v>0</v>
      </c>
      <c r="AZ360" s="616"/>
      <c r="BA360" s="619">
        <f>IF(O361=0,0,             IF(ISNUMBER(AZ360),AZ360,             IF(ISTEXT(AZ360),INDEX(AQ360:AX360,MATCH(AZ360,$AQ$17:$AX$17,0)),           IF(AY360="INT",_xll.qInterp(O361,AA360:AH360,AQ360:AX360),       INDEX(AQ360:AX360,MATCH(AY360,$AQ$17:$AX$17,0))))))</f>
        <v>0</v>
      </c>
      <c r="BB360" s="674">
        <v>100</v>
      </c>
      <c r="BC360" s="666">
        <f t="shared" si="165"/>
        <v>0</v>
      </c>
      <c r="BD360" s="268">
        <f>IF($O361=0,0,                IF(LEFT(DCC_Leg1_Fixed,2)="1/",uEvaluate(DCC_Leg1_Fixed),        _xll.qDateYears($O360,$O361,DCC_Leg1_Fixed)))</f>
        <v>0</v>
      </c>
      <c r="BE360" s="268">
        <f>IF($O361,_xll.qDateYears($O360,$O361,DCC_Leg1_Float),0)</f>
        <v>0</v>
      </c>
      <c r="BG360" s="332">
        <f t="shared" si="187"/>
        <v>0</v>
      </c>
      <c r="BH360" s="357">
        <f t="shared" si="188"/>
        <v>0</v>
      </c>
      <c r="BI360" s="527"/>
      <c r="BK360" s="324">
        <f t="shared" ref="BK360:BK423" si="193">SUM(BG360:BI360)</f>
        <v>0</v>
      </c>
      <c r="BM360" s="338"/>
      <c r="BN360" s="121">
        <v>0</v>
      </c>
      <c r="BO360" s="755">
        <f t="shared" si="166"/>
        <v>0</v>
      </c>
      <c r="BP360" s="339">
        <v>0</v>
      </c>
      <c r="BQ360" s="890">
        <f>IF(BN361=0,0,         IF(OR(Currency2="AUD",Currency1="NZD",Currency2="GBP"),BN360,   _xll.qDateNext(BN360,"-2b",,,IF(Currency2="EUR","TGT","LON"))))</f>
        <v>0</v>
      </c>
      <c r="BR360" s="879" t="str">
        <v/>
      </c>
      <c r="BS360" s="879" t="str">
        <v/>
      </c>
      <c r="BT360" s="879" t="str">
        <v/>
      </c>
      <c r="BU360" s="879" t="str">
        <v/>
      </c>
      <c r="BV360" s="879" t="str">
        <v/>
      </c>
      <c r="BW360" s="879" t="str">
        <v/>
      </c>
      <c r="BX360" s="879" t="str">
        <v/>
      </c>
      <c r="BY360" s="879" t="str">
        <v/>
      </c>
      <c r="BZ360" s="882">
        <f>IF($BN361=0,0,        _xll.qDateNext($BN360,BZ$17,$CG$16,TRUE,Currency2))</f>
        <v>0</v>
      </c>
      <c r="CA360" s="882">
        <f>IF($BN361=0,0,        _xll.qDateNext($BN360,CA$17,$CG$16,TRUE,Currency2))</f>
        <v>0</v>
      </c>
      <c r="CB360" s="882">
        <f>IF($BN361=0,0,        _xll.qDateNext($BN360,CB$17,$CG$16,TRUE,Currency2))</f>
        <v>0</v>
      </c>
      <c r="CC360" s="882">
        <f>IF($BN361=0,0,        _xll.qDateNext($BN360,CC$17,$CG$16,TRUE,Currency2))</f>
        <v>0</v>
      </c>
      <c r="CD360" s="882">
        <f>IF($BN361=0,0,        _xll.qDateNext($BN360,CD$17,$CG$16,TRUE,Currency2))</f>
        <v>0</v>
      </c>
      <c r="CE360" s="882">
        <f>IF($BN361=0,0,        _xll.qDateNext($BN360,CE$17,$CG$16,TRUE,Currency2))</f>
        <v>0</v>
      </c>
      <c r="CF360" s="882">
        <f>IF($BN361=0,0,        _xll.qDateNext($BN360,CF$17,$CG$16,TRUE,Currency2))</f>
        <v>0</v>
      </c>
      <c r="CG360" s="882">
        <f>IF($BN361=0,0,        _xll.qDateNext($BN360,CG$17,$CG$16,TRUE,Currency2))</f>
        <v>0</v>
      </c>
      <c r="CH360" s="886">
        <v>0</v>
      </c>
      <c r="CI360" s="886">
        <v>0</v>
      </c>
      <c r="CJ360" s="886">
        <v>0</v>
      </c>
      <c r="CK360" s="886">
        <v>0</v>
      </c>
      <c r="CL360" s="886">
        <f t="shared" si="189"/>
        <v>0</v>
      </c>
      <c r="CM360" s="886">
        <f t="shared" si="190"/>
        <v>0</v>
      </c>
      <c r="CN360" s="886">
        <v>0</v>
      </c>
      <c r="CO360" s="886">
        <v>0</v>
      </c>
      <c r="CP360" s="648">
        <f t="shared" si="167"/>
        <v>0</v>
      </c>
      <c r="CQ360" s="648">
        <f t="shared" si="168"/>
        <v>0</v>
      </c>
      <c r="CR360" s="648">
        <f t="shared" si="169"/>
        <v>0</v>
      </c>
      <c r="CS360" s="648">
        <f t="shared" si="170"/>
        <v>0</v>
      </c>
      <c r="CT360" s="648">
        <f t="shared" si="171"/>
        <v>0</v>
      </c>
      <c r="CU360" s="648">
        <f t="shared" si="172"/>
        <v>0</v>
      </c>
      <c r="CV360" s="648">
        <f t="shared" si="173"/>
        <v>0</v>
      </c>
      <c r="CW360" s="648">
        <f t="shared" si="174"/>
        <v>0</v>
      </c>
      <c r="CX360" s="634">
        <v>0</v>
      </c>
      <c r="CY360" s="616"/>
      <c r="CZ360" s="619">
        <f>IF(BN361=0,0,             IF(ISNUMBER(CY360),CY360,             IF(ISTEXT(CY360),INDEX(CP360:CW360,MATCH(CY360,$CP$17:$CW$17,0)),           IF(CX360="INT",_xll.qInterp(BN361,BZ360:CG360,CP360:CW360),       INDEX(CP360:CW360,MATCH(CX360,$CP$17:$CW$17,0))))))</f>
        <v>0</v>
      </c>
      <c r="DA360" s="755">
        <f t="shared" si="175"/>
        <v>0</v>
      </c>
      <c r="DB360" s="387">
        <f t="shared" si="176"/>
        <v>0</v>
      </c>
      <c r="DC360" s="268">
        <f>IF($BN361=0,0,         IF(LEFT(DCC_Leg2_Fixed,2)="1/",uEvaluate(DCC_Leg2_Fixed),         _xll.qDateYears($BN360,$BN361,DCC_Leg2_Fixed)))</f>
        <v>0</v>
      </c>
      <c r="DD360" s="268">
        <f>IF($BN361,_xll.qDateYears($BN360,$BN361,DCC_Leg2_Float),0)</f>
        <v>0</v>
      </c>
      <c r="DF360" s="332">
        <f t="shared" si="191"/>
        <v>0</v>
      </c>
      <c r="DG360" s="357">
        <f t="shared" si="192"/>
        <v>0</v>
      </c>
      <c r="DH360" s="527"/>
      <c r="DJ360" s="324">
        <f t="shared" si="162"/>
        <v>0</v>
      </c>
      <c r="DK360" s="529"/>
      <c r="DL360" s="338"/>
    </row>
    <row r="361" spans="15:116">
      <c r="O361" s="121">
        <v>0</v>
      </c>
      <c r="P361" s="755">
        <f t="shared" si="163"/>
        <v>0</v>
      </c>
      <c r="Q361" s="125">
        <v>0</v>
      </c>
      <c r="R361" s="890">
        <f>IF(O362=0,0,         IF(OR(Currency1="AUD",Currency1="NZD",Currency1="GBP"),O361,   _xll.qDateNext(O361,"-2b",,,IF(Currency1="EUR","TGT","LON"))))</f>
        <v>0</v>
      </c>
      <c r="S361" s="879" t="str">
        <v/>
      </c>
      <c r="T361" s="879" t="str">
        <v/>
      </c>
      <c r="U361" s="879" t="str">
        <v/>
      </c>
      <c r="V361" s="879" t="str">
        <v/>
      </c>
      <c r="W361" s="879" t="str">
        <v/>
      </c>
      <c r="X361" s="879" t="str">
        <v/>
      </c>
      <c r="Y361" s="879" t="str">
        <v/>
      </c>
      <c r="Z361" s="879" t="str">
        <v/>
      </c>
      <c r="AA361" s="882">
        <f>IF($O362=0,0,        _xll.qDateNext($O361,AA$17,$AH$16,TRUE,Currency1))</f>
        <v>0</v>
      </c>
      <c r="AB361" s="882">
        <f>IF($O362=0,0,        _xll.qDateNext($O361,AB$17,$AH$16,TRUE,Currency1))</f>
        <v>0</v>
      </c>
      <c r="AC361" s="882">
        <f>IF($O362=0,0,        _xll.qDateNext($O361,AC$17,$AH$16,TRUE,Currency1))</f>
        <v>0</v>
      </c>
      <c r="AD361" s="882">
        <f>IF($O362=0,0,        _xll.qDateNext($O361,AD$17,$AH$16,TRUE,Currency1))</f>
        <v>0</v>
      </c>
      <c r="AE361" s="882">
        <f>IF($O362=0,0,        _xll.qDateNext($O361,AE$17,$AH$16,TRUE,Currency1))</f>
        <v>0</v>
      </c>
      <c r="AF361" s="882">
        <f>IF($O362=0,0,        _xll.qDateNext($O361,AF$17,$AH$16,TRUE,Currency1))</f>
        <v>0</v>
      </c>
      <c r="AG361" s="882">
        <f>IF($O362=0,0,        _xll.qDateNext($O361,AG$17,$AH$16,TRUE,Currency1))</f>
        <v>0</v>
      </c>
      <c r="AH361" s="882">
        <f>IF($O362=0,0,        _xll.qDateNext($O361,AH$17,$AH$16,TRUE,Currency1))</f>
        <v>0</v>
      </c>
      <c r="AI361" s="886">
        <f>IF($O362=0,0,           IF(FRM,_xll.qGetFwdRate(AI$14,$O361,AA361,"T",DCC_Leg1_Float),_xll.qGetFwdRate(AI$14,$O361,$O362,"T",DCC_Leg1_Float)))</f>
        <v>0</v>
      </c>
      <c r="AJ361" s="886">
        <f>IF($O362=0,0,           IF(FRM,_xll.qGetFwdRate(AJ$14,$O361,AB361,"T",DCC_Leg1_Float),_xll.qGetFwdRate(AJ$14,$O361,$O362,"T",DCC_Leg1_Float)))</f>
        <v>0</v>
      </c>
      <c r="AK361" s="886">
        <f t="shared" si="164"/>
        <v>0</v>
      </c>
      <c r="AL361" s="886">
        <f>IF($O362=0,0,           IF(FRM,_xll.qGetFwdRate(AL$14,$O361,AD361,"T",DCC_Leg1_Float),_xll.qGetFwdRate(AL$14,$O361,$O362,"T",DCC_Leg1_Float)))</f>
        <v>0</v>
      </c>
      <c r="AM361" s="886">
        <f t="shared" si="177"/>
        <v>0</v>
      </c>
      <c r="AN361" s="886">
        <f t="shared" si="178"/>
        <v>0</v>
      </c>
      <c r="AO361" s="886">
        <f>IF($O362=0,0,           IF(FRM,_xll.qGetFwdRate(AO$14,$O361,AG361,"T",DCC_Leg1_Float),_xll.qGetFwdRate(AO$14,$O361,$O362,"T",DCC_Leg1_Float)))</f>
        <v>0</v>
      </c>
      <c r="AP361" s="886">
        <f>IF($O362=0,0,           IF(FRM,_xll.qGetFwdRate(AP$14,$O361,AH361,"T",DCC_Leg1_Float),_xll.qGetFwdRate(AP$14,$O361,$O362,"T",DCC_Leg1_Float)))</f>
        <v>0</v>
      </c>
      <c r="AQ361" s="648">
        <f t="shared" si="179"/>
        <v>0</v>
      </c>
      <c r="AR361" s="648">
        <f t="shared" si="180"/>
        <v>0</v>
      </c>
      <c r="AS361" s="648">
        <f t="shared" si="181"/>
        <v>0</v>
      </c>
      <c r="AT361" s="648">
        <f t="shared" si="182"/>
        <v>0</v>
      </c>
      <c r="AU361" s="648">
        <f t="shared" si="183"/>
        <v>0</v>
      </c>
      <c r="AV361" s="648">
        <f t="shared" si="184"/>
        <v>0</v>
      </c>
      <c r="AW361" s="648">
        <f t="shared" si="185"/>
        <v>0</v>
      </c>
      <c r="AX361" s="648">
        <f t="shared" si="186"/>
        <v>0</v>
      </c>
      <c r="AY361" s="634">
        <v>0</v>
      </c>
      <c r="AZ361" s="616"/>
      <c r="BA361" s="619">
        <f>IF(O362=0,0,             IF(ISNUMBER(AZ361),AZ361,             IF(ISTEXT(AZ361),INDEX(AQ361:AX361,MATCH(AZ361,$AQ$17:$AX$17,0)),           IF(AY361="INT",_xll.qInterp(O362,AA361:AH361,AQ361:AX361),       INDEX(AQ361:AX361,MATCH(AY361,$AQ$17:$AX$17,0))))))</f>
        <v>0</v>
      </c>
      <c r="BB361" s="674">
        <v>100</v>
      </c>
      <c r="BC361" s="666">
        <f t="shared" si="165"/>
        <v>0</v>
      </c>
      <c r="BD361" s="268">
        <f>IF($O362=0,0,                IF(LEFT(DCC_Leg1_Fixed,2)="1/",uEvaluate(DCC_Leg1_Fixed),        _xll.qDateYears($O361,$O362,DCC_Leg1_Fixed)))</f>
        <v>0</v>
      </c>
      <c r="BE361" s="268">
        <f>IF($O362,_xll.qDateYears($O361,$O362,DCC_Leg1_Float),0)</f>
        <v>0</v>
      </c>
      <c r="BG361" s="332">
        <f t="shared" si="187"/>
        <v>0</v>
      </c>
      <c r="BH361" s="357">
        <f t="shared" si="188"/>
        <v>0</v>
      </c>
      <c r="BI361" s="527"/>
      <c r="BK361" s="324">
        <f t="shared" si="193"/>
        <v>0</v>
      </c>
      <c r="BM361" s="338"/>
      <c r="BN361" s="121">
        <v>0</v>
      </c>
      <c r="BO361" s="755">
        <f t="shared" si="166"/>
        <v>0</v>
      </c>
      <c r="BP361" s="339">
        <v>0</v>
      </c>
      <c r="BQ361" s="890">
        <f>IF(BN362=0,0,         IF(OR(Currency2="AUD",Currency1="NZD",Currency2="GBP"),BN361,   _xll.qDateNext(BN361,"-2b",,,IF(Currency2="EUR","TGT","LON"))))</f>
        <v>0</v>
      </c>
      <c r="BR361" s="879" t="str">
        <v/>
      </c>
      <c r="BS361" s="879" t="str">
        <v/>
      </c>
      <c r="BT361" s="879" t="str">
        <v/>
      </c>
      <c r="BU361" s="879" t="str">
        <v/>
      </c>
      <c r="BV361" s="879" t="str">
        <v/>
      </c>
      <c r="BW361" s="879" t="str">
        <v/>
      </c>
      <c r="BX361" s="879" t="str">
        <v/>
      </c>
      <c r="BY361" s="879" t="str">
        <v/>
      </c>
      <c r="BZ361" s="882">
        <f>IF($BN362=0,0,        _xll.qDateNext($BN361,BZ$17,$CG$16,TRUE,Currency2))</f>
        <v>0</v>
      </c>
      <c r="CA361" s="882">
        <f>IF($BN362=0,0,        _xll.qDateNext($BN361,CA$17,$CG$16,TRUE,Currency2))</f>
        <v>0</v>
      </c>
      <c r="CB361" s="882">
        <f>IF($BN362=0,0,        _xll.qDateNext($BN361,CB$17,$CG$16,TRUE,Currency2))</f>
        <v>0</v>
      </c>
      <c r="CC361" s="882">
        <f>IF($BN362=0,0,        _xll.qDateNext($BN361,CC$17,$CG$16,TRUE,Currency2))</f>
        <v>0</v>
      </c>
      <c r="CD361" s="882">
        <f>IF($BN362=0,0,        _xll.qDateNext($BN361,CD$17,$CG$16,TRUE,Currency2))</f>
        <v>0</v>
      </c>
      <c r="CE361" s="882">
        <f>IF($BN362=0,0,        _xll.qDateNext($BN361,CE$17,$CG$16,TRUE,Currency2))</f>
        <v>0</v>
      </c>
      <c r="CF361" s="882">
        <f>IF($BN362=0,0,        _xll.qDateNext($BN361,CF$17,$CG$16,TRUE,Currency2))</f>
        <v>0</v>
      </c>
      <c r="CG361" s="882">
        <f>IF($BN362=0,0,        _xll.qDateNext($BN361,CG$17,$CG$16,TRUE,Currency2))</f>
        <v>0</v>
      </c>
      <c r="CH361" s="886">
        <v>0</v>
      </c>
      <c r="CI361" s="886">
        <v>0</v>
      </c>
      <c r="CJ361" s="886">
        <v>0</v>
      </c>
      <c r="CK361" s="886">
        <v>0</v>
      </c>
      <c r="CL361" s="886">
        <f t="shared" si="189"/>
        <v>0</v>
      </c>
      <c r="CM361" s="886">
        <f t="shared" si="190"/>
        <v>0</v>
      </c>
      <c r="CN361" s="886">
        <v>0</v>
      </c>
      <c r="CO361" s="886">
        <v>0</v>
      </c>
      <c r="CP361" s="648">
        <f t="shared" si="167"/>
        <v>0</v>
      </c>
      <c r="CQ361" s="648">
        <f t="shared" si="168"/>
        <v>0</v>
      </c>
      <c r="CR361" s="648">
        <f t="shared" si="169"/>
        <v>0</v>
      </c>
      <c r="CS361" s="648">
        <f t="shared" si="170"/>
        <v>0</v>
      </c>
      <c r="CT361" s="648">
        <f t="shared" si="171"/>
        <v>0</v>
      </c>
      <c r="CU361" s="648">
        <f t="shared" si="172"/>
        <v>0</v>
      </c>
      <c r="CV361" s="648">
        <f t="shared" si="173"/>
        <v>0</v>
      </c>
      <c r="CW361" s="648">
        <f t="shared" si="174"/>
        <v>0</v>
      </c>
      <c r="CX361" s="634">
        <v>0</v>
      </c>
      <c r="CY361" s="616"/>
      <c r="CZ361" s="619">
        <f>IF(BN362=0,0,             IF(ISNUMBER(CY361),CY361,             IF(ISTEXT(CY361),INDEX(CP361:CW361,MATCH(CY361,$CP$17:$CW$17,0)),           IF(CX361="INT",_xll.qInterp(BN362,BZ361:CG361,CP361:CW361),       INDEX(CP361:CW361,MATCH(CX361,$CP$17:$CW$17,0))))))</f>
        <v>0</v>
      </c>
      <c r="DA361" s="755">
        <f t="shared" si="175"/>
        <v>0</v>
      </c>
      <c r="DB361" s="387">
        <f t="shared" si="176"/>
        <v>0</v>
      </c>
      <c r="DC361" s="268">
        <f>IF($BN362=0,0,         IF(LEFT(DCC_Leg2_Fixed,2)="1/",uEvaluate(DCC_Leg2_Fixed),         _xll.qDateYears($BN361,$BN362,DCC_Leg2_Fixed)))</f>
        <v>0</v>
      </c>
      <c r="DD361" s="268">
        <f>IF($BN362,_xll.qDateYears($BN361,$BN362,DCC_Leg2_Float),0)</f>
        <v>0</v>
      </c>
      <c r="DF361" s="332">
        <f t="shared" si="191"/>
        <v>0</v>
      </c>
      <c r="DG361" s="357">
        <f t="shared" si="192"/>
        <v>0</v>
      </c>
      <c r="DH361" s="527"/>
      <c r="DJ361" s="324">
        <f t="shared" ref="DJ361:DJ424" si="194">SUM(DF361:DH361)</f>
        <v>0</v>
      </c>
      <c r="DK361" s="529"/>
      <c r="DL361" s="338"/>
    </row>
    <row r="362" spans="15:116">
      <c r="O362" s="121">
        <v>0</v>
      </c>
      <c r="P362" s="755">
        <f t="shared" si="163"/>
        <v>0</v>
      </c>
      <c r="Q362" s="125">
        <v>0</v>
      </c>
      <c r="R362" s="890">
        <f>IF(O363=0,0,         IF(OR(Currency1="AUD",Currency1="NZD",Currency1="GBP"),O362,   _xll.qDateNext(O362,"-2b",,,IF(Currency1="EUR","TGT","LON"))))</f>
        <v>0</v>
      </c>
      <c r="S362" s="879" t="str">
        <v/>
      </c>
      <c r="T362" s="879" t="str">
        <v/>
      </c>
      <c r="U362" s="879" t="str">
        <v/>
      </c>
      <c r="V362" s="879" t="str">
        <v/>
      </c>
      <c r="W362" s="879" t="str">
        <v/>
      </c>
      <c r="X362" s="879" t="str">
        <v/>
      </c>
      <c r="Y362" s="879" t="str">
        <v/>
      </c>
      <c r="Z362" s="879" t="str">
        <v/>
      </c>
      <c r="AA362" s="882">
        <f>IF($O363=0,0,        _xll.qDateNext($O362,AA$17,$AH$16,TRUE,Currency1))</f>
        <v>0</v>
      </c>
      <c r="AB362" s="882">
        <f>IF($O363=0,0,        _xll.qDateNext($O362,AB$17,$AH$16,TRUE,Currency1))</f>
        <v>0</v>
      </c>
      <c r="AC362" s="882">
        <f>IF($O363=0,0,        _xll.qDateNext($O362,AC$17,$AH$16,TRUE,Currency1))</f>
        <v>0</v>
      </c>
      <c r="AD362" s="882">
        <f>IF($O363=0,0,        _xll.qDateNext($O362,AD$17,$AH$16,TRUE,Currency1))</f>
        <v>0</v>
      </c>
      <c r="AE362" s="882">
        <f>IF($O363=0,0,        _xll.qDateNext($O362,AE$17,$AH$16,TRUE,Currency1))</f>
        <v>0</v>
      </c>
      <c r="AF362" s="882">
        <f>IF($O363=0,0,        _xll.qDateNext($O362,AF$17,$AH$16,TRUE,Currency1))</f>
        <v>0</v>
      </c>
      <c r="AG362" s="882">
        <f>IF($O363=0,0,        _xll.qDateNext($O362,AG$17,$AH$16,TRUE,Currency1))</f>
        <v>0</v>
      </c>
      <c r="AH362" s="882">
        <f>IF($O363=0,0,        _xll.qDateNext($O362,AH$17,$AH$16,TRUE,Currency1))</f>
        <v>0</v>
      </c>
      <c r="AI362" s="886">
        <f>IF($O363=0,0,           IF(FRM,_xll.qGetFwdRate(AI$14,$O362,AA362,"T",DCC_Leg1_Float),_xll.qGetFwdRate(AI$14,$O362,$O363,"T",DCC_Leg1_Float)))</f>
        <v>0</v>
      </c>
      <c r="AJ362" s="886">
        <f>IF($O363=0,0,           IF(FRM,_xll.qGetFwdRate(AJ$14,$O362,AB362,"T",DCC_Leg1_Float),_xll.qGetFwdRate(AJ$14,$O362,$O363,"T",DCC_Leg1_Float)))</f>
        <v>0</v>
      </c>
      <c r="AK362" s="886">
        <f t="shared" si="164"/>
        <v>0</v>
      </c>
      <c r="AL362" s="886">
        <f>IF($O363=0,0,           IF(FRM,_xll.qGetFwdRate(AL$14,$O362,AD362,"T",DCC_Leg1_Float),_xll.qGetFwdRate(AL$14,$O362,$O363,"T",DCC_Leg1_Float)))</f>
        <v>0</v>
      </c>
      <c r="AM362" s="886">
        <f t="shared" si="177"/>
        <v>0</v>
      </c>
      <c r="AN362" s="886">
        <f t="shared" si="178"/>
        <v>0</v>
      </c>
      <c r="AO362" s="886">
        <f>IF($O363=0,0,           IF(FRM,_xll.qGetFwdRate(AO$14,$O362,AG362,"T",DCC_Leg1_Float),_xll.qGetFwdRate(AO$14,$O362,$O363,"T",DCC_Leg1_Float)))</f>
        <v>0</v>
      </c>
      <c r="AP362" s="886">
        <f>IF($O363=0,0,           IF(FRM,_xll.qGetFwdRate(AP$14,$O362,AH362,"T",DCC_Leg1_Float),_xll.qGetFwdRate(AP$14,$O362,$O363,"T",DCC_Leg1_Float)))</f>
        <v>0</v>
      </c>
      <c r="AQ362" s="648">
        <f t="shared" si="179"/>
        <v>0</v>
      </c>
      <c r="AR362" s="648">
        <f t="shared" si="180"/>
        <v>0</v>
      </c>
      <c r="AS362" s="648">
        <f t="shared" si="181"/>
        <v>0</v>
      </c>
      <c r="AT362" s="648">
        <f t="shared" si="182"/>
        <v>0</v>
      </c>
      <c r="AU362" s="648">
        <f t="shared" si="183"/>
        <v>0</v>
      </c>
      <c r="AV362" s="648">
        <f t="shared" si="184"/>
        <v>0</v>
      </c>
      <c r="AW362" s="648">
        <f t="shared" si="185"/>
        <v>0</v>
      </c>
      <c r="AX362" s="648">
        <f t="shared" si="186"/>
        <v>0</v>
      </c>
      <c r="AY362" s="634">
        <v>0</v>
      </c>
      <c r="AZ362" s="616"/>
      <c r="BA362" s="619">
        <f>IF(O363=0,0,             IF(ISNUMBER(AZ362),AZ362,             IF(ISTEXT(AZ362),INDEX(AQ362:AX362,MATCH(AZ362,$AQ$17:$AX$17,0)),           IF(AY362="INT",_xll.qInterp(O363,AA362:AH362,AQ362:AX362),       INDEX(AQ362:AX362,MATCH(AY362,$AQ$17:$AX$17,0))))))</f>
        <v>0</v>
      </c>
      <c r="BB362" s="674">
        <v>100</v>
      </c>
      <c r="BC362" s="666">
        <f t="shared" si="165"/>
        <v>0</v>
      </c>
      <c r="BD362" s="268">
        <f>IF($O363=0,0,                IF(LEFT(DCC_Leg1_Fixed,2)="1/",uEvaluate(DCC_Leg1_Fixed),        _xll.qDateYears($O362,$O363,DCC_Leg1_Fixed)))</f>
        <v>0</v>
      </c>
      <c r="BE362" s="268">
        <f>IF($O363,_xll.qDateYears($O362,$O363,DCC_Leg1_Float),0)</f>
        <v>0</v>
      </c>
      <c r="BG362" s="332">
        <f t="shared" si="187"/>
        <v>0</v>
      </c>
      <c r="BH362" s="357">
        <f t="shared" si="188"/>
        <v>0</v>
      </c>
      <c r="BI362" s="527"/>
      <c r="BK362" s="324">
        <f t="shared" si="193"/>
        <v>0</v>
      </c>
      <c r="BM362" s="338"/>
      <c r="BN362" s="121">
        <v>0</v>
      </c>
      <c r="BO362" s="755">
        <f t="shared" si="166"/>
        <v>0</v>
      </c>
      <c r="BP362" s="339">
        <v>0</v>
      </c>
      <c r="BQ362" s="890">
        <f>IF(BN363=0,0,         IF(OR(Currency2="AUD",Currency1="NZD",Currency2="GBP"),BN362,   _xll.qDateNext(BN362,"-2b",,,IF(Currency2="EUR","TGT","LON"))))</f>
        <v>0</v>
      </c>
      <c r="BR362" s="879" t="str">
        <v/>
      </c>
      <c r="BS362" s="879" t="str">
        <v/>
      </c>
      <c r="BT362" s="879" t="str">
        <v/>
      </c>
      <c r="BU362" s="879" t="str">
        <v/>
      </c>
      <c r="BV362" s="879" t="str">
        <v/>
      </c>
      <c r="BW362" s="879" t="str">
        <v/>
      </c>
      <c r="BX362" s="879" t="str">
        <v/>
      </c>
      <c r="BY362" s="879" t="str">
        <v/>
      </c>
      <c r="BZ362" s="882">
        <f>IF($BN363=0,0,        _xll.qDateNext($BN362,BZ$17,$CG$16,TRUE,Currency2))</f>
        <v>0</v>
      </c>
      <c r="CA362" s="882">
        <f>IF($BN363=0,0,        _xll.qDateNext($BN362,CA$17,$CG$16,TRUE,Currency2))</f>
        <v>0</v>
      </c>
      <c r="CB362" s="882">
        <f>IF($BN363=0,0,        _xll.qDateNext($BN362,CB$17,$CG$16,TRUE,Currency2))</f>
        <v>0</v>
      </c>
      <c r="CC362" s="882">
        <f>IF($BN363=0,0,        _xll.qDateNext($BN362,CC$17,$CG$16,TRUE,Currency2))</f>
        <v>0</v>
      </c>
      <c r="CD362" s="882">
        <f>IF($BN363=0,0,        _xll.qDateNext($BN362,CD$17,$CG$16,TRUE,Currency2))</f>
        <v>0</v>
      </c>
      <c r="CE362" s="882">
        <f>IF($BN363=0,0,        _xll.qDateNext($BN362,CE$17,$CG$16,TRUE,Currency2))</f>
        <v>0</v>
      </c>
      <c r="CF362" s="882">
        <f>IF($BN363=0,0,        _xll.qDateNext($BN362,CF$17,$CG$16,TRUE,Currency2))</f>
        <v>0</v>
      </c>
      <c r="CG362" s="882">
        <f>IF($BN363=0,0,        _xll.qDateNext($BN362,CG$17,$CG$16,TRUE,Currency2))</f>
        <v>0</v>
      </c>
      <c r="CH362" s="886">
        <v>0</v>
      </c>
      <c r="CI362" s="886">
        <v>0</v>
      </c>
      <c r="CJ362" s="886">
        <v>0</v>
      </c>
      <c r="CK362" s="886">
        <v>0</v>
      </c>
      <c r="CL362" s="886">
        <f t="shared" si="189"/>
        <v>0</v>
      </c>
      <c r="CM362" s="886">
        <f t="shared" si="190"/>
        <v>0</v>
      </c>
      <c r="CN362" s="886">
        <v>0</v>
      </c>
      <c r="CO362" s="886">
        <v>0</v>
      </c>
      <c r="CP362" s="648">
        <f t="shared" si="167"/>
        <v>0</v>
      </c>
      <c r="CQ362" s="648">
        <f t="shared" si="168"/>
        <v>0</v>
      </c>
      <c r="CR362" s="648">
        <f t="shared" si="169"/>
        <v>0</v>
      </c>
      <c r="CS362" s="648">
        <f t="shared" si="170"/>
        <v>0</v>
      </c>
      <c r="CT362" s="648">
        <f t="shared" si="171"/>
        <v>0</v>
      </c>
      <c r="CU362" s="648">
        <f t="shared" si="172"/>
        <v>0</v>
      </c>
      <c r="CV362" s="648">
        <f t="shared" si="173"/>
        <v>0</v>
      </c>
      <c r="CW362" s="648">
        <f t="shared" si="174"/>
        <v>0</v>
      </c>
      <c r="CX362" s="634">
        <v>0</v>
      </c>
      <c r="CY362" s="616"/>
      <c r="CZ362" s="619">
        <f>IF(BN363=0,0,             IF(ISNUMBER(CY362),CY362,             IF(ISTEXT(CY362),INDEX(CP362:CW362,MATCH(CY362,$CP$17:$CW$17,0)),           IF(CX362="INT",_xll.qInterp(BN363,BZ362:CG362,CP362:CW362),       INDEX(CP362:CW362,MATCH(CX362,$CP$17:$CW$17,0))))))</f>
        <v>0</v>
      </c>
      <c r="DA362" s="755">
        <f t="shared" si="175"/>
        <v>0</v>
      </c>
      <c r="DB362" s="387">
        <f t="shared" si="176"/>
        <v>0</v>
      </c>
      <c r="DC362" s="268">
        <f>IF($BN363=0,0,         IF(LEFT(DCC_Leg2_Fixed,2)="1/",uEvaluate(DCC_Leg2_Fixed),         _xll.qDateYears($BN362,$BN363,DCC_Leg2_Fixed)))</f>
        <v>0</v>
      </c>
      <c r="DD362" s="268">
        <f>IF($BN363,_xll.qDateYears($BN362,$BN363,DCC_Leg2_Float),0)</f>
        <v>0</v>
      </c>
      <c r="DF362" s="332">
        <f t="shared" si="191"/>
        <v>0</v>
      </c>
      <c r="DG362" s="357">
        <f t="shared" si="192"/>
        <v>0</v>
      </c>
      <c r="DH362" s="527"/>
      <c r="DJ362" s="324">
        <f t="shared" si="194"/>
        <v>0</v>
      </c>
      <c r="DK362" s="529"/>
      <c r="DL362" s="338"/>
    </row>
    <row r="363" spans="15:116">
      <c r="O363" s="121">
        <v>0</v>
      </c>
      <c r="P363" s="755">
        <f t="shared" si="163"/>
        <v>0</v>
      </c>
      <c r="Q363" s="125">
        <v>0</v>
      </c>
      <c r="R363" s="890">
        <f>IF(O364=0,0,         IF(OR(Currency1="AUD",Currency1="NZD",Currency1="GBP"),O363,   _xll.qDateNext(O363,"-2b",,,IF(Currency1="EUR","TGT","LON"))))</f>
        <v>0</v>
      </c>
      <c r="S363" s="879" t="str">
        <v/>
      </c>
      <c r="T363" s="879" t="str">
        <v/>
      </c>
      <c r="U363" s="879" t="str">
        <v/>
      </c>
      <c r="V363" s="879" t="str">
        <v/>
      </c>
      <c r="W363" s="879" t="str">
        <v/>
      </c>
      <c r="X363" s="879" t="str">
        <v/>
      </c>
      <c r="Y363" s="879" t="str">
        <v/>
      </c>
      <c r="Z363" s="879" t="str">
        <v/>
      </c>
      <c r="AA363" s="882">
        <f>IF($O364=0,0,        _xll.qDateNext($O363,AA$17,$AH$16,TRUE,Currency1))</f>
        <v>0</v>
      </c>
      <c r="AB363" s="882">
        <f>IF($O364=0,0,        _xll.qDateNext($O363,AB$17,$AH$16,TRUE,Currency1))</f>
        <v>0</v>
      </c>
      <c r="AC363" s="882">
        <f>IF($O364=0,0,        _xll.qDateNext($O363,AC$17,$AH$16,TRUE,Currency1))</f>
        <v>0</v>
      </c>
      <c r="AD363" s="882">
        <f>IF($O364=0,0,        _xll.qDateNext($O363,AD$17,$AH$16,TRUE,Currency1))</f>
        <v>0</v>
      </c>
      <c r="AE363" s="882">
        <f>IF($O364=0,0,        _xll.qDateNext($O363,AE$17,$AH$16,TRUE,Currency1))</f>
        <v>0</v>
      </c>
      <c r="AF363" s="882">
        <f>IF($O364=0,0,        _xll.qDateNext($O363,AF$17,$AH$16,TRUE,Currency1))</f>
        <v>0</v>
      </c>
      <c r="AG363" s="882">
        <f>IF($O364=0,0,        _xll.qDateNext($O363,AG$17,$AH$16,TRUE,Currency1))</f>
        <v>0</v>
      </c>
      <c r="AH363" s="882">
        <f>IF($O364=0,0,        _xll.qDateNext($O363,AH$17,$AH$16,TRUE,Currency1))</f>
        <v>0</v>
      </c>
      <c r="AI363" s="886">
        <f>IF($O364=0,0,           IF(FRM,_xll.qGetFwdRate(AI$14,$O363,AA363,"T",DCC_Leg1_Float),_xll.qGetFwdRate(AI$14,$O363,$O364,"T",DCC_Leg1_Float)))</f>
        <v>0</v>
      </c>
      <c r="AJ363" s="886">
        <f>IF($O364=0,0,           IF(FRM,_xll.qGetFwdRate(AJ$14,$O363,AB363,"T",DCC_Leg1_Float),_xll.qGetFwdRate(AJ$14,$O363,$O364,"T",DCC_Leg1_Float)))</f>
        <v>0</v>
      </c>
      <c r="AK363" s="886">
        <f t="shared" si="164"/>
        <v>0</v>
      </c>
      <c r="AL363" s="886">
        <f>IF($O364=0,0,           IF(FRM,_xll.qGetFwdRate(AL$14,$O363,AD363,"T",DCC_Leg1_Float),_xll.qGetFwdRate(AL$14,$O363,$O364,"T",DCC_Leg1_Float)))</f>
        <v>0</v>
      </c>
      <c r="AM363" s="886">
        <f t="shared" si="177"/>
        <v>0</v>
      </c>
      <c r="AN363" s="886">
        <f t="shared" si="178"/>
        <v>0</v>
      </c>
      <c r="AO363" s="886">
        <f>IF($O364=0,0,           IF(FRM,_xll.qGetFwdRate(AO$14,$O363,AG363,"T",DCC_Leg1_Float),_xll.qGetFwdRate(AO$14,$O363,$O364,"T",DCC_Leg1_Float)))</f>
        <v>0</v>
      </c>
      <c r="AP363" s="886">
        <f>IF($O364=0,0,           IF(FRM,_xll.qGetFwdRate(AP$14,$O363,AH363,"T",DCC_Leg1_Float),_xll.qGetFwdRate(AP$14,$O363,$O364,"T",DCC_Leg1_Float)))</f>
        <v>0</v>
      </c>
      <c r="AQ363" s="648">
        <f t="shared" si="179"/>
        <v>0</v>
      </c>
      <c r="AR363" s="648">
        <f t="shared" si="180"/>
        <v>0</v>
      </c>
      <c r="AS363" s="648">
        <f t="shared" si="181"/>
        <v>0</v>
      </c>
      <c r="AT363" s="648">
        <f t="shared" si="182"/>
        <v>0</v>
      </c>
      <c r="AU363" s="648">
        <f t="shared" si="183"/>
        <v>0</v>
      </c>
      <c r="AV363" s="648">
        <f t="shared" si="184"/>
        <v>0</v>
      </c>
      <c r="AW363" s="648">
        <f t="shared" si="185"/>
        <v>0</v>
      </c>
      <c r="AX363" s="648">
        <f t="shared" si="186"/>
        <v>0</v>
      </c>
      <c r="AY363" s="634">
        <v>0</v>
      </c>
      <c r="AZ363" s="616"/>
      <c r="BA363" s="619">
        <f>IF(O364=0,0,             IF(ISNUMBER(AZ363),AZ363,             IF(ISTEXT(AZ363),INDEX(AQ363:AX363,MATCH(AZ363,$AQ$17:$AX$17,0)),           IF(AY363="INT",_xll.qInterp(O364,AA363:AH363,AQ363:AX363),       INDEX(AQ363:AX363,MATCH(AY363,$AQ$17:$AX$17,0))))))</f>
        <v>0</v>
      </c>
      <c r="BB363" s="674">
        <v>100</v>
      </c>
      <c r="BC363" s="666">
        <f t="shared" si="165"/>
        <v>0</v>
      </c>
      <c r="BD363" s="268">
        <f>IF($O364=0,0,                IF(LEFT(DCC_Leg1_Fixed,2)="1/",uEvaluate(DCC_Leg1_Fixed),        _xll.qDateYears($O363,$O364,DCC_Leg1_Fixed)))</f>
        <v>0</v>
      </c>
      <c r="BE363" s="268">
        <f>IF($O364,_xll.qDateYears($O363,$O364,DCC_Leg1_Float),0)</f>
        <v>0</v>
      </c>
      <c r="BG363" s="332">
        <f t="shared" si="187"/>
        <v>0</v>
      </c>
      <c r="BH363" s="357">
        <f t="shared" si="188"/>
        <v>0</v>
      </c>
      <c r="BI363" s="527"/>
      <c r="BK363" s="324">
        <f t="shared" si="193"/>
        <v>0</v>
      </c>
      <c r="BM363" s="338"/>
      <c r="BN363" s="121">
        <v>0</v>
      </c>
      <c r="BO363" s="755">
        <f t="shared" si="166"/>
        <v>0</v>
      </c>
      <c r="BP363" s="339">
        <v>0</v>
      </c>
      <c r="BQ363" s="890">
        <f>IF(BN364=0,0,         IF(OR(Currency2="AUD",Currency1="NZD",Currency2="GBP"),BN363,   _xll.qDateNext(BN363,"-2b",,,IF(Currency2="EUR","TGT","LON"))))</f>
        <v>0</v>
      </c>
      <c r="BR363" s="879" t="str">
        <v/>
      </c>
      <c r="BS363" s="879" t="str">
        <v/>
      </c>
      <c r="BT363" s="879" t="str">
        <v/>
      </c>
      <c r="BU363" s="879" t="str">
        <v/>
      </c>
      <c r="BV363" s="879" t="str">
        <v/>
      </c>
      <c r="BW363" s="879" t="str">
        <v/>
      </c>
      <c r="BX363" s="879" t="str">
        <v/>
      </c>
      <c r="BY363" s="879" t="str">
        <v/>
      </c>
      <c r="BZ363" s="882">
        <f>IF($BN364=0,0,        _xll.qDateNext($BN363,BZ$17,$CG$16,TRUE,Currency2))</f>
        <v>0</v>
      </c>
      <c r="CA363" s="882">
        <f>IF($BN364=0,0,        _xll.qDateNext($BN363,CA$17,$CG$16,TRUE,Currency2))</f>
        <v>0</v>
      </c>
      <c r="CB363" s="882">
        <f>IF($BN364=0,0,        _xll.qDateNext($BN363,CB$17,$CG$16,TRUE,Currency2))</f>
        <v>0</v>
      </c>
      <c r="CC363" s="882">
        <f>IF($BN364=0,0,        _xll.qDateNext($BN363,CC$17,$CG$16,TRUE,Currency2))</f>
        <v>0</v>
      </c>
      <c r="CD363" s="882">
        <f>IF($BN364=0,0,        _xll.qDateNext($BN363,CD$17,$CG$16,TRUE,Currency2))</f>
        <v>0</v>
      </c>
      <c r="CE363" s="882">
        <f>IF($BN364=0,0,        _xll.qDateNext($BN363,CE$17,$CG$16,TRUE,Currency2))</f>
        <v>0</v>
      </c>
      <c r="CF363" s="882">
        <f>IF($BN364=0,0,        _xll.qDateNext($BN363,CF$17,$CG$16,TRUE,Currency2))</f>
        <v>0</v>
      </c>
      <c r="CG363" s="882">
        <f>IF($BN364=0,0,        _xll.qDateNext($BN363,CG$17,$CG$16,TRUE,Currency2))</f>
        <v>0</v>
      </c>
      <c r="CH363" s="886">
        <v>0</v>
      </c>
      <c r="CI363" s="886">
        <v>0</v>
      </c>
      <c r="CJ363" s="886">
        <v>0</v>
      </c>
      <c r="CK363" s="886">
        <v>0</v>
      </c>
      <c r="CL363" s="886">
        <f t="shared" si="189"/>
        <v>0</v>
      </c>
      <c r="CM363" s="886">
        <f t="shared" si="190"/>
        <v>0</v>
      </c>
      <c r="CN363" s="886">
        <v>0</v>
      </c>
      <c r="CO363" s="886">
        <v>0</v>
      </c>
      <c r="CP363" s="648">
        <f t="shared" si="167"/>
        <v>0</v>
      </c>
      <c r="CQ363" s="648">
        <f t="shared" si="168"/>
        <v>0</v>
      </c>
      <c r="CR363" s="648">
        <f t="shared" si="169"/>
        <v>0</v>
      </c>
      <c r="CS363" s="648">
        <f t="shared" si="170"/>
        <v>0</v>
      </c>
      <c r="CT363" s="648">
        <f t="shared" si="171"/>
        <v>0</v>
      </c>
      <c r="CU363" s="648">
        <f t="shared" si="172"/>
        <v>0</v>
      </c>
      <c r="CV363" s="648">
        <f t="shared" si="173"/>
        <v>0</v>
      </c>
      <c r="CW363" s="648">
        <f t="shared" si="174"/>
        <v>0</v>
      </c>
      <c r="CX363" s="634">
        <v>0</v>
      </c>
      <c r="CY363" s="616"/>
      <c r="CZ363" s="619">
        <f>IF(BN364=0,0,             IF(ISNUMBER(CY363),CY363,             IF(ISTEXT(CY363),INDEX(CP363:CW363,MATCH(CY363,$CP$17:$CW$17,0)),           IF(CX363="INT",_xll.qInterp(BN364,BZ363:CG363,CP363:CW363),       INDEX(CP363:CW363,MATCH(CX363,$CP$17:$CW$17,0))))))</f>
        <v>0</v>
      </c>
      <c r="DA363" s="755">
        <f t="shared" si="175"/>
        <v>0</v>
      </c>
      <c r="DB363" s="387">
        <f t="shared" si="176"/>
        <v>0</v>
      </c>
      <c r="DC363" s="268">
        <f>IF($BN364=0,0,         IF(LEFT(DCC_Leg2_Fixed,2)="1/",uEvaluate(DCC_Leg2_Fixed),         _xll.qDateYears($BN363,$BN364,DCC_Leg2_Fixed)))</f>
        <v>0</v>
      </c>
      <c r="DD363" s="268">
        <f>IF($BN364,_xll.qDateYears($BN363,$BN364,DCC_Leg2_Float),0)</f>
        <v>0</v>
      </c>
      <c r="DF363" s="332">
        <f t="shared" si="191"/>
        <v>0</v>
      </c>
      <c r="DG363" s="357">
        <f t="shared" si="192"/>
        <v>0</v>
      </c>
      <c r="DH363" s="527"/>
      <c r="DJ363" s="324">
        <f t="shared" si="194"/>
        <v>0</v>
      </c>
      <c r="DK363" s="529"/>
      <c r="DL363" s="338"/>
    </row>
    <row r="364" spans="15:116">
      <c r="O364" s="121">
        <v>0</v>
      </c>
      <c r="P364" s="755">
        <f t="shared" si="163"/>
        <v>0</v>
      </c>
      <c r="Q364" s="125">
        <v>0</v>
      </c>
      <c r="R364" s="890">
        <f>IF(O365=0,0,         IF(OR(Currency1="AUD",Currency1="NZD",Currency1="GBP"),O364,   _xll.qDateNext(O364,"-2b",,,IF(Currency1="EUR","TGT","LON"))))</f>
        <v>0</v>
      </c>
      <c r="S364" s="879" t="str">
        <v/>
      </c>
      <c r="T364" s="879" t="str">
        <v/>
      </c>
      <c r="U364" s="879" t="str">
        <v/>
      </c>
      <c r="V364" s="879" t="str">
        <v/>
      </c>
      <c r="W364" s="879" t="str">
        <v/>
      </c>
      <c r="X364" s="879" t="str">
        <v/>
      </c>
      <c r="Y364" s="879" t="str">
        <v/>
      </c>
      <c r="Z364" s="879" t="str">
        <v/>
      </c>
      <c r="AA364" s="882">
        <f>IF($O365=0,0,        _xll.qDateNext($O364,AA$17,$AH$16,TRUE,Currency1))</f>
        <v>0</v>
      </c>
      <c r="AB364" s="882">
        <f>IF($O365=0,0,        _xll.qDateNext($O364,AB$17,$AH$16,TRUE,Currency1))</f>
        <v>0</v>
      </c>
      <c r="AC364" s="882">
        <f>IF($O365=0,0,        _xll.qDateNext($O364,AC$17,$AH$16,TRUE,Currency1))</f>
        <v>0</v>
      </c>
      <c r="AD364" s="882">
        <f>IF($O365=0,0,        _xll.qDateNext($O364,AD$17,$AH$16,TRUE,Currency1))</f>
        <v>0</v>
      </c>
      <c r="AE364" s="882">
        <f>IF($O365=0,0,        _xll.qDateNext($O364,AE$17,$AH$16,TRUE,Currency1))</f>
        <v>0</v>
      </c>
      <c r="AF364" s="882">
        <f>IF($O365=0,0,        _xll.qDateNext($O364,AF$17,$AH$16,TRUE,Currency1))</f>
        <v>0</v>
      </c>
      <c r="AG364" s="882">
        <f>IF($O365=0,0,        _xll.qDateNext($O364,AG$17,$AH$16,TRUE,Currency1))</f>
        <v>0</v>
      </c>
      <c r="AH364" s="882">
        <f>IF($O365=0,0,        _xll.qDateNext($O364,AH$17,$AH$16,TRUE,Currency1))</f>
        <v>0</v>
      </c>
      <c r="AI364" s="886">
        <f>IF($O365=0,0,           IF(FRM,_xll.qGetFwdRate(AI$14,$O364,AA364,"T",DCC_Leg1_Float),_xll.qGetFwdRate(AI$14,$O364,$O365,"T",DCC_Leg1_Float)))</f>
        <v>0</v>
      </c>
      <c r="AJ364" s="886">
        <f>IF($O365=0,0,           IF(FRM,_xll.qGetFwdRate(AJ$14,$O364,AB364,"T",DCC_Leg1_Float),_xll.qGetFwdRate(AJ$14,$O364,$O365,"T",DCC_Leg1_Float)))</f>
        <v>0</v>
      </c>
      <c r="AK364" s="886">
        <f t="shared" si="164"/>
        <v>0</v>
      </c>
      <c r="AL364" s="886">
        <f>IF($O365=0,0,           IF(FRM,_xll.qGetFwdRate(AL$14,$O364,AD364,"T",DCC_Leg1_Float),_xll.qGetFwdRate(AL$14,$O364,$O365,"T",DCC_Leg1_Float)))</f>
        <v>0</v>
      </c>
      <c r="AM364" s="886">
        <f t="shared" si="177"/>
        <v>0</v>
      </c>
      <c r="AN364" s="886">
        <f t="shared" si="178"/>
        <v>0</v>
      </c>
      <c r="AO364" s="886">
        <f>IF($O365=0,0,           IF(FRM,_xll.qGetFwdRate(AO$14,$O364,AG364,"T",DCC_Leg1_Float),_xll.qGetFwdRate(AO$14,$O364,$O365,"T",DCC_Leg1_Float)))</f>
        <v>0</v>
      </c>
      <c r="AP364" s="886">
        <f>IF($O365=0,0,           IF(FRM,_xll.qGetFwdRate(AP$14,$O364,AH364,"T",DCC_Leg1_Float),_xll.qGetFwdRate(AP$14,$O364,$O365,"T",DCC_Leg1_Float)))</f>
        <v>0</v>
      </c>
      <c r="AQ364" s="648">
        <f t="shared" si="179"/>
        <v>0</v>
      </c>
      <c r="AR364" s="648">
        <f t="shared" si="180"/>
        <v>0</v>
      </c>
      <c r="AS364" s="648">
        <f t="shared" si="181"/>
        <v>0</v>
      </c>
      <c r="AT364" s="648">
        <f t="shared" si="182"/>
        <v>0</v>
      </c>
      <c r="AU364" s="648">
        <f t="shared" si="183"/>
        <v>0</v>
      </c>
      <c r="AV364" s="648">
        <f t="shared" si="184"/>
        <v>0</v>
      </c>
      <c r="AW364" s="648">
        <f t="shared" si="185"/>
        <v>0</v>
      </c>
      <c r="AX364" s="648">
        <f t="shared" si="186"/>
        <v>0</v>
      </c>
      <c r="AY364" s="634">
        <v>0</v>
      </c>
      <c r="AZ364" s="616"/>
      <c r="BA364" s="619">
        <f>IF(O365=0,0,             IF(ISNUMBER(AZ364),AZ364,             IF(ISTEXT(AZ364),INDEX(AQ364:AX364,MATCH(AZ364,$AQ$17:$AX$17,0)),           IF(AY364="INT",_xll.qInterp(O365,AA364:AH364,AQ364:AX364),       INDEX(AQ364:AX364,MATCH(AY364,$AQ$17:$AX$17,0))))))</f>
        <v>0</v>
      </c>
      <c r="BB364" s="674">
        <v>100</v>
      </c>
      <c r="BC364" s="666">
        <f t="shared" si="165"/>
        <v>0</v>
      </c>
      <c r="BD364" s="268">
        <f>IF($O365=0,0,                IF(LEFT(DCC_Leg1_Fixed,2)="1/",uEvaluate(DCC_Leg1_Fixed),        _xll.qDateYears($O364,$O365,DCC_Leg1_Fixed)))</f>
        <v>0</v>
      </c>
      <c r="BE364" s="268">
        <f>IF($O365,_xll.qDateYears($O364,$O365,DCC_Leg1_Float),0)</f>
        <v>0</v>
      </c>
      <c r="BG364" s="332">
        <f t="shared" si="187"/>
        <v>0</v>
      </c>
      <c r="BH364" s="357">
        <f t="shared" si="188"/>
        <v>0</v>
      </c>
      <c r="BI364" s="527"/>
      <c r="BK364" s="324">
        <f t="shared" si="193"/>
        <v>0</v>
      </c>
      <c r="BM364" s="338"/>
      <c r="BN364" s="121">
        <v>0</v>
      </c>
      <c r="BO364" s="755">
        <f t="shared" si="166"/>
        <v>0</v>
      </c>
      <c r="BP364" s="339">
        <v>0</v>
      </c>
      <c r="BQ364" s="890">
        <f>IF(BN365=0,0,         IF(OR(Currency2="AUD",Currency1="NZD",Currency2="GBP"),BN364,   _xll.qDateNext(BN364,"-2b",,,IF(Currency2="EUR","TGT","LON"))))</f>
        <v>0</v>
      </c>
      <c r="BR364" s="879" t="str">
        <v/>
      </c>
      <c r="BS364" s="879" t="str">
        <v/>
      </c>
      <c r="BT364" s="879" t="str">
        <v/>
      </c>
      <c r="BU364" s="879" t="str">
        <v/>
      </c>
      <c r="BV364" s="879" t="str">
        <v/>
      </c>
      <c r="BW364" s="879" t="str">
        <v/>
      </c>
      <c r="BX364" s="879" t="str">
        <v/>
      </c>
      <c r="BY364" s="879" t="str">
        <v/>
      </c>
      <c r="BZ364" s="882">
        <f>IF($BN365=0,0,        _xll.qDateNext($BN364,BZ$17,$CG$16,TRUE,Currency2))</f>
        <v>0</v>
      </c>
      <c r="CA364" s="882">
        <f>IF($BN365=0,0,        _xll.qDateNext($BN364,CA$17,$CG$16,TRUE,Currency2))</f>
        <v>0</v>
      </c>
      <c r="CB364" s="882">
        <f>IF($BN365=0,0,        _xll.qDateNext($BN364,CB$17,$CG$16,TRUE,Currency2))</f>
        <v>0</v>
      </c>
      <c r="CC364" s="882">
        <f>IF($BN365=0,0,        _xll.qDateNext($BN364,CC$17,$CG$16,TRUE,Currency2))</f>
        <v>0</v>
      </c>
      <c r="CD364" s="882">
        <f>IF($BN365=0,0,        _xll.qDateNext($BN364,CD$17,$CG$16,TRUE,Currency2))</f>
        <v>0</v>
      </c>
      <c r="CE364" s="882">
        <f>IF($BN365=0,0,        _xll.qDateNext($BN364,CE$17,$CG$16,TRUE,Currency2))</f>
        <v>0</v>
      </c>
      <c r="CF364" s="882">
        <f>IF($BN365=0,0,        _xll.qDateNext($BN364,CF$17,$CG$16,TRUE,Currency2))</f>
        <v>0</v>
      </c>
      <c r="CG364" s="882">
        <f>IF($BN365=0,0,        _xll.qDateNext($BN364,CG$17,$CG$16,TRUE,Currency2))</f>
        <v>0</v>
      </c>
      <c r="CH364" s="886">
        <v>0</v>
      </c>
      <c r="CI364" s="886">
        <v>0</v>
      </c>
      <c r="CJ364" s="886">
        <v>0</v>
      </c>
      <c r="CK364" s="886">
        <v>0</v>
      </c>
      <c r="CL364" s="886">
        <f t="shared" si="189"/>
        <v>0</v>
      </c>
      <c r="CM364" s="886">
        <f t="shared" si="190"/>
        <v>0</v>
      </c>
      <c r="CN364" s="886">
        <v>0</v>
      </c>
      <c r="CO364" s="886">
        <v>0</v>
      </c>
      <c r="CP364" s="648">
        <f t="shared" si="167"/>
        <v>0</v>
      </c>
      <c r="CQ364" s="648">
        <f t="shared" si="168"/>
        <v>0</v>
      </c>
      <c r="CR364" s="648">
        <f t="shared" si="169"/>
        <v>0</v>
      </c>
      <c r="CS364" s="648">
        <f t="shared" si="170"/>
        <v>0</v>
      </c>
      <c r="CT364" s="648">
        <f t="shared" si="171"/>
        <v>0</v>
      </c>
      <c r="CU364" s="648">
        <f t="shared" si="172"/>
        <v>0</v>
      </c>
      <c r="CV364" s="648">
        <f t="shared" si="173"/>
        <v>0</v>
      </c>
      <c r="CW364" s="648">
        <f t="shared" si="174"/>
        <v>0</v>
      </c>
      <c r="CX364" s="634">
        <v>0</v>
      </c>
      <c r="CY364" s="616"/>
      <c r="CZ364" s="619">
        <f>IF(BN365=0,0,             IF(ISNUMBER(CY364),CY364,             IF(ISTEXT(CY364),INDEX(CP364:CW364,MATCH(CY364,$CP$17:$CW$17,0)),           IF(CX364="INT",_xll.qInterp(BN365,BZ364:CG364,CP364:CW364),       INDEX(CP364:CW364,MATCH(CX364,$CP$17:$CW$17,0))))))</f>
        <v>0</v>
      </c>
      <c r="DA364" s="755">
        <f t="shared" si="175"/>
        <v>0</v>
      </c>
      <c r="DB364" s="387">
        <f t="shared" si="176"/>
        <v>0</v>
      </c>
      <c r="DC364" s="268">
        <f>IF($BN365=0,0,         IF(LEFT(DCC_Leg2_Fixed,2)="1/",uEvaluate(DCC_Leg2_Fixed),         _xll.qDateYears($BN364,$BN365,DCC_Leg2_Fixed)))</f>
        <v>0</v>
      </c>
      <c r="DD364" s="268">
        <f>IF($BN365,_xll.qDateYears($BN364,$BN365,DCC_Leg2_Float),0)</f>
        <v>0</v>
      </c>
      <c r="DF364" s="332">
        <f t="shared" si="191"/>
        <v>0</v>
      </c>
      <c r="DG364" s="357">
        <f t="shared" si="192"/>
        <v>0</v>
      </c>
      <c r="DH364" s="527"/>
      <c r="DJ364" s="324">
        <f t="shared" si="194"/>
        <v>0</v>
      </c>
      <c r="DK364" s="529"/>
      <c r="DL364" s="338"/>
    </row>
    <row r="365" spans="15:116">
      <c r="O365" s="121">
        <v>0</v>
      </c>
      <c r="P365" s="755">
        <f t="shared" si="163"/>
        <v>0</v>
      </c>
      <c r="Q365" s="125">
        <v>0</v>
      </c>
      <c r="R365" s="890">
        <f>IF(O366=0,0,         IF(OR(Currency1="AUD",Currency1="NZD",Currency1="GBP"),O365,   _xll.qDateNext(O365,"-2b",,,IF(Currency1="EUR","TGT","LON"))))</f>
        <v>0</v>
      </c>
      <c r="S365" s="879" t="str">
        <v/>
      </c>
      <c r="T365" s="879" t="str">
        <v/>
      </c>
      <c r="U365" s="879" t="str">
        <v/>
      </c>
      <c r="V365" s="879" t="str">
        <v/>
      </c>
      <c r="W365" s="879" t="str">
        <v/>
      </c>
      <c r="X365" s="879" t="str">
        <v/>
      </c>
      <c r="Y365" s="879" t="str">
        <v/>
      </c>
      <c r="Z365" s="879" t="str">
        <v/>
      </c>
      <c r="AA365" s="882">
        <f>IF($O366=0,0,        _xll.qDateNext($O365,AA$17,$AH$16,TRUE,Currency1))</f>
        <v>0</v>
      </c>
      <c r="AB365" s="882">
        <f>IF($O366=0,0,        _xll.qDateNext($O365,AB$17,$AH$16,TRUE,Currency1))</f>
        <v>0</v>
      </c>
      <c r="AC365" s="882">
        <f>IF($O366=0,0,        _xll.qDateNext($O365,AC$17,$AH$16,TRUE,Currency1))</f>
        <v>0</v>
      </c>
      <c r="AD365" s="882">
        <f>IF($O366=0,0,        _xll.qDateNext($O365,AD$17,$AH$16,TRUE,Currency1))</f>
        <v>0</v>
      </c>
      <c r="AE365" s="882">
        <f>IF($O366=0,0,        _xll.qDateNext($O365,AE$17,$AH$16,TRUE,Currency1))</f>
        <v>0</v>
      </c>
      <c r="AF365" s="882">
        <f>IF($O366=0,0,        _xll.qDateNext($O365,AF$17,$AH$16,TRUE,Currency1))</f>
        <v>0</v>
      </c>
      <c r="AG365" s="882">
        <f>IF($O366=0,0,        _xll.qDateNext($O365,AG$17,$AH$16,TRUE,Currency1))</f>
        <v>0</v>
      </c>
      <c r="AH365" s="882">
        <f>IF($O366=0,0,        _xll.qDateNext($O365,AH$17,$AH$16,TRUE,Currency1))</f>
        <v>0</v>
      </c>
      <c r="AI365" s="886">
        <f>IF($O366=0,0,           IF(FRM,_xll.qGetFwdRate(AI$14,$O365,AA365,"T",DCC_Leg1_Float),_xll.qGetFwdRate(AI$14,$O365,$O366,"T",DCC_Leg1_Float)))</f>
        <v>0</v>
      </c>
      <c r="AJ365" s="886">
        <f>IF($O366=0,0,           IF(FRM,_xll.qGetFwdRate(AJ$14,$O365,AB365,"T",DCC_Leg1_Float),_xll.qGetFwdRate(AJ$14,$O365,$O366,"T",DCC_Leg1_Float)))</f>
        <v>0</v>
      </c>
      <c r="AK365" s="886">
        <f t="shared" si="164"/>
        <v>0</v>
      </c>
      <c r="AL365" s="886">
        <f>IF($O366=0,0,           IF(FRM,_xll.qGetFwdRate(AL$14,$O365,AD365,"T",DCC_Leg1_Float),_xll.qGetFwdRate(AL$14,$O365,$O366,"T",DCC_Leg1_Float)))</f>
        <v>0</v>
      </c>
      <c r="AM365" s="886">
        <f t="shared" si="177"/>
        <v>0</v>
      </c>
      <c r="AN365" s="886">
        <f t="shared" si="178"/>
        <v>0</v>
      </c>
      <c r="AO365" s="886">
        <f>IF($O366=0,0,           IF(FRM,_xll.qGetFwdRate(AO$14,$O365,AG365,"T",DCC_Leg1_Float),_xll.qGetFwdRate(AO$14,$O365,$O366,"T",DCC_Leg1_Float)))</f>
        <v>0</v>
      </c>
      <c r="AP365" s="886">
        <f>IF($O366=0,0,           IF(FRM,_xll.qGetFwdRate(AP$14,$O365,AH365,"T",DCC_Leg1_Float),_xll.qGetFwdRate(AP$14,$O365,$O366,"T",DCC_Leg1_Float)))</f>
        <v>0</v>
      </c>
      <c r="AQ365" s="648">
        <f t="shared" si="179"/>
        <v>0</v>
      </c>
      <c r="AR365" s="648">
        <f t="shared" si="180"/>
        <v>0</v>
      </c>
      <c r="AS365" s="648">
        <f t="shared" si="181"/>
        <v>0</v>
      </c>
      <c r="AT365" s="648">
        <f t="shared" si="182"/>
        <v>0</v>
      </c>
      <c r="AU365" s="648">
        <f t="shared" si="183"/>
        <v>0</v>
      </c>
      <c r="AV365" s="648">
        <f t="shared" si="184"/>
        <v>0</v>
      </c>
      <c r="AW365" s="648">
        <f t="shared" si="185"/>
        <v>0</v>
      </c>
      <c r="AX365" s="648">
        <f t="shared" si="186"/>
        <v>0</v>
      </c>
      <c r="AY365" s="634">
        <v>0</v>
      </c>
      <c r="AZ365" s="616"/>
      <c r="BA365" s="619">
        <f>IF(O366=0,0,             IF(ISNUMBER(AZ365),AZ365,             IF(ISTEXT(AZ365),INDEX(AQ365:AX365,MATCH(AZ365,$AQ$17:$AX$17,0)),           IF(AY365="INT",_xll.qInterp(O366,AA365:AH365,AQ365:AX365),       INDEX(AQ365:AX365,MATCH(AY365,$AQ$17:$AX$17,0))))))</f>
        <v>0</v>
      </c>
      <c r="BB365" s="674">
        <v>100</v>
      </c>
      <c r="BC365" s="666">
        <f t="shared" si="165"/>
        <v>0</v>
      </c>
      <c r="BD365" s="268">
        <f>IF($O366=0,0,                IF(LEFT(DCC_Leg1_Fixed,2)="1/",uEvaluate(DCC_Leg1_Fixed),        _xll.qDateYears($O365,$O366,DCC_Leg1_Fixed)))</f>
        <v>0</v>
      </c>
      <c r="BE365" s="268">
        <f>IF($O366,_xll.qDateYears($O365,$O366,DCC_Leg1_Float),0)</f>
        <v>0</v>
      </c>
      <c r="BG365" s="332">
        <f t="shared" si="187"/>
        <v>0</v>
      </c>
      <c r="BH365" s="357">
        <f t="shared" si="188"/>
        <v>0</v>
      </c>
      <c r="BI365" s="527"/>
      <c r="BK365" s="324">
        <f t="shared" si="193"/>
        <v>0</v>
      </c>
      <c r="BM365" s="338"/>
      <c r="BN365" s="121">
        <v>0</v>
      </c>
      <c r="BO365" s="755">
        <f t="shared" si="166"/>
        <v>0</v>
      </c>
      <c r="BP365" s="339">
        <v>0</v>
      </c>
      <c r="BQ365" s="890">
        <f>IF(BN366=0,0,         IF(OR(Currency2="AUD",Currency1="NZD",Currency2="GBP"),BN365,   _xll.qDateNext(BN365,"-2b",,,IF(Currency2="EUR","TGT","LON"))))</f>
        <v>0</v>
      </c>
      <c r="BR365" s="879" t="str">
        <v/>
      </c>
      <c r="BS365" s="879" t="str">
        <v/>
      </c>
      <c r="BT365" s="879" t="str">
        <v/>
      </c>
      <c r="BU365" s="879" t="str">
        <v/>
      </c>
      <c r="BV365" s="879" t="str">
        <v/>
      </c>
      <c r="BW365" s="879" t="str">
        <v/>
      </c>
      <c r="BX365" s="879" t="str">
        <v/>
      </c>
      <c r="BY365" s="879" t="str">
        <v/>
      </c>
      <c r="BZ365" s="882">
        <f>IF($BN366=0,0,        _xll.qDateNext($BN365,BZ$17,$CG$16,TRUE,Currency2))</f>
        <v>0</v>
      </c>
      <c r="CA365" s="882">
        <f>IF($BN366=0,0,        _xll.qDateNext($BN365,CA$17,$CG$16,TRUE,Currency2))</f>
        <v>0</v>
      </c>
      <c r="CB365" s="882">
        <f>IF($BN366=0,0,        _xll.qDateNext($BN365,CB$17,$CG$16,TRUE,Currency2))</f>
        <v>0</v>
      </c>
      <c r="CC365" s="882">
        <f>IF($BN366=0,0,        _xll.qDateNext($BN365,CC$17,$CG$16,TRUE,Currency2))</f>
        <v>0</v>
      </c>
      <c r="CD365" s="882">
        <f>IF($BN366=0,0,        _xll.qDateNext($BN365,CD$17,$CG$16,TRUE,Currency2))</f>
        <v>0</v>
      </c>
      <c r="CE365" s="882">
        <f>IF($BN366=0,0,        _xll.qDateNext($BN365,CE$17,$CG$16,TRUE,Currency2))</f>
        <v>0</v>
      </c>
      <c r="CF365" s="882">
        <f>IF($BN366=0,0,        _xll.qDateNext($BN365,CF$17,$CG$16,TRUE,Currency2))</f>
        <v>0</v>
      </c>
      <c r="CG365" s="882">
        <f>IF($BN366=0,0,        _xll.qDateNext($BN365,CG$17,$CG$16,TRUE,Currency2))</f>
        <v>0</v>
      </c>
      <c r="CH365" s="886">
        <v>0</v>
      </c>
      <c r="CI365" s="886">
        <v>0</v>
      </c>
      <c r="CJ365" s="886">
        <v>0</v>
      </c>
      <c r="CK365" s="886">
        <v>0</v>
      </c>
      <c r="CL365" s="886">
        <f t="shared" si="189"/>
        <v>0</v>
      </c>
      <c r="CM365" s="886">
        <f t="shared" si="190"/>
        <v>0</v>
      </c>
      <c r="CN365" s="886">
        <v>0</v>
      </c>
      <c r="CO365" s="886">
        <v>0</v>
      </c>
      <c r="CP365" s="648">
        <f t="shared" si="167"/>
        <v>0</v>
      </c>
      <c r="CQ365" s="648">
        <f t="shared" si="168"/>
        <v>0</v>
      </c>
      <c r="CR365" s="648">
        <f t="shared" si="169"/>
        <v>0</v>
      </c>
      <c r="CS365" s="648">
        <f t="shared" si="170"/>
        <v>0</v>
      </c>
      <c r="CT365" s="648">
        <f t="shared" si="171"/>
        <v>0</v>
      </c>
      <c r="CU365" s="648">
        <f t="shared" si="172"/>
        <v>0</v>
      </c>
      <c r="CV365" s="648">
        <f t="shared" si="173"/>
        <v>0</v>
      </c>
      <c r="CW365" s="648">
        <f t="shared" si="174"/>
        <v>0</v>
      </c>
      <c r="CX365" s="634">
        <v>0</v>
      </c>
      <c r="CY365" s="616"/>
      <c r="CZ365" s="619">
        <f>IF(BN366=0,0,             IF(ISNUMBER(CY365),CY365,             IF(ISTEXT(CY365),INDEX(CP365:CW365,MATCH(CY365,$CP$17:$CW$17,0)),           IF(CX365="INT",_xll.qInterp(BN366,BZ365:CG365,CP365:CW365),       INDEX(CP365:CW365,MATCH(CX365,$CP$17:$CW$17,0))))))</f>
        <v>0</v>
      </c>
      <c r="DA365" s="755">
        <f t="shared" si="175"/>
        <v>0</v>
      </c>
      <c r="DB365" s="387">
        <f t="shared" si="176"/>
        <v>0</v>
      </c>
      <c r="DC365" s="268">
        <f>IF($BN366=0,0,         IF(LEFT(DCC_Leg2_Fixed,2)="1/",uEvaluate(DCC_Leg2_Fixed),         _xll.qDateYears($BN365,$BN366,DCC_Leg2_Fixed)))</f>
        <v>0</v>
      </c>
      <c r="DD365" s="268">
        <f>IF($BN366,_xll.qDateYears($BN365,$BN366,DCC_Leg2_Float),0)</f>
        <v>0</v>
      </c>
      <c r="DF365" s="332">
        <f t="shared" si="191"/>
        <v>0</v>
      </c>
      <c r="DG365" s="357">
        <f t="shared" si="192"/>
        <v>0</v>
      </c>
      <c r="DH365" s="527"/>
      <c r="DJ365" s="324">
        <f t="shared" si="194"/>
        <v>0</v>
      </c>
      <c r="DK365" s="529"/>
      <c r="DL365" s="338"/>
    </row>
    <row r="366" spans="15:116">
      <c r="O366" s="121">
        <v>0</v>
      </c>
      <c r="P366" s="755">
        <f t="shared" si="163"/>
        <v>0</v>
      </c>
      <c r="Q366" s="125">
        <v>0</v>
      </c>
      <c r="R366" s="890">
        <f>IF(O367=0,0,         IF(OR(Currency1="AUD",Currency1="NZD",Currency1="GBP"),O366,   _xll.qDateNext(O366,"-2b",,,IF(Currency1="EUR","TGT","LON"))))</f>
        <v>0</v>
      </c>
      <c r="S366" s="879" t="str">
        <v/>
      </c>
      <c r="T366" s="879" t="str">
        <v/>
      </c>
      <c r="U366" s="879" t="str">
        <v/>
      </c>
      <c r="V366" s="879" t="str">
        <v/>
      </c>
      <c r="W366" s="879" t="str">
        <v/>
      </c>
      <c r="X366" s="879" t="str">
        <v/>
      </c>
      <c r="Y366" s="879" t="str">
        <v/>
      </c>
      <c r="Z366" s="879" t="str">
        <v/>
      </c>
      <c r="AA366" s="882">
        <f>IF($O367=0,0,        _xll.qDateNext($O366,AA$17,$AH$16,TRUE,Currency1))</f>
        <v>0</v>
      </c>
      <c r="AB366" s="882">
        <f>IF($O367=0,0,        _xll.qDateNext($O366,AB$17,$AH$16,TRUE,Currency1))</f>
        <v>0</v>
      </c>
      <c r="AC366" s="882">
        <f>IF($O367=0,0,        _xll.qDateNext($O366,AC$17,$AH$16,TRUE,Currency1))</f>
        <v>0</v>
      </c>
      <c r="AD366" s="882">
        <f>IF($O367=0,0,        _xll.qDateNext($O366,AD$17,$AH$16,TRUE,Currency1))</f>
        <v>0</v>
      </c>
      <c r="AE366" s="882">
        <f>IF($O367=0,0,        _xll.qDateNext($O366,AE$17,$AH$16,TRUE,Currency1))</f>
        <v>0</v>
      </c>
      <c r="AF366" s="882">
        <f>IF($O367=0,0,        _xll.qDateNext($O366,AF$17,$AH$16,TRUE,Currency1))</f>
        <v>0</v>
      </c>
      <c r="AG366" s="882">
        <f>IF($O367=0,0,        _xll.qDateNext($O366,AG$17,$AH$16,TRUE,Currency1))</f>
        <v>0</v>
      </c>
      <c r="AH366" s="882">
        <f>IF($O367=0,0,        _xll.qDateNext($O366,AH$17,$AH$16,TRUE,Currency1))</f>
        <v>0</v>
      </c>
      <c r="AI366" s="886">
        <f>IF($O367=0,0,           IF(FRM,_xll.qGetFwdRate(AI$14,$O366,AA366,"T",DCC_Leg1_Float),_xll.qGetFwdRate(AI$14,$O366,$O367,"T",DCC_Leg1_Float)))</f>
        <v>0</v>
      </c>
      <c r="AJ366" s="886">
        <f>IF($O367=0,0,           IF(FRM,_xll.qGetFwdRate(AJ$14,$O366,AB366,"T",DCC_Leg1_Float),_xll.qGetFwdRate(AJ$14,$O366,$O367,"T",DCC_Leg1_Float)))</f>
        <v>0</v>
      </c>
      <c r="AK366" s="886">
        <f t="shared" si="164"/>
        <v>0</v>
      </c>
      <c r="AL366" s="886">
        <f>IF($O367=0,0,           IF(FRM,_xll.qGetFwdRate(AL$14,$O366,AD366,"T",DCC_Leg1_Float),_xll.qGetFwdRate(AL$14,$O366,$O367,"T",DCC_Leg1_Float)))</f>
        <v>0</v>
      </c>
      <c r="AM366" s="886">
        <f t="shared" si="177"/>
        <v>0</v>
      </c>
      <c r="AN366" s="886">
        <f t="shared" si="178"/>
        <v>0</v>
      </c>
      <c r="AO366" s="886">
        <f>IF($O367=0,0,           IF(FRM,_xll.qGetFwdRate(AO$14,$O366,AG366,"T",DCC_Leg1_Float),_xll.qGetFwdRate(AO$14,$O366,$O367,"T",DCC_Leg1_Float)))</f>
        <v>0</v>
      </c>
      <c r="AP366" s="886">
        <f>IF($O367=0,0,           IF(FRM,_xll.qGetFwdRate(AP$14,$O366,AH366,"T",DCC_Leg1_Float),_xll.qGetFwdRate(AP$14,$O366,$O367,"T",DCC_Leg1_Float)))</f>
        <v>0</v>
      </c>
      <c r="AQ366" s="648">
        <f t="shared" si="179"/>
        <v>0</v>
      </c>
      <c r="AR366" s="648">
        <f t="shared" si="180"/>
        <v>0</v>
      </c>
      <c r="AS366" s="648">
        <f t="shared" si="181"/>
        <v>0</v>
      </c>
      <c r="AT366" s="648">
        <f t="shared" si="182"/>
        <v>0</v>
      </c>
      <c r="AU366" s="648">
        <f t="shared" si="183"/>
        <v>0</v>
      </c>
      <c r="AV366" s="648">
        <f t="shared" si="184"/>
        <v>0</v>
      </c>
      <c r="AW366" s="648">
        <f t="shared" si="185"/>
        <v>0</v>
      </c>
      <c r="AX366" s="648">
        <f t="shared" si="186"/>
        <v>0</v>
      </c>
      <c r="AY366" s="634">
        <v>0</v>
      </c>
      <c r="AZ366" s="616"/>
      <c r="BA366" s="619">
        <f>IF(O367=0,0,             IF(ISNUMBER(AZ366),AZ366,             IF(ISTEXT(AZ366),INDEX(AQ366:AX366,MATCH(AZ366,$AQ$17:$AX$17,0)),           IF(AY366="INT",_xll.qInterp(O367,AA366:AH366,AQ366:AX366),       INDEX(AQ366:AX366,MATCH(AY366,$AQ$17:$AX$17,0))))))</f>
        <v>0</v>
      </c>
      <c r="BB366" s="674">
        <v>100</v>
      </c>
      <c r="BC366" s="666">
        <f t="shared" si="165"/>
        <v>0</v>
      </c>
      <c r="BD366" s="268">
        <f>IF($O367=0,0,                IF(LEFT(DCC_Leg1_Fixed,2)="1/",uEvaluate(DCC_Leg1_Fixed),        _xll.qDateYears($O366,$O367,DCC_Leg1_Fixed)))</f>
        <v>0</v>
      </c>
      <c r="BE366" s="268">
        <f>IF($O367,_xll.qDateYears($O366,$O367,DCC_Leg1_Float),0)</f>
        <v>0</v>
      </c>
      <c r="BG366" s="332">
        <f t="shared" si="187"/>
        <v>0</v>
      </c>
      <c r="BH366" s="357">
        <f t="shared" si="188"/>
        <v>0</v>
      </c>
      <c r="BI366" s="527"/>
      <c r="BK366" s="324">
        <f t="shared" si="193"/>
        <v>0</v>
      </c>
      <c r="BM366" s="338"/>
      <c r="BN366" s="121">
        <v>0</v>
      </c>
      <c r="BO366" s="755">
        <f t="shared" si="166"/>
        <v>0</v>
      </c>
      <c r="BP366" s="339">
        <v>0</v>
      </c>
      <c r="BQ366" s="890">
        <f>IF(BN367=0,0,         IF(OR(Currency2="AUD",Currency1="NZD",Currency2="GBP"),BN366,   _xll.qDateNext(BN366,"-2b",,,IF(Currency2="EUR","TGT","LON"))))</f>
        <v>0</v>
      </c>
      <c r="BR366" s="879" t="str">
        <v/>
      </c>
      <c r="BS366" s="879" t="str">
        <v/>
      </c>
      <c r="BT366" s="879" t="str">
        <v/>
      </c>
      <c r="BU366" s="879" t="str">
        <v/>
      </c>
      <c r="BV366" s="879" t="str">
        <v/>
      </c>
      <c r="BW366" s="879" t="str">
        <v/>
      </c>
      <c r="BX366" s="879" t="str">
        <v/>
      </c>
      <c r="BY366" s="879" t="str">
        <v/>
      </c>
      <c r="BZ366" s="882">
        <f>IF($BN367=0,0,        _xll.qDateNext($BN366,BZ$17,$CG$16,TRUE,Currency2))</f>
        <v>0</v>
      </c>
      <c r="CA366" s="882">
        <f>IF($BN367=0,0,        _xll.qDateNext($BN366,CA$17,$CG$16,TRUE,Currency2))</f>
        <v>0</v>
      </c>
      <c r="CB366" s="882">
        <f>IF($BN367=0,0,        _xll.qDateNext($BN366,CB$17,$CG$16,TRUE,Currency2))</f>
        <v>0</v>
      </c>
      <c r="CC366" s="882">
        <f>IF($BN367=0,0,        _xll.qDateNext($BN366,CC$17,$CG$16,TRUE,Currency2))</f>
        <v>0</v>
      </c>
      <c r="CD366" s="882">
        <f>IF($BN367=0,0,        _xll.qDateNext($BN366,CD$17,$CG$16,TRUE,Currency2))</f>
        <v>0</v>
      </c>
      <c r="CE366" s="882">
        <f>IF($BN367=0,0,        _xll.qDateNext($BN366,CE$17,$CG$16,TRUE,Currency2))</f>
        <v>0</v>
      </c>
      <c r="CF366" s="882">
        <f>IF($BN367=0,0,        _xll.qDateNext($BN366,CF$17,$CG$16,TRUE,Currency2))</f>
        <v>0</v>
      </c>
      <c r="CG366" s="882">
        <f>IF($BN367=0,0,        _xll.qDateNext($BN366,CG$17,$CG$16,TRUE,Currency2))</f>
        <v>0</v>
      </c>
      <c r="CH366" s="886">
        <v>0</v>
      </c>
      <c r="CI366" s="886">
        <v>0</v>
      </c>
      <c r="CJ366" s="886">
        <v>0</v>
      </c>
      <c r="CK366" s="886">
        <v>0</v>
      </c>
      <c r="CL366" s="886">
        <f t="shared" si="189"/>
        <v>0</v>
      </c>
      <c r="CM366" s="886">
        <f t="shared" si="190"/>
        <v>0</v>
      </c>
      <c r="CN366" s="886">
        <v>0</v>
      </c>
      <c r="CO366" s="886">
        <v>0</v>
      </c>
      <c r="CP366" s="648">
        <f t="shared" si="167"/>
        <v>0</v>
      </c>
      <c r="CQ366" s="648">
        <f t="shared" si="168"/>
        <v>0</v>
      </c>
      <c r="CR366" s="648">
        <f t="shared" si="169"/>
        <v>0</v>
      </c>
      <c r="CS366" s="648">
        <f t="shared" si="170"/>
        <v>0</v>
      </c>
      <c r="CT366" s="648">
        <f t="shared" si="171"/>
        <v>0</v>
      </c>
      <c r="CU366" s="648">
        <f t="shared" si="172"/>
        <v>0</v>
      </c>
      <c r="CV366" s="648">
        <f t="shared" si="173"/>
        <v>0</v>
      </c>
      <c r="CW366" s="648">
        <f t="shared" si="174"/>
        <v>0</v>
      </c>
      <c r="CX366" s="634">
        <v>0</v>
      </c>
      <c r="CY366" s="616"/>
      <c r="CZ366" s="619">
        <f>IF(BN367=0,0,             IF(ISNUMBER(CY366),CY366,             IF(ISTEXT(CY366),INDEX(CP366:CW366,MATCH(CY366,$CP$17:$CW$17,0)),           IF(CX366="INT",_xll.qInterp(BN367,BZ366:CG366,CP366:CW366),       INDEX(CP366:CW366,MATCH(CX366,$CP$17:$CW$17,0))))))</f>
        <v>0</v>
      </c>
      <c r="DA366" s="755">
        <f t="shared" si="175"/>
        <v>0</v>
      </c>
      <c r="DB366" s="387">
        <f t="shared" si="176"/>
        <v>0</v>
      </c>
      <c r="DC366" s="268">
        <f>IF($BN367=0,0,         IF(LEFT(DCC_Leg2_Fixed,2)="1/",uEvaluate(DCC_Leg2_Fixed),         _xll.qDateYears($BN366,$BN367,DCC_Leg2_Fixed)))</f>
        <v>0</v>
      </c>
      <c r="DD366" s="268">
        <f>IF($BN367,_xll.qDateYears($BN366,$BN367,DCC_Leg2_Float),0)</f>
        <v>0</v>
      </c>
      <c r="DF366" s="332">
        <f t="shared" si="191"/>
        <v>0</v>
      </c>
      <c r="DG366" s="357">
        <f t="shared" si="192"/>
        <v>0</v>
      </c>
      <c r="DH366" s="527"/>
      <c r="DJ366" s="324">
        <f t="shared" si="194"/>
        <v>0</v>
      </c>
      <c r="DK366" s="529"/>
      <c r="DL366" s="338"/>
    </row>
    <row r="367" spans="15:116">
      <c r="O367" s="121">
        <v>0</v>
      </c>
      <c r="P367" s="755">
        <f t="shared" si="163"/>
        <v>0</v>
      </c>
      <c r="Q367" s="125">
        <v>0</v>
      </c>
      <c r="R367" s="890">
        <f>IF(O368=0,0,         IF(OR(Currency1="AUD",Currency1="NZD",Currency1="GBP"),O367,   _xll.qDateNext(O367,"-2b",,,IF(Currency1="EUR","TGT","LON"))))</f>
        <v>0</v>
      </c>
      <c r="S367" s="879" t="str">
        <v/>
      </c>
      <c r="T367" s="879" t="str">
        <v/>
      </c>
      <c r="U367" s="879" t="str">
        <v/>
      </c>
      <c r="V367" s="879" t="str">
        <v/>
      </c>
      <c r="W367" s="879" t="str">
        <v/>
      </c>
      <c r="X367" s="879" t="str">
        <v/>
      </c>
      <c r="Y367" s="879" t="str">
        <v/>
      </c>
      <c r="Z367" s="879" t="str">
        <v/>
      </c>
      <c r="AA367" s="882">
        <f>IF($O368=0,0,        _xll.qDateNext($O367,AA$17,$AH$16,TRUE,Currency1))</f>
        <v>0</v>
      </c>
      <c r="AB367" s="882">
        <f>IF($O368=0,0,        _xll.qDateNext($O367,AB$17,$AH$16,TRUE,Currency1))</f>
        <v>0</v>
      </c>
      <c r="AC367" s="882">
        <f>IF($O368=0,0,        _xll.qDateNext($O367,AC$17,$AH$16,TRUE,Currency1))</f>
        <v>0</v>
      </c>
      <c r="AD367" s="882">
        <f>IF($O368=0,0,        _xll.qDateNext($O367,AD$17,$AH$16,TRUE,Currency1))</f>
        <v>0</v>
      </c>
      <c r="AE367" s="882">
        <f>IF($O368=0,0,        _xll.qDateNext($O367,AE$17,$AH$16,TRUE,Currency1))</f>
        <v>0</v>
      </c>
      <c r="AF367" s="882">
        <f>IF($O368=0,0,        _xll.qDateNext($O367,AF$17,$AH$16,TRUE,Currency1))</f>
        <v>0</v>
      </c>
      <c r="AG367" s="882">
        <f>IF($O368=0,0,        _xll.qDateNext($O367,AG$17,$AH$16,TRUE,Currency1))</f>
        <v>0</v>
      </c>
      <c r="AH367" s="882">
        <f>IF($O368=0,0,        _xll.qDateNext($O367,AH$17,$AH$16,TRUE,Currency1))</f>
        <v>0</v>
      </c>
      <c r="AI367" s="886">
        <f>IF($O368=0,0,           IF(FRM,_xll.qGetFwdRate(AI$14,$O367,AA367,"T",DCC_Leg1_Float),_xll.qGetFwdRate(AI$14,$O367,$O368,"T",DCC_Leg1_Float)))</f>
        <v>0</v>
      </c>
      <c r="AJ367" s="886">
        <f>IF($O368=0,0,           IF(FRM,_xll.qGetFwdRate(AJ$14,$O367,AB367,"T",DCC_Leg1_Float),_xll.qGetFwdRate(AJ$14,$O367,$O368,"T",DCC_Leg1_Float)))</f>
        <v>0</v>
      </c>
      <c r="AK367" s="886">
        <f t="shared" si="164"/>
        <v>0</v>
      </c>
      <c r="AL367" s="886">
        <f>IF($O368=0,0,           IF(FRM,_xll.qGetFwdRate(AL$14,$O367,AD367,"T",DCC_Leg1_Float),_xll.qGetFwdRate(AL$14,$O367,$O368,"T",DCC_Leg1_Float)))</f>
        <v>0</v>
      </c>
      <c r="AM367" s="886">
        <f t="shared" si="177"/>
        <v>0</v>
      </c>
      <c r="AN367" s="886">
        <f t="shared" si="178"/>
        <v>0</v>
      </c>
      <c r="AO367" s="886">
        <f>IF($O368=0,0,           IF(FRM,_xll.qGetFwdRate(AO$14,$O367,AG367,"T",DCC_Leg1_Float),_xll.qGetFwdRate(AO$14,$O367,$O368,"T",DCC_Leg1_Float)))</f>
        <v>0</v>
      </c>
      <c r="AP367" s="886">
        <f>IF($O368=0,0,           IF(FRM,_xll.qGetFwdRate(AP$14,$O367,AH367,"T",DCC_Leg1_Float),_xll.qGetFwdRate(AP$14,$O367,$O368,"T",DCC_Leg1_Float)))</f>
        <v>0</v>
      </c>
      <c r="AQ367" s="648">
        <f t="shared" si="179"/>
        <v>0</v>
      </c>
      <c r="AR367" s="648">
        <f t="shared" si="180"/>
        <v>0</v>
      </c>
      <c r="AS367" s="648">
        <f t="shared" si="181"/>
        <v>0</v>
      </c>
      <c r="AT367" s="648">
        <f t="shared" si="182"/>
        <v>0</v>
      </c>
      <c r="AU367" s="648">
        <f t="shared" si="183"/>
        <v>0</v>
      </c>
      <c r="AV367" s="648">
        <f t="shared" si="184"/>
        <v>0</v>
      </c>
      <c r="AW367" s="648">
        <f t="shared" si="185"/>
        <v>0</v>
      </c>
      <c r="AX367" s="648">
        <f t="shared" si="186"/>
        <v>0</v>
      </c>
      <c r="AY367" s="634">
        <v>0</v>
      </c>
      <c r="AZ367" s="616"/>
      <c r="BA367" s="619">
        <f>IF(O368=0,0,             IF(ISNUMBER(AZ367),AZ367,             IF(ISTEXT(AZ367),INDEX(AQ367:AX367,MATCH(AZ367,$AQ$17:$AX$17,0)),           IF(AY367="INT",_xll.qInterp(O368,AA367:AH367,AQ367:AX367),       INDEX(AQ367:AX367,MATCH(AY367,$AQ$17:$AX$17,0))))))</f>
        <v>0</v>
      </c>
      <c r="BB367" s="674">
        <v>100</v>
      </c>
      <c r="BC367" s="666">
        <f t="shared" si="165"/>
        <v>0</v>
      </c>
      <c r="BD367" s="268">
        <f>IF($O368=0,0,                IF(LEFT(DCC_Leg1_Fixed,2)="1/",uEvaluate(DCC_Leg1_Fixed),        _xll.qDateYears($O367,$O368,DCC_Leg1_Fixed)))</f>
        <v>0</v>
      </c>
      <c r="BE367" s="268">
        <f>IF($O368,_xll.qDateYears($O367,$O368,DCC_Leg1_Float),0)</f>
        <v>0</v>
      </c>
      <c r="BG367" s="332">
        <f t="shared" si="187"/>
        <v>0</v>
      </c>
      <c r="BH367" s="357">
        <f t="shared" si="188"/>
        <v>0</v>
      </c>
      <c r="BI367" s="527"/>
      <c r="BK367" s="324">
        <f t="shared" si="193"/>
        <v>0</v>
      </c>
      <c r="BM367" s="338"/>
      <c r="BN367" s="121">
        <v>0</v>
      </c>
      <c r="BO367" s="755">
        <f t="shared" si="166"/>
        <v>0</v>
      </c>
      <c r="BP367" s="339">
        <v>0</v>
      </c>
      <c r="BQ367" s="890">
        <f>IF(BN368=0,0,         IF(OR(Currency2="AUD",Currency1="NZD",Currency2="GBP"),BN367,   _xll.qDateNext(BN367,"-2b",,,IF(Currency2="EUR","TGT","LON"))))</f>
        <v>0</v>
      </c>
      <c r="BR367" s="879" t="str">
        <v/>
      </c>
      <c r="BS367" s="879" t="str">
        <v/>
      </c>
      <c r="BT367" s="879" t="str">
        <v/>
      </c>
      <c r="BU367" s="879" t="str">
        <v/>
      </c>
      <c r="BV367" s="879" t="str">
        <v/>
      </c>
      <c r="BW367" s="879" t="str">
        <v/>
      </c>
      <c r="BX367" s="879" t="str">
        <v/>
      </c>
      <c r="BY367" s="879" t="str">
        <v/>
      </c>
      <c r="BZ367" s="882">
        <f>IF($BN368=0,0,        _xll.qDateNext($BN367,BZ$17,$CG$16,TRUE,Currency2))</f>
        <v>0</v>
      </c>
      <c r="CA367" s="882">
        <f>IF($BN368=0,0,        _xll.qDateNext($BN367,CA$17,$CG$16,TRUE,Currency2))</f>
        <v>0</v>
      </c>
      <c r="CB367" s="882">
        <f>IF($BN368=0,0,        _xll.qDateNext($BN367,CB$17,$CG$16,TRUE,Currency2))</f>
        <v>0</v>
      </c>
      <c r="CC367" s="882">
        <f>IF($BN368=0,0,        _xll.qDateNext($BN367,CC$17,$CG$16,TRUE,Currency2))</f>
        <v>0</v>
      </c>
      <c r="CD367" s="882">
        <f>IF($BN368=0,0,        _xll.qDateNext($BN367,CD$17,$CG$16,TRUE,Currency2))</f>
        <v>0</v>
      </c>
      <c r="CE367" s="882">
        <f>IF($BN368=0,0,        _xll.qDateNext($BN367,CE$17,$CG$16,TRUE,Currency2))</f>
        <v>0</v>
      </c>
      <c r="CF367" s="882">
        <f>IF($BN368=0,0,        _xll.qDateNext($BN367,CF$17,$CG$16,TRUE,Currency2))</f>
        <v>0</v>
      </c>
      <c r="CG367" s="882">
        <f>IF($BN368=0,0,        _xll.qDateNext($BN367,CG$17,$CG$16,TRUE,Currency2))</f>
        <v>0</v>
      </c>
      <c r="CH367" s="886">
        <v>0</v>
      </c>
      <c r="CI367" s="886">
        <v>0</v>
      </c>
      <c r="CJ367" s="886">
        <v>0</v>
      </c>
      <c r="CK367" s="886">
        <v>0</v>
      </c>
      <c r="CL367" s="886">
        <f t="shared" si="189"/>
        <v>0</v>
      </c>
      <c r="CM367" s="886">
        <f t="shared" si="190"/>
        <v>0</v>
      </c>
      <c r="CN367" s="886">
        <v>0</v>
      </c>
      <c r="CO367" s="886">
        <v>0</v>
      </c>
      <c r="CP367" s="648">
        <f t="shared" si="167"/>
        <v>0</v>
      </c>
      <c r="CQ367" s="648">
        <f t="shared" si="168"/>
        <v>0</v>
      </c>
      <c r="CR367" s="648">
        <f t="shared" si="169"/>
        <v>0</v>
      </c>
      <c r="CS367" s="648">
        <f t="shared" si="170"/>
        <v>0</v>
      </c>
      <c r="CT367" s="648">
        <f t="shared" si="171"/>
        <v>0</v>
      </c>
      <c r="CU367" s="648">
        <f t="shared" si="172"/>
        <v>0</v>
      </c>
      <c r="CV367" s="648">
        <f t="shared" si="173"/>
        <v>0</v>
      </c>
      <c r="CW367" s="648">
        <f t="shared" si="174"/>
        <v>0</v>
      </c>
      <c r="CX367" s="634">
        <v>0</v>
      </c>
      <c r="CY367" s="616"/>
      <c r="CZ367" s="619">
        <f>IF(BN368=0,0,             IF(ISNUMBER(CY367),CY367,             IF(ISTEXT(CY367),INDEX(CP367:CW367,MATCH(CY367,$CP$17:$CW$17,0)),           IF(CX367="INT",_xll.qInterp(BN368,BZ367:CG367,CP367:CW367),       INDEX(CP367:CW367,MATCH(CX367,$CP$17:$CW$17,0))))))</f>
        <v>0</v>
      </c>
      <c r="DA367" s="755">
        <f t="shared" si="175"/>
        <v>0</v>
      </c>
      <c r="DB367" s="387">
        <f t="shared" si="176"/>
        <v>0</v>
      </c>
      <c r="DC367" s="268">
        <f>IF($BN368=0,0,         IF(LEFT(DCC_Leg2_Fixed,2)="1/",uEvaluate(DCC_Leg2_Fixed),         _xll.qDateYears($BN367,$BN368,DCC_Leg2_Fixed)))</f>
        <v>0</v>
      </c>
      <c r="DD367" s="268">
        <f>IF($BN368,_xll.qDateYears($BN367,$BN368,DCC_Leg2_Float),0)</f>
        <v>0</v>
      </c>
      <c r="DF367" s="332">
        <f t="shared" si="191"/>
        <v>0</v>
      </c>
      <c r="DG367" s="357">
        <f t="shared" si="192"/>
        <v>0</v>
      </c>
      <c r="DH367" s="527"/>
      <c r="DJ367" s="324">
        <f t="shared" si="194"/>
        <v>0</v>
      </c>
      <c r="DK367" s="529"/>
      <c r="DL367" s="338"/>
    </row>
    <row r="368" spans="15:116">
      <c r="O368" s="121">
        <v>0</v>
      </c>
      <c r="P368" s="755">
        <f t="shared" si="163"/>
        <v>0</v>
      </c>
      <c r="Q368" s="125">
        <v>0</v>
      </c>
      <c r="R368" s="890">
        <f>IF(O369=0,0,         IF(OR(Currency1="AUD",Currency1="NZD",Currency1="GBP"),O368,   _xll.qDateNext(O368,"-2b",,,IF(Currency1="EUR","TGT","LON"))))</f>
        <v>0</v>
      </c>
      <c r="S368" s="879" t="str">
        <v/>
      </c>
      <c r="T368" s="879" t="str">
        <v/>
      </c>
      <c r="U368" s="879" t="str">
        <v/>
      </c>
      <c r="V368" s="879" t="str">
        <v/>
      </c>
      <c r="W368" s="879" t="str">
        <v/>
      </c>
      <c r="X368" s="879" t="str">
        <v/>
      </c>
      <c r="Y368" s="879" t="str">
        <v/>
      </c>
      <c r="Z368" s="879" t="str">
        <v/>
      </c>
      <c r="AA368" s="882">
        <f>IF($O369=0,0,        _xll.qDateNext($O368,AA$17,$AH$16,TRUE,Currency1))</f>
        <v>0</v>
      </c>
      <c r="AB368" s="882">
        <f>IF($O369=0,0,        _xll.qDateNext($O368,AB$17,$AH$16,TRUE,Currency1))</f>
        <v>0</v>
      </c>
      <c r="AC368" s="882">
        <f>IF($O369=0,0,        _xll.qDateNext($O368,AC$17,$AH$16,TRUE,Currency1))</f>
        <v>0</v>
      </c>
      <c r="AD368" s="882">
        <f>IF($O369=0,0,        _xll.qDateNext($O368,AD$17,$AH$16,TRUE,Currency1))</f>
        <v>0</v>
      </c>
      <c r="AE368" s="882">
        <f>IF($O369=0,0,        _xll.qDateNext($O368,AE$17,$AH$16,TRUE,Currency1))</f>
        <v>0</v>
      </c>
      <c r="AF368" s="882">
        <f>IF($O369=0,0,        _xll.qDateNext($O368,AF$17,$AH$16,TRUE,Currency1))</f>
        <v>0</v>
      </c>
      <c r="AG368" s="882">
        <f>IF($O369=0,0,        _xll.qDateNext($O368,AG$17,$AH$16,TRUE,Currency1))</f>
        <v>0</v>
      </c>
      <c r="AH368" s="882">
        <f>IF($O369=0,0,        _xll.qDateNext($O368,AH$17,$AH$16,TRUE,Currency1))</f>
        <v>0</v>
      </c>
      <c r="AI368" s="886">
        <f>IF($O369=0,0,           IF(FRM,_xll.qGetFwdRate(AI$14,$O368,AA368,"T",DCC_Leg1_Float),_xll.qGetFwdRate(AI$14,$O368,$O369,"T",DCC_Leg1_Float)))</f>
        <v>0</v>
      </c>
      <c r="AJ368" s="886">
        <f>IF($O369=0,0,           IF(FRM,_xll.qGetFwdRate(AJ$14,$O368,AB368,"T",DCC_Leg1_Float),_xll.qGetFwdRate(AJ$14,$O368,$O369,"T",DCC_Leg1_Float)))</f>
        <v>0</v>
      </c>
      <c r="AK368" s="886">
        <f t="shared" si="164"/>
        <v>0</v>
      </c>
      <c r="AL368" s="886">
        <f>IF($O369=0,0,           IF(FRM,_xll.qGetFwdRate(AL$14,$O368,AD368,"T",DCC_Leg1_Float),_xll.qGetFwdRate(AL$14,$O368,$O369,"T",DCC_Leg1_Float)))</f>
        <v>0</v>
      </c>
      <c r="AM368" s="886">
        <f t="shared" si="177"/>
        <v>0</v>
      </c>
      <c r="AN368" s="886">
        <f t="shared" si="178"/>
        <v>0</v>
      </c>
      <c r="AO368" s="886">
        <f>IF($O369=0,0,           IF(FRM,_xll.qGetFwdRate(AO$14,$O368,AG368,"T",DCC_Leg1_Float),_xll.qGetFwdRate(AO$14,$O368,$O369,"T",DCC_Leg1_Float)))</f>
        <v>0</v>
      </c>
      <c r="AP368" s="886">
        <f>IF($O369=0,0,           IF(FRM,_xll.qGetFwdRate(AP$14,$O368,AH368,"T",DCC_Leg1_Float),_xll.qGetFwdRate(AP$14,$O368,$O369,"T",DCC_Leg1_Float)))</f>
        <v>0</v>
      </c>
      <c r="AQ368" s="648">
        <f t="shared" si="179"/>
        <v>0</v>
      </c>
      <c r="AR368" s="648">
        <f t="shared" si="180"/>
        <v>0</v>
      </c>
      <c r="AS368" s="648">
        <f t="shared" si="181"/>
        <v>0</v>
      </c>
      <c r="AT368" s="648">
        <f t="shared" si="182"/>
        <v>0</v>
      </c>
      <c r="AU368" s="648">
        <f t="shared" si="183"/>
        <v>0</v>
      </c>
      <c r="AV368" s="648">
        <f t="shared" si="184"/>
        <v>0</v>
      </c>
      <c r="AW368" s="648">
        <f t="shared" si="185"/>
        <v>0</v>
      </c>
      <c r="AX368" s="648">
        <f t="shared" si="186"/>
        <v>0</v>
      </c>
      <c r="AY368" s="634">
        <v>0</v>
      </c>
      <c r="AZ368" s="616"/>
      <c r="BA368" s="619">
        <f>IF(O369=0,0,             IF(ISNUMBER(AZ368),AZ368,             IF(ISTEXT(AZ368),INDEX(AQ368:AX368,MATCH(AZ368,$AQ$17:$AX$17,0)),           IF(AY368="INT",_xll.qInterp(O369,AA368:AH368,AQ368:AX368),       INDEX(AQ368:AX368,MATCH(AY368,$AQ$17:$AX$17,0))))))</f>
        <v>0</v>
      </c>
      <c r="BB368" s="674">
        <v>100</v>
      </c>
      <c r="BC368" s="666">
        <f t="shared" si="165"/>
        <v>0</v>
      </c>
      <c r="BD368" s="268">
        <f>IF($O369=0,0,                IF(LEFT(DCC_Leg1_Fixed,2)="1/",uEvaluate(DCC_Leg1_Fixed),        _xll.qDateYears($O368,$O369,DCC_Leg1_Fixed)))</f>
        <v>0</v>
      </c>
      <c r="BE368" s="268">
        <f>IF($O369,_xll.qDateYears($O368,$O369,DCC_Leg1_Float),0)</f>
        <v>0</v>
      </c>
      <c r="BG368" s="332">
        <f t="shared" si="187"/>
        <v>0</v>
      </c>
      <c r="BH368" s="357">
        <f t="shared" si="188"/>
        <v>0</v>
      </c>
      <c r="BI368" s="527"/>
      <c r="BK368" s="324">
        <f t="shared" si="193"/>
        <v>0</v>
      </c>
      <c r="BM368" s="338"/>
      <c r="BN368" s="121">
        <v>0</v>
      </c>
      <c r="BO368" s="755">
        <f t="shared" si="166"/>
        <v>0</v>
      </c>
      <c r="BP368" s="339">
        <v>0</v>
      </c>
      <c r="BQ368" s="890">
        <f>IF(BN369=0,0,         IF(OR(Currency2="AUD",Currency1="NZD",Currency2="GBP"),BN368,   _xll.qDateNext(BN368,"-2b",,,IF(Currency2="EUR","TGT","LON"))))</f>
        <v>0</v>
      </c>
      <c r="BR368" s="879" t="str">
        <v/>
      </c>
      <c r="BS368" s="879" t="str">
        <v/>
      </c>
      <c r="BT368" s="879" t="str">
        <v/>
      </c>
      <c r="BU368" s="879" t="str">
        <v/>
      </c>
      <c r="BV368" s="879" t="str">
        <v/>
      </c>
      <c r="BW368" s="879" t="str">
        <v/>
      </c>
      <c r="BX368" s="879" t="str">
        <v/>
      </c>
      <c r="BY368" s="879" t="str">
        <v/>
      </c>
      <c r="BZ368" s="882">
        <f>IF($BN369=0,0,        _xll.qDateNext($BN368,BZ$17,$CG$16,TRUE,Currency2))</f>
        <v>0</v>
      </c>
      <c r="CA368" s="882">
        <f>IF($BN369=0,0,        _xll.qDateNext($BN368,CA$17,$CG$16,TRUE,Currency2))</f>
        <v>0</v>
      </c>
      <c r="CB368" s="882">
        <f>IF($BN369=0,0,        _xll.qDateNext($BN368,CB$17,$CG$16,TRUE,Currency2))</f>
        <v>0</v>
      </c>
      <c r="CC368" s="882">
        <f>IF($BN369=0,0,        _xll.qDateNext($BN368,CC$17,$CG$16,TRUE,Currency2))</f>
        <v>0</v>
      </c>
      <c r="CD368" s="882">
        <f>IF($BN369=0,0,        _xll.qDateNext($BN368,CD$17,$CG$16,TRUE,Currency2))</f>
        <v>0</v>
      </c>
      <c r="CE368" s="882">
        <f>IF($BN369=0,0,        _xll.qDateNext($BN368,CE$17,$CG$16,TRUE,Currency2))</f>
        <v>0</v>
      </c>
      <c r="CF368" s="882">
        <f>IF($BN369=0,0,        _xll.qDateNext($BN368,CF$17,$CG$16,TRUE,Currency2))</f>
        <v>0</v>
      </c>
      <c r="CG368" s="882">
        <f>IF($BN369=0,0,        _xll.qDateNext($BN368,CG$17,$CG$16,TRUE,Currency2))</f>
        <v>0</v>
      </c>
      <c r="CH368" s="886">
        <v>0</v>
      </c>
      <c r="CI368" s="886">
        <v>0</v>
      </c>
      <c r="CJ368" s="886">
        <v>0</v>
      </c>
      <c r="CK368" s="886">
        <v>0</v>
      </c>
      <c r="CL368" s="886">
        <f t="shared" si="189"/>
        <v>0</v>
      </c>
      <c r="CM368" s="886">
        <f t="shared" si="190"/>
        <v>0</v>
      </c>
      <c r="CN368" s="886">
        <v>0</v>
      </c>
      <c r="CO368" s="886">
        <v>0</v>
      </c>
      <c r="CP368" s="648">
        <f t="shared" si="167"/>
        <v>0</v>
      </c>
      <c r="CQ368" s="648">
        <f t="shared" si="168"/>
        <v>0</v>
      </c>
      <c r="CR368" s="648">
        <f t="shared" si="169"/>
        <v>0</v>
      </c>
      <c r="CS368" s="648">
        <f t="shared" si="170"/>
        <v>0</v>
      </c>
      <c r="CT368" s="648">
        <f t="shared" si="171"/>
        <v>0</v>
      </c>
      <c r="CU368" s="648">
        <f t="shared" si="172"/>
        <v>0</v>
      </c>
      <c r="CV368" s="648">
        <f t="shared" si="173"/>
        <v>0</v>
      </c>
      <c r="CW368" s="648">
        <f t="shared" si="174"/>
        <v>0</v>
      </c>
      <c r="CX368" s="634">
        <v>0</v>
      </c>
      <c r="CY368" s="616"/>
      <c r="CZ368" s="619">
        <f>IF(BN369=0,0,             IF(ISNUMBER(CY368),CY368,             IF(ISTEXT(CY368),INDEX(CP368:CW368,MATCH(CY368,$CP$17:$CW$17,0)),           IF(CX368="INT",_xll.qInterp(BN369,BZ368:CG368,CP368:CW368),       INDEX(CP368:CW368,MATCH(CX368,$CP$17:$CW$17,0))))))</f>
        <v>0</v>
      </c>
      <c r="DA368" s="755">
        <f t="shared" si="175"/>
        <v>0</v>
      </c>
      <c r="DB368" s="387">
        <f t="shared" si="176"/>
        <v>0</v>
      </c>
      <c r="DC368" s="268">
        <f>IF($BN369=0,0,         IF(LEFT(DCC_Leg2_Fixed,2)="1/",uEvaluate(DCC_Leg2_Fixed),         _xll.qDateYears($BN368,$BN369,DCC_Leg2_Fixed)))</f>
        <v>0</v>
      </c>
      <c r="DD368" s="268">
        <f>IF($BN369,_xll.qDateYears($BN368,$BN369,DCC_Leg2_Float),0)</f>
        <v>0</v>
      </c>
      <c r="DF368" s="332">
        <f t="shared" si="191"/>
        <v>0</v>
      </c>
      <c r="DG368" s="357">
        <f t="shared" si="192"/>
        <v>0</v>
      </c>
      <c r="DH368" s="527"/>
      <c r="DJ368" s="324">
        <f t="shared" si="194"/>
        <v>0</v>
      </c>
      <c r="DK368" s="529"/>
      <c r="DL368" s="338"/>
    </row>
    <row r="369" spans="15:116">
      <c r="O369" s="121">
        <v>0</v>
      </c>
      <c r="P369" s="755">
        <f t="shared" si="163"/>
        <v>0</v>
      </c>
      <c r="Q369" s="125">
        <v>0</v>
      </c>
      <c r="R369" s="890">
        <f>IF(O370=0,0,         IF(OR(Currency1="AUD",Currency1="NZD",Currency1="GBP"),O369,   _xll.qDateNext(O369,"-2b",,,IF(Currency1="EUR","TGT","LON"))))</f>
        <v>0</v>
      </c>
      <c r="S369" s="879" t="str">
        <v/>
      </c>
      <c r="T369" s="879" t="str">
        <v/>
      </c>
      <c r="U369" s="879" t="str">
        <v/>
      </c>
      <c r="V369" s="879" t="str">
        <v/>
      </c>
      <c r="W369" s="879" t="str">
        <v/>
      </c>
      <c r="X369" s="879" t="str">
        <v/>
      </c>
      <c r="Y369" s="879" t="str">
        <v/>
      </c>
      <c r="Z369" s="879" t="str">
        <v/>
      </c>
      <c r="AA369" s="882">
        <f>IF($O370=0,0,        _xll.qDateNext($O369,AA$17,$AH$16,TRUE,Currency1))</f>
        <v>0</v>
      </c>
      <c r="AB369" s="882">
        <f>IF($O370=0,0,        _xll.qDateNext($O369,AB$17,$AH$16,TRUE,Currency1))</f>
        <v>0</v>
      </c>
      <c r="AC369" s="882">
        <f>IF($O370=0,0,        _xll.qDateNext($O369,AC$17,$AH$16,TRUE,Currency1))</f>
        <v>0</v>
      </c>
      <c r="AD369" s="882">
        <f>IF($O370=0,0,        _xll.qDateNext($O369,AD$17,$AH$16,TRUE,Currency1))</f>
        <v>0</v>
      </c>
      <c r="AE369" s="882">
        <f>IF($O370=0,0,        _xll.qDateNext($O369,AE$17,$AH$16,TRUE,Currency1))</f>
        <v>0</v>
      </c>
      <c r="AF369" s="882">
        <f>IF($O370=0,0,        _xll.qDateNext($O369,AF$17,$AH$16,TRUE,Currency1))</f>
        <v>0</v>
      </c>
      <c r="AG369" s="882">
        <f>IF($O370=0,0,        _xll.qDateNext($O369,AG$17,$AH$16,TRUE,Currency1))</f>
        <v>0</v>
      </c>
      <c r="AH369" s="882">
        <f>IF($O370=0,0,        _xll.qDateNext($O369,AH$17,$AH$16,TRUE,Currency1))</f>
        <v>0</v>
      </c>
      <c r="AI369" s="886">
        <f>IF($O370=0,0,           IF(FRM,_xll.qGetFwdRate(AI$14,$O369,AA369,"T",DCC_Leg1_Float),_xll.qGetFwdRate(AI$14,$O369,$O370,"T",DCC_Leg1_Float)))</f>
        <v>0</v>
      </c>
      <c r="AJ369" s="886">
        <f>IF($O370=0,0,           IF(FRM,_xll.qGetFwdRate(AJ$14,$O369,AB369,"T",DCC_Leg1_Float),_xll.qGetFwdRate(AJ$14,$O369,$O370,"T",DCC_Leg1_Float)))</f>
        <v>0</v>
      </c>
      <c r="AK369" s="886">
        <f t="shared" si="164"/>
        <v>0</v>
      </c>
      <c r="AL369" s="886">
        <f>IF($O370=0,0,           IF(FRM,_xll.qGetFwdRate(AL$14,$O369,AD369,"T",DCC_Leg1_Float),_xll.qGetFwdRate(AL$14,$O369,$O370,"T",DCC_Leg1_Float)))</f>
        <v>0</v>
      </c>
      <c r="AM369" s="886">
        <f t="shared" si="177"/>
        <v>0</v>
      </c>
      <c r="AN369" s="886">
        <f t="shared" si="178"/>
        <v>0</v>
      </c>
      <c r="AO369" s="886">
        <f>IF($O370=0,0,           IF(FRM,_xll.qGetFwdRate(AO$14,$O369,AG369,"T",DCC_Leg1_Float),_xll.qGetFwdRate(AO$14,$O369,$O370,"T",DCC_Leg1_Float)))</f>
        <v>0</v>
      </c>
      <c r="AP369" s="886">
        <f>IF($O370=0,0,           IF(FRM,_xll.qGetFwdRate(AP$14,$O369,AH369,"T",DCC_Leg1_Float),_xll.qGetFwdRate(AP$14,$O369,$O370,"T",DCC_Leg1_Float)))</f>
        <v>0</v>
      </c>
      <c r="AQ369" s="648">
        <f t="shared" si="179"/>
        <v>0</v>
      </c>
      <c r="AR369" s="648">
        <f t="shared" si="180"/>
        <v>0</v>
      </c>
      <c r="AS369" s="648">
        <f t="shared" si="181"/>
        <v>0</v>
      </c>
      <c r="AT369" s="648">
        <f t="shared" si="182"/>
        <v>0</v>
      </c>
      <c r="AU369" s="648">
        <f t="shared" si="183"/>
        <v>0</v>
      </c>
      <c r="AV369" s="648">
        <f t="shared" si="184"/>
        <v>0</v>
      </c>
      <c r="AW369" s="648">
        <f t="shared" si="185"/>
        <v>0</v>
      </c>
      <c r="AX369" s="648">
        <f t="shared" si="186"/>
        <v>0</v>
      </c>
      <c r="AY369" s="634">
        <v>0</v>
      </c>
      <c r="AZ369" s="616"/>
      <c r="BA369" s="619">
        <f>IF(O370=0,0,             IF(ISNUMBER(AZ369),AZ369,             IF(ISTEXT(AZ369),INDEX(AQ369:AX369,MATCH(AZ369,$AQ$17:$AX$17,0)),           IF(AY369="INT",_xll.qInterp(O370,AA369:AH369,AQ369:AX369),       INDEX(AQ369:AX369,MATCH(AY369,$AQ$17:$AX$17,0))))))</f>
        <v>0</v>
      </c>
      <c r="BB369" s="674">
        <v>100</v>
      </c>
      <c r="BC369" s="666">
        <f t="shared" si="165"/>
        <v>0</v>
      </c>
      <c r="BD369" s="268">
        <f>IF($O370=0,0,                IF(LEFT(DCC_Leg1_Fixed,2)="1/",uEvaluate(DCC_Leg1_Fixed),        _xll.qDateYears($O369,$O370,DCC_Leg1_Fixed)))</f>
        <v>0</v>
      </c>
      <c r="BE369" s="268">
        <f>IF($O370,_xll.qDateYears($O369,$O370,DCC_Leg1_Float),0)</f>
        <v>0</v>
      </c>
      <c r="BG369" s="332">
        <f t="shared" si="187"/>
        <v>0</v>
      </c>
      <c r="BH369" s="357">
        <f t="shared" si="188"/>
        <v>0</v>
      </c>
      <c r="BI369" s="527"/>
      <c r="BK369" s="324">
        <f t="shared" si="193"/>
        <v>0</v>
      </c>
      <c r="BM369" s="338"/>
      <c r="BN369" s="121">
        <v>0</v>
      </c>
      <c r="BO369" s="755">
        <f t="shared" si="166"/>
        <v>0</v>
      </c>
      <c r="BP369" s="339">
        <v>0</v>
      </c>
      <c r="BQ369" s="890">
        <f>IF(BN370=0,0,         IF(OR(Currency2="AUD",Currency1="NZD",Currency2="GBP"),BN369,   _xll.qDateNext(BN369,"-2b",,,IF(Currency2="EUR","TGT","LON"))))</f>
        <v>0</v>
      </c>
      <c r="BR369" s="879" t="str">
        <v/>
      </c>
      <c r="BS369" s="879" t="str">
        <v/>
      </c>
      <c r="BT369" s="879" t="str">
        <v/>
      </c>
      <c r="BU369" s="879" t="str">
        <v/>
      </c>
      <c r="BV369" s="879" t="str">
        <v/>
      </c>
      <c r="BW369" s="879" t="str">
        <v/>
      </c>
      <c r="BX369" s="879" t="str">
        <v/>
      </c>
      <c r="BY369" s="879" t="str">
        <v/>
      </c>
      <c r="BZ369" s="882">
        <f>IF($BN370=0,0,        _xll.qDateNext($BN369,BZ$17,$CG$16,TRUE,Currency2))</f>
        <v>0</v>
      </c>
      <c r="CA369" s="882">
        <f>IF($BN370=0,0,        _xll.qDateNext($BN369,CA$17,$CG$16,TRUE,Currency2))</f>
        <v>0</v>
      </c>
      <c r="CB369" s="882">
        <f>IF($BN370=0,0,        _xll.qDateNext($BN369,CB$17,$CG$16,TRUE,Currency2))</f>
        <v>0</v>
      </c>
      <c r="CC369" s="882">
        <f>IF($BN370=0,0,        _xll.qDateNext($BN369,CC$17,$CG$16,TRUE,Currency2))</f>
        <v>0</v>
      </c>
      <c r="CD369" s="882">
        <f>IF($BN370=0,0,        _xll.qDateNext($BN369,CD$17,$CG$16,TRUE,Currency2))</f>
        <v>0</v>
      </c>
      <c r="CE369" s="882">
        <f>IF($BN370=0,0,        _xll.qDateNext($BN369,CE$17,$CG$16,TRUE,Currency2))</f>
        <v>0</v>
      </c>
      <c r="CF369" s="882">
        <f>IF($BN370=0,0,        _xll.qDateNext($BN369,CF$17,$CG$16,TRUE,Currency2))</f>
        <v>0</v>
      </c>
      <c r="CG369" s="882">
        <f>IF($BN370=0,0,        _xll.qDateNext($BN369,CG$17,$CG$16,TRUE,Currency2))</f>
        <v>0</v>
      </c>
      <c r="CH369" s="886">
        <v>0</v>
      </c>
      <c r="CI369" s="886">
        <v>0</v>
      </c>
      <c r="CJ369" s="886">
        <v>0</v>
      </c>
      <c r="CK369" s="886">
        <v>0</v>
      </c>
      <c r="CL369" s="886">
        <f t="shared" si="189"/>
        <v>0</v>
      </c>
      <c r="CM369" s="886">
        <f t="shared" si="190"/>
        <v>0</v>
      </c>
      <c r="CN369" s="886">
        <v>0</v>
      </c>
      <c r="CO369" s="886">
        <v>0</v>
      </c>
      <c r="CP369" s="648">
        <f t="shared" si="167"/>
        <v>0</v>
      </c>
      <c r="CQ369" s="648">
        <f t="shared" si="168"/>
        <v>0</v>
      </c>
      <c r="CR369" s="648">
        <f t="shared" si="169"/>
        <v>0</v>
      </c>
      <c r="CS369" s="648">
        <f t="shared" si="170"/>
        <v>0</v>
      </c>
      <c r="CT369" s="648">
        <f t="shared" si="171"/>
        <v>0</v>
      </c>
      <c r="CU369" s="648">
        <f t="shared" si="172"/>
        <v>0</v>
      </c>
      <c r="CV369" s="648">
        <f t="shared" si="173"/>
        <v>0</v>
      </c>
      <c r="CW369" s="648">
        <f t="shared" si="174"/>
        <v>0</v>
      </c>
      <c r="CX369" s="634">
        <v>0</v>
      </c>
      <c r="CY369" s="616"/>
      <c r="CZ369" s="619">
        <f>IF(BN370=0,0,             IF(ISNUMBER(CY369),CY369,             IF(ISTEXT(CY369),INDEX(CP369:CW369,MATCH(CY369,$CP$17:$CW$17,0)),           IF(CX369="INT",_xll.qInterp(BN370,BZ369:CG369,CP369:CW369),       INDEX(CP369:CW369,MATCH(CX369,$CP$17:$CW$17,0))))))</f>
        <v>0</v>
      </c>
      <c r="DA369" s="755">
        <f t="shared" si="175"/>
        <v>0</v>
      </c>
      <c r="DB369" s="387">
        <f t="shared" si="176"/>
        <v>0</v>
      </c>
      <c r="DC369" s="268">
        <f>IF($BN370=0,0,         IF(LEFT(DCC_Leg2_Fixed,2)="1/",uEvaluate(DCC_Leg2_Fixed),         _xll.qDateYears($BN369,$BN370,DCC_Leg2_Fixed)))</f>
        <v>0</v>
      </c>
      <c r="DD369" s="268">
        <f>IF($BN370,_xll.qDateYears($BN369,$BN370,DCC_Leg2_Float),0)</f>
        <v>0</v>
      </c>
      <c r="DF369" s="332">
        <f t="shared" si="191"/>
        <v>0</v>
      </c>
      <c r="DG369" s="357">
        <f t="shared" si="192"/>
        <v>0</v>
      </c>
      <c r="DH369" s="527"/>
      <c r="DJ369" s="324">
        <f t="shared" si="194"/>
        <v>0</v>
      </c>
      <c r="DK369" s="529"/>
      <c r="DL369" s="338"/>
    </row>
    <row r="370" spans="15:116">
      <c r="O370" s="121">
        <v>0</v>
      </c>
      <c r="P370" s="755">
        <f t="shared" si="163"/>
        <v>0</v>
      </c>
      <c r="Q370" s="125">
        <v>0</v>
      </c>
      <c r="R370" s="890">
        <f>IF(O371=0,0,         IF(OR(Currency1="AUD",Currency1="NZD",Currency1="GBP"),O370,   _xll.qDateNext(O370,"-2b",,,IF(Currency1="EUR","TGT","LON"))))</f>
        <v>0</v>
      </c>
      <c r="S370" s="879" t="str">
        <v/>
      </c>
      <c r="T370" s="879" t="str">
        <v/>
      </c>
      <c r="U370" s="879" t="str">
        <v/>
      </c>
      <c r="V370" s="879" t="str">
        <v/>
      </c>
      <c r="W370" s="879" t="str">
        <v/>
      </c>
      <c r="X370" s="879" t="str">
        <v/>
      </c>
      <c r="Y370" s="879" t="str">
        <v/>
      </c>
      <c r="Z370" s="879" t="str">
        <v/>
      </c>
      <c r="AA370" s="882">
        <f>IF($O371=0,0,        _xll.qDateNext($O370,AA$17,$AH$16,TRUE,Currency1))</f>
        <v>0</v>
      </c>
      <c r="AB370" s="882">
        <f>IF($O371=0,0,        _xll.qDateNext($O370,AB$17,$AH$16,TRUE,Currency1))</f>
        <v>0</v>
      </c>
      <c r="AC370" s="882">
        <f>IF($O371=0,0,        _xll.qDateNext($O370,AC$17,$AH$16,TRUE,Currency1))</f>
        <v>0</v>
      </c>
      <c r="AD370" s="882">
        <f>IF($O371=0,0,        _xll.qDateNext($O370,AD$17,$AH$16,TRUE,Currency1))</f>
        <v>0</v>
      </c>
      <c r="AE370" s="882">
        <f>IF($O371=0,0,        _xll.qDateNext($O370,AE$17,$AH$16,TRUE,Currency1))</f>
        <v>0</v>
      </c>
      <c r="AF370" s="882">
        <f>IF($O371=0,0,        _xll.qDateNext($O370,AF$17,$AH$16,TRUE,Currency1))</f>
        <v>0</v>
      </c>
      <c r="AG370" s="882">
        <f>IF($O371=0,0,        _xll.qDateNext($O370,AG$17,$AH$16,TRUE,Currency1))</f>
        <v>0</v>
      </c>
      <c r="AH370" s="882">
        <f>IF($O371=0,0,        _xll.qDateNext($O370,AH$17,$AH$16,TRUE,Currency1))</f>
        <v>0</v>
      </c>
      <c r="AI370" s="886">
        <f>IF($O371=0,0,           IF(FRM,_xll.qGetFwdRate(AI$14,$O370,AA370,"T",DCC_Leg1_Float),_xll.qGetFwdRate(AI$14,$O370,$O371,"T",DCC_Leg1_Float)))</f>
        <v>0</v>
      </c>
      <c r="AJ370" s="886">
        <f>IF($O371=0,0,           IF(FRM,_xll.qGetFwdRate(AJ$14,$O370,AB370,"T",DCC_Leg1_Float),_xll.qGetFwdRate(AJ$14,$O370,$O371,"T",DCC_Leg1_Float)))</f>
        <v>0</v>
      </c>
      <c r="AK370" s="886">
        <f t="shared" si="164"/>
        <v>0</v>
      </c>
      <c r="AL370" s="886">
        <f>IF($O371=0,0,           IF(FRM,_xll.qGetFwdRate(AL$14,$O370,AD370,"T",DCC_Leg1_Float),_xll.qGetFwdRate(AL$14,$O370,$O371,"T",DCC_Leg1_Float)))</f>
        <v>0</v>
      </c>
      <c r="AM370" s="886">
        <f t="shared" si="177"/>
        <v>0</v>
      </c>
      <c r="AN370" s="886">
        <f t="shared" si="178"/>
        <v>0</v>
      </c>
      <c r="AO370" s="886">
        <f>IF($O371=0,0,           IF(FRM,_xll.qGetFwdRate(AO$14,$O370,AG370,"T",DCC_Leg1_Float),_xll.qGetFwdRate(AO$14,$O370,$O371,"T",DCC_Leg1_Float)))</f>
        <v>0</v>
      </c>
      <c r="AP370" s="886">
        <f>IF($O371=0,0,           IF(FRM,_xll.qGetFwdRate(AP$14,$O370,AH370,"T",DCC_Leg1_Float),_xll.qGetFwdRate(AP$14,$O370,$O371,"T",DCC_Leg1_Float)))</f>
        <v>0</v>
      </c>
      <c r="AQ370" s="648">
        <f t="shared" si="179"/>
        <v>0</v>
      </c>
      <c r="AR370" s="648">
        <f t="shared" si="180"/>
        <v>0</v>
      </c>
      <c r="AS370" s="648">
        <f t="shared" si="181"/>
        <v>0</v>
      </c>
      <c r="AT370" s="648">
        <f t="shared" si="182"/>
        <v>0</v>
      </c>
      <c r="AU370" s="648">
        <f t="shared" si="183"/>
        <v>0</v>
      </c>
      <c r="AV370" s="648">
        <f t="shared" si="184"/>
        <v>0</v>
      </c>
      <c r="AW370" s="648">
        <f t="shared" si="185"/>
        <v>0</v>
      </c>
      <c r="AX370" s="648">
        <f t="shared" si="186"/>
        <v>0</v>
      </c>
      <c r="AY370" s="634">
        <v>0</v>
      </c>
      <c r="AZ370" s="616"/>
      <c r="BA370" s="619">
        <f>IF(O371=0,0,             IF(ISNUMBER(AZ370),AZ370,             IF(ISTEXT(AZ370),INDEX(AQ370:AX370,MATCH(AZ370,$AQ$17:$AX$17,0)),           IF(AY370="INT",_xll.qInterp(O371,AA370:AH370,AQ370:AX370),       INDEX(AQ370:AX370,MATCH(AY370,$AQ$17:$AX$17,0))))))</f>
        <v>0</v>
      </c>
      <c r="BB370" s="674">
        <v>100</v>
      </c>
      <c r="BC370" s="666">
        <f t="shared" si="165"/>
        <v>0</v>
      </c>
      <c r="BD370" s="268">
        <f>IF($O371=0,0,                IF(LEFT(DCC_Leg1_Fixed,2)="1/",uEvaluate(DCC_Leg1_Fixed),        _xll.qDateYears($O370,$O371,DCC_Leg1_Fixed)))</f>
        <v>0</v>
      </c>
      <c r="BE370" s="268">
        <f>IF($O371,_xll.qDateYears($O370,$O371,DCC_Leg1_Float),0)</f>
        <v>0</v>
      </c>
      <c r="BG370" s="332">
        <f t="shared" si="187"/>
        <v>0</v>
      </c>
      <c r="BH370" s="357">
        <f t="shared" si="188"/>
        <v>0</v>
      </c>
      <c r="BI370" s="527"/>
      <c r="BK370" s="324">
        <f t="shared" si="193"/>
        <v>0</v>
      </c>
      <c r="BM370" s="338"/>
      <c r="BN370" s="121">
        <v>0</v>
      </c>
      <c r="BO370" s="755">
        <f t="shared" si="166"/>
        <v>0</v>
      </c>
      <c r="BP370" s="339">
        <v>0</v>
      </c>
      <c r="BQ370" s="890">
        <f>IF(BN371=0,0,         IF(OR(Currency2="AUD",Currency1="NZD",Currency2="GBP"),BN370,   _xll.qDateNext(BN370,"-2b",,,IF(Currency2="EUR","TGT","LON"))))</f>
        <v>0</v>
      </c>
      <c r="BR370" s="879" t="str">
        <v/>
      </c>
      <c r="BS370" s="879" t="str">
        <v/>
      </c>
      <c r="BT370" s="879" t="str">
        <v/>
      </c>
      <c r="BU370" s="879" t="str">
        <v/>
      </c>
      <c r="BV370" s="879" t="str">
        <v/>
      </c>
      <c r="BW370" s="879" t="str">
        <v/>
      </c>
      <c r="BX370" s="879" t="str">
        <v/>
      </c>
      <c r="BY370" s="879" t="str">
        <v/>
      </c>
      <c r="BZ370" s="882">
        <f>IF($BN371=0,0,        _xll.qDateNext($BN370,BZ$17,$CG$16,TRUE,Currency2))</f>
        <v>0</v>
      </c>
      <c r="CA370" s="882">
        <f>IF($BN371=0,0,        _xll.qDateNext($BN370,CA$17,$CG$16,TRUE,Currency2))</f>
        <v>0</v>
      </c>
      <c r="CB370" s="882">
        <f>IF($BN371=0,0,        _xll.qDateNext($BN370,CB$17,$CG$16,TRUE,Currency2))</f>
        <v>0</v>
      </c>
      <c r="CC370" s="882">
        <f>IF($BN371=0,0,        _xll.qDateNext($BN370,CC$17,$CG$16,TRUE,Currency2))</f>
        <v>0</v>
      </c>
      <c r="CD370" s="882">
        <f>IF($BN371=0,0,        _xll.qDateNext($BN370,CD$17,$CG$16,TRUE,Currency2))</f>
        <v>0</v>
      </c>
      <c r="CE370" s="882">
        <f>IF($BN371=0,0,        _xll.qDateNext($BN370,CE$17,$CG$16,TRUE,Currency2))</f>
        <v>0</v>
      </c>
      <c r="CF370" s="882">
        <f>IF($BN371=0,0,        _xll.qDateNext($BN370,CF$17,$CG$16,TRUE,Currency2))</f>
        <v>0</v>
      </c>
      <c r="CG370" s="882">
        <f>IF($BN371=0,0,        _xll.qDateNext($BN370,CG$17,$CG$16,TRUE,Currency2))</f>
        <v>0</v>
      </c>
      <c r="CH370" s="886">
        <v>0</v>
      </c>
      <c r="CI370" s="886">
        <v>0</v>
      </c>
      <c r="CJ370" s="886">
        <v>0</v>
      </c>
      <c r="CK370" s="886">
        <v>0</v>
      </c>
      <c r="CL370" s="886">
        <f t="shared" si="189"/>
        <v>0</v>
      </c>
      <c r="CM370" s="886">
        <f t="shared" si="190"/>
        <v>0</v>
      </c>
      <c r="CN370" s="886">
        <v>0</v>
      </c>
      <c r="CO370" s="886">
        <v>0</v>
      </c>
      <c r="CP370" s="648">
        <f t="shared" si="167"/>
        <v>0</v>
      </c>
      <c r="CQ370" s="648">
        <f t="shared" si="168"/>
        <v>0</v>
      </c>
      <c r="CR370" s="648">
        <f t="shared" si="169"/>
        <v>0</v>
      </c>
      <c r="CS370" s="648">
        <f t="shared" si="170"/>
        <v>0</v>
      </c>
      <c r="CT370" s="648">
        <f t="shared" si="171"/>
        <v>0</v>
      </c>
      <c r="CU370" s="648">
        <f t="shared" si="172"/>
        <v>0</v>
      </c>
      <c r="CV370" s="648">
        <f t="shared" si="173"/>
        <v>0</v>
      </c>
      <c r="CW370" s="648">
        <f t="shared" si="174"/>
        <v>0</v>
      </c>
      <c r="CX370" s="634">
        <v>0</v>
      </c>
      <c r="CY370" s="616"/>
      <c r="CZ370" s="619">
        <f>IF(BN371=0,0,             IF(ISNUMBER(CY370),CY370,             IF(ISTEXT(CY370),INDEX(CP370:CW370,MATCH(CY370,$CP$17:$CW$17,0)),           IF(CX370="INT",_xll.qInterp(BN371,BZ370:CG370,CP370:CW370),       INDEX(CP370:CW370,MATCH(CX370,$CP$17:$CW$17,0))))))</f>
        <v>0</v>
      </c>
      <c r="DA370" s="755">
        <f t="shared" si="175"/>
        <v>0</v>
      </c>
      <c r="DB370" s="387">
        <f t="shared" si="176"/>
        <v>0</v>
      </c>
      <c r="DC370" s="268">
        <f>IF($BN371=0,0,         IF(LEFT(DCC_Leg2_Fixed,2)="1/",uEvaluate(DCC_Leg2_Fixed),         _xll.qDateYears($BN370,$BN371,DCC_Leg2_Fixed)))</f>
        <v>0</v>
      </c>
      <c r="DD370" s="268">
        <f>IF($BN371,_xll.qDateYears($BN370,$BN371,DCC_Leg2_Float),0)</f>
        <v>0</v>
      </c>
      <c r="DF370" s="332">
        <f t="shared" si="191"/>
        <v>0</v>
      </c>
      <c r="DG370" s="357">
        <f t="shared" si="192"/>
        <v>0</v>
      </c>
      <c r="DH370" s="527"/>
      <c r="DJ370" s="324">
        <f t="shared" si="194"/>
        <v>0</v>
      </c>
      <c r="DK370" s="529"/>
      <c r="DL370" s="338"/>
    </row>
    <row r="371" spans="15:116">
      <c r="O371" s="121">
        <v>0</v>
      </c>
      <c r="P371" s="755">
        <f t="shared" si="163"/>
        <v>0</v>
      </c>
      <c r="Q371" s="125">
        <v>0</v>
      </c>
      <c r="R371" s="890">
        <f>IF(O372=0,0,         IF(OR(Currency1="AUD",Currency1="NZD",Currency1="GBP"),O371,   _xll.qDateNext(O371,"-2b",,,IF(Currency1="EUR","TGT","LON"))))</f>
        <v>0</v>
      </c>
      <c r="S371" s="879" t="str">
        <v/>
      </c>
      <c r="T371" s="879" t="str">
        <v/>
      </c>
      <c r="U371" s="879" t="str">
        <v/>
      </c>
      <c r="V371" s="879" t="str">
        <v/>
      </c>
      <c r="W371" s="879" t="str">
        <v/>
      </c>
      <c r="X371" s="879" t="str">
        <v/>
      </c>
      <c r="Y371" s="879" t="str">
        <v/>
      </c>
      <c r="Z371" s="879" t="str">
        <v/>
      </c>
      <c r="AA371" s="882">
        <f>IF($O372=0,0,        _xll.qDateNext($O371,AA$17,$AH$16,TRUE,Currency1))</f>
        <v>0</v>
      </c>
      <c r="AB371" s="882">
        <f>IF($O372=0,0,        _xll.qDateNext($O371,AB$17,$AH$16,TRUE,Currency1))</f>
        <v>0</v>
      </c>
      <c r="AC371" s="882">
        <f>IF($O372=0,0,        _xll.qDateNext($O371,AC$17,$AH$16,TRUE,Currency1))</f>
        <v>0</v>
      </c>
      <c r="AD371" s="882">
        <f>IF($O372=0,0,        _xll.qDateNext($O371,AD$17,$AH$16,TRUE,Currency1))</f>
        <v>0</v>
      </c>
      <c r="AE371" s="882">
        <f>IF($O372=0,0,        _xll.qDateNext($O371,AE$17,$AH$16,TRUE,Currency1))</f>
        <v>0</v>
      </c>
      <c r="AF371" s="882">
        <f>IF($O372=0,0,        _xll.qDateNext($O371,AF$17,$AH$16,TRUE,Currency1))</f>
        <v>0</v>
      </c>
      <c r="AG371" s="882">
        <f>IF($O372=0,0,        _xll.qDateNext($O371,AG$17,$AH$16,TRUE,Currency1))</f>
        <v>0</v>
      </c>
      <c r="AH371" s="882">
        <f>IF($O372=0,0,        _xll.qDateNext($O371,AH$17,$AH$16,TRUE,Currency1))</f>
        <v>0</v>
      </c>
      <c r="AI371" s="886">
        <f>IF($O372=0,0,           IF(FRM,_xll.qGetFwdRate(AI$14,$O371,AA371,"T",DCC_Leg1_Float),_xll.qGetFwdRate(AI$14,$O371,$O372,"T",DCC_Leg1_Float)))</f>
        <v>0</v>
      </c>
      <c r="AJ371" s="886">
        <f>IF($O372=0,0,           IF(FRM,_xll.qGetFwdRate(AJ$14,$O371,AB371,"T",DCC_Leg1_Float),_xll.qGetFwdRate(AJ$14,$O371,$O372,"T",DCC_Leg1_Float)))</f>
        <v>0</v>
      </c>
      <c r="AK371" s="886">
        <f t="shared" si="164"/>
        <v>0</v>
      </c>
      <c r="AL371" s="886">
        <f>IF($O372=0,0,           IF(FRM,_xll.qGetFwdRate(AL$14,$O371,AD371,"T",DCC_Leg1_Float),_xll.qGetFwdRate(AL$14,$O371,$O372,"T",DCC_Leg1_Float)))</f>
        <v>0</v>
      </c>
      <c r="AM371" s="886">
        <f t="shared" si="177"/>
        <v>0</v>
      </c>
      <c r="AN371" s="886">
        <f t="shared" si="178"/>
        <v>0</v>
      </c>
      <c r="AO371" s="886">
        <f>IF($O372=0,0,           IF(FRM,_xll.qGetFwdRate(AO$14,$O371,AG371,"T",DCC_Leg1_Float),_xll.qGetFwdRate(AO$14,$O371,$O372,"T",DCC_Leg1_Float)))</f>
        <v>0</v>
      </c>
      <c r="AP371" s="886">
        <f>IF($O372=0,0,           IF(FRM,_xll.qGetFwdRate(AP$14,$O371,AH371,"T",DCC_Leg1_Float),_xll.qGetFwdRate(AP$14,$O371,$O372,"T",DCC_Leg1_Float)))</f>
        <v>0</v>
      </c>
      <c r="AQ371" s="648">
        <f t="shared" si="179"/>
        <v>0</v>
      </c>
      <c r="AR371" s="648">
        <f t="shared" si="180"/>
        <v>0</v>
      </c>
      <c r="AS371" s="648">
        <f t="shared" si="181"/>
        <v>0</v>
      </c>
      <c r="AT371" s="648">
        <f t="shared" si="182"/>
        <v>0</v>
      </c>
      <c r="AU371" s="648">
        <f t="shared" si="183"/>
        <v>0</v>
      </c>
      <c r="AV371" s="648">
        <f t="shared" si="184"/>
        <v>0</v>
      </c>
      <c r="AW371" s="648">
        <f t="shared" si="185"/>
        <v>0</v>
      </c>
      <c r="AX371" s="648">
        <f t="shared" si="186"/>
        <v>0</v>
      </c>
      <c r="AY371" s="634">
        <v>0</v>
      </c>
      <c r="AZ371" s="616"/>
      <c r="BA371" s="619">
        <f>IF(O372=0,0,             IF(ISNUMBER(AZ371),AZ371,             IF(ISTEXT(AZ371),INDEX(AQ371:AX371,MATCH(AZ371,$AQ$17:$AX$17,0)),           IF(AY371="INT",_xll.qInterp(O372,AA371:AH371,AQ371:AX371),       INDEX(AQ371:AX371,MATCH(AY371,$AQ$17:$AX$17,0))))))</f>
        <v>0</v>
      </c>
      <c r="BB371" s="674">
        <v>100</v>
      </c>
      <c r="BC371" s="666">
        <f t="shared" si="165"/>
        <v>0</v>
      </c>
      <c r="BD371" s="268">
        <f>IF($O372=0,0,                IF(LEFT(DCC_Leg1_Fixed,2)="1/",uEvaluate(DCC_Leg1_Fixed),        _xll.qDateYears($O371,$O372,DCC_Leg1_Fixed)))</f>
        <v>0</v>
      </c>
      <c r="BE371" s="268">
        <f>IF($O372,_xll.qDateYears($O371,$O372,DCC_Leg1_Float),0)</f>
        <v>0</v>
      </c>
      <c r="BG371" s="332">
        <f t="shared" si="187"/>
        <v>0</v>
      </c>
      <c r="BH371" s="357">
        <f t="shared" si="188"/>
        <v>0</v>
      </c>
      <c r="BI371" s="527"/>
      <c r="BK371" s="324">
        <f t="shared" si="193"/>
        <v>0</v>
      </c>
      <c r="BM371" s="338"/>
      <c r="BN371" s="121">
        <v>0</v>
      </c>
      <c r="BO371" s="755">
        <f t="shared" si="166"/>
        <v>0</v>
      </c>
      <c r="BP371" s="339">
        <v>0</v>
      </c>
      <c r="BQ371" s="890">
        <f>IF(BN372=0,0,         IF(OR(Currency2="AUD",Currency1="NZD",Currency2="GBP"),BN371,   _xll.qDateNext(BN371,"-2b",,,IF(Currency2="EUR","TGT","LON"))))</f>
        <v>0</v>
      </c>
      <c r="BR371" s="879" t="str">
        <v/>
      </c>
      <c r="BS371" s="879" t="str">
        <v/>
      </c>
      <c r="BT371" s="879" t="str">
        <v/>
      </c>
      <c r="BU371" s="879" t="str">
        <v/>
      </c>
      <c r="BV371" s="879" t="str">
        <v/>
      </c>
      <c r="BW371" s="879" t="str">
        <v/>
      </c>
      <c r="BX371" s="879" t="str">
        <v/>
      </c>
      <c r="BY371" s="879" t="str">
        <v/>
      </c>
      <c r="BZ371" s="882">
        <f>IF($BN372=0,0,        _xll.qDateNext($BN371,BZ$17,$CG$16,TRUE,Currency2))</f>
        <v>0</v>
      </c>
      <c r="CA371" s="882">
        <f>IF($BN372=0,0,        _xll.qDateNext($BN371,CA$17,$CG$16,TRUE,Currency2))</f>
        <v>0</v>
      </c>
      <c r="CB371" s="882">
        <f>IF($BN372=0,0,        _xll.qDateNext($BN371,CB$17,$CG$16,TRUE,Currency2))</f>
        <v>0</v>
      </c>
      <c r="CC371" s="882">
        <f>IF($BN372=0,0,        _xll.qDateNext($BN371,CC$17,$CG$16,TRUE,Currency2))</f>
        <v>0</v>
      </c>
      <c r="CD371" s="882">
        <f>IF($BN372=0,0,        _xll.qDateNext($BN371,CD$17,$CG$16,TRUE,Currency2))</f>
        <v>0</v>
      </c>
      <c r="CE371" s="882">
        <f>IF($BN372=0,0,        _xll.qDateNext($BN371,CE$17,$CG$16,TRUE,Currency2))</f>
        <v>0</v>
      </c>
      <c r="CF371" s="882">
        <f>IF($BN372=0,0,        _xll.qDateNext($BN371,CF$17,$CG$16,TRUE,Currency2))</f>
        <v>0</v>
      </c>
      <c r="CG371" s="882">
        <f>IF($BN372=0,0,        _xll.qDateNext($BN371,CG$17,$CG$16,TRUE,Currency2))</f>
        <v>0</v>
      </c>
      <c r="CH371" s="886">
        <v>0</v>
      </c>
      <c r="CI371" s="886">
        <v>0</v>
      </c>
      <c r="CJ371" s="886">
        <v>0</v>
      </c>
      <c r="CK371" s="886">
        <v>0</v>
      </c>
      <c r="CL371" s="886">
        <f t="shared" si="189"/>
        <v>0</v>
      </c>
      <c r="CM371" s="886">
        <f t="shared" si="190"/>
        <v>0</v>
      </c>
      <c r="CN371" s="886">
        <v>0</v>
      </c>
      <c r="CO371" s="886">
        <v>0</v>
      </c>
      <c r="CP371" s="648">
        <f t="shared" si="167"/>
        <v>0</v>
      </c>
      <c r="CQ371" s="648">
        <f t="shared" si="168"/>
        <v>0</v>
      </c>
      <c r="CR371" s="648">
        <f t="shared" si="169"/>
        <v>0</v>
      </c>
      <c r="CS371" s="648">
        <f t="shared" si="170"/>
        <v>0</v>
      </c>
      <c r="CT371" s="648">
        <f t="shared" si="171"/>
        <v>0</v>
      </c>
      <c r="CU371" s="648">
        <f t="shared" si="172"/>
        <v>0</v>
      </c>
      <c r="CV371" s="648">
        <f t="shared" si="173"/>
        <v>0</v>
      </c>
      <c r="CW371" s="648">
        <f t="shared" si="174"/>
        <v>0</v>
      </c>
      <c r="CX371" s="634">
        <v>0</v>
      </c>
      <c r="CY371" s="616"/>
      <c r="CZ371" s="619">
        <f>IF(BN372=0,0,             IF(ISNUMBER(CY371),CY371,             IF(ISTEXT(CY371),INDEX(CP371:CW371,MATCH(CY371,$CP$17:$CW$17,0)),           IF(CX371="INT",_xll.qInterp(BN372,BZ371:CG371,CP371:CW371),       INDEX(CP371:CW371,MATCH(CX371,$CP$17:$CW$17,0))))))</f>
        <v>0</v>
      </c>
      <c r="DA371" s="755">
        <f t="shared" si="175"/>
        <v>0</v>
      </c>
      <c r="DB371" s="387">
        <f t="shared" si="176"/>
        <v>0</v>
      </c>
      <c r="DC371" s="268">
        <f>IF($BN372=0,0,         IF(LEFT(DCC_Leg2_Fixed,2)="1/",uEvaluate(DCC_Leg2_Fixed),         _xll.qDateYears($BN371,$BN372,DCC_Leg2_Fixed)))</f>
        <v>0</v>
      </c>
      <c r="DD371" s="268">
        <f>IF($BN372,_xll.qDateYears($BN371,$BN372,DCC_Leg2_Float),0)</f>
        <v>0</v>
      </c>
      <c r="DF371" s="332">
        <f t="shared" si="191"/>
        <v>0</v>
      </c>
      <c r="DG371" s="357">
        <f t="shared" si="192"/>
        <v>0</v>
      </c>
      <c r="DH371" s="527"/>
      <c r="DJ371" s="324">
        <f t="shared" si="194"/>
        <v>0</v>
      </c>
      <c r="DK371" s="529"/>
      <c r="DL371" s="338"/>
    </row>
    <row r="372" spans="15:116">
      <c r="O372" s="121">
        <v>0</v>
      </c>
      <c r="P372" s="755">
        <f t="shared" si="163"/>
        <v>0</v>
      </c>
      <c r="Q372" s="125">
        <v>0</v>
      </c>
      <c r="R372" s="890">
        <f>IF(O373=0,0,         IF(OR(Currency1="AUD",Currency1="NZD",Currency1="GBP"),O372,   _xll.qDateNext(O372,"-2b",,,IF(Currency1="EUR","TGT","LON"))))</f>
        <v>0</v>
      </c>
      <c r="S372" s="879" t="str">
        <v/>
      </c>
      <c r="T372" s="879" t="str">
        <v/>
      </c>
      <c r="U372" s="879" t="str">
        <v/>
      </c>
      <c r="V372" s="879" t="str">
        <v/>
      </c>
      <c r="W372" s="879" t="str">
        <v/>
      </c>
      <c r="X372" s="879" t="str">
        <v/>
      </c>
      <c r="Y372" s="879" t="str">
        <v/>
      </c>
      <c r="Z372" s="879" t="str">
        <v/>
      </c>
      <c r="AA372" s="882">
        <f>IF($O373=0,0,        _xll.qDateNext($O372,AA$17,$AH$16,TRUE,Currency1))</f>
        <v>0</v>
      </c>
      <c r="AB372" s="882">
        <f>IF($O373=0,0,        _xll.qDateNext($O372,AB$17,$AH$16,TRUE,Currency1))</f>
        <v>0</v>
      </c>
      <c r="AC372" s="882">
        <f>IF($O373=0,0,        _xll.qDateNext($O372,AC$17,$AH$16,TRUE,Currency1))</f>
        <v>0</v>
      </c>
      <c r="AD372" s="882">
        <f>IF($O373=0,0,        _xll.qDateNext($O372,AD$17,$AH$16,TRUE,Currency1))</f>
        <v>0</v>
      </c>
      <c r="AE372" s="882">
        <f>IF($O373=0,0,        _xll.qDateNext($O372,AE$17,$AH$16,TRUE,Currency1))</f>
        <v>0</v>
      </c>
      <c r="AF372" s="882">
        <f>IF($O373=0,0,        _xll.qDateNext($O372,AF$17,$AH$16,TRUE,Currency1))</f>
        <v>0</v>
      </c>
      <c r="AG372" s="882">
        <f>IF($O373=0,0,        _xll.qDateNext($O372,AG$17,$AH$16,TRUE,Currency1))</f>
        <v>0</v>
      </c>
      <c r="AH372" s="882">
        <f>IF($O373=0,0,        _xll.qDateNext($O372,AH$17,$AH$16,TRUE,Currency1))</f>
        <v>0</v>
      </c>
      <c r="AI372" s="886">
        <f>IF($O373=0,0,           IF(FRM,_xll.qGetFwdRate(AI$14,$O372,AA372,"T",DCC_Leg1_Float),_xll.qGetFwdRate(AI$14,$O372,$O373,"T",DCC_Leg1_Float)))</f>
        <v>0</v>
      </c>
      <c r="AJ372" s="886">
        <f>IF($O373=0,0,           IF(FRM,_xll.qGetFwdRate(AJ$14,$O372,AB372,"T",DCC_Leg1_Float),_xll.qGetFwdRate(AJ$14,$O372,$O373,"T",DCC_Leg1_Float)))</f>
        <v>0</v>
      </c>
      <c r="AK372" s="886">
        <f t="shared" si="164"/>
        <v>0</v>
      </c>
      <c r="AL372" s="886">
        <f>IF($O373=0,0,           IF(FRM,_xll.qGetFwdRate(AL$14,$O372,AD372,"T",DCC_Leg1_Float),_xll.qGetFwdRate(AL$14,$O372,$O373,"T",DCC_Leg1_Float)))</f>
        <v>0</v>
      </c>
      <c r="AM372" s="886">
        <f t="shared" si="177"/>
        <v>0</v>
      </c>
      <c r="AN372" s="886">
        <f t="shared" si="178"/>
        <v>0</v>
      </c>
      <c r="AO372" s="886">
        <f>IF($O373=0,0,           IF(FRM,_xll.qGetFwdRate(AO$14,$O372,AG372,"T",DCC_Leg1_Float),_xll.qGetFwdRate(AO$14,$O372,$O373,"T",DCC_Leg1_Float)))</f>
        <v>0</v>
      </c>
      <c r="AP372" s="886">
        <f>IF($O373=0,0,           IF(FRM,_xll.qGetFwdRate(AP$14,$O372,AH372,"T",DCC_Leg1_Float),_xll.qGetFwdRate(AP$14,$O372,$O373,"T",DCC_Leg1_Float)))</f>
        <v>0</v>
      </c>
      <c r="AQ372" s="648">
        <f t="shared" si="179"/>
        <v>0</v>
      </c>
      <c r="AR372" s="648">
        <f t="shared" si="180"/>
        <v>0</v>
      </c>
      <c r="AS372" s="648">
        <f t="shared" si="181"/>
        <v>0</v>
      </c>
      <c r="AT372" s="648">
        <f t="shared" si="182"/>
        <v>0</v>
      </c>
      <c r="AU372" s="648">
        <f t="shared" si="183"/>
        <v>0</v>
      </c>
      <c r="AV372" s="648">
        <f t="shared" si="184"/>
        <v>0</v>
      </c>
      <c r="AW372" s="648">
        <f t="shared" si="185"/>
        <v>0</v>
      </c>
      <c r="AX372" s="648">
        <f t="shared" si="186"/>
        <v>0</v>
      </c>
      <c r="AY372" s="634">
        <v>0</v>
      </c>
      <c r="AZ372" s="616"/>
      <c r="BA372" s="619">
        <f>IF(O373=0,0,             IF(ISNUMBER(AZ372),AZ372,             IF(ISTEXT(AZ372),INDEX(AQ372:AX372,MATCH(AZ372,$AQ$17:$AX$17,0)),           IF(AY372="INT",_xll.qInterp(O373,AA372:AH372,AQ372:AX372),       INDEX(AQ372:AX372,MATCH(AY372,$AQ$17:$AX$17,0))))))</f>
        <v>0</v>
      </c>
      <c r="BB372" s="674">
        <v>100</v>
      </c>
      <c r="BC372" s="666">
        <f t="shared" si="165"/>
        <v>0</v>
      </c>
      <c r="BD372" s="268">
        <f>IF($O373=0,0,                IF(LEFT(DCC_Leg1_Fixed,2)="1/",uEvaluate(DCC_Leg1_Fixed),        _xll.qDateYears($O372,$O373,DCC_Leg1_Fixed)))</f>
        <v>0</v>
      </c>
      <c r="BE372" s="268">
        <f>IF($O373,_xll.qDateYears($O372,$O373,DCC_Leg1_Float),0)</f>
        <v>0</v>
      </c>
      <c r="BG372" s="332">
        <f t="shared" si="187"/>
        <v>0</v>
      </c>
      <c r="BH372" s="357">
        <f t="shared" si="188"/>
        <v>0</v>
      </c>
      <c r="BI372" s="527"/>
      <c r="BK372" s="324">
        <f t="shared" si="193"/>
        <v>0</v>
      </c>
      <c r="BM372" s="338"/>
      <c r="BN372" s="121">
        <v>0</v>
      </c>
      <c r="BO372" s="755">
        <f t="shared" si="166"/>
        <v>0</v>
      </c>
      <c r="BP372" s="339">
        <v>0</v>
      </c>
      <c r="BQ372" s="890">
        <f>IF(BN373=0,0,         IF(OR(Currency2="AUD",Currency1="NZD",Currency2="GBP"),BN372,   _xll.qDateNext(BN372,"-2b",,,IF(Currency2="EUR","TGT","LON"))))</f>
        <v>0</v>
      </c>
      <c r="BR372" s="879" t="str">
        <v/>
      </c>
      <c r="BS372" s="879" t="str">
        <v/>
      </c>
      <c r="BT372" s="879" t="str">
        <v/>
      </c>
      <c r="BU372" s="879" t="str">
        <v/>
      </c>
      <c r="BV372" s="879" t="str">
        <v/>
      </c>
      <c r="BW372" s="879" t="str">
        <v/>
      </c>
      <c r="BX372" s="879" t="str">
        <v/>
      </c>
      <c r="BY372" s="879" t="str">
        <v/>
      </c>
      <c r="BZ372" s="882">
        <f>IF($BN373=0,0,        _xll.qDateNext($BN372,BZ$17,$CG$16,TRUE,Currency2))</f>
        <v>0</v>
      </c>
      <c r="CA372" s="882">
        <f>IF($BN373=0,0,        _xll.qDateNext($BN372,CA$17,$CG$16,TRUE,Currency2))</f>
        <v>0</v>
      </c>
      <c r="CB372" s="882">
        <f>IF($BN373=0,0,        _xll.qDateNext($BN372,CB$17,$CG$16,TRUE,Currency2))</f>
        <v>0</v>
      </c>
      <c r="CC372" s="882">
        <f>IF($BN373=0,0,        _xll.qDateNext($BN372,CC$17,$CG$16,TRUE,Currency2))</f>
        <v>0</v>
      </c>
      <c r="CD372" s="882">
        <f>IF($BN373=0,0,        _xll.qDateNext($BN372,CD$17,$CG$16,TRUE,Currency2))</f>
        <v>0</v>
      </c>
      <c r="CE372" s="882">
        <f>IF($BN373=0,0,        _xll.qDateNext($BN372,CE$17,$CG$16,TRUE,Currency2))</f>
        <v>0</v>
      </c>
      <c r="CF372" s="882">
        <f>IF($BN373=0,0,        _xll.qDateNext($BN372,CF$17,$CG$16,TRUE,Currency2))</f>
        <v>0</v>
      </c>
      <c r="CG372" s="882">
        <f>IF($BN373=0,0,        _xll.qDateNext($BN372,CG$17,$CG$16,TRUE,Currency2))</f>
        <v>0</v>
      </c>
      <c r="CH372" s="886">
        <v>0</v>
      </c>
      <c r="CI372" s="886">
        <v>0</v>
      </c>
      <c r="CJ372" s="886">
        <v>0</v>
      </c>
      <c r="CK372" s="886">
        <v>0</v>
      </c>
      <c r="CL372" s="886">
        <f t="shared" si="189"/>
        <v>0</v>
      </c>
      <c r="CM372" s="886">
        <f t="shared" si="190"/>
        <v>0</v>
      </c>
      <c r="CN372" s="886">
        <v>0</v>
      </c>
      <c r="CO372" s="886">
        <v>0</v>
      </c>
      <c r="CP372" s="648">
        <f t="shared" si="167"/>
        <v>0</v>
      </c>
      <c r="CQ372" s="648">
        <f t="shared" si="168"/>
        <v>0</v>
      </c>
      <c r="CR372" s="648">
        <f t="shared" si="169"/>
        <v>0</v>
      </c>
      <c r="CS372" s="648">
        <f t="shared" si="170"/>
        <v>0</v>
      </c>
      <c r="CT372" s="648">
        <f t="shared" si="171"/>
        <v>0</v>
      </c>
      <c r="CU372" s="648">
        <f t="shared" si="172"/>
        <v>0</v>
      </c>
      <c r="CV372" s="648">
        <f t="shared" si="173"/>
        <v>0</v>
      </c>
      <c r="CW372" s="648">
        <f t="shared" si="174"/>
        <v>0</v>
      </c>
      <c r="CX372" s="634">
        <v>0</v>
      </c>
      <c r="CY372" s="616"/>
      <c r="CZ372" s="619">
        <f>IF(BN373=0,0,             IF(ISNUMBER(CY372),CY372,             IF(ISTEXT(CY372),INDEX(CP372:CW372,MATCH(CY372,$CP$17:$CW$17,0)),           IF(CX372="INT",_xll.qInterp(BN373,BZ372:CG372,CP372:CW372),       INDEX(CP372:CW372,MATCH(CX372,$CP$17:$CW$17,0))))))</f>
        <v>0</v>
      </c>
      <c r="DA372" s="755">
        <f t="shared" si="175"/>
        <v>0</v>
      </c>
      <c r="DB372" s="387">
        <f t="shared" si="176"/>
        <v>0</v>
      </c>
      <c r="DC372" s="268">
        <f>IF($BN373=0,0,         IF(LEFT(DCC_Leg2_Fixed,2)="1/",uEvaluate(DCC_Leg2_Fixed),         _xll.qDateYears($BN372,$BN373,DCC_Leg2_Fixed)))</f>
        <v>0</v>
      </c>
      <c r="DD372" s="268">
        <f>IF($BN373,_xll.qDateYears($BN372,$BN373,DCC_Leg2_Float),0)</f>
        <v>0</v>
      </c>
      <c r="DF372" s="332">
        <f t="shared" si="191"/>
        <v>0</v>
      </c>
      <c r="DG372" s="357">
        <f t="shared" si="192"/>
        <v>0</v>
      </c>
      <c r="DH372" s="527"/>
      <c r="DJ372" s="324">
        <f t="shared" si="194"/>
        <v>0</v>
      </c>
      <c r="DK372" s="529"/>
      <c r="DL372" s="338"/>
    </row>
    <row r="373" spans="15:116">
      <c r="O373" s="121">
        <v>0</v>
      </c>
      <c r="P373" s="755">
        <f t="shared" si="163"/>
        <v>0</v>
      </c>
      <c r="Q373" s="125">
        <v>0</v>
      </c>
      <c r="R373" s="890">
        <f>IF(O374=0,0,         IF(OR(Currency1="AUD",Currency1="NZD",Currency1="GBP"),O373,   _xll.qDateNext(O373,"-2b",,,IF(Currency1="EUR","TGT","LON"))))</f>
        <v>0</v>
      </c>
      <c r="S373" s="879" t="str">
        <v/>
      </c>
      <c r="T373" s="879" t="str">
        <v/>
      </c>
      <c r="U373" s="879" t="str">
        <v/>
      </c>
      <c r="V373" s="879" t="str">
        <v/>
      </c>
      <c r="W373" s="879" t="str">
        <v/>
      </c>
      <c r="X373" s="879" t="str">
        <v/>
      </c>
      <c r="Y373" s="879" t="str">
        <v/>
      </c>
      <c r="Z373" s="879" t="str">
        <v/>
      </c>
      <c r="AA373" s="882">
        <f>IF($O374=0,0,        _xll.qDateNext($O373,AA$17,$AH$16,TRUE,Currency1))</f>
        <v>0</v>
      </c>
      <c r="AB373" s="882">
        <f>IF($O374=0,0,        _xll.qDateNext($O373,AB$17,$AH$16,TRUE,Currency1))</f>
        <v>0</v>
      </c>
      <c r="AC373" s="882">
        <f>IF($O374=0,0,        _xll.qDateNext($O373,AC$17,$AH$16,TRUE,Currency1))</f>
        <v>0</v>
      </c>
      <c r="AD373" s="882">
        <f>IF($O374=0,0,        _xll.qDateNext($O373,AD$17,$AH$16,TRUE,Currency1))</f>
        <v>0</v>
      </c>
      <c r="AE373" s="882">
        <f>IF($O374=0,0,        _xll.qDateNext($O373,AE$17,$AH$16,TRUE,Currency1))</f>
        <v>0</v>
      </c>
      <c r="AF373" s="882">
        <f>IF($O374=0,0,        _xll.qDateNext($O373,AF$17,$AH$16,TRUE,Currency1))</f>
        <v>0</v>
      </c>
      <c r="AG373" s="882">
        <f>IF($O374=0,0,        _xll.qDateNext($O373,AG$17,$AH$16,TRUE,Currency1))</f>
        <v>0</v>
      </c>
      <c r="AH373" s="882">
        <f>IF($O374=0,0,        _xll.qDateNext($O373,AH$17,$AH$16,TRUE,Currency1))</f>
        <v>0</v>
      </c>
      <c r="AI373" s="886">
        <f>IF($O374=0,0,           IF(FRM,_xll.qGetFwdRate(AI$14,$O373,AA373,"T",DCC_Leg1_Float),_xll.qGetFwdRate(AI$14,$O373,$O374,"T",DCC_Leg1_Float)))</f>
        <v>0</v>
      </c>
      <c r="AJ373" s="886">
        <f>IF($O374=0,0,           IF(FRM,_xll.qGetFwdRate(AJ$14,$O373,AB373,"T",DCC_Leg1_Float),_xll.qGetFwdRate(AJ$14,$O373,$O374,"T",DCC_Leg1_Float)))</f>
        <v>0</v>
      </c>
      <c r="AK373" s="886">
        <f t="shared" si="164"/>
        <v>0</v>
      </c>
      <c r="AL373" s="886">
        <f>IF($O374=0,0,           IF(FRM,_xll.qGetFwdRate(AL$14,$O373,AD373,"T",DCC_Leg1_Float),_xll.qGetFwdRate(AL$14,$O373,$O374,"T",DCC_Leg1_Float)))</f>
        <v>0</v>
      </c>
      <c r="AM373" s="886">
        <f t="shared" si="177"/>
        <v>0</v>
      </c>
      <c r="AN373" s="886">
        <f t="shared" si="178"/>
        <v>0</v>
      </c>
      <c r="AO373" s="886">
        <f>IF($O374=0,0,           IF(FRM,_xll.qGetFwdRate(AO$14,$O373,AG373,"T",DCC_Leg1_Float),_xll.qGetFwdRate(AO$14,$O373,$O374,"T",DCC_Leg1_Float)))</f>
        <v>0</v>
      </c>
      <c r="AP373" s="886">
        <f>IF($O374=0,0,           IF(FRM,_xll.qGetFwdRate(AP$14,$O373,AH373,"T",DCC_Leg1_Float),_xll.qGetFwdRate(AP$14,$O373,$O374,"T",DCC_Leg1_Float)))</f>
        <v>0</v>
      </c>
      <c r="AQ373" s="648">
        <f t="shared" si="179"/>
        <v>0</v>
      </c>
      <c r="AR373" s="648">
        <f t="shared" si="180"/>
        <v>0</v>
      </c>
      <c r="AS373" s="648">
        <f t="shared" si="181"/>
        <v>0</v>
      </c>
      <c r="AT373" s="648">
        <f t="shared" si="182"/>
        <v>0</v>
      </c>
      <c r="AU373" s="648">
        <f t="shared" si="183"/>
        <v>0</v>
      </c>
      <c r="AV373" s="648">
        <f t="shared" si="184"/>
        <v>0</v>
      </c>
      <c r="AW373" s="648">
        <f t="shared" si="185"/>
        <v>0</v>
      </c>
      <c r="AX373" s="648">
        <f t="shared" si="186"/>
        <v>0</v>
      </c>
      <c r="AY373" s="634">
        <v>0</v>
      </c>
      <c r="AZ373" s="616"/>
      <c r="BA373" s="619">
        <f>IF(O374=0,0,             IF(ISNUMBER(AZ373),AZ373,             IF(ISTEXT(AZ373),INDEX(AQ373:AX373,MATCH(AZ373,$AQ$17:$AX$17,0)),           IF(AY373="INT",_xll.qInterp(O374,AA373:AH373,AQ373:AX373),       INDEX(AQ373:AX373,MATCH(AY373,$AQ$17:$AX$17,0))))))</f>
        <v>0</v>
      </c>
      <c r="BB373" s="674">
        <v>100</v>
      </c>
      <c r="BC373" s="666">
        <f t="shared" si="165"/>
        <v>0</v>
      </c>
      <c r="BD373" s="268">
        <f>IF($O374=0,0,                IF(LEFT(DCC_Leg1_Fixed,2)="1/",uEvaluate(DCC_Leg1_Fixed),        _xll.qDateYears($O373,$O374,DCC_Leg1_Fixed)))</f>
        <v>0</v>
      </c>
      <c r="BE373" s="268">
        <f>IF($O374,_xll.qDateYears($O373,$O374,DCC_Leg1_Float),0)</f>
        <v>0</v>
      </c>
      <c r="BG373" s="332">
        <f t="shared" si="187"/>
        <v>0</v>
      </c>
      <c r="BH373" s="357">
        <f t="shared" si="188"/>
        <v>0</v>
      </c>
      <c r="BI373" s="527"/>
      <c r="BK373" s="324">
        <f t="shared" si="193"/>
        <v>0</v>
      </c>
      <c r="BM373" s="338"/>
      <c r="BN373" s="121">
        <v>0</v>
      </c>
      <c r="BO373" s="755">
        <f t="shared" si="166"/>
        <v>0</v>
      </c>
      <c r="BP373" s="339">
        <v>0</v>
      </c>
      <c r="BQ373" s="890">
        <f>IF(BN374=0,0,         IF(OR(Currency2="AUD",Currency1="NZD",Currency2="GBP"),BN373,   _xll.qDateNext(BN373,"-2b",,,IF(Currency2="EUR","TGT","LON"))))</f>
        <v>0</v>
      </c>
      <c r="BR373" s="879" t="str">
        <v/>
      </c>
      <c r="BS373" s="879" t="str">
        <v/>
      </c>
      <c r="BT373" s="879" t="str">
        <v/>
      </c>
      <c r="BU373" s="879" t="str">
        <v/>
      </c>
      <c r="BV373" s="879" t="str">
        <v/>
      </c>
      <c r="BW373" s="879" t="str">
        <v/>
      </c>
      <c r="BX373" s="879" t="str">
        <v/>
      </c>
      <c r="BY373" s="879" t="str">
        <v/>
      </c>
      <c r="BZ373" s="882">
        <f>IF($BN374=0,0,        _xll.qDateNext($BN373,BZ$17,$CG$16,TRUE,Currency2))</f>
        <v>0</v>
      </c>
      <c r="CA373" s="882">
        <f>IF($BN374=0,0,        _xll.qDateNext($BN373,CA$17,$CG$16,TRUE,Currency2))</f>
        <v>0</v>
      </c>
      <c r="CB373" s="882">
        <f>IF($BN374=0,0,        _xll.qDateNext($BN373,CB$17,$CG$16,TRUE,Currency2))</f>
        <v>0</v>
      </c>
      <c r="CC373" s="882">
        <f>IF($BN374=0,0,        _xll.qDateNext($BN373,CC$17,$CG$16,TRUE,Currency2))</f>
        <v>0</v>
      </c>
      <c r="CD373" s="882">
        <f>IF($BN374=0,0,        _xll.qDateNext($BN373,CD$17,$CG$16,TRUE,Currency2))</f>
        <v>0</v>
      </c>
      <c r="CE373" s="882">
        <f>IF($BN374=0,0,        _xll.qDateNext($BN373,CE$17,$CG$16,TRUE,Currency2))</f>
        <v>0</v>
      </c>
      <c r="CF373" s="882">
        <f>IF($BN374=0,0,        _xll.qDateNext($BN373,CF$17,$CG$16,TRUE,Currency2))</f>
        <v>0</v>
      </c>
      <c r="CG373" s="882">
        <f>IF($BN374=0,0,        _xll.qDateNext($BN373,CG$17,$CG$16,TRUE,Currency2))</f>
        <v>0</v>
      </c>
      <c r="CH373" s="886">
        <v>0</v>
      </c>
      <c r="CI373" s="886">
        <v>0</v>
      </c>
      <c r="CJ373" s="886">
        <v>0</v>
      </c>
      <c r="CK373" s="886">
        <v>0</v>
      </c>
      <c r="CL373" s="886">
        <f t="shared" si="189"/>
        <v>0</v>
      </c>
      <c r="CM373" s="886">
        <f t="shared" si="190"/>
        <v>0</v>
      </c>
      <c r="CN373" s="886">
        <v>0</v>
      </c>
      <c r="CO373" s="886">
        <v>0</v>
      </c>
      <c r="CP373" s="648">
        <f t="shared" si="167"/>
        <v>0</v>
      </c>
      <c r="CQ373" s="648">
        <f t="shared" si="168"/>
        <v>0</v>
      </c>
      <c r="CR373" s="648">
        <f t="shared" si="169"/>
        <v>0</v>
      </c>
      <c r="CS373" s="648">
        <f t="shared" si="170"/>
        <v>0</v>
      </c>
      <c r="CT373" s="648">
        <f t="shared" si="171"/>
        <v>0</v>
      </c>
      <c r="CU373" s="648">
        <f t="shared" si="172"/>
        <v>0</v>
      </c>
      <c r="CV373" s="648">
        <f t="shared" si="173"/>
        <v>0</v>
      </c>
      <c r="CW373" s="648">
        <f t="shared" si="174"/>
        <v>0</v>
      </c>
      <c r="CX373" s="634">
        <v>0</v>
      </c>
      <c r="CY373" s="616"/>
      <c r="CZ373" s="619">
        <f>IF(BN374=0,0,             IF(ISNUMBER(CY373),CY373,             IF(ISTEXT(CY373),INDEX(CP373:CW373,MATCH(CY373,$CP$17:$CW$17,0)),           IF(CX373="INT",_xll.qInterp(BN374,BZ373:CG373,CP373:CW373),       INDEX(CP373:CW373,MATCH(CX373,$CP$17:$CW$17,0))))))</f>
        <v>0</v>
      </c>
      <c r="DA373" s="755">
        <f t="shared" si="175"/>
        <v>0</v>
      </c>
      <c r="DB373" s="387">
        <f t="shared" si="176"/>
        <v>0</v>
      </c>
      <c r="DC373" s="268">
        <f>IF($BN374=0,0,         IF(LEFT(DCC_Leg2_Fixed,2)="1/",uEvaluate(DCC_Leg2_Fixed),         _xll.qDateYears($BN373,$BN374,DCC_Leg2_Fixed)))</f>
        <v>0</v>
      </c>
      <c r="DD373" s="268">
        <f>IF($BN374,_xll.qDateYears($BN373,$BN374,DCC_Leg2_Float),0)</f>
        <v>0</v>
      </c>
      <c r="DF373" s="332">
        <f t="shared" si="191"/>
        <v>0</v>
      </c>
      <c r="DG373" s="357">
        <f t="shared" si="192"/>
        <v>0</v>
      </c>
      <c r="DH373" s="527"/>
      <c r="DJ373" s="324">
        <f t="shared" si="194"/>
        <v>0</v>
      </c>
      <c r="DK373" s="529"/>
      <c r="DL373" s="338"/>
    </row>
    <row r="374" spans="15:116">
      <c r="O374" s="121">
        <v>0</v>
      </c>
      <c r="P374" s="755">
        <f t="shared" si="163"/>
        <v>0</v>
      </c>
      <c r="Q374" s="125">
        <v>0</v>
      </c>
      <c r="R374" s="890">
        <f>IF(O375=0,0,         IF(OR(Currency1="AUD",Currency1="NZD",Currency1="GBP"),O374,   _xll.qDateNext(O374,"-2b",,,IF(Currency1="EUR","TGT","LON"))))</f>
        <v>0</v>
      </c>
      <c r="S374" s="879" t="str">
        <v/>
      </c>
      <c r="T374" s="879" t="str">
        <v/>
      </c>
      <c r="U374" s="879" t="str">
        <v/>
      </c>
      <c r="V374" s="879" t="str">
        <v/>
      </c>
      <c r="W374" s="879" t="str">
        <v/>
      </c>
      <c r="X374" s="879" t="str">
        <v/>
      </c>
      <c r="Y374" s="879" t="str">
        <v/>
      </c>
      <c r="Z374" s="879" t="str">
        <v/>
      </c>
      <c r="AA374" s="882">
        <f>IF($O375=0,0,        _xll.qDateNext($O374,AA$17,$AH$16,TRUE,Currency1))</f>
        <v>0</v>
      </c>
      <c r="AB374" s="882">
        <f>IF($O375=0,0,        _xll.qDateNext($O374,AB$17,$AH$16,TRUE,Currency1))</f>
        <v>0</v>
      </c>
      <c r="AC374" s="882">
        <f>IF($O375=0,0,        _xll.qDateNext($O374,AC$17,$AH$16,TRUE,Currency1))</f>
        <v>0</v>
      </c>
      <c r="AD374" s="882">
        <f>IF($O375=0,0,        _xll.qDateNext($O374,AD$17,$AH$16,TRUE,Currency1))</f>
        <v>0</v>
      </c>
      <c r="AE374" s="882">
        <f>IF($O375=0,0,        _xll.qDateNext($O374,AE$17,$AH$16,TRUE,Currency1))</f>
        <v>0</v>
      </c>
      <c r="AF374" s="882">
        <f>IF($O375=0,0,        _xll.qDateNext($O374,AF$17,$AH$16,TRUE,Currency1))</f>
        <v>0</v>
      </c>
      <c r="AG374" s="882">
        <f>IF($O375=0,0,        _xll.qDateNext($O374,AG$17,$AH$16,TRUE,Currency1))</f>
        <v>0</v>
      </c>
      <c r="AH374" s="882">
        <f>IF($O375=0,0,        _xll.qDateNext($O374,AH$17,$AH$16,TRUE,Currency1))</f>
        <v>0</v>
      </c>
      <c r="AI374" s="886">
        <f>IF($O375=0,0,           IF(FRM,_xll.qGetFwdRate(AI$14,$O374,AA374,"T",DCC_Leg1_Float),_xll.qGetFwdRate(AI$14,$O374,$O375,"T",DCC_Leg1_Float)))</f>
        <v>0</v>
      </c>
      <c r="AJ374" s="886">
        <f>IF($O375=0,0,           IF(FRM,_xll.qGetFwdRate(AJ$14,$O374,AB374,"T",DCC_Leg1_Float),_xll.qGetFwdRate(AJ$14,$O374,$O375,"T",DCC_Leg1_Float)))</f>
        <v>0</v>
      </c>
      <c r="AK374" s="886">
        <f t="shared" si="164"/>
        <v>0</v>
      </c>
      <c r="AL374" s="886">
        <f>IF($O375=0,0,           IF(FRM,_xll.qGetFwdRate(AL$14,$O374,AD374,"T",DCC_Leg1_Float),_xll.qGetFwdRate(AL$14,$O374,$O375,"T",DCC_Leg1_Float)))</f>
        <v>0</v>
      </c>
      <c r="AM374" s="886">
        <f t="shared" si="177"/>
        <v>0</v>
      </c>
      <c r="AN374" s="886">
        <f t="shared" si="178"/>
        <v>0</v>
      </c>
      <c r="AO374" s="886">
        <f>IF($O375=0,0,           IF(FRM,_xll.qGetFwdRate(AO$14,$O374,AG374,"T",DCC_Leg1_Float),_xll.qGetFwdRate(AO$14,$O374,$O375,"T",DCC_Leg1_Float)))</f>
        <v>0</v>
      </c>
      <c r="AP374" s="886">
        <f>IF($O375=0,0,           IF(FRM,_xll.qGetFwdRate(AP$14,$O374,AH374,"T",DCC_Leg1_Float),_xll.qGetFwdRate(AP$14,$O374,$O375,"T",DCC_Leg1_Float)))</f>
        <v>0</v>
      </c>
      <c r="AQ374" s="648">
        <f t="shared" si="179"/>
        <v>0</v>
      </c>
      <c r="AR374" s="648">
        <f t="shared" si="180"/>
        <v>0</v>
      </c>
      <c r="AS374" s="648">
        <f t="shared" si="181"/>
        <v>0</v>
      </c>
      <c r="AT374" s="648">
        <f t="shared" si="182"/>
        <v>0</v>
      </c>
      <c r="AU374" s="648">
        <f t="shared" si="183"/>
        <v>0</v>
      </c>
      <c r="AV374" s="648">
        <f t="shared" si="184"/>
        <v>0</v>
      </c>
      <c r="AW374" s="648">
        <f t="shared" si="185"/>
        <v>0</v>
      </c>
      <c r="AX374" s="648">
        <f t="shared" si="186"/>
        <v>0</v>
      </c>
      <c r="AY374" s="634">
        <v>0</v>
      </c>
      <c r="AZ374" s="616"/>
      <c r="BA374" s="619">
        <f>IF(O375=0,0,             IF(ISNUMBER(AZ374),AZ374,             IF(ISTEXT(AZ374),INDEX(AQ374:AX374,MATCH(AZ374,$AQ$17:$AX$17,0)),           IF(AY374="INT",_xll.qInterp(O375,AA374:AH374,AQ374:AX374),       INDEX(AQ374:AX374,MATCH(AY374,$AQ$17:$AX$17,0))))))</f>
        <v>0</v>
      </c>
      <c r="BB374" s="674">
        <v>100</v>
      </c>
      <c r="BC374" s="666">
        <f t="shared" si="165"/>
        <v>0</v>
      </c>
      <c r="BD374" s="268">
        <f>IF($O375=0,0,                IF(LEFT(DCC_Leg1_Fixed,2)="1/",uEvaluate(DCC_Leg1_Fixed),        _xll.qDateYears($O374,$O375,DCC_Leg1_Fixed)))</f>
        <v>0</v>
      </c>
      <c r="BE374" s="268">
        <f>IF($O375,_xll.qDateYears($O374,$O375,DCC_Leg1_Float),0)</f>
        <v>0</v>
      </c>
      <c r="BG374" s="332">
        <f t="shared" si="187"/>
        <v>0</v>
      </c>
      <c r="BH374" s="357">
        <f t="shared" si="188"/>
        <v>0</v>
      </c>
      <c r="BI374" s="527"/>
      <c r="BK374" s="324">
        <f t="shared" si="193"/>
        <v>0</v>
      </c>
      <c r="BM374" s="338"/>
      <c r="BN374" s="121">
        <v>0</v>
      </c>
      <c r="BO374" s="755">
        <f t="shared" si="166"/>
        <v>0</v>
      </c>
      <c r="BP374" s="339">
        <v>0</v>
      </c>
      <c r="BQ374" s="890">
        <f>IF(BN375=0,0,         IF(OR(Currency2="AUD",Currency1="NZD",Currency2="GBP"),BN374,   _xll.qDateNext(BN374,"-2b",,,IF(Currency2="EUR","TGT","LON"))))</f>
        <v>0</v>
      </c>
      <c r="BR374" s="879" t="str">
        <v/>
      </c>
      <c r="BS374" s="879" t="str">
        <v/>
      </c>
      <c r="BT374" s="879" t="str">
        <v/>
      </c>
      <c r="BU374" s="879" t="str">
        <v/>
      </c>
      <c r="BV374" s="879" t="str">
        <v/>
      </c>
      <c r="BW374" s="879" t="str">
        <v/>
      </c>
      <c r="BX374" s="879" t="str">
        <v/>
      </c>
      <c r="BY374" s="879" t="str">
        <v/>
      </c>
      <c r="BZ374" s="882">
        <f>IF($BN375=0,0,        _xll.qDateNext($BN374,BZ$17,$CG$16,TRUE,Currency2))</f>
        <v>0</v>
      </c>
      <c r="CA374" s="882">
        <f>IF($BN375=0,0,        _xll.qDateNext($BN374,CA$17,$CG$16,TRUE,Currency2))</f>
        <v>0</v>
      </c>
      <c r="CB374" s="882">
        <f>IF($BN375=0,0,        _xll.qDateNext($BN374,CB$17,$CG$16,TRUE,Currency2))</f>
        <v>0</v>
      </c>
      <c r="CC374" s="882">
        <f>IF($BN375=0,0,        _xll.qDateNext($BN374,CC$17,$CG$16,TRUE,Currency2))</f>
        <v>0</v>
      </c>
      <c r="CD374" s="882">
        <f>IF($BN375=0,0,        _xll.qDateNext($BN374,CD$17,$CG$16,TRUE,Currency2))</f>
        <v>0</v>
      </c>
      <c r="CE374" s="882">
        <f>IF($BN375=0,0,        _xll.qDateNext($BN374,CE$17,$CG$16,TRUE,Currency2))</f>
        <v>0</v>
      </c>
      <c r="CF374" s="882">
        <f>IF($BN375=0,0,        _xll.qDateNext($BN374,CF$17,$CG$16,TRUE,Currency2))</f>
        <v>0</v>
      </c>
      <c r="CG374" s="882">
        <f>IF($BN375=0,0,        _xll.qDateNext($BN374,CG$17,$CG$16,TRUE,Currency2))</f>
        <v>0</v>
      </c>
      <c r="CH374" s="886">
        <v>0</v>
      </c>
      <c r="CI374" s="886">
        <v>0</v>
      </c>
      <c r="CJ374" s="886">
        <v>0</v>
      </c>
      <c r="CK374" s="886">
        <v>0</v>
      </c>
      <c r="CL374" s="886">
        <f t="shared" si="189"/>
        <v>0</v>
      </c>
      <c r="CM374" s="886">
        <f t="shared" si="190"/>
        <v>0</v>
      </c>
      <c r="CN374" s="886">
        <v>0</v>
      </c>
      <c r="CO374" s="886">
        <v>0</v>
      </c>
      <c r="CP374" s="648">
        <f t="shared" si="167"/>
        <v>0</v>
      </c>
      <c r="CQ374" s="648">
        <f t="shared" si="168"/>
        <v>0</v>
      </c>
      <c r="CR374" s="648">
        <f t="shared" si="169"/>
        <v>0</v>
      </c>
      <c r="CS374" s="648">
        <f t="shared" si="170"/>
        <v>0</v>
      </c>
      <c r="CT374" s="648">
        <f t="shared" si="171"/>
        <v>0</v>
      </c>
      <c r="CU374" s="648">
        <f t="shared" si="172"/>
        <v>0</v>
      </c>
      <c r="CV374" s="648">
        <f t="shared" si="173"/>
        <v>0</v>
      </c>
      <c r="CW374" s="648">
        <f t="shared" si="174"/>
        <v>0</v>
      </c>
      <c r="CX374" s="634">
        <v>0</v>
      </c>
      <c r="CY374" s="616"/>
      <c r="CZ374" s="619">
        <f>IF(BN375=0,0,             IF(ISNUMBER(CY374),CY374,             IF(ISTEXT(CY374),INDEX(CP374:CW374,MATCH(CY374,$CP$17:$CW$17,0)),           IF(CX374="INT",_xll.qInterp(BN375,BZ374:CG374,CP374:CW374),       INDEX(CP374:CW374,MATCH(CX374,$CP$17:$CW$17,0))))))</f>
        <v>0</v>
      </c>
      <c r="DA374" s="755">
        <f t="shared" si="175"/>
        <v>0</v>
      </c>
      <c r="DB374" s="387">
        <f t="shared" si="176"/>
        <v>0</v>
      </c>
      <c r="DC374" s="268">
        <f>IF($BN375=0,0,         IF(LEFT(DCC_Leg2_Fixed,2)="1/",uEvaluate(DCC_Leg2_Fixed),         _xll.qDateYears($BN374,$BN375,DCC_Leg2_Fixed)))</f>
        <v>0</v>
      </c>
      <c r="DD374" s="268">
        <f>IF($BN375,_xll.qDateYears($BN374,$BN375,DCC_Leg2_Float),0)</f>
        <v>0</v>
      </c>
      <c r="DF374" s="332">
        <f t="shared" si="191"/>
        <v>0</v>
      </c>
      <c r="DG374" s="357">
        <f t="shared" si="192"/>
        <v>0</v>
      </c>
      <c r="DH374" s="527"/>
      <c r="DJ374" s="324">
        <f t="shared" si="194"/>
        <v>0</v>
      </c>
      <c r="DK374" s="529"/>
      <c r="DL374" s="338"/>
    </row>
    <row r="375" spans="15:116">
      <c r="O375" s="121">
        <v>0</v>
      </c>
      <c r="P375" s="755">
        <f t="shared" si="163"/>
        <v>0</v>
      </c>
      <c r="Q375" s="125">
        <v>0</v>
      </c>
      <c r="R375" s="890">
        <f>IF(O376=0,0,         IF(OR(Currency1="AUD",Currency1="NZD",Currency1="GBP"),O375,   _xll.qDateNext(O375,"-2b",,,IF(Currency1="EUR","TGT","LON"))))</f>
        <v>0</v>
      </c>
      <c r="S375" s="879" t="str">
        <v/>
      </c>
      <c r="T375" s="879" t="str">
        <v/>
      </c>
      <c r="U375" s="879" t="str">
        <v/>
      </c>
      <c r="V375" s="879" t="str">
        <v/>
      </c>
      <c r="W375" s="879" t="str">
        <v/>
      </c>
      <c r="X375" s="879" t="str">
        <v/>
      </c>
      <c r="Y375" s="879" t="str">
        <v/>
      </c>
      <c r="Z375" s="879" t="str">
        <v/>
      </c>
      <c r="AA375" s="882">
        <f>IF($O376=0,0,        _xll.qDateNext($O375,AA$17,$AH$16,TRUE,Currency1))</f>
        <v>0</v>
      </c>
      <c r="AB375" s="882">
        <f>IF($O376=0,0,        _xll.qDateNext($O375,AB$17,$AH$16,TRUE,Currency1))</f>
        <v>0</v>
      </c>
      <c r="AC375" s="882">
        <f>IF($O376=0,0,        _xll.qDateNext($O375,AC$17,$AH$16,TRUE,Currency1))</f>
        <v>0</v>
      </c>
      <c r="AD375" s="882">
        <f>IF($O376=0,0,        _xll.qDateNext($O375,AD$17,$AH$16,TRUE,Currency1))</f>
        <v>0</v>
      </c>
      <c r="AE375" s="882">
        <f>IF($O376=0,0,        _xll.qDateNext($O375,AE$17,$AH$16,TRUE,Currency1))</f>
        <v>0</v>
      </c>
      <c r="AF375" s="882">
        <f>IF($O376=0,0,        _xll.qDateNext($O375,AF$17,$AH$16,TRUE,Currency1))</f>
        <v>0</v>
      </c>
      <c r="AG375" s="882">
        <f>IF($O376=0,0,        _xll.qDateNext($O375,AG$17,$AH$16,TRUE,Currency1))</f>
        <v>0</v>
      </c>
      <c r="AH375" s="882">
        <f>IF($O376=0,0,        _xll.qDateNext($O375,AH$17,$AH$16,TRUE,Currency1))</f>
        <v>0</v>
      </c>
      <c r="AI375" s="886">
        <f>IF($O376=0,0,           IF(FRM,_xll.qGetFwdRate(AI$14,$O375,AA375,"T",DCC_Leg1_Float),_xll.qGetFwdRate(AI$14,$O375,$O376,"T",DCC_Leg1_Float)))</f>
        <v>0</v>
      </c>
      <c r="AJ375" s="886">
        <f>IF($O376=0,0,           IF(FRM,_xll.qGetFwdRate(AJ$14,$O375,AB375,"T",DCC_Leg1_Float),_xll.qGetFwdRate(AJ$14,$O375,$O376,"T",DCC_Leg1_Float)))</f>
        <v>0</v>
      </c>
      <c r="AK375" s="886">
        <f t="shared" si="164"/>
        <v>0</v>
      </c>
      <c r="AL375" s="886">
        <f>IF($O376=0,0,           IF(FRM,_xll.qGetFwdRate(AL$14,$O375,AD375,"T",DCC_Leg1_Float),_xll.qGetFwdRate(AL$14,$O375,$O376,"T",DCC_Leg1_Float)))</f>
        <v>0</v>
      </c>
      <c r="AM375" s="886">
        <f t="shared" si="177"/>
        <v>0</v>
      </c>
      <c r="AN375" s="886">
        <f t="shared" si="178"/>
        <v>0</v>
      </c>
      <c r="AO375" s="886">
        <f>IF($O376=0,0,           IF(FRM,_xll.qGetFwdRate(AO$14,$O375,AG375,"T",DCC_Leg1_Float),_xll.qGetFwdRate(AO$14,$O375,$O376,"T",DCC_Leg1_Float)))</f>
        <v>0</v>
      </c>
      <c r="AP375" s="886">
        <f>IF($O376=0,0,           IF(FRM,_xll.qGetFwdRate(AP$14,$O375,AH375,"T",DCC_Leg1_Float),_xll.qGetFwdRate(AP$14,$O375,$O376,"T",DCC_Leg1_Float)))</f>
        <v>0</v>
      </c>
      <c r="AQ375" s="648">
        <f t="shared" si="179"/>
        <v>0</v>
      </c>
      <c r="AR375" s="648">
        <f t="shared" si="180"/>
        <v>0</v>
      </c>
      <c r="AS375" s="648">
        <f t="shared" si="181"/>
        <v>0</v>
      </c>
      <c r="AT375" s="648">
        <f t="shared" si="182"/>
        <v>0</v>
      </c>
      <c r="AU375" s="648">
        <f t="shared" si="183"/>
        <v>0</v>
      </c>
      <c r="AV375" s="648">
        <f t="shared" si="184"/>
        <v>0</v>
      </c>
      <c r="AW375" s="648">
        <f t="shared" si="185"/>
        <v>0</v>
      </c>
      <c r="AX375" s="648">
        <f t="shared" si="186"/>
        <v>0</v>
      </c>
      <c r="AY375" s="634">
        <v>0</v>
      </c>
      <c r="AZ375" s="616"/>
      <c r="BA375" s="619">
        <f>IF(O376=0,0,             IF(ISNUMBER(AZ375),AZ375,             IF(ISTEXT(AZ375),INDEX(AQ375:AX375,MATCH(AZ375,$AQ$17:$AX$17,0)),           IF(AY375="INT",_xll.qInterp(O376,AA375:AH375,AQ375:AX375),       INDEX(AQ375:AX375,MATCH(AY375,$AQ$17:$AX$17,0))))))</f>
        <v>0</v>
      </c>
      <c r="BB375" s="674">
        <v>100</v>
      </c>
      <c r="BC375" s="666">
        <f t="shared" si="165"/>
        <v>0</v>
      </c>
      <c r="BD375" s="268">
        <f>IF($O376=0,0,                IF(LEFT(DCC_Leg1_Fixed,2)="1/",uEvaluate(DCC_Leg1_Fixed),        _xll.qDateYears($O375,$O376,DCC_Leg1_Fixed)))</f>
        <v>0</v>
      </c>
      <c r="BE375" s="268">
        <f>IF($O376,_xll.qDateYears($O375,$O376,DCC_Leg1_Float),0)</f>
        <v>0</v>
      </c>
      <c r="BG375" s="332">
        <f t="shared" si="187"/>
        <v>0</v>
      </c>
      <c r="BH375" s="357">
        <f t="shared" si="188"/>
        <v>0</v>
      </c>
      <c r="BI375" s="527"/>
      <c r="BK375" s="324">
        <f t="shared" si="193"/>
        <v>0</v>
      </c>
      <c r="BM375" s="338"/>
      <c r="BN375" s="121">
        <v>0</v>
      </c>
      <c r="BO375" s="755">
        <f t="shared" si="166"/>
        <v>0</v>
      </c>
      <c r="BP375" s="339">
        <v>0</v>
      </c>
      <c r="BQ375" s="890">
        <f>IF(BN376=0,0,         IF(OR(Currency2="AUD",Currency1="NZD",Currency2="GBP"),BN375,   _xll.qDateNext(BN375,"-2b",,,IF(Currency2="EUR","TGT","LON"))))</f>
        <v>0</v>
      </c>
      <c r="BR375" s="879" t="str">
        <v/>
      </c>
      <c r="BS375" s="879" t="str">
        <v/>
      </c>
      <c r="BT375" s="879" t="str">
        <v/>
      </c>
      <c r="BU375" s="879" t="str">
        <v/>
      </c>
      <c r="BV375" s="879" t="str">
        <v/>
      </c>
      <c r="BW375" s="879" t="str">
        <v/>
      </c>
      <c r="BX375" s="879" t="str">
        <v/>
      </c>
      <c r="BY375" s="879" t="str">
        <v/>
      </c>
      <c r="BZ375" s="882">
        <f>IF($BN376=0,0,        _xll.qDateNext($BN375,BZ$17,$CG$16,TRUE,Currency2))</f>
        <v>0</v>
      </c>
      <c r="CA375" s="882">
        <f>IF($BN376=0,0,        _xll.qDateNext($BN375,CA$17,$CG$16,TRUE,Currency2))</f>
        <v>0</v>
      </c>
      <c r="CB375" s="882">
        <f>IF($BN376=0,0,        _xll.qDateNext($BN375,CB$17,$CG$16,TRUE,Currency2))</f>
        <v>0</v>
      </c>
      <c r="CC375" s="882">
        <f>IF($BN376=0,0,        _xll.qDateNext($BN375,CC$17,$CG$16,TRUE,Currency2))</f>
        <v>0</v>
      </c>
      <c r="CD375" s="882">
        <f>IF($BN376=0,0,        _xll.qDateNext($BN375,CD$17,$CG$16,TRUE,Currency2))</f>
        <v>0</v>
      </c>
      <c r="CE375" s="882">
        <f>IF($BN376=0,0,        _xll.qDateNext($BN375,CE$17,$CG$16,TRUE,Currency2))</f>
        <v>0</v>
      </c>
      <c r="CF375" s="882">
        <f>IF($BN376=0,0,        _xll.qDateNext($BN375,CF$17,$CG$16,TRUE,Currency2))</f>
        <v>0</v>
      </c>
      <c r="CG375" s="882">
        <f>IF($BN376=0,0,        _xll.qDateNext($BN375,CG$17,$CG$16,TRUE,Currency2))</f>
        <v>0</v>
      </c>
      <c r="CH375" s="886">
        <v>0</v>
      </c>
      <c r="CI375" s="886">
        <v>0</v>
      </c>
      <c r="CJ375" s="886">
        <v>0</v>
      </c>
      <c r="CK375" s="886">
        <v>0</v>
      </c>
      <c r="CL375" s="886">
        <f t="shared" si="189"/>
        <v>0</v>
      </c>
      <c r="CM375" s="886">
        <f t="shared" si="190"/>
        <v>0</v>
      </c>
      <c r="CN375" s="886">
        <v>0</v>
      </c>
      <c r="CO375" s="886">
        <v>0</v>
      </c>
      <c r="CP375" s="648">
        <f t="shared" si="167"/>
        <v>0</v>
      </c>
      <c r="CQ375" s="648">
        <f t="shared" si="168"/>
        <v>0</v>
      </c>
      <c r="CR375" s="648">
        <f t="shared" si="169"/>
        <v>0</v>
      </c>
      <c r="CS375" s="648">
        <f t="shared" si="170"/>
        <v>0</v>
      </c>
      <c r="CT375" s="648">
        <f t="shared" si="171"/>
        <v>0</v>
      </c>
      <c r="CU375" s="648">
        <f t="shared" si="172"/>
        <v>0</v>
      </c>
      <c r="CV375" s="648">
        <f t="shared" si="173"/>
        <v>0</v>
      </c>
      <c r="CW375" s="648">
        <f t="shared" si="174"/>
        <v>0</v>
      </c>
      <c r="CX375" s="634">
        <v>0</v>
      </c>
      <c r="CY375" s="616"/>
      <c r="CZ375" s="619">
        <f>IF(BN376=0,0,             IF(ISNUMBER(CY375),CY375,             IF(ISTEXT(CY375),INDEX(CP375:CW375,MATCH(CY375,$CP$17:$CW$17,0)),           IF(CX375="INT",_xll.qInterp(BN376,BZ375:CG375,CP375:CW375),       INDEX(CP375:CW375,MATCH(CX375,$CP$17:$CW$17,0))))))</f>
        <v>0</v>
      </c>
      <c r="DA375" s="755">
        <f t="shared" si="175"/>
        <v>0</v>
      </c>
      <c r="DB375" s="387">
        <f t="shared" si="176"/>
        <v>0</v>
      </c>
      <c r="DC375" s="268">
        <f>IF($BN376=0,0,         IF(LEFT(DCC_Leg2_Fixed,2)="1/",uEvaluate(DCC_Leg2_Fixed),         _xll.qDateYears($BN375,$BN376,DCC_Leg2_Fixed)))</f>
        <v>0</v>
      </c>
      <c r="DD375" s="268">
        <f>IF($BN376,_xll.qDateYears($BN375,$BN376,DCC_Leg2_Float),0)</f>
        <v>0</v>
      </c>
      <c r="DF375" s="332">
        <f t="shared" si="191"/>
        <v>0</v>
      </c>
      <c r="DG375" s="357">
        <f t="shared" si="192"/>
        <v>0</v>
      </c>
      <c r="DH375" s="527"/>
      <c r="DJ375" s="324">
        <f t="shared" si="194"/>
        <v>0</v>
      </c>
      <c r="DK375" s="529"/>
      <c r="DL375" s="338"/>
    </row>
    <row r="376" spans="15:116">
      <c r="O376" s="121">
        <v>0</v>
      </c>
      <c r="P376" s="755">
        <f t="shared" si="163"/>
        <v>0</v>
      </c>
      <c r="Q376" s="125">
        <v>0</v>
      </c>
      <c r="R376" s="890">
        <f>IF(O377=0,0,         IF(OR(Currency1="AUD",Currency1="NZD",Currency1="GBP"),O376,   _xll.qDateNext(O376,"-2b",,,IF(Currency1="EUR","TGT","LON"))))</f>
        <v>0</v>
      </c>
      <c r="S376" s="879" t="str">
        <v/>
      </c>
      <c r="T376" s="879" t="str">
        <v/>
      </c>
      <c r="U376" s="879" t="str">
        <v/>
      </c>
      <c r="V376" s="879" t="str">
        <v/>
      </c>
      <c r="W376" s="879" t="str">
        <v/>
      </c>
      <c r="X376" s="879" t="str">
        <v/>
      </c>
      <c r="Y376" s="879" t="str">
        <v/>
      </c>
      <c r="Z376" s="879" t="str">
        <v/>
      </c>
      <c r="AA376" s="882">
        <f>IF($O377=0,0,        _xll.qDateNext($O376,AA$17,$AH$16,TRUE,Currency1))</f>
        <v>0</v>
      </c>
      <c r="AB376" s="882">
        <f>IF($O377=0,0,        _xll.qDateNext($O376,AB$17,$AH$16,TRUE,Currency1))</f>
        <v>0</v>
      </c>
      <c r="AC376" s="882">
        <f>IF($O377=0,0,        _xll.qDateNext($O376,AC$17,$AH$16,TRUE,Currency1))</f>
        <v>0</v>
      </c>
      <c r="AD376" s="882">
        <f>IF($O377=0,0,        _xll.qDateNext($O376,AD$17,$AH$16,TRUE,Currency1))</f>
        <v>0</v>
      </c>
      <c r="AE376" s="882">
        <f>IF($O377=0,0,        _xll.qDateNext($O376,AE$17,$AH$16,TRUE,Currency1))</f>
        <v>0</v>
      </c>
      <c r="AF376" s="882">
        <f>IF($O377=0,0,        _xll.qDateNext($O376,AF$17,$AH$16,TRUE,Currency1))</f>
        <v>0</v>
      </c>
      <c r="AG376" s="882">
        <f>IF($O377=0,0,        _xll.qDateNext($O376,AG$17,$AH$16,TRUE,Currency1))</f>
        <v>0</v>
      </c>
      <c r="AH376" s="882">
        <f>IF($O377=0,0,        _xll.qDateNext($O376,AH$17,$AH$16,TRUE,Currency1))</f>
        <v>0</v>
      </c>
      <c r="AI376" s="886">
        <f>IF($O377=0,0,           IF(FRM,_xll.qGetFwdRate(AI$14,$O376,AA376,"T",DCC_Leg1_Float),_xll.qGetFwdRate(AI$14,$O376,$O377,"T",DCC_Leg1_Float)))</f>
        <v>0</v>
      </c>
      <c r="AJ376" s="886">
        <f>IF($O377=0,0,           IF(FRM,_xll.qGetFwdRate(AJ$14,$O376,AB376,"T",DCC_Leg1_Float),_xll.qGetFwdRate(AJ$14,$O376,$O377,"T",DCC_Leg1_Float)))</f>
        <v>0</v>
      </c>
      <c r="AK376" s="886">
        <f t="shared" si="164"/>
        <v>0</v>
      </c>
      <c r="AL376" s="886">
        <f>IF($O377=0,0,           IF(FRM,_xll.qGetFwdRate(AL$14,$O376,AD376,"T",DCC_Leg1_Float),_xll.qGetFwdRate(AL$14,$O376,$O377,"T",DCC_Leg1_Float)))</f>
        <v>0</v>
      </c>
      <c r="AM376" s="886">
        <f t="shared" si="177"/>
        <v>0</v>
      </c>
      <c r="AN376" s="886">
        <f t="shared" si="178"/>
        <v>0</v>
      </c>
      <c r="AO376" s="886">
        <f>IF($O377=0,0,           IF(FRM,_xll.qGetFwdRate(AO$14,$O376,AG376,"T",DCC_Leg1_Float),_xll.qGetFwdRate(AO$14,$O376,$O377,"T",DCC_Leg1_Float)))</f>
        <v>0</v>
      </c>
      <c r="AP376" s="886">
        <f>IF($O377=0,0,           IF(FRM,_xll.qGetFwdRate(AP$14,$O376,AH376,"T",DCC_Leg1_Float),_xll.qGetFwdRate(AP$14,$O376,$O377,"T",DCC_Leg1_Float)))</f>
        <v>0</v>
      </c>
      <c r="AQ376" s="648">
        <f t="shared" si="179"/>
        <v>0</v>
      </c>
      <c r="AR376" s="648">
        <f t="shared" si="180"/>
        <v>0</v>
      </c>
      <c r="AS376" s="648">
        <f t="shared" si="181"/>
        <v>0</v>
      </c>
      <c r="AT376" s="648">
        <f t="shared" si="182"/>
        <v>0</v>
      </c>
      <c r="AU376" s="648">
        <f t="shared" si="183"/>
        <v>0</v>
      </c>
      <c r="AV376" s="648">
        <f t="shared" si="184"/>
        <v>0</v>
      </c>
      <c r="AW376" s="648">
        <f t="shared" si="185"/>
        <v>0</v>
      </c>
      <c r="AX376" s="648">
        <f t="shared" si="186"/>
        <v>0</v>
      </c>
      <c r="AY376" s="634">
        <v>0</v>
      </c>
      <c r="AZ376" s="616"/>
      <c r="BA376" s="619">
        <f>IF(O377=0,0,             IF(ISNUMBER(AZ376),AZ376,             IF(ISTEXT(AZ376),INDEX(AQ376:AX376,MATCH(AZ376,$AQ$17:$AX$17,0)),           IF(AY376="INT",_xll.qInterp(O377,AA376:AH376,AQ376:AX376),       INDEX(AQ376:AX376,MATCH(AY376,$AQ$17:$AX$17,0))))))</f>
        <v>0</v>
      </c>
      <c r="BB376" s="674">
        <v>100</v>
      </c>
      <c r="BC376" s="666">
        <f t="shared" si="165"/>
        <v>0</v>
      </c>
      <c r="BD376" s="268">
        <f>IF($O377=0,0,                IF(LEFT(DCC_Leg1_Fixed,2)="1/",uEvaluate(DCC_Leg1_Fixed),        _xll.qDateYears($O376,$O377,DCC_Leg1_Fixed)))</f>
        <v>0</v>
      </c>
      <c r="BE376" s="268">
        <f>IF($O377,_xll.qDateYears($O376,$O377,DCC_Leg1_Float),0)</f>
        <v>0</v>
      </c>
      <c r="BG376" s="332">
        <f t="shared" si="187"/>
        <v>0</v>
      </c>
      <c r="BH376" s="357">
        <f t="shared" si="188"/>
        <v>0</v>
      </c>
      <c r="BI376" s="527"/>
      <c r="BK376" s="324">
        <f t="shared" si="193"/>
        <v>0</v>
      </c>
      <c r="BM376" s="338"/>
      <c r="BN376" s="121">
        <v>0</v>
      </c>
      <c r="BO376" s="755">
        <f t="shared" si="166"/>
        <v>0</v>
      </c>
      <c r="BP376" s="339">
        <v>0</v>
      </c>
      <c r="BQ376" s="890">
        <f>IF(BN377=0,0,         IF(OR(Currency2="AUD",Currency1="NZD",Currency2="GBP"),BN376,   _xll.qDateNext(BN376,"-2b",,,IF(Currency2="EUR","TGT","LON"))))</f>
        <v>0</v>
      </c>
      <c r="BR376" s="879" t="str">
        <v/>
      </c>
      <c r="BS376" s="879" t="str">
        <v/>
      </c>
      <c r="BT376" s="879" t="str">
        <v/>
      </c>
      <c r="BU376" s="879" t="str">
        <v/>
      </c>
      <c r="BV376" s="879" t="str">
        <v/>
      </c>
      <c r="BW376" s="879" t="str">
        <v/>
      </c>
      <c r="BX376" s="879" t="str">
        <v/>
      </c>
      <c r="BY376" s="879" t="str">
        <v/>
      </c>
      <c r="BZ376" s="882">
        <f>IF($BN377=0,0,        _xll.qDateNext($BN376,BZ$17,$CG$16,TRUE,Currency2))</f>
        <v>0</v>
      </c>
      <c r="CA376" s="882">
        <f>IF($BN377=0,0,        _xll.qDateNext($BN376,CA$17,$CG$16,TRUE,Currency2))</f>
        <v>0</v>
      </c>
      <c r="CB376" s="882">
        <f>IF($BN377=0,0,        _xll.qDateNext($BN376,CB$17,$CG$16,TRUE,Currency2))</f>
        <v>0</v>
      </c>
      <c r="CC376" s="882">
        <f>IF($BN377=0,0,        _xll.qDateNext($BN376,CC$17,$CG$16,TRUE,Currency2))</f>
        <v>0</v>
      </c>
      <c r="CD376" s="882">
        <f>IF($BN377=0,0,        _xll.qDateNext($BN376,CD$17,$CG$16,TRUE,Currency2))</f>
        <v>0</v>
      </c>
      <c r="CE376" s="882">
        <f>IF($BN377=0,0,        _xll.qDateNext($BN376,CE$17,$CG$16,TRUE,Currency2))</f>
        <v>0</v>
      </c>
      <c r="CF376" s="882">
        <f>IF($BN377=0,0,        _xll.qDateNext($BN376,CF$17,$CG$16,TRUE,Currency2))</f>
        <v>0</v>
      </c>
      <c r="CG376" s="882">
        <f>IF($BN377=0,0,        _xll.qDateNext($BN376,CG$17,$CG$16,TRUE,Currency2))</f>
        <v>0</v>
      </c>
      <c r="CH376" s="886">
        <v>0</v>
      </c>
      <c r="CI376" s="886">
        <v>0</v>
      </c>
      <c r="CJ376" s="886">
        <v>0</v>
      </c>
      <c r="CK376" s="886">
        <v>0</v>
      </c>
      <c r="CL376" s="886">
        <f t="shared" si="189"/>
        <v>0</v>
      </c>
      <c r="CM376" s="886">
        <f t="shared" si="190"/>
        <v>0</v>
      </c>
      <c r="CN376" s="886">
        <v>0</v>
      </c>
      <c r="CO376" s="886">
        <v>0</v>
      </c>
      <c r="CP376" s="648">
        <f t="shared" si="167"/>
        <v>0</v>
      </c>
      <c r="CQ376" s="648">
        <f t="shared" si="168"/>
        <v>0</v>
      </c>
      <c r="CR376" s="648">
        <f t="shared" si="169"/>
        <v>0</v>
      </c>
      <c r="CS376" s="648">
        <f t="shared" si="170"/>
        <v>0</v>
      </c>
      <c r="CT376" s="648">
        <f t="shared" si="171"/>
        <v>0</v>
      </c>
      <c r="CU376" s="648">
        <f t="shared" si="172"/>
        <v>0</v>
      </c>
      <c r="CV376" s="648">
        <f t="shared" si="173"/>
        <v>0</v>
      </c>
      <c r="CW376" s="648">
        <f t="shared" si="174"/>
        <v>0</v>
      </c>
      <c r="CX376" s="634">
        <v>0</v>
      </c>
      <c r="CY376" s="616"/>
      <c r="CZ376" s="619">
        <f>IF(BN377=0,0,             IF(ISNUMBER(CY376),CY376,             IF(ISTEXT(CY376),INDEX(CP376:CW376,MATCH(CY376,$CP$17:$CW$17,0)),           IF(CX376="INT",_xll.qInterp(BN377,BZ376:CG376,CP376:CW376),       INDEX(CP376:CW376,MATCH(CX376,$CP$17:$CW$17,0))))))</f>
        <v>0</v>
      </c>
      <c r="DA376" s="755">
        <f t="shared" si="175"/>
        <v>0</v>
      </c>
      <c r="DB376" s="387">
        <f t="shared" si="176"/>
        <v>0</v>
      </c>
      <c r="DC376" s="268">
        <f>IF($BN377=0,0,         IF(LEFT(DCC_Leg2_Fixed,2)="1/",uEvaluate(DCC_Leg2_Fixed),         _xll.qDateYears($BN376,$BN377,DCC_Leg2_Fixed)))</f>
        <v>0</v>
      </c>
      <c r="DD376" s="268">
        <f>IF($BN377,_xll.qDateYears($BN376,$BN377,DCC_Leg2_Float),0)</f>
        <v>0</v>
      </c>
      <c r="DF376" s="332">
        <f t="shared" si="191"/>
        <v>0</v>
      </c>
      <c r="DG376" s="357">
        <f t="shared" si="192"/>
        <v>0</v>
      </c>
      <c r="DH376" s="527"/>
      <c r="DJ376" s="324">
        <f t="shared" si="194"/>
        <v>0</v>
      </c>
      <c r="DK376" s="529"/>
      <c r="DL376" s="338"/>
    </row>
    <row r="377" spans="15:116">
      <c r="O377" s="121">
        <v>0</v>
      </c>
      <c r="P377" s="755">
        <f t="shared" si="163"/>
        <v>0</v>
      </c>
      <c r="Q377" s="125">
        <v>0</v>
      </c>
      <c r="R377" s="890">
        <f>IF(O378=0,0,         IF(OR(Currency1="AUD",Currency1="NZD",Currency1="GBP"),O377,   _xll.qDateNext(O377,"-2b",,,IF(Currency1="EUR","TGT","LON"))))</f>
        <v>0</v>
      </c>
      <c r="S377" s="879" t="str">
        <v/>
      </c>
      <c r="T377" s="879" t="str">
        <v/>
      </c>
      <c r="U377" s="879" t="str">
        <v/>
      </c>
      <c r="V377" s="879" t="str">
        <v/>
      </c>
      <c r="W377" s="879" t="str">
        <v/>
      </c>
      <c r="X377" s="879" t="str">
        <v/>
      </c>
      <c r="Y377" s="879" t="str">
        <v/>
      </c>
      <c r="Z377" s="879" t="str">
        <v/>
      </c>
      <c r="AA377" s="882">
        <f>IF($O378=0,0,        _xll.qDateNext($O377,AA$17,$AH$16,TRUE,Currency1))</f>
        <v>0</v>
      </c>
      <c r="AB377" s="882">
        <f>IF($O378=0,0,        _xll.qDateNext($O377,AB$17,$AH$16,TRUE,Currency1))</f>
        <v>0</v>
      </c>
      <c r="AC377" s="882">
        <f>IF($O378=0,0,        _xll.qDateNext($O377,AC$17,$AH$16,TRUE,Currency1))</f>
        <v>0</v>
      </c>
      <c r="AD377" s="882">
        <f>IF($O378=0,0,        _xll.qDateNext($O377,AD$17,$AH$16,TRUE,Currency1))</f>
        <v>0</v>
      </c>
      <c r="AE377" s="882">
        <f>IF($O378=0,0,        _xll.qDateNext($O377,AE$17,$AH$16,TRUE,Currency1))</f>
        <v>0</v>
      </c>
      <c r="AF377" s="882">
        <f>IF($O378=0,0,        _xll.qDateNext($O377,AF$17,$AH$16,TRUE,Currency1))</f>
        <v>0</v>
      </c>
      <c r="AG377" s="882">
        <f>IF($O378=0,0,        _xll.qDateNext($O377,AG$17,$AH$16,TRUE,Currency1))</f>
        <v>0</v>
      </c>
      <c r="AH377" s="882">
        <f>IF($O378=0,0,        _xll.qDateNext($O377,AH$17,$AH$16,TRUE,Currency1))</f>
        <v>0</v>
      </c>
      <c r="AI377" s="886">
        <f>IF($O378=0,0,           IF(FRM,_xll.qGetFwdRate(AI$14,$O377,AA377,"T",DCC_Leg1_Float),_xll.qGetFwdRate(AI$14,$O377,$O378,"T",DCC_Leg1_Float)))</f>
        <v>0</v>
      </c>
      <c r="AJ377" s="886">
        <f>IF($O378=0,0,           IF(FRM,_xll.qGetFwdRate(AJ$14,$O377,AB377,"T",DCC_Leg1_Float),_xll.qGetFwdRate(AJ$14,$O377,$O378,"T",DCC_Leg1_Float)))</f>
        <v>0</v>
      </c>
      <c r="AK377" s="886">
        <f t="shared" si="164"/>
        <v>0</v>
      </c>
      <c r="AL377" s="886">
        <f>IF($O378=0,0,           IF(FRM,_xll.qGetFwdRate(AL$14,$O377,AD377,"T",DCC_Leg1_Float),_xll.qGetFwdRate(AL$14,$O377,$O378,"T",DCC_Leg1_Float)))</f>
        <v>0</v>
      </c>
      <c r="AM377" s="886">
        <f t="shared" si="177"/>
        <v>0</v>
      </c>
      <c r="AN377" s="886">
        <f t="shared" si="178"/>
        <v>0</v>
      </c>
      <c r="AO377" s="886">
        <f>IF($O378=0,0,           IF(FRM,_xll.qGetFwdRate(AO$14,$O377,AG377,"T",DCC_Leg1_Float),_xll.qGetFwdRate(AO$14,$O377,$O378,"T",DCC_Leg1_Float)))</f>
        <v>0</v>
      </c>
      <c r="AP377" s="886">
        <f>IF($O378=0,0,           IF(FRM,_xll.qGetFwdRate(AP$14,$O377,AH377,"T",DCC_Leg1_Float),_xll.qGetFwdRate(AP$14,$O377,$O378,"T",DCC_Leg1_Float)))</f>
        <v>0</v>
      </c>
      <c r="AQ377" s="648">
        <f t="shared" si="179"/>
        <v>0</v>
      </c>
      <c r="AR377" s="648">
        <f t="shared" si="180"/>
        <v>0</v>
      </c>
      <c r="AS377" s="648">
        <f t="shared" si="181"/>
        <v>0</v>
      </c>
      <c r="AT377" s="648">
        <f t="shared" si="182"/>
        <v>0</v>
      </c>
      <c r="AU377" s="648">
        <f t="shared" si="183"/>
        <v>0</v>
      </c>
      <c r="AV377" s="648">
        <f t="shared" si="184"/>
        <v>0</v>
      </c>
      <c r="AW377" s="648">
        <f t="shared" si="185"/>
        <v>0</v>
      </c>
      <c r="AX377" s="648">
        <f t="shared" si="186"/>
        <v>0</v>
      </c>
      <c r="AY377" s="634">
        <v>0</v>
      </c>
      <c r="AZ377" s="616"/>
      <c r="BA377" s="619">
        <f>IF(O378=0,0,             IF(ISNUMBER(AZ377),AZ377,             IF(ISTEXT(AZ377),INDEX(AQ377:AX377,MATCH(AZ377,$AQ$17:$AX$17,0)),           IF(AY377="INT",_xll.qInterp(O378,AA377:AH377,AQ377:AX377),       INDEX(AQ377:AX377,MATCH(AY377,$AQ$17:$AX$17,0))))))</f>
        <v>0</v>
      </c>
      <c r="BB377" s="674">
        <v>100</v>
      </c>
      <c r="BC377" s="666">
        <f t="shared" si="165"/>
        <v>0</v>
      </c>
      <c r="BD377" s="268">
        <f>IF($O378=0,0,                IF(LEFT(DCC_Leg1_Fixed,2)="1/",uEvaluate(DCC_Leg1_Fixed),        _xll.qDateYears($O377,$O378,DCC_Leg1_Fixed)))</f>
        <v>0</v>
      </c>
      <c r="BE377" s="268">
        <f>IF($O378,_xll.qDateYears($O377,$O378,DCC_Leg1_Float),0)</f>
        <v>0</v>
      </c>
      <c r="BG377" s="332">
        <f t="shared" si="187"/>
        <v>0</v>
      </c>
      <c r="BH377" s="357">
        <f t="shared" si="188"/>
        <v>0</v>
      </c>
      <c r="BI377" s="527"/>
      <c r="BK377" s="324">
        <f t="shared" si="193"/>
        <v>0</v>
      </c>
      <c r="BM377" s="338"/>
      <c r="BN377" s="121">
        <v>0</v>
      </c>
      <c r="BO377" s="755">
        <f t="shared" si="166"/>
        <v>0</v>
      </c>
      <c r="BP377" s="339">
        <v>0</v>
      </c>
      <c r="BQ377" s="890">
        <f>IF(BN378=0,0,         IF(OR(Currency2="AUD",Currency1="NZD",Currency2="GBP"),BN377,   _xll.qDateNext(BN377,"-2b",,,IF(Currency2="EUR","TGT","LON"))))</f>
        <v>0</v>
      </c>
      <c r="BR377" s="879" t="str">
        <v/>
      </c>
      <c r="BS377" s="879" t="str">
        <v/>
      </c>
      <c r="BT377" s="879" t="str">
        <v/>
      </c>
      <c r="BU377" s="879" t="str">
        <v/>
      </c>
      <c r="BV377" s="879" t="str">
        <v/>
      </c>
      <c r="BW377" s="879" t="str">
        <v/>
      </c>
      <c r="BX377" s="879" t="str">
        <v/>
      </c>
      <c r="BY377" s="879" t="str">
        <v/>
      </c>
      <c r="BZ377" s="882">
        <f>IF($BN378=0,0,        _xll.qDateNext($BN377,BZ$17,$CG$16,TRUE,Currency2))</f>
        <v>0</v>
      </c>
      <c r="CA377" s="882">
        <f>IF($BN378=0,0,        _xll.qDateNext($BN377,CA$17,$CG$16,TRUE,Currency2))</f>
        <v>0</v>
      </c>
      <c r="CB377" s="882">
        <f>IF($BN378=0,0,        _xll.qDateNext($BN377,CB$17,$CG$16,TRUE,Currency2))</f>
        <v>0</v>
      </c>
      <c r="CC377" s="882">
        <f>IF($BN378=0,0,        _xll.qDateNext($BN377,CC$17,$CG$16,TRUE,Currency2))</f>
        <v>0</v>
      </c>
      <c r="CD377" s="882">
        <f>IF($BN378=0,0,        _xll.qDateNext($BN377,CD$17,$CG$16,TRUE,Currency2))</f>
        <v>0</v>
      </c>
      <c r="CE377" s="882">
        <f>IF($BN378=0,0,        _xll.qDateNext($BN377,CE$17,$CG$16,TRUE,Currency2))</f>
        <v>0</v>
      </c>
      <c r="CF377" s="882">
        <f>IF($BN378=0,0,        _xll.qDateNext($BN377,CF$17,$CG$16,TRUE,Currency2))</f>
        <v>0</v>
      </c>
      <c r="CG377" s="882">
        <f>IF($BN378=0,0,        _xll.qDateNext($BN377,CG$17,$CG$16,TRUE,Currency2))</f>
        <v>0</v>
      </c>
      <c r="CH377" s="886">
        <v>0</v>
      </c>
      <c r="CI377" s="886">
        <v>0</v>
      </c>
      <c r="CJ377" s="886">
        <v>0</v>
      </c>
      <c r="CK377" s="886">
        <v>0</v>
      </c>
      <c r="CL377" s="886">
        <f t="shared" si="189"/>
        <v>0</v>
      </c>
      <c r="CM377" s="886">
        <f t="shared" si="190"/>
        <v>0</v>
      </c>
      <c r="CN377" s="886">
        <v>0</v>
      </c>
      <c r="CO377" s="886">
        <v>0</v>
      </c>
      <c r="CP377" s="648">
        <f t="shared" si="167"/>
        <v>0</v>
      </c>
      <c r="CQ377" s="648">
        <f t="shared" si="168"/>
        <v>0</v>
      </c>
      <c r="CR377" s="648">
        <f t="shared" si="169"/>
        <v>0</v>
      </c>
      <c r="CS377" s="648">
        <f t="shared" si="170"/>
        <v>0</v>
      </c>
      <c r="CT377" s="648">
        <f t="shared" si="171"/>
        <v>0</v>
      </c>
      <c r="CU377" s="648">
        <f t="shared" si="172"/>
        <v>0</v>
      </c>
      <c r="CV377" s="648">
        <f t="shared" si="173"/>
        <v>0</v>
      </c>
      <c r="CW377" s="648">
        <f t="shared" si="174"/>
        <v>0</v>
      </c>
      <c r="CX377" s="634">
        <v>0</v>
      </c>
      <c r="CY377" s="616"/>
      <c r="CZ377" s="619">
        <f>IF(BN378=0,0,             IF(ISNUMBER(CY377),CY377,             IF(ISTEXT(CY377),INDEX(CP377:CW377,MATCH(CY377,$CP$17:$CW$17,0)),           IF(CX377="INT",_xll.qInterp(BN378,BZ377:CG377,CP377:CW377),       INDEX(CP377:CW377,MATCH(CX377,$CP$17:$CW$17,0))))))</f>
        <v>0</v>
      </c>
      <c r="DA377" s="755">
        <f t="shared" si="175"/>
        <v>0</v>
      </c>
      <c r="DB377" s="387">
        <f t="shared" si="176"/>
        <v>0</v>
      </c>
      <c r="DC377" s="268">
        <f>IF($BN378=0,0,         IF(LEFT(DCC_Leg2_Fixed,2)="1/",uEvaluate(DCC_Leg2_Fixed),         _xll.qDateYears($BN377,$BN378,DCC_Leg2_Fixed)))</f>
        <v>0</v>
      </c>
      <c r="DD377" s="268">
        <f>IF($BN378,_xll.qDateYears($BN377,$BN378,DCC_Leg2_Float),0)</f>
        <v>0</v>
      </c>
      <c r="DF377" s="332">
        <f t="shared" si="191"/>
        <v>0</v>
      </c>
      <c r="DG377" s="357">
        <f t="shared" si="192"/>
        <v>0</v>
      </c>
      <c r="DH377" s="527"/>
      <c r="DJ377" s="324">
        <f t="shared" si="194"/>
        <v>0</v>
      </c>
      <c r="DK377" s="529"/>
      <c r="DL377" s="338"/>
    </row>
    <row r="378" spans="15:116">
      <c r="O378" s="121">
        <v>0</v>
      </c>
      <c r="P378" s="755">
        <f t="shared" si="163"/>
        <v>0</v>
      </c>
      <c r="Q378" s="125">
        <v>0</v>
      </c>
      <c r="R378" s="890">
        <f>IF(O379=0,0,         IF(OR(Currency1="AUD",Currency1="NZD",Currency1="GBP"),O378,   _xll.qDateNext(O378,"-2b",,,IF(Currency1="EUR","TGT","LON"))))</f>
        <v>0</v>
      </c>
      <c r="S378" s="879" t="str">
        <v/>
      </c>
      <c r="T378" s="879" t="str">
        <v/>
      </c>
      <c r="U378" s="879" t="str">
        <v/>
      </c>
      <c r="V378" s="879" t="str">
        <v/>
      </c>
      <c r="W378" s="879" t="str">
        <v/>
      </c>
      <c r="X378" s="879" t="str">
        <v/>
      </c>
      <c r="Y378" s="879" t="str">
        <v/>
      </c>
      <c r="Z378" s="879" t="str">
        <v/>
      </c>
      <c r="AA378" s="882">
        <f>IF($O379=0,0,        _xll.qDateNext($O378,AA$17,$AH$16,TRUE,Currency1))</f>
        <v>0</v>
      </c>
      <c r="AB378" s="882">
        <f>IF($O379=0,0,        _xll.qDateNext($O378,AB$17,$AH$16,TRUE,Currency1))</f>
        <v>0</v>
      </c>
      <c r="AC378" s="882">
        <f>IF($O379=0,0,        _xll.qDateNext($O378,AC$17,$AH$16,TRUE,Currency1))</f>
        <v>0</v>
      </c>
      <c r="AD378" s="882">
        <f>IF($O379=0,0,        _xll.qDateNext($O378,AD$17,$AH$16,TRUE,Currency1))</f>
        <v>0</v>
      </c>
      <c r="AE378" s="882">
        <f>IF($O379=0,0,        _xll.qDateNext($O378,AE$17,$AH$16,TRUE,Currency1))</f>
        <v>0</v>
      </c>
      <c r="AF378" s="882">
        <f>IF($O379=0,0,        _xll.qDateNext($O378,AF$17,$AH$16,TRUE,Currency1))</f>
        <v>0</v>
      </c>
      <c r="AG378" s="882">
        <f>IF($O379=0,0,        _xll.qDateNext($O378,AG$17,$AH$16,TRUE,Currency1))</f>
        <v>0</v>
      </c>
      <c r="AH378" s="882">
        <f>IF($O379=0,0,        _xll.qDateNext($O378,AH$17,$AH$16,TRUE,Currency1))</f>
        <v>0</v>
      </c>
      <c r="AI378" s="886">
        <f>IF($O379=0,0,           IF(FRM,_xll.qGetFwdRate(AI$14,$O378,AA378,"T",DCC_Leg1_Float),_xll.qGetFwdRate(AI$14,$O378,$O379,"T",DCC_Leg1_Float)))</f>
        <v>0</v>
      </c>
      <c r="AJ378" s="886">
        <f>IF($O379=0,0,           IF(FRM,_xll.qGetFwdRate(AJ$14,$O378,AB378,"T",DCC_Leg1_Float),_xll.qGetFwdRate(AJ$14,$O378,$O379,"T",DCC_Leg1_Float)))</f>
        <v>0</v>
      </c>
      <c r="AK378" s="886">
        <f t="shared" si="164"/>
        <v>0</v>
      </c>
      <c r="AL378" s="886">
        <f>IF($O379=0,0,           IF(FRM,_xll.qGetFwdRate(AL$14,$O378,AD378,"T",DCC_Leg1_Float),_xll.qGetFwdRate(AL$14,$O378,$O379,"T",DCC_Leg1_Float)))</f>
        <v>0</v>
      </c>
      <c r="AM378" s="886">
        <f t="shared" si="177"/>
        <v>0</v>
      </c>
      <c r="AN378" s="886">
        <f t="shared" si="178"/>
        <v>0</v>
      </c>
      <c r="AO378" s="886">
        <f>IF($O379=0,0,           IF(FRM,_xll.qGetFwdRate(AO$14,$O378,AG378,"T",DCC_Leg1_Float),_xll.qGetFwdRate(AO$14,$O378,$O379,"T",DCC_Leg1_Float)))</f>
        <v>0</v>
      </c>
      <c r="AP378" s="886">
        <f>IF($O379=0,0,           IF(FRM,_xll.qGetFwdRate(AP$14,$O378,AH378,"T",DCC_Leg1_Float),_xll.qGetFwdRate(AP$14,$O378,$O379,"T",DCC_Leg1_Float)))</f>
        <v>0</v>
      </c>
      <c r="AQ378" s="648">
        <f t="shared" si="179"/>
        <v>0</v>
      </c>
      <c r="AR378" s="648">
        <f t="shared" si="180"/>
        <v>0</v>
      </c>
      <c r="AS378" s="648">
        <f t="shared" si="181"/>
        <v>0</v>
      </c>
      <c r="AT378" s="648">
        <f t="shared" si="182"/>
        <v>0</v>
      </c>
      <c r="AU378" s="648">
        <f t="shared" si="183"/>
        <v>0</v>
      </c>
      <c r="AV378" s="648">
        <f t="shared" si="184"/>
        <v>0</v>
      </c>
      <c r="AW378" s="648">
        <f t="shared" si="185"/>
        <v>0</v>
      </c>
      <c r="AX378" s="648">
        <f t="shared" si="186"/>
        <v>0</v>
      </c>
      <c r="AY378" s="634">
        <v>0</v>
      </c>
      <c r="AZ378" s="616"/>
      <c r="BA378" s="619">
        <f>IF(O379=0,0,             IF(ISNUMBER(AZ378),AZ378,             IF(ISTEXT(AZ378),INDEX(AQ378:AX378,MATCH(AZ378,$AQ$17:$AX$17,0)),           IF(AY378="INT",_xll.qInterp(O379,AA378:AH378,AQ378:AX378),       INDEX(AQ378:AX378,MATCH(AY378,$AQ$17:$AX$17,0))))))</f>
        <v>0</v>
      </c>
      <c r="BB378" s="674">
        <v>100</v>
      </c>
      <c r="BC378" s="666">
        <f t="shared" si="165"/>
        <v>0</v>
      </c>
      <c r="BD378" s="268">
        <f>IF($O379=0,0,                IF(LEFT(DCC_Leg1_Fixed,2)="1/",uEvaluate(DCC_Leg1_Fixed),        _xll.qDateYears($O378,$O379,DCC_Leg1_Fixed)))</f>
        <v>0</v>
      </c>
      <c r="BE378" s="268">
        <f>IF($O379,_xll.qDateYears($O378,$O379,DCC_Leg1_Float),0)</f>
        <v>0</v>
      </c>
      <c r="BG378" s="332">
        <f t="shared" si="187"/>
        <v>0</v>
      </c>
      <c r="BH378" s="357">
        <f t="shared" si="188"/>
        <v>0</v>
      </c>
      <c r="BI378" s="527"/>
      <c r="BK378" s="324">
        <f t="shared" si="193"/>
        <v>0</v>
      </c>
      <c r="BM378" s="338"/>
      <c r="BN378" s="121">
        <v>0</v>
      </c>
      <c r="BO378" s="755">
        <f t="shared" si="166"/>
        <v>0</v>
      </c>
      <c r="BP378" s="339">
        <v>0</v>
      </c>
      <c r="BQ378" s="890">
        <f>IF(BN379=0,0,         IF(OR(Currency2="AUD",Currency1="NZD",Currency2="GBP"),BN378,   _xll.qDateNext(BN378,"-2b",,,IF(Currency2="EUR","TGT","LON"))))</f>
        <v>0</v>
      </c>
      <c r="BR378" s="879" t="str">
        <v/>
      </c>
      <c r="BS378" s="879" t="str">
        <v/>
      </c>
      <c r="BT378" s="879" t="str">
        <v/>
      </c>
      <c r="BU378" s="879" t="str">
        <v/>
      </c>
      <c r="BV378" s="879" t="str">
        <v/>
      </c>
      <c r="BW378" s="879" t="str">
        <v/>
      </c>
      <c r="BX378" s="879" t="str">
        <v/>
      </c>
      <c r="BY378" s="879" t="str">
        <v/>
      </c>
      <c r="BZ378" s="882">
        <f>IF($BN379=0,0,        _xll.qDateNext($BN378,BZ$17,$CG$16,TRUE,Currency2))</f>
        <v>0</v>
      </c>
      <c r="CA378" s="882">
        <f>IF($BN379=0,0,        _xll.qDateNext($BN378,CA$17,$CG$16,TRUE,Currency2))</f>
        <v>0</v>
      </c>
      <c r="CB378" s="882">
        <f>IF($BN379=0,0,        _xll.qDateNext($BN378,CB$17,$CG$16,TRUE,Currency2))</f>
        <v>0</v>
      </c>
      <c r="CC378" s="882">
        <f>IF($BN379=0,0,        _xll.qDateNext($BN378,CC$17,$CG$16,TRUE,Currency2))</f>
        <v>0</v>
      </c>
      <c r="CD378" s="882">
        <f>IF($BN379=0,0,        _xll.qDateNext($BN378,CD$17,$CG$16,TRUE,Currency2))</f>
        <v>0</v>
      </c>
      <c r="CE378" s="882">
        <f>IF($BN379=0,0,        _xll.qDateNext($BN378,CE$17,$CG$16,TRUE,Currency2))</f>
        <v>0</v>
      </c>
      <c r="CF378" s="882">
        <f>IF($BN379=0,0,        _xll.qDateNext($BN378,CF$17,$CG$16,TRUE,Currency2))</f>
        <v>0</v>
      </c>
      <c r="CG378" s="882">
        <f>IF($BN379=0,0,        _xll.qDateNext($BN378,CG$17,$CG$16,TRUE,Currency2))</f>
        <v>0</v>
      </c>
      <c r="CH378" s="886">
        <v>0</v>
      </c>
      <c r="CI378" s="886">
        <v>0</v>
      </c>
      <c r="CJ378" s="886">
        <v>0</v>
      </c>
      <c r="CK378" s="886">
        <v>0</v>
      </c>
      <c r="CL378" s="886">
        <f t="shared" si="189"/>
        <v>0</v>
      </c>
      <c r="CM378" s="886">
        <f t="shared" si="190"/>
        <v>0</v>
      </c>
      <c r="CN378" s="886">
        <v>0</v>
      </c>
      <c r="CO378" s="886">
        <v>0</v>
      </c>
      <c r="CP378" s="648">
        <f t="shared" si="167"/>
        <v>0</v>
      </c>
      <c r="CQ378" s="648">
        <f t="shared" si="168"/>
        <v>0</v>
      </c>
      <c r="CR378" s="648">
        <f t="shared" si="169"/>
        <v>0</v>
      </c>
      <c r="CS378" s="648">
        <f t="shared" si="170"/>
        <v>0</v>
      </c>
      <c r="CT378" s="648">
        <f t="shared" si="171"/>
        <v>0</v>
      </c>
      <c r="CU378" s="648">
        <f t="shared" si="172"/>
        <v>0</v>
      </c>
      <c r="CV378" s="648">
        <f t="shared" si="173"/>
        <v>0</v>
      </c>
      <c r="CW378" s="648">
        <f t="shared" si="174"/>
        <v>0</v>
      </c>
      <c r="CX378" s="634">
        <v>0</v>
      </c>
      <c r="CY378" s="616"/>
      <c r="CZ378" s="619">
        <f>IF(BN379=0,0,             IF(ISNUMBER(CY378),CY378,             IF(ISTEXT(CY378),INDEX(CP378:CW378,MATCH(CY378,$CP$17:$CW$17,0)),           IF(CX378="INT",_xll.qInterp(BN379,BZ378:CG378,CP378:CW378),       INDEX(CP378:CW378,MATCH(CX378,$CP$17:$CW$17,0))))))</f>
        <v>0</v>
      </c>
      <c r="DA378" s="755">
        <f t="shared" si="175"/>
        <v>0</v>
      </c>
      <c r="DB378" s="387">
        <f t="shared" si="176"/>
        <v>0</v>
      </c>
      <c r="DC378" s="268">
        <f>IF($BN379=0,0,         IF(LEFT(DCC_Leg2_Fixed,2)="1/",uEvaluate(DCC_Leg2_Fixed),         _xll.qDateYears($BN378,$BN379,DCC_Leg2_Fixed)))</f>
        <v>0</v>
      </c>
      <c r="DD378" s="268">
        <f>IF($BN379,_xll.qDateYears($BN378,$BN379,DCC_Leg2_Float),0)</f>
        <v>0</v>
      </c>
      <c r="DF378" s="332">
        <f t="shared" si="191"/>
        <v>0</v>
      </c>
      <c r="DG378" s="357">
        <f t="shared" si="192"/>
        <v>0</v>
      </c>
      <c r="DH378" s="527"/>
      <c r="DJ378" s="324">
        <f t="shared" si="194"/>
        <v>0</v>
      </c>
      <c r="DK378" s="529"/>
      <c r="DL378" s="338"/>
    </row>
    <row r="379" spans="15:116">
      <c r="O379" s="121">
        <v>0</v>
      </c>
      <c r="P379" s="755">
        <f t="shared" si="163"/>
        <v>0</v>
      </c>
      <c r="Q379" s="125">
        <v>0</v>
      </c>
      <c r="R379" s="890">
        <f>IF(O380=0,0,         IF(OR(Currency1="AUD",Currency1="NZD",Currency1="GBP"),O379,   _xll.qDateNext(O379,"-2b",,,IF(Currency1="EUR","TGT","LON"))))</f>
        <v>0</v>
      </c>
      <c r="S379" s="879" t="str">
        <v/>
      </c>
      <c r="T379" s="879" t="str">
        <v/>
      </c>
      <c r="U379" s="879" t="str">
        <v/>
      </c>
      <c r="V379" s="879" t="str">
        <v/>
      </c>
      <c r="W379" s="879" t="str">
        <v/>
      </c>
      <c r="X379" s="879" t="str">
        <v/>
      </c>
      <c r="Y379" s="879" t="str">
        <v/>
      </c>
      <c r="Z379" s="879" t="str">
        <v/>
      </c>
      <c r="AA379" s="882">
        <f>IF($O380=0,0,        _xll.qDateNext($O379,AA$17,$AH$16,TRUE,Currency1))</f>
        <v>0</v>
      </c>
      <c r="AB379" s="882">
        <f>IF($O380=0,0,        _xll.qDateNext($O379,AB$17,$AH$16,TRUE,Currency1))</f>
        <v>0</v>
      </c>
      <c r="AC379" s="882">
        <f>IF($O380=0,0,        _xll.qDateNext($O379,AC$17,$AH$16,TRUE,Currency1))</f>
        <v>0</v>
      </c>
      <c r="AD379" s="882">
        <f>IF($O380=0,0,        _xll.qDateNext($O379,AD$17,$AH$16,TRUE,Currency1))</f>
        <v>0</v>
      </c>
      <c r="AE379" s="882">
        <f>IF($O380=0,0,        _xll.qDateNext($O379,AE$17,$AH$16,TRUE,Currency1))</f>
        <v>0</v>
      </c>
      <c r="AF379" s="882">
        <f>IF($O380=0,0,        _xll.qDateNext($O379,AF$17,$AH$16,TRUE,Currency1))</f>
        <v>0</v>
      </c>
      <c r="AG379" s="882">
        <f>IF($O380=0,0,        _xll.qDateNext($O379,AG$17,$AH$16,TRUE,Currency1))</f>
        <v>0</v>
      </c>
      <c r="AH379" s="882">
        <f>IF($O380=0,0,        _xll.qDateNext($O379,AH$17,$AH$16,TRUE,Currency1))</f>
        <v>0</v>
      </c>
      <c r="AI379" s="886">
        <f>IF($O380=0,0,           IF(FRM,_xll.qGetFwdRate(AI$14,$O379,AA379,"T",DCC_Leg1_Float),_xll.qGetFwdRate(AI$14,$O379,$O380,"T",DCC_Leg1_Float)))</f>
        <v>0</v>
      </c>
      <c r="AJ379" s="886">
        <f>IF($O380=0,0,           IF(FRM,_xll.qGetFwdRate(AJ$14,$O379,AB379,"T",DCC_Leg1_Float),_xll.qGetFwdRate(AJ$14,$O379,$O380,"T",DCC_Leg1_Float)))</f>
        <v>0</v>
      </c>
      <c r="AK379" s="886">
        <f t="shared" si="164"/>
        <v>0</v>
      </c>
      <c r="AL379" s="886">
        <f>IF($O380=0,0,           IF(FRM,_xll.qGetFwdRate(AL$14,$O379,AD379,"T",DCC_Leg1_Float),_xll.qGetFwdRate(AL$14,$O379,$O380,"T",DCC_Leg1_Float)))</f>
        <v>0</v>
      </c>
      <c r="AM379" s="886">
        <f t="shared" si="177"/>
        <v>0</v>
      </c>
      <c r="AN379" s="886">
        <f t="shared" si="178"/>
        <v>0</v>
      </c>
      <c r="AO379" s="886">
        <f>IF($O380=0,0,           IF(FRM,_xll.qGetFwdRate(AO$14,$O379,AG379,"T",DCC_Leg1_Float),_xll.qGetFwdRate(AO$14,$O379,$O380,"T",DCC_Leg1_Float)))</f>
        <v>0</v>
      </c>
      <c r="AP379" s="886">
        <f>IF($O380=0,0,           IF(FRM,_xll.qGetFwdRate(AP$14,$O379,AH379,"T",DCC_Leg1_Float),_xll.qGetFwdRate(AP$14,$O379,$O380,"T",DCC_Leg1_Float)))</f>
        <v>0</v>
      </c>
      <c r="AQ379" s="648">
        <f t="shared" si="179"/>
        <v>0</v>
      </c>
      <c r="AR379" s="648">
        <f t="shared" si="180"/>
        <v>0</v>
      </c>
      <c r="AS379" s="648">
        <f t="shared" si="181"/>
        <v>0</v>
      </c>
      <c r="AT379" s="648">
        <f t="shared" si="182"/>
        <v>0</v>
      </c>
      <c r="AU379" s="648">
        <f t="shared" si="183"/>
        <v>0</v>
      </c>
      <c r="AV379" s="648">
        <f t="shared" si="184"/>
        <v>0</v>
      </c>
      <c r="AW379" s="648">
        <f t="shared" si="185"/>
        <v>0</v>
      </c>
      <c r="AX379" s="648">
        <f t="shared" si="186"/>
        <v>0</v>
      </c>
      <c r="AY379" s="634">
        <v>0</v>
      </c>
      <c r="AZ379" s="616"/>
      <c r="BA379" s="619">
        <f>IF(O380=0,0,             IF(ISNUMBER(AZ379),AZ379,             IF(ISTEXT(AZ379),INDEX(AQ379:AX379,MATCH(AZ379,$AQ$17:$AX$17,0)),           IF(AY379="INT",_xll.qInterp(O380,AA379:AH379,AQ379:AX379),       INDEX(AQ379:AX379,MATCH(AY379,$AQ$17:$AX$17,0))))))</f>
        <v>0</v>
      </c>
      <c r="BB379" s="674">
        <v>100</v>
      </c>
      <c r="BC379" s="666">
        <f t="shared" si="165"/>
        <v>0</v>
      </c>
      <c r="BD379" s="268">
        <f>IF($O380=0,0,                IF(LEFT(DCC_Leg1_Fixed,2)="1/",uEvaluate(DCC_Leg1_Fixed),        _xll.qDateYears($O379,$O380,DCC_Leg1_Fixed)))</f>
        <v>0</v>
      </c>
      <c r="BE379" s="268">
        <f>IF($O380,_xll.qDateYears($O379,$O380,DCC_Leg1_Float),0)</f>
        <v>0</v>
      </c>
      <c r="BG379" s="332">
        <f t="shared" si="187"/>
        <v>0</v>
      </c>
      <c r="BH379" s="357">
        <f t="shared" si="188"/>
        <v>0</v>
      </c>
      <c r="BI379" s="527"/>
      <c r="BK379" s="324">
        <f t="shared" si="193"/>
        <v>0</v>
      </c>
      <c r="BM379" s="338"/>
      <c r="BN379" s="121">
        <v>0</v>
      </c>
      <c r="BO379" s="755">
        <f t="shared" si="166"/>
        <v>0</v>
      </c>
      <c r="BP379" s="339">
        <v>0</v>
      </c>
      <c r="BQ379" s="890">
        <f>IF(BN380=0,0,         IF(OR(Currency2="AUD",Currency1="NZD",Currency2="GBP"),BN379,   _xll.qDateNext(BN379,"-2b",,,IF(Currency2="EUR","TGT","LON"))))</f>
        <v>0</v>
      </c>
      <c r="BR379" s="879" t="str">
        <v/>
      </c>
      <c r="BS379" s="879" t="str">
        <v/>
      </c>
      <c r="BT379" s="879" t="str">
        <v/>
      </c>
      <c r="BU379" s="879" t="str">
        <v/>
      </c>
      <c r="BV379" s="879" t="str">
        <v/>
      </c>
      <c r="BW379" s="879" t="str">
        <v/>
      </c>
      <c r="BX379" s="879" t="str">
        <v/>
      </c>
      <c r="BY379" s="879" t="str">
        <v/>
      </c>
      <c r="BZ379" s="882">
        <f>IF($BN380=0,0,        _xll.qDateNext($BN379,BZ$17,$CG$16,TRUE,Currency2))</f>
        <v>0</v>
      </c>
      <c r="CA379" s="882">
        <f>IF($BN380=0,0,        _xll.qDateNext($BN379,CA$17,$CG$16,TRUE,Currency2))</f>
        <v>0</v>
      </c>
      <c r="CB379" s="882">
        <f>IF($BN380=0,0,        _xll.qDateNext($BN379,CB$17,$CG$16,TRUE,Currency2))</f>
        <v>0</v>
      </c>
      <c r="CC379" s="882">
        <f>IF($BN380=0,0,        _xll.qDateNext($BN379,CC$17,$CG$16,TRUE,Currency2))</f>
        <v>0</v>
      </c>
      <c r="CD379" s="882">
        <f>IF($BN380=0,0,        _xll.qDateNext($BN379,CD$17,$CG$16,TRUE,Currency2))</f>
        <v>0</v>
      </c>
      <c r="CE379" s="882">
        <f>IF($BN380=0,0,        _xll.qDateNext($BN379,CE$17,$CG$16,TRUE,Currency2))</f>
        <v>0</v>
      </c>
      <c r="CF379" s="882">
        <f>IF($BN380=0,0,        _xll.qDateNext($BN379,CF$17,$CG$16,TRUE,Currency2))</f>
        <v>0</v>
      </c>
      <c r="CG379" s="882">
        <f>IF($BN380=0,0,        _xll.qDateNext($BN379,CG$17,$CG$16,TRUE,Currency2))</f>
        <v>0</v>
      </c>
      <c r="CH379" s="886">
        <v>0</v>
      </c>
      <c r="CI379" s="886">
        <v>0</v>
      </c>
      <c r="CJ379" s="886">
        <v>0</v>
      </c>
      <c r="CK379" s="886">
        <v>0</v>
      </c>
      <c r="CL379" s="886">
        <f t="shared" si="189"/>
        <v>0</v>
      </c>
      <c r="CM379" s="886">
        <f t="shared" si="190"/>
        <v>0</v>
      </c>
      <c r="CN379" s="886">
        <v>0</v>
      </c>
      <c r="CO379" s="886">
        <v>0</v>
      </c>
      <c r="CP379" s="648">
        <f t="shared" si="167"/>
        <v>0</v>
      </c>
      <c r="CQ379" s="648">
        <f t="shared" si="168"/>
        <v>0</v>
      </c>
      <c r="CR379" s="648">
        <f t="shared" si="169"/>
        <v>0</v>
      </c>
      <c r="CS379" s="648">
        <f t="shared" si="170"/>
        <v>0</v>
      </c>
      <c r="CT379" s="648">
        <f t="shared" si="171"/>
        <v>0</v>
      </c>
      <c r="CU379" s="648">
        <f t="shared" si="172"/>
        <v>0</v>
      </c>
      <c r="CV379" s="648">
        <f t="shared" si="173"/>
        <v>0</v>
      </c>
      <c r="CW379" s="648">
        <f t="shared" si="174"/>
        <v>0</v>
      </c>
      <c r="CX379" s="634">
        <v>0</v>
      </c>
      <c r="CY379" s="616"/>
      <c r="CZ379" s="619">
        <f>IF(BN380=0,0,             IF(ISNUMBER(CY379),CY379,             IF(ISTEXT(CY379),INDEX(CP379:CW379,MATCH(CY379,$CP$17:$CW$17,0)),           IF(CX379="INT",_xll.qInterp(BN380,BZ379:CG379,CP379:CW379),       INDEX(CP379:CW379,MATCH(CX379,$CP$17:$CW$17,0))))))</f>
        <v>0</v>
      </c>
      <c r="DA379" s="755">
        <f t="shared" si="175"/>
        <v>0</v>
      </c>
      <c r="DB379" s="387">
        <f t="shared" si="176"/>
        <v>0</v>
      </c>
      <c r="DC379" s="268">
        <f>IF($BN380=0,0,         IF(LEFT(DCC_Leg2_Fixed,2)="1/",uEvaluate(DCC_Leg2_Fixed),         _xll.qDateYears($BN379,$BN380,DCC_Leg2_Fixed)))</f>
        <v>0</v>
      </c>
      <c r="DD379" s="268">
        <f>IF($BN380,_xll.qDateYears($BN379,$BN380,DCC_Leg2_Float),0)</f>
        <v>0</v>
      </c>
      <c r="DF379" s="332">
        <f t="shared" si="191"/>
        <v>0</v>
      </c>
      <c r="DG379" s="357">
        <f t="shared" si="192"/>
        <v>0</v>
      </c>
      <c r="DH379" s="527"/>
      <c r="DJ379" s="324">
        <f t="shared" si="194"/>
        <v>0</v>
      </c>
      <c r="DK379" s="529"/>
      <c r="DL379" s="338"/>
    </row>
    <row r="380" spans="15:116">
      <c r="O380" s="121">
        <v>0</v>
      </c>
      <c r="P380" s="755">
        <f t="shared" si="163"/>
        <v>0</v>
      </c>
      <c r="Q380" s="125">
        <v>0</v>
      </c>
      <c r="R380" s="890">
        <f>IF(O381=0,0,         IF(OR(Currency1="AUD",Currency1="NZD",Currency1="GBP"),O380,   _xll.qDateNext(O380,"-2b",,,IF(Currency1="EUR","TGT","LON"))))</f>
        <v>0</v>
      </c>
      <c r="S380" s="879" t="str">
        <v/>
      </c>
      <c r="T380" s="879" t="str">
        <v/>
      </c>
      <c r="U380" s="879" t="str">
        <v/>
      </c>
      <c r="V380" s="879" t="str">
        <v/>
      </c>
      <c r="W380" s="879" t="str">
        <v/>
      </c>
      <c r="X380" s="879" t="str">
        <v/>
      </c>
      <c r="Y380" s="879" t="str">
        <v/>
      </c>
      <c r="Z380" s="879" t="str">
        <v/>
      </c>
      <c r="AA380" s="882">
        <f>IF($O381=0,0,        _xll.qDateNext($O380,AA$17,$AH$16,TRUE,Currency1))</f>
        <v>0</v>
      </c>
      <c r="AB380" s="882">
        <f>IF($O381=0,0,        _xll.qDateNext($O380,AB$17,$AH$16,TRUE,Currency1))</f>
        <v>0</v>
      </c>
      <c r="AC380" s="882">
        <f>IF($O381=0,0,        _xll.qDateNext($O380,AC$17,$AH$16,TRUE,Currency1))</f>
        <v>0</v>
      </c>
      <c r="AD380" s="882">
        <f>IF($O381=0,0,        _xll.qDateNext($O380,AD$17,$AH$16,TRUE,Currency1))</f>
        <v>0</v>
      </c>
      <c r="AE380" s="882">
        <f>IF($O381=0,0,        _xll.qDateNext($O380,AE$17,$AH$16,TRUE,Currency1))</f>
        <v>0</v>
      </c>
      <c r="AF380" s="882">
        <f>IF($O381=0,0,        _xll.qDateNext($O380,AF$17,$AH$16,TRUE,Currency1))</f>
        <v>0</v>
      </c>
      <c r="AG380" s="882">
        <f>IF($O381=0,0,        _xll.qDateNext($O380,AG$17,$AH$16,TRUE,Currency1))</f>
        <v>0</v>
      </c>
      <c r="AH380" s="882">
        <f>IF($O381=0,0,        _xll.qDateNext($O380,AH$17,$AH$16,TRUE,Currency1))</f>
        <v>0</v>
      </c>
      <c r="AI380" s="886">
        <f>IF($O381=0,0,           IF(FRM,_xll.qGetFwdRate(AI$14,$O380,AA380,"T",DCC_Leg1_Float),_xll.qGetFwdRate(AI$14,$O380,$O381,"T",DCC_Leg1_Float)))</f>
        <v>0</v>
      </c>
      <c r="AJ380" s="886">
        <f>IF($O381=0,0,           IF(FRM,_xll.qGetFwdRate(AJ$14,$O380,AB380,"T",DCC_Leg1_Float),_xll.qGetFwdRate(AJ$14,$O380,$O381,"T",DCC_Leg1_Float)))</f>
        <v>0</v>
      </c>
      <c r="AK380" s="886">
        <f t="shared" si="164"/>
        <v>0</v>
      </c>
      <c r="AL380" s="886">
        <f>IF($O381=0,0,           IF(FRM,_xll.qGetFwdRate(AL$14,$O380,AD380,"T",DCC_Leg1_Float),_xll.qGetFwdRate(AL$14,$O380,$O381,"T",DCC_Leg1_Float)))</f>
        <v>0</v>
      </c>
      <c r="AM380" s="886">
        <f t="shared" si="177"/>
        <v>0</v>
      </c>
      <c r="AN380" s="886">
        <f t="shared" si="178"/>
        <v>0</v>
      </c>
      <c r="AO380" s="886">
        <f>IF($O381=0,0,           IF(FRM,_xll.qGetFwdRate(AO$14,$O380,AG380,"T",DCC_Leg1_Float),_xll.qGetFwdRate(AO$14,$O380,$O381,"T",DCC_Leg1_Float)))</f>
        <v>0</v>
      </c>
      <c r="AP380" s="886">
        <f>IF($O381=0,0,           IF(FRM,_xll.qGetFwdRate(AP$14,$O380,AH380,"T",DCC_Leg1_Float),_xll.qGetFwdRate(AP$14,$O380,$O381,"T",DCC_Leg1_Float)))</f>
        <v>0</v>
      </c>
      <c r="AQ380" s="648">
        <f t="shared" si="179"/>
        <v>0</v>
      </c>
      <c r="AR380" s="648">
        <f t="shared" si="180"/>
        <v>0</v>
      </c>
      <c r="AS380" s="648">
        <f t="shared" si="181"/>
        <v>0</v>
      </c>
      <c r="AT380" s="648">
        <f t="shared" si="182"/>
        <v>0</v>
      </c>
      <c r="AU380" s="648">
        <f t="shared" si="183"/>
        <v>0</v>
      </c>
      <c r="AV380" s="648">
        <f t="shared" si="184"/>
        <v>0</v>
      </c>
      <c r="AW380" s="648">
        <f t="shared" si="185"/>
        <v>0</v>
      </c>
      <c r="AX380" s="648">
        <f t="shared" si="186"/>
        <v>0</v>
      </c>
      <c r="AY380" s="634">
        <v>0</v>
      </c>
      <c r="AZ380" s="616"/>
      <c r="BA380" s="619">
        <f>IF(O381=0,0,             IF(ISNUMBER(AZ380),AZ380,             IF(ISTEXT(AZ380),INDEX(AQ380:AX380,MATCH(AZ380,$AQ$17:$AX$17,0)),           IF(AY380="INT",_xll.qInterp(O381,AA380:AH380,AQ380:AX380),       INDEX(AQ380:AX380,MATCH(AY380,$AQ$17:$AX$17,0))))))</f>
        <v>0</v>
      </c>
      <c r="BB380" s="674">
        <v>100</v>
      </c>
      <c r="BC380" s="666">
        <f t="shared" si="165"/>
        <v>0</v>
      </c>
      <c r="BD380" s="268">
        <f>IF($O381=0,0,                IF(LEFT(DCC_Leg1_Fixed,2)="1/",uEvaluate(DCC_Leg1_Fixed),        _xll.qDateYears($O380,$O381,DCC_Leg1_Fixed)))</f>
        <v>0</v>
      </c>
      <c r="BE380" s="268">
        <f>IF($O381,_xll.qDateYears($O380,$O381,DCC_Leg1_Float),0)</f>
        <v>0</v>
      </c>
      <c r="BG380" s="332">
        <f t="shared" si="187"/>
        <v>0</v>
      </c>
      <c r="BH380" s="357">
        <f t="shared" si="188"/>
        <v>0</v>
      </c>
      <c r="BI380" s="527"/>
      <c r="BK380" s="324">
        <f t="shared" si="193"/>
        <v>0</v>
      </c>
      <c r="BM380" s="338"/>
      <c r="BN380" s="121">
        <v>0</v>
      </c>
      <c r="BO380" s="755">
        <f t="shared" si="166"/>
        <v>0</v>
      </c>
      <c r="BP380" s="339">
        <v>0</v>
      </c>
      <c r="BQ380" s="890">
        <f>IF(BN381=0,0,         IF(OR(Currency2="AUD",Currency1="NZD",Currency2="GBP"),BN380,   _xll.qDateNext(BN380,"-2b",,,IF(Currency2="EUR","TGT","LON"))))</f>
        <v>0</v>
      </c>
      <c r="BR380" s="879" t="str">
        <v/>
      </c>
      <c r="BS380" s="879" t="str">
        <v/>
      </c>
      <c r="BT380" s="879" t="str">
        <v/>
      </c>
      <c r="BU380" s="879" t="str">
        <v/>
      </c>
      <c r="BV380" s="879" t="str">
        <v/>
      </c>
      <c r="BW380" s="879" t="str">
        <v/>
      </c>
      <c r="BX380" s="879" t="str">
        <v/>
      </c>
      <c r="BY380" s="879" t="str">
        <v/>
      </c>
      <c r="BZ380" s="882">
        <f>IF($BN381=0,0,        _xll.qDateNext($BN380,BZ$17,$CG$16,TRUE,Currency2))</f>
        <v>0</v>
      </c>
      <c r="CA380" s="882">
        <f>IF($BN381=0,0,        _xll.qDateNext($BN380,CA$17,$CG$16,TRUE,Currency2))</f>
        <v>0</v>
      </c>
      <c r="CB380" s="882">
        <f>IF($BN381=0,0,        _xll.qDateNext($BN380,CB$17,$CG$16,TRUE,Currency2))</f>
        <v>0</v>
      </c>
      <c r="CC380" s="882">
        <f>IF($BN381=0,0,        _xll.qDateNext($BN380,CC$17,$CG$16,TRUE,Currency2))</f>
        <v>0</v>
      </c>
      <c r="CD380" s="882">
        <f>IF($BN381=0,0,        _xll.qDateNext($BN380,CD$17,$CG$16,TRUE,Currency2))</f>
        <v>0</v>
      </c>
      <c r="CE380" s="882">
        <f>IF($BN381=0,0,        _xll.qDateNext($BN380,CE$17,$CG$16,TRUE,Currency2))</f>
        <v>0</v>
      </c>
      <c r="CF380" s="882">
        <f>IF($BN381=0,0,        _xll.qDateNext($BN380,CF$17,$CG$16,TRUE,Currency2))</f>
        <v>0</v>
      </c>
      <c r="CG380" s="882">
        <f>IF($BN381=0,0,        _xll.qDateNext($BN380,CG$17,$CG$16,TRUE,Currency2))</f>
        <v>0</v>
      </c>
      <c r="CH380" s="886">
        <v>0</v>
      </c>
      <c r="CI380" s="886">
        <v>0</v>
      </c>
      <c r="CJ380" s="886">
        <v>0</v>
      </c>
      <c r="CK380" s="886">
        <v>0</v>
      </c>
      <c r="CL380" s="886">
        <f t="shared" si="189"/>
        <v>0</v>
      </c>
      <c r="CM380" s="886">
        <f t="shared" si="190"/>
        <v>0</v>
      </c>
      <c r="CN380" s="886">
        <v>0</v>
      </c>
      <c r="CO380" s="886">
        <v>0</v>
      </c>
      <c r="CP380" s="648">
        <f t="shared" si="167"/>
        <v>0</v>
      </c>
      <c r="CQ380" s="648">
        <f t="shared" si="168"/>
        <v>0</v>
      </c>
      <c r="CR380" s="648">
        <f t="shared" si="169"/>
        <v>0</v>
      </c>
      <c r="CS380" s="648">
        <f t="shared" si="170"/>
        <v>0</v>
      </c>
      <c r="CT380" s="648">
        <f t="shared" si="171"/>
        <v>0</v>
      </c>
      <c r="CU380" s="648">
        <f t="shared" si="172"/>
        <v>0</v>
      </c>
      <c r="CV380" s="648">
        <f t="shared" si="173"/>
        <v>0</v>
      </c>
      <c r="CW380" s="648">
        <f t="shared" si="174"/>
        <v>0</v>
      </c>
      <c r="CX380" s="634">
        <v>0</v>
      </c>
      <c r="CY380" s="616"/>
      <c r="CZ380" s="619">
        <f>IF(BN381=0,0,             IF(ISNUMBER(CY380),CY380,             IF(ISTEXT(CY380),INDEX(CP380:CW380,MATCH(CY380,$CP$17:$CW$17,0)),           IF(CX380="INT",_xll.qInterp(BN381,BZ380:CG380,CP380:CW380),       INDEX(CP380:CW380,MATCH(CX380,$CP$17:$CW$17,0))))))</f>
        <v>0</v>
      </c>
      <c r="DA380" s="755">
        <f t="shared" si="175"/>
        <v>0</v>
      </c>
      <c r="DB380" s="387">
        <f t="shared" si="176"/>
        <v>0</v>
      </c>
      <c r="DC380" s="268">
        <f>IF($BN381=0,0,         IF(LEFT(DCC_Leg2_Fixed,2)="1/",uEvaluate(DCC_Leg2_Fixed),         _xll.qDateYears($BN380,$BN381,DCC_Leg2_Fixed)))</f>
        <v>0</v>
      </c>
      <c r="DD380" s="268">
        <f>IF($BN381,_xll.qDateYears($BN380,$BN381,DCC_Leg2_Float),0)</f>
        <v>0</v>
      </c>
      <c r="DF380" s="332">
        <f t="shared" si="191"/>
        <v>0</v>
      </c>
      <c r="DG380" s="357">
        <f t="shared" si="192"/>
        <v>0</v>
      </c>
      <c r="DH380" s="527"/>
      <c r="DJ380" s="324">
        <f t="shared" si="194"/>
        <v>0</v>
      </c>
      <c r="DK380" s="529"/>
      <c r="DL380" s="338"/>
    </row>
    <row r="381" spans="15:116">
      <c r="O381" s="121">
        <v>0</v>
      </c>
      <c r="P381" s="755">
        <f t="shared" si="163"/>
        <v>0</v>
      </c>
      <c r="Q381" s="125">
        <v>0</v>
      </c>
      <c r="R381" s="890">
        <f>IF(O382=0,0,         IF(OR(Currency1="AUD",Currency1="NZD",Currency1="GBP"),O381,   _xll.qDateNext(O381,"-2b",,,IF(Currency1="EUR","TGT","LON"))))</f>
        <v>0</v>
      </c>
      <c r="S381" s="879" t="str">
        <v/>
      </c>
      <c r="T381" s="879" t="str">
        <v/>
      </c>
      <c r="U381" s="879" t="str">
        <v/>
      </c>
      <c r="V381" s="879" t="str">
        <v/>
      </c>
      <c r="W381" s="879" t="str">
        <v/>
      </c>
      <c r="X381" s="879" t="str">
        <v/>
      </c>
      <c r="Y381" s="879" t="str">
        <v/>
      </c>
      <c r="Z381" s="879" t="str">
        <v/>
      </c>
      <c r="AA381" s="882">
        <f>IF($O382=0,0,        _xll.qDateNext($O381,AA$17,$AH$16,TRUE,Currency1))</f>
        <v>0</v>
      </c>
      <c r="AB381" s="882">
        <f>IF($O382=0,0,        _xll.qDateNext($O381,AB$17,$AH$16,TRUE,Currency1))</f>
        <v>0</v>
      </c>
      <c r="AC381" s="882">
        <f>IF($O382=0,0,        _xll.qDateNext($O381,AC$17,$AH$16,TRUE,Currency1))</f>
        <v>0</v>
      </c>
      <c r="AD381" s="882">
        <f>IF($O382=0,0,        _xll.qDateNext($O381,AD$17,$AH$16,TRUE,Currency1))</f>
        <v>0</v>
      </c>
      <c r="AE381" s="882">
        <f>IF($O382=0,0,        _xll.qDateNext($O381,AE$17,$AH$16,TRUE,Currency1))</f>
        <v>0</v>
      </c>
      <c r="AF381" s="882">
        <f>IF($O382=0,0,        _xll.qDateNext($O381,AF$17,$AH$16,TRUE,Currency1))</f>
        <v>0</v>
      </c>
      <c r="AG381" s="882">
        <f>IF($O382=0,0,        _xll.qDateNext($O381,AG$17,$AH$16,TRUE,Currency1))</f>
        <v>0</v>
      </c>
      <c r="AH381" s="882">
        <f>IF($O382=0,0,        _xll.qDateNext($O381,AH$17,$AH$16,TRUE,Currency1))</f>
        <v>0</v>
      </c>
      <c r="AI381" s="886">
        <f>IF($O382=0,0,           IF(FRM,_xll.qGetFwdRate(AI$14,$O381,AA381,"T",DCC_Leg1_Float),_xll.qGetFwdRate(AI$14,$O381,$O382,"T",DCC_Leg1_Float)))</f>
        <v>0</v>
      </c>
      <c r="AJ381" s="886">
        <f>IF($O382=0,0,           IF(FRM,_xll.qGetFwdRate(AJ$14,$O381,AB381,"T",DCC_Leg1_Float),_xll.qGetFwdRate(AJ$14,$O381,$O382,"T",DCC_Leg1_Float)))</f>
        <v>0</v>
      </c>
      <c r="AK381" s="886">
        <f t="shared" si="164"/>
        <v>0</v>
      </c>
      <c r="AL381" s="886">
        <f>IF($O382=0,0,           IF(FRM,_xll.qGetFwdRate(AL$14,$O381,AD381,"T",DCC_Leg1_Float),_xll.qGetFwdRate(AL$14,$O381,$O382,"T",DCC_Leg1_Float)))</f>
        <v>0</v>
      </c>
      <c r="AM381" s="886">
        <f t="shared" si="177"/>
        <v>0</v>
      </c>
      <c r="AN381" s="886">
        <f t="shared" si="178"/>
        <v>0</v>
      </c>
      <c r="AO381" s="886">
        <f>IF($O382=0,0,           IF(FRM,_xll.qGetFwdRate(AO$14,$O381,AG381,"T",DCC_Leg1_Float),_xll.qGetFwdRate(AO$14,$O381,$O382,"T",DCC_Leg1_Float)))</f>
        <v>0</v>
      </c>
      <c r="AP381" s="886">
        <f>IF($O382=0,0,           IF(FRM,_xll.qGetFwdRate(AP$14,$O381,AH381,"T",DCC_Leg1_Float),_xll.qGetFwdRate(AP$14,$O381,$O382,"T",DCC_Leg1_Float)))</f>
        <v>0</v>
      </c>
      <c r="AQ381" s="648">
        <f t="shared" si="179"/>
        <v>0</v>
      </c>
      <c r="AR381" s="648">
        <f t="shared" si="180"/>
        <v>0</v>
      </c>
      <c r="AS381" s="648">
        <f t="shared" si="181"/>
        <v>0</v>
      </c>
      <c r="AT381" s="648">
        <f t="shared" si="182"/>
        <v>0</v>
      </c>
      <c r="AU381" s="648">
        <f t="shared" si="183"/>
        <v>0</v>
      </c>
      <c r="AV381" s="648">
        <f t="shared" si="184"/>
        <v>0</v>
      </c>
      <c r="AW381" s="648">
        <f t="shared" si="185"/>
        <v>0</v>
      </c>
      <c r="AX381" s="648">
        <f t="shared" si="186"/>
        <v>0</v>
      </c>
      <c r="AY381" s="634">
        <v>0</v>
      </c>
      <c r="AZ381" s="616"/>
      <c r="BA381" s="619">
        <f>IF(O382=0,0,             IF(ISNUMBER(AZ381),AZ381,             IF(ISTEXT(AZ381),INDEX(AQ381:AX381,MATCH(AZ381,$AQ$17:$AX$17,0)),           IF(AY381="INT",_xll.qInterp(O382,AA381:AH381,AQ381:AX381),       INDEX(AQ381:AX381,MATCH(AY381,$AQ$17:$AX$17,0))))))</f>
        <v>0</v>
      </c>
      <c r="BB381" s="674">
        <v>100</v>
      </c>
      <c r="BC381" s="666">
        <f t="shared" si="165"/>
        <v>0</v>
      </c>
      <c r="BD381" s="268">
        <f>IF($O382=0,0,                IF(LEFT(DCC_Leg1_Fixed,2)="1/",uEvaluate(DCC_Leg1_Fixed),        _xll.qDateYears($O381,$O382,DCC_Leg1_Fixed)))</f>
        <v>0</v>
      </c>
      <c r="BE381" s="268">
        <f>IF($O382,_xll.qDateYears($O381,$O382,DCC_Leg1_Float),0)</f>
        <v>0</v>
      </c>
      <c r="BG381" s="332">
        <f t="shared" si="187"/>
        <v>0</v>
      </c>
      <c r="BH381" s="357">
        <f t="shared" si="188"/>
        <v>0</v>
      </c>
      <c r="BI381" s="527"/>
      <c r="BK381" s="324">
        <f t="shared" si="193"/>
        <v>0</v>
      </c>
      <c r="BM381" s="338"/>
      <c r="BN381" s="121">
        <v>0</v>
      </c>
      <c r="BO381" s="755">
        <f t="shared" si="166"/>
        <v>0</v>
      </c>
      <c r="BP381" s="339">
        <v>0</v>
      </c>
      <c r="BQ381" s="890">
        <f>IF(BN382=0,0,         IF(OR(Currency2="AUD",Currency1="NZD",Currency2="GBP"),BN381,   _xll.qDateNext(BN381,"-2b",,,IF(Currency2="EUR","TGT","LON"))))</f>
        <v>0</v>
      </c>
      <c r="BR381" s="879" t="str">
        <v/>
      </c>
      <c r="BS381" s="879" t="str">
        <v/>
      </c>
      <c r="BT381" s="879" t="str">
        <v/>
      </c>
      <c r="BU381" s="879" t="str">
        <v/>
      </c>
      <c r="BV381" s="879" t="str">
        <v/>
      </c>
      <c r="BW381" s="879" t="str">
        <v/>
      </c>
      <c r="BX381" s="879" t="str">
        <v/>
      </c>
      <c r="BY381" s="879" t="str">
        <v/>
      </c>
      <c r="BZ381" s="882">
        <f>IF($BN382=0,0,        _xll.qDateNext($BN381,BZ$17,$CG$16,TRUE,Currency2))</f>
        <v>0</v>
      </c>
      <c r="CA381" s="882">
        <f>IF($BN382=0,0,        _xll.qDateNext($BN381,CA$17,$CG$16,TRUE,Currency2))</f>
        <v>0</v>
      </c>
      <c r="CB381" s="882">
        <f>IF($BN382=0,0,        _xll.qDateNext($BN381,CB$17,$CG$16,TRUE,Currency2))</f>
        <v>0</v>
      </c>
      <c r="CC381" s="882">
        <f>IF($BN382=0,0,        _xll.qDateNext($BN381,CC$17,$CG$16,TRUE,Currency2))</f>
        <v>0</v>
      </c>
      <c r="CD381" s="882">
        <f>IF($BN382=0,0,        _xll.qDateNext($BN381,CD$17,$CG$16,TRUE,Currency2))</f>
        <v>0</v>
      </c>
      <c r="CE381" s="882">
        <f>IF($BN382=0,0,        _xll.qDateNext($BN381,CE$17,$CG$16,TRUE,Currency2))</f>
        <v>0</v>
      </c>
      <c r="CF381" s="882">
        <f>IF($BN382=0,0,        _xll.qDateNext($BN381,CF$17,$CG$16,TRUE,Currency2))</f>
        <v>0</v>
      </c>
      <c r="CG381" s="882">
        <f>IF($BN382=0,0,        _xll.qDateNext($BN381,CG$17,$CG$16,TRUE,Currency2))</f>
        <v>0</v>
      </c>
      <c r="CH381" s="886">
        <v>0</v>
      </c>
      <c r="CI381" s="886">
        <v>0</v>
      </c>
      <c r="CJ381" s="886">
        <v>0</v>
      </c>
      <c r="CK381" s="886">
        <v>0</v>
      </c>
      <c r="CL381" s="886">
        <f t="shared" si="189"/>
        <v>0</v>
      </c>
      <c r="CM381" s="886">
        <f t="shared" si="190"/>
        <v>0</v>
      </c>
      <c r="CN381" s="886">
        <v>0</v>
      </c>
      <c r="CO381" s="886">
        <v>0</v>
      </c>
      <c r="CP381" s="648">
        <f t="shared" si="167"/>
        <v>0</v>
      </c>
      <c r="CQ381" s="648">
        <f t="shared" si="168"/>
        <v>0</v>
      </c>
      <c r="CR381" s="648">
        <f t="shared" si="169"/>
        <v>0</v>
      </c>
      <c r="CS381" s="648">
        <f t="shared" si="170"/>
        <v>0</v>
      </c>
      <c r="CT381" s="648">
        <f t="shared" si="171"/>
        <v>0</v>
      </c>
      <c r="CU381" s="648">
        <f t="shared" si="172"/>
        <v>0</v>
      </c>
      <c r="CV381" s="648">
        <f t="shared" si="173"/>
        <v>0</v>
      </c>
      <c r="CW381" s="648">
        <f t="shared" si="174"/>
        <v>0</v>
      </c>
      <c r="CX381" s="634">
        <v>0</v>
      </c>
      <c r="CY381" s="616"/>
      <c r="CZ381" s="619">
        <f>IF(BN382=0,0,             IF(ISNUMBER(CY381),CY381,             IF(ISTEXT(CY381),INDEX(CP381:CW381,MATCH(CY381,$CP$17:$CW$17,0)),           IF(CX381="INT",_xll.qInterp(BN382,BZ381:CG381,CP381:CW381),       INDEX(CP381:CW381,MATCH(CX381,$CP$17:$CW$17,0))))))</f>
        <v>0</v>
      </c>
      <c r="DA381" s="755">
        <f t="shared" si="175"/>
        <v>0</v>
      </c>
      <c r="DB381" s="387">
        <f t="shared" si="176"/>
        <v>0</v>
      </c>
      <c r="DC381" s="268">
        <f>IF($BN382=0,0,         IF(LEFT(DCC_Leg2_Fixed,2)="1/",uEvaluate(DCC_Leg2_Fixed),         _xll.qDateYears($BN381,$BN382,DCC_Leg2_Fixed)))</f>
        <v>0</v>
      </c>
      <c r="DD381" s="268">
        <f>IF($BN382,_xll.qDateYears($BN381,$BN382,DCC_Leg2_Float),0)</f>
        <v>0</v>
      </c>
      <c r="DF381" s="332">
        <f t="shared" si="191"/>
        <v>0</v>
      </c>
      <c r="DG381" s="357">
        <f t="shared" si="192"/>
        <v>0</v>
      </c>
      <c r="DH381" s="527"/>
      <c r="DJ381" s="324">
        <f t="shared" si="194"/>
        <v>0</v>
      </c>
      <c r="DK381" s="529"/>
      <c r="DL381" s="338"/>
    </row>
    <row r="382" spans="15:116">
      <c r="O382" s="121">
        <v>0</v>
      </c>
      <c r="P382" s="755">
        <f t="shared" si="163"/>
        <v>0</v>
      </c>
      <c r="Q382" s="125">
        <v>0</v>
      </c>
      <c r="R382" s="890">
        <f>IF(O383=0,0,         IF(OR(Currency1="AUD",Currency1="NZD",Currency1="GBP"),O382,   _xll.qDateNext(O382,"-2b",,,IF(Currency1="EUR","TGT","LON"))))</f>
        <v>0</v>
      </c>
      <c r="S382" s="879" t="str">
        <v/>
      </c>
      <c r="T382" s="879" t="str">
        <v/>
      </c>
      <c r="U382" s="879" t="str">
        <v/>
      </c>
      <c r="V382" s="879" t="str">
        <v/>
      </c>
      <c r="W382" s="879" t="str">
        <v/>
      </c>
      <c r="X382" s="879" t="str">
        <v/>
      </c>
      <c r="Y382" s="879" t="str">
        <v/>
      </c>
      <c r="Z382" s="879" t="str">
        <v/>
      </c>
      <c r="AA382" s="882">
        <f>IF($O383=0,0,        _xll.qDateNext($O382,AA$17,$AH$16,TRUE,Currency1))</f>
        <v>0</v>
      </c>
      <c r="AB382" s="882">
        <f>IF($O383=0,0,        _xll.qDateNext($O382,AB$17,$AH$16,TRUE,Currency1))</f>
        <v>0</v>
      </c>
      <c r="AC382" s="882">
        <f>IF($O383=0,0,        _xll.qDateNext($O382,AC$17,$AH$16,TRUE,Currency1))</f>
        <v>0</v>
      </c>
      <c r="AD382" s="882">
        <f>IF($O383=0,0,        _xll.qDateNext($O382,AD$17,$AH$16,TRUE,Currency1))</f>
        <v>0</v>
      </c>
      <c r="AE382" s="882">
        <f>IF($O383=0,0,        _xll.qDateNext($O382,AE$17,$AH$16,TRUE,Currency1))</f>
        <v>0</v>
      </c>
      <c r="AF382" s="882">
        <f>IF($O383=0,0,        _xll.qDateNext($O382,AF$17,$AH$16,TRUE,Currency1))</f>
        <v>0</v>
      </c>
      <c r="AG382" s="882">
        <f>IF($O383=0,0,        _xll.qDateNext($O382,AG$17,$AH$16,TRUE,Currency1))</f>
        <v>0</v>
      </c>
      <c r="AH382" s="882">
        <f>IF($O383=0,0,        _xll.qDateNext($O382,AH$17,$AH$16,TRUE,Currency1))</f>
        <v>0</v>
      </c>
      <c r="AI382" s="886">
        <f>IF($O383=0,0,           IF(FRM,_xll.qGetFwdRate(AI$14,$O382,AA382,"T",DCC_Leg1_Float),_xll.qGetFwdRate(AI$14,$O382,$O383,"T",DCC_Leg1_Float)))</f>
        <v>0</v>
      </c>
      <c r="AJ382" s="886">
        <f>IF($O383=0,0,           IF(FRM,_xll.qGetFwdRate(AJ$14,$O382,AB382,"T",DCC_Leg1_Float),_xll.qGetFwdRate(AJ$14,$O382,$O383,"T",DCC_Leg1_Float)))</f>
        <v>0</v>
      </c>
      <c r="AK382" s="886">
        <f t="shared" si="164"/>
        <v>0</v>
      </c>
      <c r="AL382" s="886">
        <f>IF($O383=0,0,           IF(FRM,_xll.qGetFwdRate(AL$14,$O382,AD382,"T",DCC_Leg1_Float),_xll.qGetFwdRate(AL$14,$O382,$O383,"T",DCC_Leg1_Float)))</f>
        <v>0</v>
      </c>
      <c r="AM382" s="886">
        <f t="shared" si="177"/>
        <v>0</v>
      </c>
      <c r="AN382" s="886">
        <f t="shared" si="178"/>
        <v>0</v>
      </c>
      <c r="AO382" s="886">
        <f>IF($O383=0,0,           IF(FRM,_xll.qGetFwdRate(AO$14,$O382,AG382,"T",DCC_Leg1_Float),_xll.qGetFwdRate(AO$14,$O382,$O383,"T",DCC_Leg1_Float)))</f>
        <v>0</v>
      </c>
      <c r="AP382" s="886">
        <f>IF($O383=0,0,           IF(FRM,_xll.qGetFwdRate(AP$14,$O382,AH382,"T",DCC_Leg1_Float),_xll.qGetFwdRate(AP$14,$O382,$O383,"T",DCC_Leg1_Float)))</f>
        <v>0</v>
      </c>
      <c r="AQ382" s="648">
        <f t="shared" si="179"/>
        <v>0</v>
      </c>
      <c r="AR382" s="648">
        <f t="shared" si="180"/>
        <v>0</v>
      </c>
      <c r="AS382" s="648">
        <f t="shared" si="181"/>
        <v>0</v>
      </c>
      <c r="AT382" s="648">
        <f t="shared" si="182"/>
        <v>0</v>
      </c>
      <c r="AU382" s="648">
        <f t="shared" si="183"/>
        <v>0</v>
      </c>
      <c r="AV382" s="648">
        <f t="shared" si="184"/>
        <v>0</v>
      </c>
      <c r="AW382" s="648">
        <f t="shared" si="185"/>
        <v>0</v>
      </c>
      <c r="AX382" s="648">
        <f t="shared" si="186"/>
        <v>0</v>
      </c>
      <c r="AY382" s="634">
        <v>0</v>
      </c>
      <c r="AZ382" s="616"/>
      <c r="BA382" s="619">
        <f>IF(O383=0,0,             IF(ISNUMBER(AZ382),AZ382,             IF(ISTEXT(AZ382),INDEX(AQ382:AX382,MATCH(AZ382,$AQ$17:$AX$17,0)),           IF(AY382="INT",_xll.qInterp(O383,AA382:AH382,AQ382:AX382),       INDEX(AQ382:AX382,MATCH(AY382,$AQ$17:$AX$17,0))))))</f>
        <v>0</v>
      </c>
      <c r="BB382" s="674">
        <v>100</v>
      </c>
      <c r="BC382" s="666">
        <f t="shared" si="165"/>
        <v>0</v>
      </c>
      <c r="BD382" s="268">
        <f>IF($O383=0,0,                IF(LEFT(DCC_Leg1_Fixed,2)="1/",uEvaluate(DCC_Leg1_Fixed),        _xll.qDateYears($O382,$O383,DCC_Leg1_Fixed)))</f>
        <v>0</v>
      </c>
      <c r="BE382" s="268">
        <f>IF($O383,_xll.qDateYears($O382,$O383,DCC_Leg1_Float),0)</f>
        <v>0</v>
      </c>
      <c r="BG382" s="332">
        <f t="shared" si="187"/>
        <v>0</v>
      </c>
      <c r="BH382" s="357">
        <f t="shared" si="188"/>
        <v>0</v>
      </c>
      <c r="BI382" s="527"/>
      <c r="BK382" s="324">
        <f t="shared" si="193"/>
        <v>0</v>
      </c>
      <c r="BM382" s="338"/>
      <c r="BN382" s="121">
        <v>0</v>
      </c>
      <c r="BO382" s="755">
        <f t="shared" si="166"/>
        <v>0</v>
      </c>
      <c r="BP382" s="339">
        <v>0</v>
      </c>
      <c r="BQ382" s="890">
        <f>IF(BN383=0,0,         IF(OR(Currency2="AUD",Currency1="NZD",Currency2="GBP"),BN382,   _xll.qDateNext(BN382,"-2b",,,IF(Currency2="EUR","TGT","LON"))))</f>
        <v>0</v>
      </c>
      <c r="BR382" s="879" t="str">
        <v/>
      </c>
      <c r="BS382" s="879" t="str">
        <v/>
      </c>
      <c r="BT382" s="879" t="str">
        <v/>
      </c>
      <c r="BU382" s="879" t="str">
        <v/>
      </c>
      <c r="BV382" s="879" t="str">
        <v/>
      </c>
      <c r="BW382" s="879" t="str">
        <v/>
      </c>
      <c r="BX382" s="879" t="str">
        <v/>
      </c>
      <c r="BY382" s="879" t="str">
        <v/>
      </c>
      <c r="BZ382" s="882">
        <f>IF($BN383=0,0,        _xll.qDateNext($BN382,BZ$17,$CG$16,TRUE,Currency2))</f>
        <v>0</v>
      </c>
      <c r="CA382" s="882">
        <f>IF($BN383=0,0,        _xll.qDateNext($BN382,CA$17,$CG$16,TRUE,Currency2))</f>
        <v>0</v>
      </c>
      <c r="CB382" s="882">
        <f>IF($BN383=0,0,        _xll.qDateNext($BN382,CB$17,$CG$16,TRUE,Currency2))</f>
        <v>0</v>
      </c>
      <c r="CC382" s="882">
        <f>IF($BN383=0,0,        _xll.qDateNext($BN382,CC$17,$CG$16,TRUE,Currency2))</f>
        <v>0</v>
      </c>
      <c r="CD382" s="882">
        <f>IF($BN383=0,0,        _xll.qDateNext($BN382,CD$17,$CG$16,TRUE,Currency2))</f>
        <v>0</v>
      </c>
      <c r="CE382" s="882">
        <f>IF($BN383=0,0,        _xll.qDateNext($BN382,CE$17,$CG$16,TRUE,Currency2))</f>
        <v>0</v>
      </c>
      <c r="CF382" s="882">
        <f>IF($BN383=0,0,        _xll.qDateNext($BN382,CF$17,$CG$16,TRUE,Currency2))</f>
        <v>0</v>
      </c>
      <c r="CG382" s="882">
        <f>IF($BN383=0,0,        _xll.qDateNext($BN382,CG$17,$CG$16,TRUE,Currency2))</f>
        <v>0</v>
      </c>
      <c r="CH382" s="886">
        <v>0</v>
      </c>
      <c r="CI382" s="886">
        <v>0</v>
      </c>
      <c r="CJ382" s="886">
        <v>0</v>
      </c>
      <c r="CK382" s="886">
        <v>0</v>
      </c>
      <c r="CL382" s="886">
        <f t="shared" si="189"/>
        <v>0</v>
      </c>
      <c r="CM382" s="886">
        <f t="shared" si="190"/>
        <v>0</v>
      </c>
      <c r="CN382" s="886">
        <v>0</v>
      </c>
      <c r="CO382" s="886">
        <v>0</v>
      </c>
      <c r="CP382" s="648">
        <f t="shared" si="167"/>
        <v>0</v>
      </c>
      <c r="CQ382" s="648">
        <f t="shared" si="168"/>
        <v>0</v>
      </c>
      <c r="CR382" s="648">
        <f t="shared" si="169"/>
        <v>0</v>
      </c>
      <c r="CS382" s="648">
        <f t="shared" si="170"/>
        <v>0</v>
      </c>
      <c r="CT382" s="648">
        <f t="shared" si="171"/>
        <v>0</v>
      </c>
      <c r="CU382" s="648">
        <f t="shared" si="172"/>
        <v>0</v>
      </c>
      <c r="CV382" s="648">
        <f t="shared" si="173"/>
        <v>0</v>
      </c>
      <c r="CW382" s="648">
        <f t="shared" si="174"/>
        <v>0</v>
      </c>
      <c r="CX382" s="634">
        <v>0</v>
      </c>
      <c r="CY382" s="616"/>
      <c r="CZ382" s="619">
        <f>IF(BN383=0,0,             IF(ISNUMBER(CY382),CY382,             IF(ISTEXT(CY382),INDEX(CP382:CW382,MATCH(CY382,$CP$17:$CW$17,0)),           IF(CX382="INT",_xll.qInterp(BN383,BZ382:CG382,CP382:CW382),       INDEX(CP382:CW382,MATCH(CX382,$CP$17:$CW$17,0))))))</f>
        <v>0</v>
      </c>
      <c r="DA382" s="755">
        <f t="shared" si="175"/>
        <v>0</v>
      </c>
      <c r="DB382" s="387">
        <f t="shared" si="176"/>
        <v>0</v>
      </c>
      <c r="DC382" s="268">
        <f>IF($BN383=0,0,         IF(LEFT(DCC_Leg2_Fixed,2)="1/",uEvaluate(DCC_Leg2_Fixed),         _xll.qDateYears($BN382,$BN383,DCC_Leg2_Fixed)))</f>
        <v>0</v>
      </c>
      <c r="DD382" s="268">
        <f>IF($BN383,_xll.qDateYears($BN382,$BN383,DCC_Leg2_Float),0)</f>
        <v>0</v>
      </c>
      <c r="DF382" s="332">
        <f t="shared" si="191"/>
        <v>0</v>
      </c>
      <c r="DG382" s="357">
        <f t="shared" si="192"/>
        <v>0</v>
      </c>
      <c r="DH382" s="527"/>
      <c r="DJ382" s="324">
        <f t="shared" si="194"/>
        <v>0</v>
      </c>
      <c r="DK382" s="529"/>
      <c r="DL382" s="338"/>
    </row>
    <row r="383" spans="15:116">
      <c r="O383" s="121">
        <v>0</v>
      </c>
      <c r="P383" s="755">
        <f t="shared" si="163"/>
        <v>0</v>
      </c>
      <c r="Q383" s="125">
        <v>0</v>
      </c>
      <c r="R383" s="890">
        <f>IF(O384=0,0,         IF(OR(Currency1="AUD",Currency1="NZD",Currency1="GBP"),O383,   _xll.qDateNext(O383,"-2b",,,IF(Currency1="EUR","TGT","LON"))))</f>
        <v>0</v>
      </c>
      <c r="S383" s="879" t="str">
        <v/>
      </c>
      <c r="T383" s="879" t="str">
        <v/>
      </c>
      <c r="U383" s="879" t="str">
        <v/>
      </c>
      <c r="V383" s="879" t="str">
        <v/>
      </c>
      <c r="W383" s="879" t="str">
        <v/>
      </c>
      <c r="X383" s="879" t="str">
        <v/>
      </c>
      <c r="Y383" s="879" t="str">
        <v/>
      </c>
      <c r="Z383" s="879" t="str">
        <v/>
      </c>
      <c r="AA383" s="882">
        <f>IF($O384=0,0,        _xll.qDateNext($O383,AA$17,$AH$16,TRUE,Currency1))</f>
        <v>0</v>
      </c>
      <c r="AB383" s="882">
        <f>IF($O384=0,0,        _xll.qDateNext($O383,AB$17,$AH$16,TRUE,Currency1))</f>
        <v>0</v>
      </c>
      <c r="AC383" s="882">
        <f>IF($O384=0,0,        _xll.qDateNext($O383,AC$17,$AH$16,TRUE,Currency1))</f>
        <v>0</v>
      </c>
      <c r="AD383" s="882">
        <f>IF($O384=0,0,        _xll.qDateNext($O383,AD$17,$AH$16,TRUE,Currency1))</f>
        <v>0</v>
      </c>
      <c r="AE383" s="882">
        <f>IF($O384=0,0,        _xll.qDateNext($O383,AE$17,$AH$16,TRUE,Currency1))</f>
        <v>0</v>
      </c>
      <c r="AF383" s="882">
        <f>IF($O384=0,0,        _xll.qDateNext($O383,AF$17,$AH$16,TRUE,Currency1))</f>
        <v>0</v>
      </c>
      <c r="AG383" s="882">
        <f>IF($O384=0,0,        _xll.qDateNext($O383,AG$17,$AH$16,TRUE,Currency1))</f>
        <v>0</v>
      </c>
      <c r="AH383" s="882">
        <f>IF($O384=0,0,        _xll.qDateNext($O383,AH$17,$AH$16,TRUE,Currency1))</f>
        <v>0</v>
      </c>
      <c r="AI383" s="886">
        <f>IF($O384=0,0,           IF(FRM,_xll.qGetFwdRate(AI$14,$O383,AA383,"T",DCC_Leg1_Float),_xll.qGetFwdRate(AI$14,$O383,$O384,"T",DCC_Leg1_Float)))</f>
        <v>0</v>
      </c>
      <c r="AJ383" s="886">
        <f>IF($O384=0,0,           IF(FRM,_xll.qGetFwdRate(AJ$14,$O383,AB383,"T",DCC_Leg1_Float),_xll.qGetFwdRate(AJ$14,$O383,$O384,"T",DCC_Leg1_Float)))</f>
        <v>0</v>
      </c>
      <c r="AK383" s="886">
        <f t="shared" si="164"/>
        <v>0</v>
      </c>
      <c r="AL383" s="886">
        <f>IF($O384=0,0,           IF(FRM,_xll.qGetFwdRate(AL$14,$O383,AD383,"T",DCC_Leg1_Float),_xll.qGetFwdRate(AL$14,$O383,$O384,"T",DCC_Leg1_Float)))</f>
        <v>0</v>
      </c>
      <c r="AM383" s="886">
        <f t="shared" si="177"/>
        <v>0</v>
      </c>
      <c r="AN383" s="886">
        <f t="shared" si="178"/>
        <v>0</v>
      </c>
      <c r="AO383" s="886">
        <f>IF($O384=0,0,           IF(FRM,_xll.qGetFwdRate(AO$14,$O383,AG383,"T",DCC_Leg1_Float),_xll.qGetFwdRate(AO$14,$O383,$O384,"T",DCC_Leg1_Float)))</f>
        <v>0</v>
      </c>
      <c r="AP383" s="886">
        <f>IF($O384=0,0,           IF(FRM,_xll.qGetFwdRate(AP$14,$O383,AH383,"T",DCC_Leg1_Float),_xll.qGetFwdRate(AP$14,$O383,$O384,"T",DCC_Leg1_Float)))</f>
        <v>0</v>
      </c>
      <c r="AQ383" s="648">
        <f t="shared" si="179"/>
        <v>0</v>
      </c>
      <c r="AR383" s="648">
        <f t="shared" si="180"/>
        <v>0</v>
      </c>
      <c r="AS383" s="648">
        <f t="shared" si="181"/>
        <v>0</v>
      </c>
      <c r="AT383" s="648">
        <f t="shared" si="182"/>
        <v>0</v>
      </c>
      <c r="AU383" s="648">
        <f t="shared" si="183"/>
        <v>0</v>
      </c>
      <c r="AV383" s="648">
        <f t="shared" si="184"/>
        <v>0</v>
      </c>
      <c r="AW383" s="648">
        <f t="shared" si="185"/>
        <v>0</v>
      </c>
      <c r="AX383" s="648">
        <f t="shared" si="186"/>
        <v>0</v>
      </c>
      <c r="AY383" s="634">
        <v>0</v>
      </c>
      <c r="AZ383" s="616"/>
      <c r="BA383" s="619">
        <f>IF(O384=0,0,             IF(ISNUMBER(AZ383),AZ383,             IF(ISTEXT(AZ383),INDEX(AQ383:AX383,MATCH(AZ383,$AQ$17:$AX$17,0)),           IF(AY383="INT",_xll.qInterp(O384,AA383:AH383,AQ383:AX383),       INDEX(AQ383:AX383,MATCH(AY383,$AQ$17:$AX$17,0))))))</f>
        <v>0</v>
      </c>
      <c r="BB383" s="674">
        <v>100</v>
      </c>
      <c r="BC383" s="666">
        <f t="shared" si="165"/>
        <v>0</v>
      </c>
      <c r="BD383" s="268">
        <f>IF($O384=0,0,                IF(LEFT(DCC_Leg1_Fixed,2)="1/",uEvaluate(DCC_Leg1_Fixed),        _xll.qDateYears($O383,$O384,DCC_Leg1_Fixed)))</f>
        <v>0</v>
      </c>
      <c r="BE383" s="268">
        <f>IF($O384,_xll.qDateYears($O383,$O384,DCC_Leg1_Float),0)</f>
        <v>0</v>
      </c>
      <c r="BG383" s="332">
        <f t="shared" si="187"/>
        <v>0</v>
      </c>
      <c r="BH383" s="357">
        <f t="shared" si="188"/>
        <v>0</v>
      </c>
      <c r="BI383" s="527"/>
      <c r="BK383" s="324">
        <f t="shared" si="193"/>
        <v>0</v>
      </c>
      <c r="BM383" s="338"/>
      <c r="BN383" s="121">
        <v>0</v>
      </c>
      <c r="BO383" s="755">
        <f t="shared" si="166"/>
        <v>0</v>
      </c>
      <c r="BP383" s="339">
        <v>0</v>
      </c>
      <c r="BQ383" s="890">
        <f>IF(BN384=0,0,         IF(OR(Currency2="AUD",Currency1="NZD",Currency2="GBP"),BN383,   _xll.qDateNext(BN383,"-2b",,,IF(Currency2="EUR","TGT","LON"))))</f>
        <v>0</v>
      </c>
      <c r="BR383" s="879" t="str">
        <v/>
      </c>
      <c r="BS383" s="879" t="str">
        <v/>
      </c>
      <c r="BT383" s="879" t="str">
        <v/>
      </c>
      <c r="BU383" s="879" t="str">
        <v/>
      </c>
      <c r="BV383" s="879" t="str">
        <v/>
      </c>
      <c r="BW383" s="879" t="str">
        <v/>
      </c>
      <c r="BX383" s="879" t="str">
        <v/>
      </c>
      <c r="BY383" s="879" t="str">
        <v/>
      </c>
      <c r="BZ383" s="882">
        <f>IF($BN384=0,0,        _xll.qDateNext($BN383,BZ$17,$CG$16,TRUE,Currency2))</f>
        <v>0</v>
      </c>
      <c r="CA383" s="882">
        <f>IF($BN384=0,0,        _xll.qDateNext($BN383,CA$17,$CG$16,TRUE,Currency2))</f>
        <v>0</v>
      </c>
      <c r="CB383" s="882">
        <f>IF($BN384=0,0,        _xll.qDateNext($BN383,CB$17,$CG$16,TRUE,Currency2))</f>
        <v>0</v>
      </c>
      <c r="CC383" s="882">
        <f>IF($BN384=0,0,        _xll.qDateNext($BN383,CC$17,$CG$16,TRUE,Currency2))</f>
        <v>0</v>
      </c>
      <c r="CD383" s="882">
        <f>IF($BN384=0,0,        _xll.qDateNext($BN383,CD$17,$CG$16,TRUE,Currency2))</f>
        <v>0</v>
      </c>
      <c r="CE383" s="882">
        <f>IF($BN384=0,0,        _xll.qDateNext($BN383,CE$17,$CG$16,TRUE,Currency2))</f>
        <v>0</v>
      </c>
      <c r="CF383" s="882">
        <f>IF($BN384=0,0,        _xll.qDateNext($BN383,CF$17,$CG$16,TRUE,Currency2))</f>
        <v>0</v>
      </c>
      <c r="CG383" s="882">
        <f>IF($BN384=0,0,        _xll.qDateNext($BN383,CG$17,$CG$16,TRUE,Currency2))</f>
        <v>0</v>
      </c>
      <c r="CH383" s="886">
        <v>0</v>
      </c>
      <c r="CI383" s="886">
        <v>0</v>
      </c>
      <c r="CJ383" s="886">
        <v>0</v>
      </c>
      <c r="CK383" s="886">
        <v>0</v>
      </c>
      <c r="CL383" s="886">
        <f t="shared" si="189"/>
        <v>0</v>
      </c>
      <c r="CM383" s="886">
        <f t="shared" si="190"/>
        <v>0</v>
      </c>
      <c r="CN383" s="886">
        <v>0</v>
      </c>
      <c r="CO383" s="886">
        <v>0</v>
      </c>
      <c r="CP383" s="648">
        <f t="shared" si="167"/>
        <v>0</v>
      </c>
      <c r="CQ383" s="648">
        <f t="shared" si="168"/>
        <v>0</v>
      </c>
      <c r="CR383" s="648">
        <f t="shared" si="169"/>
        <v>0</v>
      </c>
      <c r="CS383" s="648">
        <f t="shared" si="170"/>
        <v>0</v>
      </c>
      <c r="CT383" s="648">
        <f t="shared" si="171"/>
        <v>0</v>
      </c>
      <c r="CU383" s="648">
        <f t="shared" si="172"/>
        <v>0</v>
      </c>
      <c r="CV383" s="648">
        <f t="shared" si="173"/>
        <v>0</v>
      </c>
      <c r="CW383" s="648">
        <f t="shared" si="174"/>
        <v>0</v>
      </c>
      <c r="CX383" s="634">
        <v>0</v>
      </c>
      <c r="CY383" s="616"/>
      <c r="CZ383" s="619">
        <f>IF(BN384=0,0,             IF(ISNUMBER(CY383),CY383,             IF(ISTEXT(CY383),INDEX(CP383:CW383,MATCH(CY383,$CP$17:$CW$17,0)),           IF(CX383="INT",_xll.qInterp(BN384,BZ383:CG383,CP383:CW383),       INDEX(CP383:CW383,MATCH(CX383,$CP$17:$CW$17,0))))))</f>
        <v>0</v>
      </c>
      <c r="DA383" s="755">
        <f t="shared" si="175"/>
        <v>0</v>
      </c>
      <c r="DB383" s="387">
        <f t="shared" si="176"/>
        <v>0</v>
      </c>
      <c r="DC383" s="268">
        <f>IF($BN384=0,0,         IF(LEFT(DCC_Leg2_Fixed,2)="1/",uEvaluate(DCC_Leg2_Fixed),         _xll.qDateYears($BN383,$BN384,DCC_Leg2_Fixed)))</f>
        <v>0</v>
      </c>
      <c r="DD383" s="268">
        <f>IF($BN384,_xll.qDateYears($BN383,$BN384,DCC_Leg2_Float),0)</f>
        <v>0</v>
      </c>
      <c r="DF383" s="332">
        <f t="shared" si="191"/>
        <v>0</v>
      </c>
      <c r="DG383" s="357">
        <f t="shared" si="192"/>
        <v>0</v>
      </c>
      <c r="DH383" s="527"/>
      <c r="DJ383" s="324">
        <f t="shared" si="194"/>
        <v>0</v>
      </c>
      <c r="DK383" s="529"/>
      <c r="DL383" s="338"/>
    </row>
    <row r="384" spans="15:116">
      <c r="O384" s="121">
        <v>0</v>
      </c>
      <c r="P384" s="755">
        <f t="shared" si="163"/>
        <v>0</v>
      </c>
      <c r="Q384" s="125">
        <v>0</v>
      </c>
      <c r="R384" s="890">
        <f>IF(O385=0,0,         IF(OR(Currency1="AUD",Currency1="NZD",Currency1="GBP"),O384,   _xll.qDateNext(O384,"-2b",,,IF(Currency1="EUR","TGT","LON"))))</f>
        <v>0</v>
      </c>
      <c r="S384" s="879" t="str">
        <v/>
      </c>
      <c r="T384" s="879" t="str">
        <v/>
      </c>
      <c r="U384" s="879" t="str">
        <v/>
      </c>
      <c r="V384" s="879" t="str">
        <v/>
      </c>
      <c r="W384" s="879" t="str">
        <v/>
      </c>
      <c r="X384" s="879" t="str">
        <v/>
      </c>
      <c r="Y384" s="879" t="str">
        <v/>
      </c>
      <c r="Z384" s="879" t="str">
        <v/>
      </c>
      <c r="AA384" s="882">
        <f>IF($O385=0,0,        _xll.qDateNext($O384,AA$17,$AH$16,TRUE,Currency1))</f>
        <v>0</v>
      </c>
      <c r="AB384" s="882">
        <f>IF($O385=0,0,        _xll.qDateNext($O384,AB$17,$AH$16,TRUE,Currency1))</f>
        <v>0</v>
      </c>
      <c r="AC384" s="882">
        <f>IF($O385=0,0,        _xll.qDateNext($O384,AC$17,$AH$16,TRUE,Currency1))</f>
        <v>0</v>
      </c>
      <c r="AD384" s="882">
        <f>IF($O385=0,0,        _xll.qDateNext($O384,AD$17,$AH$16,TRUE,Currency1))</f>
        <v>0</v>
      </c>
      <c r="AE384" s="882">
        <f>IF($O385=0,0,        _xll.qDateNext($O384,AE$17,$AH$16,TRUE,Currency1))</f>
        <v>0</v>
      </c>
      <c r="AF384" s="882">
        <f>IF($O385=0,0,        _xll.qDateNext($O384,AF$17,$AH$16,TRUE,Currency1))</f>
        <v>0</v>
      </c>
      <c r="AG384" s="882">
        <f>IF($O385=0,0,        _xll.qDateNext($O384,AG$17,$AH$16,TRUE,Currency1))</f>
        <v>0</v>
      </c>
      <c r="AH384" s="882">
        <f>IF($O385=0,0,        _xll.qDateNext($O384,AH$17,$AH$16,TRUE,Currency1))</f>
        <v>0</v>
      </c>
      <c r="AI384" s="886">
        <f>IF($O385=0,0,           IF(FRM,_xll.qGetFwdRate(AI$14,$O384,AA384,"T",DCC_Leg1_Float),_xll.qGetFwdRate(AI$14,$O384,$O385,"T",DCC_Leg1_Float)))</f>
        <v>0</v>
      </c>
      <c r="AJ384" s="886">
        <f>IF($O385=0,0,           IF(FRM,_xll.qGetFwdRate(AJ$14,$O384,AB384,"T",DCC_Leg1_Float),_xll.qGetFwdRate(AJ$14,$O384,$O385,"T",DCC_Leg1_Float)))</f>
        <v>0</v>
      </c>
      <c r="AK384" s="886">
        <f t="shared" si="164"/>
        <v>0</v>
      </c>
      <c r="AL384" s="886">
        <f>IF($O385=0,0,           IF(FRM,_xll.qGetFwdRate(AL$14,$O384,AD384,"T",DCC_Leg1_Float),_xll.qGetFwdRate(AL$14,$O384,$O385,"T",DCC_Leg1_Float)))</f>
        <v>0</v>
      </c>
      <c r="AM384" s="886">
        <f t="shared" si="177"/>
        <v>0</v>
      </c>
      <c r="AN384" s="886">
        <f t="shared" si="178"/>
        <v>0</v>
      </c>
      <c r="AO384" s="886">
        <f>IF($O385=0,0,           IF(FRM,_xll.qGetFwdRate(AO$14,$O384,AG384,"T",DCC_Leg1_Float),_xll.qGetFwdRate(AO$14,$O384,$O385,"T",DCC_Leg1_Float)))</f>
        <v>0</v>
      </c>
      <c r="AP384" s="886">
        <f>IF($O385=0,0,           IF(FRM,_xll.qGetFwdRate(AP$14,$O384,AH384,"T",DCC_Leg1_Float),_xll.qGetFwdRate(AP$14,$O384,$O385,"T",DCC_Leg1_Float)))</f>
        <v>0</v>
      </c>
      <c r="AQ384" s="648">
        <f t="shared" si="179"/>
        <v>0</v>
      </c>
      <c r="AR384" s="648">
        <f t="shared" si="180"/>
        <v>0</v>
      </c>
      <c r="AS384" s="648">
        <f t="shared" si="181"/>
        <v>0</v>
      </c>
      <c r="AT384" s="648">
        <f t="shared" si="182"/>
        <v>0</v>
      </c>
      <c r="AU384" s="648">
        <f t="shared" si="183"/>
        <v>0</v>
      </c>
      <c r="AV384" s="648">
        <f t="shared" si="184"/>
        <v>0</v>
      </c>
      <c r="AW384" s="648">
        <f t="shared" si="185"/>
        <v>0</v>
      </c>
      <c r="AX384" s="648">
        <f t="shared" si="186"/>
        <v>0</v>
      </c>
      <c r="AY384" s="634">
        <v>0</v>
      </c>
      <c r="AZ384" s="616"/>
      <c r="BA384" s="619">
        <f>IF(O385=0,0,             IF(ISNUMBER(AZ384),AZ384,             IF(ISTEXT(AZ384),INDEX(AQ384:AX384,MATCH(AZ384,$AQ$17:$AX$17,0)),           IF(AY384="INT",_xll.qInterp(O385,AA384:AH384,AQ384:AX384),       INDEX(AQ384:AX384,MATCH(AY384,$AQ$17:$AX$17,0))))))</f>
        <v>0</v>
      </c>
      <c r="BB384" s="674">
        <v>100</v>
      </c>
      <c r="BC384" s="666">
        <f t="shared" si="165"/>
        <v>0</v>
      </c>
      <c r="BD384" s="268">
        <f>IF($O385=0,0,                IF(LEFT(DCC_Leg1_Fixed,2)="1/",uEvaluate(DCC_Leg1_Fixed),        _xll.qDateYears($O384,$O385,DCC_Leg1_Fixed)))</f>
        <v>0</v>
      </c>
      <c r="BE384" s="268">
        <f>IF($O385,_xll.qDateYears($O384,$O385,DCC_Leg1_Float),0)</f>
        <v>0</v>
      </c>
      <c r="BG384" s="332">
        <f t="shared" si="187"/>
        <v>0</v>
      </c>
      <c r="BH384" s="357">
        <f t="shared" si="188"/>
        <v>0</v>
      </c>
      <c r="BI384" s="527"/>
      <c r="BK384" s="324">
        <f t="shared" si="193"/>
        <v>0</v>
      </c>
      <c r="BM384" s="338"/>
      <c r="BN384" s="121">
        <v>0</v>
      </c>
      <c r="BO384" s="755">
        <f t="shared" si="166"/>
        <v>0</v>
      </c>
      <c r="BP384" s="339">
        <v>0</v>
      </c>
      <c r="BQ384" s="890">
        <f>IF(BN385=0,0,         IF(OR(Currency2="AUD",Currency1="NZD",Currency2="GBP"),BN384,   _xll.qDateNext(BN384,"-2b",,,IF(Currency2="EUR","TGT","LON"))))</f>
        <v>0</v>
      </c>
      <c r="BR384" s="879" t="str">
        <v/>
      </c>
      <c r="BS384" s="879" t="str">
        <v/>
      </c>
      <c r="BT384" s="879" t="str">
        <v/>
      </c>
      <c r="BU384" s="879" t="str">
        <v/>
      </c>
      <c r="BV384" s="879" t="str">
        <v/>
      </c>
      <c r="BW384" s="879" t="str">
        <v/>
      </c>
      <c r="BX384" s="879" t="str">
        <v/>
      </c>
      <c r="BY384" s="879" t="str">
        <v/>
      </c>
      <c r="BZ384" s="882">
        <f>IF($BN385=0,0,        _xll.qDateNext($BN384,BZ$17,$CG$16,TRUE,Currency2))</f>
        <v>0</v>
      </c>
      <c r="CA384" s="882">
        <f>IF($BN385=0,0,        _xll.qDateNext($BN384,CA$17,$CG$16,TRUE,Currency2))</f>
        <v>0</v>
      </c>
      <c r="CB384" s="882">
        <f>IF($BN385=0,0,        _xll.qDateNext($BN384,CB$17,$CG$16,TRUE,Currency2))</f>
        <v>0</v>
      </c>
      <c r="CC384" s="882">
        <f>IF($BN385=0,0,        _xll.qDateNext($BN384,CC$17,$CG$16,TRUE,Currency2))</f>
        <v>0</v>
      </c>
      <c r="CD384" s="882">
        <f>IF($BN385=0,0,        _xll.qDateNext($BN384,CD$17,$CG$16,TRUE,Currency2))</f>
        <v>0</v>
      </c>
      <c r="CE384" s="882">
        <f>IF($BN385=0,0,        _xll.qDateNext($BN384,CE$17,$CG$16,TRUE,Currency2))</f>
        <v>0</v>
      </c>
      <c r="CF384" s="882">
        <f>IF($BN385=0,0,        _xll.qDateNext($BN384,CF$17,$CG$16,TRUE,Currency2))</f>
        <v>0</v>
      </c>
      <c r="CG384" s="882">
        <f>IF($BN385=0,0,        _xll.qDateNext($BN384,CG$17,$CG$16,TRUE,Currency2))</f>
        <v>0</v>
      </c>
      <c r="CH384" s="886">
        <v>0</v>
      </c>
      <c r="CI384" s="886">
        <v>0</v>
      </c>
      <c r="CJ384" s="886">
        <v>0</v>
      </c>
      <c r="CK384" s="886">
        <v>0</v>
      </c>
      <c r="CL384" s="886">
        <f t="shared" si="189"/>
        <v>0</v>
      </c>
      <c r="CM384" s="886">
        <f t="shared" si="190"/>
        <v>0</v>
      </c>
      <c r="CN384" s="886">
        <v>0</v>
      </c>
      <c r="CO384" s="886">
        <v>0</v>
      </c>
      <c r="CP384" s="648">
        <f t="shared" si="167"/>
        <v>0</v>
      </c>
      <c r="CQ384" s="648">
        <f t="shared" si="168"/>
        <v>0</v>
      </c>
      <c r="CR384" s="648">
        <f t="shared" si="169"/>
        <v>0</v>
      </c>
      <c r="CS384" s="648">
        <f t="shared" si="170"/>
        <v>0</v>
      </c>
      <c r="CT384" s="648">
        <f t="shared" si="171"/>
        <v>0</v>
      </c>
      <c r="CU384" s="648">
        <f t="shared" si="172"/>
        <v>0</v>
      </c>
      <c r="CV384" s="648">
        <f t="shared" si="173"/>
        <v>0</v>
      </c>
      <c r="CW384" s="648">
        <f t="shared" si="174"/>
        <v>0</v>
      </c>
      <c r="CX384" s="634">
        <v>0</v>
      </c>
      <c r="CY384" s="616"/>
      <c r="CZ384" s="619">
        <f>IF(BN385=0,0,             IF(ISNUMBER(CY384),CY384,             IF(ISTEXT(CY384),INDEX(CP384:CW384,MATCH(CY384,$CP$17:$CW$17,0)),           IF(CX384="INT",_xll.qInterp(BN385,BZ384:CG384,CP384:CW384),       INDEX(CP384:CW384,MATCH(CX384,$CP$17:$CW$17,0))))))</f>
        <v>0</v>
      </c>
      <c r="DA384" s="755">
        <f t="shared" si="175"/>
        <v>0</v>
      </c>
      <c r="DB384" s="387">
        <f t="shared" si="176"/>
        <v>0</v>
      </c>
      <c r="DC384" s="268">
        <f>IF($BN385=0,0,         IF(LEFT(DCC_Leg2_Fixed,2)="1/",uEvaluate(DCC_Leg2_Fixed),         _xll.qDateYears($BN384,$BN385,DCC_Leg2_Fixed)))</f>
        <v>0</v>
      </c>
      <c r="DD384" s="268">
        <f>IF($BN385,_xll.qDateYears($BN384,$BN385,DCC_Leg2_Float),0)</f>
        <v>0</v>
      </c>
      <c r="DF384" s="332">
        <f t="shared" si="191"/>
        <v>0</v>
      </c>
      <c r="DG384" s="357">
        <f t="shared" si="192"/>
        <v>0</v>
      </c>
      <c r="DH384" s="527"/>
      <c r="DJ384" s="324">
        <f t="shared" si="194"/>
        <v>0</v>
      </c>
      <c r="DK384" s="529"/>
      <c r="DL384" s="338"/>
    </row>
    <row r="385" spans="15:116">
      <c r="O385" s="121">
        <v>0</v>
      </c>
      <c r="P385" s="755">
        <f t="shared" si="163"/>
        <v>0</v>
      </c>
      <c r="Q385" s="125">
        <v>0</v>
      </c>
      <c r="R385" s="890">
        <f>IF(O386=0,0,         IF(OR(Currency1="AUD",Currency1="NZD",Currency1="GBP"),O385,   _xll.qDateNext(O385,"-2b",,,IF(Currency1="EUR","TGT","LON"))))</f>
        <v>0</v>
      </c>
      <c r="S385" s="879" t="str">
        <v/>
      </c>
      <c r="T385" s="879" t="str">
        <v/>
      </c>
      <c r="U385" s="879" t="str">
        <v/>
      </c>
      <c r="V385" s="879" t="str">
        <v/>
      </c>
      <c r="W385" s="879" t="str">
        <v/>
      </c>
      <c r="X385" s="879" t="str">
        <v/>
      </c>
      <c r="Y385" s="879" t="str">
        <v/>
      </c>
      <c r="Z385" s="879" t="str">
        <v/>
      </c>
      <c r="AA385" s="882">
        <f>IF($O386=0,0,        _xll.qDateNext($O385,AA$17,$AH$16,TRUE,Currency1))</f>
        <v>0</v>
      </c>
      <c r="AB385" s="882">
        <f>IF($O386=0,0,        _xll.qDateNext($O385,AB$17,$AH$16,TRUE,Currency1))</f>
        <v>0</v>
      </c>
      <c r="AC385" s="882">
        <f>IF($O386=0,0,        _xll.qDateNext($O385,AC$17,$AH$16,TRUE,Currency1))</f>
        <v>0</v>
      </c>
      <c r="AD385" s="882">
        <f>IF($O386=0,0,        _xll.qDateNext($O385,AD$17,$AH$16,TRUE,Currency1))</f>
        <v>0</v>
      </c>
      <c r="AE385" s="882">
        <f>IF($O386=0,0,        _xll.qDateNext($O385,AE$17,$AH$16,TRUE,Currency1))</f>
        <v>0</v>
      </c>
      <c r="AF385" s="882">
        <f>IF($O386=0,0,        _xll.qDateNext($O385,AF$17,$AH$16,TRUE,Currency1))</f>
        <v>0</v>
      </c>
      <c r="AG385" s="882">
        <f>IF($O386=0,0,        _xll.qDateNext($O385,AG$17,$AH$16,TRUE,Currency1))</f>
        <v>0</v>
      </c>
      <c r="AH385" s="882">
        <f>IF($O386=0,0,        _xll.qDateNext($O385,AH$17,$AH$16,TRUE,Currency1))</f>
        <v>0</v>
      </c>
      <c r="AI385" s="886">
        <f>IF($O386=0,0,           IF(FRM,_xll.qGetFwdRate(AI$14,$O385,AA385,"T",DCC_Leg1_Float),_xll.qGetFwdRate(AI$14,$O385,$O386,"T",DCC_Leg1_Float)))</f>
        <v>0</v>
      </c>
      <c r="AJ385" s="886">
        <f>IF($O386=0,0,           IF(FRM,_xll.qGetFwdRate(AJ$14,$O385,AB385,"T",DCC_Leg1_Float),_xll.qGetFwdRate(AJ$14,$O385,$O386,"T",DCC_Leg1_Float)))</f>
        <v>0</v>
      </c>
      <c r="AK385" s="886">
        <f t="shared" si="164"/>
        <v>0</v>
      </c>
      <c r="AL385" s="886">
        <f>IF($O386=0,0,           IF(FRM,_xll.qGetFwdRate(AL$14,$O385,AD385,"T",DCC_Leg1_Float),_xll.qGetFwdRate(AL$14,$O385,$O386,"T",DCC_Leg1_Float)))</f>
        <v>0</v>
      </c>
      <c r="AM385" s="886">
        <f t="shared" si="177"/>
        <v>0</v>
      </c>
      <c r="AN385" s="886">
        <f t="shared" si="178"/>
        <v>0</v>
      </c>
      <c r="AO385" s="886">
        <f>IF($O386=0,0,           IF(FRM,_xll.qGetFwdRate(AO$14,$O385,AG385,"T",DCC_Leg1_Float),_xll.qGetFwdRate(AO$14,$O385,$O386,"T",DCC_Leg1_Float)))</f>
        <v>0</v>
      </c>
      <c r="AP385" s="886">
        <f>IF($O386=0,0,           IF(FRM,_xll.qGetFwdRate(AP$14,$O385,AH385,"T",DCC_Leg1_Float),_xll.qGetFwdRate(AP$14,$O385,$O386,"T",DCC_Leg1_Float)))</f>
        <v>0</v>
      </c>
      <c r="AQ385" s="648">
        <f t="shared" si="179"/>
        <v>0</v>
      </c>
      <c r="AR385" s="648">
        <f t="shared" si="180"/>
        <v>0</v>
      </c>
      <c r="AS385" s="648">
        <f t="shared" si="181"/>
        <v>0</v>
      </c>
      <c r="AT385" s="648">
        <f t="shared" si="182"/>
        <v>0</v>
      </c>
      <c r="AU385" s="648">
        <f t="shared" si="183"/>
        <v>0</v>
      </c>
      <c r="AV385" s="648">
        <f t="shared" si="184"/>
        <v>0</v>
      </c>
      <c r="AW385" s="648">
        <f t="shared" si="185"/>
        <v>0</v>
      </c>
      <c r="AX385" s="648">
        <f t="shared" si="186"/>
        <v>0</v>
      </c>
      <c r="AY385" s="634">
        <v>0</v>
      </c>
      <c r="AZ385" s="616"/>
      <c r="BA385" s="619">
        <f>IF(O386=0,0,             IF(ISNUMBER(AZ385),AZ385,             IF(ISTEXT(AZ385),INDEX(AQ385:AX385,MATCH(AZ385,$AQ$17:$AX$17,0)),           IF(AY385="INT",_xll.qInterp(O386,AA385:AH385,AQ385:AX385),       INDEX(AQ385:AX385,MATCH(AY385,$AQ$17:$AX$17,0))))))</f>
        <v>0</v>
      </c>
      <c r="BB385" s="674">
        <v>100</v>
      </c>
      <c r="BC385" s="666">
        <f t="shared" si="165"/>
        <v>0</v>
      </c>
      <c r="BD385" s="268">
        <f>IF($O386=0,0,                IF(LEFT(DCC_Leg1_Fixed,2)="1/",uEvaluate(DCC_Leg1_Fixed),        _xll.qDateYears($O385,$O386,DCC_Leg1_Fixed)))</f>
        <v>0</v>
      </c>
      <c r="BE385" s="268">
        <f>IF($O386,_xll.qDateYears($O385,$O386,DCC_Leg1_Float),0)</f>
        <v>0</v>
      </c>
      <c r="BG385" s="332">
        <f t="shared" si="187"/>
        <v>0</v>
      </c>
      <c r="BH385" s="357">
        <f t="shared" si="188"/>
        <v>0</v>
      </c>
      <c r="BI385" s="527"/>
      <c r="BK385" s="324">
        <f t="shared" si="193"/>
        <v>0</v>
      </c>
      <c r="BM385" s="338"/>
      <c r="BN385" s="121">
        <v>0</v>
      </c>
      <c r="BO385" s="755">
        <f t="shared" si="166"/>
        <v>0</v>
      </c>
      <c r="BP385" s="339">
        <v>0</v>
      </c>
      <c r="BQ385" s="890">
        <f>IF(BN386=0,0,         IF(OR(Currency2="AUD",Currency1="NZD",Currency2="GBP"),BN385,   _xll.qDateNext(BN385,"-2b",,,IF(Currency2="EUR","TGT","LON"))))</f>
        <v>0</v>
      </c>
      <c r="BR385" s="879" t="str">
        <v/>
      </c>
      <c r="BS385" s="879" t="str">
        <v/>
      </c>
      <c r="BT385" s="879" t="str">
        <v/>
      </c>
      <c r="BU385" s="879" t="str">
        <v/>
      </c>
      <c r="BV385" s="879" t="str">
        <v/>
      </c>
      <c r="BW385" s="879" t="str">
        <v/>
      </c>
      <c r="BX385" s="879" t="str">
        <v/>
      </c>
      <c r="BY385" s="879" t="str">
        <v/>
      </c>
      <c r="BZ385" s="882">
        <f>IF($BN386=0,0,        _xll.qDateNext($BN385,BZ$17,$CG$16,TRUE,Currency2))</f>
        <v>0</v>
      </c>
      <c r="CA385" s="882">
        <f>IF($BN386=0,0,        _xll.qDateNext($BN385,CA$17,$CG$16,TRUE,Currency2))</f>
        <v>0</v>
      </c>
      <c r="CB385" s="882">
        <f>IF($BN386=0,0,        _xll.qDateNext($BN385,CB$17,$CG$16,TRUE,Currency2))</f>
        <v>0</v>
      </c>
      <c r="CC385" s="882">
        <f>IF($BN386=0,0,        _xll.qDateNext($BN385,CC$17,$CG$16,TRUE,Currency2))</f>
        <v>0</v>
      </c>
      <c r="CD385" s="882">
        <f>IF($BN386=0,0,        _xll.qDateNext($BN385,CD$17,$CG$16,TRUE,Currency2))</f>
        <v>0</v>
      </c>
      <c r="CE385" s="882">
        <f>IF($BN386=0,0,        _xll.qDateNext($BN385,CE$17,$CG$16,TRUE,Currency2))</f>
        <v>0</v>
      </c>
      <c r="CF385" s="882">
        <f>IF($BN386=0,0,        _xll.qDateNext($BN385,CF$17,$CG$16,TRUE,Currency2))</f>
        <v>0</v>
      </c>
      <c r="CG385" s="882">
        <f>IF($BN386=0,0,        _xll.qDateNext($BN385,CG$17,$CG$16,TRUE,Currency2))</f>
        <v>0</v>
      </c>
      <c r="CH385" s="886">
        <v>0</v>
      </c>
      <c r="CI385" s="886">
        <v>0</v>
      </c>
      <c r="CJ385" s="886">
        <v>0</v>
      </c>
      <c r="CK385" s="886">
        <v>0</v>
      </c>
      <c r="CL385" s="886">
        <f t="shared" si="189"/>
        <v>0</v>
      </c>
      <c r="CM385" s="886">
        <f t="shared" si="190"/>
        <v>0</v>
      </c>
      <c r="CN385" s="886">
        <v>0</v>
      </c>
      <c r="CO385" s="886">
        <v>0</v>
      </c>
      <c r="CP385" s="648">
        <f t="shared" si="167"/>
        <v>0</v>
      </c>
      <c r="CQ385" s="648">
        <f t="shared" si="168"/>
        <v>0</v>
      </c>
      <c r="CR385" s="648">
        <f t="shared" si="169"/>
        <v>0</v>
      </c>
      <c r="CS385" s="648">
        <f t="shared" si="170"/>
        <v>0</v>
      </c>
      <c r="CT385" s="648">
        <f t="shared" si="171"/>
        <v>0</v>
      </c>
      <c r="CU385" s="648">
        <f t="shared" si="172"/>
        <v>0</v>
      </c>
      <c r="CV385" s="648">
        <f t="shared" si="173"/>
        <v>0</v>
      </c>
      <c r="CW385" s="648">
        <f t="shared" si="174"/>
        <v>0</v>
      </c>
      <c r="CX385" s="634">
        <v>0</v>
      </c>
      <c r="CY385" s="616"/>
      <c r="CZ385" s="619">
        <f>IF(BN386=0,0,             IF(ISNUMBER(CY385),CY385,             IF(ISTEXT(CY385),INDEX(CP385:CW385,MATCH(CY385,$CP$17:$CW$17,0)),           IF(CX385="INT",_xll.qInterp(BN386,BZ385:CG385,CP385:CW385),       INDEX(CP385:CW385,MATCH(CX385,$CP$17:$CW$17,0))))))</f>
        <v>0</v>
      </c>
      <c r="DA385" s="755">
        <f t="shared" si="175"/>
        <v>0</v>
      </c>
      <c r="DB385" s="387">
        <f t="shared" si="176"/>
        <v>0</v>
      </c>
      <c r="DC385" s="268">
        <f>IF($BN386=0,0,         IF(LEFT(DCC_Leg2_Fixed,2)="1/",uEvaluate(DCC_Leg2_Fixed),         _xll.qDateYears($BN385,$BN386,DCC_Leg2_Fixed)))</f>
        <v>0</v>
      </c>
      <c r="DD385" s="268">
        <f>IF($BN386,_xll.qDateYears($BN385,$BN386,DCC_Leg2_Float),0)</f>
        <v>0</v>
      </c>
      <c r="DF385" s="332">
        <f t="shared" si="191"/>
        <v>0</v>
      </c>
      <c r="DG385" s="357">
        <f t="shared" si="192"/>
        <v>0</v>
      </c>
      <c r="DH385" s="527"/>
      <c r="DJ385" s="324">
        <f t="shared" si="194"/>
        <v>0</v>
      </c>
      <c r="DK385" s="529"/>
      <c r="DL385" s="338"/>
    </row>
    <row r="386" spans="15:116">
      <c r="O386" s="121">
        <v>0</v>
      </c>
      <c r="P386" s="755">
        <f t="shared" si="163"/>
        <v>0</v>
      </c>
      <c r="Q386" s="125">
        <v>0</v>
      </c>
      <c r="R386" s="890">
        <f>IF(O387=0,0,         IF(OR(Currency1="AUD",Currency1="NZD",Currency1="GBP"),O386,   _xll.qDateNext(O386,"-2b",,,IF(Currency1="EUR","TGT","LON"))))</f>
        <v>0</v>
      </c>
      <c r="S386" s="879" t="str">
        <v/>
      </c>
      <c r="T386" s="879" t="str">
        <v/>
      </c>
      <c r="U386" s="879" t="str">
        <v/>
      </c>
      <c r="V386" s="879" t="str">
        <v/>
      </c>
      <c r="W386" s="879" t="str">
        <v/>
      </c>
      <c r="X386" s="879" t="str">
        <v/>
      </c>
      <c r="Y386" s="879" t="str">
        <v/>
      </c>
      <c r="Z386" s="879" t="str">
        <v/>
      </c>
      <c r="AA386" s="882">
        <f>IF($O387=0,0,        _xll.qDateNext($O386,AA$17,$AH$16,TRUE,Currency1))</f>
        <v>0</v>
      </c>
      <c r="AB386" s="882">
        <f>IF($O387=0,0,        _xll.qDateNext($O386,AB$17,$AH$16,TRUE,Currency1))</f>
        <v>0</v>
      </c>
      <c r="AC386" s="882">
        <f>IF($O387=0,0,        _xll.qDateNext($O386,AC$17,$AH$16,TRUE,Currency1))</f>
        <v>0</v>
      </c>
      <c r="AD386" s="882">
        <f>IF($O387=0,0,        _xll.qDateNext($O386,AD$17,$AH$16,TRUE,Currency1))</f>
        <v>0</v>
      </c>
      <c r="AE386" s="882">
        <f>IF($O387=0,0,        _xll.qDateNext($O386,AE$17,$AH$16,TRUE,Currency1))</f>
        <v>0</v>
      </c>
      <c r="AF386" s="882">
        <f>IF($O387=0,0,        _xll.qDateNext($O386,AF$17,$AH$16,TRUE,Currency1))</f>
        <v>0</v>
      </c>
      <c r="AG386" s="882">
        <f>IF($O387=0,0,        _xll.qDateNext($O386,AG$17,$AH$16,TRUE,Currency1))</f>
        <v>0</v>
      </c>
      <c r="AH386" s="882">
        <f>IF($O387=0,0,        _xll.qDateNext($O386,AH$17,$AH$16,TRUE,Currency1))</f>
        <v>0</v>
      </c>
      <c r="AI386" s="886">
        <f>IF($O387=0,0,           IF(FRM,_xll.qGetFwdRate(AI$14,$O386,AA386,"T",DCC_Leg1_Float),_xll.qGetFwdRate(AI$14,$O386,$O387,"T",DCC_Leg1_Float)))</f>
        <v>0</v>
      </c>
      <c r="AJ386" s="886">
        <f>IF($O387=0,0,           IF(FRM,_xll.qGetFwdRate(AJ$14,$O386,AB386,"T",DCC_Leg1_Float),_xll.qGetFwdRate(AJ$14,$O386,$O387,"T",DCC_Leg1_Float)))</f>
        <v>0</v>
      </c>
      <c r="AK386" s="886">
        <f t="shared" si="164"/>
        <v>0</v>
      </c>
      <c r="AL386" s="886">
        <f>IF($O387=0,0,           IF(FRM,_xll.qGetFwdRate(AL$14,$O386,AD386,"T",DCC_Leg1_Float),_xll.qGetFwdRate(AL$14,$O386,$O387,"T",DCC_Leg1_Float)))</f>
        <v>0</v>
      </c>
      <c r="AM386" s="886">
        <f t="shared" si="177"/>
        <v>0</v>
      </c>
      <c r="AN386" s="886">
        <f t="shared" si="178"/>
        <v>0</v>
      </c>
      <c r="AO386" s="886">
        <f>IF($O387=0,0,           IF(FRM,_xll.qGetFwdRate(AO$14,$O386,AG386,"T",DCC_Leg1_Float),_xll.qGetFwdRate(AO$14,$O386,$O387,"T",DCC_Leg1_Float)))</f>
        <v>0</v>
      </c>
      <c r="AP386" s="886">
        <f>IF($O387=0,0,           IF(FRM,_xll.qGetFwdRate(AP$14,$O386,AH386,"T",DCC_Leg1_Float),_xll.qGetFwdRate(AP$14,$O386,$O387,"T",DCC_Leg1_Float)))</f>
        <v>0</v>
      </c>
      <c r="AQ386" s="648">
        <f t="shared" si="179"/>
        <v>0</v>
      </c>
      <c r="AR386" s="648">
        <f t="shared" si="180"/>
        <v>0</v>
      </c>
      <c r="AS386" s="648">
        <f t="shared" si="181"/>
        <v>0</v>
      </c>
      <c r="AT386" s="648">
        <f t="shared" si="182"/>
        <v>0</v>
      </c>
      <c r="AU386" s="648">
        <f t="shared" si="183"/>
        <v>0</v>
      </c>
      <c r="AV386" s="648">
        <f t="shared" si="184"/>
        <v>0</v>
      </c>
      <c r="AW386" s="648">
        <f t="shared" si="185"/>
        <v>0</v>
      </c>
      <c r="AX386" s="648">
        <f t="shared" si="186"/>
        <v>0</v>
      </c>
      <c r="AY386" s="634">
        <v>0</v>
      </c>
      <c r="AZ386" s="616"/>
      <c r="BA386" s="619">
        <f>IF(O387=0,0,             IF(ISNUMBER(AZ386),AZ386,             IF(ISTEXT(AZ386),INDEX(AQ386:AX386,MATCH(AZ386,$AQ$17:$AX$17,0)),           IF(AY386="INT",_xll.qInterp(O387,AA386:AH386,AQ386:AX386),       INDEX(AQ386:AX386,MATCH(AY386,$AQ$17:$AX$17,0))))))</f>
        <v>0</v>
      </c>
      <c r="BB386" s="674">
        <v>100</v>
      </c>
      <c r="BC386" s="666">
        <f t="shared" si="165"/>
        <v>0</v>
      </c>
      <c r="BD386" s="268">
        <f>IF($O387=0,0,                IF(LEFT(DCC_Leg1_Fixed,2)="1/",uEvaluate(DCC_Leg1_Fixed),        _xll.qDateYears($O386,$O387,DCC_Leg1_Fixed)))</f>
        <v>0</v>
      </c>
      <c r="BE386" s="268">
        <f>IF($O387,_xll.qDateYears($O386,$O387,DCC_Leg1_Float),0)</f>
        <v>0</v>
      </c>
      <c r="BG386" s="332">
        <f t="shared" si="187"/>
        <v>0</v>
      </c>
      <c r="BH386" s="357">
        <f t="shared" si="188"/>
        <v>0</v>
      </c>
      <c r="BI386" s="527"/>
      <c r="BK386" s="324">
        <f t="shared" si="193"/>
        <v>0</v>
      </c>
      <c r="BM386" s="338"/>
      <c r="BN386" s="121">
        <v>0</v>
      </c>
      <c r="BO386" s="755">
        <f t="shared" si="166"/>
        <v>0</v>
      </c>
      <c r="BP386" s="339">
        <v>0</v>
      </c>
      <c r="BQ386" s="890">
        <f>IF(BN387=0,0,         IF(OR(Currency2="AUD",Currency1="NZD",Currency2="GBP"),BN386,   _xll.qDateNext(BN386,"-2b",,,IF(Currency2="EUR","TGT","LON"))))</f>
        <v>0</v>
      </c>
      <c r="BR386" s="879" t="str">
        <v/>
      </c>
      <c r="BS386" s="879" t="str">
        <v/>
      </c>
      <c r="BT386" s="879" t="str">
        <v/>
      </c>
      <c r="BU386" s="879" t="str">
        <v/>
      </c>
      <c r="BV386" s="879" t="str">
        <v/>
      </c>
      <c r="BW386" s="879" t="str">
        <v/>
      </c>
      <c r="BX386" s="879" t="str">
        <v/>
      </c>
      <c r="BY386" s="879" t="str">
        <v/>
      </c>
      <c r="BZ386" s="882">
        <f>IF($BN387=0,0,        _xll.qDateNext($BN386,BZ$17,$CG$16,TRUE,Currency2))</f>
        <v>0</v>
      </c>
      <c r="CA386" s="882">
        <f>IF($BN387=0,0,        _xll.qDateNext($BN386,CA$17,$CG$16,TRUE,Currency2))</f>
        <v>0</v>
      </c>
      <c r="CB386" s="882">
        <f>IF($BN387=0,0,        _xll.qDateNext($BN386,CB$17,$CG$16,TRUE,Currency2))</f>
        <v>0</v>
      </c>
      <c r="CC386" s="882">
        <f>IF($BN387=0,0,        _xll.qDateNext($BN386,CC$17,$CG$16,TRUE,Currency2))</f>
        <v>0</v>
      </c>
      <c r="CD386" s="882">
        <f>IF($BN387=0,0,        _xll.qDateNext($BN386,CD$17,$CG$16,TRUE,Currency2))</f>
        <v>0</v>
      </c>
      <c r="CE386" s="882">
        <f>IF($BN387=0,0,        _xll.qDateNext($BN386,CE$17,$CG$16,TRUE,Currency2))</f>
        <v>0</v>
      </c>
      <c r="CF386" s="882">
        <f>IF($BN387=0,0,        _xll.qDateNext($BN386,CF$17,$CG$16,TRUE,Currency2))</f>
        <v>0</v>
      </c>
      <c r="CG386" s="882">
        <f>IF($BN387=0,0,        _xll.qDateNext($BN386,CG$17,$CG$16,TRUE,Currency2))</f>
        <v>0</v>
      </c>
      <c r="CH386" s="886">
        <v>0</v>
      </c>
      <c r="CI386" s="886">
        <v>0</v>
      </c>
      <c r="CJ386" s="886">
        <v>0</v>
      </c>
      <c r="CK386" s="886">
        <v>0</v>
      </c>
      <c r="CL386" s="886">
        <f t="shared" si="189"/>
        <v>0</v>
      </c>
      <c r="CM386" s="886">
        <f t="shared" si="190"/>
        <v>0</v>
      </c>
      <c r="CN386" s="886">
        <v>0</v>
      </c>
      <c r="CO386" s="886">
        <v>0</v>
      </c>
      <c r="CP386" s="648">
        <f t="shared" si="167"/>
        <v>0</v>
      </c>
      <c r="CQ386" s="648">
        <f t="shared" si="168"/>
        <v>0</v>
      </c>
      <c r="CR386" s="648">
        <f t="shared" si="169"/>
        <v>0</v>
      </c>
      <c r="CS386" s="648">
        <f t="shared" si="170"/>
        <v>0</v>
      </c>
      <c r="CT386" s="648">
        <f t="shared" si="171"/>
        <v>0</v>
      </c>
      <c r="CU386" s="648">
        <f t="shared" si="172"/>
        <v>0</v>
      </c>
      <c r="CV386" s="648">
        <f t="shared" si="173"/>
        <v>0</v>
      </c>
      <c r="CW386" s="648">
        <f t="shared" si="174"/>
        <v>0</v>
      </c>
      <c r="CX386" s="634">
        <v>0</v>
      </c>
      <c r="CY386" s="616"/>
      <c r="CZ386" s="619">
        <f>IF(BN387=0,0,             IF(ISNUMBER(CY386),CY386,             IF(ISTEXT(CY386),INDEX(CP386:CW386,MATCH(CY386,$CP$17:$CW$17,0)),           IF(CX386="INT",_xll.qInterp(BN387,BZ386:CG386,CP386:CW386),       INDEX(CP386:CW386,MATCH(CX386,$CP$17:$CW$17,0))))))</f>
        <v>0</v>
      </c>
      <c r="DA386" s="755">
        <f t="shared" si="175"/>
        <v>0</v>
      </c>
      <c r="DB386" s="387">
        <f t="shared" si="176"/>
        <v>0</v>
      </c>
      <c r="DC386" s="268">
        <f>IF($BN387=0,0,         IF(LEFT(DCC_Leg2_Fixed,2)="1/",uEvaluate(DCC_Leg2_Fixed),         _xll.qDateYears($BN386,$BN387,DCC_Leg2_Fixed)))</f>
        <v>0</v>
      </c>
      <c r="DD386" s="268">
        <f>IF($BN387,_xll.qDateYears($BN386,$BN387,DCC_Leg2_Float),0)</f>
        <v>0</v>
      </c>
      <c r="DF386" s="332">
        <f t="shared" si="191"/>
        <v>0</v>
      </c>
      <c r="DG386" s="357">
        <f t="shared" si="192"/>
        <v>0</v>
      </c>
      <c r="DH386" s="527"/>
      <c r="DJ386" s="324">
        <f t="shared" si="194"/>
        <v>0</v>
      </c>
      <c r="DK386" s="529"/>
      <c r="DL386" s="338"/>
    </row>
    <row r="387" spans="15:116">
      <c r="O387" s="121">
        <v>0</v>
      </c>
      <c r="P387" s="755">
        <f t="shared" si="163"/>
        <v>0</v>
      </c>
      <c r="Q387" s="125">
        <v>0</v>
      </c>
      <c r="R387" s="890">
        <f>IF(O388=0,0,         IF(OR(Currency1="AUD",Currency1="NZD",Currency1="GBP"),O387,   _xll.qDateNext(O387,"-2b",,,IF(Currency1="EUR","TGT","LON"))))</f>
        <v>0</v>
      </c>
      <c r="S387" s="879" t="str">
        <v/>
      </c>
      <c r="T387" s="879" t="str">
        <v/>
      </c>
      <c r="U387" s="879" t="str">
        <v/>
      </c>
      <c r="V387" s="879" t="str">
        <v/>
      </c>
      <c r="W387" s="879" t="str">
        <v/>
      </c>
      <c r="X387" s="879" t="str">
        <v/>
      </c>
      <c r="Y387" s="879" t="str">
        <v/>
      </c>
      <c r="Z387" s="879" t="str">
        <v/>
      </c>
      <c r="AA387" s="882">
        <f>IF($O388=0,0,        _xll.qDateNext($O387,AA$17,$AH$16,TRUE,Currency1))</f>
        <v>0</v>
      </c>
      <c r="AB387" s="882">
        <f>IF($O388=0,0,        _xll.qDateNext($O387,AB$17,$AH$16,TRUE,Currency1))</f>
        <v>0</v>
      </c>
      <c r="AC387" s="882">
        <f>IF($O388=0,0,        _xll.qDateNext($O387,AC$17,$AH$16,TRUE,Currency1))</f>
        <v>0</v>
      </c>
      <c r="AD387" s="882">
        <f>IF($O388=0,0,        _xll.qDateNext($O387,AD$17,$AH$16,TRUE,Currency1))</f>
        <v>0</v>
      </c>
      <c r="AE387" s="882">
        <f>IF($O388=0,0,        _xll.qDateNext($O387,AE$17,$AH$16,TRUE,Currency1))</f>
        <v>0</v>
      </c>
      <c r="AF387" s="882">
        <f>IF($O388=0,0,        _xll.qDateNext($O387,AF$17,$AH$16,TRUE,Currency1))</f>
        <v>0</v>
      </c>
      <c r="AG387" s="882">
        <f>IF($O388=0,0,        _xll.qDateNext($O387,AG$17,$AH$16,TRUE,Currency1))</f>
        <v>0</v>
      </c>
      <c r="AH387" s="882">
        <f>IF($O388=0,0,        _xll.qDateNext($O387,AH$17,$AH$16,TRUE,Currency1))</f>
        <v>0</v>
      </c>
      <c r="AI387" s="886">
        <f>IF($O388=0,0,           IF(FRM,_xll.qGetFwdRate(AI$14,$O387,AA387,"T",DCC_Leg1_Float),_xll.qGetFwdRate(AI$14,$O387,$O388,"T",DCC_Leg1_Float)))</f>
        <v>0</v>
      </c>
      <c r="AJ387" s="886">
        <f>IF($O388=0,0,           IF(FRM,_xll.qGetFwdRate(AJ$14,$O387,AB387,"T",DCC_Leg1_Float),_xll.qGetFwdRate(AJ$14,$O387,$O388,"T",DCC_Leg1_Float)))</f>
        <v>0</v>
      </c>
      <c r="AK387" s="886">
        <f t="shared" si="164"/>
        <v>0</v>
      </c>
      <c r="AL387" s="886">
        <f>IF($O388=0,0,           IF(FRM,_xll.qGetFwdRate(AL$14,$O387,AD387,"T",DCC_Leg1_Float),_xll.qGetFwdRate(AL$14,$O387,$O388,"T",DCC_Leg1_Float)))</f>
        <v>0</v>
      </c>
      <c r="AM387" s="886">
        <f t="shared" si="177"/>
        <v>0</v>
      </c>
      <c r="AN387" s="886">
        <f t="shared" si="178"/>
        <v>0</v>
      </c>
      <c r="AO387" s="886">
        <f>IF($O388=0,0,           IF(FRM,_xll.qGetFwdRate(AO$14,$O387,AG387,"T",DCC_Leg1_Float),_xll.qGetFwdRate(AO$14,$O387,$O388,"T",DCC_Leg1_Float)))</f>
        <v>0</v>
      </c>
      <c r="AP387" s="886">
        <f>IF($O388=0,0,           IF(FRM,_xll.qGetFwdRate(AP$14,$O387,AH387,"T",DCC_Leg1_Float),_xll.qGetFwdRate(AP$14,$O387,$O388,"T",DCC_Leg1_Float)))</f>
        <v>0</v>
      </c>
      <c r="AQ387" s="648">
        <f t="shared" si="179"/>
        <v>0</v>
      </c>
      <c r="AR387" s="648">
        <f t="shared" si="180"/>
        <v>0</v>
      </c>
      <c r="AS387" s="648">
        <f t="shared" si="181"/>
        <v>0</v>
      </c>
      <c r="AT387" s="648">
        <f t="shared" si="182"/>
        <v>0</v>
      </c>
      <c r="AU387" s="648">
        <f t="shared" si="183"/>
        <v>0</v>
      </c>
      <c r="AV387" s="648">
        <f t="shared" si="184"/>
        <v>0</v>
      </c>
      <c r="AW387" s="648">
        <f t="shared" si="185"/>
        <v>0</v>
      </c>
      <c r="AX387" s="648">
        <f t="shared" si="186"/>
        <v>0</v>
      </c>
      <c r="AY387" s="634">
        <v>0</v>
      </c>
      <c r="AZ387" s="616"/>
      <c r="BA387" s="619">
        <f>IF(O388=0,0,             IF(ISNUMBER(AZ387),AZ387,             IF(ISTEXT(AZ387),INDEX(AQ387:AX387,MATCH(AZ387,$AQ$17:$AX$17,0)),           IF(AY387="INT",_xll.qInterp(O388,AA387:AH387,AQ387:AX387),       INDEX(AQ387:AX387,MATCH(AY387,$AQ$17:$AX$17,0))))))</f>
        <v>0</v>
      </c>
      <c r="BB387" s="674">
        <v>100</v>
      </c>
      <c r="BC387" s="666">
        <f t="shared" si="165"/>
        <v>0</v>
      </c>
      <c r="BD387" s="268">
        <f>IF($O388=0,0,                IF(LEFT(DCC_Leg1_Fixed,2)="1/",uEvaluate(DCC_Leg1_Fixed),        _xll.qDateYears($O387,$O388,DCC_Leg1_Fixed)))</f>
        <v>0</v>
      </c>
      <c r="BE387" s="268">
        <f>IF($O388,_xll.qDateYears($O387,$O388,DCC_Leg1_Float),0)</f>
        <v>0</v>
      </c>
      <c r="BG387" s="332">
        <f t="shared" si="187"/>
        <v>0</v>
      </c>
      <c r="BH387" s="357">
        <f t="shared" si="188"/>
        <v>0</v>
      </c>
      <c r="BI387" s="527"/>
      <c r="BK387" s="324">
        <f t="shared" si="193"/>
        <v>0</v>
      </c>
      <c r="BM387" s="338"/>
      <c r="BN387" s="121">
        <v>0</v>
      </c>
      <c r="BO387" s="755">
        <f t="shared" si="166"/>
        <v>0</v>
      </c>
      <c r="BP387" s="339">
        <v>0</v>
      </c>
      <c r="BQ387" s="890">
        <f>IF(BN388=0,0,         IF(OR(Currency2="AUD",Currency1="NZD",Currency2="GBP"),BN387,   _xll.qDateNext(BN387,"-2b",,,IF(Currency2="EUR","TGT","LON"))))</f>
        <v>0</v>
      </c>
      <c r="BR387" s="879" t="str">
        <v/>
      </c>
      <c r="BS387" s="879" t="str">
        <v/>
      </c>
      <c r="BT387" s="879" t="str">
        <v/>
      </c>
      <c r="BU387" s="879" t="str">
        <v/>
      </c>
      <c r="BV387" s="879" t="str">
        <v/>
      </c>
      <c r="BW387" s="879" t="str">
        <v/>
      </c>
      <c r="BX387" s="879" t="str">
        <v/>
      </c>
      <c r="BY387" s="879" t="str">
        <v/>
      </c>
      <c r="BZ387" s="882">
        <f>IF($BN388=0,0,        _xll.qDateNext($BN387,BZ$17,$CG$16,TRUE,Currency2))</f>
        <v>0</v>
      </c>
      <c r="CA387" s="882">
        <f>IF($BN388=0,0,        _xll.qDateNext($BN387,CA$17,$CG$16,TRUE,Currency2))</f>
        <v>0</v>
      </c>
      <c r="CB387" s="882">
        <f>IF($BN388=0,0,        _xll.qDateNext($BN387,CB$17,$CG$16,TRUE,Currency2))</f>
        <v>0</v>
      </c>
      <c r="CC387" s="882">
        <f>IF($BN388=0,0,        _xll.qDateNext($BN387,CC$17,$CG$16,TRUE,Currency2))</f>
        <v>0</v>
      </c>
      <c r="CD387" s="882">
        <f>IF($BN388=0,0,        _xll.qDateNext($BN387,CD$17,$CG$16,TRUE,Currency2))</f>
        <v>0</v>
      </c>
      <c r="CE387" s="882">
        <f>IF($BN388=0,0,        _xll.qDateNext($BN387,CE$17,$CG$16,TRUE,Currency2))</f>
        <v>0</v>
      </c>
      <c r="CF387" s="882">
        <f>IF($BN388=0,0,        _xll.qDateNext($BN387,CF$17,$CG$16,TRUE,Currency2))</f>
        <v>0</v>
      </c>
      <c r="CG387" s="882">
        <f>IF($BN388=0,0,        _xll.qDateNext($BN387,CG$17,$CG$16,TRUE,Currency2))</f>
        <v>0</v>
      </c>
      <c r="CH387" s="886">
        <v>0</v>
      </c>
      <c r="CI387" s="886">
        <v>0</v>
      </c>
      <c r="CJ387" s="886">
        <v>0</v>
      </c>
      <c r="CK387" s="886">
        <v>0</v>
      </c>
      <c r="CL387" s="886">
        <f t="shared" si="189"/>
        <v>0</v>
      </c>
      <c r="CM387" s="886">
        <f t="shared" si="190"/>
        <v>0</v>
      </c>
      <c r="CN387" s="886">
        <v>0</v>
      </c>
      <c r="CO387" s="886">
        <v>0</v>
      </c>
      <c r="CP387" s="648">
        <f t="shared" si="167"/>
        <v>0</v>
      </c>
      <c r="CQ387" s="648">
        <f t="shared" si="168"/>
        <v>0</v>
      </c>
      <c r="CR387" s="648">
        <f t="shared" si="169"/>
        <v>0</v>
      </c>
      <c r="CS387" s="648">
        <f t="shared" si="170"/>
        <v>0</v>
      </c>
      <c r="CT387" s="648">
        <f t="shared" si="171"/>
        <v>0</v>
      </c>
      <c r="CU387" s="648">
        <f t="shared" si="172"/>
        <v>0</v>
      </c>
      <c r="CV387" s="648">
        <f t="shared" si="173"/>
        <v>0</v>
      </c>
      <c r="CW387" s="648">
        <f t="shared" si="174"/>
        <v>0</v>
      </c>
      <c r="CX387" s="634">
        <v>0</v>
      </c>
      <c r="CY387" s="616"/>
      <c r="CZ387" s="619">
        <f>IF(BN388=0,0,             IF(ISNUMBER(CY387),CY387,             IF(ISTEXT(CY387),INDEX(CP387:CW387,MATCH(CY387,$CP$17:$CW$17,0)),           IF(CX387="INT",_xll.qInterp(BN388,BZ387:CG387,CP387:CW387),       INDEX(CP387:CW387,MATCH(CX387,$CP$17:$CW$17,0))))))</f>
        <v>0</v>
      </c>
      <c r="DA387" s="755">
        <f t="shared" si="175"/>
        <v>0</v>
      </c>
      <c r="DB387" s="387">
        <f t="shared" si="176"/>
        <v>0</v>
      </c>
      <c r="DC387" s="268">
        <f>IF($BN388=0,0,         IF(LEFT(DCC_Leg2_Fixed,2)="1/",uEvaluate(DCC_Leg2_Fixed),         _xll.qDateYears($BN387,$BN388,DCC_Leg2_Fixed)))</f>
        <v>0</v>
      </c>
      <c r="DD387" s="268">
        <f>IF($BN388,_xll.qDateYears($BN387,$BN388,DCC_Leg2_Float),0)</f>
        <v>0</v>
      </c>
      <c r="DF387" s="332">
        <f t="shared" si="191"/>
        <v>0</v>
      </c>
      <c r="DG387" s="357">
        <f t="shared" si="192"/>
        <v>0</v>
      </c>
      <c r="DH387" s="527"/>
      <c r="DJ387" s="324">
        <f t="shared" si="194"/>
        <v>0</v>
      </c>
      <c r="DK387" s="529"/>
      <c r="DL387" s="338"/>
    </row>
    <row r="388" spans="15:116">
      <c r="O388" s="121">
        <v>0</v>
      </c>
      <c r="P388" s="755">
        <f t="shared" si="163"/>
        <v>0</v>
      </c>
      <c r="Q388" s="125">
        <v>0</v>
      </c>
      <c r="R388" s="890">
        <f>IF(O389=0,0,         IF(OR(Currency1="AUD",Currency1="NZD",Currency1="GBP"),O388,   _xll.qDateNext(O388,"-2b",,,IF(Currency1="EUR","TGT","LON"))))</f>
        <v>0</v>
      </c>
      <c r="S388" s="879" t="str">
        <v/>
      </c>
      <c r="T388" s="879" t="str">
        <v/>
      </c>
      <c r="U388" s="879" t="str">
        <v/>
      </c>
      <c r="V388" s="879" t="str">
        <v/>
      </c>
      <c r="W388" s="879" t="str">
        <v/>
      </c>
      <c r="X388" s="879" t="str">
        <v/>
      </c>
      <c r="Y388" s="879" t="str">
        <v/>
      </c>
      <c r="Z388" s="879" t="str">
        <v/>
      </c>
      <c r="AA388" s="882">
        <f>IF($O389=0,0,        _xll.qDateNext($O388,AA$17,$AH$16,TRUE,Currency1))</f>
        <v>0</v>
      </c>
      <c r="AB388" s="882">
        <f>IF($O389=0,0,        _xll.qDateNext($O388,AB$17,$AH$16,TRUE,Currency1))</f>
        <v>0</v>
      </c>
      <c r="AC388" s="882">
        <f>IF($O389=0,0,        _xll.qDateNext($O388,AC$17,$AH$16,TRUE,Currency1))</f>
        <v>0</v>
      </c>
      <c r="AD388" s="882">
        <f>IF($O389=0,0,        _xll.qDateNext($O388,AD$17,$AH$16,TRUE,Currency1))</f>
        <v>0</v>
      </c>
      <c r="AE388" s="882">
        <f>IF($O389=0,0,        _xll.qDateNext($O388,AE$17,$AH$16,TRUE,Currency1))</f>
        <v>0</v>
      </c>
      <c r="AF388" s="882">
        <f>IF($O389=0,0,        _xll.qDateNext($O388,AF$17,$AH$16,TRUE,Currency1))</f>
        <v>0</v>
      </c>
      <c r="AG388" s="882">
        <f>IF($O389=0,0,        _xll.qDateNext($O388,AG$17,$AH$16,TRUE,Currency1))</f>
        <v>0</v>
      </c>
      <c r="AH388" s="882">
        <f>IF($O389=0,0,        _xll.qDateNext($O388,AH$17,$AH$16,TRUE,Currency1))</f>
        <v>0</v>
      </c>
      <c r="AI388" s="886">
        <f>IF($O389=0,0,           IF(FRM,_xll.qGetFwdRate(AI$14,$O388,AA388,"T",DCC_Leg1_Float),_xll.qGetFwdRate(AI$14,$O388,$O389,"T",DCC_Leg1_Float)))</f>
        <v>0</v>
      </c>
      <c r="AJ388" s="886">
        <f>IF($O389=0,0,           IF(FRM,_xll.qGetFwdRate(AJ$14,$O388,AB388,"T",DCC_Leg1_Float),_xll.qGetFwdRate(AJ$14,$O388,$O389,"T",DCC_Leg1_Float)))</f>
        <v>0</v>
      </c>
      <c r="AK388" s="886">
        <f t="shared" si="164"/>
        <v>0</v>
      </c>
      <c r="AL388" s="886">
        <f>IF($O389=0,0,           IF(FRM,_xll.qGetFwdRate(AL$14,$O388,AD388,"T",DCC_Leg1_Float),_xll.qGetFwdRate(AL$14,$O388,$O389,"T",DCC_Leg1_Float)))</f>
        <v>0</v>
      </c>
      <c r="AM388" s="886">
        <f t="shared" si="177"/>
        <v>0</v>
      </c>
      <c r="AN388" s="886">
        <f t="shared" si="178"/>
        <v>0</v>
      </c>
      <c r="AO388" s="886">
        <f>IF($O389=0,0,           IF(FRM,_xll.qGetFwdRate(AO$14,$O388,AG388,"T",DCC_Leg1_Float),_xll.qGetFwdRate(AO$14,$O388,$O389,"T",DCC_Leg1_Float)))</f>
        <v>0</v>
      </c>
      <c r="AP388" s="886">
        <f>IF($O389=0,0,           IF(FRM,_xll.qGetFwdRate(AP$14,$O388,AH388,"T",DCC_Leg1_Float),_xll.qGetFwdRate(AP$14,$O388,$O389,"T",DCC_Leg1_Float)))</f>
        <v>0</v>
      </c>
      <c r="AQ388" s="648">
        <f t="shared" si="179"/>
        <v>0</v>
      </c>
      <c r="AR388" s="648">
        <f t="shared" si="180"/>
        <v>0</v>
      </c>
      <c r="AS388" s="648">
        <f t="shared" si="181"/>
        <v>0</v>
      </c>
      <c r="AT388" s="648">
        <f t="shared" si="182"/>
        <v>0</v>
      </c>
      <c r="AU388" s="648">
        <f t="shared" si="183"/>
        <v>0</v>
      </c>
      <c r="AV388" s="648">
        <f t="shared" si="184"/>
        <v>0</v>
      </c>
      <c r="AW388" s="648">
        <f t="shared" si="185"/>
        <v>0</v>
      </c>
      <c r="AX388" s="648">
        <f t="shared" si="186"/>
        <v>0</v>
      </c>
      <c r="AY388" s="634">
        <v>0</v>
      </c>
      <c r="AZ388" s="616"/>
      <c r="BA388" s="619">
        <f>IF(O389=0,0,             IF(ISNUMBER(AZ388),AZ388,             IF(ISTEXT(AZ388),INDEX(AQ388:AX388,MATCH(AZ388,$AQ$17:$AX$17,0)),           IF(AY388="INT",_xll.qInterp(O389,AA388:AH388,AQ388:AX388),       INDEX(AQ388:AX388,MATCH(AY388,$AQ$17:$AX$17,0))))))</f>
        <v>0</v>
      </c>
      <c r="BB388" s="674">
        <v>100</v>
      </c>
      <c r="BC388" s="666">
        <f t="shared" si="165"/>
        <v>0</v>
      </c>
      <c r="BD388" s="268">
        <f>IF($O389=0,0,                IF(LEFT(DCC_Leg1_Fixed,2)="1/",uEvaluate(DCC_Leg1_Fixed),        _xll.qDateYears($O388,$O389,DCC_Leg1_Fixed)))</f>
        <v>0</v>
      </c>
      <c r="BE388" s="268">
        <f>IF($O389,_xll.qDateYears($O388,$O389,DCC_Leg1_Float),0)</f>
        <v>0</v>
      </c>
      <c r="BG388" s="332">
        <f t="shared" si="187"/>
        <v>0</v>
      </c>
      <c r="BH388" s="357">
        <f t="shared" si="188"/>
        <v>0</v>
      </c>
      <c r="BI388" s="527"/>
      <c r="BK388" s="324">
        <f t="shared" si="193"/>
        <v>0</v>
      </c>
      <c r="BM388" s="338"/>
      <c r="BN388" s="121">
        <v>0</v>
      </c>
      <c r="BO388" s="755">
        <f t="shared" si="166"/>
        <v>0</v>
      </c>
      <c r="BP388" s="339">
        <v>0</v>
      </c>
      <c r="BQ388" s="890">
        <f>IF(BN389=0,0,         IF(OR(Currency2="AUD",Currency1="NZD",Currency2="GBP"),BN388,   _xll.qDateNext(BN388,"-2b",,,IF(Currency2="EUR","TGT","LON"))))</f>
        <v>0</v>
      </c>
      <c r="BR388" s="879" t="str">
        <v/>
      </c>
      <c r="BS388" s="879" t="str">
        <v/>
      </c>
      <c r="BT388" s="879" t="str">
        <v/>
      </c>
      <c r="BU388" s="879" t="str">
        <v/>
      </c>
      <c r="BV388" s="879" t="str">
        <v/>
      </c>
      <c r="BW388" s="879" t="str">
        <v/>
      </c>
      <c r="BX388" s="879" t="str">
        <v/>
      </c>
      <c r="BY388" s="879" t="str">
        <v/>
      </c>
      <c r="BZ388" s="882">
        <f>IF($BN389=0,0,        _xll.qDateNext($BN388,BZ$17,$CG$16,TRUE,Currency2))</f>
        <v>0</v>
      </c>
      <c r="CA388" s="882">
        <f>IF($BN389=0,0,        _xll.qDateNext($BN388,CA$17,$CG$16,TRUE,Currency2))</f>
        <v>0</v>
      </c>
      <c r="CB388" s="882">
        <f>IF($BN389=0,0,        _xll.qDateNext($BN388,CB$17,$CG$16,TRUE,Currency2))</f>
        <v>0</v>
      </c>
      <c r="CC388" s="882">
        <f>IF($BN389=0,0,        _xll.qDateNext($BN388,CC$17,$CG$16,TRUE,Currency2))</f>
        <v>0</v>
      </c>
      <c r="CD388" s="882">
        <f>IF($BN389=0,0,        _xll.qDateNext($BN388,CD$17,$CG$16,TRUE,Currency2))</f>
        <v>0</v>
      </c>
      <c r="CE388" s="882">
        <f>IF($BN389=0,0,        _xll.qDateNext($BN388,CE$17,$CG$16,TRUE,Currency2))</f>
        <v>0</v>
      </c>
      <c r="CF388" s="882">
        <f>IF($BN389=0,0,        _xll.qDateNext($BN388,CF$17,$CG$16,TRUE,Currency2))</f>
        <v>0</v>
      </c>
      <c r="CG388" s="882">
        <f>IF($BN389=0,0,        _xll.qDateNext($BN388,CG$17,$CG$16,TRUE,Currency2))</f>
        <v>0</v>
      </c>
      <c r="CH388" s="886">
        <v>0</v>
      </c>
      <c r="CI388" s="886">
        <v>0</v>
      </c>
      <c r="CJ388" s="886">
        <v>0</v>
      </c>
      <c r="CK388" s="886">
        <v>0</v>
      </c>
      <c r="CL388" s="886">
        <f t="shared" si="189"/>
        <v>0</v>
      </c>
      <c r="CM388" s="886">
        <f t="shared" si="190"/>
        <v>0</v>
      </c>
      <c r="CN388" s="886">
        <v>0</v>
      </c>
      <c r="CO388" s="886">
        <v>0</v>
      </c>
      <c r="CP388" s="648">
        <f t="shared" si="167"/>
        <v>0</v>
      </c>
      <c r="CQ388" s="648">
        <f t="shared" si="168"/>
        <v>0</v>
      </c>
      <c r="CR388" s="648">
        <f t="shared" si="169"/>
        <v>0</v>
      </c>
      <c r="CS388" s="648">
        <f t="shared" si="170"/>
        <v>0</v>
      </c>
      <c r="CT388" s="648">
        <f t="shared" si="171"/>
        <v>0</v>
      </c>
      <c r="CU388" s="648">
        <f t="shared" si="172"/>
        <v>0</v>
      </c>
      <c r="CV388" s="648">
        <f t="shared" si="173"/>
        <v>0</v>
      </c>
      <c r="CW388" s="648">
        <f t="shared" si="174"/>
        <v>0</v>
      </c>
      <c r="CX388" s="634">
        <v>0</v>
      </c>
      <c r="CY388" s="616"/>
      <c r="CZ388" s="619">
        <f>IF(BN389=0,0,             IF(ISNUMBER(CY388),CY388,             IF(ISTEXT(CY388),INDEX(CP388:CW388,MATCH(CY388,$CP$17:$CW$17,0)),           IF(CX388="INT",_xll.qInterp(BN389,BZ388:CG388,CP388:CW388),       INDEX(CP388:CW388,MATCH(CX388,$CP$17:$CW$17,0))))))</f>
        <v>0</v>
      </c>
      <c r="DA388" s="755">
        <f t="shared" si="175"/>
        <v>0</v>
      </c>
      <c r="DB388" s="387">
        <f t="shared" si="176"/>
        <v>0</v>
      </c>
      <c r="DC388" s="268">
        <f>IF($BN389=0,0,         IF(LEFT(DCC_Leg2_Fixed,2)="1/",uEvaluate(DCC_Leg2_Fixed),         _xll.qDateYears($BN388,$BN389,DCC_Leg2_Fixed)))</f>
        <v>0</v>
      </c>
      <c r="DD388" s="268">
        <f>IF($BN389,_xll.qDateYears($BN388,$BN389,DCC_Leg2_Float),0)</f>
        <v>0</v>
      </c>
      <c r="DF388" s="332">
        <f t="shared" si="191"/>
        <v>0</v>
      </c>
      <c r="DG388" s="357">
        <f t="shared" si="192"/>
        <v>0</v>
      </c>
      <c r="DH388" s="527"/>
      <c r="DJ388" s="324">
        <f t="shared" si="194"/>
        <v>0</v>
      </c>
      <c r="DK388" s="529"/>
      <c r="DL388" s="338"/>
    </row>
    <row r="389" spans="15:116">
      <c r="O389" s="121">
        <v>0</v>
      </c>
      <c r="P389" s="755">
        <f t="shared" si="163"/>
        <v>0</v>
      </c>
      <c r="Q389" s="125">
        <v>0</v>
      </c>
      <c r="R389" s="890">
        <f>IF(O390=0,0,         IF(OR(Currency1="AUD",Currency1="NZD",Currency1="GBP"),O389,   _xll.qDateNext(O389,"-2b",,,IF(Currency1="EUR","TGT","LON"))))</f>
        <v>0</v>
      </c>
      <c r="S389" s="879" t="str">
        <v/>
      </c>
      <c r="T389" s="879" t="str">
        <v/>
      </c>
      <c r="U389" s="879" t="str">
        <v/>
      </c>
      <c r="V389" s="879" t="str">
        <v/>
      </c>
      <c r="W389" s="879" t="str">
        <v/>
      </c>
      <c r="X389" s="879" t="str">
        <v/>
      </c>
      <c r="Y389" s="879" t="str">
        <v/>
      </c>
      <c r="Z389" s="879" t="str">
        <v/>
      </c>
      <c r="AA389" s="882">
        <f>IF($O390=0,0,        _xll.qDateNext($O389,AA$17,$AH$16,TRUE,Currency1))</f>
        <v>0</v>
      </c>
      <c r="AB389" s="882">
        <f>IF($O390=0,0,        _xll.qDateNext($O389,AB$17,$AH$16,TRUE,Currency1))</f>
        <v>0</v>
      </c>
      <c r="AC389" s="882">
        <f>IF($O390=0,0,        _xll.qDateNext($O389,AC$17,$AH$16,TRUE,Currency1))</f>
        <v>0</v>
      </c>
      <c r="AD389" s="882">
        <f>IF($O390=0,0,        _xll.qDateNext($O389,AD$17,$AH$16,TRUE,Currency1))</f>
        <v>0</v>
      </c>
      <c r="AE389" s="882">
        <f>IF($O390=0,0,        _xll.qDateNext($O389,AE$17,$AH$16,TRUE,Currency1))</f>
        <v>0</v>
      </c>
      <c r="AF389" s="882">
        <f>IF($O390=0,0,        _xll.qDateNext($O389,AF$17,$AH$16,TRUE,Currency1))</f>
        <v>0</v>
      </c>
      <c r="AG389" s="882">
        <f>IF($O390=0,0,        _xll.qDateNext($O389,AG$17,$AH$16,TRUE,Currency1))</f>
        <v>0</v>
      </c>
      <c r="AH389" s="882">
        <f>IF($O390=0,0,        _xll.qDateNext($O389,AH$17,$AH$16,TRUE,Currency1))</f>
        <v>0</v>
      </c>
      <c r="AI389" s="886">
        <f>IF($O390=0,0,           IF(FRM,_xll.qGetFwdRate(AI$14,$O389,AA389,"T",DCC_Leg1_Float),_xll.qGetFwdRate(AI$14,$O389,$O390,"T",DCC_Leg1_Float)))</f>
        <v>0</v>
      </c>
      <c r="AJ389" s="886">
        <f>IF($O390=0,0,           IF(FRM,_xll.qGetFwdRate(AJ$14,$O389,AB389,"T",DCC_Leg1_Float),_xll.qGetFwdRate(AJ$14,$O389,$O390,"T",DCC_Leg1_Float)))</f>
        <v>0</v>
      </c>
      <c r="AK389" s="886">
        <f t="shared" si="164"/>
        <v>0</v>
      </c>
      <c r="AL389" s="886">
        <f>IF($O390=0,0,           IF(FRM,_xll.qGetFwdRate(AL$14,$O389,AD389,"T",DCC_Leg1_Float),_xll.qGetFwdRate(AL$14,$O389,$O390,"T",DCC_Leg1_Float)))</f>
        <v>0</v>
      </c>
      <c r="AM389" s="886">
        <f t="shared" si="177"/>
        <v>0</v>
      </c>
      <c r="AN389" s="886">
        <f t="shared" si="178"/>
        <v>0</v>
      </c>
      <c r="AO389" s="886">
        <f>IF($O390=0,0,           IF(FRM,_xll.qGetFwdRate(AO$14,$O389,AG389,"T",DCC_Leg1_Float),_xll.qGetFwdRate(AO$14,$O389,$O390,"T",DCC_Leg1_Float)))</f>
        <v>0</v>
      </c>
      <c r="AP389" s="886">
        <f>IF($O390=0,0,           IF(FRM,_xll.qGetFwdRate(AP$14,$O389,AH389,"T",DCC_Leg1_Float),_xll.qGetFwdRate(AP$14,$O389,$O390,"T",DCC_Leg1_Float)))</f>
        <v>0</v>
      </c>
      <c r="AQ389" s="648">
        <f t="shared" si="179"/>
        <v>0</v>
      </c>
      <c r="AR389" s="648">
        <f t="shared" si="180"/>
        <v>0</v>
      </c>
      <c r="AS389" s="648">
        <f t="shared" si="181"/>
        <v>0</v>
      </c>
      <c r="AT389" s="648">
        <f t="shared" si="182"/>
        <v>0</v>
      </c>
      <c r="AU389" s="648">
        <f t="shared" si="183"/>
        <v>0</v>
      </c>
      <c r="AV389" s="648">
        <f t="shared" si="184"/>
        <v>0</v>
      </c>
      <c r="AW389" s="648">
        <f t="shared" si="185"/>
        <v>0</v>
      </c>
      <c r="AX389" s="648">
        <f t="shared" si="186"/>
        <v>0</v>
      </c>
      <c r="AY389" s="634">
        <v>0</v>
      </c>
      <c r="AZ389" s="616"/>
      <c r="BA389" s="619">
        <f>IF(O390=0,0,             IF(ISNUMBER(AZ389),AZ389,             IF(ISTEXT(AZ389),INDEX(AQ389:AX389,MATCH(AZ389,$AQ$17:$AX$17,0)),           IF(AY389="INT",_xll.qInterp(O390,AA389:AH389,AQ389:AX389),       INDEX(AQ389:AX389,MATCH(AY389,$AQ$17:$AX$17,0))))))</f>
        <v>0</v>
      </c>
      <c r="BB389" s="674">
        <v>100</v>
      </c>
      <c r="BC389" s="666">
        <f t="shared" si="165"/>
        <v>0</v>
      </c>
      <c r="BD389" s="268">
        <f>IF($O390=0,0,                IF(LEFT(DCC_Leg1_Fixed,2)="1/",uEvaluate(DCC_Leg1_Fixed),        _xll.qDateYears($O389,$O390,DCC_Leg1_Fixed)))</f>
        <v>0</v>
      </c>
      <c r="BE389" s="268">
        <f>IF($O390,_xll.qDateYears($O389,$O390,DCC_Leg1_Float),0)</f>
        <v>0</v>
      </c>
      <c r="BG389" s="332">
        <f t="shared" si="187"/>
        <v>0</v>
      </c>
      <c r="BH389" s="357">
        <f t="shared" si="188"/>
        <v>0</v>
      </c>
      <c r="BI389" s="527"/>
      <c r="BK389" s="324">
        <f t="shared" si="193"/>
        <v>0</v>
      </c>
      <c r="BM389" s="338"/>
      <c r="BN389" s="121">
        <v>0</v>
      </c>
      <c r="BO389" s="755">
        <f t="shared" si="166"/>
        <v>0</v>
      </c>
      <c r="BP389" s="339">
        <v>0</v>
      </c>
      <c r="BQ389" s="890">
        <f>IF(BN390=0,0,         IF(OR(Currency2="AUD",Currency1="NZD",Currency2="GBP"),BN389,   _xll.qDateNext(BN389,"-2b",,,IF(Currency2="EUR","TGT","LON"))))</f>
        <v>0</v>
      </c>
      <c r="BR389" s="879" t="str">
        <v/>
      </c>
      <c r="BS389" s="879" t="str">
        <v/>
      </c>
      <c r="BT389" s="879" t="str">
        <v/>
      </c>
      <c r="BU389" s="879" t="str">
        <v/>
      </c>
      <c r="BV389" s="879" t="str">
        <v/>
      </c>
      <c r="BW389" s="879" t="str">
        <v/>
      </c>
      <c r="BX389" s="879" t="str">
        <v/>
      </c>
      <c r="BY389" s="879" t="str">
        <v/>
      </c>
      <c r="BZ389" s="882">
        <f>IF($BN390=0,0,        _xll.qDateNext($BN389,BZ$17,$CG$16,TRUE,Currency2))</f>
        <v>0</v>
      </c>
      <c r="CA389" s="882">
        <f>IF($BN390=0,0,        _xll.qDateNext($BN389,CA$17,$CG$16,TRUE,Currency2))</f>
        <v>0</v>
      </c>
      <c r="CB389" s="882">
        <f>IF($BN390=0,0,        _xll.qDateNext($BN389,CB$17,$CG$16,TRUE,Currency2))</f>
        <v>0</v>
      </c>
      <c r="CC389" s="882">
        <f>IF($BN390=0,0,        _xll.qDateNext($BN389,CC$17,$CG$16,TRUE,Currency2))</f>
        <v>0</v>
      </c>
      <c r="CD389" s="882">
        <f>IF($BN390=0,0,        _xll.qDateNext($BN389,CD$17,$CG$16,TRUE,Currency2))</f>
        <v>0</v>
      </c>
      <c r="CE389" s="882">
        <f>IF($BN390=0,0,        _xll.qDateNext($BN389,CE$17,$CG$16,TRUE,Currency2))</f>
        <v>0</v>
      </c>
      <c r="CF389" s="882">
        <f>IF($BN390=0,0,        _xll.qDateNext($BN389,CF$17,$CG$16,TRUE,Currency2))</f>
        <v>0</v>
      </c>
      <c r="CG389" s="882">
        <f>IF($BN390=0,0,        _xll.qDateNext($BN389,CG$17,$CG$16,TRUE,Currency2))</f>
        <v>0</v>
      </c>
      <c r="CH389" s="886">
        <v>0</v>
      </c>
      <c r="CI389" s="886">
        <v>0</v>
      </c>
      <c r="CJ389" s="886">
        <v>0</v>
      </c>
      <c r="CK389" s="886">
        <v>0</v>
      </c>
      <c r="CL389" s="886">
        <f t="shared" si="189"/>
        <v>0</v>
      </c>
      <c r="CM389" s="886">
        <f t="shared" si="190"/>
        <v>0</v>
      </c>
      <c r="CN389" s="886">
        <v>0</v>
      </c>
      <c r="CO389" s="886">
        <v>0</v>
      </c>
      <c r="CP389" s="648">
        <f t="shared" si="167"/>
        <v>0</v>
      </c>
      <c r="CQ389" s="648">
        <f t="shared" si="168"/>
        <v>0</v>
      </c>
      <c r="CR389" s="648">
        <f t="shared" si="169"/>
        <v>0</v>
      </c>
      <c r="CS389" s="648">
        <f t="shared" si="170"/>
        <v>0</v>
      </c>
      <c r="CT389" s="648">
        <f t="shared" si="171"/>
        <v>0</v>
      </c>
      <c r="CU389" s="648">
        <f t="shared" si="172"/>
        <v>0</v>
      </c>
      <c r="CV389" s="648">
        <f t="shared" si="173"/>
        <v>0</v>
      </c>
      <c r="CW389" s="648">
        <f t="shared" si="174"/>
        <v>0</v>
      </c>
      <c r="CX389" s="634">
        <v>0</v>
      </c>
      <c r="CY389" s="616"/>
      <c r="CZ389" s="619">
        <f>IF(BN390=0,0,             IF(ISNUMBER(CY389),CY389,             IF(ISTEXT(CY389),INDEX(CP389:CW389,MATCH(CY389,$CP$17:$CW$17,0)),           IF(CX389="INT",_xll.qInterp(BN390,BZ389:CG389,CP389:CW389),       INDEX(CP389:CW389,MATCH(CX389,$CP$17:$CW$17,0))))))</f>
        <v>0</v>
      </c>
      <c r="DA389" s="755">
        <f t="shared" si="175"/>
        <v>0</v>
      </c>
      <c r="DB389" s="387">
        <f t="shared" si="176"/>
        <v>0</v>
      </c>
      <c r="DC389" s="268">
        <f>IF($BN390=0,0,         IF(LEFT(DCC_Leg2_Fixed,2)="1/",uEvaluate(DCC_Leg2_Fixed),         _xll.qDateYears($BN389,$BN390,DCC_Leg2_Fixed)))</f>
        <v>0</v>
      </c>
      <c r="DD389" s="268">
        <f>IF($BN390,_xll.qDateYears($BN389,$BN390,DCC_Leg2_Float),0)</f>
        <v>0</v>
      </c>
      <c r="DF389" s="332">
        <f t="shared" si="191"/>
        <v>0</v>
      </c>
      <c r="DG389" s="357">
        <f t="shared" si="192"/>
        <v>0</v>
      </c>
      <c r="DH389" s="527"/>
      <c r="DJ389" s="324">
        <f t="shared" si="194"/>
        <v>0</v>
      </c>
      <c r="DK389" s="529"/>
      <c r="DL389" s="338"/>
    </row>
    <row r="390" spans="15:116">
      <c r="O390" s="121">
        <v>0</v>
      </c>
      <c r="P390" s="755">
        <f t="shared" si="163"/>
        <v>0</v>
      </c>
      <c r="Q390" s="125">
        <v>0</v>
      </c>
      <c r="R390" s="890">
        <f>IF(O391=0,0,         IF(OR(Currency1="AUD",Currency1="NZD",Currency1="GBP"),O390,   _xll.qDateNext(O390,"-2b",,,IF(Currency1="EUR","TGT","LON"))))</f>
        <v>0</v>
      </c>
      <c r="S390" s="879" t="str">
        <v/>
      </c>
      <c r="T390" s="879" t="str">
        <v/>
      </c>
      <c r="U390" s="879" t="str">
        <v/>
      </c>
      <c r="V390" s="879" t="str">
        <v/>
      </c>
      <c r="W390" s="879" t="str">
        <v/>
      </c>
      <c r="X390" s="879" t="str">
        <v/>
      </c>
      <c r="Y390" s="879" t="str">
        <v/>
      </c>
      <c r="Z390" s="879" t="str">
        <v/>
      </c>
      <c r="AA390" s="882">
        <f>IF($O391=0,0,        _xll.qDateNext($O390,AA$17,$AH$16,TRUE,Currency1))</f>
        <v>0</v>
      </c>
      <c r="AB390" s="882">
        <f>IF($O391=0,0,        _xll.qDateNext($O390,AB$17,$AH$16,TRUE,Currency1))</f>
        <v>0</v>
      </c>
      <c r="AC390" s="882">
        <f>IF($O391=0,0,        _xll.qDateNext($O390,AC$17,$AH$16,TRUE,Currency1))</f>
        <v>0</v>
      </c>
      <c r="AD390" s="882">
        <f>IF($O391=0,0,        _xll.qDateNext($O390,AD$17,$AH$16,TRUE,Currency1))</f>
        <v>0</v>
      </c>
      <c r="AE390" s="882">
        <f>IF($O391=0,0,        _xll.qDateNext($O390,AE$17,$AH$16,TRUE,Currency1))</f>
        <v>0</v>
      </c>
      <c r="AF390" s="882">
        <f>IF($O391=0,0,        _xll.qDateNext($O390,AF$17,$AH$16,TRUE,Currency1))</f>
        <v>0</v>
      </c>
      <c r="AG390" s="882">
        <f>IF($O391=0,0,        _xll.qDateNext($O390,AG$17,$AH$16,TRUE,Currency1))</f>
        <v>0</v>
      </c>
      <c r="AH390" s="882">
        <f>IF($O391=0,0,        _xll.qDateNext($O390,AH$17,$AH$16,TRUE,Currency1))</f>
        <v>0</v>
      </c>
      <c r="AI390" s="886">
        <f>IF($O391=0,0,           IF(FRM,_xll.qGetFwdRate(AI$14,$O390,AA390,"T",DCC_Leg1_Float),_xll.qGetFwdRate(AI$14,$O390,$O391,"T",DCC_Leg1_Float)))</f>
        <v>0</v>
      </c>
      <c r="AJ390" s="886">
        <f>IF($O391=0,0,           IF(FRM,_xll.qGetFwdRate(AJ$14,$O390,AB390,"T",DCC_Leg1_Float),_xll.qGetFwdRate(AJ$14,$O390,$O391,"T",DCC_Leg1_Float)))</f>
        <v>0</v>
      </c>
      <c r="AK390" s="886">
        <f t="shared" si="164"/>
        <v>0</v>
      </c>
      <c r="AL390" s="886">
        <f>IF($O391=0,0,           IF(FRM,_xll.qGetFwdRate(AL$14,$O390,AD390,"T",DCC_Leg1_Float),_xll.qGetFwdRate(AL$14,$O390,$O391,"T",DCC_Leg1_Float)))</f>
        <v>0</v>
      </c>
      <c r="AM390" s="886">
        <f t="shared" si="177"/>
        <v>0</v>
      </c>
      <c r="AN390" s="886">
        <f t="shared" si="178"/>
        <v>0</v>
      </c>
      <c r="AO390" s="886">
        <f>IF($O391=0,0,           IF(FRM,_xll.qGetFwdRate(AO$14,$O390,AG390,"T",DCC_Leg1_Float),_xll.qGetFwdRate(AO$14,$O390,$O391,"T",DCC_Leg1_Float)))</f>
        <v>0</v>
      </c>
      <c r="AP390" s="886">
        <f>IF($O391=0,0,           IF(FRM,_xll.qGetFwdRate(AP$14,$O390,AH390,"T",DCC_Leg1_Float),_xll.qGetFwdRate(AP$14,$O390,$O391,"T",DCC_Leg1_Float)))</f>
        <v>0</v>
      </c>
      <c r="AQ390" s="648">
        <f t="shared" si="179"/>
        <v>0</v>
      </c>
      <c r="AR390" s="648">
        <f t="shared" si="180"/>
        <v>0</v>
      </c>
      <c r="AS390" s="648">
        <f t="shared" si="181"/>
        <v>0</v>
      </c>
      <c r="AT390" s="648">
        <f t="shared" si="182"/>
        <v>0</v>
      </c>
      <c r="AU390" s="648">
        <f t="shared" si="183"/>
        <v>0</v>
      </c>
      <c r="AV390" s="648">
        <f t="shared" si="184"/>
        <v>0</v>
      </c>
      <c r="AW390" s="648">
        <f t="shared" si="185"/>
        <v>0</v>
      </c>
      <c r="AX390" s="648">
        <f t="shared" si="186"/>
        <v>0</v>
      </c>
      <c r="AY390" s="634">
        <v>0</v>
      </c>
      <c r="AZ390" s="616"/>
      <c r="BA390" s="619">
        <f>IF(O391=0,0,             IF(ISNUMBER(AZ390),AZ390,             IF(ISTEXT(AZ390),INDEX(AQ390:AX390,MATCH(AZ390,$AQ$17:$AX$17,0)),           IF(AY390="INT",_xll.qInterp(O391,AA390:AH390,AQ390:AX390),       INDEX(AQ390:AX390,MATCH(AY390,$AQ$17:$AX$17,0))))))</f>
        <v>0</v>
      </c>
      <c r="BB390" s="674">
        <v>100</v>
      </c>
      <c r="BC390" s="666">
        <f t="shared" si="165"/>
        <v>0</v>
      </c>
      <c r="BD390" s="268">
        <f>IF($O391=0,0,                IF(LEFT(DCC_Leg1_Fixed,2)="1/",uEvaluate(DCC_Leg1_Fixed),        _xll.qDateYears($O390,$O391,DCC_Leg1_Fixed)))</f>
        <v>0</v>
      </c>
      <c r="BE390" s="268">
        <f>IF($O391,_xll.qDateYears($O390,$O391,DCC_Leg1_Float),0)</f>
        <v>0</v>
      </c>
      <c r="BG390" s="332">
        <f t="shared" si="187"/>
        <v>0</v>
      </c>
      <c r="BH390" s="357">
        <f t="shared" si="188"/>
        <v>0</v>
      </c>
      <c r="BI390" s="527"/>
      <c r="BK390" s="324">
        <f t="shared" si="193"/>
        <v>0</v>
      </c>
      <c r="BM390" s="338"/>
      <c r="BN390" s="121">
        <v>0</v>
      </c>
      <c r="BO390" s="755">
        <f t="shared" si="166"/>
        <v>0</v>
      </c>
      <c r="BP390" s="339">
        <v>0</v>
      </c>
      <c r="BQ390" s="890">
        <f>IF(BN391=0,0,         IF(OR(Currency2="AUD",Currency1="NZD",Currency2="GBP"),BN390,   _xll.qDateNext(BN390,"-2b",,,IF(Currency2="EUR","TGT","LON"))))</f>
        <v>0</v>
      </c>
      <c r="BR390" s="879" t="str">
        <v/>
      </c>
      <c r="BS390" s="879" t="str">
        <v/>
      </c>
      <c r="BT390" s="879" t="str">
        <v/>
      </c>
      <c r="BU390" s="879" t="str">
        <v/>
      </c>
      <c r="BV390" s="879" t="str">
        <v/>
      </c>
      <c r="BW390" s="879" t="str">
        <v/>
      </c>
      <c r="BX390" s="879" t="str">
        <v/>
      </c>
      <c r="BY390" s="879" t="str">
        <v/>
      </c>
      <c r="BZ390" s="882">
        <f>IF($BN391=0,0,        _xll.qDateNext($BN390,BZ$17,$CG$16,TRUE,Currency2))</f>
        <v>0</v>
      </c>
      <c r="CA390" s="882">
        <f>IF($BN391=0,0,        _xll.qDateNext($BN390,CA$17,$CG$16,TRUE,Currency2))</f>
        <v>0</v>
      </c>
      <c r="CB390" s="882">
        <f>IF($BN391=0,0,        _xll.qDateNext($BN390,CB$17,$CG$16,TRUE,Currency2))</f>
        <v>0</v>
      </c>
      <c r="CC390" s="882">
        <f>IF($BN391=0,0,        _xll.qDateNext($BN390,CC$17,$CG$16,TRUE,Currency2))</f>
        <v>0</v>
      </c>
      <c r="CD390" s="882">
        <f>IF($BN391=0,0,        _xll.qDateNext($BN390,CD$17,$CG$16,TRUE,Currency2))</f>
        <v>0</v>
      </c>
      <c r="CE390" s="882">
        <f>IF($BN391=0,0,        _xll.qDateNext($BN390,CE$17,$CG$16,TRUE,Currency2))</f>
        <v>0</v>
      </c>
      <c r="CF390" s="882">
        <f>IF($BN391=0,0,        _xll.qDateNext($BN390,CF$17,$CG$16,TRUE,Currency2))</f>
        <v>0</v>
      </c>
      <c r="CG390" s="882">
        <f>IF($BN391=0,0,        _xll.qDateNext($BN390,CG$17,$CG$16,TRUE,Currency2))</f>
        <v>0</v>
      </c>
      <c r="CH390" s="886">
        <v>0</v>
      </c>
      <c r="CI390" s="886">
        <v>0</v>
      </c>
      <c r="CJ390" s="886">
        <v>0</v>
      </c>
      <c r="CK390" s="886">
        <v>0</v>
      </c>
      <c r="CL390" s="886">
        <f t="shared" si="189"/>
        <v>0</v>
      </c>
      <c r="CM390" s="886">
        <f t="shared" si="190"/>
        <v>0</v>
      </c>
      <c r="CN390" s="886">
        <v>0</v>
      </c>
      <c r="CO390" s="886">
        <v>0</v>
      </c>
      <c r="CP390" s="648">
        <f t="shared" si="167"/>
        <v>0</v>
      </c>
      <c r="CQ390" s="648">
        <f t="shared" si="168"/>
        <v>0</v>
      </c>
      <c r="CR390" s="648">
        <f t="shared" si="169"/>
        <v>0</v>
      </c>
      <c r="CS390" s="648">
        <f t="shared" si="170"/>
        <v>0</v>
      </c>
      <c r="CT390" s="648">
        <f t="shared" si="171"/>
        <v>0</v>
      </c>
      <c r="CU390" s="648">
        <f t="shared" si="172"/>
        <v>0</v>
      </c>
      <c r="CV390" s="648">
        <f t="shared" si="173"/>
        <v>0</v>
      </c>
      <c r="CW390" s="648">
        <f t="shared" si="174"/>
        <v>0</v>
      </c>
      <c r="CX390" s="634">
        <v>0</v>
      </c>
      <c r="CY390" s="616"/>
      <c r="CZ390" s="619">
        <f>IF(BN391=0,0,             IF(ISNUMBER(CY390),CY390,             IF(ISTEXT(CY390),INDEX(CP390:CW390,MATCH(CY390,$CP$17:$CW$17,0)),           IF(CX390="INT",_xll.qInterp(BN391,BZ390:CG390,CP390:CW390),       INDEX(CP390:CW390,MATCH(CX390,$CP$17:$CW$17,0))))))</f>
        <v>0</v>
      </c>
      <c r="DA390" s="755">
        <f t="shared" si="175"/>
        <v>0</v>
      </c>
      <c r="DB390" s="387">
        <f t="shared" si="176"/>
        <v>0</v>
      </c>
      <c r="DC390" s="268">
        <f>IF($BN391=0,0,         IF(LEFT(DCC_Leg2_Fixed,2)="1/",uEvaluate(DCC_Leg2_Fixed),         _xll.qDateYears($BN390,$BN391,DCC_Leg2_Fixed)))</f>
        <v>0</v>
      </c>
      <c r="DD390" s="268">
        <f>IF($BN391,_xll.qDateYears($BN390,$BN391,DCC_Leg2_Float),0)</f>
        <v>0</v>
      </c>
      <c r="DF390" s="332">
        <f t="shared" si="191"/>
        <v>0</v>
      </c>
      <c r="DG390" s="357">
        <f t="shared" si="192"/>
        <v>0</v>
      </c>
      <c r="DH390" s="527"/>
      <c r="DJ390" s="324">
        <f t="shared" si="194"/>
        <v>0</v>
      </c>
      <c r="DK390" s="529"/>
      <c r="DL390" s="338"/>
    </row>
    <row r="391" spans="15:116">
      <c r="O391" s="121">
        <v>0</v>
      </c>
      <c r="P391" s="755">
        <f t="shared" si="163"/>
        <v>0</v>
      </c>
      <c r="Q391" s="125">
        <v>0</v>
      </c>
      <c r="R391" s="890">
        <f>IF(O392=0,0,         IF(OR(Currency1="AUD",Currency1="NZD",Currency1="GBP"),O391,   _xll.qDateNext(O391,"-2b",,,IF(Currency1="EUR","TGT","LON"))))</f>
        <v>0</v>
      </c>
      <c r="S391" s="879" t="str">
        <v/>
      </c>
      <c r="T391" s="879" t="str">
        <v/>
      </c>
      <c r="U391" s="879" t="str">
        <v/>
      </c>
      <c r="V391" s="879" t="str">
        <v/>
      </c>
      <c r="W391" s="879" t="str">
        <v/>
      </c>
      <c r="X391" s="879" t="str">
        <v/>
      </c>
      <c r="Y391" s="879" t="str">
        <v/>
      </c>
      <c r="Z391" s="879" t="str">
        <v/>
      </c>
      <c r="AA391" s="882">
        <f>IF($O392=0,0,        _xll.qDateNext($O391,AA$17,$AH$16,TRUE,Currency1))</f>
        <v>0</v>
      </c>
      <c r="AB391" s="882">
        <f>IF($O392=0,0,        _xll.qDateNext($O391,AB$17,$AH$16,TRUE,Currency1))</f>
        <v>0</v>
      </c>
      <c r="AC391" s="882">
        <f>IF($O392=0,0,        _xll.qDateNext($O391,AC$17,$AH$16,TRUE,Currency1))</f>
        <v>0</v>
      </c>
      <c r="AD391" s="882">
        <f>IF($O392=0,0,        _xll.qDateNext($O391,AD$17,$AH$16,TRUE,Currency1))</f>
        <v>0</v>
      </c>
      <c r="AE391" s="882">
        <f>IF($O392=0,0,        _xll.qDateNext($O391,AE$17,$AH$16,TRUE,Currency1))</f>
        <v>0</v>
      </c>
      <c r="AF391" s="882">
        <f>IF($O392=0,0,        _xll.qDateNext($O391,AF$17,$AH$16,TRUE,Currency1))</f>
        <v>0</v>
      </c>
      <c r="AG391" s="882">
        <f>IF($O392=0,0,        _xll.qDateNext($O391,AG$17,$AH$16,TRUE,Currency1))</f>
        <v>0</v>
      </c>
      <c r="AH391" s="882">
        <f>IF($O392=0,0,        _xll.qDateNext($O391,AH$17,$AH$16,TRUE,Currency1))</f>
        <v>0</v>
      </c>
      <c r="AI391" s="886">
        <f>IF($O392=0,0,           IF(FRM,_xll.qGetFwdRate(AI$14,$O391,AA391,"T",DCC_Leg1_Float),_xll.qGetFwdRate(AI$14,$O391,$O392,"T",DCC_Leg1_Float)))</f>
        <v>0</v>
      </c>
      <c r="AJ391" s="886">
        <f>IF($O392=0,0,           IF(FRM,_xll.qGetFwdRate(AJ$14,$O391,AB391,"T",DCC_Leg1_Float),_xll.qGetFwdRate(AJ$14,$O391,$O392,"T",DCC_Leg1_Float)))</f>
        <v>0</v>
      </c>
      <c r="AK391" s="886">
        <f t="shared" si="164"/>
        <v>0</v>
      </c>
      <c r="AL391" s="886">
        <f>IF($O392=0,0,           IF(FRM,_xll.qGetFwdRate(AL$14,$O391,AD391,"T",DCC_Leg1_Float),_xll.qGetFwdRate(AL$14,$O391,$O392,"T",DCC_Leg1_Float)))</f>
        <v>0</v>
      </c>
      <c r="AM391" s="886">
        <f t="shared" si="177"/>
        <v>0</v>
      </c>
      <c r="AN391" s="886">
        <f t="shared" si="178"/>
        <v>0</v>
      </c>
      <c r="AO391" s="886">
        <f>IF($O392=0,0,           IF(FRM,_xll.qGetFwdRate(AO$14,$O391,AG391,"T",DCC_Leg1_Float),_xll.qGetFwdRate(AO$14,$O391,$O392,"T",DCC_Leg1_Float)))</f>
        <v>0</v>
      </c>
      <c r="AP391" s="886">
        <f>IF($O392=0,0,           IF(FRM,_xll.qGetFwdRate(AP$14,$O391,AH391,"T",DCC_Leg1_Float),_xll.qGetFwdRate(AP$14,$O391,$O392,"T",DCC_Leg1_Float)))</f>
        <v>0</v>
      </c>
      <c r="AQ391" s="648">
        <f t="shared" si="179"/>
        <v>0</v>
      </c>
      <c r="AR391" s="648">
        <f t="shared" si="180"/>
        <v>0</v>
      </c>
      <c r="AS391" s="648">
        <f t="shared" si="181"/>
        <v>0</v>
      </c>
      <c r="AT391" s="648">
        <f t="shared" si="182"/>
        <v>0</v>
      </c>
      <c r="AU391" s="648">
        <f t="shared" si="183"/>
        <v>0</v>
      </c>
      <c r="AV391" s="648">
        <f t="shared" si="184"/>
        <v>0</v>
      </c>
      <c r="AW391" s="648">
        <f t="shared" si="185"/>
        <v>0</v>
      </c>
      <c r="AX391" s="648">
        <f t="shared" si="186"/>
        <v>0</v>
      </c>
      <c r="AY391" s="634">
        <v>0</v>
      </c>
      <c r="AZ391" s="616"/>
      <c r="BA391" s="619">
        <f>IF(O392=0,0,             IF(ISNUMBER(AZ391),AZ391,             IF(ISTEXT(AZ391),INDEX(AQ391:AX391,MATCH(AZ391,$AQ$17:$AX$17,0)),           IF(AY391="INT",_xll.qInterp(O392,AA391:AH391,AQ391:AX391),       INDEX(AQ391:AX391,MATCH(AY391,$AQ$17:$AX$17,0))))))</f>
        <v>0</v>
      </c>
      <c r="BB391" s="674">
        <v>100</v>
      </c>
      <c r="BC391" s="666">
        <f t="shared" si="165"/>
        <v>0</v>
      </c>
      <c r="BD391" s="268">
        <f>IF($O392=0,0,                IF(LEFT(DCC_Leg1_Fixed,2)="1/",uEvaluate(DCC_Leg1_Fixed),        _xll.qDateYears($O391,$O392,DCC_Leg1_Fixed)))</f>
        <v>0</v>
      </c>
      <c r="BE391" s="268">
        <f>IF($O392,_xll.qDateYears($O391,$O392,DCC_Leg1_Float),0)</f>
        <v>0</v>
      </c>
      <c r="BG391" s="332">
        <f t="shared" si="187"/>
        <v>0</v>
      </c>
      <c r="BH391" s="357">
        <f t="shared" si="188"/>
        <v>0</v>
      </c>
      <c r="BI391" s="527"/>
      <c r="BK391" s="324">
        <f t="shared" si="193"/>
        <v>0</v>
      </c>
      <c r="BM391" s="338"/>
      <c r="BN391" s="121">
        <v>0</v>
      </c>
      <c r="BO391" s="755">
        <f t="shared" si="166"/>
        <v>0</v>
      </c>
      <c r="BP391" s="339">
        <v>0</v>
      </c>
      <c r="BQ391" s="890">
        <f>IF(BN392=0,0,         IF(OR(Currency2="AUD",Currency1="NZD",Currency2="GBP"),BN391,   _xll.qDateNext(BN391,"-2b",,,IF(Currency2="EUR","TGT","LON"))))</f>
        <v>0</v>
      </c>
      <c r="BR391" s="879" t="str">
        <v/>
      </c>
      <c r="BS391" s="879" t="str">
        <v/>
      </c>
      <c r="BT391" s="879" t="str">
        <v/>
      </c>
      <c r="BU391" s="879" t="str">
        <v/>
      </c>
      <c r="BV391" s="879" t="str">
        <v/>
      </c>
      <c r="BW391" s="879" t="str">
        <v/>
      </c>
      <c r="BX391" s="879" t="str">
        <v/>
      </c>
      <c r="BY391" s="879" t="str">
        <v/>
      </c>
      <c r="BZ391" s="882">
        <f>IF($BN392=0,0,        _xll.qDateNext($BN391,BZ$17,$CG$16,TRUE,Currency2))</f>
        <v>0</v>
      </c>
      <c r="CA391" s="882">
        <f>IF($BN392=0,0,        _xll.qDateNext($BN391,CA$17,$CG$16,TRUE,Currency2))</f>
        <v>0</v>
      </c>
      <c r="CB391" s="882">
        <f>IF($BN392=0,0,        _xll.qDateNext($BN391,CB$17,$CG$16,TRUE,Currency2))</f>
        <v>0</v>
      </c>
      <c r="CC391" s="882">
        <f>IF($BN392=0,0,        _xll.qDateNext($BN391,CC$17,$CG$16,TRUE,Currency2))</f>
        <v>0</v>
      </c>
      <c r="CD391" s="882">
        <f>IF($BN392=0,0,        _xll.qDateNext($BN391,CD$17,$CG$16,TRUE,Currency2))</f>
        <v>0</v>
      </c>
      <c r="CE391" s="882">
        <f>IF($BN392=0,0,        _xll.qDateNext($BN391,CE$17,$CG$16,TRUE,Currency2))</f>
        <v>0</v>
      </c>
      <c r="CF391" s="882">
        <f>IF($BN392=0,0,        _xll.qDateNext($BN391,CF$17,$CG$16,TRUE,Currency2))</f>
        <v>0</v>
      </c>
      <c r="CG391" s="882">
        <f>IF($BN392=0,0,        _xll.qDateNext($BN391,CG$17,$CG$16,TRUE,Currency2))</f>
        <v>0</v>
      </c>
      <c r="CH391" s="886">
        <v>0</v>
      </c>
      <c r="CI391" s="886">
        <v>0</v>
      </c>
      <c r="CJ391" s="886">
        <v>0</v>
      </c>
      <c r="CK391" s="886">
        <v>0</v>
      </c>
      <c r="CL391" s="886">
        <f t="shared" si="189"/>
        <v>0</v>
      </c>
      <c r="CM391" s="886">
        <f t="shared" si="190"/>
        <v>0</v>
      </c>
      <c r="CN391" s="886">
        <v>0</v>
      </c>
      <c r="CO391" s="886">
        <v>0</v>
      </c>
      <c r="CP391" s="648">
        <f t="shared" si="167"/>
        <v>0</v>
      </c>
      <c r="CQ391" s="648">
        <f t="shared" si="168"/>
        <v>0</v>
      </c>
      <c r="CR391" s="648">
        <f t="shared" si="169"/>
        <v>0</v>
      </c>
      <c r="CS391" s="648">
        <f t="shared" si="170"/>
        <v>0</v>
      </c>
      <c r="CT391" s="648">
        <f t="shared" si="171"/>
        <v>0</v>
      </c>
      <c r="CU391" s="648">
        <f t="shared" si="172"/>
        <v>0</v>
      </c>
      <c r="CV391" s="648">
        <f t="shared" si="173"/>
        <v>0</v>
      </c>
      <c r="CW391" s="648">
        <f t="shared" si="174"/>
        <v>0</v>
      </c>
      <c r="CX391" s="634">
        <v>0</v>
      </c>
      <c r="CY391" s="616"/>
      <c r="CZ391" s="619">
        <f>IF(BN392=0,0,             IF(ISNUMBER(CY391),CY391,             IF(ISTEXT(CY391),INDEX(CP391:CW391,MATCH(CY391,$CP$17:$CW$17,0)),           IF(CX391="INT",_xll.qInterp(BN392,BZ391:CG391,CP391:CW391),       INDEX(CP391:CW391,MATCH(CX391,$CP$17:$CW$17,0))))))</f>
        <v>0</v>
      </c>
      <c r="DA391" s="755">
        <f t="shared" si="175"/>
        <v>0</v>
      </c>
      <c r="DB391" s="387">
        <f t="shared" si="176"/>
        <v>0</v>
      </c>
      <c r="DC391" s="268">
        <f>IF($BN392=0,0,         IF(LEFT(DCC_Leg2_Fixed,2)="1/",uEvaluate(DCC_Leg2_Fixed),         _xll.qDateYears($BN391,$BN392,DCC_Leg2_Fixed)))</f>
        <v>0</v>
      </c>
      <c r="DD391" s="268">
        <f>IF($BN392,_xll.qDateYears($BN391,$BN392,DCC_Leg2_Float),0)</f>
        <v>0</v>
      </c>
      <c r="DF391" s="332">
        <f t="shared" si="191"/>
        <v>0</v>
      </c>
      <c r="DG391" s="357">
        <f t="shared" si="192"/>
        <v>0</v>
      </c>
      <c r="DH391" s="527"/>
      <c r="DJ391" s="324">
        <f t="shared" si="194"/>
        <v>0</v>
      </c>
      <c r="DK391" s="529"/>
      <c r="DL391" s="338"/>
    </row>
    <row r="392" spans="15:116">
      <c r="O392" s="121">
        <v>0</v>
      </c>
      <c r="P392" s="755">
        <f t="shared" si="163"/>
        <v>0</v>
      </c>
      <c r="Q392" s="125">
        <v>0</v>
      </c>
      <c r="R392" s="890">
        <f>IF(O393=0,0,         IF(OR(Currency1="AUD",Currency1="NZD",Currency1="GBP"),O392,   _xll.qDateNext(O392,"-2b",,,IF(Currency1="EUR","TGT","LON"))))</f>
        <v>0</v>
      </c>
      <c r="S392" s="879" t="str">
        <v/>
      </c>
      <c r="T392" s="879" t="str">
        <v/>
      </c>
      <c r="U392" s="879" t="str">
        <v/>
      </c>
      <c r="V392" s="879" t="str">
        <v/>
      </c>
      <c r="W392" s="879" t="str">
        <v/>
      </c>
      <c r="X392" s="879" t="str">
        <v/>
      </c>
      <c r="Y392" s="879" t="str">
        <v/>
      </c>
      <c r="Z392" s="879" t="str">
        <v/>
      </c>
      <c r="AA392" s="882">
        <f>IF($O393=0,0,        _xll.qDateNext($O392,AA$17,$AH$16,TRUE,Currency1))</f>
        <v>0</v>
      </c>
      <c r="AB392" s="882">
        <f>IF($O393=0,0,        _xll.qDateNext($O392,AB$17,$AH$16,TRUE,Currency1))</f>
        <v>0</v>
      </c>
      <c r="AC392" s="882">
        <f>IF($O393=0,0,        _xll.qDateNext($O392,AC$17,$AH$16,TRUE,Currency1))</f>
        <v>0</v>
      </c>
      <c r="AD392" s="882">
        <f>IF($O393=0,0,        _xll.qDateNext($O392,AD$17,$AH$16,TRUE,Currency1))</f>
        <v>0</v>
      </c>
      <c r="AE392" s="882">
        <f>IF($O393=0,0,        _xll.qDateNext($O392,AE$17,$AH$16,TRUE,Currency1))</f>
        <v>0</v>
      </c>
      <c r="AF392" s="882">
        <f>IF($O393=0,0,        _xll.qDateNext($O392,AF$17,$AH$16,TRUE,Currency1))</f>
        <v>0</v>
      </c>
      <c r="AG392" s="882">
        <f>IF($O393=0,0,        _xll.qDateNext($O392,AG$17,$AH$16,TRUE,Currency1))</f>
        <v>0</v>
      </c>
      <c r="AH392" s="882">
        <f>IF($O393=0,0,        _xll.qDateNext($O392,AH$17,$AH$16,TRUE,Currency1))</f>
        <v>0</v>
      </c>
      <c r="AI392" s="886">
        <f>IF($O393=0,0,           IF(FRM,_xll.qGetFwdRate(AI$14,$O392,AA392,"T",DCC_Leg1_Float),_xll.qGetFwdRate(AI$14,$O392,$O393,"T",DCC_Leg1_Float)))</f>
        <v>0</v>
      </c>
      <c r="AJ392" s="886">
        <f>IF($O393=0,0,           IF(FRM,_xll.qGetFwdRate(AJ$14,$O392,AB392,"T",DCC_Leg1_Float),_xll.qGetFwdRate(AJ$14,$O392,$O393,"T",DCC_Leg1_Float)))</f>
        <v>0</v>
      </c>
      <c r="AK392" s="886">
        <f t="shared" si="164"/>
        <v>0</v>
      </c>
      <c r="AL392" s="886">
        <f>IF($O393=0,0,           IF(FRM,_xll.qGetFwdRate(AL$14,$O392,AD392,"T",DCC_Leg1_Float),_xll.qGetFwdRate(AL$14,$O392,$O393,"T",DCC_Leg1_Float)))</f>
        <v>0</v>
      </c>
      <c r="AM392" s="886">
        <f t="shared" si="177"/>
        <v>0</v>
      </c>
      <c r="AN392" s="886">
        <f t="shared" si="178"/>
        <v>0</v>
      </c>
      <c r="AO392" s="886">
        <f>IF($O393=0,0,           IF(FRM,_xll.qGetFwdRate(AO$14,$O392,AG392,"T",DCC_Leg1_Float),_xll.qGetFwdRate(AO$14,$O392,$O393,"T",DCC_Leg1_Float)))</f>
        <v>0</v>
      </c>
      <c r="AP392" s="886">
        <f>IF($O393=0,0,           IF(FRM,_xll.qGetFwdRate(AP$14,$O392,AH392,"T",DCC_Leg1_Float),_xll.qGetFwdRate(AP$14,$O392,$O393,"T",DCC_Leg1_Float)))</f>
        <v>0</v>
      </c>
      <c r="AQ392" s="648">
        <f t="shared" si="179"/>
        <v>0</v>
      </c>
      <c r="AR392" s="648">
        <f t="shared" si="180"/>
        <v>0</v>
      </c>
      <c r="AS392" s="648">
        <f t="shared" si="181"/>
        <v>0</v>
      </c>
      <c r="AT392" s="648">
        <f t="shared" si="182"/>
        <v>0</v>
      </c>
      <c r="AU392" s="648">
        <f t="shared" si="183"/>
        <v>0</v>
      </c>
      <c r="AV392" s="648">
        <f t="shared" si="184"/>
        <v>0</v>
      </c>
      <c r="AW392" s="648">
        <f t="shared" si="185"/>
        <v>0</v>
      </c>
      <c r="AX392" s="648">
        <f t="shared" si="186"/>
        <v>0</v>
      </c>
      <c r="AY392" s="634">
        <v>0</v>
      </c>
      <c r="AZ392" s="616"/>
      <c r="BA392" s="619">
        <f>IF(O393=0,0,             IF(ISNUMBER(AZ392),AZ392,             IF(ISTEXT(AZ392),INDEX(AQ392:AX392,MATCH(AZ392,$AQ$17:$AX$17,0)),           IF(AY392="INT",_xll.qInterp(O393,AA392:AH392,AQ392:AX392),       INDEX(AQ392:AX392,MATCH(AY392,$AQ$17:$AX$17,0))))))</f>
        <v>0</v>
      </c>
      <c r="BB392" s="674">
        <v>100</v>
      </c>
      <c r="BC392" s="666">
        <f t="shared" si="165"/>
        <v>0</v>
      </c>
      <c r="BD392" s="268">
        <f>IF($O393=0,0,                IF(LEFT(DCC_Leg1_Fixed,2)="1/",uEvaluate(DCC_Leg1_Fixed),        _xll.qDateYears($O392,$O393,DCC_Leg1_Fixed)))</f>
        <v>0</v>
      </c>
      <c r="BE392" s="268">
        <f>IF($O393,_xll.qDateYears($O392,$O393,DCC_Leg1_Float),0)</f>
        <v>0</v>
      </c>
      <c r="BG392" s="332">
        <f t="shared" si="187"/>
        <v>0</v>
      </c>
      <c r="BH392" s="357">
        <f t="shared" si="188"/>
        <v>0</v>
      </c>
      <c r="BI392" s="527"/>
      <c r="BK392" s="324">
        <f t="shared" si="193"/>
        <v>0</v>
      </c>
      <c r="BM392" s="338"/>
      <c r="BN392" s="121">
        <v>0</v>
      </c>
      <c r="BO392" s="755">
        <f t="shared" si="166"/>
        <v>0</v>
      </c>
      <c r="BP392" s="339">
        <v>0</v>
      </c>
      <c r="BQ392" s="890">
        <f>IF(BN393=0,0,         IF(OR(Currency2="AUD",Currency1="NZD",Currency2="GBP"),BN392,   _xll.qDateNext(BN392,"-2b",,,IF(Currency2="EUR","TGT","LON"))))</f>
        <v>0</v>
      </c>
      <c r="BR392" s="879" t="str">
        <v/>
      </c>
      <c r="BS392" s="879" t="str">
        <v/>
      </c>
      <c r="BT392" s="879" t="str">
        <v/>
      </c>
      <c r="BU392" s="879" t="str">
        <v/>
      </c>
      <c r="BV392" s="879" t="str">
        <v/>
      </c>
      <c r="BW392" s="879" t="str">
        <v/>
      </c>
      <c r="BX392" s="879" t="str">
        <v/>
      </c>
      <c r="BY392" s="879" t="str">
        <v/>
      </c>
      <c r="BZ392" s="882">
        <f>IF($BN393=0,0,        _xll.qDateNext($BN392,BZ$17,$CG$16,TRUE,Currency2))</f>
        <v>0</v>
      </c>
      <c r="CA392" s="882">
        <f>IF($BN393=0,0,        _xll.qDateNext($BN392,CA$17,$CG$16,TRUE,Currency2))</f>
        <v>0</v>
      </c>
      <c r="CB392" s="882">
        <f>IF($BN393=0,0,        _xll.qDateNext($BN392,CB$17,$CG$16,TRUE,Currency2))</f>
        <v>0</v>
      </c>
      <c r="CC392" s="882">
        <f>IF($BN393=0,0,        _xll.qDateNext($BN392,CC$17,$CG$16,TRUE,Currency2))</f>
        <v>0</v>
      </c>
      <c r="CD392" s="882">
        <f>IF($BN393=0,0,        _xll.qDateNext($BN392,CD$17,$CG$16,TRUE,Currency2))</f>
        <v>0</v>
      </c>
      <c r="CE392" s="882">
        <f>IF($BN393=0,0,        _xll.qDateNext($BN392,CE$17,$CG$16,TRUE,Currency2))</f>
        <v>0</v>
      </c>
      <c r="CF392" s="882">
        <f>IF($BN393=0,0,        _xll.qDateNext($BN392,CF$17,$CG$16,TRUE,Currency2))</f>
        <v>0</v>
      </c>
      <c r="CG392" s="882">
        <f>IF($BN393=0,0,        _xll.qDateNext($BN392,CG$17,$CG$16,TRUE,Currency2))</f>
        <v>0</v>
      </c>
      <c r="CH392" s="886">
        <v>0</v>
      </c>
      <c r="CI392" s="886">
        <v>0</v>
      </c>
      <c r="CJ392" s="886">
        <v>0</v>
      </c>
      <c r="CK392" s="886">
        <v>0</v>
      </c>
      <c r="CL392" s="886">
        <f t="shared" si="189"/>
        <v>0</v>
      </c>
      <c r="CM392" s="886">
        <f t="shared" si="190"/>
        <v>0</v>
      </c>
      <c r="CN392" s="886">
        <v>0</v>
      </c>
      <c r="CO392" s="886">
        <v>0</v>
      </c>
      <c r="CP392" s="648">
        <f t="shared" si="167"/>
        <v>0</v>
      </c>
      <c r="CQ392" s="648">
        <f t="shared" si="168"/>
        <v>0</v>
      </c>
      <c r="CR392" s="648">
        <f t="shared" si="169"/>
        <v>0</v>
      </c>
      <c r="CS392" s="648">
        <f t="shared" si="170"/>
        <v>0</v>
      </c>
      <c r="CT392" s="648">
        <f t="shared" si="171"/>
        <v>0</v>
      </c>
      <c r="CU392" s="648">
        <f t="shared" si="172"/>
        <v>0</v>
      </c>
      <c r="CV392" s="648">
        <f t="shared" si="173"/>
        <v>0</v>
      </c>
      <c r="CW392" s="648">
        <f t="shared" si="174"/>
        <v>0</v>
      </c>
      <c r="CX392" s="634">
        <v>0</v>
      </c>
      <c r="CY392" s="616"/>
      <c r="CZ392" s="619">
        <f>IF(BN393=0,0,             IF(ISNUMBER(CY392),CY392,             IF(ISTEXT(CY392),INDEX(CP392:CW392,MATCH(CY392,$CP$17:$CW$17,0)),           IF(CX392="INT",_xll.qInterp(BN393,BZ392:CG392,CP392:CW392),       INDEX(CP392:CW392,MATCH(CX392,$CP$17:$CW$17,0))))))</f>
        <v>0</v>
      </c>
      <c r="DA392" s="755">
        <f t="shared" si="175"/>
        <v>0</v>
      </c>
      <c r="DB392" s="387">
        <f t="shared" si="176"/>
        <v>0</v>
      </c>
      <c r="DC392" s="268">
        <f>IF($BN393=0,0,         IF(LEFT(DCC_Leg2_Fixed,2)="1/",uEvaluate(DCC_Leg2_Fixed),         _xll.qDateYears($BN392,$BN393,DCC_Leg2_Fixed)))</f>
        <v>0</v>
      </c>
      <c r="DD392" s="268">
        <f>IF($BN393,_xll.qDateYears($BN392,$BN393,DCC_Leg2_Float),0)</f>
        <v>0</v>
      </c>
      <c r="DF392" s="332">
        <f t="shared" si="191"/>
        <v>0</v>
      </c>
      <c r="DG392" s="357">
        <f t="shared" si="192"/>
        <v>0</v>
      </c>
      <c r="DH392" s="527"/>
      <c r="DJ392" s="324">
        <f t="shared" si="194"/>
        <v>0</v>
      </c>
      <c r="DK392" s="529"/>
      <c r="DL392" s="338"/>
    </row>
    <row r="393" spans="15:116">
      <c r="O393" s="121">
        <v>0</v>
      </c>
      <c r="P393" s="755">
        <f t="shared" si="163"/>
        <v>0</v>
      </c>
      <c r="Q393" s="125">
        <v>0</v>
      </c>
      <c r="R393" s="890">
        <f>IF(O394=0,0,         IF(OR(Currency1="AUD",Currency1="NZD",Currency1="GBP"),O393,   _xll.qDateNext(O393,"-2b",,,IF(Currency1="EUR","TGT","LON"))))</f>
        <v>0</v>
      </c>
      <c r="S393" s="879" t="str">
        <v/>
      </c>
      <c r="T393" s="879" t="str">
        <v/>
      </c>
      <c r="U393" s="879" t="str">
        <v/>
      </c>
      <c r="V393" s="879" t="str">
        <v/>
      </c>
      <c r="W393" s="879" t="str">
        <v/>
      </c>
      <c r="X393" s="879" t="str">
        <v/>
      </c>
      <c r="Y393" s="879" t="str">
        <v/>
      </c>
      <c r="Z393" s="879" t="str">
        <v/>
      </c>
      <c r="AA393" s="882">
        <f>IF($O394=0,0,        _xll.qDateNext($O393,AA$17,$AH$16,TRUE,Currency1))</f>
        <v>0</v>
      </c>
      <c r="AB393" s="882">
        <f>IF($O394=0,0,        _xll.qDateNext($O393,AB$17,$AH$16,TRUE,Currency1))</f>
        <v>0</v>
      </c>
      <c r="AC393" s="882">
        <f>IF($O394=0,0,        _xll.qDateNext($O393,AC$17,$AH$16,TRUE,Currency1))</f>
        <v>0</v>
      </c>
      <c r="AD393" s="882">
        <f>IF($O394=0,0,        _xll.qDateNext($O393,AD$17,$AH$16,TRUE,Currency1))</f>
        <v>0</v>
      </c>
      <c r="AE393" s="882">
        <f>IF($O394=0,0,        _xll.qDateNext($O393,AE$17,$AH$16,TRUE,Currency1))</f>
        <v>0</v>
      </c>
      <c r="AF393" s="882">
        <f>IF($O394=0,0,        _xll.qDateNext($O393,AF$17,$AH$16,TRUE,Currency1))</f>
        <v>0</v>
      </c>
      <c r="AG393" s="882">
        <f>IF($O394=0,0,        _xll.qDateNext($O393,AG$17,$AH$16,TRUE,Currency1))</f>
        <v>0</v>
      </c>
      <c r="AH393" s="882">
        <f>IF($O394=0,0,        _xll.qDateNext($O393,AH$17,$AH$16,TRUE,Currency1))</f>
        <v>0</v>
      </c>
      <c r="AI393" s="886">
        <f>IF($O394=0,0,           IF(FRM,_xll.qGetFwdRate(AI$14,$O393,AA393,"T",DCC_Leg1_Float),_xll.qGetFwdRate(AI$14,$O393,$O394,"T",DCC_Leg1_Float)))</f>
        <v>0</v>
      </c>
      <c r="AJ393" s="886">
        <f>IF($O394=0,0,           IF(FRM,_xll.qGetFwdRate(AJ$14,$O393,AB393,"T",DCC_Leg1_Float),_xll.qGetFwdRate(AJ$14,$O393,$O394,"T",DCC_Leg1_Float)))</f>
        <v>0</v>
      </c>
      <c r="AK393" s="886">
        <f t="shared" si="164"/>
        <v>0</v>
      </c>
      <c r="AL393" s="886">
        <f>IF($O394=0,0,           IF(FRM,_xll.qGetFwdRate(AL$14,$O393,AD393,"T",DCC_Leg1_Float),_xll.qGetFwdRate(AL$14,$O393,$O394,"T",DCC_Leg1_Float)))</f>
        <v>0</v>
      </c>
      <c r="AM393" s="886">
        <f t="shared" si="177"/>
        <v>0</v>
      </c>
      <c r="AN393" s="886">
        <f t="shared" si="178"/>
        <v>0</v>
      </c>
      <c r="AO393" s="886">
        <f>IF($O394=0,0,           IF(FRM,_xll.qGetFwdRate(AO$14,$O393,AG393,"T",DCC_Leg1_Float),_xll.qGetFwdRate(AO$14,$O393,$O394,"T",DCC_Leg1_Float)))</f>
        <v>0</v>
      </c>
      <c r="AP393" s="886">
        <f>IF($O394=0,0,           IF(FRM,_xll.qGetFwdRate(AP$14,$O393,AH393,"T",DCC_Leg1_Float),_xll.qGetFwdRate(AP$14,$O393,$O394,"T",DCC_Leg1_Float)))</f>
        <v>0</v>
      </c>
      <c r="AQ393" s="648">
        <f t="shared" si="179"/>
        <v>0</v>
      </c>
      <c r="AR393" s="648">
        <f t="shared" si="180"/>
        <v>0</v>
      </c>
      <c r="AS393" s="648">
        <f t="shared" si="181"/>
        <v>0</v>
      </c>
      <c r="AT393" s="648">
        <f t="shared" si="182"/>
        <v>0</v>
      </c>
      <c r="AU393" s="648">
        <f t="shared" si="183"/>
        <v>0</v>
      </c>
      <c r="AV393" s="648">
        <f t="shared" si="184"/>
        <v>0</v>
      </c>
      <c r="AW393" s="648">
        <f t="shared" si="185"/>
        <v>0</v>
      </c>
      <c r="AX393" s="648">
        <f t="shared" si="186"/>
        <v>0</v>
      </c>
      <c r="AY393" s="634">
        <v>0</v>
      </c>
      <c r="AZ393" s="616"/>
      <c r="BA393" s="619">
        <f>IF(O394=0,0,             IF(ISNUMBER(AZ393),AZ393,             IF(ISTEXT(AZ393),INDEX(AQ393:AX393,MATCH(AZ393,$AQ$17:$AX$17,0)),           IF(AY393="INT",_xll.qInterp(O394,AA393:AH393,AQ393:AX393),       INDEX(AQ393:AX393,MATCH(AY393,$AQ$17:$AX$17,0))))))</f>
        <v>0</v>
      </c>
      <c r="BB393" s="674">
        <v>100</v>
      </c>
      <c r="BC393" s="666">
        <f t="shared" si="165"/>
        <v>0</v>
      </c>
      <c r="BD393" s="268">
        <f>IF($O394=0,0,                IF(LEFT(DCC_Leg1_Fixed,2)="1/",uEvaluate(DCC_Leg1_Fixed),        _xll.qDateYears($O393,$O394,DCC_Leg1_Fixed)))</f>
        <v>0</v>
      </c>
      <c r="BE393" s="268">
        <f>IF($O394,_xll.qDateYears($O393,$O394,DCC_Leg1_Float),0)</f>
        <v>0</v>
      </c>
      <c r="BG393" s="332">
        <f t="shared" si="187"/>
        <v>0</v>
      </c>
      <c r="BH393" s="357">
        <f t="shared" si="188"/>
        <v>0</v>
      </c>
      <c r="BI393" s="527"/>
      <c r="BK393" s="324">
        <f t="shared" si="193"/>
        <v>0</v>
      </c>
      <c r="BM393" s="338"/>
      <c r="BN393" s="121">
        <v>0</v>
      </c>
      <c r="BO393" s="755">
        <f t="shared" si="166"/>
        <v>0</v>
      </c>
      <c r="BP393" s="339">
        <v>0</v>
      </c>
      <c r="BQ393" s="890">
        <f>IF(BN394=0,0,         IF(OR(Currency2="AUD",Currency1="NZD",Currency2="GBP"),BN393,   _xll.qDateNext(BN393,"-2b",,,IF(Currency2="EUR","TGT","LON"))))</f>
        <v>0</v>
      </c>
      <c r="BR393" s="879" t="str">
        <v/>
      </c>
      <c r="BS393" s="879" t="str">
        <v/>
      </c>
      <c r="BT393" s="879" t="str">
        <v/>
      </c>
      <c r="BU393" s="879" t="str">
        <v/>
      </c>
      <c r="BV393" s="879" t="str">
        <v/>
      </c>
      <c r="BW393" s="879" t="str">
        <v/>
      </c>
      <c r="BX393" s="879" t="str">
        <v/>
      </c>
      <c r="BY393" s="879" t="str">
        <v/>
      </c>
      <c r="BZ393" s="882">
        <f>IF($BN394=0,0,        _xll.qDateNext($BN393,BZ$17,$CG$16,TRUE,Currency2))</f>
        <v>0</v>
      </c>
      <c r="CA393" s="882">
        <f>IF($BN394=0,0,        _xll.qDateNext($BN393,CA$17,$CG$16,TRUE,Currency2))</f>
        <v>0</v>
      </c>
      <c r="CB393" s="882">
        <f>IF($BN394=0,0,        _xll.qDateNext($BN393,CB$17,$CG$16,TRUE,Currency2))</f>
        <v>0</v>
      </c>
      <c r="CC393" s="882">
        <f>IF($BN394=0,0,        _xll.qDateNext($BN393,CC$17,$CG$16,TRUE,Currency2))</f>
        <v>0</v>
      </c>
      <c r="CD393" s="882">
        <f>IF($BN394=0,0,        _xll.qDateNext($BN393,CD$17,$CG$16,TRUE,Currency2))</f>
        <v>0</v>
      </c>
      <c r="CE393" s="882">
        <f>IF($BN394=0,0,        _xll.qDateNext($BN393,CE$17,$CG$16,TRUE,Currency2))</f>
        <v>0</v>
      </c>
      <c r="CF393" s="882">
        <f>IF($BN394=0,0,        _xll.qDateNext($BN393,CF$17,$CG$16,TRUE,Currency2))</f>
        <v>0</v>
      </c>
      <c r="CG393" s="882">
        <f>IF($BN394=0,0,        _xll.qDateNext($BN393,CG$17,$CG$16,TRUE,Currency2))</f>
        <v>0</v>
      </c>
      <c r="CH393" s="886">
        <v>0</v>
      </c>
      <c r="CI393" s="886">
        <v>0</v>
      </c>
      <c r="CJ393" s="886">
        <v>0</v>
      </c>
      <c r="CK393" s="886">
        <v>0</v>
      </c>
      <c r="CL393" s="886">
        <f t="shared" si="189"/>
        <v>0</v>
      </c>
      <c r="CM393" s="886">
        <f t="shared" si="190"/>
        <v>0</v>
      </c>
      <c r="CN393" s="886">
        <v>0</v>
      </c>
      <c r="CO393" s="886">
        <v>0</v>
      </c>
      <c r="CP393" s="648">
        <f t="shared" si="167"/>
        <v>0</v>
      </c>
      <c r="CQ393" s="648">
        <f t="shared" si="168"/>
        <v>0</v>
      </c>
      <c r="CR393" s="648">
        <f t="shared" si="169"/>
        <v>0</v>
      </c>
      <c r="CS393" s="648">
        <f t="shared" si="170"/>
        <v>0</v>
      </c>
      <c r="CT393" s="648">
        <f t="shared" si="171"/>
        <v>0</v>
      </c>
      <c r="CU393" s="648">
        <f t="shared" si="172"/>
        <v>0</v>
      </c>
      <c r="CV393" s="648">
        <f t="shared" si="173"/>
        <v>0</v>
      </c>
      <c r="CW393" s="648">
        <f t="shared" si="174"/>
        <v>0</v>
      </c>
      <c r="CX393" s="634">
        <v>0</v>
      </c>
      <c r="CY393" s="616"/>
      <c r="CZ393" s="619">
        <f>IF(BN394=0,0,             IF(ISNUMBER(CY393),CY393,             IF(ISTEXT(CY393),INDEX(CP393:CW393,MATCH(CY393,$CP$17:$CW$17,0)),           IF(CX393="INT",_xll.qInterp(BN394,BZ393:CG393,CP393:CW393),       INDEX(CP393:CW393,MATCH(CX393,$CP$17:$CW$17,0))))))</f>
        <v>0</v>
      </c>
      <c r="DA393" s="755">
        <f t="shared" si="175"/>
        <v>0</v>
      </c>
      <c r="DB393" s="387">
        <f t="shared" si="176"/>
        <v>0</v>
      </c>
      <c r="DC393" s="268">
        <f>IF($BN394=0,0,         IF(LEFT(DCC_Leg2_Fixed,2)="1/",uEvaluate(DCC_Leg2_Fixed),         _xll.qDateYears($BN393,$BN394,DCC_Leg2_Fixed)))</f>
        <v>0</v>
      </c>
      <c r="DD393" s="268">
        <f>IF($BN394,_xll.qDateYears($BN393,$BN394,DCC_Leg2_Float),0)</f>
        <v>0</v>
      </c>
      <c r="DF393" s="332">
        <f t="shared" si="191"/>
        <v>0</v>
      </c>
      <c r="DG393" s="357">
        <f t="shared" si="192"/>
        <v>0</v>
      </c>
      <c r="DH393" s="527"/>
      <c r="DJ393" s="324">
        <f t="shared" si="194"/>
        <v>0</v>
      </c>
      <c r="DK393" s="529"/>
      <c r="DL393" s="338"/>
    </row>
    <row r="394" spans="15:116">
      <c r="O394" s="121">
        <v>0</v>
      </c>
      <c r="P394" s="755">
        <f t="shared" si="163"/>
        <v>0</v>
      </c>
      <c r="Q394" s="125">
        <v>0</v>
      </c>
      <c r="R394" s="890">
        <f>IF(O395=0,0,         IF(OR(Currency1="AUD",Currency1="NZD",Currency1="GBP"),O394,   _xll.qDateNext(O394,"-2b",,,IF(Currency1="EUR","TGT","LON"))))</f>
        <v>0</v>
      </c>
      <c r="S394" s="879" t="str">
        <v/>
      </c>
      <c r="T394" s="879" t="str">
        <v/>
      </c>
      <c r="U394" s="879" t="str">
        <v/>
      </c>
      <c r="V394" s="879" t="str">
        <v/>
      </c>
      <c r="W394" s="879" t="str">
        <v/>
      </c>
      <c r="X394" s="879" t="str">
        <v/>
      </c>
      <c r="Y394" s="879" t="str">
        <v/>
      </c>
      <c r="Z394" s="879" t="str">
        <v/>
      </c>
      <c r="AA394" s="882">
        <f>IF($O395=0,0,        _xll.qDateNext($O394,AA$17,$AH$16,TRUE,Currency1))</f>
        <v>0</v>
      </c>
      <c r="AB394" s="882">
        <f>IF($O395=0,0,        _xll.qDateNext($O394,AB$17,$AH$16,TRUE,Currency1))</f>
        <v>0</v>
      </c>
      <c r="AC394" s="882">
        <f>IF($O395=0,0,        _xll.qDateNext($O394,AC$17,$AH$16,TRUE,Currency1))</f>
        <v>0</v>
      </c>
      <c r="AD394" s="882">
        <f>IF($O395=0,0,        _xll.qDateNext($O394,AD$17,$AH$16,TRUE,Currency1))</f>
        <v>0</v>
      </c>
      <c r="AE394" s="882">
        <f>IF($O395=0,0,        _xll.qDateNext($O394,AE$17,$AH$16,TRUE,Currency1))</f>
        <v>0</v>
      </c>
      <c r="AF394" s="882">
        <f>IF($O395=0,0,        _xll.qDateNext($O394,AF$17,$AH$16,TRUE,Currency1))</f>
        <v>0</v>
      </c>
      <c r="AG394" s="882">
        <f>IF($O395=0,0,        _xll.qDateNext($O394,AG$17,$AH$16,TRUE,Currency1))</f>
        <v>0</v>
      </c>
      <c r="AH394" s="882">
        <f>IF($O395=0,0,        _xll.qDateNext($O394,AH$17,$AH$16,TRUE,Currency1))</f>
        <v>0</v>
      </c>
      <c r="AI394" s="886">
        <f>IF($O395=0,0,           IF(FRM,_xll.qGetFwdRate(AI$14,$O394,AA394,"T",DCC_Leg1_Float),_xll.qGetFwdRate(AI$14,$O394,$O395,"T",DCC_Leg1_Float)))</f>
        <v>0</v>
      </c>
      <c r="AJ394" s="886">
        <f>IF($O395=0,0,           IF(FRM,_xll.qGetFwdRate(AJ$14,$O394,AB394,"T",DCC_Leg1_Float),_xll.qGetFwdRate(AJ$14,$O394,$O395,"T",DCC_Leg1_Float)))</f>
        <v>0</v>
      </c>
      <c r="AK394" s="886">
        <f t="shared" si="164"/>
        <v>0</v>
      </c>
      <c r="AL394" s="886">
        <f>IF($O395=0,0,           IF(FRM,_xll.qGetFwdRate(AL$14,$O394,AD394,"T",DCC_Leg1_Float),_xll.qGetFwdRate(AL$14,$O394,$O395,"T",DCC_Leg1_Float)))</f>
        <v>0</v>
      </c>
      <c r="AM394" s="886">
        <f t="shared" si="177"/>
        <v>0</v>
      </c>
      <c r="AN394" s="886">
        <f t="shared" si="178"/>
        <v>0</v>
      </c>
      <c r="AO394" s="886">
        <f>IF($O395=0,0,           IF(FRM,_xll.qGetFwdRate(AO$14,$O394,AG394,"T",DCC_Leg1_Float),_xll.qGetFwdRate(AO$14,$O394,$O395,"T",DCC_Leg1_Float)))</f>
        <v>0</v>
      </c>
      <c r="AP394" s="886">
        <f>IF($O395=0,0,           IF(FRM,_xll.qGetFwdRate(AP$14,$O394,AH394,"T",DCC_Leg1_Float),_xll.qGetFwdRate(AP$14,$O394,$O395,"T",DCC_Leg1_Float)))</f>
        <v>0</v>
      </c>
      <c r="AQ394" s="648">
        <f t="shared" si="179"/>
        <v>0</v>
      </c>
      <c r="AR394" s="648">
        <f t="shared" si="180"/>
        <v>0</v>
      </c>
      <c r="AS394" s="648">
        <f t="shared" si="181"/>
        <v>0</v>
      </c>
      <c r="AT394" s="648">
        <f t="shared" si="182"/>
        <v>0</v>
      </c>
      <c r="AU394" s="648">
        <f t="shared" si="183"/>
        <v>0</v>
      </c>
      <c r="AV394" s="648">
        <f t="shared" si="184"/>
        <v>0</v>
      </c>
      <c r="AW394" s="648">
        <f t="shared" si="185"/>
        <v>0</v>
      </c>
      <c r="AX394" s="648">
        <f t="shared" si="186"/>
        <v>0</v>
      </c>
      <c r="AY394" s="634">
        <v>0</v>
      </c>
      <c r="AZ394" s="616"/>
      <c r="BA394" s="619">
        <f>IF(O395=0,0,             IF(ISNUMBER(AZ394),AZ394,             IF(ISTEXT(AZ394),INDEX(AQ394:AX394,MATCH(AZ394,$AQ$17:$AX$17,0)),           IF(AY394="INT",_xll.qInterp(O395,AA394:AH394,AQ394:AX394),       INDEX(AQ394:AX394,MATCH(AY394,$AQ$17:$AX$17,0))))))</f>
        <v>0</v>
      </c>
      <c r="BB394" s="674">
        <v>100</v>
      </c>
      <c r="BC394" s="666">
        <f t="shared" si="165"/>
        <v>0</v>
      </c>
      <c r="BD394" s="268">
        <f>IF($O395=0,0,                IF(LEFT(DCC_Leg1_Fixed,2)="1/",uEvaluate(DCC_Leg1_Fixed),        _xll.qDateYears($O394,$O395,DCC_Leg1_Fixed)))</f>
        <v>0</v>
      </c>
      <c r="BE394" s="268">
        <f>IF($O395,_xll.qDateYears($O394,$O395,DCC_Leg1_Float),0)</f>
        <v>0</v>
      </c>
      <c r="BG394" s="332">
        <f t="shared" si="187"/>
        <v>0</v>
      </c>
      <c r="BH394" s="357">
        <f t="shared" si="188"/>
        <v>0</v>
      </c>
      <c r="BI394" s="527"/>
      <c r="BK394" s="324">
        <f t="shared" si="193"/>
        <v>0</v>
      </c>
      <c r="BM394" s="338"/>
      <c r="BN394" s="121">
        <v>0</v>
      </c>
      <c r="BO394" s="755">
        <f t="shared" si="166"/>
        <v>0</v>
      </c>
      <c r="BP394" s="339">
        <v>0</v>
      </c>
      <c r="BQ394" s="890">
        <f>IF(BN395=0,0,         IF(OR(Currency2="AUD",Currency1="NZD",Currency2="GBP"),BN394,   _xll.qDateNext(BN394,"-2b",,,IF(Currency2="EUR","TGT","LON"))))</f>
        <v>0</v>
      </c>
      <c r="BR394" s="879" t="str">
        <v/>
      </c>
      <c r="BS394" s="879" t="str">
        <v/>
      </c>
      <c r="BT394" s="879" t="str">
        <v/>
      </c>
      <c r="BU394" s="879" t="str">
        <v/>
      </c>
      <c r="BV394" s="879" t="str">
        <v/>
      </c>
      <c r="BW394" s="879" t="str">
        <v/>
      </c>
      <c r="BX394" s="879" t="str">
        <v/>
      </c>
      <c r="BY394" s="879" t="str">
        <v/>
      </c>
      <c r="BZ394" s="882">
        <f>IF($BN395=0,0,        _xll.qDateNext($BN394,BZ$17,$CG$16,TRUE,Currency2))</f>
        <v>0</v>
      </c>
      <c r="CA394" s="882">
        <f>IF($BN395=0,0,        _xll.qDateNext($BN394,CA$17,$CG$16,TRUE,Currency2))</f>
        <v>0</v>
      </c>
      <c r="CB394" s="882">
        <f>IF($BN395=0,0,        _xll.qDateNext($BN394,CB$17,$CG$16,TRUE,Currency2))</f>
        <v>0</v>
      </c>
      <c r="CC394" s="882">
        <f>IF($BN395=0,0,        _xll.qDateNext($BN394,CC$17,$CG$16,TRUE,Currency2))</f>
        <v>0</v>
      </c>
      <c r="CD394" s="882">
        <f>IF($BN395=0,0,        _xll.qDateNext($BN394,CD$17,$CG$16,TRUE,Currency2))</f>
        <v>0</v>
      </c>
      <c r="CE394" s="882">
        <f>IF($BN395=0,0,        _xll.qDateNext($BN394,CE$17,$CG$16,TRUE,Currency2))</f>
        <v>0</v>
      </c>
      <c r="CF394" s="882">
        <f>IF($BN395=0,0,        _xll.qDateNext($BN394,CF$17,$CG$16,TRUE,Currency2))</f>
        <v>0</v>
      </c>
      <c r="CG394" s="882">
        <f>IF($BN395=0,0,        _xll.qDateNext($BN394,CG$17,$CG$16,TRUE,Currency2))</f>
        <v>0</v>
      </c>
      <c r="CH394" s="886">
        <v>0</v>
      </c>
      <c r="CI394" s="886">
        <v>0</v>
      </c>
      <c r="CJ394" s="886">
        <v>0</v>
      </c>
      <c r="CK394" s="886">
        <v>0</v>
      </c>
      <c r="CL394" s="886">
        <f t="shared" si="189"/>
        <v>0</v>
      </c>
      <c r="CM394" s="886">
        <f t="shared" si="190"/>
        <v>0</v>
      </c>
      <c r="CN394" s="886">
        <v>0</v>
      </c>
      <c r="CO394" s="886">
        <v>0</v>
      </c>
      <c r="CP394" s="648">
        <f t="shared" si="167"/>
        <v>0</v>
      </c>
      <c r="CQ394" s="648">
        <f t="shared" si="168"/>
        <v>0</v>
      </c>
      <c r="CR394" s="648">
        <f t="shared" si="169"/>
        <v>0</v>
      </c>
      <c r="CS394" s="648">
        <f t="shared" si="170"/>
        <v>0</v>
      </c>
      <c r="CT394" s="648">
        <f t="shared" si="171"/>
        <v>0</v>
      </c>
      <c r="CU394" s="648">
        <f t="shared" si="172"/>
        <v>0</v>
      </c>
      <c r="CV394" s="648">
        <f t="shared" si="173"/>
        <v>0</v>
      </c>
      <c r="CW394" s="648">
        <f t="shared" si="174"/>
        <v>0</v>
      </c>
      <c r="CX394" s="634">
        <v>0</v>
      </c>
      <c r="CY394" s="616"/>
      <c r="CZ394" s="619">
        <f>IF(BN395=0,0,             IF(ISNUMBER(CY394),CY394,             IF(ISTEXT(CY394),INDEX(CP394:CW394,MATCH(CY394,$CP$17:$CW$17,0)),           IF(CX394="INT",_xll.qInterp(BN395,BZ394:CG394,CP394:CW394),       INDEX(CP394:CW394,MATCH(CX394,$CP$17:$CW$17,0))))))</f>
        <v>0</v>
      </c>
      <c r="DA394" s="755">
        <f t="shared" si="175"/>
        <v>0</v>
      </c>
      <c r="DB394" s="387">
        <f t="shared" si="176"/>
        <v>0</v>
      </c>
      <c r="DC394" s="268">
        <f>IF($BN395=0,0,         IF(LEFT(DCC_Leg2_Fixed,2)="1/",uEvaluate(DCC_Leg2_Fixed),         _xll.qDateYears($BN394,$BN395,DCC_Leg2_Fixed)))</f>
        <v>0</v>
      </c>
      <c r="DD394" s="268">
        <f>IF($BN395,_xll.qDateYears($BN394,$BN395,DCC_Leg2_Float),0)</f>
        <v>0</v>
      </c>
      <c r="DF394" s="332">
        <f t="shared" si="191"/>
        <v>0</v>
      </c>
      <c r="DG394" s="357">
        <f t="shared" si="192"/>
        <v>0</v>
      </c>
      <c r="DH394" s="527"/>
      <c r="DJ394" s="324">
        <f t="shared" si="194"/>
        <v>0</v>
      </c>
      <c r="DK394" s="529"/>
      <c r="DL394" s="338"/>
    </row>
    <row r="395" spans="15:116">
      <c r="O395" s="121">
        <v>0</v>
      </c>
      <c r="P395" s="755">
        <f t="shared" si="163"/>
        <v>0</v>
      </c>
      <c r="Q395" s="125">
        <v>0</v>
      </c>
      <c r="R395" s="890">
        <f>IF(O396=0,0,         IF(OR(Currency1="AUD",Currency1="NZD",Currency1="GBP"),O395,   _xll.qDateNext(O395,"-2b",,,IF(Currency1="EUR","TGT","LON"))))</f>
        <v>0</v>
      </c>
      <c r="S395" s="879" t="str">
        <v/>
      </c>
      <c r="T395" s="879" t="str">
        <v/>
      </c>
      <c r="U395" s="879" t="str">
        <v/>
      </c>
      <c r="V395" s="879" t="str">
        <v/>
      </c>
      <c r="W395" s="879" t="str">
        <v/>
      </c>
      <c r="X395" s="879" t="str">
        <v/>
      </c>
      <c r="Y395" s="879" t="str">
        <v/>
      </c>
      <c r="Z395" s="879" t="str">
        <v/>
      </c>
      <c r="AA395" s="882">
        <f>IF($O396=0,0,        _xll.qDateNext($O395,AA$17,$AH$16,TRUE,Currency1))</f>
        <v>0</v>
      </c>
      <c r="AB395" s="882">
        <f>IF($O396=0,0,        _xll.qDateNext($O395,AB$17,$AH$16,TRUE,Currency1))</f>
        <v>0</v>
      </c>
      <c r="AC395" s="882">
        <f>IF($O396=0,0,        _xll.qDateNext($O395,AC$17,$AH$16,TRUE,Currency1))</f>
        <v>0</v>
      </c>
      <c r="AD395" s="882">
        <f>IF($O396=0,0,        _xll.qDateNext($O395,AD$17,$AH$16,TRUE,Currency1))</f>
        <v>0</v>
      </c>
      <c r="AE395" s="882">
        <f>IF($O396=0,0,        _xll.qDateNext($O395,AE$17,$AH$16,TRUE,Currency1))</f>
        <v>0</v>
      </c>
      <c r="AF395" s="882">
        <f>IF($O396=0,0,        _xll.qDateNext($O395,AF$17,$AH$16,TRUE,Currency1))</f>
        <v>0</v>
      </c>
      <c r="AG395" s="882">
        <f>IF($O396=0,0,        _xll.qDateNext($O395,AG$17,$AH$16,TRUE,Currency1))</f>
        <v>0</v>
      </c>
      <c r="AH395" s="882">
        <f>IF($O396=0,0,        _xll.qDateNext($O395,AH$17,$AH$16,TRUE,Currency1))</f>
        <v>0</v>
      </c>
      <c r="AI395" s="886">
        <f>IF($O396=0,0,           IF(FRM,_xll.qGetFwdRate(AI$14,$O395,AA395,"T",DCC_Leg1_Float),_xll.qGetFwdRate(AI$14,$O395,$O396,"T",DCC_Leg1_Float)))</f>
        <v>0</v>
      </c>
      <c r="AJ395" s="886">
        <f>IF($O396=0,0,           IF(FRM,_xll.qGetFwdRate(AJ$14,$O395,AB395,"T",DCC_Leg1_Float),_xll.qGetFwdRate(AJ$14,$O395,$O396,"T",DCC_Leg1_Float)))</f>
        <v>0</v>
      </c>
      <c r="AK395" s="886">
        <f t="shared" si="164"/>
        <v>0</v>
      </c>
      <c r="AL395" s="886">
        <f>IF($O396=0,0,           IF(FRM,_xll.qGetFwdRate(AL$14,$O395,AD395,"T",DCC_Leg1_Float),_xll.qGetFwdRate(AL$14,$O395,$O396,"T",DCC_Leg1_Float)))</f>
        <v>0</v>
      </c>
      <c r="AM395" s="886">
        <f t="shared" si="177"/>
        <v>0</v>
      </c>
      <c r="AN395" s="886">
        <f t="shared" si="178"/>
        <v>0</v>
      </c>
      <c r="AO395" s="886">
        <f>IF($O396=0,0,           IF(FRM,_xll.qGetFwdRate(AO$14,$O395,AG395,"T",DCC_Leg1_Float),_xll.qGetFwdRate(AO$14,$O395,$O396,"T",DCC_Leg1_Float)))</f>
        <v>0</v>
      </c>
      <c r="AP395" s="886">
        <f>IF($O396=0,0,           IF(FRM,_xll.qGetFwdRate(AP$14,$O395,AH395,"T",DCC_Leg1_Float),_xll.qGetFwdRate(AP$14,$O395,$O396,"T",DCC_Leg1_Float)))</f>
        <v>0</v>
      </c>
      <c r="AQ395" s="648">
        <f t="shared" si="179"/>
        <v>0</v>
      </c>
      <c r="AR395" s="648">
        <f t="shared" si="180"/>
        <v>0</v>
      </c>
      <c r="AS395" s="648">
        <f t="shared" si="181"/>
        <v>0</v>
      </c>
      <c r="AT395" s="648">
        <f t="shared" si="182"/>
        <v>0</v>
      </c>
      <c r="AU395" s="648">
        <f t="shared" si="183"/>
        <v>0</v>
      </c>
      <c r="AV395" s="648">
        <f t="shared" si="184"/>
        <v>0</v>
      </c>
      <c r="AW395" s="648">
        <f t="shared" si="185"/>
        <v>0</v>
      </c>
      <c r="AX395" s="648">
        <f t="shared" si="186"/>
        <v>0</v>
      </c>
      <c r="AY395" s="634">
        <v>0</v>
      </c>
      <c r="AZ395" s="616"/>
      <c r="BA395" s="619">
        <f>IF(O396=0,0,             IF(ISNUMBER(AZ395),AZ395,             IF(ISTEXT(AZ395),INDEX(AQ395:AX395,MATCH(AZ395,$AQ$17:$AX$17,0)),           IF(AY395="INT",_xll.qInterp(O396,AA395:AH395,AQ395:AX395),       INDEX(AQ395:AX395,MATCH(AY395,$AQ$17:$AX$17,0))))))</f>
        <v>0</v>
      </c>
      <c r="BB395" s="674">
        <v>100</v>
      </c>
      <c r="BC395" s="666">
        <f t="shared" si="165"/>
        <v>0</v>
      </c>
      <c r="BD395" s="268">
        <f>IF($O396=0,0,                IF(LEFT(DCC_Leg1_Fixed,2)="1/",uEvaluate(DCC_Leg1_Fixed),        _xll.qDateYears($O395,$O396,DCC_Leg1_Fixed)))</f>
        <v>0</v>
      </c>
      <c r="BE395" s="268">
        <f>IF($O396,_xll.qDateYears($O395,$O396,DCC_Leg1_Float),0)</f>
        <v>0</v>
      </c>
      <c r="BG395" s="332">
        <f t="shared" si="187"/>
        <v>0</v>
      </c>
      <c r="BH395" s="357">
        <f t="shared" si="188"/>
        <v>0</v>
      </c>
      <c r="BI395" s="527"/>
      <c r="BK395" s="324">
        <f t="shared" si="193"/>
        <v>0</v>
      </c>
      <c r="BM395" s="338"/>
      <c r="BN395" s="121">
        <v>0</v>
      </c>
      <c r="BO395" s="755">
        <f t="shared" si="166"/>
        <v>0</v>
      </c>
      <c r="BP395" s="339">
        <v>0</v>
      </c>
      <c r="BQ395" s="890">
        <f>IF(BN396=0,0,         IF(OR(Currency2="AUD",Currency1="NZD",Currency2="GBP"),BN395,   _xll.qDateNext(BN395,"-2b",,,IF(Currency2="EUR","TGT","LON"))))</f>
        <v>0</v>
      </c>
      <c r="BR395" s="879" t="str">
        <v/>
      </c>
      <c r="BS395" s="879" t="str">
        <v/>
      </c>
      <c r="BT395" s="879" t="str">
        <v/>
      </c>
      <c r="BU395" s="879" t="str">
        <v/>
      </c>
      <c r="BV395" s="879" t="str">
        <v/>
      </c>
      <c r="BW395" s="879" t="str">
        <v/>
      </c>
      <c r="BX395" s="879" t="str">
        <v/>
      </c>
      <c r="BY395" s="879" t="str">
        <v/>
      </c>
      <c r="BZ395" s="882">
        <f>IF($BN396=0,0,        _xll.qDateNext($BN395,BZ$17,$CG$16,TRUE,Currency2))</f>
        <v>0</v>
      </c>
      <c r="CA395" s="882">
        <f>IF($BN396=0,0,        _xll.qDateNext($BN395,CA$17,$CG$16,TRUE,Currency2))</f>
        <v>0</v>
      </c>
      <c r="CB395" s="882">
        <f>IF($BN396=0,0,        _xll.qDateNext($BN395,CB$17,$CG$16,TRUE,Currency2))</f>
        <v>0</v>
      </c>
      <c r="CC395" s="882">
        <f>IF($BN396=0,0,        _xll.qDateNext($BN395,CC$17,$CG$16,TRUE,Currency2))</f>
        <v>0</v>
      </c>
      <c r="CD395" s="882">
        <f>IF($BN396=0,0,        _xll.qDateNext($BN395,CD$17,$CG$16,TRUE,Currency2))</f>
        <v>0</v>
      </c>
      <c r="CE395" s="882">
        <f>IF($BN396=0,0,        _xll.qDateNext($BN395,CE$17,$CG$16,TRUE,Currency2))</f>
        <v>0</v>
      </c>
      <c r="CF395" s="882">
        <f>IF($BN396=0,0,        _xll.qDateNext($BN395,CF$17,$CG$16,TRUE,Currency2))</f>
        <v>0</v>
      </c>
      <c r="CG395" s="882">
        <f>IF($BN396=0,0,        _xll.qDateNext($BN395,CG$17,$CG$16,TRUE,Currency2))</f>
        <v>0</v>
      </c>
      <c r="CH395" s="886">
        <v>0</v>
      </c>
      <c r="CI395" s="886">
        <v>0</v>
      </c>
      <c r="CJ395" s="886">
        <v>0</v>
      </c>
      <c r="CK395" s="886">
        <v>0</v>
      </c>
      <c r="CL395" s="886">
        <f t="shared" si="189"/>
        <v>0</v>
      </c>
      <c r="CM395" s="886">
        <f t="shared" si="190"/>
        <v>0</v>
      </c>
      <c r="CN395" s="886">
        <v>0</v>
      </c>
      <c r="CO395" s="886">
        <v>0</v>
      </c>
      <c r="CP395" s="648">
        <f t="shared" si="167"/>
        <v>0</v>
      </c>
      <c r="CQ395" s="648">
        <f t="shared" si="168"/>
        <v>0</v>
      </c>
      <c r="CR395" s="648">
        <f t="shared" si="169"/>
        <v>0</v>
      </c>
      <c r="CS395" s="648">
        <f t="shared" si="170"/>
        <v>0</v>
      </c>
      <c r="CT395" s="648">
        <f t="shared" si="171"/>
        <v>0</v>
      </c>
      <c r="CU395" s="648">
        <f t="shared" si="172"/>
        <v>0</v>
      </c>
      <c r="CV395" s="648">
        <f t="shared" si="173"/>
        <v>0</v>
      </c>
      <c r="CW395" s="648">
        <f t="shared" si="174"/>
        <v>0</v>
      </c>
      <c r="CX395" s="634">
        <v>0</v>
      </c>
      <c r="CY395" s="616"/>
      <c r="CZ395" s="619">
        <f>IF(BN396=0,0,             IF(ISNUMBER(CY395),CY395,             IF(ISTEXT(CY395),INDEX(CP395:CW395,MATCH(CY395,$CP$17:$CW$17,0)),           IF(CX395="INT",_xll.qInterp(BN396,BZ395:CG395,CP395:CW395),       INDEX(CP395:CW395,MATCH(CX395,$CP$17:$CW$17,0))))))</f>
        <v>0</v>
      </c>
      <c r="DA395" s="755">
        <f t="shared" si="175"/>
        <v>0</v>
      </c>
      <c r="DB395" s="387">
        <f t="shared" si="176"/>
        <v>0</v>
      </c>
      <c r="DC395" s="268">
        <f>IF($BN396=0,0,         IF(LEFT(DCC_Leg2_Fixed,2)="1/",uEvaluate(DCC_Leg2_Fixed),         _xll.qDateYears($BN395,$BN396,DCC_Leg2_Fixed)))</f>
        <v>0</v>
      </c>
      <c r="DD395" s="268">
        <f>IF($BN396,_xll.qDateYears($BN395,$BN396,DCC_Leg2_Float),0)</f>
        <v>0</v>
      </c>
      <c r="DF395" s="332">
        <f t="shared" si="191"/>
        <v>0</v>
      </c>
      <c r="DG395" s="357">
        <f t="shared" si="192"/>
        <v>0</v>
      </c>
      <c r="DH395" s="527"/>
      <c r="DJ395" s="324">
        <f t="shared" si="194"/>
        <v>0</v>
      </c>
      <c r="DK395" s="529"/>
      <c r="DL395" s="338"/>
    </row>
    <row r="396" spans="15:116">
      <c r="O396" s="121">
        <v>0</v>
      </c>
      <c r="P396" s="755">
        <f t="shared" si="163"/>
        <v>0</v>
      </c>
      <c r="Q396" s="125">
        <v>0</v>
      </c>
      <c r="R396" s="890">
        <f>IF(O397=0,0,         IF(OR(Currency1="AUD",Currency1="NZD",Currency1="GBP"),O396,   _xll.qDateNext(O396,"-2b",,,IF(Currency1="EUR","TGT","LON"))))</f>
        <v>0</v>
      </c>
      <c r="S396" s="879" t="str">
        <v/>
      </c>
      <c r="T396" s="879" t="str">
        <v/>
      </c>
      <c r="U396" s="879" t="str">
        <v/>
      </c>
      <c r="V396" s="879" t="str">
        <v/>
      </c>
      <c r="W396" s="879" t="str">
        <v/>
      </c>
      <c r="X396" s="879" t="str">
        <v/>
      </c>
      <c r="Y396" s="879" t="str">
        <v/>
      </c>
      <c r="Z396" s="879" t="str">
        <v/>
      </c>
      <c r="AA396" s="882">
        <f>IF($O397=0,0,        _xll.qDateNext($O396,AA$17,$AH$16,TRUE,Currency1))</f>
        <v>0</v>
      </c>
      <c r="AB396" s="882">
        <f>IF($O397=0,0,        _xll.qDateNext($O396,AB$17,$AH$16,TRUE,Currency1))</f>
        <v>0</v>
      </c>
      <c r="AC396" s="882">
        <f>IF($O397=0,0,        _xll.qDateNext($O396,AC$17,$AH$16,TRUE,Currency1))</f>
        <v>0</v>
      </c>
      <c r="AD396" s="882">
        <f>IF($O397=0,0,        _xll.qDateNext($O396,AD$17,$AH$16,TRUE,Currency1))</f>
        <v>0</v>
      </c>
      <c r="AE396" s="882">
        <f>IF($O397=0,0,        _xll.qDateNext($O396,AE$17,$AH$16,TRUE,Currency1))</f>
        <v>0</v>
      </c>
      <c r="AF396" s="882">
        <f>IF($O397=0,0,        _xll.qDateNext($O396,AF$17,$AH$16,TRUE,Currency1))</f>
        <v>0</v>
      </c>
      <c r="AG396" s="882">
        <f>IF($O397=0,0,        _xll.qDateNext($O396,AG$17,$AH$16,TRUE,Currency1))</f>
        <v>0</v>
      </c>
      <c r="AH396" s="882">
        <f>IF($O397=0,0,        _xll.qDateNext($O396,AH$17,$AH$16,TRUE,Currency1))</f>
        <v>0</v>
      </c>
      <c r="AI396" s="886">
        <f>IF($O397=0,0,           IF(FRM,_xll.qGetFwdRate(AI$14,$O396,AA396,"T",DCC_Leg1_Float),_xll.qGetFwdRate(AI$14,$O396,$O397,"T",DCC_Leg1_Float)))</f>
        <v>0</v>
      </c>
      <c r="AJ396" s="886">
        <f>IF($O397=0,0,           IF(FRM,_xll.qGetFwdRate(AJ$14,$O396,AB396,"T",DCC_Leg1_Float),_xll.qGetFwdRate(AJ$14,$O396,$O397,"T",DCC_Leg1_Float)))</f>
        <v>0</v>
      </c>
      <c r="AK396" s="886">
        <f t="shared" si="164"/>
        <v>0</v>
      </c>
      <c r="AL396" s="886">
        <f>IF($O397=0,0,           IF(FRM,_xll.qGetFwdRate(AL$14,$O396,AD396,"T",DCC_Leg1_Float),_xll.qGetFwdRate(AL$14,$O396,$O397,"T",DCC_Leg1_Float)))</f>
        <v>0</v>
      </c>
      <c r="AM396" s="886">
        <f t="shared" si="177"/>
        <v>0</v>
      </c>
      <c r="AN396" s="886">
        <f t="shared" si="178"/>
        <v>0</v>
      </c>
      <c r="AO396" s="886">
        <f>IF($O397=0,0,           IF(FRM,_xll.qGetFwdRate(AO$14,$O396,AG396,"T",DCC_Leg1_Float),_xll.qGetFwdRate(AO$14,$O396,$O397,"T",DCC_Leg1_Float)))</f>
        <v>0</v>
      </c>
      <c r="AP396" s="886">
        <f>IF($O397=0,0,           IF(FRM,_xll.qGetFwdRate(AP$14,$O396,AH396,"T",DCC_Leg1_Float),_xll.qGetFwdRate(AP$14,$O396,$O397,"T",DCC_Leg1_Float)))</f>
        <v>0</v>
      </c>
      <c r="AQ396" s="648">
        <f t="shared" si="179"/>
        <v>0</v>
      </c>
      <c r="AR396" s="648">
        <f t="shared" si="180"/>
        <v>0</v>
      </c>
      <c r="AS396" s="648">
        <f t="shared" si="181"/>
        <v>0</v>
      </c>
      <c r="AT396" s="648">
        <f t="shared" si="182"/>
        <v>0</v>
      </c>
      <c r="AU396" s="648">
        <f t="shared" si="183"/>
        <v>0</v>
      </c>
      <c r="AV396" s="648">
        <f t="shared" si="184"/>
        <v>0</v>
      </c>
      <c r="AW396" s="648">
        <f t="shared" si="185"/>
        <v>0</v>
      </c>
      <c r="AX396" s="648">
        <f t="shared" si="186"/>
        <v>0</v>
      </c>
      <c r="AY396" s="634">
        <v>0</v>
      </c>
      <c r="AZ396" s="616"/>
      <c r="BA396" s="619">
        <f>IF(O397=0,0,             IF(ISNUMBER(AZ396),AZ396,             IF(ISTEXT(AZ396),INDEX(AQ396:AX396,MATCH(AZ396,$AQ$17:$AX$17,0)),           IF(AY396="INT",_xll.qInterp(O397,AA396:AH396,AQ396:AX396),       INDEX(AQ396:AX396,MATCH(AY396,$AQ$17:$AX$17,0))))))</f>
        <v>0</v>
      </c>
      <c r="BB396" s="674">
        <v>100</v>
      </c>
      <c r="BC396" s="666">
        <f t="shared" si="165"/>
        <v>0</v>
      </c>
      <c r="BD396" s="268">
        <f>IF($O397=0,0,                IF(LEFT(DCC_Leg1_Fixed,2)="1/",uEvaluate(DCC_Leg1_Fixed),        _xll.qDateYears($O396,$O397,DCC_Leg1_Fixed)))</f>
        <v>0</v>
      </c>
      <c r="BE396" s="268">
        <f>IF($O397,_xll.qDateYears($O396,$O397,DCC_Leg1_Float),0)</f>
        <v>0</v>
      </c>
      <c r="BG396" s="332">
        <f t="shared" si="187"/>
        <v>0</v>
      </c>
      <c r="BH396" s="357">
        <f t="shared" si="188"/>
        <v>0</v>
      </c>
      <c r="BI396" s="527"/>
      <c r="BK396" s="324">
        <f t="shared" si="193"/>
        <v>0</v>
      </c>
      <c r="BM396" s="338"/>
      <c r="BN396" s="121">
        <v>0</v>
      </c>
      <c r="BO396" s="755">
        <f t="shared" si="166"/>
        <v>0</v>
      </c>
      <c r="BP396" s="339">
        <v>0</v>
      </c>
      <c r="BQ396" s="890">
        <f>IF(BN397=0,0,         IF(OR(Currency2="AUD",Currency1="NZD",Currency2="GBP"),BN396,   _xll.qDateNext(BN396,"-2b",,,IF(Currency2="EUR","TGT","LON"))))</f>
        <v>0</v>
      </c>
      <c r="BR396" s="879" t="str">
        <v/>
      </c>
      <c r="BS396" s="879" t="str">
        <v/>
      </c>
      <c r="BT396" s="879" t="str">
        <v/>
      </c>
      <c r="BU396" s="879" t="str">
        <v/>
      </c>
      <c r="BV396" s="879" t="str">
        <v/>
      </c>
      <c r="BW396" s="879" t="str">
        <v/>
      </c>
      <c r="BX396" s="879" t="str">
        <v/>
      </c>
      <c r="BY396" s="879" t="str">
        <v/>
      </c>
      <c r="BZ396" s="882">
        <f>IF($BN397=0,0,        _xll.qDateNext($BN396,BZ$17,$CG$16,TRUE,Currency2))</f>
        <v>0</v>
      </c>
      <c r="CA396" s="882">
        <f>IF($BN397=0,0,        _xll.qDateNext($BN396,CA$17,$CG$16,TRUE,Currency2))</f>
        <v>0</v>
      </c>
      <c r="CB396" s="882">
        <f>IF($BN397=0,0,        _xll.qDateNext($BN396,CB$17,$CG$16,TRUE,Currency2))</f>
        <v>0</v>
      </c>
      <c r="CC396" s="882">
        <f>IF($BN397=0,0,        _xll.qDateNext($BN396,CC$17,$CG$16,TRUE,Currency2))</f>
        <v>0</v>
      </c>
      <c r="CD396" s="882">
        <f>IF($BN397=0,0,        _xll.qDateNext($BN396,CD$17,$CG$16,TRUE,Currency2))</f>
        <v>0</v>
      </c>
      <c r="CE396" s="882">
        <f>IF($BN397=0,0,        _xll.qDateNext($BN396,CE$17,$CG$16,TRUE,Currency2))</f>
        <v>0</v>
      </c>
      <c r="CF396" s="882">
        <f>IF($BN397=0,0,        _xll.qDateNext($BN396,CF$17,$CG$16,TRUE,Currency2))</f>
        <v>0</v>
      </c>
      <c r="CG396" s="882">
        <f>IF($BN397=0,0,        _xll.qDateNext($BN396,CG$17,$CG$16,TRUE,Currency2))</f>
        <v>0</v>
      </c>
      <c r="CH396" s="886">
        <v>0</v>
      </c>
      <c r="CI396" s="886">
        <v>0</v>
      </c>
      <c r="CJ396" s="886">
        <v>0</v>
      </c>
      <c r="CK396" s="886">
        <v>0</v>
      </c>
      <c r="CL396" s="886">
        <f t="shared" si="189"/>
        <v>0</v>
      </c>
      <c r="CM396" s="886">
        <f t="shared" si="190"/>
        <v>0</v>
      </c>
      <c r="CN396" s="886">
        <v>0</v>
      </c>
      <c r="CO396" s="886">
        <v>0</v>
      </c>
      <c r="CP396" s="648">
        <f t="shared" si="167"/>
        <v>0</v>
      </c>
      <c r="CQ396" s="648">
        <f t="shared" si="168"/>
        <v>0</v>
      </c>
      <c r="CR396" s="648">
        <f t="shared" si="169"/>
        <v>0</v>
      </c>
      <c r="CS396" s="648">
        <f t="shared" si="170"/>
        <v>0</v>
      </c>
      <c r="CT396" s="648">
        <f t="shared" si="171"/>
        <v>0</v>
      </c>
      <c r="CU396" s="648">
        <f t="shared" si="172"/>
        <v>0</v>
      </c>
      <c r="CV396" s="648">
        <f t="shared" si="173"/>
        <v>0</v>
      </c>
      <c r="CW396" s="648">
        <f t="shared" si="174"/>
        <v>0</v>
      </c>
      <c r="CX396" s="634">
        <v>0</v>
      </c>
      <c r="CY396" s="616"/>
      <c r="CZ396" s="619">
        <f>IF(BN397=0,0,             IF(ISNUMBER(CY396),CY396,             IF(ISTEXT(CY396),INDEX(CP396:CW396,MATCH(CY396,$CP$17:$CW$17,0)),           IF(CX396="INT",_xll.qInterp(BN397,BZ396:CG396,CP396:CW396),       INDEX(CP396:CW396,MATCH(CX396,$CP$17:$CW$17,0))))))</f>
        <v>0</v>
      </c>
      <c r="DA396" s="755">
        <f t="shared" si="175"/>
        <v>0</v>
      </c>
      <c r="DB396" s="387">
        <f t="shared" si="176"/>
        <v>0</v>
      </c>
      <c r="DC396" s="268">
        <f>IF($BN397=0,0,         IF(LEFT(DCC_Leg2_Fixed,2)="1/",uEvaluate(DCC_Leg2_Fixed),         _xll.qDateYears($BN396,$BN397,DCC_Leg2_Fixed)))</f>
        <v>0</v>
      </c>
      <c r="DD396" s="268">
        <f>IF($BN397,_xll.qDateYears($BN396,$BN397,DCC_Leg2_Float),0)</f>
        <v>0</v>
      </c>
      <c r="DF396" s="332">
        <f t="shared" si="191"/>
        <v>0</v>
      </c>
      <c r="DG396" s="357">
        <f t="shared" si="192"/>
        <v>0</v>
      </c>
      <c r="DH396" s="527"/>
      <c r="DJ396" s="324">
        <f t="shared" si="194"/>
        <v>0</v>
      </c>
      <c r="DK396" s="529"/>
      <c r="DL396" s="338"/>
    </row>
    <row r="397" spans="15:116">
      <c r="O397" s="121">
        <v>0</v>
      </c>
      <c r="P397" s="755">
        <f t="shared" si="163"/>
        <v>0</v>
      </c>
      <c r="Q397" s="125">
        <v>0</v>
      </c>
      <c r="R397" s="890">
        <f>IF(O398=0,0,         IF(OR(Currency1="AUD",Currency1="NZD",Currency1="GBP"),O397,   _xll.qDateNext(O397,"-2b",,,IF(Currency1="EUR","TGT","LON"))))</f>
        <v>0</v>
      </c>
      <c r="S397" s="879" t="str">
        <v/>
      </c>
      <c r="T397" s="879" t="str">
        <v/>
      </c>
      <c r="U397" s="879" t="str">
        <v/>
      </c>
      <c r="V397" s="879" t="str">
        <v/>
      </c>
      <c r="W397" s="879" t="str">
        <v/>
      </c>
      <c r="X397" s="879" t="str">
        <v/>
      </c>
      <c r="Y397" s="879" t="str">
        <v/>
      </c>
      <c r="Z397" s="879" t="str">
        <v/>
      </c>
      <c r="AA397" s="882">
        <f>IF($O398=0,0,        _xll.qDateNext($O397,AA$17,$AH$16,TRUE,Currency1))</f>
        <v>0</v>
      </c>
      <c r="AB397" s="882">
        <f>IF($O398=0,0,        _xll.qDateNext($O397,AB$17,$AH$16,TRUE,Currency1))</f>
        <v>0</v>
      </c>
      <c r="AC397" s="882">
        <f>IF($O398=0,0,        _xll.qDateNext($O397,AC$17,$AH$16,TRUE,Currency1))</f>
        <v>0</v>
      </c>
      <c r="AD397" s="882">
        <f>IF($O398=0,0,        _xll.qDateNext($O397,AD$17,$AH$16,TRUE,Currency1))</f>
        <v>0</v>
      </c>
      <c r="AE397" s="882">
        <f>IF($O398=0,0,        _xll.qDateNext($O397,AE$17,$AH$16,TRUE,Currency1))</f>
        <v>0</v>
      </c>
      <c r="AF397" s="882">
        <f>IF($O398=0,0,        _xll.qDateNext($O397,AF$17,$AH$16,TRUE,Currency1))</f>
        <v>0</v>
      </c>
      <c r="AG397" s="882">
        <f>IF($O398=0,0,        _xll.qDateNext($O397,AG$17,$AH$16,TRUE,Currency1))</f>
        <v>0</v>
      </c>
      <c r="AH397" s="882">
        <f>IF($O398=0,0,        _xll.qDateNext($O397,AH$17,$AH$16,TRUE,Currency1))</f>
        <v>0</v>
      </c>
      <c r="AI397" s="886">
        <f>IF($O398=0,0,           IF(FRM,_xll.qGetFwdRate(AI$14,$O397,AA397,"T",DCC_Leg1_Float),_xll.qGetFwdRate(AI$14,$O397,$O398,"T",DCC_Leg1_Float)))</f>
        <v>0</v>
      </c>
      <c r="AJ397" s="886">
        <f>IF($O398=0,0,           IF(FRM,_xll.qGetFwdRate(AJ$14,$O397,AB397,"T",DCC_Leg1_Float),_xll.qGetFwdRate(AJ$14,$O397,$O398,"T",DCC_Leg1_Float)))</f>
        <v>0</v>
      </c>
      <c r="AK397" s="886">
        <f t="shared" si="164"/>
        <v>0</v>
      </c>
      <c r="AL397" s="886">
        <f>IF($O398=0,0,           IF(FRM,_xll.qGetFwdRate(AL$14,$O397,AD397,"T",DCC_Leg1_Float),_xll.qGetFwdRate(AL$14,$O397,$O398,"T",DCC_Leg1_Float)))</f>
        <v>0</v>
      </c>
      <c r="AM397" s="886">
        <f t="shared" si="177"/>
        <v>0</v>
      </c>
      <c r="AN397" s="886">
        <f t="shared" si="178"/>
        <v>0</v>
      </c>
      <c r="AO397" s="886">
        <f>IF($O398=0,0,           IF(FRM,_xll.qGetFwdRate(AO$14,$O397,AG397,"T",DCC_Leg1_Float),_xll.qGetFwdRate(AO$14,$O397,$O398,"T",DCC_Leg1_Float)))</f>
        <v>0</v>
      </c>
      <c r="AP397" s="886">
        <f>IF($O398=0,0,           IF(FRM,_xll.qGetFwdRate(AP$14,$O397,AH397,"T",DCC_Leg1_Float),_xll.qGetFwdRate(AP$14,$O397,$O398,"T",DCC_Leg1_Float)))</f>
        <v>0</v>
      </c>
      <c r="AQ397" s="648">
        <f t="shared" si="179"/>
        <v>0</v>
      </c>
      <c r="AR397" s="648">
        <f t="shared" si="180"/>
        <v>0</v>
      </c>
      <c r="AS397" s="648">
        <f t="shared" si="181"/>
        <v>0</v>
      </c>
      <c r="AT397" s="648">
        <f t="shared" si="182"/>
        <v>0</v>
      </c>
      <c r="AU397" s="648">
        <f t="shared" si="183"/>
        <v>0</v>
      </c>
      <c r="AV397" s="648">
        <f t="shared" si="184"/>
        <v>0</v>
      </c>
      <c r="AW397" s="648">
        <f t="shared" si="185"/>
        <v>0</v>
      </c>
      <c r="AX397" s="648">
        <f t="shared" si="186"/>
        <v>0</v>
      </c>
      <c r="AY397" s="634">
        <v>0</v>
      </c>
      <c r="AZ397" s="616"/>
      <c r="BA397" s="619">
        <f>IF(O398=0,0,             IF(ISNUMBER(AZ397),AZ397,             IF(ISTEXT(AZ397),INDEX(AQ397:AX397,MATCH(AZ397,$AQ$17:$AX$17,0)),           IF(AY397="INT",_xll.qInterp(O398,AA397:AH397,AQ397:AX397),       INDEX(AQ397:AX397,MATCH(AY397,$AQ$17:$AX$17,0))))))</f>
        <v>0</v>
      </c>
      <c r="BB397" s="674">
        <v>100</v>
      </c>
      <c r="BC397" s="666">
        <f t="shared" si="165"/>
        <v>0</v>
      </c>
      <c r="BD397" s="268">
        <f>IF($O398=0,0,                IF(LEFT(DCC_Leg1_Fixed,2)="1/",uEvaluate(DCC_Leg1_Fixed),        _xll.qDateYears($O397,$O398,DCC_Leg1_Fixed)))</f>
        <v>0</v>
      </c>
      <c r="BE397" s="268">
        <f>IF($O398,_xll.qDateYears($O397,$O398,DCC_Leg1_Float),0)</f>
        <v>0</v>
      </c>
      <c r="BG397" s="332">
        <f t="shared" si="187"/>
        <v>0</v>
      </c>
      <c r="BH397" s="357">
        <f t="shared" si="188"/>
        <v>0</v>
      </c>
      <c r="BI397" s="527"/>
      <c r="BK397" s="324">
        <f t="shared" si="193"/>
        <v>0</v>
      </c>
      <c r="BM397" s="338"/>
      <c r="BN397" s="121">
        <v>0</v>
      </c>
      <c r="BO397" s="755">
        <f t="shared" si="166"/>
        <v>0</v>
      </c>
      <c r="BP397" s="339">
        <v>0</v>
      </c>
      <c r="BQ397" s="890">
        <f>IF(BN398=0,0,         IF(OR(Currency2="AUD",Currency1="NZD",Currency2="GBP"),BN397,   _xll.qDateNext(BN397,"-2b",,,IF(Currency2="EUR","TGT","LON"))))</f>
        <v>0</v>
      </c>
      <c r="BR397" s="879" t="str">
        <v/>
      </c>
      <c r="BS397" s="879" t="str">
        <v/>
      </c>
      <c r="BT397" s="879" t="str">
        <v/>
      </c>
      <c r="BU397" s="879" t="str">
        <v/>
      </c>
      <c r="BV397" s="879" t="str">
        <v/>
      </c>
      <c r="BW397" s="879" t="str">
        <v/>
      </c>
      <c r="BX397" s="879" t="str">
        <v/>
      </c>
      <c r="BY397" s="879" t="str">
        <v/>
      </c>
      <c r="BZ397" s="882">
        <f>IF($BN398=0,0,        _xll.qDateNext($BN397,BZ$17,$CG$16,TRUE,Currency2))</f>
        <v>0</v>
      </c>
      <c r="CA397" s="882">
        <f>IF($BN398=0,0,        _xll.qDateNext($BN397,CA$17,$CG$16,TRUE,Currency2))</f>
        <v>0</v>
      </c>
      <c r="CB397" s="882">
        <f>IF($BN398=0,0,        _xll.qDateNext($BN397,CB$17,$CG$16,TRUE,Currency2))</f>
        <v>0</v>
      </c>
      <c r="CC397" s="882">
        <f>IF($BN398=0,0,        _xll.qDateNext($BN397,CC$17,$CG$16,TRUE,Currency2))</f>
        <v>0</v>
      </c>
      <c r="CD397" s="882">
        <f>IF($BN398=0,0,        _xll.qDateNext($BN397,CD$17,$CG$16,TRUE,Currency2))</f>
        <v>0</v>
      </c>
      <c r="CE397" s="882">
        <f>IF($BN398=0,0,        _xll.qDateNext($BN397,CE$17,$CG$16,TRUE,Currency2))</f>
        <v>0</v>
      </c>
      <c r="CF397" s="882">
        <f>IF($BN398=0,0,        _xll.qDateNext($BN397,CF$17,$CG$16,TRUE,Currency2))</f>
        <v>0</v>
      </c>
      <c r="CG397" s="882">
        <f>IF($BN398=0,0,        _xll.qDateNext($BN397,CG$17,$CG$16,TRUE,Currency2))</f>
        <v>0</v>
      </c>
      <c r="CH397" s="886">
        <v>0</v>
      </c>
      <c r="CI397" s="886">
        <v>0</v>
      </c>
      <c r="CJ397" s="886">
        <v>0</v>
      </c>
      <c r="CK397" s="886">
        <v>0</v>
      </c>
      <c r="CL397" s="886">
        <f t="shared" si="189"/>
        <v>0</v>
      </c>
      <c r="CM397" s="886">
        <f t="shared" si="190"/>
        <v>0</v>
      </c>
      <c r="CN397" s="886">
        <v>0</v>
      </c>
      <c r="CO397" s="886">
        <v>0</v>
      </c>
      <c r="CP397" s="648">
        <f t="shared" si="167"/>
        <v>0</v>
      </c>
      <c r="CQ397" s="648">
        <f t="shared" si="168"/>
        <v>0</v>
      </c>
      <c r="CR397" s="648">
        <f t="shared" si="169"/>
        <v>0</v>
      </c>
      <c r="CS397" s="648">
        <f t="shared" si="170"/>
        <v>0</v>
      </c>
      <c r="CT397" s="648">
        <f t="shared" si="171"/>
        <v>0</v>
      </c>
      <c r="CU397" s="648">
        <f t="shared" si="172"/>
        <v>0</v>
      </c>
      <c r="CV397" s="648">
        <f t="shared" si="173"/>
        <v>0</v>
      </c>
      <c r="CW397" s="648">
        <f t="shared" si="174"/>
        <v>0</v>
      </c>
      <c r="CX397" s="634">
        <v>0</v>
      </c>
      <c r="CY397" s="616"/>
      <c r="CZ397" s="619">
        <f>IF(BN398=0,0,             IF(ISNUMBER(CY397),CY397,             IF(ISTEXT(CY397),INDEX(CP397:CW397,MATCH(CY397,$CP$17:$CW$17,0)),           IF(CX397="INT",_xll.qInterp(BN398,BZ397:CG397,CP397:CW397),       INDEX(CP397:CW397,MATCH(CX397,$CP$17:$CW$17,0))))))</f>
        <v>0</v>
      </c>
      <c r="DA397" s="755">
        <f t="shared" si="175"/>
        <v>0</v>
      </c>
      <c r="DB397" s="387">
        <f t="shared" si="176"/>
        <v>0</v>
      </c>
      <c r="DC397" s="268">
        <f>IF($BN398=0,0,         IF(LEFT(DCC_Leg2_Fixed,2)="1/",uEvaluate(DCC_Leg2_Fixed),         _xll.qDateYears($BN397,$BN398,DCC_Leg2_Fixed)))</f>
        <v>0</v>
      </c>
      <c r="DD397" s="268">
        <f>IF($BN398,_xll.qDateYears($BN397,$BN398,DCC_Leg2_Float),0)</f>
        <v>0</v>
      </c>
      <c r="DF397" s="332">
        <f t="shared" si="191"/>
        <v>0</v>
      </c>
      <c r="DG397" s="357">
        <f t="shared" si="192"/>
        <v>0</v>
      </c>
      <c r="DH397" s="527"/>
      <c r="DJ397" s="324">
        <f t="shared" si="194"/>
        <v>0</v>
      </c>
      <c r="DK397" s="529"/>
      <c r="DL397" s="338"/>
    </row>
    <row r="398" spans="15:116">
      <c r="O398" s="121">
        <v>0</v>
      </c>
      <c r="P398" s="755">
        <f t="shared" si="163"/>
        <v>0</v>
      </c>
      <c r="Q398" s="125">
        <v>0</v>
      </c>
      <c r="R398" s="890">
        <f>IF(O399=0,0,         IF(OR(Currency1="AUD",Currency1="NZD",Currency1="GBP"),O398,   _xll.qDateNext(O398,"-2b",,,IF(Currency1="EUR","TGT","LON"))))</f>
        <v>0</v>
      </c>
      <c r="S398" s="879" t="str">
        <v/>
      </c>
      <c r="T398" s="879" t="str">
        <v/>
      </c>
      <c r="U398" s="879" t="str">
        <v/>
      </c>
      <c r="V398" s="879" t="str">
        <v/>
      </c>
      <c r="W398" s="879" t="str">
        <v/>
      </c>
      <c r="X398" s="879" t="str">
        <v/>
      </c>
      <c r="Y398" s="879" t="str">
        <v/>
      </c>
      <c r="Z398" s="879" t="str">
        <v/>
      </c>
      <c r="AA398" s="882">
        <f>IF($O399=0,0,        _xll.qDateNext($O398,AA$17,$AH$16,TRUE,Currency1))</f>
        <v>0</v>
      </c>
      <c r="AB398" s="882">
        <f>IF($O399=0,0,        _xll.qDateNext($O398,AB$17,$AH$16,TRUE,Currency1))</f>
        <v>0</v>
      </c>
      <c r="AC398" s="882">
        <f>IF($O399=0,0,        _xll.qDateNext($O398,AC$17,$AH$16,TRUE,Currency1))</f>
        <v>0</v>
      </c>
      <c r="AD398" s="882">
        <f>IF($O399=0,0,        _xll.qDateNext($O398,AD$17,$AH$16,TRUE,Currency1))</f>
        <v>0</v>
      </c>
      <c r="AE398" s="882">
        <f>IF($O399=0,0,        _xll.qDateNext($O398,AE$17,$AH$16,TRUE,Currency1))</f>
        <v>0</v>
      </c>
      <c r="AF398" s="882">
        <f>IF($O399=0,0,        _xll.qDateNext($O398,AF$17,$AH$16,TRUE,Currency1))</f>
        <v>0</v>
      </c>
      <c r="AG398" s="882">
        <f>IF($O399=0,0,        _xll.qDateNext($O398,AG$17,$AH$16,TRUE,Currency1))</f>
        <v>0</v>
      </c>
      <c r="AH398" s="882">
        <f>IF($O399=0,0,        _xll.qDateNext($O398,AH$17,$AH$16,TRUE,Currency1))</f>
        <v>0</v>
      </c>
      <c r="AI398" s="886">
        <f>IF($O399=0,0,           IF(FRM,_xll.qGetFwdRate(AI$14,$O398,AA398,"T",DCC_Leg1_Float),_xll.qGetFwdRate(AI$14,$O398,$O399,"T",DCC_Leg1_Float)))</f>
        <v>0</v>
      </c>
      <c r="AJ398" s="886">
        <f>IF($O399=0,0,           IF(FRM,_xll.qGetFwdRate(AJ$14,$O398,AB398,"T",DCC_Leg1_Float),_xll.qGetFwdRate(AJ$14,$O398,$O399,"T",DCC_Leg1_Float)))</f>
        <v>0</v>
      </c>
      <c r="AK398" s="886">
        <f t="shared" si="164"/>
        <v>0</v>
      </c>
      <c r="AL398" s="886">
        <f>IF($O399=0,0,           IF(FRM,_xll.qGetFwdRate(AL$14,$O398,AD398,"T",DCC_Leg1_Float),_xll.qGetFwdRate(AL$14,$O398,$O399,"T",DCC_Leg1_Float)))</f>
        <v>0</v>
      </c>
      <c r="AM398" s="886">
        <f t="shared" si="177"/>
        <v>0</v>
      </c>
      <c r="AN398" s="886">
        <f t="shared" si="178"/>
        <v>0</v>
      </c>
      <c r="AO398" s="886">
        <f>IF($O399=0,0,           IF(FRM,_xll.qGetFwdRate(AO$14,$O398,AG398,"T",DCC_Leg1_Float),_xll.qGetFwdRate(AO$14,$O398,$O399,"T",DCC_Leg1_Float)))</f>
        <v>0</v>
      </c>
      <c r="AP398" s="886">
        <f>IF($O399=0,0,           IF(FRM,_xll.qGetFwdRate(AP$14,$O398,AH398,"T",DCC_Leg1_Float),_xll.qGetFwdRate(AP$14,$O398,$O399,"T",DCC_Leg1_Float)))</f>
        <v>0</v>
      </c>
      <c r="AQ398" s="648">
        <f t="shared" si="179"/>
        <v>0</v>
      </c>
      <c r="AR398" s="648">
        <f t="shared" si="180"/>
        <v>0</v>
      </c>
      <c r="AS398" s="648">
        <f t="shared" si="181"/>
        <v>0</v>
      </c>
      <c r="AT398" s="648">
        <f t="shared" si="182"/>
        <v>0</v>
      </c>
      <c r="AU398" s="648">
        <f t="shared" si="183"/>
        <v>0</v>
      </c>
      <c r="AV398" s="648">
        <f t="shared" si="184"/>
        <v>0</v>
      </c>
      <c r="AW398" s="648">
        <f t="shared" si="185"/>
        <v>0</v>
      </c>
      <c r="AX398" s="648">
        <f t="shared" si="186"/>
        <v>0</v>
      </c>
      <c r="AY398" s="634">
        <v>0</v>
      </c>
      <c r="AZ398" s="616"/>
      <c r="BA398" s="619">
        <f>IF(O399=0,0,             IF(ISNUMBER(AZ398),AZ398,             IF(ISTEXT(AZ398),INDEX(AQ398:AX398,MATCH(AZ398,$AQ$17:$AX$17,0)),           IF(AY398="INT",_xll.qInterp(O399,AA398:AH398,AQ398:AX398),       INDEX(AQ398:AX398,MATCH(AY398,$AQ$17:$AX$17,0))))))</f>
        <v>0</v>
      </c>
      <c r="BB398" s="674">
        <v>100</v>
      </c>
      <c r="BC398" s="666">
        <f t="shared" si="165"/>
        <v>0</v>
      </c>
      <c r="BD398" s="268">
        <f>IF($O399=0,0,                IF(LEFT(DCC_Leg1_Fixed,2)="1/",uEvaluate(DCC_Leg1_Fixed),        _xll.qDateYears($O398,$O399,DCC_Leg1_Fixed)))</f>
        <v>0</v>
      </c>
      <c r="BE398" s="268">
        <f>IF($O399,_xll.qDateYears($O398,$O399,DCC_Leg1_Float),0)</f>
        <v>0</v>
      </c>
      <c r="BG398" s="332">
        <f t="shared" si="187"/>
        <v>0</v>
      </c>
      <c r="BH398" s="357">
        <f t="shared" si="188"/>
        <v>0</v>
      </c>
      <c r="BI398" s="527"/>
      <c r="BK398" s="324">
        <f t="shared" si="193"/>
        <v>0</v>
      </c>
      <c r="BM398" s="338"/>
      <c r="BN398" s="121">
        <v>0</v>
      </c>
      <c r="BO398" s="755">
        <f t="shared" si="166"/>
        <v>0</v>
      </c>
      <c r="BP398" s="339">
        <v>0</v>
      </c>
      <c r="BQ398" s="890">
        <f>IF(BN399=0,0,         IF(OR(Currency2="AUD",Currency1="NZD",Currency2="GBP"),BN398,   _xll.qDateNext(BN398,"-2b",,,IF(Currency2="EUR","TGT","LON"))))</f>
        <v>0</v>
      </c>
      <c r="BR398" s="879" t="str">
        <v/>
      </c>
      <c r="BS398" s="879" t="str">
        <v/>
      </c>
      <c r="BT398" s="879" t="str">
        <v/>
      </c>
      <c r="BU398" s="879" t="str">
        <v/>
      </c>
      <c r="BV398" s="879" t="str">
        <v/>
      </c>
      <c r="BW398" s="879" t="str">
        <v/>
      </c>
      <c r="BX398" s="879" t="str">
        <v/>
      </c>
      <c r="BY398" s="879" t="str">
        <v/>
      </c>
      <c r="BZ398" s="882">
        <f>IF($BN399=0,0,        _xll.qDateNext($BN398,BZ$17,$CG$16,TRUE,Currency2))</f>
        <v>0</v>
      </c>
      <c r="CA398" s="882">
        <f>IF($BN399=0,0,        _xll.qDateNext($BN398,CA$17,$CG$16,TRUE,Currency2))</f>
        <v>0</v>
      </c>
      <c r="CB398" s="882">
        <f>IF($BN399=0,0,        _xll.qDateNext($BN398,CB$17,$CG$16,TRUE,Currency2))</f>
        <v>0</v>
      </c>
      <c r="CC398" s="882">
        <f>IF($BN399=0,0,        _xll.qDateNext($BN398,CC$17,$CG$16,TRUE,Currency2))</f>
        <v>0</v>
      </c>
      <c r="CD398" s="882">
        <f>IF($BN399=0,0,        _xll.qDateNext($BN398,CD$17,$CG$16,TRUE,Currency2))</f>
        <v>0</v>
      </c>
      <c r="CE398" s="882">
        <f>IF($BN399=0,0,        _xll.qDateNext($BN398,CE$17,$CG$16,TRUE,Currency2))</f>
        <v>0</v>
      </c>
      <c r="CF398" s="882">
        <f>IF($BN399=0,0,        _xll.qDateNext($BN398,CF$17,$CG$16,TRUE,Currency2))</f>
        <v>0</v>
      </c>
      <c r="CG398" s="882">
        <f>IF($BN399=0,0,        _xll.qDateNext($BN398,CG$17,$CG$16,TRUE,Currency2))</f>
        <v>0</v>
      </c>
      <c r="CH398" s="886">
        <v>0</v>
      </c>
      <c r="CI398" s="886">
        <v>0</v>
      </c>
      <c r="CJ398" s="886">
        <v>0</v>
      </c>
      <c r="CK398" s="886">
        <v>0</v>
      </c>
      <c r="CL398" s="886">
        <f t="shared" si="189"/>
        <v>0</v>
      </c>
      <c r="CM398" s="886">
        <f t="shared" si="190"/>
        <v>0</v>
      </c>
      <c r="CN398" s="886">
        <v>0</v>
      </c>
      <c r="CO398" s="886">
        <v>0</v>
      </c>
      <c r="CP398" s="648">
        <f t="shared" si="167"/>
        <v>0</v>
      </c>
      <c r="CQ398" s="648">
        <f t="shared" si="168"/>
        <v>0</v>
      </c>
      <c r="CR398" s="648">
        <f t="shared" si="169"/>
        <v>0</v>
      </c>
      <c r="CS398" s="648">
        <f t="shared" si="170"/>
        <v>0</v>
      </c>
      <c r="CT398" s="648">
        <f t="shared" si="171"/>
        <v>0</v>
      </c>
      <c r="CU398" s="648">
        <f t="shared" si="172"/>
        <v>0</v>
      </c>
      <c r="CV398" s="648">
        <f t="shared" si="173"/>
        <v>0</v>
      </c>
      <c r="CW398" s="648">
        <f t="shared" si="174"/>
        <v>0</v>
      </c>
      <c r="CX398" s="634">
        <v>0</v>
      </c>
      <c r="CY398" s="616"/>
      <c r="CZ398" s="619">
        <f>IF(BN399=0,0,             IF(ISNUMBER(CY398),CY398,             IF(ISTEXT(CY398),INDEX(CP398:CW398,MATCH(CY398,$CP$17:$CW$17,0)),           IF(CX398="INT",_xll.qInterp(BN399,BZ398:CG398,CP398:CW398),       INDEX(CP398:CW398,MATCH(CX398,$CP$17:$CW$17,0))))))</f>
        <v>0</v>
      </c>
      <c r="DA398" s="755">
        <f t="shared" si="175"/>
        <v>0</v>
      </c>
      <c r="DB398" s="387">
        <f t="shared" si="176"/>
        <v>0</v>
      </c>
      <c r="DC398" s="268">
        <f>IF($BN399=0,0,         IF(LEFT(DCC_Leg2_Fixed,2)="1/",uEvaluate(DCC_Leg2_Fixed),         _xll.qDateYears($BN398,$BN399,DCC_Leg2_Fixed)))</f>
        <v>0</v>
      </c>
      <c r="DD398" s="268">
        <f>IF($BN399,_xll.qDateYears($BN398,$BN399,DCC_Leg2_Float),0)</f>
        <v>0</v>
      </c>
      <c r="DF398" s="332">
        <f t="shared" si="191"/>
        <v>0</v>
      </c>
      <c r="DG398" s="357">
        <f t="shared" si="192"/>
        <v>0</v>
      </c>
      <c r="DH398" s="527"/>
      <c r="DJ398" s="324">
        <f t="shared" si="194"/>
        <v>0</v>
      </c>
      <c r="DK398" s="529"/>
      <c r="DL398" s="338"/>
    </row>
    <row r="399" spans="15:116">
      <c r="O399" s="121">
        <v>0</v>
      </c>
      <c r="P399" s="755">
        <f t="shared" si="163"/>
        <v>0</v>
      </c>
      <c r="Q399" s="125">
        <v>0</v>
      </c>
      <c r="R399" s="890">
        <f>IF(O400=0,0,         IF(OR(Currency1="AUD",Currency1="NZD",Currency1="GBP"),O399,   _xll.qDateNext(O399,"-2b",,,IF(Currency1="EUR","TGT","LON"))))</f>
        <v>0</v>
      </c>
      <c r="S399" s="879" t="str">
        <v/>
      </c>
      <c r="T399" s="879" t="str">
        <v/>
      </c>
      <c r="U399" s="879" t="str">
        <v/>
      </c>
      <c r="V399" s="879" t="str">
        <v/>
      </c>
      <c r="W399" s="879" t="str">
        <v/>
      </c>
      <c r="X399" s="879" t="str">
        <v/>
      </c>
      <c r="Y399" s="879" t="str">
        <v/>
      </c>
      <c r="Z399" s="879" t="str">
        <v/>
      </c>
      <c r="AA399" s="882">
        <f>IF($O400=0,0,        _xll.qDateNext($O399,AA$17,$AH$16,TRUE,Currency1))</f>
        <v>0</v>
      </c>
      <c r="AB399" s="882">
        <f>IF($O400=0,0,        _xll.qDateNext($O399,AB$17,$AH$16,TRUE,Currency1))</f>
        <v>0</v>
      </c>
      <c r="AC399" s="882">
        <f>IF($O400=0,0,        _xll.qDateNext($O399,AC$17,$AH$16,TRUE,Currency1))</f>
        <v>0</v>
      </c>
      <c r="AD399" s="882">
        <f>IF($O400=0,0,        _xll.qDateNext($O399,AD$17,$AH$16,TRUE,Currency1))</f>
        <v>0</v>
      </c>
      <c r="AE399" s="882">
        <f>IF($O400=0,0,        _xll.qDateNext($O399,AE$17,$AH$16,TRUE,Currency1))</f>
        <v>0</v>
      </c>
      <c r="AF399" s="882">
        <f>IF($O400=0,0,        _xll.qDateNext($O399,AF$17,$AH$16,TRUE,Currency1))</f>
        <v>0</v>
      </c>
      <c r="AG399" s="882">
        <f>IF($O400=0,0,        _xll.qDateNext($O399,AG$17,$AH$16,TRUE,Currency1))</f>
        <v>0</v>
      </c>
      <c r="AH399" s="882">
        <f>IF($O400=0,0,        _xll.qDateNext($O399,AH$17,$AH$16,TRUE,Currency1))</f>
        <v>0</v>
      </c>
      <c r="AI399" s="886">
        <f>IF($O400=0,0,           IF(FRM,_xll.qGetFwdRate(AI$14,$O399,AA399,"T",DCC_Leg1_Float),_xll.qGetFwdRate(AI$14,$O399,$O400,"T",DCC_Leg1_Float)))</f>
        <v>0</v>
      </c>
      <c r="AJ399" s="886">
        <f>IF($O400=0,0,           IF(FRM,_xll.qGetFwdRate(AJ$14,$O399,AB399,"T",DCC_Leg1_Float),_xll.qGetFwdRate(AJ$14,$O399,$O400,"T",DCC_Leg1_Float)))</f>
        <v>0</v>
      </c>
      <c r="AK399" s="886">
        <f t="shared" si="164"/>
        <v>0</v>
      </c>
      <c r="AL399" s="886">
        <f>IF($O400=0,0,           IF(FRM,_xll.qGetFwdRate(AL$14,$O399,AD399,"T",DCC_Leg1_Float),_xll.qGetFwdRate(AL$14,$O399,$O400,"T",DCC_Leg1_Float)))</f>
        <v>0</v>
      </c>
      <c r="AM399" s="886">
        <f t="shared" si="177"/>
        <v>0</v>
      </c>
      <c r="AN399" s="886">
        <f t="shared" si="178"/>
        <v>0</v>
      </c>
      <c r="AO399" s="886">
        <f>IF($O400=0,0,           IF(FRM,_xll.qGetFwdRate(AO$14,$O399,AG399,"T",DCC_Leg1_Float),_xll.qGetFwdRate(AO$14,$O399,$O400,"T",DCC_Leg1_Float)))</f>
        <v>0</v>
      </c>
      <c r="AP399" s="886">
        <f>IF($O400=0,0,           IF(FRM,_xll.qGetFwdRate(AP$14,$O399,AH399,"T",DCC_Leg1_Float),_xll.qGetFwdRate(AP$14,$O399,$O400,"T",DCC_Leg1_Float)))</f>
        <v>0</v>
      </c>
      <c r="AQ399" s="648">
        <f t="shared" si="179"/>
        <v>0</v>
      </c>
      <c r="AR399" s="648">
        <f t="shared" si="180"/>
        <v>0</v>
      </c>
      <c r="AS399" s="648">
        <f t="shared" si="181"/>
        <v>0</v>
      </c>
      <c r="AT399" s="648">
        <f t="shared" si="182"/>
        <v>0</v>
      </c>
      <c r="AU399" s="648">
        <f t="shared" si="183"/>
        <v>0</v>
      </c>
      <c r="AV399" s="648">
        <f t="shared" si="184"/>
        <v>0</v>
      </c>
      <c r="AW399" s="648">
        <f t="shared" si="185"/>
        <v>0</v>
      </c>
      <c r="AX399" s="648">
        <f t="shared" si="186"/>
        <v>0</v>
      </c>
      <c r="AY399" s="634">
        <v>0</v>
      </c>
      <c r="AZ399" s="616"/>
      <c r="BA399" s="619">
        <f>IF(O400=0,0,             IF(ISNUMBER(AZ399),AZ399,             IF(ISTEXT(AZ399),INDEX(AQ399:AX399,MATCH(AZ399,$AQ$17:$AX$17,0)),           IF(AY399="INT",_xll.qInterp(O400,AA399:AH399,AQ399:AX399),       INDEX(AQ399:AX399,MATCH(AY399,$AQ$17:$AX$17,0))))))</f>
        <v>0</v>
      </c>
      <c r="BB399" s="674">
        <v>100</v>
      </c>
      <c r="BC399" s="666">
        <f t="shared" si="165"/>
        <v>0</v>
      </c>
      <c r="BD399" s="268">
        <f>IF($O400=0,0,                IF(LEFT(DCC_Leg1_Fixed,2)="1/",uEvaluate(DCC_Leg1_Fixed),        _xll.qDateYears($O399,$O400,DCC_Leg1_Fixed)))</f>
        <v>0</v>
      </c>
      <c r="BE399" s="268">
        <f>IF($O400,_xll.qDateYears($O399,$O400,DCC_Leg1_Float),0)</f>
        <v>0</v>
      </c>
      <c r="BG399" s="332">
        <f t="shared" si="187"/>
        <v>0</v>
      </c>
      <c r="BH399" s="357">
        <f t="shared" si="188"/>
        <v>0</v>
      </c>
      <c r="BI399" s="527"/>
      <c r="BK399" s="324">
        <f t="shared" si="193"/>
        <v>0</v>
      </c>
      <c r="BM399" s="338"/>
      <c r="BN399" s="121">
        <v>0</v>
      </c>
      <c r="BO399" s="755">
        <f t="shared" si="166"/>
        <v>0</v>
      </c>
      <c r="BP399" s="339">
        <v>0</v>
      </c>
      <c r="BQ399" s="890">
        <f>IF(BN400=0,0,         IF(OR(Currency2="AUD",Currency1="NZD",Currency2="GBP"),BN399,   _xll.qDateNext(BN399,"-2b",,,IF(Currency2="EUR","TGT","LON"))))</f>
        <v>0</v>
      </c>
      <c r="BR399" s="879" t="str">
        <v/>
      </c>
      <c r="BS399" s="879" t="str">
        <v/>
      </c>
      <c r="BT399" s="879" t="str">
        <v/>
      </c>
      <c r="BU399" s="879" t="str">
        <v/>
      </c>
      <c r="BV399" s="879" t="str">
        <v/>
      </c>
      <c r="BW399" s="879" t="str">
        <v/>
      </c>
      <c r="BX399" s="879" t="str">
        <v/>
      </c>
      <c r="BY399" s="879" t="str">
        <v/>
      </c>
      <c r="BZ399" s="882">
        <f>IF($BN400=0,0,        _xll.qDateNext($BN399,BZ$17,$CG$16,TRUE,Currency2))</f>
        <v>0</v>
      </c>
      <c r="CA399" s="882">
        <f>IF($BN400=0,0,        _xll.qDateNext($BN399,CA$17,$CG$16,TRUE,Currency2))</f>
        <v>0</v>
      </c>
      <c r="CB399" s="882">
        <f>IF($BN400=0,0,        _xll.qDateNext($BN399,CB$17,$CG$16,TRUE,Currency2))</f>
        <v>0</v>
      </c>
      <c r="CC399" s="882">
        <f>IF($BN400=0,0,        _xll.qDateNext($BN399,CC$17,$CG$16,TRUE,Currency2))</f>
        <v>0</v>
      </c>
      <c r="CD399" s="882">
        <f>IF($BN400=0,0,        _xll.qDateNext($BN399,CD$17,$CG$16,TRUE,Currency2))</f>
        <v>0</v>
      </c>
      <c r="CE399" s="882">
        <f>IF($BN400=0,0,        _xll.qDateNext($BN399,CE$17,$CG$16,TRUE,Currency2))</f>
        <v>0</v>
      </c>
      <c r="CF399" s="882">
        <f>IF($BN400=0,0,        _xll.qDateNext($BN399,CF$17,$CG$16,TRUE,Currency2))</f>
        <v>0</v>
      </c>
      <c r="CG399" s="882">
        <f>IF($BN400=0,0,        _xll.qDateNext($BN399,CG$17,$CG$16,TRUE,Currency2))</f>
        <v>0</v>
      </c>
      <c r="CH399" s="886">
        <v>0</v>
      </c>
      <c r="CI399" s="886">
        <v>0</v>
      </c>
      <c r="CJ399" s="886">
        <v>0</v>
      </c>
      <c r="CK399" s="886">
        <v>0</v>
      </c>
      <c r="CL399" s="886">
        <f t="shared" si="189"/>
        <v>0</v>
      </c>
      <c r="CM399" s="886">
        <f t="shared" si="190"/>
        <v>0</v>
      </c>
      <c r="CN399" s="886">
        <v>0</v>
      </c>
      <c r="CO399" s="886">
        <v>0</v>
      </c>
      <c r="CP399" s="648">
        <f t="shared" si="167"/>
        <v>0</v>
      </c>
      <c r="CQ399" s="648">
        <f t="shared" si="168"/>
        <v>0</v>
      </c>
      <c r="CR399" s="648">
        <f t="shared" si="169"/>
        <v>0</v>
      </c>
      <c r="CS399" s="648">
        <f t="shared" si="170"/>
        <v>0</v>
      </c>
      <c r="CT399" s="648">
        <f t="shared" si="171"/>
        <v>0</v>
      </c>
      <c r="CU399" s="648">
        <f t="shared" si="172"/>
        <v>0</v>
      </c>
      <c r="CV399" s="648">
        <f t="shared" si="173"/>
        <v>0</v>
      </c>
      <c r="CW399" s="648">
        <f t="shared" si="174"/>
        <v>0</v>
      </c>
      <c r="CX399" s="634">
        <v>0</v>
      </c>
      <c r="CY399" s="616"/>
      <c r="CZ399" s="619">
        <f>IF(BN400=0,0,             IF(ISNUMBER(CY399),CY399,             IF(ISTEXT(CY399),INDEX(CP399:CW399,MATCH(CY399,$CP$17:$CW$17,0)),           IF(CX399="INT",_xll.qInterp(BN400,BZ399:CG399,CP399:CW399),       INDEX(CP399:CW399,MATCH(CX399,$CP$17:$CW$17,0))))))</f>
        <v>0</v>
      </c>
      <c r="DA399" s="755">
        <f t="shared" si="175"/>
        <v>0</v>
      </c>
      <c r="DB399" s="387">
        <f t="shared" si="176"/>
        <v>0</v>
      </c>
      <c r="DC399" s="268">
        <f>IF($BN400=0,0,         IF(LEFT(DCC_Leg2_Fixed,2)="1/",uEvaluate(DCC_Leg2_Fixed),         _xll.qDateYears($BN399,$BN400,DCC_Leg2_Fixed)))</f>
        <v>0</v>
      </c>
      <c r="DD399" s="268">
        <f>IF($BN400,_xll.qDateYears($BN399,$BN400,DCC_Leg2_Float),0)</f>
        <v>0</v>
      </c>
      <c r="DF399" s="332">
        <f t="shared" si="191"/>
        <v>0</v>
      </c>
      <c r="DG399" s="357">
        <f t="shared" si="192"/>
        <v>0</v>
      </c>
      <c r="DH399" s="527"/>
      <c r="DJ399" s="324">
        <f t="shared" si="194"/>
        <v>0</v>
      </c>
      <c r="DK399" s="529"/>
      <c r="DL399" s="338"/>
    </row>
    <row r="400" spans="15:116">
      <c r="O400" s="121">
        <v>0</v>
      </c>
      <c r="P400" s="755">
        <f t="shared" si="163"/>
        <v>0</v>
      </c>
      <c r="Q400" s="125">
        <v>0</v>
      </c>
      <c r="R400" s="890">
        <f>IF(O401=0,0,         IF(OR(Currency1="AUD",Currency1="NZD",Currency1="GBP"),O400,   _xll.qDateNext(O400,"-2b",,,IF(Currency1="EUR","TGT","LON"))))</f>
        <v>0</v>
      </c>
      <c r="S400" s="879" t="str">
        <v/>
      </c>
      <c r="T400" s="879" t="str">
        <v/>
      </c>
      <c r="U400" s="879" t="str">
        <v/>
      </c>
      <c r="V400" s="879" t="str">
        <v/>
      </c>
      <c r="W400" s="879" t="str">
        <v/>
      </c>
      <c r="X400" s="879" t="str">
        <v/>
      </c>
      <c r="Y400" s="879" t="str">
        <v/>
      </c>
      <c r="Z400" s="879" t="str">
        <v/>
      </c>
      <c r="AA400" s="882">
        <f>IF($O401=0,0,        _xll.qDateNext($O400,AA$17,$AH$16,TRUE,Currency1))</f>
        <v>0</v>
      </c>
      <c r="AB400" s="882">
        <f>IF($O401=0,0,        _xll.qDateNext($O400,AB$17,$AH$16,TRUE,Currency1))</f>
        <v>0</v>
      </c>
      <c r="AC400" s="882">
        <f>IF($O401=0,0,        _xll.qDateNext($O400,AC$17,$AH$16,TRUE,Currency1))</f>
        <v>0</v>
      </c>
      <c r="AD400" s="882">
        <f>IF($O401=0,0,        _xll.qDateNext($O400,AD$17,$AH$16,TRUE,Currency1))</f>
        <v>0</v>
      </c>
      <c r="AE400" s="882">
        <f>IF($O401=0,0,        _xll.qDateNext($O400,AE$17,$AH$16,TRUE,Currency1))</f>
        <v>0</v>
      </c>
      <c r="AF400" s="882">
        <f>IF($O401=0,0,        _xll.qDateNext($O400,AF$17,$AH$16,TRUE,Currency1))</f>
        <v>0</v>
      </c>
      <c r="AG400" s="882">
        <f>IF($O401=0,0,        _xll.qDateNext($O400,AG$17,$AH$16,TRUE,Currency1))</f>
        <v>0</v>
      </c>
      <c r="AH400" s="882">
        <f>IF($O401=0,0,        _xll.qDateNext($O400,AH$17,$AH$16,TRUE,Currency1))</f>
        <v>0</v>
      </c>
      <c r="AI400" s="886">
        <f>IF($O401=0,0,           IF(FRM,_xll.qGetFwdRate(AI$14,$O400,AA400,"T",DCC_Leg1_Float),_xll.qGetFwdRate(AI$14,$O400,$O401,"T",DCC_Leg1_Float)))</f>
        <v>0</v>
      </c>
      <c r="AJ400" s="886">
        <f>IF($O401=0,0,           IF(FRM,_xll.qGetFwdRate(AJ$14,$O400,AB400,"T",DCC_Leg1_Float),_xll.qGetFwdRate(AJ$14,$O400,$O401,"T",DCC_Leg1_Float)))</f>
        <v>0</v>
      </c>
      <c r="AK400" s="886">
        <f t="shared" si="164"/>
        <v>0</v>
      </c>
      <c r="AL400" s="886">
        <f>IF($O401=0,0,           IF(FRM,_xll.qGetFwdRate(AL$14,$O400,AD400,"T",DCC_Leg1_Float),_xll.qGetFwdRate(AL$14,$O400,$O401,"T",DCC_Leg1_Float)))</f>
        <v>0</v>
      </c>
      <c r="AM400" s="886">
        <f t="shared" si="177"/>
        <v>0</v>
      </c>
      <c r="AN400" s="886">
        <f t="shared" si="178"/>
        <v>0</v>
      </c>
      <c r="AO400" s="886">
        <f>IF($O401=0,0,           IF(FRM,_xll.qGetFwdRate(AO$14,$O400,AG400,"T",DCC_Leg1_Float),_xll.qGetFwdRate(AO$14,$O400,$O401,"T",DCC_Leg1_Float)))</f>
        <v>0</v>
      </c>
      <c r="AP400" s="886">
        <f>IF($O401=0,0,           IF(FRM,_xll.qGetFwdRate(AP$14,$O400,AH400,"T",DCC_Leg1_Float),_xll.qGetFwdRate(AP$14,$O400,$O401,"T",DCC_Leg1_Float)))</f>
        <v>0</v>
      </c>
      <c r="AQ400" s="648">
        <f t="shared" si="179"/>
        <v>0</v>
      </c>
      <c r="AR400" s="648">
        <f t="shared" si="180"/>
        <v>0</v>
      </c>
      <c r="AS400" s="648">
        <f t="shared" si="181"/>
        <v>0</v>
      </c>
      <c r="AT400" s="648">
        <f t="shared" si="182"/>
        <v>0</v>
      </c>
      <c r="AU400" s="648">
        <f t="shared" si="183"/>
        <v>0</v>
      </c>
      <c r="AV400" s="648">
        <f t="shared" si="184"/>
        <v>0</v>
      </c>
      <c r="AW400" s="648">
        <f t="shared" si="185"/>
        <v>0</v>
      </c>
      <c r="AX400" s="648">
        <f t="shared" si="186"/>
        <v>0</v>
      </c>
      <c r="AY400" s="634">
        <v>0</v>
      </c>
      <c r="AZ400" s="616"/>
      <c r="BA400" s="619">
        <f>IF(O401=0,0,             IF(ISNUMBER(AZ400),AZ400,             IF(ISTEXT(AZ400),INDEX(AQ400:AX400,MATCH(AZ400,$AQ$17:$AX$17,0)),           IF(AY400="INT",_xll.qInterp(O401,AA400:AH400,AQ400:AX400),       INDEX(AQ400:AX400,MATCH(AY400,$AQ$17:$AX$17,0))))))</f>
        <v>0</v>
      </c>
      <c r="BB400" s="674">
        <v>100</v>
      </c>
      <c r="BC400" s="666">
        <f t="shared" si="165"/>
        <v>0</v>
      </c>
      <c r="BD400" s="268">
        <f>IF($O401=0,0,                IF(LEFT(DCC_Leg1_Fixed,2)="1/",uEvaluate(DCC_Leg1_Fixed),        _xll.qDateYears($O400,$O401,DCC_Leg1_Fixed)))</f>
        <v>0</v>
      </c>
      <c r="BE400" s="268">
        <f>IF($O401,_xll.qDateYears($O400,$O401,DCC_Leg1_Float),0)</f>
        <v>0</v>
      </c>
      <c r="BG400" s="332">
        <f t="shared" si="187"/>
        <v>0</v>
      </c>
      <c r="BH400" s="357">
        <f t="shared" si="188"/>
        <v>0</v>
      </c>
      <c r="BI400" s="527"/>
      <c r="BK400" s="324">
        <f t="shared" si="193"/>
        <v>0</v>
      </c>
      <c r="BM400" s="338"/>
      <c r="BN400" s="121">
        <v>0</v>
      </c>
      <c r="BO400" s="755">
        <f t="shared" si="166"/>
        <v>0</v>
      </c>
      <c r="BP400" s="339">
        <v>0</v>
      </c>
      <c r="BQ400" s="890">
        <f>IF(BN401=0,0,         IF(OR(Currency2="AUD",Currency1="NZD",Currency2="GBP"),BN400,   _xll.qDateNext(BN400,"-2b",,,IF(Currency2="EUR","TGT","LON"))))</f>
        <v>0</v>
      </c>
      <c r="BR400" s="879" t="str">
        <v/>
      </c>
      <c r="BS400" s="879" t="str">
        <v/>
      </c>
      <c r="BT400" s="879" t="str">
        <v/>
      </c>
      <c r="BU400" s="879" t="str">
        <v/>
      </c>
      <c r="BV400" s="879" t="str">
        <v/>
      </c>
      <c r="BW400" s="879" t="str">
        <v/>
      </c>
      <c r="BX400" s="879" t="str">
        <v/>
      </c>
      <c r="BY400" s="879" t="str">
        <v/>
      </c>
      <c r="BZ400" s="882">
        <f>IF($BN401=0,0,        _xll.qDateNext($BN400,BZ$17,$CG$16,TRUE,Currency2))</f>
        <v>0</v>
      </c>
      <c r="CA400" s="882">
        <f>IF($BN401=0,0,        _xll.qDateNext($BN400,CA$17,$CG$16,TRUE,Currency2))</f>
        <v>0</v>
      </c>
      <c r="CB400" s="882">
        <f>IF($BN401=0,0,        _xll.qDateNext($BN400,CB$17,$CG$16,TRUE,Currency2))</f>
        <v>0</v>
      </c>
      <c r="CC400" s="882">
        <f>IF($BN401=0,0,        _xll.qDateNext($BN400,CC$17,$CG$16,TRUE,Currency2))</f>
        <v>0</v>
      </c>
      <c r="CD400" s="882">
        <f>IF($BN401=0,0,        _xll.qDateNext($BN400,CD$17,$CG$16,TRUE,Currency2))</f>
        <v>0</v>
      </c>
      <c r="CE400" s="882">
        <f>IF($BN401=0,0,        _xll.qDateNext($BN400,CE$17,$CG$16,TRUE,Currency2))</f>
        <v>0</v>
      </c>
      <c r="CF400" s="882">
        <f>IF($BN401=0,0,        _xll.qDateNext($BN400,CF$17,$CG$16,TRUE,Currency2))</f>
        <v>0</v>
      </c>
      <c r="CG400" s="882">
        <f>IF($BN401=0,0,        _xll.qDateNext($BN400,CG$17,$CG$16,TRUE,Currency2))</f>
        <v>0</v>
      </c>
      <c r="CH400" s="886">
        <v>0</v>
      </c>
      <c r="CI400" s="886">
        <v>0</v>
      </c>
      <c r="CJ400" s="886">
        <v>0</v>
      </c>
      <c r="CK400" s="886">
        <v>0</v>
      </c>
      <c r="CL400" s="886">
        <f t="shared" si="189"/>
        <v>0</v>
      </c>
      <c r="CM400" s="886">
        <f t="shared" si="190"/>
        <v>0</v>
      </c>
      <c r="CN400" s="886">
        <v>0</v>
      </c>
      <c r="CO400" s="886">
        <v>0</v>
      </c>
      <c r="CP400" s="648">
        <f t="shared" si="167"/>
        <v>0</v>
      </c>
      <c r="CQ400" s="648">
        <f t="shared" si="168"/>
        <v>0</v>
      </c>
      <c r="CR400" s="648">
        <f t="shared" si="169"/>
        <v>0</v>
      </c>
      <c r="CS400" s="648">
        <f t="shared" si="170"/>
        <v>0</v>
      </c>
      <c r="CT400" s="648">
        <f t="shared" si="171"/>
        <v>0</v>
      </c>
      <c r="CU400" s="648">
        <f t="shared" si="172"/>
        <v>0</v>
      </c>
      <c r="CV400" s="648">
        <f t="shared" si="173"/>
        <v>0</v>
      </c>
      <c r="CW400" s="648">
        <f t="shared" si="174"/>
        <v>0</v>
      </c>
      <c r="CX400" s="634">
        <v>0</v>
      </c>
      <c r="CY400" s="616"/>
      <c r="CZ400" s="619">
        <f>IF(BN401=0,0,             IF(ISNUMBER(CY400),CY400,             IF(ISTEXT(CY400),INDEX(CP400:CW400,MATCH(CY400,$CP$17:$CW$17,0)),           IF(CX400="INT",_xll.qInterp(BN401,BZ400:CG400,CP400:CW400),       INDEX(CP400:CW400,MATCH(CX400,$CP$17:$CW$17,0))))))</f>
        <v>0</v>
      </c>
      <c r="DA400" s="755">
        <f t="shared" si="175"/>
        <v>0</v>
      </c>
      <c r="DB400" s="387">
        <f t="shared" si="176"/>
        <v>0</v>
      </c>
      <c r="DC400" s="268">
        <f>IF($BN401=0,0,         IF(LEFT(DCC_Leg2_Fixed,2)="1/",uEvaluate(DCC_Leg2_Fixed),         _xll.qDateYears($BN400,$BN401,DCC_Leg2_Fixed)))</f>
        <v>0</v>
      </c>
      <c r="DD400" s="268">
        <f>IF($BN401,_xll.qDateYears($BN400,$BN401,DCC_Leg2_Float),0)</f>
        <v>0</v>
      </c>
      <c r="DF400" s="332">
        <f t="shared" si="191"/>
        <v>0</v>
      </c>
      <c r="DG400" s="357">
        <f t="shared" si="192"/>
        <v>0</v>
      </c>
      <c r="DH400" s="527"/>
      <c r="DJ400" s="324">
        <f t="shared" si="194"/>
        <v>0</v>
      </c>
      <c r="DK400" s="529"/>
      <c r="DL400" s="338"/>
    </row>
    <row r="401" spans="15:116">
      <c r="O401" s="121">
        <v>0</v>
      </c>
      <c r="P401" s="755">
        <f t="shared" si="163"/>
        <v>0</v>
      </c>
      <c r="Q401" s="125">
        <v>0</v>
      </c>
      <c r="R401" s="890">
        <f>IF(O402=0,0,         IF(OR(Currency1="AUD",Currency1="NZD",Currency1="GBP"),O401,   _xll.qDateNext(O401,"-2b",,,IF(Currency1="EUR","TGT","LON"))))</f>
        <v>0</v>
      </c>
      <c r="S401" s="879" t="str">
        <v/>
      </c>
      <c r="T401" s="879" t="str">
        <v/>
      </c>
      <c r="U401" s="879" t="str">
        <v/>
      </c>
      <c r="V401" s="879" t="str">
        <v/>
      </c>
      <c r="W401" s="879" t="str">
        <v/>
      </c>
      <c r="X401" s="879" t="str">
        <v/>
      </c>
      <c r="Y401" s="879" t="str">
        <v/>
      </c>
      <c r="Z401" s="879" t="str">
        <v/>
      </c>
      <c r="AA401" s="882">
        <f>IF($O402=0,0,        _xll.qDateNext($O401,AA$17,$AH$16,TRUE,Currency1))</f>
        <v>0</v>
      </c>
      <c r="AB401" s="882">
        <f>IF($O402=0,0,        _xll.qDateNext($O401,AB$17,$AH$16,TRUE,Currency1))</f>
        <v>0</v>
      </c>
      <c r="AC401" s="882">
        <f>IF($O402=0,0,        _xll.qDateNext($O401,AC$17,$AH$16,TRUE,Currency1))</f>
        <v>0</v>
      </c>
      <c r="AD401" s="882">
        <f>IF($O402=0,0,        _xll.qDateNext($O401,AD$17,$AH$16,TRUE,Currency1))</f>
        <v>0</v>
      </c>
      <c r="AE401" s="882">
        <f>IF($O402=0,0,        _xll.qDateNext($O401,AE$17,$AH$16,TRUE,Currency1))</f>
        <v>0</v>
      </c>
      <c r="AF401" s="882">
        <f>IF($O402=0,0,        _xll.qDateNext($O401,AF$17,$AH$16,TRUE,Currency1))</f>
        <v>0</v>
      </c>
      <c r="AG401" s="882">
        <f>IF($O402=0,0,        _xll.qDateNext($O401,AG$17,$AH$16,TRUE,Currency1))</f>
        <v>0</v>
      </c>
      <c r="AH401" s="882">
        <f>IF($O402=0,0,        _xll.qDateNext($O401,AH$17,$AH$16,TRUE,Currency1))</f>
        <v>0</v>
      </c>
      <c r="AI401" s="886">
        <f>IF($O402=0,0,           IF(FRM,_xll.qGetFwdRate(AI$14,$O401,AA401,"T",DCC_Leg1_Float),_xll.qGetFwdRate(AI$14,$O401,$O402,"T",DCC_Leg1_Float)))</f>
        <v>0</v>
      </c>
      <c r="AJ401" s="886">
        <f>IF($O402=0,0,           IF(FRM,_xll.qGetFwdRate(AJ$14,$O401,AB401,"T",DCC_Leg1_Float),_xll.qGetFwdRate(AJ$14,$O401,$O402,"T",DCC_Leg1_Float)))</f>
        <v>0</v>
      </c>
      <c r="AK401" s="886">
        <f t="shared" si="164"/>
        <v>0</v>
      </c>
      <c r="AL401" s="886">
        <f>IF($O402=0,0,           IF(FRM,_xll.qGetFwdRate(AL$14,$O401,AD401,"T",DCC_Leg1_Float),_xll.qGetFwdRate(AL$14,$O401,$O402,"T",DCC_Leg1_Float)))</f>
        <v>0</v>
      </c>
      <c r="AM401" s="886">
        <f t="shared" si="177"/>
        <v>0</v>
      </c>
      <c r="AN401" s="886">
        <f t="shared" si="178"/>
        <v>0</v>
      </c>
      <c r="AO401" s="886">
        <f>IF($O402=0,0,           IF(FRM,_xll.qGetFwdRate(AO$14,$O401,AG401,"T",DCC_Leg1_Float),_xll.qGetFwdRate(AO$14,$O401,$O402,"T",DCC_Leg1_Float)))</f>
        <v>0</v>
      </c>
      <c r="AP401" s="886">
        <f>IF($O402=0,0,           IF(FRM,_xll.qGetFwdRate(AP$14,$O401,AH401,"T",DCC_Leg1_Float),_xll.qGetFwdRate(AP$14,$O401,$O402,"T",DCC_Leg1_Float)))</f>
        <v>0</v>
      </c>
      <c r="AQ401" s="648">
        <f t="shared" si="179"/>
        <v>0</v>
      </c>
      <c r="AR401" s="648">
        <f t="shared" si="180"/>
        <v>0</v>
      </c>
      <c r="AS401" s="648">
        <f t="shared" si="181"/>
        <v>0</v>
      </c>
      <c r="AT401" s="648">
        <f t="shared" si="182"/>
        <v>0</v>
      </c>
      <c r="AU401" s="648">
        <f t="shared" si="183"/>
        <v>0</v>
      </c>
      <c r="AV401" s="648">
        <f t="shared" si="184"/>
        <v>0</v>
      </c>
      <c r="AW401" s="648">
        <f t="shared" si="185"/>
        <v>0</v>
      </c>
      <c r="AX401" s="648">
        <f t="shared" si="186"/>
        <v>0</v>
      </c>
      <c r="AY401" s="634">
        <v>0</v>
      </c>
      <c r="AZ401" s="616"/>
      <c r="BA401" s="619">
        <f>IF(O402=0,0,             IF(ISNUMBER(AZ401),AZ401,             IF(ISTEXT(AZ401),INDEX(AQ401:AX401,MATCH(AZ401,$AQ$17:$AX$17,0)),           IF(AY401="INT",_xll.qInterp(O402,AA401:AH401,AQ401:AX401),       INDEX(AQ401:AX401,MATCH(AY401,$AQ$17:$AX$17,0))))))</f>
        <v>0</v>
      </c>
      <c r="BB401" s="674">
        <v>100</v>
      </c>
      <c r="BC401" s="666">
        <f t="shared" si="165"/>
        <v>0</v>
      </c>
      <c r="BD401" s="268">
        <f>IF($O402=0,0,                IF(LEFT(DCC_Leg1_Fixed,2)="1/",uEvaluate(DCC_Leg1_Fixed),        _xll.qDateYears($O401,$O402,DCC_Leg1_Fixed)))</f>
        <v>0</v>
      </c>
      <c r="BE401" s="268">
        <f>IF($O402,_xll.qDateYears($O401,$O402,DCC_Leg1_Float),0)</f>
        <v>0</v>
      </c>
      <c r="BG401" s="332">
        <f t="shared" si="187"/>
        <v>0</v>
      </c>
      <c r="BH401" s="357">
        <f t="shared" si="188"/>
        <v>0</v>
      </c>
      <c r="BI401" s="527"/>
      <c r="BK401" s="324">
        <f t="shared" si="193"/>
        <v>0</v>
      </c>
      <c r="BM401" s="338"/>
      <c r="BN401" s="121">
        <v>0</v>
      </c>
      <c r="BO401" s="755">
        <f t="shared" si="166"/>
        <v>0</v>
      </c>
      <c r="BP401" s="339">
        <v>0</v>
      </c>
      <c r="BQ401" s="890">
        <f>IF(BN402=0,0,         IF(OR(Currency2="AUD",Currency1="NZD",Currency2="GBP"),BN401,   _xll.qDateNext(BN401,"-2b",,,IF(Currency2="EUR","TGT","LON"))))</f>
        <v>0</v>
      </c>
      <c r="BR401" s="879" t="str">
        <v/>
      </c>
      <c r="BS401" s="879" t="str">
        <v/>
      </c>
      <c r="BT401" s="879" t="str">
        <v/>
      </c>
      <c r="BU401" s="879" t="str">
        <v/>
      </c>
      <c r="BV401" s="879" t="str">
        <v/>
      </c>
      <c r="BW401" s="879" t="str">
        <v/>
      </c>
      <c r="BX401" s="879" t="str">
        <v/>
      </c>
      <c r="BY401" s="879" t="str">
        <v/>
      </c>
      <c r="BZ401" s="882">
        <f>IF($BN402=0,0,        _xll.qDateNext($BN401,BZ$17,$CG$16,TRUE,Currency2))</f>
        <v>0</v>
      </c>
      <c r="CA401" s="882">
        <f>IF($BN402=0,0,        _xll.qDateNext($BN401,CA$17,$CG$16,TRUE,Currency2))</f>
        <v>0</v>
      </c>
      <c r="CB401" s="882">
        <f>IF($BN402=0,0,        _xll.qDateNext($BN401,CB$17,$CG$16,TRUE,Currency2))</f>
        <v>0</v>
      </c>
      <c r="CC401" s="882">
        <f>IF($BN402=0,0,        _xll.qDateNext($BN401,CC$17,$CG$16,TRUE,Currency2))</f>
        <v>0</v>
      </c>
      <c r="CD401" s="882">
        <f>IF($BN402=0,0,        _xll.qDateNext($BN401,CD$17,$CG$16,TRUE,Currency2))</f>
        <v>0</v>
      </c>
      <c r="CE401" s="882">
        <f>IF($BN402=0,0,        _xll.qDateNext($BN401,CE$17,$CG$16,TRUE,Currency2))</f>
        <v>0</v>
      </c>
      <c r="CF401" s="882">
        <f>IF($BN402=0,0,        _xll.qDateNext($BN401,CF$17,$CG$16,TRUE,Currency2))</f>
        <v>0</v>
      </c>
      <c r="CG401" s="882">
        <f>IF($BN402=0,0,        _xll.qDateNext($BN401,CG$17,$CG$16,TRUE,Currency2))</f>
        <v>0</v>
      </c>
      <c r="CH401" s="886">
        <v>0</v>
      </c>
      <c r="CI401" s="886">
        <v>0</v>
      </c>
      <c r="CJ401" s="886">
        <v>0</v>
      </c>
      <c r="CK401" s="886">
        <v>0</v>
      </c>
      <c r="CL401" s="886">
        <f t="shared" si="189"/>
        <v>0</v>
      </c>
      <c r="CM401" s="886">
        <f t="shared" si="190"/>
        <v>0</v>
      </c>
      <c r="CN401" s="886">
        <v>0</v>
      </c>
      <c r="CO401" s="886">
        <v>0</v>
      </c>
      <c r="CP401" s="648">
        <f t="shared" si="167"/>
        <v>0</v>
      </c>
      <c r="CQ401" s="648">
        <f t="shared" si="168"/>
        <v>0</v>
      </c>
      <c r="CR401" s="648">
        <f t="shared" si="169"/>
        <v>0</v>
      </c>
      <c r="CS401" s="648">
        <f t="shared" si="170"/>
        <v>0</v>
      </c>
      <c r="CT401" s="648">
        <f t="shared" si="171"/>
        <v>0</v>
      </c>
      <c r="CU401" s="648">
        <f t="shared" si="172"/>
        <v>0</v>
      </c>
      <c r="CV401" s="648">
        <f t="shared" si="173"/>
        <v>0</v>
      </c>
      <c r="CW401" s="648">
        <f t="shared" si="174"/>
        <v>0</v>
      </c>
      <c r="CX401" s="634">
        <v>0</v>
      </c>
      <c r="CY401" s="616"/>
      <c r="CZ401" s="619">
        <f>IF(BN402=0,0,             IF(ISNUMBER(CY401),CY401,             IF(ISTEXT(CY401),INDEX(CP401:CW401,MATCH(CY401,$CP$17:$CW$17,0)),           IF(CX401="INT",_xll.qInterp(BN402,BZ401:CG401,CP401:CW401),       INDEX(CP401:CW401,MATCH(CX401,$CP$17:$CW$17,0))))))</f>
        <v>0</v>
      </c>
      <c r="DA401" s="755">
        <f t="shared" si="175"/>
        <v>0</v>
      </c>
      <c r="DB401" s="387">
        <f t="shared" si="176"/>
        <v>0</v>
      </c>
      <c r="DC401" s="268">
        <f>IF($BN402=0,0,         IF(LEFT(DCC_Leg2_Fixed,2)="1/",uEvaluate(DCC_Leg2_Fixed),         _xll.qDateYears($BN401,$BN402,DCC_Leg2_Fixed)))</f>
        <v>0</v>
      </c>
      <c r="DD401" s="268">
        <f>IF($BN402,_xll.qDateYears($BN401,$BN402,DCC_Leg2_Float),0)</f>
        <v>0</v>
      </c>
      <c r="DF401" s="332">
        <f t="shared" si="191"/>
        <v>0</v>
      </c>
      <c r="DG401" s="357">
        <f t="shared" si="192"/>
        <v>0</v>
      </c>
      <c r="DH401" s="527"/>
      <c r="DJ401" s="324">
        <f t="shared" si="194"/>
        <v>0</v>
      </c>
      <c r="DK401" s="529"/>
      <c r="DL401" s="338"/>
    </row>
    <row r="402" spans="15:116">
      <c r="O402" s="121">
        <v>0</v>
      </c>
      <c r="P402" s="755">
        <f t="shared" ref="P402:P465" si="195">IF(O403,O403-O402,0)</f>
        <v>0</v>
      </c>
      <c r="Q402" s="125">
        <v>0</v>
      </c>
      <c r="R402" s="890">
        <f>IF(O403=0,0,         IF(OR(Currency1="AUD",Currency1="NZD",Currency1="GBP"),O402,   _xll.qDateNext(O402,"-2b",,,IF(Currency1="EUR","TGT","LON"))))</f>
        <v>0</v>
      </c>
      <c r="S402" s="879" t="str">
        <v/>
      </c>
      <c r="T402" s="879" t="str">
        <v/>
      </c>
      <c r="U402" s="879" t="str">
        <v/>
      </c>
      <c r="V402" s="879" t="str">
        <v/>
      </c>
      <c r="W402" s="879" t="str">
        <v/>
      </c>
      <c r="X402" s="879" t="str">
        <v/>
      </c>
      <c r="Y402" s="879" t="str">
        <v/>
      </c>
      <c r="Z402" s="879" t="str">
        <v/>
      </c>
      <c r="AA402" s="882">
        <f>IF($O403=0,0,        _xll.qDateNext($O402,AA$17,$AH$16,TRUE,Currency1))</f>
        <v>0</v>
      </c>
      <c r="AB402" s="882">
        <f>IF($O403=0,0,        _xll.qDateNext($O402,AB$17,$AH$16,TRUE,Currency1))</f>
        <v>0</v>
      </c>
      <c r="AC402" s="882">
        <f>IF($O403=0,0,        _xll.qDateNext($O402,AC$17,$AH$16,TRUE,Currency1))</f>
        <v>0</v>
      </c>
      <c r="AD402" s="882">
        <f>IF($O403=0,0,        _xll.qDateNext($O402,AD$17,$AH$16,TRUE,Currency1))</f>
        <v>0</v>
      </c>
      <c r="AE402" s="882">
        <f>IF($O403=0,0,        _xll.qDateNext($O402,AE$17,$AH$16,TRUE,Currency1))</f>
        <v>0</v>
      </c>
      <c r="AF402" s="882">
        <f>IF($O403=0,0,        _xll.qDateNext($O402,AF$17,$AH$16,TRUE,Currency1))</f>
        <v>0</v>
      </c>
      <c r="AG402" s="882">
        <f>IF($O403=0,0,        _xll.qDateNext($O402,AG$17,$AH$16,TRUE,Currency1))</f>
        <v>0</v>
      </c>
      <c r="AH402" s="882">
        <f>IF($O403=0,0,        _xll.qDateNext($O402,AH$17,$AH$16,TRUE,Currency1))</f>
        <v>0</v>
      </c>
      <c r="AI402" s="886">
        <f>IF($O403=0,0,           IF(FRM,_xll.qGetFwdRate(AI$14,$O402,AA402,"T",DCC_Leg1_Float),_xll.qGetFwdRate(AI$14,$O402,$O403,"T",DCC_Leg1_Float)))</f>
        <v>0</v>
      </c>
      <c r="AJ402" s="886">
        <f>IF($O403=0,0,           IF(FRM,_xll.qGetFwdRate(AJ$14,$O402,AB402,"T",DCC_Leg1_Float),_xll.qGetFwdRate(AJ$14,$O402,$O403,"T",DCC_Leg1_Float)))</f>
        <v>0</v>
      </c>
      <c r="AK402" s="886">
        <f t="shared" ref="AK402:AK465" si="196">AVERAGE(AJ402,AL402)</f>
        <v>0</v>
      </c>
      <c r="AL402" s="886">
        <f>IF($O403=0,0,           IF(FRM,_xll.qGetFwdRate(AL$14,$O402,AD402,"T",DCC_Leg1_Float),_xll.qGetFwdRate(AL$14,$O402,$O403,"T",DCC_Leg1_Float)))</f>
        <v>0</v>
      </c>
      <c r="AM402" s="886">
        <f t="shared" si="177"/>
        <v>0</v>
      </c>
      <c r="AN402" s="886">
        <f t="shared" si="178"/>
        <v>0</v>
      </c>
      <c r="AO402" s="886">
        <f>IF($O403=0,0,           IF(FRM,_xll.qGetFwdRate(AO$14,$O402,AG402,"T",DCC_Leg1_Float),_xll.qGetFwdRate(AO$14,$O402,$O403,"T",DCC_Leg1_Float)))</f>
        <v>0</v>
      </c>
      <c r="AP402" s="886">
        <f>IF($O403=0,0,           IF(FRM,_xll.qGetFwdRate(AP$14,$O402,AH402,"T",DCC_Leg1_Float),_xll.qGetFwdRate(AP$14,$O402,$O403,"T",DCC_Leg1_Float)))</f>
        <v>0</v>
      </c>
      <c r="AQ402" s="648">
        <f t="shared" si="179"/>
        <v>0</v>
      </c>
      <c r="AR402" s="648">
        <f t="shared" si="180"/>
        <v>0</v>
      </c>
      <c r="AS402" s="648">
        <f t="shared" si="181"/>
        <v>0</v>
      </c>
      <c r="AT402" s="648">
        <f t="shared" si="182"/>
        <v>0</v>
      </c>
      <c r="AU402" s="648">
        <f t="shared" si="183"/>
        <v>0</v>
      </c>
      <c r="AV402" s="648">
        <f t="shared" si="184"/>
        <v>0</v>
      </c>
      <c r="AW402" s="648">
        <f t="shared" si="185"/>
        <v>0</v>
      </c>
      <c r="AX402" s="648">
        <f t="shared" si="186"/>
        <v>0</v>
      </c>
      <c r="AY402" s="634">
        <v>0</v>
      </c>
      <c r="AZ402" s="616"/>
      <c r="BA402" s="619">
        <f>IF(O403=0,0,             IF(ISNUMBER(AZ402),AZ402,             IF(ISTEXT(AZ402),INDEX(AQ402:AX402,MATCH(AZ402,$AQ$17:$AX$17,0)),           IF(AY402="INT",_xll.qInterp(O403,AA402:AH402,AQ402:AX402),       INDEX(AQ402:AX402,MATCH(AY402,$AQ$17:$AX$17,0))))))</f>
        <v>0</v>
      </c>
      <c r="BB402" s="674">
        <v>100</v>
      </c>
      <c r="BC402" s="666">
        <f t="shared" ref="BC402:BC465" si="197">IF(O403,BB402*1000000*$BE$11,0)</f>
        <v>0</v>
      </c>
      <c r="BD402" s="268">
        <f>IF($O403=0,0,                IF(LEFT(DCC_Leg1_Fixed,2)="1/",uEvaluate(DCC_Leg1_Fixed),        _xll.qDateYears($O402,$O403,DCC_Leg1_Fixed)))</f>
        <v>0</v>
      </c>
      <c r="BE402" s="268">
        <f>IF($O403,_xll.qDateYears($O402,$O403,DCC_Leg1_Float),0)</f>
        <v>0</v>
      </c>
      <c r="BG402" s="332">
        <f t="shared" si="187"/>
        <v>0</v>
      </c>
      <c r="BH402" s="357">
        <f t="shared" si="188"/>
        <v>0</v>
      </c>
      <c r="BI402" s="527"/>
      <c r="BK402" s="324">
        <f t="shared" si="193"/>
        <v>0</v>
      </c>
      <c r="BM402" s="338"/>
      <c r="BN402" s="121">
        <v>0</v>
      </c>
      <c r="BO402" s="755">
        <f t="shared" ref="BO402:BO465" si="198">IF(BN403,BN403-BN402,0)</f>
        <v>0</v>
      </c>
      <c r="BP402" s="339">
        <v>0</v>
      </c>
      <c r="BQ402" s="890">
        <f>IF(BN403=0,0,         IF(OR(Currency2="AUD",Currency1="NZD",Currency2="GBP"),BN402,   _xll.qDateNext(BN402,"-2b",,,IF(Currency2="EUR","TGT","LON"))))</f>
        <v>0</v>
      </c>
      <c r="BR402" s="879" t="str">
        <v/>
      </c>
      <c r="BS402" s="879" t="str">
        <v/>
      </c>
      <c r="BT402" s="879" t="str">
        <v/>
      </c>
      <c r="BU402" s="879" t="str">
        <v/>
      </c>
      <c r="BV402" s="879" t="str">
        <v/>
      </c>
      <c r="BW402" s="879" t="str">
        <v/>
      </c>
      <c r="BX402" s="879" t="str">
        <v/>
      </c>
      <c r="BY402" s="879" t="str">
        <v/>
      </c>
      <c r="BZ402" s="882">
        <f>IF($BN403=0,0,        _xll.qDateNext($BN402,BZ$17,$CG$16,TRUE,Currency2))</f>
        <v>0</v>
      </c>
      <c r="CA402" s="882">
        <f>IF($BN403=0,0,        _xll.qDateNext($BN402,CA$17,$CG$16,TRUE,Currency2))</f>
        <v>0</v>
      </c>
      <c r="CB402" s="882">
        <f>IF($BN403=0,0,        _xll.qDateNext($BN402,CB$17,$CG$16,TRUE,Currency2))</f>
        <v>0</v>
      </c>
      <c r="CC402" s="882">
        <f>IF($BN403=0,0,        _xll.qDateNext($BN402,CC$17,$CG$16,TRUE,Currency2))</f>
        <v>0</v>
      </c>
      <c r="CD402" s="882">
        <f>IF($BN403=0,0,        _xll.qDateNext($BN402,CD$17,$CG$16,TRUE,Currency2))</f>
        <v>0</v>
      </c>
      <c r="CE402" s="882">
        <f>IF($BN403=0,0,        _xll.qDateNext($BN402,CE$17,$CG$16,TRUE,Currency2))</f>
        <v>0</v>
      </c>
      <c r="CF402" s="882">
        <f>IF($BN403=0,0,        _xll.qDateNext($BN402,CF$17,$CG$16,TRUE,Currency2))</f>
        <v>0</v>
      </c>
      <c r="CG402" s="882">
        <f>IF($BN403=0,0,        _xll.qDateNext($BN402,CG$17,$CG$16,TRUE,Currency2))</f>
        <v>0</v>
      </c>
      <c r="CH402" s="886">
        <v>0</v>
      </c>
      <c r="CI402" s="886">
        <v>0</v>
      </c>
      <c r="CJ402" s="886">
        <v>0</v>
      </c>
      <c r="CK402" s="886">
        <v>0</v>
      </c>
      <c r="CL402" s="886">
        <f t="shared" si="189"/>
        <v>0</v>
      </c>
      <c r="CM402" s="886">
        <f t="shared" si="190"/>
        <v>0</v>
      </c>
      <c r="CN402" s="886">
        <v>0</v>
      </c>
      <c r="CO402" s="886">
        <v>0</v>
      </c>
      <c r="CP402" s="648">
        <f t="shared" ref="CP402:CP465" si="199">IF($BN402=0,0,      IF(ISNUMBER(BR402),BR402,CH402))</f>
        <v>0</v>
      </c>
      <c r="CQ402" s="648">
        <f t="shared" ref="CQ402:CQ465" si="200">IF($BN402=0,0,      IF(ISNUMBER(BS402),BS402,CI402))</f>
        <v>0</v>
      </c>
      <c r="CR402" s="648">
        <f t="shared" ref="CR402:CR465" si="201">IF($BN402=0,0,      IF(ISNUMBER(BT402),BT402,CJ402))</f>
        <v>0</v>
      </c>
      <c r="CS402" s="648">
        <f t="shared" ref="CS402:CS465" si="202">IF($BN402=0,0,      IF(ISNUMBER(BU402),BU402,CK402))</f>
        <v>0</v>
      </c>
      <c r="CT402" s="648">
        <f t="shared" ref="CT402:CT465" si="203">IF($BN402=0,0,      IF(ISNUMBER(BV402),BV402,CL402))</f>
        <v>0</v>
      </c>
      <c r="CU402" s="648">
        <f t="shared" ref="CU402:CU465" si="204">IF($BN402=0,0,      IF(ISNUMBER(BW402),BW402,CM402))</f>
        <v>0</v>
      </c>
      <c r="CV402" s="648">
        <f t="shared" ref="CV402:CV465" si="205">IF($BN402=0,0,      IF(ISNUMBER(BX402),BX402,CN402))</f>
        <v>0</v>
      </c>
      <c r="CW402" s="648">
        <f t="shared" ref="CW402:CW465" si="206">IF($BN402=0,0,      IF(ISNUMBER(BY402),BY402,CO402))</f>
        <v>0</v>
      </c>
      <c r="CX402" s="634">
        <v>0</v>
      </c>
      <c r="CY402" s="616"/>
      <c r="CZ402" s="619">
        <f>IF(BN403=0,0,             IF(ISNUMBER(CY402),CY402,             IF(ISTEXT(CY402),INDEX(CP402:CW402,MATCH(CY402,$CP$17:$CW$17,0)),           IF(CX402="INT",_xll.qInterp(BN403,BZ402:CG402,CP402:CW402),       INDEX(CP402:CW402,MATCH(CX402,$CP$17:$CW$17,0))))))</f>
        <v>0</v>
      </c>
      <c r="DA402" s="755">
        <f t="shared" ref="DA402:DA465" si="207">IF(BN403,INDEX($BB$18:$BB$516,MATCH(BN402,OFFSET($O$18,0,0,$BE$12,1)))*FaceFX,0)</f>
        <v>0</v>
      </c>
      <c r="DB402" s="387">
        <f t="shared" ref="DB402:DB465" si="208">IF(BN402,DA402*1000000*$DD$11,0)</f>
        <v>0</v>
      </c>
      <c r="DC402" s="268">
        <f>IF($BN403=0,0,         IF(LEFT(DCC_Leg2_Fixed,2)="1/",uEvaluate(DCC_Leg2_Fixed),         _xll.qDateYears($BN402,$BN403,DCC_Leg2_Fixed)))</f>
        <v>0</v>
      </c>
      <c r="DD402" s="268">
        <f>IF($BN403,_xll.qDateYears($BN402,$BN403,DCC_Leg2_Float),0)</f>
        <v>0</v>
      </c>
      <c r="DF402" s="332">
        <f t="shared" si="191"/>
        <v>0</v>
      </c>
      <c r="DG402" s="357">
        <f t="shared" si="192"/>
        <v>0</v>
      </c>
      <c r="DH402" s="527"/>
      <c r="DJ402" s="324">
        <f t="shared" si="194"/>
        <v>0</v>
      </c>
      <c r="DK402" s="529"/>
      <c r="DL402" s="338"/>
    </row>
    <row r="403" spans="15:116">
      <c r="O403" s="121">
        <v>0</v>
      </c>
      <c r="P403" s="755">
        <f t="shared" si="195"/>
        <v>0</v>
      </c>
      <c r="Q403" s="125">
        <v>0</v>
      </c>
      <c r="R403" s="890">
        <f>IF(O404=0,0,         IF(OR(Currency1="AUD",Currency1="NZD",Currency1="GBP"),O403,   _xll.qDateNext(O403,"-2b",,,IF(Currency1="EUR","TGT","LON"))))</f>
        <v>0</v>
      </c>
      <c r="S403" s="879" t="str">
        <v/>
      </c>
      <c r="T403" s="879" t="str">
        <v/>
      </c>
      <c r="U403" s="879" t="str">
        <v/>
      </c>
      <c r="V403" s="879" t="str">
        <v/>
      </c>
      <c r="W403" s="879" t="str">
        <v/>
      </c>
      <c r="X403" s="879" t="str">
        <v/>
      </c>
      <c r="Y403" s="879" t="str">
        <v/>
      </c>
      <c r="Z403" s="879" t="str">
        <v/>
      </c>
      <c r="AA403" s="882">
        <f>IF($O404=0,0,        _xll.qDateNext($O403,AA$17,$AH$16,TRUE,Currency1))</f>
        <v>0</v>
      </c>
      <c r="AB403" s="882">
        <f>IF($O404=0,0,        _xll.qDateNext($O403,AB$17,$AH$16,TRUE,Currency1))</f>
        <v>0</v>
      </c>
      <c r="AC403" s="882">
        <f>IF($O404=0,0,        _xll.qDateNext($O403,AC$17,$AH$16,TRUE,Currency1))</f>
        <v>0</v>
      </c>
      <c r="AD403" s="882">
        <f>IF($O404=0,0,        _xll.qDateNext($O403,AD$17,$AH$16,TRUE,Currency1))</f>
        <v>0</v>
      </c>
      <c r="AE403" s="882">
        <f>IF($O404=0,0,        _xll.qDateNext($O403,AE$17,$AH$16,TRUE,Currency1))</f>
        <v>0</v>
      </c>
      <c r="AF403" s="882">
        <f>IF($O404=0,0,        _xll.qDateNext($O403,AF$17,$AH$16,TRUE,Currency1))</f>
        <v>0</v>
      </c>
      <c r="AG403" s="882">
        <f>IF($O404=0,0,        _xll.qDateNext($O403,AG$17,$AH$16,TRUE,Currency1))</f>
        <v>0</v>
      </c>
      <c r="AH403" s="882">
        <f>IF($O404=0,0,        _xll.qDateNext($O403,AH$17,$AH$16,TRUE,Currency1))</f>
        <v>0</v>
      </c>
      <c r="AI403" s="886">
        <f>IF($O404=0,0,           IF(FRM,_xll.qGetFwdRate(AI$14,$O403,AA403,"T",DCC_Leg1_Float),_xll.qGetFwdRate(AI$14,$O403,$O404,"T",DCC_Leg1_Float)))</f>
        <v>0</v>
      </c>
      <c r="AJ403" s="886">
        <f>IF($O404=0,0,           IF(FRM,_xll.qGetFwdRate(AJ$14,$O403,AB403,"T",DCC_Leg1_Float),_xll.qGetFwdRate(AJ$14,$O403,$O404,"T",DCC_Leg1_Float)))</f>
        <v>0</v>
      </c>
      <c r="AK403" s="886">
        <f t="shared" si="196"/>
        <v>0</v>
      </c>
      <c r="AL403" s="886">
        <f>IF($O404=0,0,           IF(FRM,_xll.qGetFwdRate(AL$14,$O403,AD403,"T",DCC_Leg1_Float),_xll.qGetFwdRate(AL$14,$O403,$O404,"T",DCC_Leg1_Float)))</f>
        <v>0</v>
      </c>
      <c r="AM403" s="886">
        <f t="shared" ref="AM403:AM466" si="209">(AO403-AL403)/3+AL403</f>
        <v>0</v>
      </c>
      <c r="AN403" s="886">
        <f t="shared" ref="AN403:AN466" si="210">AVERAGE(AM403,AO403)</f>
        <v>0</v>
      </c>
      <c r="AO403" s="886">
        <f>IF($O404=0,0,           IF(FRM,_xll.qGetFwdRate(AO$14,$O403,AG403,"T",DCC_Leg1_Float),_xll.qGetFwdRate(AO$14,$O403,$O404,"T",DCC_Leg1_Float)))</f>
        <v>0</v>
      </c>
      <c r="AP403" s="886">
        <f>IF($O404=0,0,           IF(FRM,_xll.qGetFwdRate(AP$14,$O403,AH403,"T",DCC_Leg1_Float),_xll.qGetFwdRate(AP$14,$O403,$O404,"T",DCC_Leg1_Float)))</f>
        <v>0</v>
      </c>
      <c r="AQ403" s="648">
        <f t="shared" ref="AQ403:AQ466" si="211">IF(ISNUMBER(S403),S403,AI403)</f>
        <v>0</v>
      </c>
      <c r="AR403" s="648">
        <f t="shared" ref="AR403:AR466" si="212">IF(ISNUMBER(T403),T403,AJ403)</f>
        <v>0</v>
      </c>
      <c r="AS403" s="648">
        <f t="shared" ref="AS403:AS466" si="213">IF(ISNUMBER(U403),U403,AK403)</f>
        <v>0</v>
      </c>
      <c r="AT403" s="648">
        <f t="shared" ref="AT403:AT466" si="214">IF(ISNUMBER(V403),V403,AL403)</f>
        <v>0</v>
      </c>
      <c r="AU403" s="648">
        <f t="shared" ref="AU403:AU466" si="215">IF(ISNUMBER(W403),W403,AM403)</f>
        <v>0</v>
      </c>
      <c r="AV403" s="648">
        <f t="shared" ref="AV403:AV466" si="216">IF(ISNUMBER(X403),X403,AN403)</f>
        <v>0</v>
      </c>
      <c r="AW403" s="648">
        <f t="shared" ref="AW403:AW466" si="217">IF(ISNUMBER(Y403),Y403,AO403)</f>
        <v>0</v>
      </c>
      <c r="AX403" s="648">
        <f t="shared" ref="AX403:AX466" si="218">IF(ISNUMBER(Z403),Z403,AP403)</f>
        <v>0</v>
      </c>
      <c r="AY403" s="634">
        <v>0</v>
      </c>
      <c r="AZ403" s="616"/>
      <c r="BA403" s="619">
        <f>IF(O404=0,0,             IF(ISNUMBER(AZ403),AZ403,             IF(ISTEXT(AZ403),INDEX(AQ403:AX403,MATCH(AZ403,$AQ$17:$AX$17,0)),           IF(AY403="INT",_xll.qInterp(O404,AA403:AH403,AQ403:AX403),       INDEX(AQ403:AX403,MATCH(AY403,$AQ$17:$AX$17,0))))))</f>
        <v>0</v>
      </c>
      <c r="BB403" s="674">
        <v>100</v>
      </c>
      <c r="BC403" s="666">
        <f t="shared" si="197"/>
        <v>0</v>
      </c>
      <c r="BD403" s="268">
        <f>IF($O404=0,0,                IF(LEFT(DCC_Leg1_Fixed,2)="1/",uEvaluate(DCC_Leg1_Fixed),        _xll.qDateYears($O403,$O404,DCC_Leg1_Fixed)))</f>
        <v>0</v>
      </c>
      <c r="BE403" s="268">
        <f>IF($O404,_xll.qDateYears($O403,$O404,DCC_Leg1_Float),0)</f>
        <v>0</v>
      </c>
      <c r="BG403" s="332">
        <f t="shared" ref="BG403:BG466" si="219">IF(Principal1?,$BC402-$BC403,       0)</f>
        <v>0</v>
      </c>
      <c r="BH403" s="357">
        <f t="shared" ref="BH403:BH466" si="220">IF(GenType_1a="Fixed",GenRate_1a%*$BC402*BD402,          IF(GenType_1a="Float",$BC402*(BA402%+GenRate_1a%%)*$BE402,        IF(GenType_1a="bp (Fixed)",GenRate_1a%%*$BD402*$BC402,   IF(GenType_1a="bp (Float)",GenRate_1a%%*$BC402*$BE402,0))))</f>
        <v>0</v>
      </c>
      <c r="BI403" s="527"/>
      <c r="BK403" s="324">
        <f t="shared" si="193"/>
        <v>0</v>
      </c>
      <c r="BM403" s="338"/>
      <c r="BN403" s="121">
        <v>0</v>
      </c>
      <c r="BO403" s="755">
        <f t="shared" si="198"/>
        <v>0</v>
      </c>
      <c r="BP403" s="339">
        <v>0</v>
      </c>
      <c r="BQ403" s="890">
        <f>IF(BN404=0,0,         IF(OR(Currency2="AUD",Currency1="NZD",Currency2="GBP"),BN403,   _xll.qDateNext(BN403,"-2b",,,IF(Currency2="EUR","TGT","LON"))))</f>
        <v>0</v>
      </c>
      <c r="BR403" s="879" t="str">
        <v/>
      </c>
      <c r="BS403" s="879" t="str">
        <v/>
      </c>
      <c r="BT403" s="879" t="str">
        <v/>
      </c>
      <c r="BU403" s="879" t="str">
        <v/>
      </c>
      <c r="BV403" s="879" t="str">
        <v/>
      </c>
      <c r="BW403" s="879" t="str">
        <v/>
      </c>
      <c r="BX403" s="879" t="str">
        <v/>
      </c>
      <c r="BY403" s="879" t="str">
        <v/>
      </c>
      <c r="BZ403" s="882">
        <f>IF($BN404=0,0,        _xll.qDateNext($BN403,BZ$17,$CG$16,TRUE,Currency2))</f>
        <v>0</v>
      </c>
      <c r="CA403" s="882">
        <f>IF($BN404=0,0,        _xll.qDateNext($BN403,CA$17,$CG$16,TRUE,Currency2))</f>
        <v>0</v>
      </c>
      <c r="CB403" s="882">
        <f>IF($BN404=0,0,        _xll.qDateNext($BN403,CB$17,$CG$16,TRUE,Currency2))</f>
        <v>0</v>
      </c>
      <c r="CC403" s="882">
        <f>IF($BN404=0,0,        _xll.qDateNext($BN403,CC$17,$CG$16,TRUE,Currency2))</f>
        <v>0</v>
      </c>
      <c r="CD403" s="882">
        <f>IF($BN404=0,0,        _xll.qDateNext($BN403,CD$17,$CG$16,TRUE,Currency2))</f>
        <v>0</v>
      </c>
      <c r="CE403" s="882">
        <f>IF($BN404=0,0,        _xll.qDateNext($BN403,CE$17,$CG$16,TRUE,Currency2))</f>
        <v>0</v>
      </c>
      <c r="CF403" s="882">
        <f>IF($BN404=0,0,        _xll.qDateNext($BN403,CF$17,$CG$16,TRUE,Currency2))</f>
        <v>0</v>
      </c>
      <c r="CG403" s="882">
        <f>IF($BN404=0,0,        _xll.qDateNext($BN403,CG$17,$CG$16,TRUE,Currency2))</f>
        <v>0</v>
      </c>
      <c r="CH403" s="886">
        <v>0</v>
      </c>
      <c r="CI403" s="886">
        <v>0</v>
      </c>
      <c r="CJ403" s="886">
        <v>0</v>
      </c>
      <c r="CK403" s="886">
        <v>0</v>
      </c>
      <c r="CL403" s="886">
        <f t="shared" ref="CL403:CL466" si="221">(CN403-CK403)/3+CK403</f>
        <v>0</v>
      </c>
      <c r="CM403" s="886">
        <f t="shared" ref="CM403:CM466" si="222">AVERAGE(CL403,CN403)</f>
        <v>0</v>
      </c>
      <c r="CN403" s="886">
        <v>0</v>
      </c>
      <c r="CO403" s="886">
        <v>0</v>
      </c>
      <c r="CP403" s="648">
        <f t="shared" si="199"/>
        <v>0</v>
      </c>
      <c r="CQ403" s="648">
        <f t="shared" si="200"/>
        <v>0</v>
      </c>
      <c r="CR403" s="648">
        <f t="shared" si="201"/>
        <v>0</v>
      </c>
      <c r="CS403" s="648">
        <f t="shared" si="202"/>
        <v>0</v>
      </c>
      <c r="CT403" s="648">
        <f t="shared" si="203"/>
        <v>0</v>
      </c>
      <c r="CU403" s="648">
        <f t="shared" si="204"/>
        <v>0</v>
      </c>
      <c r="CV403" s="648">
        <f t="shared" si="205"/>
        <v>0</v>
      </c>
      <c r="CW403" s="648">
        <f t="shared" si="206"/>
        <v>0</v>
      </c>
      <c r="CX403" s="634">
        <v>0</v>
      </c>
      <c r="CY403" s="616"/>
      <c r="CZ403" s="619">
        <f>IF(BN404=0,0,             IF(ISNUMBER(CY403),CY403,             IF(ISTEXT(CY403),INDEX(CP403:CW403,MATCH(CY403,$CP$17:$CW$17,0)),           IF(CX403="INT",_xll.qInterp(BN404,BZ403:CG403,CP403:CW403),       INDEX(CP403:CW403,MATCH(CX403,$CP$17:$CW$17,0))))))</f>
        <v>0</v>
      </c>
      <c r="DA403" s="755">
        <f t="shared" si="207"/>
        <v>0</v>
      </c>
      <c r="DB403" s="387">
        <f t="shared" si="208"/>
        <v>0</v>
      </c>
      <c r="DC403" s="268">
        <f>IF($BN404=0,0,         IF(LEFT(DCC_Leg2_Fixed,2)="1/",uEvaluate(DCC_Leg2_Fixed),         _xll.qDateYears($BN403,$BN404,DCC_Leg2_Fixed)))</f>
        <v>0</v>
      </c>
      <c r="DD403" s="268">
        <f>IF($BN404,_xll.qDateYears($BN403,$BN404,DCC_Leg2_Float),0)</f>
        <v>0</v>
      </c>
      <c r="DF403" s="332">
        <f t="shared" ref="DF403:DF466" si="223">IF(Principal2?,$DB402-$DB403,       0)</f>
        <v>0</v>
      </c>
      <c r="DG403" s="357">
        <f t="shared" ref="DG403:DG466" si="224">IF(GenType_2a="Fixed",GenRate_2a%*$DB402*DC402,          IF(GenType_2a="Float",$DB402*(CZ402%+GenRate_2a%%)*$DD402,        IF(GenType_2a="bp (Fixed)",GenRate_2a%%*$DC402*$DB402,   IF(GenType_2a="bp (Float)",GenRate_2a%%*$DB402*$DD402,0))))</f>
        <v>0</v>
      </c>
      <c r="DH403" s="527"/>
      <c r="DJ403" s="324">
        <f t="shared" si="194"/>
        <v>0</v>
      </c>
      <c r="DK403" s="529"/>
      <c r="DL403" s="338"/>
    </row>
    <row r="404" spans="15:116">
      <c r="O404" s="121">
        <v>0</v>
      </c>
      <c r="P404" s="755">
        <f t="shared" si="195"/>
        <v>0</v>
      </c>
      <c r="Q404" s="125">
        <v>0</v>
      </c>
      <c r="R404" s="890">
        <f>IF(O405=0,0,         IF(OR(Currency1="AUD",Currency1="NZD",Currency1="GBP"),O404,   _xll.qDateNext(O404,"-2b",,,IF(Currency1="EUR","TGT","LON"))))</f>
        <v>0</v>
      </c>
      <c r="S404" s="879" t="str">
        <v/>
      </c>
      <c r="T404" s="879" t="str">
        <v/>
      </c>
      <c r="U404" s="879" t="str">
        <v/>
      </c>
      <c r="V404" s="879" t="str">
        <v/>
      </c>
      <c r="W404" s="879" t="str">
        <v/>
      </c>
      <c r="X404" s="879" t="str">
        <v/>
      </c>
      <c r="Y404" s="879" t="str">
        <v/>
      </c>
      <c r="Z404" s="879" t="str">
        <v/>
      </c>
      <c r="AA404" s="882">
        <f>IF($O405=0,0,        _xll.qDateNext($O404,AA$17,$AH$16,TRUE,Currency1))</f>
        <v>0</v>
      </c>
      <c r="AB404" s="882">
        <f>IF($O405=0,0,        _xll.qDateNext($O404,AB$17,$AH$16,TRUE,Currency1))</f>
        <v>0</v>
      </c>
      <c r="AC404" s="882">
        <f>IF($O405=0,0,        _xll.qDateNext($O404,AC$17,$AH$16,TRUE,Currency1))</f>
        <v>0</v>
      </c>
      <c r="AD404" s="882">
        <f>IF($O405=0,0,        _xll.qDateNext($O404,AD$17,$AH$16,TRUE,Currency1))</f>
        <v>0</v>
      </c>
      <c r="AE404" s="882">
        <f>IF($O405=0,0,        _xll.qDateNext($O404,AE$17,$AH$16,TRUE,Currency1))</f>
        <v>0</v>
      </c>
      <c r="AF404" s="882">
        <f>IF($O405=0,0,        _xll.qDateNext($O404,AF$17,$AH$16,TRUE,Currency1))</f>
        <v>0</v>
      </c>
      <c r="AG404" s="882">
        <f>IF($O405=0,0,        _xll.qDateNext($O404,AG$17,$AH$16,TRUE,Currency1))</f>
        <v>0</v>
      </c>
      <c r="AH404" s="882">
        <f>IF($O405=0,0,        _xll.qDateNext($O404,AH$17,$AH$16,TRUE,Currency1))</f>
        <v>0</v>
      </c>
      <c r="AI404" s="886">
        <f>IF($O405=0,0,           IF(FRM,_xll.qGetFwdRate(AI$14,$O404,AA404,"T",DCC_Leg1_Float),_xll.qGetFwdRate(AI$14,$O404,$O405,"T",DCC_Leg1_Float)))</f>
        <v>0</v>
      </c>
      <c r="AJ404" s="886">
        <f>IF($O405=0,0,           IF(FRM,_xll.qGetFwdRate(AJ$14,$O404,AB404,"T",DCC_Leg1_Float),_xll.qGetFwdRate(AJ$14,$O404,$O405,"T",DCC_Leg1_Float)))</f>
        <v>0</v>
      </c>
      <c r="AK404" s="886">
        <f t="shared" si="196"/>
        <v>0</v>
      </c>
      <c r="AL404" s="886">
        <f>IF($O405=0,0,           IF(FRM,_xll.qGetFwdRate(AL$14,$O404,AD404,"T",DCC_Leg1_Float),_xll.qGetFwdRate(AL$14,$O404,$O405,"T",DCC_Leg1_Float)))</f>
        <v>0</v>
      </c>
      <c r="AM404" s="886">
        <f t="shared" si="209"/>
        <v>0</v>
      </c>
      <c r="AN404" s="886">
        <f t="shared" si="210"/>
        <v>0</v>
      </c>
      <c r="AO404" s="886">
        <f>IF($O405=0,0,           IF(FRM,_xll.qGetFwdRate(AO$14,$O404,AG404,"T",DCC_Leg1_Float),_xll.qGetFwdRate(AO$14,$O404,$O405,"T",DCC_Leg1_Float)))</f>
        <v>0</v>
      </c>
      <c r="AP404" s="886">
        <f>IF($O405=0,0,           IF(FRM,_xll.qGetFwdRate(AP$14,$O404,AH404,"T",DCC_Leg1_Float),_xll.qGetFwdRate(AP$14,$O404,$O405,"T",DCC_Leg1_Float)))</f>
        <v>0</v>
      </c>
      <c r="AQ404" s="648">
        <f t="shared" si="211"/>
        <v>0</v>
      </c>
      <c r="AR404" s="648">
        <f t="shared" si="212"/>
        <v>0</v>
      </c>
      <c r="AS404" s="648">
        <f t="shared" si="213"/>
        <v>0</v>
      </c>
      <c r="AT404" s="648">
        <f t="shared" si="214"/>
        <v>0</v>
      </c>
      <c r="AU404" s="648">
        <f t="shared" si="215"/>
        <v>0</v>
      </c>
      <c r="AV404" s="648">
        <f t="shared" si="216"/>
        <v>0</v>
      </c>
      <c r="AW404" s="648">
        <f t="shared" si="217"/>
        <v>0</v>
      </c>
      <c r="AX404" s="648">
        <f t="shared" si="218"/>
        <v>0</v>
      </c>
      <c r="AY404" s="634">
        <v>0</v>
      </c>
      <c r="AZ404" s="616"/>
      <c r="BA404" s="619">
        <f>IF(O405=0,0,             IF(ISNUMBER(AZ404),AZ404,             IF(ISTEXT(AZ404),INDEX(AQ404:AX404,MATCH(AZ404,$AQ$17:$AX$17,0)),           IF(AY404="INT",_xll.qInterp(O405,AA404:AH404,AQ404:AX404),       INDEX(AQ404:AX404,MATCH(AY404,$AQ$17:$AX$17,0))))))</f>
        <v>0</v>
      </c>
      <c r="BB404" s="674">
        <v>100</v>
      </c>
      <c r="BC404" s="666">
        <f t="shared" si="197"/>
        <v>0</v>
      </c>
      <c r="BD404" s="268">
        <f>IF($O405=0,0,                IF(LEFT(DCC_Leg1_Fixed,2)="1/",uEvaluate(DCC_Leg1_Fixed),        _xll.qDateYears($O404,$O405,DCC_Leg1_Fixed)))</f>
        <v>0</v>
      </c>
      <c r="BE404" s="268">
        <f>IF($O405,_xll.qDateYears($O404,$O405,DCC_Leg1_Float),0)</f>
        <v>0</v>
      </c>
      <c r="BG404" s="332">
        <f t="shared" si="219"/>
        <v>0</v>
      </c>
      <c r="BH404" s="357">
        <f t="shared" si="220"/>
        <v>0</v>
      </c>
      <c r="BI404" s="527"/>
      <c r="BK404" s="324">
        <f t="shared" si="193"/>
        <v>0</v>
      </c>
      <c r="BM404" s="338"/>
      <c r="BN404" s="121">
        <v>0</v>
      </c>
      <c r="BO404" s="755">
        <f t="shared" si="198"/>
        <v>0</v>
      </c>
      <c r="BP404" s="339">
        <v>0</v>
      </c>
      <c r="BQ404" s="890">
        <f>IF(BN405=0,0,         IF(OR(Currency2="AUD",Currency1="NZD",Currency2="GBP"),BN404,   _xll.qDateNext(BN404,"-2b",,,IF(Currency2="EUR","TGT","LON"))))</f>
        <v>0</v>
      </c>
      <c r="BR404" s="879" t="str">
        <v/>
      </c>
      <c r="BS404" s="879" t="str">
        <v/>
      </c>
      <c r="BT404" s="879" t="str">
        <v/>
      </c>
      <c r="BU404" s="879" t="str">
        <v/>
      </c>
      <c r="BV404" s="879" t="str">
        <v/>
      </c>
      <c r="BW404" s="879" t="str">
        <v/>
      </c>
      <c r="BX404" s="879" t="str">
        <v/>
      </c>
      <c r="BY404" s="879" t="str">
        <v/>
      </c>
      <c r="BZ404" s="882">
        <f>IF($BN405=0,0,        _xll.qDateNext($BN404,BZ$17,$CG$16,TRUE,Currency2))</f>
        <v>0</v>
      </c>
      <c r="CA404" s="882">
        <f>IF($BN405=0,0,        _xll.qDateNext($BN404,CA$17,$CG$16,TRUE,Currency2))</f>
        <v>0</v>
      </c>
      <c r="CB404" s="882">
        <f>IF($BN405=0,0,        _xll.qDateNext($BN404,CB$17,$CG$16,TRUE,Currency2))</f>
        <v>0</v>
      </c>
      <c r="CC404" s="882">
        <f>IF($BN405=0,0,        _xll.qDateNext($BN404,CC$17,$CG$16,TRUE,Currency2))</f>
        <v>0</v>
      </c>
      <c r="CD404" s="882">
        <f>IF($BN405=0,0,        _xll.qDateNext($BN404,CD$17,$CG$16,TRUE,Currency2))</f>
        <v>0</v>
      </c>
      <c r="CE404" s="882">
        <f>IF($BN405=0,0,        _xll.qDateNext($BN404,CE$17,$CG$16,TRUE,Currency2))</f>
        <v>0</v>
      </c>
      <c r="CF404" s="882">
        <f>IF($BN405=0,0,        _xll.qDateNext($BN404,CF$17,$CG$16,TRUE,Currency2))</f>
        <v>0</v>
      </c>
      <c r="CG404" s="882">
        <f>IF($BN405=0,0,        _xll.qDateNext($BN404,CG$17,$CG$16,TRUE,Currency2))</f>
        <v>0</v>
      </c>
      <c r="CH404" s="886">
        <v>0</v>
      </c>
      <c r="CI404" s="886">
        <v>0</v>
      </c>
      <c r="CJ404" s="886">
        <v>0</v>
      </c>
      <c r="CK404" s="886">
        <v>0</v>
      </c>
      <c r="CL404" s="886">
        <f t="shared" si="221"/>
        <v>0</v>
      </c>
      <c r="CM404" s="886">
        <f t="shared" si="222"/>
        <v>0</v>
      </c>
      <c r="CN404" s="886">
        <v>0</v>
      </c>
      <c r="CO404" s="886">
        <v>0</v>
      </c>
      <c r="CP404" s="648">
        <f t="shared" si="199"/>
        <v>0</v>
      </c>
      <c r="CQ404" s="648">
        <f t="shared" si="200"/>
        <v>0</v>
      </c>
      <c r="CR404" s="648">
        <f t="shared" si="201"/>
        <v>0</v>
      </c>
      <c r="CS404" s="648">
        <f t="shared" si="202"/>
        <v>0</v>
      </c>
      <c r="CT404" s="648">
        <f t="shared" si="203"/>
        <v>0</v>
      </c>
      <c r="CU404" s="648">
        <f t="shared" si="204"/>
        <v>0</v>
      </c>
      <c r="CV404" s="648">
        <f t="shared" si="205"/>
        <v>0</v>
      </c>
      <c r="CW404" s="648">
        <f t="shared" si="206"/>
        <v>0</v>
      </c>
      <c r="CX404" s="634">
        <v>0</v>
      </c>
      <c r="CY404" s="616"/>
      <c r="CZ404" s="619">
        <f>IF(BN405=0,0,             IF(ISNUMBER(CY404),CY404,             IF(ISTEXT(CY404),INDEX(CP404:CW404,MATCH(CY404,$CP$17:$CW$17,0)),           IF(CX404="INT",_xll.qInterp(BN405,BZ404:CG404,CP404:CW404),       INDEX(CP404:CW404,MATCH(CX404,$CP$17:$CW$17,0))))))</f>
        <v>0</v>
      </c>
      <c r="DA404" s="755">
        <f t="shared" si="207"/>
        <v>0</v>
      </c>
      <c r="DB404" s="387">
        <f t="shared" si="208"/>
        <v>0</v>
      </c>
      <c r="DC404" s="268">
        <f>IF($BN405=0,0,         IF(LEFT(DCC_Leg2_Fixed,2)="1/",uEvaluate(DCC_Leg2_Fixed),         _xll.qDateYears($BN404,$BN405,DCC_Leg2_Fixed)))</f>
        <v>0</v>
      </c>
      <c r="DD404" s="268">
        <f>IF($BN405,_xll.qDateYears($BN404,$BN405,DCC_Leg2_Float),0)</f>
        <v>0</v>
      </c>
      <c r="DF404" s="332">
        <f t="shared" si="223"/>
        <v>0</v>
      </c>
      <c r="DG404" s="357">
        <f t="shared" si="224"/>
        <v>0</v>
      </c>
      <c r="DH404" s="527"/>
      <c r="DJ404" s="324">
        <f t="shared" si="194"/>
        <v>0</v>
      </c>
      <c r="DK404" s="529"/>
      <c r="DL404" s="338"/>
    </row>
    <row r="405" spans="15:116">
      <c r="O405" s="121">
        <v>0</v>
      </c>
      <c r="P405" s="755">
        <f t="shared" si="195"/>
        <v>0</v>
      </c>
      <c r="Q405" s="125">
        <v>0</v>
      </c>
      <c r="R405" s="890">
        <f>IF(O406=0,0,         IF(OR(Currency1="AUD",Currency1="NZD",Currency1="GBP"),O405,   _xll.qDateNext(O405,"-2b",,,IF(Currency1="EUR","TGT","LON"))))</f>
        <v>0</v>
      </c>
      <c r="S405" s="879" t="str">
        <v/>
      </c>
      <c r="T405" s="879" t="str">
        <v/>
      </c>
      <c r="U405" s="879" t="str">
        <v/>
      </c>
      <c r="V405" s="879" t="str">
        <v/>
      </c>
      <c r="W405" s="879" t="str">
        <v/>
      </c>
      <c r="X405" s="879" t="str">
        <v/>
      </c>
      <c r="Y405" s="879" t="str">
        <v/>
      </c>
      <c r="Z405" s="879" t="str">
        <v/>
      </c>
      <c r="AA405" s="882">
        <f>IF($O406=0,0,        _xll.qDateNext($O405,AA$17,$AH$16,TRUE,Currency1))</f>
        <v>0</v>
      </c>
      <c r="AB405" s="882">
        <f>IF($O406=0,0,        _xll.qDateNext($O405,AB$17,$AH$16,TRUE,Currency1))</f>
        <v>0</v>
      </c>
      <c r="AC405" s="882">
        <f>IF($O406=0,0,        _xll.qDateNext($O405,AC$17,$AH$16,TRUE,Currency1))</f>
        <v>0</v>
      </c>
      <c r="AD405" s="882">
        <f>IF($O406=0,0,        _xll.qDateNext($O405,AD$17,$AH$16,TRUE,Currency1))</f>
        <v>0</v>
      </c>
      <c r="AE405" s="882">
        <f>IF($O406=0,0,        _xll.qDateNext($O405,AE$17,$AH$16,TRUE,Currency1))</f>
        <v>0</v>
      </c>
      <c r="AF405" s="882">
        <f>IF($O406=0,0,        _xll.qDateNext($O405,AF$17,$AH$16,TRUE,Currency1))</f>
        <v>0</v>
      </c>
      <c r="AG405" s="882">
        <f>IF($O406=0,0,        _xll.qDateNext($O405,AG$17,$AH$16,TRUE,Currency1))</f>
        <v>0</v>
      </c>
      <c r="AH405" s="882">
        <f>IF($O406=0,0,        _xll.qDateNext($O405,AH$17,$AH$16,TRUE,Currency1))</f>
        <v>0</v>
      </c>
      <c r="AI405" s="886">
        <f>IF($O406=0,0,           IF(FRM,_xll.qGetFwdRate(AI$14,$O405,AA405,"T",DCC_Leg1_Float),_xll.qGetFwdRate(AI$14,$O405,$O406,"T",DCC_Leg1_Float)))</f>
        <v>0</v>
      </c>
      <c r="AJ405" s="886">
        <f>IF($O406=0,0,           IF(FRM,_xll.qGetFwdRate(AJ$14,$O405,AB405,"T",DCC_Leg1_Float),_xll.qGetFwdRate(AJ$14,$O405,$O406,"T",DCC_Leg1_Float)))</f>
        <v>0</v>
      </c>
      <c r="AK405" s="886">
        <f t="shared" si="196"/>
        <v>0</v>
      </c>
      <c r="AL405" s="886">
        <f>IF($O406=0,0,           IF(FRM,_xll.qGetFwdRate(AL$14,$O405,AD405,"T",DCC_Leg1_Float),_xll.qGetFwdRate(AL$14,$O405,$O406,"T",DCC_Leg1_Float)))</f>
        <v>0</v>
      </c>
      <c r="AM405" s="886">
        <f t="shared" si="209"/>
        <v>0</v>
      </c>
      <c r="AN405" s="886">
        <f t="shared" si="210"/>
        <v>0</v>
      </c>
      <c r="AO405" s="886">
        <f>IF($O406=0,0,           IF(FRM,_xll.qGetFwdRate(AO$14,$O405,AG405,"T",DCC_Leg1_Float),_xll.qGetFwdRate(AO$14,$O405,$O406,"T",DCC_Leg1_Float)))</f>
        <v>0</v>
      </c>
      <c r="AP405" s="886">
        <f>IF($O406=0,0,           IF(FRM,_xll.qGetFwdRate(AP$14,$O405,AH405,"T",DCC_Leg1_Float),_xll.qGetFwdRate(AP$14,$O405,$O406,"T",DCC_Leg1_Float)))</f>
        <v>0</v>
      </c>
      <c r="AQ405" s="648">
        <f t="shared" si="211"/>
        <v>0</v>
      </c>
      <c r="AR405" s="648">
        <f t="shared" si="212"/>
        <v>0</v>
      </c>
      <c r="AS405" s="648">
        <f t="shared" si="213"/>
        <v>0</v>
      </c>
      <c r="AT405" s="648">
        <f t="shared" si="214"/>
        <v>0</v>
      </c>
      <c r="AU405" s="648">
        <f t="shared" si="215"/>
        <v>0</v>
      </c>
      <c r="AV405" s="648">
        <f t="shared" si="216"/>
        <v>0</v>
      </c>
      <c r="AW405" s="648">
        <f t="shared" si="217"/>
        <v>0</v>
      </c>
      <c r="AX405" s="648">
        <f t="shared" si="218"/>
        <v>0</v>
      </c>
      <c r="AY405" s="634">
        <v>0</v>
      </c>
      <c r="AZ405" s="616"/>
      <c r="BA405" s="619">
        <f>IF(O406=0,0,             IF(ISNUMBER(AZ405),AZ405,             IF(ISTEXT(AZ405),INDEX(AQ405:AX405,MATCH(AZ405,$AQ$17:$AX$17,0)),           IF(AY405="INT",_xll.qInterp(O406,AA405:AH405,AQ405:AX405),       INDEX(AQ405:AX405,MATCH(AY405,$AQ$17:$AX$17,0))))))</f>
        <v>0</v>
      </c>
      <c r="BB405" s="674">
        <v>100</v>
      </c>
      <c r="BC405" s="666">
        <f t="shared" si="197"/>
        <v>0</v>
      </c>
      <c r="BD405" s="268">
        <f>IF($O406=0,0,                IF(LEFT(DCC_Leg1_Fixed,2)="1/",uEvaluate(DCC_Leg1_Fixed),        _xll.qDateYears($O405,$O406,DCC_Leg1_Fixed)))</f>
        <v>0</v>
      </c>
      <c r="BE405" s="268">
        <f>IF($O406,_xll.qDateYears($O405,$O406,DCC_Leg1_Float),0)</f>
        <v>0</v>
      </c>
      <c r="BG405" s="332">
        <f t="shared" si="219"/>
        <v>0</v>
      </c>
      <c r="BH405" s="357">
        <f t="shared" si="220"/>
        <v>0</v>
      </c>
      <c r="BI405" s="527"/>
      <c r="BK405" s="324">
        <f t="shared" si="193"/>
        <v>0</v>
      </c>
      <c r="BM405" s="338"/>
      <c r="BN405" s="121">
        <v>0</v>
      </c>
      <c r="BO405" s="755">
        <f t="shared" si="198"/>
        <v>0</v>
      </c>
      <c r="BP405" s="339">
        <v>0</v>
      </c>
      <c r="BQ405" s="890">
        <f>IF(BN406=0,0,         IF(OR(Currency2="AUD",Currency1="NZD",Currency2="GBP"),BN405,   _xll.qDateNext(BN405,"-2b",,,IF(Currency2="EUR","TGT","LON"))))</f>
        <v>0</v>
      </c>
      <c r="BR405" s="879" t="str">
        <v/>
      </c>
      <c r="BS405" s="879" t="str">
        <v/>
      </c>
      <c r="BT405" s="879" t="str">
        <v/>
      </c>
      <c r="BU405" s="879" t="str">
        <v/>
      </c>
      <c r="BV405" s="879" t="str">
        <v/>
      </c>
      <c r="BW405" s="879" t="str">
        <v/>
      </c>
      <c r="BX405" s="879" t="str">
        <v/>
      </c>
      <c r="BY405" s="879" t="str">
        <v/>
      </c>
      <c r="BZ405" s="882">
        <f>IF($BN406=0,0,        _xll.qDateNext($BN405,BZ$17,$CG$16,TRUE,Currency2))</f>
        <v>0</v>
      </c>
      <c r="CA405" s="882">
        <f>IF($BN406=0,0,        _xll.qDateNext($BN405,CA$17,$CG$16,TRUE,Currency2))</f>
        <v>0</v>
      </c>
      <c r="CB405" s="882">
        <f>IF($BN406=0,0,        _xll.qDateNext($BN405,CB$17,$CG$16,TRUE,Currency2))</f>
        <v>0</v>
      </c>
      <c r="CC405" s="882">
        <f>IF($BN406=0,0,        _xll.qDateNext($BN405,CC$17,$CG$16,TRUE,Currency2))</f>
        <v>0</v>
      </c>
      <c r="CD405" s="882">
        <f>IF($BN406=0,0,        _xll.qDateNext($BN405,CD$17,$CG$16,TRUE,Currency2))</f>
        <v>0</v>
      </c>
      <c r="CE405" s="882">
        <f>IF($BN406=0,0,        _xll.qDateNext($BN405,CE$17,$CG$16,TRUE,Currency2))</f>
        <v>0</v>
      </c>
      <c r="CF405" s="882">
        <f>IF($BN406=0,0,        _xll.qDateNext($BN405,CF$17,$CG$16,TRUE,Currency2))</f>
        <v>0</v>
      </c>
      <c r="CG405" s="882">
        <f>IF($BN406=0,0,        _xll.qDateNext($BN405,CG$17,$CG$16,TRUE,Currency2))</f>
        <v>0</v>
      </c>
      <c r="CH405" s="886">
        <v>0</v>
      </c>
      <c r="CI405" s="886">
        <v>0</v>
      </c>
      <c r="CJ405" s="886">
        <v>0</v>
      </c>
      <c r="CK405" s="886">
        <v>0</v>
      </c>
      <c r="CL405" s="886">
        <f t="shared" si="221"/>
        <v>0</v>
      </c>
      <c r="CM405" s="886">
        <f t="shared" si="222"/>
        <v>0</v>
      </c>
      <c r="CN405" s="886">
        <v>0</v>
      </c>
      <c r="CO405" s="886">
        <v>0</v>
      </c>
      <c r="CP405" s="648">
        <f t="shared" si="199"/>
        <v>0</v>
      </c>
      <c r="CQ405" s="648">
        <f t="shared" si="200"/>
        <v>0</v>
      </c>
      <c r="CR405" s="648">
        <f t="shared" si="201"/>
        <v>0</v>
      </c>
      <c r="CS405" s="648">
        <f t="shared" si="202"/>
        <v>0</v>
      </c>
      <c r="CT405" s="648">
        <f t="shared" si="203"/>
        <v>0</v>
      </c>
      <c r="CU405" s="648">
        <f t="shared" si="204"/>
        <v>0</v>
      </c>
      <c r="CV405" s="648">
        <f t="shared" si="205"/>
        <v>0</v>
      </c>
      <c r="CW405" s="648">
        <f t="shared" si="206"/>
        <v>0</v>
      </c>
      <c r="CX405" s="634">
        <v>0</v>
      </c>
      <c r="CY405" s="616"/>
      <c r="CZ405" s="619">
        <f>IF(BN406=0,0,             IF(ISNUMBER(CY405),CY405,             IF(ISTEXT(CY405),INDEX(CP405:CW405,MATCH(CY405,$CP$17:$CW$17,0)),           IF(CX405="INT",_xll.qInterp(BN406,BZ405:CG405,CP405:CW405),       INDEX(CP405:CW405,MATCH(CX405,$CP$17:$CW$17,0))))))</f>
        <v>0</v>
      </c>
      <c r="DA405" s="755">
        <f t="shared" si="207"/>
        <v>0</v>
      </c>
      <c r="DB405" s="387">
        <f t="shared" si="208"/>
        <v>0</v>
      </c>
      <c r="DC405" s="268">
        <f>IF($BN406=0,0,         IF(LEFT(DCC_Leg2_Fixed,2)="1/",uEvaluate(DCC_Leg2_Fixed),         _xll.qDateYears($BN405,$BN406,DCC_Leg2_Fixed)))</f>
        <v>0</v>
      </c>
      <c r="DD405" s="268">
        <f>IF($BN406,_xll.qDateYears($BN405,$BN406,DCC_Leg2_Float),0)</f>
        <v>0</v>
      </c>
      <c r="DF405" s="332">
        <f t="shared" si="223"/>
        <v>0</v>
      </c>
      <c r="DG405" s="357">
        <f t="shared" si="224"/>
        <v>0</v>
      </c>
      <c r="DH405" s="527"/>
      <c r="DJ405" s="324">
        <f t="shared" si="194"/>
        <v>0</v>
      </c>
      <c r="DK405" s="529"/>
      <c r="DL405" s="338"/>
    </row>
    <row r="406" spans="15:116">
      <c r="O406" s="121">
        <v>0</v>
      </c>
      <c r="P406" s="755">
        <f t="shared" si="195"/>
        <v>0</v>
      </c>
      <c r="Q406" s="125">
        <v>0</v>
      </c>
      <c r="R406" s="890">
        <f>IF(O407=0,0,         IF(OR(Currency1="AUD",Currency1="NZD",Currency1="GBP"),O406,   _xll.qDateNext(O406,"-2b",,,IF(Currency1="EUR","TGT","LON"))))</f>
        <v>0</v>
      </c>
      <c r="S406" s="879" t="str">
        <v/>
      </c>
      <c r="T406" s="879" t="str">
        <v/>
      </c>
      <c r="U406" s="879" t="str">
        <v/>
      </c>
      <c r="V406" s="879" t="str">
        <v/>
      </c>
      <c r="W406" s="879" t="str">
        <v/>
      </c>
      <c r="X406" s="879" t="str">
        <v/>
      </c>
      <c r="Y406" s="879" t="str">
        <v/>
      </c>
      <c r="Z406" s="879" t="str">
        <v/>
      </c>
      <c r="AA406" s="882">
        <f>IF($O407=0,0,        _xll.qDateNext($O406,AA$17,$AH$16,TRUE,Currency1))</f>
        <v>0</v>
      </c>
      <c r="AB406" s="882">
        <f>IF($O407=0,0,        _xll.qDateNext($O406,AB$17,$AH$16,TRUE,Currency1))</f>
        <v>0</v>
      </c>
      <c r="AC406" s="882">
        <f>IF($O407=0,0,        _xll.qDateNext($O406,AC$17,$AH$16,TRUE,Currency1))</f>
        <v>0</v>
      </c>
      <c r="AD406" s="882">
        <f>IF($O407=0,0,        _xll.qDateNext($O406,AD$17,$AH$16,TRUE,Currency1))</f>
        <v>0</v>
      </c>
      <c r="AE406" s="882">
        <f>IF($O407=0,0,        _xll.qDateNext($O406,AE$17,$AH$16,TRUE,Currency1))</f>
        <v>0</v>
      </c>
      <c r="AF406" s="882">
        <f>IF($O407=0,0,        _xll.qDateNext($O406,AF$17,$AH$16,TRUE,Currency1))</f>
        <v>0</v>
      </c>
      <c r="AG406" s="882">
        <f>IF($O407=0,0,        _xll.qDateNext($O406,AG$17,$AH$16,TRUE,Currency1))</f>
        <v>0</v>
      </c>
      <c r="AH406" s="882">
        <f>IF($O407=0,0,        _xll.qDateNext($O406,AH$17,$AH$16,TRUE,Currency1))</f>
        <v>0</v>
      </c>
      <c r="AI406" s="886">
        <f>IF($O407=0,0,           IF(FRM,_xll.qGetFwdRate(AI$14,$O406,AA406,"T",DCC_Leg1_Float),_xll.qGetFwdRate(AI$14,$O406,$O407,"T",DCC_Leg1_Float)))</f>
        <v>0</v>
      </c>
      <c r="AJ406" s="886">
        <f>IF($O407=0,0,           IF(FRM,_xll.qGetFwdRate(AJ$14,$O406,AB406,"T",DCC_Leg1_Float),_xll.qGetFwdRate(AJ$14,$O406,$O407,"T",DCC_Leg1_Float)))</f>
        <v>0</v>
      </c>
      <c r="AK406" s="886">
        <f t="shared" si="196"/>
        <v>0</v>
      </c>
      <c r="AL406" s="886">
        <f>IF($O407=0,0,           IF(FRM,_xll.qGetFwdRate(AL$14,$O406,AD406,"T",DCC_Leg1_Float),_xll.qGetFwdRate(AL$14,$O406,$O407,"T",DCC_Leg1_Float)))</f>
        <v>0</v>
      </c>
      <c r="AM406" s="886">
        <f t="shared" si="209"/>
        <v>0</v>
      </c>
      <c r="AN406" s="886">
        <f t="shared" si="210"/>
        <v>0</v>
      </c>
      <c r="AO406" s="886">
        <f>IF($O407=0,0,           IF(FRM,_xll.qGetFwdRate(AO$14,$O406,AG406,"T",DCC_Leg1_Float),_xll.qGetFwdRate(AO$14,$O406,$O407,"T",DCC_Leg1_Float)))</f>
        <v>0</v>
      </c>
      <c r="AP406" s="886">
        <f>IF($O407=0,0,           IF(FRM,_xll.qGetFwdRate(AP$14,$O406,AH406,"T",DCC_Leg1_Float),_xll.qGetFwdRate(AP$14,$O406,$O407,"T",DCC_Leg1_Float)))</f>
        <v>0</v>
      </c>
      <c r="AQ406" s="648">
        <f t="shared" si="211"/>
        <v>0</v>
      </c>
      <c r="AR406" s="648">
        <f t="shared" si="212"/>
        <v>0</v>
      </c>
      <c r="AS406" s="648">
        <f t="shared" si="213"/>
        <v>0</v>
      </c>
      <c r="AT406" s="648">
        <f t="shared" si="214"/>
        <v>0</v>
      </c>
      <c r="AU406" s="648">
        <f t="shared" si="215"/>
        <v>0</v>
      </c>
      <c r="AV406" s="648">
        <f t="shared" si="216"/>
        <v>0</v>
      </c>
      <c r="AW406" s="648">
        <f t="shared" si="217"/>
        <v>0</v>
      </c>
      <c r="AX406" s="648">
        <f t="shared" si="218"/>
        <v>0</v>
      </c>
      <c r="AY406" s="634">
        <v>0</v>
      </c>
      <c r="AZ406" s="616"/>
      <c r="BA406" s="619">
        <f>IF(O407=0,0,             IF(ISNUMBER(AZ406),AZ406,             IF(ISTEXT(AZ406),INDEX(AQ406:AX406,MATCH(AZ406,$AQ$17:$AX$17,0)),           IF(AY406="INT",_xll.qInterp(O407,AA406:AH406,AQ406:AX406),       INDEX(AQ406:AX406,MATCH(AY406,$AQ$17:$AX$17,0))))))</f>
        <v>0</v>
      </c>
      <c r="BB406" s="674">
        <v>100</v>
      </c>
      <c r="BC406" s="666">
        <f t="shared" si="197"/>
        <v>0</v>
      </c>
      <c r="BD406" s="268">
        <f>IF($O407=0,0,                IF(LEFT(DCC_Leg1_Fixed,2)="1/",uEvaluate(DCC_Leg1_Fixed),        _xll.qDateYears($O406,$O407,DCC_Leg1_Fixed)))</f>
        <v>0</v>
      </c>
      <c r="BE406" s="268">
        <f>IF($O407,_xll.qDateYears($O406,$O407,DCC_Leg1_Float),0)</f>
        <v>0</v>
      </c>
      <c r="BG406" s="332">
        <f t="shared" si="219"/>
        <v>0</v>
      </c>
      <c r="BH406" s="357">
        <f t="shared" si="220"/>
        <v>0</v>
      </c>
      <c r="BI406" s="527"/>
      <c r="BK406" s="324">
        <f t="shared" si="193"/>
        <v>0</v>
      </c>
      <c r="BM406" s="338"/>
      <c r="BN406" s="121">
        <v>0</v>
      </c>
      <c r="BO406" s="755">
        <f t="shared" si="198"/>
        <v>0</v>
      </c>
      <c r="BP406" s="339">
        <v>0</v>
      </c>
      <c r="BQ406" s="890">
        <f>IF(BN407=0,0,         IF(OR(Currency2="AUD",Currency1="NZD",Currency2="GBP"),BN406,   _xll.qDateNext(BN406,"-2b",,,IF(Currency2="EUR","TGT","LON"))))</f>
        <v>0</v>
      </c>
      <c r="BR406" s="879" t="str">
        <v/>
      </c>
      <c r="BS406" s="879" t="str">
        <v/>
      </c>
      <c r="BT406" s="879" t="str">
        <v/>
      </c>
      <c r="BU406" s="879" t="str">
        <v/>
      </c>
      <c r="BV406" s="879" t="str">
        <v/>
      </c>
      <c r="BW406" s="879" t="str">
        <v/>
      </c>
      <c r="BX406" s="879" t="str">
        <v/>
      </c>
      <c r="BY406" s="879" t="str">
        <v/>
      </c>
      <c r="BZ406" s="882">
        <f>IF($BN407=0,0,        _xll.qDateNext($BN406,BZ$17,$CG$16,TRUE,Currency2))</f>
        <v>0</v>
      </c>
      <c r="CA406" s="882">
        <f>IF($BN407=0,0,        _xll.qDateNext($BN406,CA$17,$CG$16,TRUE,Currency2))</f>
        <v>0</v>
      </c>
      <c r="CB406" s="882">
        <f>IF($BN407=0,0,        _xll.qDateNext($BN406,CB$17,$CG$16,TRUE,Currency2))</f>
        <v>0</v>
      </c>
      <c r="CC406" s="882">
        <f>IF($BN407=0,0,        _xll.qDateNext($BN406,CC$17,$CG$16,TRUE,Currency2))</f>
        <v>0</v>
      </c>
      <c r="CD406" s="882">
        <f>IF($BN407=0,0,        _xll.qDateNext($BN406,CD$17,$CG$16,TRUE,Currency2))</f>
        <v>0</v>
      </c>
      <c r="CE406" s="882">
        <f>IF($BN407=0,0,        _xll.qDateNext($BN406,CE$17,$CG$16,TRUE,Currency2))</f>
        <v>0</v>
      </c>
      <c r="CF406" s="882">
        <f>IF($BN407=0,0,        _xll.qDateNext($BN406,CF$17,$CG$16,TRUE,Currency2))</f>
        <v>0</v>
      </c>
      <c r="CG406" s="882">
        <f>IF($BN407=0,0,        _xll.qDateNext($BN406,CG$17,$CG$16,TRUE,Currency2))</f>
        <v>0</v>
      </c>
      <c r="CH406" s="886">
        <v>0</v>
      </c>
      <c r="CI406" s="886">
        <v>0</v>
      </c>
      <c r="CJ406" s="886">
        <v>0</v>
      </c>
      <c r="CK406" s="886">
        <v>0</v>
      </c>
      <c r="CL406" s="886">
        <f t="shared" si="221"/>
        <v>0</v>
      </c>
      <c r="CM406" s="886">
        <f t="shared" si="222"/>
        <v>0</v>
      </c>
      <c r="CN406" s="886">
        <v>0</v>
      </c>
      <c r="CO406" s="886">
        <v>0</v>
      </c>
      <c r="CP406" s="648">
        <f t="shared" si="199"/>
        <v>0</v>
      </c>
      <c r="CQ406" s="648">
        <f t="shared" si="200"/>
        <v>0</v>
      </c>
      <c r="CR406" s="648">
        <f t="shared" si="201"/>
        <v>0</v>
      </c>
      <c r="CS406" s="648">
        <f t="shared" si="202"/>
        <v>0</v>
      </c>
      <c r="CT406" s="648">
        <f t="shared" si="203"/>
        <v>0</v>
      </c>
      <c r="CU406" s="648">
        <f t="shared" si="204"/>
        <v>0</v>
      </c>
      <c r="CV406" s="648">
        <f t="shared" si="205"/>
        <v>0</v>
      </c>
      <c r="CW406" s="648">
        <f t="shared" si="206"/>
        <v>0</v>
      </c>
      <c r="CX406" s="634">
        <v>0</v>
      </c>
      <c r="CY406" s="616"/>
      <c r="CZ406" s="619">
        <f>IF(BN407=0,0,             IF(ISNUMBER(CY406),CY406,             IF(ISTEXT(CY406),INDEX(CP406:CW406,MATCH(CY406,$CP$17:$CW$17,0)),           IF(CX406="INT",_xll.qInterp(BN407,BZ406:CG406,CP406:CW406),       INDEX(CP406:CW406,MATCH(CX406,$CP$17:$CW$17,0))))))</f>
        <v>0</v>
      </c>
      <c r="DA406" s="755">
        <f t="shared" si="207"/>
        <v>0</v>
      </c>
      <c r="DB406" s="387">
        <f t="shared" si="208"/>
        <v>0</v>
      </c>
      <c r="DC406" s="268">
        <f>IF($BN407=0,0,         IF(LEFT(DCC_Leg2_Fixed,2)="1/",uEvaluate(DCC_Leg2_Fixed),         _xll.qDateYears($BN406,$BN407,DCC_Leg2_Fixed)))</f>
        <v>0</v>
      </c>
      <c r="DD406" s="268">
        <f>IF($BN407,_xll.qDateYears($BN406,$BN407,DCC_Leg2_Float),0)</f>
        <v>0</v>
      </c>
      <c r="DF406" s="332">
        <f t="shared" si="223"/>
        <v>0</v>
      </c>
      <c r="DG406" s="357">
        <f t="shared" si="224"/>
        <v>0</v>
      </c>
      <c r="DH406" s="527"/>
      <c r="DJ406" s="324">
        <f t="shared" si="194"/>
        <v>0</v>
      </c>
      <c r="DK406" s="529"/>
      <c r="DL406" s="338"/>
    </row>
    <row r="407" spans="15:116">
      <c r="O407" s="121">
        <v>0</v>
      </c>
      <c r="P407" s="755">
        <f t="shared" si="195"/>
        <v>0</v>
      </c>
      <c r="Q407" s="125">
        <v>0</v>
      </c>
      <c r="R407" s="890">
        <f>IF(O408=0,0,         IF(OR(Currency1="AUD",Currency1="NZD",Currency1="GBP"),O407,   _xll.qDateNext(O407,"-2b",,,IF(Currency1="EUR","TGT","LON"))))</f>
        <v>0</v>
      </c>
      <c r="S407" s="879" t="str">
        <v/>
      </c>
      <c r="T407" s="879" t="str">
        <v/>
      </c>
      <c r="U407" s="879" t="str">
        <v/>
      </c>
      <c r="V407" s="879" t="str">
        <v/>
      </c>
      <c r="W407" s="879" t="str">
        <v/>
      </c>
      <c r="X407" s="879" t="str">
        <v/>
      </c>
      <c r="Y407" s="879" t="str">
        <v/>
      </c>
      <c r="Z407" s="879" t="str">
        <v/>
      </c>
      <c r="AA407" s="882">
        <f>IF($O408=0,0,        _xll.qDateNext($O407,AA$17,$AH$16,TRUE,Currency1))</f>
        <v>0</v>
      </c>
      <c r="AB407" s="882">
        <f>IF($O408=0,0,        _xll.qDateNext($O407,AB$17,$AH$16,TRUE,Currency1))</f>
        <v>0</v>
      </c>
      <c r="AC407" s="882">
        <f>IF($O408=0,0,        _xll.qDateNext($O407,AC$17,$AH$16,TRUE,Currency1))</f>
        <v>0</v>
      </c>
      <c r="AD407" s="882">
        <f>IF($O408=0,0,        _xll.qDateNext($O407,AD$17,$AH$16,TRUE,Currency1))</f>
        <v>0</v>
      </c>
      <c r="AE407" s="882">
        <f>IF($O408=0,0,        _xll.qDateNext($O407,AE$17,$AH$16,TRUE,Currency1))</f>
        <v>0</v>
      </c>
      <c r="AF407" s="882">
        <f>IF($O408=0,0,        _xll.qDateNext($O407,AF$17,$AH$16,TRUE,Currency1))</f>
        <v>0</v>
      </c>
      <c r="AG407" s="882">
        <f>IF($O408=0,0,        _xll.qDateNext($O407,AG$17,$AH$16,TRUE,Currency1))</f>
        <v>0</v>
      </c>
      <c r="AH407" s="882">
        <f>IF($O408=0,0,        _xll.qDateNext($O407,AH$17,$AH$16,TRUE,Currency1))</f>
        <v>0</v>
      </c>
      <c r="AI407" s="886">
        <f>IF($O408=0,0,           IF(FRM,_xll.qGetFwdRate(AI$14,$O407,AA407,"T",DCC_Leg1_Float),_xll.qGetFwdRate(AI$14,$O407,$O408,"T",DCC_Leg1_Float)))</f>
        <v>0</v>
      </c>
      <c r="AJ407" s="886">
        <f>IF($O408=0,0,           IF(FRM,_xll.qGetFwdRate(AJ$14,$O407,AB407,"T",DCC_Leg1_Float),_xll.qGetFwdRate(AJ$14,$O407,$O408,"T",DCC_Leg1_Float)))</f>
        <v>0</v>
      </c>
      <c r="AK407" s="886">
        <f t="shared" si="196"/>
        <v>0</v>
      </c>
      <c r="AL407" s="886">
        <f>IF($O408=0,0,           IF(FRM,_xll.qGetFwdRate(AL$14,$O407,AD407,"T",DCC_Leg1_Float),_xll.qGetFwdRate(AL$14,$O407,$O408,"T",DCC_Leg1_Float)))</f>
        <v>0</v>
      </c>
      <c r="AM407" s="886">
        <f t="shared" si="209"/>
        <v>0</v>
      </c>
      <c r="AN407" s="886">
        <f t="shared" si="210"/>
        <v>0</v>
      </c>
      <c r="AO407" s="886">
        <f>IF($O408=0,0,           IF(FRM,_xll.qGetFwdRate(AO$14,$O407,AG407,"T",DCC_Leg1_Float),_xll.qGetFwdRate(AO$14,$O407,$O408,"T",DCC_Leg1_Float)))</f>
        <v>0</v>
      </c>
      <c r="AP407" s="886">
        <f>IF($O408=0,0,           IF(FRM,_xll.qGetFwdRate(AP$14,$O407,AH407,"T",DCC_Leg1_Float),_xll.qGetFwdRate(AP$14,$O407,$O408,"T",DCC_Leg1_Float)))</f>
        <v>0</v>
      </c>
      <c r="AQ407" s="648">
        <f t="shared" si="211"/>
        <v>0</v>
      </c>
      <c r="AR407" s="648">
        <f t="shared" si="212"/>
        <v>0</v>
      </c>
      <c r="AS407" s="648">
        <f t="shared" si="213"/>
        <v>0</v>
      </c>
      <c r="AT407" s="648">
        <f t="shared" si="214"/>
        <v>0</v>
      </c>
      <c r="AU407" s="648">
        <f t="shared" si="215"/>
        <v>0</v>
      </c>
      <c r="AV407" s="648">
        <f t="shared" si="216"/>
        <v>0</v>
      </c>
      <c r="AW407" s="648">
        <f t="shared" si="217"/>
        <v>0</v>
      </c>
      <c r="AX407" s="648">
        <f t="shared" si="218"/>
        <v>0</v>
      </c>
      <c r="AY407" s="634">
        <v>0</v>
      </c>
      <c r="AZ407" s="616"/>
      <c r="BA407" s="619">
        <f>IF(O408=0,0,             IF(ISNUMBER(AZ407),AZ407,             IF(ISTEXT(AZ407),INDEX(AQ407:AX407,MATCH(AZ407,$AQ$17:$AX$17,0)),           IF(AY407="INT",_xll.qInterp(O408,AA407:AH407,AQ407:AX407),       INDEX(AQ407:AX407,MATCH(AY407,$AQ$17:$AX$17,0))))))</f>
        <v>0</v>
      </c>
      <c r="BB407" s="674">
        <v>100</v>
      </c>
      <c r="BC407" s="666">
        <f t="shared" si="197"/>
        <v>0</v>
      </c>
      <c r="BD407" s="268">
        <f>IF($O408=0,0,                IF(LEFT(DCC_Leg1_Fixed,2)="1/",uEvaluate(DCC_Leg1_Fixed),        _xll.qDateYears($O407,$O408,DCC_Leg1_Fixed)))</f>
        <v>0</v>
      </c>
      <c r="BE407" s="268">
        <f>IF($O408,_xll.qDateYears($O407,$O408,DCC_Leg1_Float),0)</f>
        <v>0</v>
      </c>
      <c r="BG407" s="332">
        <f t="shared" si="219"/>
        <v>0</v>
      </c>
      <c r="BH407" s="357">
        <f t="shared" si="220"/>
        <v>0</v>
      </c>
      <c r="BI407" s="527"/>
      <c r="BK407" s="324">
        <f t="shared" si="193"/>
        <v>0</v>
      </c>
      <c r="BM407" s="338"/>
      <c r="BN407" s="121">
        <v>0</v>
      </c>
      <c r="BO407" s="755">
        <f t="shared" si="198"/>
        <v>0</v>
      </c>
      <c r="BP407" s="339">
        <v>0</v>
      </c>
      <c r="BQ407" s="890">
        <f>IF(BN408=0,0,         IF(OR(Currency2="AUD",Currency1="NZD",Currency2="GBP"),BN407,   _xll.qDateNext(BN407,"-2b",,,IF(Currency2="EUR","TGT","LON"))))</f>
        <v>0</v>
      </c>
      <c r="BR407" s="879" t="str">
        <v/>
      </c>
      <c r="BS407" s="879" t="str">
        <v/>
      </c>
      <c r="BT407" s="879" t="str">
        <v/>
      </c>
      <c r="BU407" s="879" t="str">
        <v/>
      </c>
      <c r="BV407" s="879" t="str">
        <v/>
      </c>
      <c r="BW407" s="879" t="str">
        <v/>
      </c>
      <c r="BX407" s="879" t="str">
        <v/>
      </c>
      <c r="BY407" s="879" t="str">
        <v/>
      </c>
      <c r="BZ407" s="882">
        <f>IF($BN408=0,0,        _xll.qDateNext($BN407,BZ$17,$CG$16,TRUE,Currency2))</f>
        <v>0</v>
      </c>
      <c r="CA407" s="882">
        <f>IF($BN408=0,0,        _xll.qDateNext($BN407,CA$17,$CG$16,TRUE,Currency2))</f>
        <v>0</v>
      </c>
      <c r="CB407" s="882">
        <f>IF($BN408=0,0,        _xll.qDateNext($BN407,CB$17,$CG$16,TRUE,Currency2))</f>
        <v>0</v>
      </c>
      <c r="CC407" s="882">
        <f>IF($BN408=0,0,        _xll.qDateNext($BN407,CC$17,$CG$16,TRUE,Currency2))</f>
        <v>0</v>
      </c>
      <c r="CD407" s="882">
        <f>IF($BN408=0,0,        _xll.qDateNext($BN407,CD$17,$CG$16,TRUE,Currency2))</f>
        <v>0</v>
      </c>
      <c r="CE407" s="882">
        <f>IF($BN408=0,0,        _xll.qDateNext($BN407,CE$17,$CG$16,TRUE,Currency2))</f>
        <v>0</v>
      </c>
      <c r="CF407" s="882">
        <f>IF($BN408=0,0,        _xll.qDateNext($BN407,CF$17,$CG$16,TRUE,Currency2))</f>
        <v>0</v>
      </c>
      <c r="CG407" s="882">
        <f>IF($BN408=0,0,        _xll.qDateNext($BN407,CG$17,$CG$16,TRUE,Currency2))</f>
        <v>0</v>
      </c>
      <c r="CH407" s="886">
        <v>0</v>
      </c>
      <c r="CI407" s="886">
        <v>0</v>
      </c>
      <c r="CJ407" s="886">
        <v>0</v>
      </c>
      <c r="CK407" s="886">
        <v>0</v>
      </c>
      <c r="CL407" s="886">
        <f t="shared" si="221"/>
        <v>0</v>
      </c>
      <c r="CM407" s="886">
        <f t="shared" si="222"/>
        <v>0</v>
      </c>
      <c r="CN407" s="886">
        <v>0</v>
      </c>
      <c r="CO407" s="886">
        <v>0</v>
      </c>
      <c r="CP407" s="648">
        <f t="shared" si="199"/>
        <v>0</v>
      </c>
      <c r="CQ407" s="648">
        <f t="shared" si="200"/>
        <v>0</v>
      </c>
      <c r="CR407" s="648">
        <f t="shared" si="201"/>
        <v>0</v>
      </c>
      <c r="CS407" s="648">
        <f t="shared" si="202"/>
        <v>0</v>
      </c>
      <c r="CT407" s="648">
        <f t="shared" si="203"/>
        <v>0</v>
      </c>
      <c r="CU407" s="648">
        <f t="shared" si="204"/>
        <v>0</v>
      </c>
      <c r="CV407" s="648">
        <f t="shared" si="205"/>
        <v>0</v>
      </c>
      <c r="CW407" s="648">
        <f t="shared" si="206"/>
        <v>0</v>
      </c>
      <c r="CX407" s="634">
        <v>0</v>
      </c>
      <c r="CY407" s="616"/>
      <c r="CZ407" s="619">
        <f>IF(BN408=0,0,             IF(ISNUMBER(CY407),CY407,             IF(ISTEXT(CY407),INDEX(CP407:CW407,MATCH(CY407,$CP$17:$CW$17,0)),           IF(CX407="INT",_xll.qInterp(BN408,BZ407:CG407,CP407:CW407),       INDEX(CP407:CW407,MATCH(CX407,$CP$17:$CW$17,0))))))</f>
        <v>0</v>
      </c>
      <c r="DA407" s="755">
        <f t="shared" si="207"/>
        <v>0</v>
      </c>
      <c r="DB407" s="387">
        <f t="shared" si="208"/>
        <v>0</v>
      </c>
      <c r="DC407" s="268">
        <f>IF($BN408=0,0,         IF(LEFT(DCC_Leg2_Fixed,2)="1/",uEvaluate(DCC_Leg2_Fixed),         _xll.qDateYears($BN407,$BN408,DCC_Leg2_Fixed)))</f>
        <v>0</v>
      </c>
      <c r="DD407" s="268">
        <f>IF($BN408,_xll.qDateYears($BN407,$BN408,DCC_Leg2_Float),0)</f>
        <v>0</v>
      </c>
      <c r="DF407" s="332">
        <f t="shared" si="223"/>
        <v>0</v>
      </c>
      <c r="DG407" s="357">
        <f t="shared" si="224"/>
        <v>0</v>
      </c>
      <c r="DH407" s="527"/>
      <c r="DJ407" s="324">
        <f t="shared" si="194"/>
        <v>0</v>
      </c>
      <c r="DK407" s="529"/>
      <c r="DL407" s="338"/>
    </row>
    <row r="408" spans="15:116">
      <c r="O408" s="121">
        <v>0</v>
      </c>
      <c r="P408" s="755">
        <f t="shared" si="195"/>
        <v>0</v>
      </c>
      <c r="Q408" s="125">
        <v>0</v>
      </c>
      <c r="R408" s="890">
        <f>IF(O409=0,0,         IF(OR(Currency1="AUD",Currency1="NZD",Currency1="GBP"),O408,   _xll.qDateNext(O408,"-2b",,,IF(Currency1="EUR","TGT","LON"))))</f>
        <v>0</v>
      </c>
      <c r="S408" s="879" t="str">
        <v/>
      </c>
      <c r="T408" s="879" t="str">
        <v/>
      </c>
      <c r="U408" s="879" t="str">
        <v/>
      </c>
      <c r="V408" s="879" t="str">
        <v/>
      </c>
      <c r="W408" s="879" t="str">
        <v/>
      </c>
      <c r="X408" s="879" t="str">
        <v/>
      </c>
      <c r="Y408" s="879" t="str">
        <v/>
      </c>
      <c r="Z408" s="879" t="str">
        <v/>
      </c>
      <c r="AA408" s="882">
        <f>IF($O409=0,0,        _xll.qDateNext($O408,AA$17,$AH$16,TRUE,Currency1))</f>
        <v>0</v>
      </c>
      <c r="AB408" s="882">
        <f>IF($O409=0,0,        _xll.qDateNext($O408,AB$17,$AH$16,TRUE,Currency1))</f>
        <v>0</v>
      </c>
      <c r="AC408" s="882">
        <f>IF($O409=0,0,        _xll.qDateNext($O408,AC$17,$AH$16,TRUE,Currency1))</f>
        <v>0</v>
      </c>
      <c r="AD408" s="882">
        <f>IF($O409=0,0,        _xll.qDateNext($O408,AD$17,$AH$16,TRUE,Currency1))</f>
        <v>0</v>
      </c>
      <c r="AE408" s="882">
        <f>IF($O409=0,0,        _xll.qDateNext($O408,AE$17,$AH$16,TRUE,Currency1))</f>
        <v>0</v>
      </c>
      <c r="AF408" s="882">
        <f>IF($O409=0,0,        _xll.qDateNext($O408,AF$17,$AH$16,TRUE,Currency1))</f>
        <v>0</v>
      </c>
      <c r="AG408" s="882">
        <f>IF($O409=0,0,        _xll.qDateNext($O408,AG$17,$AH$16,TRUE,Currency1))</f>
        <v>0</v>
      </c>
      <c r="AH408" s="882">
        <f>IF($O409=0,0,        _xll.qDateNext($O408,AH$17,$AH$16,TRUE,Currency1))</f>
        <v>0</v>
      </c>
      <c r="AI408" s="886">
        <f>IF($O409=0,0,           IF(FRM,_xll.qGetFwdRate(AI$14,$O408,AA408,"T",DCC_Leg1_Float),_xll.qGetFwdRate(AI$14,$O408,$O409,"T",DCC_Leg1_Float)))</f>
        <v>0</v>
      </c>
      <c r="AJ408" s="886">
        <f>IF($O409=0,0,           IF(FRM,_xll.qGetFwdRate(AJ$14,$O408,AB408,"T",DCC_Leg1_Float),_xll.qGetFwdRate(AJ$14,$O408,$O409,"T",DCC_Leg1_Float)))</f>
        <v>0</v>
      </c>
      <c r="AK408" s="886">
        <f t="shared" si="196"/>
        <v>0</v>
      </c>
      <c r="AL408" s="886">
        <f>IF($O409=0,0,           IF(FRM,_xll.qGetFwdRate(AL$14,$O408,AD408,"T",DCC_Leg1_Float),_xll.qGetFwdRate(AL$14,$O408,$O409,"T",DCC_Leg1_Float)))</f>
        <v>0</v>
      </c>
      <c r="AM408" s="886">
        <f t="shared" si="209"/>
        <v>0</v>
      </c>
      <c r="AN408" s="886">
        <f t="shared" si="210"/>
        <v>0</v>
      </c>
      <c r="AO408" s="886">
        <f>IF($O409=0,0,           IF(FRM,_xll.qGetFwdRate(AO$14,$O408,AG408,"T",DCC_Leg1_Float),_xll.qGetFwdRate(AO$14,$O408,$O409,"T",DCC_Leg1_Float)))</f>
        <v>0</v>
      </c>
      <c r="AP408" s="886">
        <f>IF($O409=0,0,           IF(FRM,_xll.qGetFwdRate(AP$14,$O408,AH408,"T",DCC_Leg1_Float),_xll.qGetFwdRate(AP$14,$O408,$O409,"T",DCC_Leg1_Float)))</f>
        <v>0</v>
      </c>
      <c r="AQ408" s="648">
        <f t="shared" si="211"/>
        <v>0</v>
      </c>
      <c r="AR408" s="648">
        <f t="shared" si="212"/>
        <v>0</v>
      </c>
      <c r="AS408" s="648">
        <f t="shared" si="213"/>
        <v>0</v>
      </c>
      <c r="AT408" s="648">
        <f t="shared" si="214"/>
        <v>0</v>
      </c>
      <c r="AU408" s="648">
        <f t="shared" si="215"/>
        <v>0</v>
      </c>
      <c r="AV408" s="648">
        <f t="shared" si="216"/>
        <v>0</v>
      </c>
      <c r="AW408" s="648">
        <f t="shared" si="217"/>
        <v>0</v>
      </c>
      <c r="AX408" s="648">
        <f t="shared" si="218"/>
        <v>0</v>
      </c>
      <c r="AY408" s="634">
        <v>0</v>
      </c>
      <c r="AZ408" s="616"/>
      <c r="BA408" s="619">
        <f>IF(O409=0,0,             IF(ISNUMBER(AZ408),AZ408,             IF(ISTEXT(AZ408),INDEX(AQ408:AX408,MATCH(AZ408,$AQ$17:$AX$17,0)),           IF(AY408="INT",_xll.qInterp(O409,AA408:AH408,AQ408:AX408),       INDEX(AQ408:AX408,MATCH(AY408,$AQ$17:$AX$17,0))))))</f>
        <v>0</v>
      </c>
      <c r="BB408" s="674">
        <v>100</v>
      </c>
      <c r="BC408" s="666">
        <f t="shared" si="197"/>
        <v>0</v>
      </c>
      <c r="BD408" s="268">
        <f>IF($O409=0,0,                IF(LEFT(DCC_Leg1_Fixed,2)="1/",uEvaluate(DCC_Leg1_Fixed),        _xll.qDateYears($O408,$O409,DCC_Leg1_Fixed)))</f>
        <v>0</v>
      </c>
      <c r="BE408" s="268">
        <f>IF($O409,_xll.qDateYears($O408,$O409,DCC_Leg1_Float),0)</f>
        <v>0</v>
      </c>
      <c r="BG408" s="332">
        <f t="shared" si="219"/>
        <v>0</v>
      </c>
      <c r="BH408" s="357">
        <f t="shared" si="220"/>
        <v>0</v>
      </c>
      <c r="BI408" s="527"/>
      <c r="BK408" s="324">
        <f t="shared" si="193"/>
        <v>0</v>
      </c>
      <c r="BM408" s="338"/>
      <c r="BN408" s="121">
        <v>0</v>
      </c>
      <c r="BO408" s="755">
        <f t="shared" si="198"/>
        <v>0</v>
      </c>
      <c r="BP408" s="339">
        <v>0</v>
      </c>
      <c r="BQ408" s="890">
        <f>IF(BN409=0,0,         IF(OR(Currency2="AUD",Currency1="NZD",Currency2="GBP"),BN408,   _xll.qDateNext(BN408,"-2b",,,IF(Currency2="EUR","TGT","LON"))))</f>
        <v>0</v>
      </c>
      <c r="BR408" s="879" t="str">
        <v/>
      </c>
      <c r="BS408" s="879" t="str">
        <v/>
      </c>
      <c r="BT408" s="879" t="str">
        <v/>
      </c>
      <c r="BU408" s="879" t="str">
        <v/>
      </c>
      <c r="BV408" s="879" t="str">
        <v/>
      </c>
      <c r="BW408" s="879" t="str">
        <v/>
      </c>
      <c r="BX408" s="879" t="str">
        <v/>
      </c>
      <c r="BY408" s="879" t="str">
        <v/>
      </c>
      <c r="BZ408" s="882">
        <f>IF($BN409=0,0,        _xll.qDateNext($BN408,BZ$17,$CG$16,TRUE,Currency2))</f>
        <v>0</v>
      </c>
      <c r="CA408" s="882">
        <f>IF($BN409=0,0,        _xll.qDateNext($BN408,CA$17,$CG$16,TRUE,Currency2))</f>
        <v>0</v>
      </c>
      <c r="CB408" s="882">
        <f>IF($BN409=0,0,        _xll.qDateNext($BN408,CB$17,$CG$16,TRUE,Currency2))</f>
        <v>0</v>
      </c>
      <c r="CC408" s="882">
        <f>IF($BN409=0,0,        _xll.qDateNext($BN408,CC$17,$CG$16,TRUE,Currency2))</f>
        <v>0</v>
      </c>
      <c r="CD408" s="882">
        <f>IF($BN409=0,0,        _xll.qDateNext($BN408,CD$17,$CG$16,TRUE,Currency2))</f>
        <v>0</v>
      </c>
      <c r="CE408" s="882">
        <f>IF($BN409=0,0,        _xll.qDateNext($BN408,CE$17,$CG$16,TRUE,Currency2))</f>
        <v>0</v>
      </c>
      <c r="CF408" s="882">
        <f>IF($BN409=0,0,        _xll.qDateNext($BN408,CF$17,$CG$16,TRUE,Currency2))</f>
        <v>0</v>
      </c>
      <c r="CG408" s="882">
        <f>IF($BN409=0,0,        _xll.qDateNext($BN408,CG$17,$CG$16,TRUE,Currency2))</f>
        <v>0</v>
      </c>
      <c r="CH408" s="886">
        <v>0</v>
      </c>
      <c r="CI408" s="886">
        <v>0</v>
      </c>
      <c r="CJ408" s="886">
        <v>0</v>
      </c>
      <c r="CK408" s="886">
        <v>0</v>
      </c>
      <c r="CL408" s="886">
        <f t="shared" si="221"/>
        <v>0</v>
      </c>
      <c r="CM408" s="886">
        <f t="shared" si="222"/>
        <v>0</v>
      </c>
      <c r="CN408" s="886">
        <v>0</v>
      </c>
      <c r="CO408" s="886">
        <v>0</v>
      </c>
      <c r="CP408" s="648">
        <f t="shared" si="199"/>
        <v>0</v>
      </c>
      <c r="CQ408" s="648">
        <f t="shared" si="200"/>
        <v>0</v>
      </c>
      <c r="CR408" s="648">
        <f t="shared" si="201"/>
        <v>0</v>
      </c>
      <c r="CS408" s="648">
        <f t="shared" si="202"/>
        <v>0</v>
      </c>
      <c r="CT408" s="648">
        <f t="shared" si="203"/>
        <v>0</v>
      </c>
      <c r="CU408" s="648">
        <f t="shared" si="204"/>
        <v>0</v>
      </c>
      <c r="CV408" s="648">
        <f t="shared" si="205"/>
        <v>0</v>
      </c>
      <c r="CW408" s="648">
        <f t="shared" si="206"/>
        <v>0</v>
      </c>
      <c r="CX408" s="634">
        <v>0</v>
      </c>
      <c r="CY408" s="616"/>
      <c r="CZ408" s="619">
        <f>IF(BN409=0,0,             IF(ISNUMBER(CY408),CY408,             IF(ISTEXT(CY408),INDEX(CP408:CW408,MATCH(CY408,$CP$17:$CW$17,0)),           IF(CX408="INT",_xll.qInterp(BN409,BZ408:CG408,CP408:CW408),       INDEX(CP408:CW408,MATCH(CX408,$CP$17:$CW$17,0))))))</f>
        <v>0</v>
      </c>
      <c r="DA408" s="755">
        <f t="shared" si="207"/>
        <v>0</v>
      </c>
      <c r="DB408" s="387">
        <f t="shared" si="208"/>
        <v>0</v>
      </c>
      <c r="DC408" s="268">
        <f>IF($BN409=0,0,         IF(LEFT(DCC_Leg2_Fixed,2)="1/",uEvaluate(DCC_Leg2_Fixed),         _xll.qDateYears($BN408,$BN409,DCC_Leg2_Fixed)))</f>
        <v>0</v>
      </c>
      <c r="DD408" s="268">
        <f>IF($BN409,_xll.qDateYears($BN408,$BN409,DCC_Leg2_Float),0)</f>
        <v>0</v>
      </c>
      <c r="DF408" s="332">
        <f t="shared" si="223"/>
        <v>0</v>
      </c>
      <c r="DG408" s="357">
        <f t="shared" si="224"/>
        <v>0</v>
      </c>
      <c r="DH408" s="527"/>
      <c r="DJ408" s="324">
        <f t="shared" si="194"/>
        <v>0</v>
      </c>
      <c r="DK408" s="529"/>
      <c r="DL408" s="338"/>
    </row>
    <row r="409" spans="15:116">
      <c r="O409" s="121">
        <v>0</v>
      </c>
      <c r="P409" s="755">
        <f t="shared" si="195"/>
        <v>0</v>
      </c>
      <c r="Q409" s="125">
        <v>0</v>
      </c>
      <c r="R409" s="890">
        <f>IF(O410=0,0,         IF(OR(Currency1="AUD",Currency1="NZD",Currency1="GBP"),O409,   _xll.qDateNext(O409,"-2b",,,IF(Currency1="EUR","TGT","LON"))))</f>
        <v>0</v>
      </c>
      <c r="S409" s="879" t="str">
        <v/>
      </c>
      <c r="T409" s="879" t="str">
        <v/>
      </c>
      <c r="U409" s="879" t="str">
        <v/>
      </c>
      <c r="V409" s="879" t="str">
        <v/>
      </c>
      <c r="W409" s="879" t="str">
        <v/>
      </c>
      <c r="X409" s="879" t="str">
        <v/>
      </c>
      <c r="Y409" s="879" t="str">
        <v/>
      </c>
      <c r="Z409" s="879" t="str">
        <v/>
      </c>
      <c r="AA409" s="882">
        <f>IF($O410=0,0,        _xll.qDateNext($O409,AA$17,$AH$16,TRUE,Currency1))</f>
        <v>0</v>
      </c>
      <c r="AB409" s="882">
        <f>IF($O410=0,0,        _xll.qDateNext($O409,AB$17,$AH$16,TRUE,Currency1))</f>
        <v>0</v>
      </c>
      <c r="AC409" s="882">
        <f>IF($O410=0,0,        _xll.qDateNext($O409,AC$17,$AH$16,TRUE,Currency1))</f>
        <v>0</v>
      </c>
      <c r="AD409" s="882">
        <f>IF($O410=0,0,        _xll.qDateNext($O409,AD$17,$AH$16,TRUE,Currency1))</f>
        <v>0</v>
      </c>
      <c r="AE409" s="882">
        <f>IF($O410=0,0,        _xll.qDateNext($O409,AE$17,$AH$16,TRUE,Currency1))</f>
        <v>0</v>
      </c>
      <c r="AF409" s="882">
        <f>IF($O410=0,0,        _xll.qDateNext($O409,AF$17,$AH$16,TRUE,Currency1))</f>
        <v>0</v>
      </c>
      <c r="AG409" s="882">
        <f>IF($O410=0,0,        _xll.qDateNext($O409,AG$17,$AH$16,TRUE,Currency1))</f>
        <v>0</v>
      </c>
      <c r="AH409" s="882">
        <f>IF($O410=0,0,        _xll.qDateNext($O409,AH$17,$AH$16,TRUE,Currency1))</f>
        <v>0</v>
      </c>
      <c r="AI409" s="886">
        <f>IF($O410=0,0,           IF(FRM,_xll.qGetFwdRate(AI$14,$O409,AA409,"T",DCC_Leg1_Float),_xll.qGetFwdRate(AI$14,$O409,$O410,"T",DCC_Leg1_Float)))</f>
        <v>0</v>
      </c>
      <c r="AJ409" s="886">
        <f>IF($O410=0,0,           IF(FRM,_xll.qGetFwdRate(AJ$14,$O409,AB409,"T",DCC_Leg1_Float),_xll.qGetFwdRate(AJ$14,$O409,$O410,"T",DCC_Leg1_Float)))</f>
        <v>0</v>
      </c>
      <c r="AK409" s="886">
        <f t="shared" si="196"/>
        <v>0</v>
      </c>
      <c r="AL409" s="886">
        <f>IF($O410=0,0,           IF(FRM,_xll.qGetFwdRate(AL$14,$O409,AD409,"T",DCC_Leg1_Float),_xll.qGetFwdRate(AL$14,$O409,$O410,"T",DCC_Leg1_Float)))</f>
        <v>0</v>
      </c>
      <c r="AM409" s="886">
        <f t="shared" si="209"/>
        <v>0</v>
      </c>
      <c r="AN409" s="886">
        <f t="shared" si="210"/>
        <v>0</v>
      </c>
      <c r="AO409" s="886">
        <f>IF($O410=0,0,           IF(FRM,_xll.qGetFwdRate(AO$14,$O409,AG409,"T",DCC_Leg1_Float),_xll.qGetFwdRate(AO$14,$O409,$O410,"T",DCC_Leg1_Float)))</f>
        <v>0</v>
      </c>
      <c r="AP409" s="886">
        <f>IF($O410=0,0,           IF(FRM,_xll.qGetFwdRate(AP$14,$O409,AH409,"T",DCC_Leg1_Float),_xll.qGetFwdRate(AP$14,$O409,$O410,"T",DCC_Leg1_Float)))</f>
        <v>0</v>
      </c>
      <c r="AQ409" s="648">
        <f t="shared" si="211"/>
        <v>0</v>
      </c>
      <c r="AR409" s="648">
        <f t="shared" si="212"/>
        <v>0</v>
      </c>
      <c r="AS409" s="648">
        <f t="shared" si="213"/>
        <v>0</v>
      </c>
      <c r="AT409" s="648">
        <f t="shared" si="214"/>
        <v>0</v>
      </c>
      <c r="AU409" s="648">
        <f t="shared" si="215"/>
        <v>0</v>
      </c>
      <c r="AV409" s="648">
        <f t="shared" si="216"/>
        <v>0</v>
      </c>
      <c r="AW409" s="648">
        <f t="shared" si="217"/>
        <v>0</v>
      </c>
      <c r="AX409" s="648">
        <f t="shared" si="218"/>
        <v>0</v>
      </c>
      <c r="AY409" s="634">
        <v>0</v>
      </c>
      <c r="AZ409" s="616"/>
      <c r="BA409" s="619">
        <f>IF(O410=0,0,             IF(ISNUMBER(AZ409),AZ409,             IF(ISTEXT(AZ409),INDEX(AQ409:AX409,MATCH(AZ409,$AQ$17:$AX$17,0)),           IF(AY409="INT",_xll.qInterp(O410,AA409:AH409,AQ409:AX409),       INDEX(AQ409:AX409,MATCH(AY409,$AQ$17:$AX$17,0))))))</f>
        <v>0</v>
      </c>
      <c r="BB409" s="674">
        <v>100</v>
      </c>
      <c r="BC409" s="666">
        <f t="shared" si="197"/>
        <v>0</v>
      </c>
      <c r="BD409" s="268">
        <f>IF($O410=0,0,                IF(LEFT(DCC_Leg1_Fixed,2)="1/",uEvaluate(DCC_Leg1_Fixed),        _xll.qDateYears($O409,$O410,DCC_Leg1_Fixed)))</f>
        <v>0</v>
      </c>
      <c r="BE409" s="268">
        <f>IF($O410,_xll.qDateYears($O409,$O410,DCC_Leg1_Float),0)</f>
        <v>0</v>
      </c>
      <c r="BG409" s="332">
        <f t="shared" si="219"/>
        <v>0</v>
      </c>
      <c r="BH409" s="357">
        <f t="shared" si="220"/>
        <v>0</v>
      </c>
      <c r="BI409" s="527"/>
      <c r="BK409" s="324">
        <f t="shared" si="193"/>
        <v>0</v>
      </c>
      <c r="BM409" s="338"/>
      <c r="BN409" s="121">
        <v>0</v>
      </c>
      <c r="BO409" s="755">
        <f t="shared" si="198"/>
        <v>0</v>
      </c>
      <c r="BP409" s="339">
        <v>0</v>
      </c>
      <c r="BQ409" s="890">
        <f>IF(BN410=0,0,         IF(OR(Currency2="AUD",Currency1="NZD",Currency2="GBP"),BN409,   _xll.qDateNext(BN409,"-2b",,,IF(Currency2="EUR","TGT","LON"))))</f>
        <v>0</v>
      </c>
      <c r="BR409" s="879" t="str">
        <v/>
      </c>
      <c r="BS409" s="879" t="str">
        <v/>
      </c>
      <c r="BT409" s="879" t="str">
        <v/>
      </c>
      <c r="BU409" s="879" t="str">
        <v/>
      </c>
      <c r="BV409" s="879" t="str">
        <v/>
      </c>
      <c r="BW409" s="879" t="str">
        <v/>
      </c>
      <c r="BX409" s="879" t="str">
        <v/>
      </c>
      <c r="BY409" s="879" t="str">
        <v/>
      </c>
      <c r="BZ409" s="882">
        <f>IF($BN410=0,0,        _xll.qDateNext($BN409,BZ$17,$CG$16,TRUE,Currency2))</f>
        <v>0</v>
      </c>
      <c r="CA409" s="882">
        <f>IF($BN410=0,0,        _xll.qDateNext($BN409,CA$17,$CG$16,TRUE,Currency2))</f>
        <v>0</v>
      </c>
      <c r="CB409" s="882">
        <f>IF($BN410=0,0,        _xll.qDateNext($BN409,CB$17,$CG$16,TRUE,Currency2))</f>
        <v>0</v>
      </c>
      <c r="CC409" s="882">
        <f>IF($BN410=0,0,        _xll.qDateNext($BN409,CC$17,$CG$16,TRUE,Currency2))</f>
        <v>0</v>
      </c>
      <c r="CD409" s="882">
        <f>IF($BN410=0,0,        _xll.qDateNext($BN409,CD$17,$CG$16,TRUE,Currency2))</f>
        <v>0</v>
      </c>
      <c r="CE409" s="882">
        <f>IF($BN410=0,0,        _xll.qDateNext($BN409,CE$17,$CG$16,TRUE,Currency2))</f>
        <v>0</v>
      </c>
      <c r="CF409" s="882">
        <f>IF($BN410=0,0,        _xll.qDateNext($BN409,CF$17,$CG$16,TRUE,Currency2))</f>
        <v>0</v>
      </c>
      <c r="CG409" s="882">
        <f>IF($BN410=0,0,        _xll.qDateNext($BN409,CG$17,$CG$16,TRUE,Currency2))</f>
        <v>0</v>
      </c>
      <c r="CH409" s="886">
        <v>0</v>
      </c>
      <c r="CI409" s="886">
        <v>0</v>
      </c>
      <c r="CJ409" s="886">
        <v>0</v>
      </c>
      <c r="CK409" s="886">
        <v>0</v>
      </c>
      <c r="CL409" s="886">
        <f t="shared" si="221"/>
        <v>0</v>
      </c>
      <c r="CM409" s="886">
        <f t="shared" si="222"/>
        <v>0</v>
      </c>
      <c r="CN409" s="886">
        <v>0</v>
      </c>
      <c r="CO409" s="886">
        <v>0</v>
      </c>
      <c r="CP409" s="648">
        <f t="shared" si="199"/>
        <v>0</v>
      </c>
      <c r="CQ409" s="648">
        <f t="shared" si="200"/>
        <v>0</v>
      </c>
      <c r="CR409" s="648">
        <f t="shared" si="201"/>
        <v>0</v>
      </c>
      <c r="CS409" s="648">
        <f t="shared" si="202"/>
        <v>0</v>
      </c>
      <c r="CT409" s="648">
        <f t="shared" si="203"/>
        <v>0</v>
      </c>
      <c r="CU409" s="648">
        <f t="shared" si="204"/>
        <v>0</v>
      </c>
      <c r="CV409" s="648">
        <f t="shared" si="205"/>
        <v>0</v>
      </c>
      <c r="CW409" s="648">
        <f t="shared" si="206"/>
        <v>0</v>
      </c>
      <c r="CX409" s="634">
        <v>0</v>
      </c>
      <c r="CY409" s="616"/>
      <c r="CZ409" s="619">
        <f>IF(BN410=0,0,             IF(ISNUMBER(CY409),CY409,             IF(ISTEXT(CY409),INDEX(CP409:CW409,MATCH(CY409,$CP$17:$CW$17,0)),           IF(CX409="INT",_xll.qInterp(BN410,BZ409:CG409,CP409:CW409),       INDEX(CP409:CW409,MATCH(CX409,$CP$17:$CW$17,0))))))</f>
        <v>0</v>
      </c>
      <c r="DA409" s="755">
        <f t="shared" si="207"/>
        <v>0</v>
      </c>
      <c r="DB409" s="387">
        <f t="shared" si="208"/>
        <v>0</v>
      </c>
      <c r="DC409" s="268">
        <f>IF($BN410=0,0,         IF(LEFT(DCC_Leg2_Fixed,2)="1/",uEvaluate(DCC_Leg2_Fixed),         _xll.qDateYears($BN409,$BN410,DCC_Leg2_Fixed)))</f>
        <v>0</v>
      </c>
      <c r="DD409" s="268">
        <f>IF($BN410,_xll.qDateYears($BN409,$BN410,DCC_Leg2_Float),0)</f>
        <v>0</v>
      </c>
      <c r="DF409" s="332">
        <f t="shared" si="223"/>
        <v>0</v>
      </c>
      <c r="DG409" s="357">
        <f t="shared" si="224"/>
        <v>0</v>
      </c>
      <c r="DH409" s="527"/>
      <c r="DJ409" s="324">
        <f t="shared" si="194"/>
        <v>0</v>
      </c>
      <c r="DK409" s="529"/>
      <c r="DL409" s="338"/>
    </row>
    <row r="410" spans="15:116">
      <c r="O410" s="121">
        <v>0</v>
      </c>
      <c r="P410" s="755">
        <f t="shared" si="195"/>
        <v>0</v>
      </c>
      <c r="Q410" s="125">
        <v>0</v>
      </c>
      <c r="R410" s="890">
        <f>IF(O411=0,0,         IF(OR(Currency1="AUD",Currency1="NZD",Currency1="GBP"),O410,   _xll.qDateNext(O410,"-2b",,,IF(Currency1="EUR","TGT","LON"))))</f>
        <v>0</v>
      </c>
      <c r="S410" s="879" t="str">
        <v/>
      </c>
      <c r="T410" s="879" t="str">
        <v/>
      </c>
      <c r="U410" s="879" t="str">
        <v/>
      </c>
      <c r="V410" s="879" t="str">
        <v/>
      </c>
      <c r="W410" s="879" t="str">
        <v/>
      </c>
      <c r="X410" s="879" t="str">
        <v/>
      </c>
      <c r="Y410" s="879" t="str">
        <v/>
      </c>
      <c r="Z410" s="879" t="str">
        <v/>
      </c>
      <c r="AA410" s="882">
        <f>IF($O411=0,0,        _xll.qDateNext($O410,AA$17,$AH$16,TRUE,Currency1))</f>
        <v>0</v>
      </c>
      <c r="AB410" s="882">
        <f>IF($O411=0,0,        _xll.qDateNext($O410,AB$17,$AH$16,TRUE,Currency1))</f>
        <v>0</v>
      </c>
      <c r="AC410" s="882">
        <f>IF($O411=0,0,        _xll.qDateNext($O410,AC$17,$AH$16,TRUE,Currency1))</f>
        <v>0</v>
      </c>
      <c r="AD410" s="882">
        <f>IF($O411=0,0,        _xll.qDateNext($O410,AD$17,$AH$16,TRUE,Currency1))</f>
        <v>0</v>
      </c>
      <c r="AE410" s="882">
        <f>IF($O411=0,0,        _xll.qDateNext($O410,AE$17,$AH$16,TRUE,Currency1))</f>
        <v>0</v>
      </c>
      <c r="AF410" s="882">
        <f>IF($O411=0,0,        _xll.qDateNext($O410,AF$17,$AH$16,TRUE,Currency1))</f>
        <v>0</v>
      </c>
      <c r="AG410" s="882">
        <f>IF($O411=0,0,        _xll.qDateNext($O410,AG$17,$AH$16,TRUE,Currency1))</f>
        <v>0</v>
      </c>
      <c r="AH410" s="882">
        <f>IF($O411=0,0,        _xll.qDateNext($O410,AH$17,$AH$16,TRUE,Currency1))</f>
        <v>0</v>
      </c>
      <c r="AI410" s="886">
        <f>IF($O411=0,0,           IF(FRM,_xll.qGetFwdRate(AI$14,$O410,AA410,"T",DCC_Leg1_Float),_xll.qGetFwdRate(AI$14,$O410,$O411,"T",DCC_Leg1_Float)))</f>
        <v>0</v>
      </c>
      <c r="AJ410" s="886">
        <f>IF($O411=0,0,           IF(FRM,_xll.qGetFwdRate(AJ$14,$O410,AB410,"T",DCC_Leg1_Float),_xll.qGetFwdRate(AJ$14,$O410,$O411,"T",DCC_Leg1_Float)))</f>
        <v>0</v>
      </c>
      <c r="AK410" s="886">
        <f t="shared" si="196"/>
        <v>0</v>
      </c>
      <c r="AL410" s="886">
        <f>IF($O411=0,0,           IF(FRM,_xll.qGetFwdRate(AL$14,$O410,AD410,"T",DCC_Leg1_Float),_xll.qGetFwdRate(AL$14,$O410,$O411,"T",DCC_Leg1_Float)))</f>
        <v>0</v>
      </c>
      <c r="AM410" s="886">
        <f t="shared" si="209"/>
        <v>0</v>
      </c>
      <c r="AN410" s="886">
        <f t="shared" si="210"/>
        <v>0</v>
      </c>
      <c r="AO410" s="886">
        <f>IF($O411=0,0,           IF(FRM,_xll.qGetFwdRate(AO$14,$O410,AG410,"T",DCC_Leg1_Float),_xll.qGetFwdRate(AO$14,$O410,$O411,"T",DCC_Leg1_Float)))</f>
        <v>0</v>
      </c>
      <c r="AP410" s="886">
        <f>IF($O411=0,0,           IF(FRM,_xll.qGetFwdRate(AP$14,$O410,AH410,"T",DCC_Leg1_Float),_xll.qGetFwdRate(AP$14,$O410,$O411,"T",DCC_Leg1_Float)))</f>
        <v>0</v>
      </c>
      <c r="AQ410" s="648">
        <f t="shared" si="211"/>
        <v>0</v>
      </c>
      <c r="AR410" s="648">
        <f t="shared" si="212"/>
        <v>0</v>
      </c>
      <c r="AS410" s="648">
        <f t="shared" si="213"/>
        <v>0</v>
      </c>
      <c r="AT410" s="648">
        <f t="shared" si="214"/>
        <v>0</v>
      </c>
      <c r="AU410" s="648">
        <f t="shared" si="215"/>
        <v>0</v>
      </c>
      <c r="AV410" s="648">
        <f t="shared" si="216"/>
        <v>0</v>
      </c>
      <c r="AW410" s="648">
        <f t="shared" si="217"/>
        <v>0</v>
      </c>
      <c r="AX410" s="648">
        <f t="shared" si="218"/>
        <v>0</v>
      </c>
      <c r="AY410" s="634">
        <v>0</v>
      </c>
      <c r="AZ410" s="616"/>
      <c r="BA410" s="619">
        <f>IF(O411=0,0,             IF(ISNUMBER(AZ410),AZ410,             IF(ISTEXT(AZ410),INDEX(AQ410:AX410,MATCH(AZ410,$AQ$17:$AX$17,0)),           IF(AY410="INT",_xll.qInterp(O411,AA410:AH410,AQ410:AX410),       INDEX(AQ410:AX410,MATCH(AY410,$AQ$17:$AX$17,0))))))</f>
        <v>0</v>
      </c>
      <c r="BB410" s="674">
        <v>100</v>
      </c>
      <c r="BC410" s="666">
        <f t="shared" si="197"/>
        <v>0</v>
      </c>
      <c r="BD410" s="268">
        <f>IF($O411=0,0,                IF(LEFT(DCC_Leg1_Fixed,2)="1/",uEvaluate(DCC_Leg1_Fixed),        _xll.qDateYears($O410,$O411,DCC_Leg1_Fixed)))</f>
        <v>0</v>
      </c>
      <c r="BE410" s="268">
        <f>IF($O411,_xll.qDateYears($O410,$O411,DCC_Leg1_Float),0)</f>
        <v>0</v>
      </c>
      <c r="BG410" s="332">
        <f t="shared" si="219"/>
        <v>0</v>
      </c>
      <c r="BH410" s="357">
        <f t="shared" si="220"/>
        <v>0</v>
      </c>
      <c r="BI410" s="527"/>
      <c r="BK410" s="324">
        <f t="shared" si="193"/>
        <v>0</v>
      </c>
      <c r="BM410" s="338"/>
      <c r="BN410" s="121">
        <v>0</v>
      </c>
      <c r="BO410" s="755">
        <f t="shared" si="198"/>
        <v>0</v>
      </c>
      <c r="BP410" s="339">
        <v>0</v>
      </c>
      <c r="BQ410" s="890">
        <f>IF(BN411=0,0,         IF(OR(Currency2="AUD",Currency1="NZD",Currency2="GBP"),BN410,   _xll.qDateNext(BN410,"-2b",,,IF(Currency2="EUR","TGT","LON"))))</f>
        <v>0</v>
      </c>
      <c r="BR410" s="879" t="str">
        <v/>
      </c>
      <c r="BS410" s="879" t="str">
        <v/>
      </c>
      <c r="BT410" s="879" t="str">
        <v/>
      </c>
      <c r="BU410" s="879" t="str">
        <v/>
      </c>
      <c r="BV410" s="879" t="str">
        <v/>
      </c>
      <c r="BW410" s="879" t="str">
        <v/>
      </c>
      <c r="BX410" s="879" t="str">
        <v/>
      </c>
      <c r="BY410" s="879" t="str">
        <v/>
      </c>
      <c r="BZ410" s="882">
        <f>IF($BN411=0,0,        _xll.qDateNext($BN410,BZ$17,$CG$16,TRUE,Currency2))</f>
        <v>0</v>
      </c>
      <c r="CA410" s="882">
        <f>IF($BN411=0,0,        _xll.qDateNext($BN410,CA$17,$CG$16,TRUE,Currency2))</f>
        <v>0</v>
      </c>
      <c r="CB410" s="882">
        <f>IF($BN411=0,0,        _xll.qDateNext($BN410,CB$17,$CG$16,TRUE,Currency2))</f>
        <v>0</v>
      </c>
      <c r="CC410" s="882">
        <f>IF($BN411=0,0,        _xll.qDateNext($BN410,CC$17,$CG$16,TRUE,Currency2))</f>
        <v>0</v>
      </c>
      <c r="CD410" s="882">
        <f>IF($BN411=0,0,        _xll.qDateNext($BN410,CD$17,$CG$16,TRUE,Currency2))</f>
        <v>0</v>
      </c>
      <c r="CE410" s="882">
        <f>IF($BN411=0,0,        _xll.qDateNext($BN410,CE$17,$CG$16,TRUE,Currency2))</f>
        <v>0</v>
      </c>
      <c r="CF410" s="882">
        <f>IF($BN411=0,0,        _xll.qDateNext($BN410,CF$17,$CG$16,TRUE,Currency2))</f>
        <v>0</v>
      </c>
      <c r="CG410" s="882">
        <f>IF($BN411=0,0,        _xll.qDateNext($BN410,CG$17,$CG$16,TRUE,Currency2))</f>
        <v>0</v>
      </c>
      <c r="CH410" s="886">
        <v>0</v>
      </c>
      <c r="CI410" s="886">
        <v>0</v>
      </c>
      <c r="CJ410" s="886">
        <v>0</v>
      </c>
      <c r="CK410" s="886">
        <v>0</v>
      </c>
      <c r="CL410" s="886">
        <f t="shared" si="221"/>
        <v>0</v>
      </c>
      <c r="CM410" s="886">
        <f t="shared" si="222"/>
        <v>0</v>
      </c>
      <c r="CN410" s="886">
        <v>0</v>
      </c>
      <c r="CO410" s="886">
        <v>0</v>
      </c>
      <c r="CP410" s="648">
        <f t="shared" si="199"/>
        <v>0</v>
      </c>
      <c r="CQ410" s="648">
        <f t="shared" si="200"/>
        <v>0</v>
      </c>
      <c r="CR410" s="648">
        <f t="shared" si="201"/>
        <v>0</v>
      </c>
      <c r="CS410" s="648">
        <f t="shared" si="202"/>
        <v>0</v>
      </c>
      <c r="CT410" s="648">
        <f t="shared" si="203"/>
        <v>0</v>
      </c>
      <c r="CU410" s="648">
        <f t="shared" si="204"/>
        <v>0</v>
      </c>
      <c r="CV410" s="648">
        <f t="shared" si="205"/>
        <v>0</v>
      </c>
      <c r="CW410" s="648">
        <f t="shared" si="206"/>
        <v>0</v>
      </c>
      <c r="CX410" s="634">
        <v>0</v>
      </c>
      <c r="CY410" s="616"/>
      <c r="CZ410" s="619">
        <f>IF(BN411=0,0,             IF(ISNUMBER(CY410),CY410,             IF(ISTEXT(CY410),INDEX(CP410:CW410,MATCH(CY410,$CP$17:$CW$17,0)),           IF(CX410="INT",_xll.qInterp(BN411,BZ410:CG410,CP410:CW410),       INDEX(CP410:CW410,MATCH(CX410,$CP$17:$CW$17,0))))))</f>
        <v>0</v>
      </c>
      <c r="DA410" s="755">
        <f t="shared" si="207"/>
        <v>0</v>
      </c>
      <c r="DB410" s="387">
        <f t="shared" si="208"/>
        <v>0</v>
      </c>
      <c r="DC410" s="268">
        <f>IF($BN411=0,0,         IF(LEFT(DCC_Leg2_Fixed,2)="1/",uEvaluate(DCC_Leg2_Fixed),         _xll.qDateYears($BN410,$BN411,DCC_Leg2_Fixed)))</f>
        <v>0</v>
      </c>
      <c r="DD410" s="268">
        <f>IF($BN411,_xll.qDateYears($BN410,$BN411,DCC_Leg2_Float),0)</f>
        <v>0</v>
      </c>
      <c r="DF410" s="332">
        <f t="shared" si="223"/>
        <v>0</v>
      </c>
      <c r="DG410" s="357">
        <f t="shared" si="224"/>
        <v>0</v>
      </c>
      <c r="DH410" s="527"/>
      <c r="DJ410" s="324">
        <f t="shared" si="194"/>
        <v>0</v>
      </c>
      <c r="DK410" s="529"/>
      <c r="DL410" s="338"/>
    </row>
    <row r="411" spans="15:116">
      <c r="O411" s="121">
        <v>0</v>
      </c>
      <c r="P411" s="755">
        <f t="shared" si="195"/>
        <v>0</v>
      </c>
      <c r="Q411" s="125">
        <v>0</v>
      </c>
      <c r="R411" s="890">
        <f>IF(O412=0,0,         IF(OR(Currency1="AUD",Currency1="NZD",Currency1="GBP"),O411,   _xll.qDateNext(O411,"-2b",,,IF(Currency1="EUR","TGT","LON"))))</f>
        <v>0</v>
      </c>
      <c r="S411" s="879" t="str">
        <v/>
      </c>
      <c r="T411" s="879" t="str">
        <v/>
      </c>
      <c r="U411" s="879" t="str">
        <v/>
      </c>
      <c r="V411" s="879" t="str">
        <v/>
      </c>
      <c r="W411" s="879" t="str">
        <v/>
      </c>
      <c r="X411" s="879" t="str">
        <v/>
      </c>
      <c r="Y411" s="879" t="str">
        <v/>
      </c>
      <c r="Z411" s="879" t="str">
        <v/>
      </c>
      <c r="AA411" s="882">
        <f>IF($O412=0,0,        _xll.qDateNext($O411,AA$17,$AH$16,TRUE,Currency1))</f>
        <v>0</v>
      </c>
      <c r="AB411" s="882">
        <f>IF($O412=0,0,        _xll.qDateNext($O411,AB$17,$AH$16,TRUE,Currency1))</f>
        <v>0</v>
      </c>
      <c r="AC411" s="882">
        <f>IF($O412=0,0,        _xll.qDateNext($O411,AC$17,$AH$16,TRUE,Currency1))</f>
        <v>0</v>
      </c>
      <c r="AD411" s="882">
        <f>IF($O412=0,0,        _xll.qDateNext($O411,AD$17,$AH$16,TRUE,Currency1))</f>
        <v>0</v>
      </c>
      <c r="AE411" s="882">
        <f>IF($O412=0,0,        _xll.qDateNext($O411,AE$17,$AH$16,TRUE,Currency1))</f>
        <v>0</v>
      </c>
      <c r="AF411" s="882">
        <f>IF($O412=0,0,        _xll.qDateNext($O411,AF$17,$AH$16,TRUE,Currency1))</f>
        <v>0</v>
      </c>
      <c r="AG411" s="882">
        <f>IF($O412=0,0,        _xll.qDateNext($O411,AG$17,$AH$16,TRUE,Currency1))</f>
        <v>0</v>
      </c>
      <c r="AH411" s="882">
        <f>IF($O412=0,0,        _xll.qDateNext($O411,AH$17,$AH$16,TRUE,Currency1))</f>
        <v>0</v>
      </c>
      <c r="AI411" s="886">
        <f>IF($O412=0,0,           IF(FRM,_xll.qGetFwdRate(AI$14,$O411,AA411,"T",DCC_Leg1_Float),_xll.qGetFwdRate(AI$14,$O411,$O412,"T",DCC_Leg1_Float)))</f>
        <v>0</v>
      </c>
      <c r="AJ411" s="886">
        <f>IF($O412=0,0,           IF(FRM,_xll.qGetFwdRate(AJ$14,$O411,AB411,"T",DCC_Leg1_Float),_xll.qGetFwdRate(AJ$14,$O411,$O412,"T",DCC_Leg1_Float)))</f>
        <v>0</v>
      </c>
      <c r="AK411" s="886">
        <f t="shared" si="196"/>
        <v>0</v>
      </c>
      <c r="AL411" s="886">
        <f>IF($O412=0,0,           IF(FRM,_xll.qGetFwdRate(AL$14,$O411,AD411,"T",DCC_Leg1_Float),_xll.qGetFwdRate(AL$14,$O411,$O412,"T",DCC_Leg1_Float)))</f>
        <v>0</v>
      </c>
      <c r="AM411" s="886">
        <f t="shared" si="209"/>
        <v>0</v>
      </c>
      <c r="AN411" s="886">
        <f t="shared" si="210"/>
        <v>0</v>
      </c>
      <c r="AO411" s="886">
        <f>IF($O412=0,0,           IF(FRM,_xll.qGetFwdRate(AO$14,$O411,AG411,"T",DCC_Leg1_Float),_xll.qGetFwdRate(AO$14,$O411,$O412,"T",DCC_Leg1_Float)))</f>
        <v>0</v>
      </c>
      <c r="AP411" s="886">
        <f>IF($O412=0,0,           IF(FRM,_xll.qGetFwdRate(AP$14,$O411,AH411,"T",DCC_Leg1_Float),_xll.qGetFwdRate(AP$14,$O411,$O412,"T",DCC_Leg1_Float)))</f>
        <v>0</v>
      </c>
      <c r="AQ411" s="648">
        <f t="shared" si="211"/>
        <v>0</v>
      </c>
      <c r="AR411" s="648">
        <f t="shared" si="212"/>
        <v>0</v>
      </c>
      <c r="AS411" s="648">
        <f t="shared" si="213"/>
        <v>0</v>
      </c>
      <c r="AT411" s="648">
        <f t="shared" si="214"/>
        <v>0</v>
      </c>
      <c r="AU411" s="648">
        <f t="shared" si="215"/>
        <v>0</v>
      </c>
      <c r="AV411" s="648">
        <f t="shared" si="216"/>
        <v>0</v>
      </c>
      <c r="AW411" s="648">
        <f t="shared" si="217"/>
        <v>0</v>
      </c>
      <c r="AX411" s="648">
        <f t="shared" si="218"/>
        <v>0</v>
      </c>
      <c r="AY411" s="634">
        <v>0</v>
      </c>
      <c r="AZ411" s="616"/>
      <c r="BA411" s="619">
        <f>IF(O412=0,0,             IF(ISNUMBER(AZ411),AZ411,             IF(ISTEXT(AZ411),INDEX(AQ411:AX411,MATCH(AZ411,$AQ$17:$AX$17,0)),           IF(AY411="INT",_xll.qInterp(O412,AA411:AH411,AQ411:AX411),       INDEX(AQ411:AX411,MATCH(AY411,$AQ$17:$AX$17,0))))))</f>
        <v>0</v>
      </c>
      <c r="BB411" s="674">
        <v>100</v>
      </c>
      <c r="BC411" s="666">
        <f t="shared" si="197"/>
        <v>0</v>
      </c>
      <c r="BD411" s="268">
        <f>IF($O412=0,0,                IF(LEFT(DCC_Leg1_Fixed,2)="1/",uEvaluate(DCC_Leg1_Fixed),        _xll.qDateYears($O411,$O412,DCC_Leg1_Fixed)))</f>
        <v>0</v>
      </c>
      <c r="BE411" s="268">
        <f>IF($O412,_xll.qDateYears($O411,$O412,DCC_Leg1_Float),0)</f>
        <v>0</v>
      </c>
      <c r="BG411" s="332">
        <f t="shared" si="219"/>
        <v>0</v>
      </c>
      <c r="BH411" s="357">
        <f t="shared" si="220"/>
        <v>0</v>
      </c>
      <c r="BI411" s="527"/>
      <c r="BK411" s="324">
        <f t="shared" si="193"/>
        <v>0</v>
      </c>
      <c r="BM411" s="338"/>
      <c r="BN411" s="121">
        <v>0</v>
      </c>
      <c r="BO411" s="755">
        <f t="shared" si="198"/>
        <v>0</v>
      </c>
      <c r="BP411" s="339">
        <v>0</v>
      </c>
      <c r="BQ411" s="890">
        <f>IF(BN412=0,0,         IF(OR(Currency2="AUD",Currency1="NZD",Currency2="GBP"),BN411,   _xll.qDateNext(BN411,"-2b",,,IF(Currency2="EUR","TGT","LON"))))</f>
        <v>0</v>
      </c>
      <c r="BR411" s="879" t="str">
        <v/>
      </c>
      <c r="BS411" s="879" t="str">
        <v/>
      </c>
      <c r="BT411" s="879" t="str">
        <v/>
      </c>
      <c r="BU411" s="879" t="str">
        <v/>
      </c>
      <c r="BV411" s="879" t="str">
        <v/>
      </c>
      <c r="BW411" s="879" t="str">
        <v/>
      </c>
      <c r="BX411" s="879" t="str">
        <v/>
      </c>
      <c r="BY411" s="879" t="str">
        <v/>
      </c>
      <c r="BZ411" s="882">
        <f>IF($BN412=0,0,        _xll.qDateNext($BN411,BZ$17,$CG$16,TRUE,Currency2))</f>
        <v>0</v>
      </c>
      <c r="CA411" s="882">
        <f>IF($BN412=0,0,        _xll.qDateNext($BN411,CA$17,$CG$16,TRUE,Currency2))</f>
        <v>0</v>
      </c>
      <c r="CB411" s="882">
        <f>IF($BN412=0,0,        _xll.qDateNext($BN411,CB$17,$CG$16,TRUE,Currency2))</f>
        <v>0</v>
      </c>
      <c r="CC411" s="882">
        <f>IF($BN412=0,0,        _xll.qDateNext($BN411,CC$17,$CG$16,TRUE,Currency2))</f>
        <v>0</v>
      </c>
      <c r="CD411" s="882">
        <f>IF($BN412=0,0,        _xll.qDateNext($BN411,CD$17,$CG$16,TRUE,Currency2))</f>
        <v>0</v>
      </c>
      <c r="CE411" s="882">
        <f>IF($BN412=0,0,        _xll.qDateNext($BN411,CE$17,$CG$16,TRUE,Currency2))</f>
        <v>0</v>
      </c>
      <c r="CF411" s="882">
        <f>IF($BN412=0,0,        _xll.qDateNext($BN411,CF$17,$CG$16,TRUE,Currency2))</f>
        <v>0</v>
      </c>
      <c r="CG411" s="882">
        <f>IF($BN412=0,0,        _xll.qDateNext($BN411,CG$17,$CG$16,TRUE,Currency2))</f>
        <v>0</v>
      </c>
      <c r="CH411" s="886">
        <v>0</v>
      </c>
      <c r="CI411" s="886">
        <v>0</v>
      </c>
      <c r="CJ411" s="886">
        <v>0</v>
      </c>
      <c r="CK411" s="886">
        <v>0</v>
      </c>
      <c r="CL411" s="886">
        <f t="shared" si="221"/>
        <v>0</v>
      </c>
      <c r="CM411" s="886">
        <f t="shared" si="222"/>
        <v>0</v>
      </c>
      <c r="CN411" s="886">
        <v>0</v>
      </c>
      <c r="CO411" s="886">
        <v>0</v>
      </c>
      <c r="CP411" s="648">
        <f t="shared" si="199"/>
        <v>0</v>
      </c>
      <c r="CQ411" s="648">
        <f t="shared" si="200"/>
        <v>0</v>
      </c>
      <c r="CR411" s="648">
        <f t="shared" si="201"/>
        <v>0</v>
      </c>
      <c r="CS411" s="648">
        <f t="shared" si="202"/>
        <v>0</v>
      </c>
      <c r="CT411" s="648">
        <f t="shared" si="203"/>
        <v>0</v>
      </c>
      <c r="CU411" s="648">
        <f t="shared" si="204"/>
        <v>0</v>
      </c>
      <c r="CV411" s="648">
        <f t="shared" si="205"/>
        <v>0</v>
      </c>
      <c r="CW411" s="648">
        <f t="shared" si="206"/>
        <v>0</v>
      </c>
      <c r="CX411" s="634">
        <v>0</v>
      </c>
      <c r="CY411" s="616"/>
      <c r="CZ411" s="619">
        <f>IF(BN412=0,0,             IF(ISNUMBER(CY411),CY411,             IF(ISTEXT(CY411),INDEX(CP411:CW411,MATCH(CY411,$CP$17:$CW$17,0)),           IF(CX411="INT",_xll.qInterp(BN412,BZ411:CG411,CP411:CW411),       INDEX(CP411:CW411,MATCH(CX411,$CP$17:$CW$17,0))))))</f>
        <v>0</v>
      </c>
      <c r="DA411" s="755">
        <f t="shared" si="207"/>
        <v>0</v>
      </c>
      <c r="DB411" s="387">
        <f t="shared" si="208"/>
        <v>0</v>
      </c>
      <c r="DC411" s="268">
        <f>IF($BN412=0,0,         IF(LEFT(DCC_Leg2_Fixed,2)="1/",uEvaluate(DCC_Leg2_Fixed),         _xll.qDateYears($BN411,$BN412,DCC_Leg2_Fixed)))</f>
        <v>0</v>
      </c>
      <c r="DD411" s="268">
        <f>IF($BN412,_xll.qDateYears($BN411,$BN412,DCC_Leg2_Float),0)</f>
        <v>0</v>
      </c>
      <c r="DF411" s="332">
        <f t="shared" si="223"/>
        <v>0</v>
      </c>
      <c r="DG411" s="357">
        <f t="shared" si="224"/>
        <v>0</v>
      </c>
      <c r="DH411" s="527"/>
      <c r="DJ411" s="324">
        <f t="shared" si="194"/>
        <v>0</v>
      </c>
      <c r="DK411" s="529"/>
      <c r="DL411" s="338"/>
    </row>
    <row r="412" spans="15:116">
      <c r="O412" s="121">
        <v>0</v>
      </c>
      <c r="P412" s="755">
        <f t="shared" si="195"/>
        <v>0</v>
      </c>
      <c r="Q412" s="125">
        <v>0</v>
      </c>
      <c r="R412" s="890">
        <f>IF(O413=0,0,         IF(OR(Currency1="AUD",Currency1="NZD",Currency1="GBP"),O412,   _xll.qDateNext(O412,"-2b",,,IF(Currency1="EUR","TGT","LON"))))</f>
        <v>0</v>
      </c>
      <c r="S412" s="879" t="str">
        <v/>
      </c>
      <c r="T412" s="879" t="str">
        <v/>
      </c>
      <c r="U412" s="879" t="str">
        <v/>
      </c>
      <c r="V412" s="879" t="str">
        <v/>
      </c>
      <c r="W412" s="879" t="str">
        <v/>
      </c>
      <c r="X412" s="879" t="str">
        <v/>
      </c>
      <c r="Y412" s="879" t="str">
        <v/>
      </c>
      <c r="Z412" s="879" t="str">
        <v/>
      </c>
      <c r="AA412" s="882">
        <f>IF($O413=0,0,        _xll.qDateNext($O412,AA$17,$AH$16,TRUE,Currency1))</f>
        <v>0</v>
      </c>
      <c r="AB412" s="882">
        <f>IF($O413=0,0,        _xll.qDateNext($O412,AB$17,$AH$16,TRUE,Currency1))</f>
        <v>0</v>
      </c>
      <c r="AC412" s="882">
        <f>IF($O413=0,0,        _xll.qDateNext($O412,AC$17,$AH$16,TRUE,Currency1))</f>
        <v>0</v>
      </c>
      <c r="AD412" s="882">
        <f>IF($O413=0,0,        _xll.qDateNext($O412,AD$17,$AH$16,TRUE,Currency1))</f>
        <v>0</v>
      </c>
      <c r="AE412" s="882">
        <f>IF($O413=0,0,        _xll.qDateNext($O412,AE$17,$AH$16,TRUE,Currency1))</f>
        <v>0</v>
      </c>
      <c r="AF412" s="882">
        <f>IF($O413=0,0,        _xll.qDateNext($O412,AF$17,$AH$16,TRUE,Currency1))</f>
        <v>0</v>
      </c>
      <c r="AG412" s="882">
        <f>IF($O413=0,0,        _xll.qDateNext($O412,AG$17,$AH$16,TRUE,Currency1))</f>
        <v>0</v>
      </c>
      <c r="AH412" s="882">
        <f>IF($O413=0,0,        _xll.qDateNext($O412,AH$17,$AH$16,TRUE,Currency1))</f>
        <v>0</v>
      </c>
      <c r="AI412" s="886">
        <f>IF($O413=0,0,           IF(FRM,_xll.qGetFwdRate(AI$14,$O412,AA412,"T",DCC_Leg1_Float),_xll.qGetFwdRate(AI$14,$O412,$O413,"T",DCC_Leg1_Float)))</f>
        <v>0</v>
      </c>
      <c r="AJ412" s="886">
        <f>IF($O413=0,0,           IF(FRM,_xll.qGetFwdRate(AJ$14,$O412,AB412,"T",DCC_Leg1_Float),_xll.qGetFwdRate(AJ$14,$O412,$O413,"T",DCC_Leg1_Float)))</f>
        <v>0</v>
      </c>
      <c r="AK412" s="886">
        <f t="shared" si="196"/>
        <v>0</v>
      </c>
      <c r="AL412" s="886">
        <f>IF($O413=0,0,           IF(FRM,_xll.qGetFwdRate(AL$14,$O412,AD412,"T",DCC_Leg1_Float),_xll.qGetFwdRate(AL$14,$O412,$O413,"T",DCC_Leg1_Float)))</f>
        <v>0</v>
      </c>
      <c r="AM412" s="886">
        <f t="shared" si="209"/>
        <v>0</v>
      </c>
      <c r="AN412" s="886">
        <f t="shared" si="210"/>
        <v>0</v>
      </c>
      <c r="AO412" s="886">
        <f>IF($O413=0,0,           IF(FRM,_xll.qGetFwdRate(AO$14,$O412,AG412,"T",DCC_Leg1_Float),_xll.qGetFwdRate(AO$14,$O412,$O413,"T",DCC_Leg1_Float)))</f>
        <v>0</v>
      </c>
      <c r="AP412" s="886">
        <f>IF($O413=0,0,           IF(FRM,_xll.qGetFwdRate(AP$14,$O412,AH412,"T",DCC_Leg1_Float),_xll.qGetFwdRate(AP$14,$O412,$O413,"T",DCC_Leg1_Float)))</f>
        <v>0</v>
      </c>
      <c r="AQ412" s="648">
        <f t="shared" si="211"/>
        <v>0</v>
      </c>
      <c r="AR412" s="648">
        <f t="shared" si="212"/>
        <v>0</v>
      </c>
      <c r="AS412" s="648">
        <f t="shared" si="213"/>
        <v>0</v>
      </c>
      <c r="AT412" s="648">
        <f t="shared" si="214"/>
        <v>0</v>
      </c>
      <c r="AU412" s="648">
        <f t="shared" si="215"/>
        <v>0</v>
      </c>
      <c r="AV412" s="648">
        <f t="shared" si="216"/>
        <v>0</v>
      </c>
      <c r="AW412" s="648">
        <f t="shared" si="217"/>
        <v>0</v>
      </c>
      <c r="AX412" s="648">
        <f t="shared" si="218"/>
        <v>0</v>
      </c>
      <c r="AY412" s="634">
        <v>0</v>
      </c>
      <c r="AZ412" s="616"/>
      <c r="BA412" s="619">
        <f>IF(O413=0,0,             IF(ISNUMBER(AZ412),AZ412,             IF(ISTEXT(AZ412),INDEX(AQ412:AX412,MATCH(AZ412,$AQ$17:$AX$17,0)),           IF(AY412="INT",_xll.qInterp(O413,AA412:AH412,AQ412:AX412),       INDEX(AQ412:AX412,MATCH(AY412,$AQ$17:$AX$17,0))))))</f>
        <v>0</v>
      </c>
      <c r="BB412" s="674">
        <v>100</v>
      </c>
      <c r="BC412" s="666">
        <f t="shared" si="197"/>
        <v>0</v>
      </c>
      <c r="BD412" s="268">
        <f>IF($O413=0,0,                IF(LEFT(DCC_Leg1_Fixed,2)="1/",uEvaluate(DCC_Leg1_Fixed),        _xll.qDateYears($O412,$O413,DCC_Leg1_Fixed)))</f>
        <v>0</v>
      </c>
      <c r="BE412" s="268">
        <f>IF($O413,_xll.qDateYears($O412,$O413,DCC_Leg1_Float),0)</f>
        <v>0</v>
      </c>
      <c r="BG412" s="332">
        <f t="shared" si="219"/>
        <v>0</v>
      </c>
      <c r="BH412" s="357">
        <f t="shared" si="220"/>
        <v>0</v>
      </c>
      <c r="BI412" s="527"/>
      <c r="BK412" s="324">
        <f t="shared" si="193"/>
        <v>0</v>
      </c>
      <c r="BM412" s="338"/>
      <c r="BN412" s="121">
        <v>0</v>
      </c>
      <c r="BO412" s="755">
        <f t="shared" si="198"/>
        <v>0</v>
      </c>
      <c r="BP412" s="339">
        <v>0</v>
      </c>
      <c r="BQ412" s="890">
        <f>IF(BN413=0,0,         IF(OR(Currency2="AUD",Currency1="NZD",Currency2="GBP"),BN412,   _xll.qDateNext(BN412,"-2b",,,IF(Currency2="EUR","TGT","LON"))))</f>
        <v>0</v>
      </c>
      <c r="BR412" s="879" t="str">
        <v/>
      </c>
      <c r="BS412" s="879" t="str">
        <v/>
      </c>
      <c r="BT412" s="879" t="str">
        <v/>
      </c>
      <c r="BU412" s="879" t="str">
        <v/>
      </c>
      <c r="BV412" s="879" t="str">
        <v/>
      </c>
      <c r="BW412" s="879" t="str">
        <v/>
      </c>
      <c r="BX412" s="879" t="str">
        <v/>
      </c>
      <c r="BY412" s="879" t="str">
        <v/>
      </c>
      <c r="BZ412" s="882">
        <f>IF($BN413=0,0,        _xll.qDateNext($BN412,BZ$17,$CG$16,TRUE,Currency2))</f>
        <v>0</v>
      </c>
      <c r="CA412" s="882">
        <f>IF($BN413=0,0,        _xll.qDateNext($BN412,CA$17,$CG$16,TRUE,Currency2))</f>
        <v>0</v>
      </c>
      <c r="CB412" s="882">
        <f>IF($BN413=0,0,        _xll.qDateNext($BN412,CB$17,$CG$16,TRUE,Currency2))</f>
        <v>0</v>
      </c>
      <c r="CC412" s="882">
        <f>IF($BN413=0,0,        _xll.qDateNext($BN412,CC$17,$CG$16,TRUE,Currency2))</f>
        <v>0</v>
      </c>
      <c r="CD412" s="882">
        <f>IF($BN413=0,0,        _xll.qDateNext($BN412,CD$17,$CG$16,TRUE,Currency2))</f>
        <v>0</v>
      </c>
      <c r="CE412" s="882">
        <f>IF($BN413=0,0,        _xll.qDateNext($BN412,CE$17,$CG$16,TRUE,Currency2))</f>
        <v>0</v>
      </c>
      <c r="CF412" s="882">
        <f>IF($BN413=0,0,        _xll.qDateNext($BN412,CF$17,$CG$16,TRUE,Currency2))</f>
        <v>0</v>
      </c>
      <c r="CG412" s="882">
        <f>IF($BN413=0,0,        _xll.qDateNext($BN412,CG$17,$CG$16,TRUE,Currency2))</f>
        <v>0</v>
      </c>
      <c r="CH412" s="886">
        <v>0</v>
      </c>
      <c r="CI412" s="886">
        <v>0</v>
      </c>
      <c r="CJ412" s="886">
        <v>0</v>
      </c>
      <c r="CK412" s="886">
        <v>0</v>
      </c>
      <c r="CL412" s="886">
        <f t="shared" si="221"/>
        <v>0</v>
      </c>
      <c r="CM412" s="886">
        <f t="shared" si="222"/>
        <v>0</v>
      </c>
      <c r="CN412" s="886">
        <v>0</v>
      </c>
      <c r="CO412" s="886">
        <v>0</v>
      </c>
      <c r="CP412" s="648">
        <f t="shared" si="199"/>
        <v>0</v>
      </c>
      <c r="CQ412" s="648">
        <f t="shared" si="200"/>
        <v>0</v>
      </c>
      <c r="CR412" s="648">
        <f t="shared" si="201"/>
        <v>0</v>
      </c>
      <c r="CS412" s="648">
        <f t="shared" si="202"/>
        <v>0</v>
      </c>
      <c r="CT412" s="648">
        <f t="shared" si="203"/>
        <v>0</v>
      </c>
      <c r="CU412" s="648">
        <f t="shared" si="204"/>
        <v>0</v>
      </c>
      <c r="CV412" s="648">
        <f t="shared" si="205"/>
        <v>0</v>
      </c>
      <c r="CW412" s="648">
        <f t="shared" si="206"/>
        <v>0</v>
      </c>
      <c r="CX412" s="634">
        <v>0</v>
      </c>
      <c r="CY412" s="616"/>
      <c r="CZ412" s="619">
        <f>IF(BN413=0,0,             IF(ISNUMBER(CY412),CY412,             IF(ISTEXT(CY412),INDEX(CP412:CW412,MATCH(CY412,$CP$17:$CW$17,0)),           IF(CX412="INT",_xll.qInterp(BN413,BZ412:CG412,CP412:CW412),       INDEX(CP412:CW412,MATCH(CX412,$CP$17:$CW$17,0))))))</f>
        <v>0</v>
      </c>
      <c r="DA412" s="755">
        <f t="shared" si="207"/>
        <v>0</v>
      </c>
      <c r="DB412" s="387">
        <f t="shared" si="208"/>
        <v>0</v>
      </c>
      <c r="DC412" s="268">
        <f>IF($BN413=0,0,         IF(LEFT(DCC_Leg2_Fixed,2)="1/",uEvaluate(DCC_Leg2_Fixed),         _xll.qDateYears($BN412,$BN413,DCC_Leg2_Fixed)))</f>
        <v>0</v>
      </c>
      <c r="DD412" s="268">
        <f>IF($BN413,_xll.qDateYears($BN412,$BN413,DCC_Leg2_Float),0)</f>
        <v>0</v>
      </c>
      <c r="DF412" s="332">
        <f t="shared" si="223"/>
        <v>0</v>
      </c>
      <c r="DG412" s="357">
        <f t="shared" si="224"/>
        <v>0</v>
      </c>
      <c r="DH412" s="527"/>
      <c r="DJ412" s="324">
        <f t="shared" si="194"/>
        <v>0</v>
      </c>
      <c r="DK412" s="529"/>
      <c r="DL412" s="338"/>
    </row>
    <row r="413" spans="15:116">
      <c r="O413" s="121">
        <v>0</v>
      </c>
      <c r="P413" s="755">
        <f t="shared" si="195"/>
        <v>0</v>
      </c>
      <c r="Q413" s="125">
        <v>0</v>
      </c>
      <c r="R413" s="890">
        <f>IF(O414=0,0,         IF(OR(Currency1="AUD",Currency1="NZD",Currency1="GBP"),O413,   _xll.qDateNext(O413,"-2b",,,IF(Currency1="EUR","TGT","LON"))))</f>
        <v>0</v>
      </c>
      <c r="S413" s="879" t="str">
        <v/>
      </c>
      <c r="T413" s="879" t="str">
        <v/>
      </c>
      <c r="U413" s="879" t="str">
        <v/>
      </c>
      <c r="V413" s="879" t="str">
        <v/>
      </c>
      <c r="W413" s="879" t="str">
        <v/>
      </c>
      <c r="X413" s="879" t="str">
        <v/>
      </c>
      <c r="Y413" s="879" t="str">
        <v/>
      </c>
      <c r="Z413" s="879" t="str">
        <v/>
      </c>
      <c r="AA413" s="882">
        <f>IF($O414=0,0,        _xll.qDateNext($O413,AA$17,$AH$16,TRUE,Currency1))</f>
        <v>0</v>
      </c>
      <c r="AB413" s="882">
        <f>IF($O414=0,0,        _xll.qDateNext($O413,AB$17,$AH$16,TRUE,Currency1))</f>
        <v>0</v>
      </c>
      <c r="AC413" s="882">
        <f>IF($O414=0,0,        _xll.qDateNext($O413,AC$17,$AH$16,TRUE,Currency1))</f>
        <v>0</v>
      </c>
      <c r="AD413" s="882">
        <f>IF($O414=0,0,        _xll.qDateNext($O413,AD$17,$AH$16,TRUE,Currency1))</f>
        <v>0</v>
      </c>
      <c r="AE413" s="882">
        <f>IF($O414=0,0,        _xll.qDateNext($O413,AE$17,$AH$16,TRUE,Currency1))</f>
        <v>0</v>
      </c>
      <c r="AF413" s="882">
        <f>IF($O414=0,0,        _xll.qDateNext($O413,AF$17,$AH$16,TRUE,Currency1))</f>
        <v>0</v>
      </c>
      <c r="AG413" s="882">
        <f>IF($O414=0,0,        _xll.qDateNext($O413,AG$17,$AH$16,TRUE,Currency1))</f>
        <v>0</v>
      </c>
      <c r="AH413" s="882">
        <f>IF($O414=0,0,        _xll.qDateNext($O413,AH$17,$AH$16,TRUE,Currency1))</f>
        <v>0</v>
      </c>
      <c r="AI413" s="886">
        <f>IF($O414=0,0,           IF(FRM,_xll.qGetFwdRate(AI$14,$O413,AA413,"T",DCC_Leg1_Float),_xll.qGetFwdRate(AI$14,$O413,$O414,"T",DCC_Leg1_Float)))</f>
        <v>0</v>
      </c>
      <c r="AJ413" s="886">
        <f>IF($O414=0,0,           IF(FRM,_xll.qGetFwdRate(AJ$14,$O413,AB413,"T",DCC_Leg1_Float),_xll.qGetFwdRate(AJ$14,$O413,$O414,"T",DCC_Leg1_Float)))</f>
        <v>0</v>
      </c>
      <c r="AK413" s="886">
        <f t="shared" si="196"/>
        <v>0</v>
      </c>
      <c r="AL413" s="886">
        <f>IF($O414=0,0,           IF(FRM,_xll.qGetFwdRate(AL$14,$O413,AD413,"T",DCC_Leg1_Float),_xll.qGetFwdRate(AL$14,$O413,$O414,"T",DCC_Leg1_Float)))</f>
        <v>0</v>
      </c>
      <c r="AM413" s="886">
        <f t="shared" si="209"/>
        <v>0</v>
      </c>
      <c r="AN413" s="886">
        <f t="shared" si="210"/>
        <v>0</v>
      </c>
      <c r="AO413" s="886">
        <f>IF($O414=0,0,           IF(FRM,_xll.qGetFwdRate(AO$14,$O413,AG413,"T",DCC_Leg1_Float),_xll.qGetFwdRate(AO$14,$O413,$O414,"T",DCC_Leg1_Float)))</f>
        <v>0</v>
      </c>
      <c r="AP413" s="886">
        <f>IF($O414=0,0,           IF(FRM,_xll.qGetFwdRate(AP$14,$O413,AH413,"T",DCC_Leg1_Float),_xll.qGetFwdRate(AP$14,$O413,$O414,"T",DCC_Leg1_Float)))</f>
        <v>0</v>
      </c>
      <c r="AQ413" s="648">
        <f t="shared" si="211"/>
        <v>0</v>
      </c>
      <c r="AR413" s="648">
        <f t="shared" si="212"/>
        <v>0</v>
      </c>
      <c r="AS413" s="648">
        <f t="shared" si="213"/>
        <v>0</v>
      </c>
      <c r="AT413" s="648">
        <f t="shared" si="214"/>
        <v>0</v>
      </c>
      <c r="AU413" s="648">
        <f t="shared" si="215"/>
        <v>0</v>
      </c>
      <c r="AV413" s="648">
        <f t="shared" si="216"/>
        <v>0</v>
      </c>
      <c r="AW413" s="648">
        <f t="shared" si="217"/>
        <v>0</v>
      </c>
      <c r="AX413" s="648">
        <f t="shared" si="218"/>
        <v>0</v>
      </c>
      <c r="AY413" s="634">
        <v>0</v>
      </c>
      <c r="AZ413" s="616"/>
      <c r="BA413" s="619">
        <f>IF(O414=0,0,             IF(ISNUMBER(AZ413),AZ413,             IF(ISTEXT(AZ413),INDEX(AQ413:AX413,MATCH(AZ413,$AQ$17:$AX$17,0)),           IF(AY413="INT",_xll.qInterp(O414,AA413:AH413,AQ413:AX413),       INDEX(AQ413:AX413,MATCH(AY413,$AQ$17:$AX$17,0))))))</f>
        <v>0</v>
      </c>
      <c r="BB413" s="674">
        <v>100</v>
      </c>
      <c r="BC413" s="666">
        <f t="shared" si="197"/>
        <v>0</v>
      </c>
      <c r="BD413" s="268">
        <f>IF($O414=0,0,                IF(LEFT(DCC_Leg1_Fixed,2)="1/",uEvaluate(DCC_Leg1_Fixed),        _xll.qDateYears($O413,$O414,DCC_Leg1_Fixed)))</f>
        <v>0</v>
      </c>
      <c r="BE413" s="268">
        <f>IF($O414,_xll.qDateYears($O413,$O414,DCC_Leg1_Float),0)</f>
        <v>0</v>
      </c>
      <c r="BG413" s="332">
        <f t="shared" si="219"/>
        <v>0</v>
      </c>
      <c r="BH413" s="357">
        <f t="shared" si="220"/>
        <v>0</v>
      </c>
      <c r="BI413" s="527"/>
      <c r="BK413" s="324">
        <f t="shared" si="193"/>
        <v>0</v>
      </c>
      <c r="BM413" s="338"/>
      <c r="BN413" s="121">
        <v>0</v>
      </c>
      <c r="BO413" s="755">
        <f t="shared" si="198"/>
        <v>0</v>
      </c>
      <c r="BP413" s="339">
        <v>0</v>
      </c>
      <c r="BQ413" s="890">
        <f>IF(BN414=0,0,         IF(OR(Currency2="AUD",Currency1="NZD",Currency2="GBP"),BN413,   _xll.qDateNext(BN413,"-2b",,,IF(Currency2="EUR","TGT","LON"))))</f>
        <v>0</v>
      </c>
      <c r="BR413" s="879" t="str">
        <v/>
      </c>
      <c r="BS413" s="879" t="str">
        <v/>
      </c>
      <c r="BT413" s="879" t="str">
        <v/>
      </c>
      <c r="BU413" s="879" t="str">
        <v/>
      </c>
      <c r="BV413" s="879" t="str">
        <v/>
      </c>
      <c r="BW413" s="879" t="str">
        <v/>
      </c>
      <c r="BX413" s="879" t="str">
        <v/>
      </c>
      <c r="BY413" s="879" t="str">
        <v/>
      </c>
      <c r="BZ413" s="882">
        <f>IF($BN414=0,0,        _xll.qDateNext($BN413,BZ$17,$CG$16,TRUE,Currency2))</f>
        <v>0</v>
      </c>
      <c r="CA413" s="882">
        <f>IF($BN414=0,0,        _xll.qDateNext($BN413,CA$17,$CG$16,TRUE,Currency2))</f>
        <v>0</v>
      </c>
      <c r="CB413" s="882">
        <f>IF($BN414=0,0,        _xll.qDateNext($BN413,CB$17,$CG$16,TRUE,Currency2))</f>
        <v>0</v>
      </c>
      <c r="CC413" s="882">
        <f>IF($BN414=0,0,        _xll.qDateNext($BN413,CC$17,$CG$16,TRUE,Currency2))</f>
        <v>0</v>
      </c>
      <c r="CD413" s="882">
        <f>IF($BN414=0,0,        _xll.qDateNext($BN413,CD$17,$CG$16,TRUE,Currency2))</f>
        <v>0</v>
      </c>
      <c r="CE413" s="882">
        <f>IF($BN414=0,0,        _xll.qDateNext($BN413,CE$17,$CG$16,TRUE,Currency2))</f>
        <v>0</v>
      </c>
      <c r="CF413" s="882">
        <f>IF($BN414=0,0,        _xll.qDateNext($BN413,CF$17,$CG$16,TRUE,Currency2))</f>
        <v>0</v>
      </c>
      <c r="CG413" s="882">
        <f>IF($BN414=0,0,        _xll.qDateNext($BN413,CG$17,$CG$16,TRUE,Currency2))</f>
        <v>0</v>
      </c>
      <c r="CH413" s="886">
        <v>0</v>
      </c>
      <c r="CI413" s="886">
        <v>0</v>
      </c>
      <c r="CJ413" s="886">
        <v>0</v>
      </c>
      <c r="CK413" s="886">
        <v>0</v>
      </c>
      <c r="CL413" s="886">
        <f t="shared" si="221"/>
        <v>0</v>
      </c>
      <c r="CM413" s="886">
        <f t="shared" si="222"/>
        <v>0</v>
      </c>
      <c r="CN413" s="886">
        <v>0</v>
      </c>
      <c r="CO413" s="886">
        <v>0</v>
      </c>
      <c r="CP413" s="648">
        <f t="shared" si="199"/>
        <v>0</v>
      </c>
      <c r="CQ413" s="648">
        <f t="shared" si="200"/>
        <v>0</v>
      </c>
      <c r="CR413" s="648">
        <f t="shared" si="201"/>
        <v>0</v>
      </c>
      <c r="CS413" s="648">
        <f t="shared" si="202"/>
        <v>0</v>
      </c>
      <c r="CT413" s="648">
        <f t="shared" si="203"/>
        <v>0</v>
      </c>
      <c r="CU413" s="648">
        <f t="shared" si="204"/>
        <v>0</v>
      </c>
      <c r="CV413" s="648">
        <f t="shared" si="205"/>
        <v>0</v>
      </c>
      <c r="CW413" s="648">
        <f t="shared" si="206"/>
        <v>0</v>
      </c>
      <c r="CX413" s="634">
        <v>0</v>
      </c>
      <c r="CY413" s="616"/>
      <c r="CZ413" s="619">
        <f>IF(BN414=0,0,             IF(ISNUMBER(CY413),CY413,             IF(ISTEXT(CY413),INDEX(CP413:CW413,MATCH(CY413,$CP$17:$CW$17,0)),           IF(CX413="INT",_xll.qInterp(BN414,BZ413:CG413,CP413:CW413),       INDEX(CP413:CW413,MATCH(CX413,$CP$17:$CW$17,0))))))</f>
        <v>0</v>
      </c>
      <c r="DA413" s="755">
        <f t="shared" si="207"/>
        <v>0</v>
      </c>
      <c r="DB413" s="387">
        <f t="shared" si="208"/>
        <v>0</v>
      </c>
      <c r="DC413" s="268">
        <f>IF($BN414=0,0,         IF(LEFT(DCC_Leg2_Fixed,2)="1/",uEvaluate(DCC_Leg2_Fixed),         _xll.qDateYears($BN413,$BN414,DCC_Leg2_Fixed)))</f>
        <v>0</v>
      </c>
      <c r="DD413" s="268">
        <f>IF($BN414,_xll.qDateYears($BN413,$BN414,DCC_Leg2_Float),0)</f>
        <v>0</v>
      </c>
      <c r="DF413" s="332">
        <f t="shared" si="223"/>
        <v>0</v>
      </c>
      <c r="DG413" s="357">
        <f t="shared" si="224"/>
        <v>0</v>
      </c>
      <c r="DH413" s="527"/>
      <c r="DJ413" s="324">
        <f t="shared" si="194"/>
        <v>0</v>
      </c>
      <c r="DK413" s="529"/>
      <c r="DL413" s="338"/>
    </row>
    <row r="414" spans="15:116">
      <c r="O414" s="121">
        <v>0</v>
      </c>
      <c r="P414" s="755">
        <f t="shared" si="195"/>
        <v>0</v>
      </c>
      <c r="Q414" s="125">
        <v>0</v>
      </c>
      <c r="R414" s="890">
        <f>IF(O415=0,0,         IF(OR(Currency1="AUD",Currency1="NZD",Currency1="GBP"),O414,   _xll.qDateNext(O414,"-2b",,,IF(Currency1="EUR","TGT","LON"))))</f>
        <v>0</v>
      </c>
      <c r="S414" s="879" t="str">
        <v/>
      </c>
      <c r="T414" s="879" t="str">
        <v/>
      </c>
      <c r="U414" s="879" t="str">
        <v/>
      </c>
      <c r="V414" s="879" t="str">
        <v/>
      </c>
      <c r="W414" s="879" t="str">
        <v/>
      </c>
      <c r="X414" s="879" t="str">
        <v/>
      </c>
      <c r="Y414" s="879" t="str">
        <v/>
      </c>
      <c r="Z414" s="879" t="str">
        <v/>
      </c>
      <c r="AA414" s="882">
        <f>IF($O415=0,0,        _xll.qDateNext($O414,AA$17,$AH$16,TRUE,Currency1))</f>
        <v>0</v>
      </c>
      <c r="AB414" s="882">
        <f>IF($O415=0,0,        _xll.qDateNext($O414,AB$17,$AH$16,TRUE,Currency1))</f>
        <v>0</v>
      </c>
      <c r="AC414" s="882">
        <f>IF($O415=0,0,        _xll.qDateNext($O414,AC$17,$AH$16,TRUE,Currency1))</f>
        <v>0</v>
      </c>
      <c r="AD414" s="882">
        <f>IF($O415=0,0,        _xll.qDateNext($O414,AD$17,$AH$16,TRUE,Currency1))</f>
        <v>0</v>
      </c>
      <c r="AE414" s="882">
        <f>IF($O415=0,0,        _xll.qDateNext($O414,AE$17,$AH$16,TRUE,Currency1))</f>
        <v>0</v>
      </c>
      <c r="AF414" s="882">
        <f>IF($O415=0,0,        _xll.qDateNext($O414,AF$17,$AH$16,TRUE,Currency1))</f>
        <v>0</v>
      </c>
      <c r="AG414" s="882">
        <f>IF($O415=0,0,        _xll.qDateNext($O414,AG$17,$AH$16,TRUE,Currency1))</f>
        <v>0</v>
      </c>
      <c r="AH414" s="882">
        <f>IF($O415=0,0,        _xll.qDateNext($O414,AH$17,$AH$16,TRUE,Currency1))</f>
        <v>0</v>
      </c>
      <c r="AI414" s="886">
        <f>IF($O415=0,0,           IF(FRM,_xll.qGetFwdRate(AI$14,$O414,AA414,"T",DCC_Leg1_Float),_xll.qGetFwdRate(AI$14,$O414,$O415,"T",DCC_Leg1_Float)))</f>
        <v>0</v>
      </c>
      <c r="AJ414" s="886">
        <f>IF($O415=0,0,           IF(FRM,_xll.qGetFwdRate(AJ$14,$O414,AB414,"T",DCC_Leg1_Float),_xll.qGetFwdRate(AJ$14,$O414,$O415,"T",DCC_Leg1_Float)))</f>
        <v>0</v>
      </c>
      <c r="AK414" s="886">
        <f t="shared" si="196"/>
        <v>0</v>
      </c>
      <c r="AL414" s="886">
        <f>IF($O415=0,0,           IF(FRM,_xll.qGetFwdRate(AL$14,$O414,AD414,"T",DCC_Leg1_Float),_xll.qGetFwdRate(AL$14,$O414,$O415,"T",DCC_Leg1_Float)))</f>
        <v>0</v>
      </c>
      <c r="AM414" s="886">
        <f t="shared" si="209"/>
        <v>0</v>
      </c>
      <c r="AN414" s="886">
        <f t="shared" si="210"/>
        <v>0</v>
      </c>
      <c r="AO414" s="886">
        <f>IF($O415=0,0,           IF(FRM,_xll.qGetFwdRate(AO$14,$O414,AG414,"T",DCC_Leg1_Float),_xll.qGetFwdRate(AO$14,$O414,$O415,"T",DCC_Leg1_Float)))</f>
        <v>0</v>
      </c>
      <c r="AP414" s="886">
        <f>IF($O415=0,0,           IF(FRM,_xll.qGetFwdRate(AP$14,$O414,AH414,"T",DCC_Leg1_Float),_xll.qGetFwdRate(AP$14,$O414,$O415,"T",DCC_Leg1_Float)))</f>
        <v>0</v>
      </c>
      <c r="AQ414" s="648">
        <f t="shared" si="211"/>
        <v>0</v>
      </c>
      <c r="AR414" s="648">
        <f t="shared" si="212"/>
        <v>0</v>
      </c>
      <c r="AS414" s="648">
        <f t="shared" si="213"/>
        <v>0</v>
      </c>
      <c r="AT414" s="648">
        <f t="shared" si="214"/>
        <v>0</v>
      </c>
      <c r="AU414" s="648">
        <f t="shared" si="215"/>
        <v>0</v>
      </c>
      <c r="AV414" s="648">
        <f t="shared" si="216"/>
        <v>0</v>
      </c>
      <c r="AW414" s="648">
        <f t="shared" si="217"/>
        <v>0</v>
      </c>
      <c r="AX414" s="648">
        <f t="shared" si="218"/>
        <v>0</v>
      </c>
      <c r="AY414" s="634">
        <v>0</v>
      </c>
      <c r="AZ414" s="616"/>
      <c r="BA414" s="619">
        <f>IF(O415=0,0,             IF(ISNUMBER(AZ414),AZ414,             IF(ISTEXT(AZ414),INDEX(AQ414:AX414,MATCH(AZ414,$AQ$17:$AX$17,0)),           IF(AY414="INT",_xll.qInterp(O415,AA414:AH414,AQ414:AX414),       INDEX(AQ414:AX414,MATCH(AY414,$AQ$17:$AX$17,0))))))</f>
        <v>0</v>
      </c>
      <c r="BB414" s="674">
        <v>100</v>
      </c>
      <c r="BC414" s="666">
        <f t="shared" si="197"/>
        <v>0</v>
      </c>
      <c r="BD414" s="268">
        <f>IF($O415=0,0,                IF(LEFT(DCC_Leg1_Fixed,2)="1/",uEvaluate(DCC_Leg1_Fixed),        _xll.qDateYears($O414,$O415,DCC_Leg1_Fixed)))</f>
        <v>0</v>
      </c>
      <c r="BE414" s="268">
        <f>IF($O415,_xll.qDateYears($O414,$O415,DCC_Leg1_Float),0)</f>
        <v>0</v>
      </c>
      <c r="BG414" s="332">
        <f t="shared" si="219"/>
        <v>0</v>
      </c>
      <c r="BH414" s="357">
        <f t="shared" si="220"/>
        <v>0</v>
      </c>
      <c r="BI414" s="527"/>
      <c r="BK414" s="324">
        <f t="shared" si="193"/>
        <v>0</v>
      </c>
      <c r="BM414" s="338"/>
      <c r="BN414" s="121">
        <v>0</v>
      </c>
      <c r="BO414" s="755">
        <f t="shared" si="198"/>
        <v>0</v>
      </c>
      <c r="BP414" s="339">
        <v>0</v>
      </c>
      <c r="BQ414" s="890">
        <f>IF(BN415=0,0,         IF(OR(Currency2="AUD",Currency1="NZD",Currency2="GBP"),BN414,   _xll.qDateNext(BN414,"-2b",,,IF(Currency2="EUR","TGT","LON"))))</f>
        <v>0</v>
      </c>
      <c r="BR414" s="879" t="str">
        <v/>
      </c>
      <c r="BS414" s="879" t="str">
        <v/>
      </c>
      <c r="BT414" s="879" t="str">
        <v/>
      </c>
      <c r="BU414" s="879" t="str">
        <v/>
      </c>
      <c r="BV414" s="879" t="str">
        <v/>
      </c>
      <c r="BW414" s="879" t="str">
        <v/>
      </c>
      <c r="BX414" s="879" t="str">
        <v/>
      </c>
      <c r="BY414" s="879" t="str">
        <v/>
      </c>
      <c r="BZ414" s="882">
        <f>IF($BN415=0,0,        _xll.qDateNext($BN414,BZ$17,$CG$16,TRUE,Currency2))</f>
        <v>0</v>
      </c>
      <c r="CA414" s="882">
        <f>IF($BN415=0,0,        _xll.qDateNext($BN414,CA$17,$CG$16,TRUE,Currency2))</f>
        <v>0</v>
      </c>
      <c r="CB414" s="882">
        <f>IF($BN415=0,0,        _xll.qDateNext($BN414,CB$17,$CG$16,TRUE,Currency2))</f>
        <v>0</v>
      </c>
      <c r="CC414" s="882">
        <f>IF($BN415=0,0,        _xll.qDateNext($BN414,CC$17,$CG$16,TRUE,Currency2))</f>
        <v>0</v>
      </c>
      <c r="CD414" s="882">
        <f>IF($BN415=0,0,        _xll.qDateNext($BN414,CD$17,$CG$16,TRUE,Currency2))</f>
        <v>0</v>
      </c>
      <c r="CE414" s="882">
        <f>IF($BN415=0,0,        _xll.qDateNext($BN414,CE$17,$CG$16,TRUE,Currency2))</f>
        <v>0</v>
      </c>
      <c r="CF414" s="882">
        <f>IF($BN415=0,0,        _xll.qDateNext($BN414,CF$17,$CG$16,TRUE,Currency2))</f>
        <v>0</v>
      </c>
      <c r="CG414" s="882">
        <f>IF($BN415=0,0,        _xll.qDateNext($BN414,CG$17,$CG$16,TRUE,Currency2))</f>
        <v>0</v>
      </c>
      <c r="CH414" s="886">
        <v>0</v>
      </c>
      <c r="CI414" s="886">
        <v>0</v>
      </c>
      <c r="CJ414" s="886">
        <v>0</v>
      </c>
      <c r="CK414" s="886">
        <v>0</v>
      </c>
      <c r="CL414" s="886">
        <f t="shared" si="221"/>
        <v>0</v>
      </c>
      <c r="CM414" s="886">
        <f t="shared" si="222"/>
        <v>0</v>
      </c>
      <c r="CN414" s="886">
        <v>0</v>
      </c>
      <c r="CO414" s="886">
        <v>0</v>
      </c>
      <c r="CP414" s="648">
        <f t="shared" si="199"/>
        <v>0</v>
      </c>
      <c r="CQ414" s="648">
        <f t="shared" si="200"/>
        <v>0</v>
      </c>
      <c r="CR414" s="648">
        <f t="shared" si="201"/>
        <v>0</v>
      </c>
      <c r="CS414" s="648">
        <f t="shared" si="202"/>
        <v>0</v>
      </c>
      <c r="CT414" s="648">
        <f t="shared" si="203"/>
        <v>0</v>
      </c>
      <c r="CU414" s="648">
        <f t="shared" si="204"/>
        <v>0</v>
      </c>
      <c r="CV414" s="648">
        <f t="shared" si="205"/>
        <v>0</v>
      </c>
      <c r="CW414" s="648">
        <f t="shared" si="206"/>
        <v>0</v>
      </c>
      <c r="CX414" s="634">
        <v>0</v>
      </c>
      <c r="CY414" s="616"/>
      <c r="CZ414" s="619">
        <f>IF(BN415=0,0,             IF(ISNUMBER(CY414),CY414,             IF(ISTEXT(CY414),INDEX(CP414:CW414,MATCH(CY414,$CP$17:$CW$17,0)),           IF(CX414="INT",_xll.qInterp(BN415,BZ414:CG414,CP414:CW414),       INDEX(CP414:CW414,MATCH(CX414,$CP$17:$CW$17,0))))))</f>
        <v>0</v>
      </c>
      <c r="DA414" s="755">
        <f t="shared" si="207"/>
        <v>0</v>
      </c>
      <c r="DB414" s="387">
        <f t="shared" si="208"/>
        <v>0</v>
      </c>
      <c r="DC414" s="268">
        <f>IF($BN415=0,0,         IF(LEFT(DCC_Leg2_Fixed,2)="1/",uEvaluate(DCC_Leg2_Fixed),         _xll.qDateYears($BN414,$BN415,DCC_Leg2_Fixed)))</f>
        <v>0</v>
      </c>
      <c r="DD414" s="268">
        <f>IF($BN415,_xll.qDateYears($BN414,$BN415,DCC_Leg2_Float),0)</f>
        <v>0</v>
      </c>
      <c r="DF414" s="332">
        <f t="shared" si="223"/>
        <v>0</v>
      </c>
      <c r="DG414" s="357">
        <f t="shared" si="224"/>
        <v>0</v>
      </c>
      <c r="DH414" s="527"/>
      <c r="DJ414" s="324">
        <f t="shared" si="194"/>
        <v>0</v>
      </c>
      <c r="DK414" s="529"/>
      <c r="DL414" s="338"/>
    </row>
    <row r="415" spans="15:116">
      <c r="O415" s="121">
        <v>0</v>
      </c>
      <c r="P415" s="755">
        <f t="shared" si="195"/>
        <v>0</v>
      </c>
      <c r="Q415" s="125">
        <v>0</v>
      </c>
      <c r="R415" s="890">
        <f>IF(O416=0,0,         IF(OR(Currency1="AUD",Currency1="NZD",Currency1="GBP"),O415,   _xll.qDateNext(O415,"-2b",,,IF(Currency1="EUR","TGT","LON"))))</f>
        <v>0</v>
      </c>
      <c r="S415" s="879" t="str">
        <v/>
      </c>
      <c r="T415" s="879" t="str">
        <v/>
      </c>
      <c r="U415" s="879" t="str">
        <v/>
      </c>
      <c r="V415" s="879" t="str">
        <v/>
      </c>
      <c r="W415" s="879" t="str">
        <v/>
      </c>
      <c r="X415" s="879" t="str">
        <v/>
      </c>
      <c r="Y415" s="879" t="str">
        <v/>
      </c>
      <c r="Z415" s="879" t="str">
        <v/>
      </c>
      <c r="AA415" s="882">
        <f>IF($O416=0,0,        _xll.qDateNext($O415,AA$17,$AH$16,TRUE,Currency1))</f>
        <v>0</v>
      </c>
      <c r="AB415" s="882">
        <f>IF($O416=0,0,        _xll.qDateNext($O415,AB$17,$AH$16,TRUE,Currency1))</f>
        <v>0</v>
      </c>
      <c r="AC415" s="882">
        <f>IF($O416=0,0,        _xll.qDateNext($O415,AC$17,$AH$16,TRUE,Currency1))</f>
        <v>0</v>
      </c>
      <c r="AD415" s="882">
        <f>IF($O416=0,0,        _xll.qDateNext($O415,AD$17,$AH$16,TRUE,Currency1))</f>
        <v>0</v>
      </c>
      <c r="AE415" s="882">
        <f>IF($O416=0,0,        _xll.qDateNext($O415,AE$17,$AH$16,TRUE,Currency1))</f>
        <v>0</v>
      </c>
      <c r="AF415" s="882">
        <f>IF($O416=0,0,        _xll.qDateNext($O415,AF$17,$AH$16,TRUE,Currency1))</f>
        <v>0</v>
      </c>
      <c r="AG415" s="882">
        <f>IF($O416=0,0,        _xll.qDateNext($O415,AG$17,$AH$16,TRUE,Currency1))</f>
        <v>0</v>
      </c>
      <c r="AH415" s="882">
        <f>IF($O416=0,0,        _xll.qDateNext($O415,AH$17,$AH$16,TRUE,Currency1))</f>
        <v>0</v>
      </c>
      <c r="AI415" s="886">
        <f>IF($O416=0,0,           IF(FRM,_xll.qGetFwdRate(AI$14,$O415,AA415,"T",DCC_Leg1_Float),_xll.qGetFwdRate(AI$14,$O415,$O416,"T",DCC_Leg1_Float)))</f>
        <v>0</v>
      </c>
      <c r="AJ415" s="886">
        <f>IF($O416=0,0,           IF(FRM,_xll.qGetFwdRate(AJ$14,$O415,AB415,"T",DCC_Leg1_Float),_xll.qGetFwdRate(AJ$14,$O415,$O416,"T",DCC_Leg1_Float)))</f>
        <v>0</v>
      </c>
      <c r="AK415" s="886">
        <f t="shared" si="196"/>
        <v>0</v>
      </c>
      <c r="AL415" s="886">
        <f>IF($O416=0,0,           IF(FRM,_xll.qGetFwdRate(AL$14,$O415,AD415,"T",DCC_Leg1_Float),_xll.qGetFwdRate(AL$14,$O415,$O416,"T",DCC_Leg1_Float)))</f>
        <v>0</v>
      </c>
      <c r="AM415" s="886">
        <f t="shared" si="209"/>
        <v>0</v>
      </c>
      <c r="AN415" s="886">
        <f t="shared" si="210"/>
        <v>0</v>
      </c>
      <c r="AO415" s="886">
        <f>IF($O416=0,0,           IF(FRM,_xll.qGetFwdRate(AO$14,$O415,AG415,"T",DCC_Leg1_Float),_xll.qGetFwdRate(AO$14,$O415,$O416,"T",DCC_Leg1_Float)))</f>
        <v>0</v>
      </c>
      <c r="AP415" s="886">
        <f>IF($O416=0,0,           IF(FRM,_xll.qGetFwdRate(AP$14,$O415,AH415,"T",DCC_Leg1_Float),_xll.qGetFwdRate(AP$14,$O415,$O416,"T",DCC_Leg1_Float)))</f>
        <v>0</v>
      </c>
      <c r="AQ415" s="648">
        <f t="shared" si="211"/>
        <v>0</v>
      </c>
      <c r="AR415" s="648">
        <f t="shared" si="212"/>
        <v>0</v>
      </c>
      <c r="AS415" s="648">
        <f t="shared" si="213"/>
        <v>0</v>
      </c>
      <c r="AT415" s="648">
        <f t="shared" si="214"/>
        <v>0</v>
      </c>
      <c r="AU415" s="648">
        <f t="shared" si="215"/>
        <v>0</v>
      </c>
      <c r="AV415" s="648">
        <f t="shared" si="216"/>
        <v>0</v>
      </c>
      <c r="AW415" s="648">
        <f t="shared" si="217"/>
        <v>0</v>
      </c>
      <c r="AX415" s="648">
        <f t="shared" si="218"/>
        <v>0</v>
      </c>
      <c r="AY415" s="634">
        <v>0</v>
      </c>
      <c r="AZ415" s="616"/>
      <c r="BA415" s="619">
        <f>IF(O416=0,0,             IF(ISNUMBER(AZ415),AZ415,             IF(ISTEXT(AZ415),INDEX(AQ415:AX415,MATCH(AZ415,$AQ$17:$AX$17,0)),           IF(AY415="INT",_xll.qInterp(O416,AA415:AH415,AQ415:AX415),       INDEX(AQ415:AX415,MATCH(AY415,$AQ$17:$AX$17,0))))))</f>
        <v>0</v>
      </c>
      <c r="BB415" s="674">
        <v>100</v>
      </c>
      <c r="BC415" s="666">
        <f t="shared" si="197"/>
        <v>0</v>
      </c>
      <c r="BD415" s="268">
        <f>IF($O416=0,0,                IF(LEFT(DCC_Leg1_Fixed,2)="1/",uEvaluate(DCC_Leg1_Fixed),        _xll.qDateYears($O415,$O416,DCC_Leg1_Fixed)))</f>
        <v>0</v>
      </c>
      <c r="BE415" s="268">
        <f>IF($O416,_xll.qDateYears($O415,$O416,DCC_Leg1_Float),0)</f>
        <v>0</v>
      </c>
      <c r="BG415" s="332">
        <f t="shared" si="219"/>
        <v>0</v>
      </c>
      <c r="BH415" s="357">
        <f t="shared" si="220"/>
        <v>0</v>
      </c>
      <c r="BI415" s="527"/>
      <c r="BK415" s="324">
        <f t="shared" si="193"/>
        <v>0</v>
      </c>
      <c r="BM415" s="338"/>
      <c r="BN415" s="121">
        <v>0</v>
      </c>
      <c r="BO415" s="755">
        <f t="shared" si="198"/>
        <v>0</v>
      </c>
      <c r="BP415" s="339">
        <v>0</v>
      </c>
      <c r="BQ415" s="890">
        <f>IF(BN416=0,0,         IF(OR(Currency2="AUD",Currency1="NZD",Currency2="GBP"),BN415,   _xll.qDateNext(BN415,"-2b",,,IF(Currency2="EUR","TGT","LON"))))</f>
        <v>0</v>
      </c>
      <c r="BR415" s="879" t="str">
        <v/>
      </c>
      <c r="BS415" s="879" t="str">
        <v/>
      </c>
      <c r="BT415" s="879" t="str">
        <v/>
      </c>
      <c r="BU415" s="879" t="str">
        <v/>
      </c>
      <c r="BV415" s="879" t="str">
        <v/>
      </c>
      <c r="BW415" s="879" t="str">
        <v/>
      </c>
      <c r="BX415" s="879" t="str">
        <v/>
      </c>
      <c r="BY415" s="879" t="str">
        <v/>
      </c>
      <c r="BZ415" s="882">
        <f>IF($BN416=0,0,        _xll.qDateNext($BN415,BZ$17,$CG$16,TRUE,Currency2))</f>
        <v>0</v>
      </c>
      <c r="CA415" s="882">
        <f>IF($BN416=0,0,        _xll.qDateNext($BN415,CA$17,$CG$16,TRUE,Currency2))</f>
        <v>0</v>
      </c>
      <c r="CB415" s="882">
        <f>IF($BN416=0,0,        _xll.qDateNext($BN415,CB$17,$CG$16,TRUE,Currency2))</f>
        <v>0</v>
      </c>
      <c r="CC415" s="882">
        <f>IF($BN416=0,0,        _xll.qDateNext($BN415,CC$17,$CG$16,TRUE,Currency2))</f>
        <v>0</v>
      </c>
      <c r="CD415" s="882">
        <f>IF($BN416=0,0,        _xll.qDateNext($BN415,CD$17,$CG$16,TRUE,Currency2))</f>
        <v>0</v>
      </c>
      <c r="CE415" s="882">
        <f>IF($BN416=0,0,        _xll.qDateNext($BN415,CE$17,$CG$16,TRUE,Currency2))</f>
        <v>0</v>
      </c>
      <c r="CF415" s="882">
        <f>IF($BN416=0,0,        _xll.qDateNext($BN415,CF$17,$CG$16,TRUE,Currency2))</f>
        <v>0</v>
      </c>
      <c r="CG415" s="882">
        <f>IF($BN416=0,0,        _xll.qDateNext($BN415,CG$17,$CG$16,TRUE,Currency2))</f>
        <v>0</v>
      </c>
      <c r="CH415" s="886">
        <v>0</v>
      </c>
      <c r="CI415" s="886">
        <v>0</v>
      </c>
      <c r="CJ415" s="886">
        <v>0</v>
      </c>
      <c r="CK415" s="886">
        <v>0</v>
      </c>
      <c r="CL415" s="886">
        <f t="shared" si="221"/>
        <v>0</v>
      </c>
      <c r="CM415" s="886">
        <f t="shared" si="222"/>
        <v>0</v>
      </c>
      <c r="CN415" s="886">
        <v>0</v>
      </c>
      <c r="CO415" s="886">
        <v>0</v>
      </c>
      <c r="CP415" s="648">
        <f t="shared" si="199"/>
        <v>0</v>
      </c>
      <c r="CQ415" s="648">
        <f t="shared" si="200"/>
        <v>0</v>
      </c>
      <c r="CR415" s="648">
        <f t="shared" si="201"/>
        <v>0</v>
      </c>
      <c r="CS415" s="648">
        <f t="shared" si="202"/>
        <v>0</v>
      </c>
      <c r="CT415" s="648">
        <f t="shared" si="203"/>
        <v>0</v>
      </c>
      <c r="CU415" s="648">
        <f t="shared" si="204"/>
        <v>0</v>
      </c>
      <c r="CV415" s="648">
        <f t="shared" si="205"/>
        <v>0</v>
      </c>
      <c r="CW415" s="648">
        <f t="shared" si="206"/>
        <v>0</v>
      </c>
      <c r="CX415" s="634">
        <v>0</v>
      </c>
      <c r="CY415" s="616"/>
      <c r="CZ415" s="619">
        <f>IF(BN416=0,0,             IF(ISNUMBER(CY415),CY415,             IF(ISTEXT(CY415),INDEX(CP415:CW415,MATCH(CY415,$CP$17:$CW$17,0)),           IF(CX415="INT",_xll.qInterp(BN416,BZ415:CG415,CP415:CW415),       INDEX(CP415:CW415,MATCH(CX415,$CP$17:$CW$17,0))))))</f>
        <v>0</v>
      </c>
      <c r="DA415" s="755">
        <f t="shared" si="207"/>
        <v>0</v>
      </c>
      <c r="DB415" s="387">
        <f t="shared" si="208"/>
        <v>0</v>
      </c>
      <c r="DC415" s="268">
        <f>IF($BN416=0,0,         IF(LEFT(DCC_Leg2_Fixed,2)="1/",uEvaluate(DCC_Leg2_Fixed),         _xll.qDateYears($BN415,$BN416,DCC_Leg2_Fixed)))</f>
        <v>0</v>
      </c>
      <c r="DD415" s="268">
        <f>IF($BN416,_xll.qDateYears($BN415,$BN416,DCC_Leg2_Float),0)</f>
        <v>0</v>
      </c>
      <c r="DF415" s="332">
        <f t="shared" si="223"/>
        <v>0</v>
      </c>
      <c r="DG415" s="357">
        <f t="shared" si="224"/>
        <v>0</v>
      </c>
      <c r="DH415" s="527"/>
      <c r="DJ415" s="324">
        <f t="shared" si="194"/>
        <v>0</v>
      </c>
      <c r="DK415" s="529"/>
      <c r="DL415" s="338"/>
    </row>
    <row r="416" spans="15:116">
      <c r="O416" s="121">
        <v>0</v>
      </c>
      <c r="P416" s="755">
        <f t="shared" si="195"/>
        <v>0</v>
      </c>
      <c r="Q416" s="125">
        <v>0</v>
      </c>
      <c r="R416" s="890">
        <f>IF(O417=0,0,         IF(OR(Currency1="AUD",Currency1="NZD",Currency1="GBP"),O416,   _xll.qDateNext(O416,"-2b",,,IF(Currency1="EUR","TGT","LON"))))</f>
        <v>0</v>
      </c>
      <c r="S416" s="879" t="str">
        <v/>
      </c>
      <c r="T416" s="879" t="str">
        <v/>
      </c>
      <c r="U416" s="879" t="str">
        <v/>
      </c>
      <c r="V416" s="879" t="str">
        <v/>
      </c>
      <c r="W416" s="879" t="str">
        <v/>
      </c>
      <c r="X416" s="879" t="str">
        <v/>
      </c>
      <c r="Y416" s="879" t="str">
        <v/>
      </c>
      <c r="Z416" s="879" t="str">
        <v/>
      </c>
      <c r="AA416" s="882">
        <f>IF($O417=0,0,        _xll.qDateNext($O416,AA$17,$AH$16,TRUE,Currency1))</f>
        <v>0</v>
      </c>
      <c r="AB416" s="882">
        <f>IF($O417=0,0,        _xll.qDateNext($O416,AB$17,$AH$16,TRUE,Currency1))</f>
        <v>0</v>
      </c>
      <c r="AC416" s="882">
        <f>IF($O417=0,0,        _xll.qDateNext($O416,AC$17,$AH$16,TRUE,Currency1))</f>
        <v>0</v>
      </c>
      <c r="AD416" s="882">
        <f>IF($O417=0,0,        _xll.qDateNext($O416,AD$17,$AH$16,TRUE,Currency1))</f>
        <v>0</v>
      </c>
      <c r="AE416" s="882">
        <f>IF($O417=0,0,        _xll.qDateNext($O416,AE$17,$AH$16,TRUE,Currency1))</f>
        <v>0</v>
      </c>
      <c r="AF416" s="882">
        <f>IF($O417=0,0,        _xll.qDateNext($O416,AF$17,$AH$16,TRUE,Currency1))</f>
        <v>0</v>
      </c>
      <c r="AG416" s="882">
        <f>IF($O417=0,0,        _xll.qDateNext($O416,AG$17,$AH$16,TRUE,Currency1))</f>
        <v>0</v>
      </c>
      <c r="AH416" s="882">
        <f>IF($O417=0,0,        _xll.qDateNext($O416,AH$17,$AH$16,TRUE,Currency1))</f>
        <v>0</v>
      </c>
      <c r="AI416" s="886">
        <f>IF($O417=0,0,           IF(FRM,_xll.qGetFwdRate(AI$14,$O416,AA416,"T",DCC_Leg1_Float),_xll.qGetFwdRate(AI$14,$O416,$O417,"T",DCC_Leg1_Float)))</f>
        <v>0</v>
      </c>
      <c r="AJ416" s="886">
        <f>IF($O417=0,0,           IF(FRM,_xll.qGetFwdRate(AJ$14,$O416,AB416,"T",DCC_Leg1_Float),_xll.qGetFwdRate(AJ$14,$O416,$O417,"T",DCC_Leg1_Float)))</f>
        <v>0</v>
      </c>
      <c r="AK416" s="886">
        <f t="shared" si="196"/>
        <v>0</v>
      </c>
      <c r="AL416" s="886">
        <f>IF($O417=0,0,           IF(FRM,_xll.qGetFwdRate(AL$14,$O416,AD416,"T",DCC_Leg1_Float),_xll.qGetFwdRate(AL$14,$O416,$O417,"T",DCC_Leg1_Float)))</f>
        <v>0</v>
      </c>
      <c r="AM416" s="886">
        <f t="shared" si="209"/>
        <v>0</v>
      </c>
      <c r="AN416" s="886">
        <f t="shared" si="210"/>
        <v>0</v>
      </c>
      <c r="AO416" s="886">
        <f>IF($O417=0,0,           IF(FRM,_xll.qGetFwdRate(AO$14,$O416,AG416,"T",DCC_Leg1_Float),_xll.qGetFwdRate(AO$14,$O416,$O417,"T",DCC_Leg1_Float)))</f>
        <v>0</v>
      </c>
      <c r="AP416" s="886">
        <f>IF($O417=0,0,           IF(FRM,_xll.qGetFwdRate(AP$14,$O416,AH416,"T",DCC_Leg1_Float),_xll.qGetFwdRate(AP$14,$O416,$O417,"T",DCC_Leg1_Float)))</f>
        <v>0</v>
      </c>
      <c r="AQ416" s="648">
        <f t="shared" si="211"/>
        <v>0</v>
      </c>
      <c r="AR416" s="648">
        <f t="shared" si="212"/>
        <v>0</v>
      </c>
      <c r="AS416" s="648">
        <f t="shared" si="213"/>
        <v>0</v>
      </c>
      <c r="AT416" s="648">
        <f t="shared" si="214"/>
        <v>0</v>
      </c>
      <c r="AU416" s="648">
        <f t="shared" si="215"/>
        <v>0</v>
      </c>
      <c r="AV416" s="648">
        <f t="shared" si="216"/>
        <v>0</v>
      </c>
      <c r="AW416" s="648">
        <f t="shared" si="217"/>
        <v>0</v>
      </c>
      <c r="AX416" s="648">
        <f t="shared" si="218"/>
        <v>0</v>
      </c>
      <c r="AY416" s="634">
        <v>0</v>
      </c>
      <c r="AZ416" s="616"/>
      <c r="BA416" s="619">
        <f>IF(O417=0,0,             IF(ISNUMBER(AZ416),AZ416,             IF(ISTEXT(AZ416),INDEX(AQ416:AX416,MATCH(AZ416,$AQ$17:$AX$17,0)),           IF(AY416="INT",_xll.qInterp(O417,AA416:AH416,AQ416:AX416),       INDEX(AQ416:AX416,MATCH(AY416,$AQ$17:$AX$17,0))))))</f>
        <v>0</v>
      </c>
      <c r="BB416" s="674">
        <v>100</v>
      </c>
      <c r="BC416" s="666">
        <f t="shared" si="197"/>
        <v>0</v>
      </c>
      <c r="BD416" s="268">
        <f>IF($O417=0,0,                IF(LEFT(DCC_Leg1_Fixed,2)="1/",uEvaluate(DCC_Leg1_Fixed),        _xll.qDateYears($O416,$O417,DCC_Leg1_Fixed)))</f>
        <v>0</v>
      </c>
      <c r="BE416" s="268">
        <f>IF($O417,_xll.qDateYears($O416,$O417,DCC_Leg1_Float),0)</f>
        <v>0</v>
      </c>
      <c r="BG416" s="332">
        <f t="shared" si="219"/>
        <v>0</v>
      </c>
      <c r="BH416" s="357">
        <f t="shared" si="220"/>
        <v>0</v>
      </c>
      <c r="BI416" s="527"/>
      <c r="BK416" s="324">
        <f t="shared" si="193"/>
        <v>0</v>
      </c>
      <c r="BM416" s="338"/>
      <c r="BN416" s="121">
        <v>0</v>
      </c>
      <c r="BO416" s="755">
        <f t="shared" si="198"/>
        <v>0</v>
      </c>
      <c r="BP416" s="339">
        <v>0</v>
      </c>
      <c r="BQ416" s="890">
        <f>IF(BN417=0,0,         IF(OR(Currency2="AUD",Currency1="NZD",Currency2="GBP"),BN416,   _xll.qDateNext(BN416,"-2b",,,IF(Currency2="EUR","TGT","LON"))))</f>
        <v>0</v>
      </c>
      <c r="BR416" s="879" t="str">
        <v/>
      </c>
      <c r="BS416" s="879" t="str">
        <v/>
      </c>
      <c r="BT416" s="879" t="str">
        <v/>
      </c>
      <c r="BU416" s="879" t="str">
        <v/>
      </c>
      <c r="BV416" s="879" t="str">
        <v/>
      </c>
      <c r="BW416" s="879" t="str">
        <v/>
      </c>
      <c r="BX416" s="879" t="str">
        <v/>
      </c>
      <c r="BY416" s="879" t="str">
        <v/>
      </c>
      <c r="BZ416" s="882">
        <f>IF($BN417=0,0,        _xll.qDateNext($BN416,BZ$17,$CG$16,TRUE,Currency2))</f>
        <v>0</v>
      </c>
      <c r="CA416" s="882">
        <f>IF($BN417=0,0,        _xll.qDateNext($BN416,CA$17,$CG$16,TRUE,Currency2))</f>
        <v>0</v>
      </c>
      <c r="CB416" s="882">
        <f>IF($BN417=0,0,        _xll.qDateNext($BN416,CB$17,$CG$16,TRUE,Currency2))</f>
        <v>0</v>
      </c>
      <c r="CC416" s="882">
        <f>IF($BN417=0,0,        _xll.qDateNext($BN416,CC$17,$CG$16,TRUE,Currency2))</f>
        <v>0</v>
      </c>
      <c r="CD416" s="882">
        <f>IF($BN417=0,0,        _xll.qDateNext($BN416,CD$17,$CG$16,TRUE,Currency2))</f>
        <v>0</v>
      </c>
      <c r="CE416" s="882">
        <f>IF($BN417=0,0,        _xll.qDateNext($BN416,CE$17,$CG$16,TRUE,Currency2))</f>
        <v>0</v>
      </c>
      <c r="CF416" s="882">
        <f>IF($BN417=0,0,        _xll.qDateNext($BN416,CF$17,$CG$16,TRUE,Currency2))</f>
        <v>0</v>
      </c>
      <c r="CG416" s="882">
        <f>IF($BN417=0,0,        _xll.qDateNext($BN416,CG$17,$CG$16,TRUE,Currency2))</f>
        <v>0</v>
      </c>
      <c r="CH416" s="886">
        <v>0</v>
      </c>
      <c r="CI416" s="886">
        <v>0</v>
      </c>
      <c r="CJ416" s="886">
        <v>0</v>
      </c>
      <c r="CK416" s="886">
        <v>0</v>
      </c>
      <c r="CL416" s="886">
        <f t="shared" si="221"/>
        <v>0</v>
      </c>
      <c r="CM416" s="886">
        <f t="shared" si="222"/>
        <v>0</v>
      </c>
      <c r="CN416" s="886">
        <v>0</v>
      </c>
      <c r="CO416" s="886">
        <v>0</v>
      </c>
      <c r="CP416" s="648">
        <f t="shared" si="199"/>
        <v>0</v>
      </c>
      <c r="CQ416" s="648">
        <f t="shared" si="200"/>
        <v>0</v>
      </c>
      <c r="CR416" s="648">
        <f t="shared" si="201"/>
        <v>0</v>
      </c>
      <c r="CS416" s="648">
        <f t="shared" si="202"/>
        <v>0</v>
      </c>
      <c r="CT416" s="648">
        <f t="shared" si="203"/>
        <v>0</v>
      </c>
      <c r="CU416" s="648">
        <f t="shared" si="204"/>
        <v>0</v>
      </c>
      <c r="CV416" s="648">
        <f t="shared" si="205"/>
        <v>0</v>
      </c>
      <c r="CW416" s="648">
        <f t="shared" si="206"/>
        <v>0</v>
      </c>
      <c r="CX416" s="634">
        <v>0</v>
      </c>
      <c r="CY416" s="616"/>
      <c r="CZ416" s="619">
        <f>IF(BN417=0,0,             IF(ISNUMBER(CY416),CY416,             IF(ISTEXT(CY416),INDEX(CP416:CW416,MATCH(CY416,$CP$17:$CW$17,0)),           IF(CX416="INT",_xll.qInterp(BN417,BZ416:CG416,CP416:CW416),       INDEX(CP416:CW416,MATCH(CX416,$CP$17:$CW$17,0))))))</f>
        <v>0</v>
      </c>
      <c r="DA416" s="755">
        <f t="shared" si="207"/>
        <v>0</v>
      </c>
      <c r="DB416" s="387">
        <f t="shared" si="208"/>
        <v>0</v>
      </c>
      <c r="DC416" s="268">
        <f>IF($BN417=0,0,         IF(LEFT(DCC_Leg2_Fixed,2)="1/",uEvaluate(DCC_Leg2_Fixed),         _xll.qDateYears($BN416,$BN417,DCC_Leg2_Fixed)))</f>
        <v>0</v>
      </c>
      <c r="DD416" s="268">
        <f>IF($BN417,_xll.qDateYears($BN416,$BN417,DCC_Leg2_Float),0)</f>
        <v>0</v>
      </c>
      <c r="DF416" s="332">
        <f t="shared" si="223"/>
        <v>0</v>
      </c>
      <c r="DG416" s="357">
        <f t="shared" si="224"/>
        <v>0</v>
      </c>
      <c r="DH416" s="527"/>
      <c r="DJ416" s="324">
        <f t="shared" si="194"/>
        <v>0</v>
      </c>
      <c r="DK416" s="529"/>
      <c r="DL416" s="338"/>
    </row>
    <row r="417" spans="15:116">
      <c r="O417" s="121">
        <v>0</v>
      </c>
      <c r="P417" s="755">
        <f t="shared" si="195"/>
        <v>0</v>
      </c>
      <c r="Q417" s="125">
        <v>0</v>
      </c>
      <c r="R417" s="890">
        <f>IF(O418=0,0,         IF(OR(Currency1="AUD",Currency1="NZD",Currency1="GBP"),O417,   _xll.qDateNext(O417,"-2b",,,IF(Currency1="EUR","TGT","LON"))))</f>
        <v>0</v>
      </c>
      <c r="S417" s="879" t="str">
        <v/>
      </c>
      <c r="T417" s="879" t="str">
        <v/>
      </c>
      <c r="U417" s="879" t="str">
        <v/>
      </c>
      <c r="V417" s="879" t="str">
        <v/>
      </c>
      <c r="W417" s="879" t="str">
        <v/>
      </c>
      <c r="X417" s="879" t="str">
        <v/>
      </c>
      <c r="Y417" s="879" t="str">
        <v/>
      </c>
      <c r="Z417" s="879" t="str">
        <v/>
      </c>
      <c r="AA417" s="882">
        <f>IF($O418=0,0,        _xll.qDateNext($O417,AA$17,$AH$16,TRUE,Currency1))</f>
        <v>0</v>
      </c>
      <c r="AB417" s="882">
        <f>IF($O418=0,0,        _xll.qDateNext($O417,AB$17,$AH$16,TRUE,Currency1))</f>
        <v>0</v>
      </c>
      <c r="AC417" s="882">
        <f>IF($O418=0,0,        _xll.qDateNext($O417,AC$17,$AH$16,TRUE,Currency1))</f>
        <v>0</v>
      </c>
      <c r="AD417" s="882">
        <f>IF($O418=0,0,        _xll.qDateNext($O417,AD$17,$AH$16,TRUE,Currency1))</f>
        <v>0</v>
      </c>
      <c r="AE417" s="882">
        <f>IF($O418=0,0,        _xll.qDateNext($O417,AE$17,$AH$16,TRUE,Currency1))</f>
        <v>0</v>
      </c>
      <c r="AF417" s="882">
        <f>IF($O418=0,0,        _xll.qDateNext($O417,AF$17,$AH$16,TRUE,Currency1))</f>
        <v>0</v>
      </c>
      <c r="AG417" s="882">
        <f>IF($O418=0,0,        _xll.qDateNext($O417,AG$17,$AH$16,TRUE,Currency1))</f>
        <v>0</v>
      </c>
      <c r="AH417" s="882">
        <f>IF($O418=0,0,        _xll.qDateNext($O417,AH$17,$AH$16,TRUE,Currency1))</f>
        <v>0</v>
      </c>
      <c r="AI417" s="886">
        <f>IF($O418=0,0,           IF(FRM,_xll.qGetFwdRate(AI$14,$O417,AA417,"T",DCC_Leg1_Float),_xll.qGetFwdRate(AI$14,$O417,$O418,"T",DCC_Leg1_Float)))</f>
        <v>0</v>
      </c>
      <c r="AJ417" s="886">
        <f>IF($O418=0,0,           IF(FRM,_xll.qGetFwdRate(AJ$14,$O417,AB417,"T",DCC_Leg1_Float),_xll.qGetFwdRate(AJ$14,$O417,$O418,"T",DCC_Leg1_Float)))</f>
        <v>0</v>
      </c>
      <c r="AK417" s="886">
        <f t="shared" si="196"/>
        <v>0</v>
      </c>
      <c r="AL417" s="886">
        <f>IF($O418=0,0,           IF(FRM,_xll.qGetFwdRate(AL$14,$O417,AD417,"T",DCC_Leg1_Float),_xll.qGetFwdRate(AL$14,$O417,$O418,"T",DCC_Leg1_Float)))</f>
        <v>0</v>
      </c>
      <c r="AM417" s="886">
        <f t="shared" si="209"/>
        <v>0</v>
      </c>
      <c r="AN417" s="886">
        <f t="shared" si="210"/>
        <v>0</v>
      </c>
      <c r="AO417" s="886">
        <f>IF($O418=0,0,           IF(FRM,_xll.qGetFwdRate(AO$14,$O417,AG417,"T",DCC_Leg1_Float),_xll.qGetFwdRate(AO$14,$O417,$O418,"T",DCC_Leg1_Float)))</f>
        <v>0</v>
      </c>
      <c r="AP417" s="886">
        <f>IF($O418=0,0,           IF(FRM,_xll.qGetFwdRate(AP$14,$O417,AH417,"T",DCC_Leg1_Float),_xll.qGetFwdRate(AP$14,$O417,$O418,"T",DCC_Leg1_Float)))</f>
        <v>0</v>
      </c>
      <c r="AQ417" s="648">
        <f t="shared" si="211"/>
        <v>0</v>
      </c>
      <c r="AR417" s="648">
        <f t="shared" si="212"/>
        <v>0</v>
      </c>
      <c r="AS417" s="648">
        <f t="shared" si="213"/>
        <v>0</v>
      </c>
      <c r="AT417" s="648">
        <f t="shared" si="214"/>
        <v>0</v>
      </c>
      <c r="AU417" s="648">
        <f t="shared" si="215"/>
        <v>0</v>
      </c>
      <c r="AV417" s="648">
        <f t="shared" si="216"/>
        <v>0</v>
      </c>
      <c r="AW417" s="648">
        <f t="shared" si="217"/>
        <v>0</v>
      </c>
      <c r="AX417" s="648">
        <f t="shared" si="218"/>
        <v>0</v>
      </c>
      <c r="AY417" s="634">
        <v>0</v>
      </c>
      <c r="AZ417" s="616"/>
      <c r="BA417" s="619">
        <f>IF(O418=0,0,             IF(ISNUMBER(AZ417),AZ417,             IF(ISTEXT(AZ417),INDEX(AQ417:AX417,MATCH(AZ417,$AQ$17:$AX$17,0)),           IF(AY417="INT",_xll.qInterp(O418,AA417:AH417,AQ417:AX417),       INDEX(AQ417:AX417,MATCH(AY417,$AQ$17:$AX$17,0))))))</f>
        <v>0</v>
      </c>
      <c r="BB417" s="674">
        <v>100</v>
      </c>
      <c r="BC417" s="666">
        <f t="shared" si="197"/>
        <v>0</v>
      </c>
      <c r="BD417" s="268">
        <f>IF($O418=0,0,                IF(LEFT(DCC_Leg1_Fixed,2)="1/",uEvaluate(DCC_Leg1_Fixed),        _xll.qDateYears($O417,$O418,DCC_Leg1_Fixed)))</f>
        <v>0</v>
      </c>
      <c r="BE417" s="268">
        <f>IF($O418,_xll.qDateYears($O417,$O418,DCC_Leg1_Float),0)</f>
        <v>0</v>
      </c>
      <c r="BG417" s="332">
        <f t="shared" si="219"/>
        <v>0</v>
      </c>
      <c r="BH417" s="357">
        <f t="shared" si="220"/>
        <v>0</v>
      </c>
      <c r="BI417" s="527"/>
      <c r="BK417" s="324">
        <f t="shared" si="193"/>
        <v>0</v>
      </c>
      <c r="BM417" s="338"/>
      <c r="BN417" s="121">
        <v>0</v>
      </c>
      <c r="BO417" s="755">
        <f t="shared" si="198"/>
        <v>0</v>
      </c>
      <c r="BP417" s="339">
        <v>0</v>
      </c>
      <c r="BQ417" s="890">
        <f>IF(BN418=0,0,         IF(OR(Currency2="AUD",Currency1="NZD",Currency2="GBP"),BN417,   _xll.qDateNext(BN417,"-2b",,,IF(Currency2="EUR","TGT","LON"))))</f>
        <v>0</v>
      </c>
      <c r="BR417" s="879" t="str">
        <v/>
      </c>
      <c r="BS417" s="879" t="str">
        <v/>
      </c>
      <c r="BT417" s="879" t="str">
        <v/>
      </c>
      <c r="BU417" s="879" t="str">
        <v/>
      </c>
      <c r="BV417" s="879" t="str">
        <v/>
      </c>
      <c r="BW417" s="879" t="str">
        <v/>
      </c>
      <c r="BX417" s="879" t="str">
        <v/>
      </c>
      <c r="BY417" s="879" t="str">
        <v/>
      </c>
      <c r="BZ417" s="882">
        <f>IF($BN418=0,0,        _xll.qDateNext($BN417,BZ$17,$CG$16,TRUE,Currency2))</f>
        <v>0</v>
      </c>
      <c r="CA417" s="882">
        <f>IF($BN418=0,0,        _xll.qDateNext($BN417,CA$17,$CG$16,TRUE,Currency2))</f>
        <v>0</v>
      </c>
      <c r="CB417" s="882">
        <f>IF($BN418=0,0,        _xll.qDateNext($BN417,CB$17,$CG$16,TRUE,Currency2))</f>
        <v>0</v>
      </c>
      <c r="CC417" s="882">
        <f>IF($BN418=0,0,        _xll.qDateNext($BN417,CC$17,$CG$16,TRUE,Currency2))</f>
        <v>0</v>
      </c>
      <c r="CD417" s="882">
        <f>IF($BN418=0,0,        _xll.qDateNext($BN417,CD$17,$CG$16,TRUE,Currency2))</f>
        <v>0</v>
      </c>
      <c r="CE417" s="882">
        <f>IF($BN418=0,0,        _xll.qDateNext($BN417,CE$17,$CG$16,TRUE,Currency2))</f>
        <v>0</v>
      </c>
      <c r="CF417" s="882">
        <f>IF($BN418=0,0,        _xll.qDateNext($BN417,CF$17,$CG$16,TRUE,Currency2))</f>
        <v>0</v>
      </c>
      <c r="CG417" s="882">
        <f>IF($BN418=0,0,        _xll.qDateNext($BN417,CG$17,$CG$16,TRUE,Currency2))</f>
        <v>0</v>
      </c>
      <c r="CH417" s="886">
        <v>0</v>
      </c>
      <c r="CI417" s="886">
        <v>0</v>
      </c>
      <c r="CJ417" s="886">
        <v>0</v>
      </c>
      <c r="CK417" s="886">
        <v>0</v>
      </c>
      <c r="CL417" s="886">
        <f t="shared" si="221"/>
        <v>0</v>
      </c>
      <c r="CM417" s="886">
        <f t="shared" si="222"/>
        <v>0</v>
      </c>
      <c r="CN417" s="886">
        <v>0</v>
      </c>
      <c r="CO417" s="886">
        <v>0</v>
      </c>
      <c r="CP417" s="648">
        <f t="shared" si="199"/>
        <v>0</v>
      </c>
      <c r="CQ417" s="648">
        <f t="shared" si="200"/>
        <v>0</v>
      </c>
      <c r="CR417" s="648">
        <f t="shared" si="201"/>
        <v>0</v>
      </c>
      <c r="CS417" s="648">
        <f t="shared" si="202"/>
        <v>0</v>
      </c>
      <c r="CT417" s="648">
        <f t="shared" si="203"/>
        <v>0</v>
      </c>
      <c r="CU417" s="648">
        <f t="shared" si="204"/>
        <v>0</v>
      </c>
      <c r="CV417" s="648">
        <f t="shared" si="205"/>
        <v>0</v>
      </c>
      <c r="CW417" s="648">
        <f t="shared" si="206"/>
        <v>0</v>
      </c>
      <c r="CX417" s="634">
        <v>0</v>
      </c>
      <c r="CY417" s="616"/>
      <c r="CZ417" s="619">
        <f>IF(BN418=0,0,             IF(ISNUMBER(CY417),CY417,             IF(ISTEXT(CY417),INDEX(CP417:CW417,MATCH(CY417,$CP$17:$CW$17,0)),           IF(CX417="INT",_xll.qInterp(BN418,BZ417:CG417,CP417:CW417),       INDEX(CP417:CW417,MATCH(CX417,$CP$17:$CW$17,0))))))</f>
        <v>0</v>
      </c>
      <c r="DA417" s="755">
        <f t="shared" si="207"/>
        <v>0</v>
      </c>
      <c r="DB417" s="387">
        <f t="shared" si="208"/>
        <v>0</v>
      </c>
      <c r="DC417" s="268">
        <f>IF($BN418=0,0,         IF(LEFT(DCC_Leg2_Fixed,2)="1/",uEvaluate(DCC_Leg2_Fixed),         _xll.qDateYears($BN417,$BN418,DCC_Leg2_Fixed)))</f>
        <v>0</v>
      </c>
      <c r="DD417" s="268">
        <f>IF($BN418,_xll.qDateYears($BN417,$BN418,DCC_Leg2_Float),0)</f>
        <v>0</v>
      </c>
      <c r="DF417" s="332">
        <f t="shared" si="223"/>
        <v>0</v>
      </c>
      <c r="DG417" s="357">
        <f t="shared" si="224"/>
        <v>0</v>
      </c>
      <c r="DH417" s="527"/>
      <c r="DJ417" s="324">
        <f t="shared" si="194"/>
        <v>0</v>
      </c>
      <c r="DK417" s="529"/>
      <c r="DL417" s="338"/>
    </row>
    <row r="418" spans="15:116">
      <c r="O418" s="121">
        <v>0</v>
      </c>
      <c r="P418" s="755">
        <f t="shared" si="195"/>
        <v>0</v>
      </c>
      <c r="Q418" s="125">
        <v>0</v>
      </c>
      <c r="R418" s="890">
        <f>IF(O419=0,0,         IF(OR(Currency1="AUD",Currency1="NZD",Currency1="GBP"),O418,   _xll.qDateNext(O418,"-2b",,,IF(Currency1="EUR","TGT","LON"))))</f>
        <v>0</v>
      </c>
      <c r="S418" s="879" t="str">
        <v/>
      </c>
      <c r="T418" s="879" t="str">
        <v/>
      </c>
      <c r="U418" s="879" t="str">
        <v/>
      </c>
      <c r="V418" s="879" t="str">
        <v/>
      </c>
      <c r="W418" s="879" t="str">
        <v/>
      </c>
      <c r="X418" s="879" t="str">
        <v/>
      </c>
      <c r="Y418" s="879" t="str">
        <v/>
      </c>
      <c r="Z418" s="879" t="str">
        <v/>
      </c>
      <c r="AA418" s="882">
        <f>IF($O419=0,0,        _xll.qDateNext($O418,AA$17,$AH$16,TRUE,Currency1))</f>
        <v>0</v>
      </c>
      <c r="AB418" s="882">
        <f>IF($O419=0,0,        _xll.qDateNext($O418,AB$17,$AH$16,TRUE,Currency1))</f>
        <v>0</v>
      </c>
      <c r="AC418" s="882">
        <f>IF($O419=0,0,        _xll.qDateNext($O418,AC$17,$AH$16,TRUE,Currency1))</f>
        <v>0</v>
      </c>
      <c r="AD418" s="882">
        <f>IF($O419=0,0,        _xll.qDateNext($O418,AD$17,$AH$16,TRUE,Currency1))</f>
        <v>0</v>
      </c>
      <c r="AE418" s="882">
        <f>IF($O419=0,0,        _xll.qDateNext($O418,AE$17,$AH$16,TRUE,Currency1))</f>
        <v>0</v>
      </c>
      <c r="AF418" s="882">
        <f>IF($O419=0,0,        _xll.qDateNext($O418,AF$17,$AH$16,TRUE,Currency1))</f>
        <v>0</v>
      </c>
      <c r="AG418" s="882">
        <f>IF($O419=0,0,        _xll.qDateNext($O418,AG$17,$AH$16,TRUE,Currency1))</f>
        <v>0</v>
      </c>
      <c r="AH418" s="882">
        <f>IF($O419=0,0,        _xll.qDateNext($O418,AH$17,$AH$16,TRUE,Currency1))</f>
        <v>0</v>
      </c>
      <c r="AI418" s="886">
        <f>IF($O419=0,0,           IF(FRM,_xll.qGetFwdRate(AI$14,$O418,AA418,"T",DCC_Leg1_Float),_xll.qGetFwdRate(AI$14,$O418,$O419,"T",DCC_Leg1_Float)))</f>
        <v>0</v>
      </c>
      <c r="AJ418" s="886">
        <f>IF($O419=0,0,           IF(FRM,_xll.qGetFwdRate(AJ$14,$O418,AB418,"T",DCC_Leg1_Float),_xll.qGetFwdRate(AJ$14,$O418,$O419,"T",DCC_Leg1_Float)))</f>
        <v>0</v>
      </c>
      <c r="AK418" s="886">
        <f t="shared" si="196"/>
        <v>0</v>
      </c>
      <c r="AL418" s="886">
        <f>IF($O419=0,0,           IF(FRM,_xll.qGetFwdRate(AL$14,$O418,AD418,"T",DCC_Leg1_Float),_xll.qGetFwdRate(AL$14,$O418,$O419,"T",DCC_Leg1_Float)))</f>
        <v>0</v>
      </c>
      <c r="AM418" s="886">
        <f t="shared" si="209"/>
        <v>0</v>
      </c>
      <c r="AN418" s="886">
        <f t="shared" si="210"/>
        <v>0</v>
      </c>
      <c r="AO418" s="886">
        <f>IF($O419=0,0,           IF(FRM,_xll.qGetFwdRate(AO$14,$O418,AG418,"T",DCC_Leg1_Float),_xll.qGetFwdRate(AO$14,$O418,$O419,"T",DCC_Leg1_Float)))</f>
        <v>0</v>
      </c>
      <c r="AP418" s="886">
        <f>IF($O419=0,0,           IF(FRM,_xll.qGetFwdRate(AP$14,$O418,AH418,"T",DCC_Leg1_Float),_xll.qGetFwdRate(AP$14,$O418,$O419,"T",DCC_Leg1_Float)))</f>
        <v>0</v>
      </c>
      <c r="AQ418" s="648">
        <f t="shared" si="211"/>
        <v>0</v>
      </c>
      <c r="AR418" s="648">
        <f t="shared" si="212"/>
        <v>0</v>
      </c>
      <c r="AS418" s="648">
        <f t="shared" si="213"/>
        <v>0</v>
      </c>
      <c r="AT418" s="648">
        <f t="shared" si="214"/>
        <v>0</v>
      </c>
      <c r="AU418" s="648">
        <f t="shared" si="215"/>
        <v>0</v>
      </c>
      <c r="AV418" s="648">
        <f t="shared" si="216"/>
        <v>0</v>
      </c>
      <c r="AW418" s="648">
        <f t="shared" si="217"/>
        <v>0</v>
      </c>
      <c r="AX418" s="648">
        <f t="shared" si="218"/>
        <v>0</v>
      </c>
      <c r="AY418" s="634">
        <v>0</v>
      </c>
      <c r="AZ418" s="616"/>
      <c r="BA418" s="619">
        <f>IF(O419=0,0,             IF(ISNUMBER(AZ418),AZ418,             IF(ISTEXT(AZ418),INDEX(AQ418:AX418,MATCH(AZ418,$AQ$17:$AX$17,0)),           IF(AY418="INT",_xll.qInterp(O419,AA418:AH418,AQ418:AX418),       INDEX(AQ418:AX418,MATCH(AY418,$AQ$17:$AX$17,0))))))</f>
        <v>0</v>
      </c>
      <c r="BB418" s="674">
        <v>100</v>
      </c>
      <c r="BC418" s="666">
        <f t="shared" si="197"/>
        <v>0</v>
      </c>
      <c r="BD418" s="268">
        <f>IF($O419=0,0,                IF(LEFT(DCC_Leg1_Fixed,2)="1/",uEvaluate(DCC_Leg1_Fixed),        _xll.qDateYears($O418,$O419,DCC_Leg1_Fixed)))</f>
        <v>0</v>
      </c>
      <c r="BE418" s="268">
        <f>IF($O419,_xll.qDateYears($O418,$O419,DCC_Leg1_Float),0)</f>
        <v>0</v>
      </c>
      <c r="BG418" s="332">
        <f t="shared" si="219"/>
        <v>0</v>
      </c>
      <c r="BH418" s="357">
        <f t="shared" si="220"/>
        <v>0</v>
      </c>
      <c r="BI418" s="527"/>
      <c r="BK418" s="324">
        <f t="shared" si="193"/>
        <v>0</v>
      </c>
      <c r="BM418" s="338"/>
      <c r="BN418" s="121">
        <v>0</v>
      </c>
      <c r="BO418" s="755">
        <f t="shared" si="198"/>
        <v>0</v>
      </c>
      <c r="BP418" s="339">
        <v>0</v>
      </c>
      <c r="BQ418" s="890">
        <f>IF(BN419=0,0,         IF(OR(Currency2="AUD",Currency1="NZD",Currency2="GBP"),BN418,   _xll.qDateNext(BN418,"-2b",,,IF(Currency2="EUR","TGT","LON"))))</f>
        <v>0</v>
      </c>
      <c r="BR418" s="879" t="str">
        <v/>
      </c>
      <c r="BS418" s="879" t="str">
        <v/>
      </c>
      <c r="BT418" s="879" t="str">
        <v/>
      </c>
      <c r="BU418" s="879" t="str">
        <v/>
      </c>
      <c r="BV418" s="879" t="str">
        <v/>
      </c>
      <c r="BW418" s="879" t="str">
        <v/>
      </c>
      <c r="BX418" s="879" t="str">
        <v/>
      </c>
      <c r="BY418" s="879" t="str">
        <v/>
      </c>
      <c r="BZ418" s="882">
        <f>IF($BN419=0,0,        _xll.qDateNext($BN418,BZ$17,$CG$16,TRUE,Currency2))</f>
        <v>0</v>
      </c>
      <c r="CA418" s="882">
        <f>IF($BN419=0,0,        _xll.qDateNext($BN418,CA$17,$CG$16,TRUE,Currency2))</f>
        <v>0</v>
      </c>
      <c r="CB418" s="882">
        <f>IF($BN419=0,0,        _xll.qDateNext($BN418,CB$17,$CG$16,TRUE,Currency2))</f>
        <v>0</v>
      </c>
      <c r="CC418" s="882">
        <f>IF($BN419=0,0,        _xll.qDateNext($BN418,CC$17,$CG$16,TRUE,Currency2))</f>
        <v>0</v>
      </c>
      <c r="CD418" s="882">
        <f>IF($BN419=0,0,        _xll.qDateNext($BN418,CD$17,$CG$16,TRUE,Currency2))</f>
        <v>0</v>
      </c>
      <c r="CE418" s="882">
        <f>IF($BN419=0,0,        _xll.qDateNext($BN418,CE$17,$CG$16,TRUE,Currency2))</f>
        <v>0</v>
      </c>
      <c r="CF418" s="882">
        <f>IF($BN419=0,0,        _xll.qDateNext($BN418,CF$17,$CG$16,TRUE,Currency2))</f>
        <v>0</v>
      </c>
      <c r="CG418" s="882">
        <f>IF($BN419=0,0,        _xll.qDateNext($BN418,CG$17,$CG$16,TRUE,Currency2))</f>
        <v>0</v>
      </c>
      <c r="CH418" s="886">
        <v>0</v>
      </c>
      <c r="CI418" s="886">
        <v>0</v>
      </c>
      <c r="CJ418" s="886">
        <v>0</v>
      </c>
      <c r="CK418" s="886">
        <v>0</v>
      </c>
      <c r="CL418" s="886">
        <f t="shared" si="221"/>
        <v>0</v>
      </c>
      <c r="CM418" s="886">
        <f t="shared" si="222"/>
        <v>0</v>
      </c>
      <c r="CN418" s="886">
        <v>0</v>
      </c>
      <c r="CO418" s="886">
        <v>0</v>
      </c>
      <c r="CP418" s="648">
        <f t="shared" si="199"/>
        <v>0</v>
      </c>
      <c r="CQ418" s="648">
        <f t="shared" si="200"/>
        <v>0</v>
      </c>
      <c r="CR418" s="648">
        <f t="shared" si="201"/>
        <v>0</v>
      </c>
      <c r="CS418" s="648">
        <f t="shared" si="202"/>
        <v>0</v>
      </c>
      <c r="CT418" s="648">
        <f t="shared" si="203"/>
        <v>0</v>
      </c>
      <c r="CU418" s="648">
        <f t="shared" si="204"/>
        <v>0</v>
      </c>
      <c r="CV418" s="648">
        <f t="shared" si="205"/>
        <v>0</v>
      </c>
      <c r="CW418" s="648">
        <f t="shared" si="206"/>
        <v>0</v>
      </c>
      <c r="CX418" s="634">
        <v>0</v>
      </c>
      <c r="CY418" s="616"/>
      <c r="CZ418" s="619">
        <f>IF(BN419=0,0,             IF(ISNUMBER(CY418),CY418,             IF(ISTEXT(CY418),INDEX(CP418:CW418,MATCH(CY418,$CP$17:$CW$17,0)),           IF(CX418="INT",_xll.qInterp(BN419,BZ418:CG418,CP418:CW418),       INDEX(CP418:CW418,MATCH(CX418,$CP$17:$CW$17,0))))))</f>
        <v>0</v>
      </c>
      <c r="DA418" s="755">
        <f t="shared" si="207"/>
        <v>0</v>
      </c>
      <c r="DB418" s="387">
        <f t="shared" si="208"/>
        <v>0</v>
      </c>
      <c r="DC418" s="268">
        <f>IF($BN419=0,0,         IF(LEFT(DCC_Leg2_Fixed,2)="1/",uEvaluate(DCC_Leg2_Fixed),         _xll.qDateYears($BN418,$BN419,DCC_Leg2_Fixed)))</f>
        <v>0</v>
      </c>
      <c r="DD418" s="268">
        <f>IF($BN419,_xll.qDateYears($BN418,$BN419,DCC_Leg2_Float),0)</f>
        <v>0</v>
      </c>
      <c r="DF418" s="332">
        <f t="shared" si="223"/>
        <v>0</v>
      </c>
      <c r="DG418" s="357">
        <f t="shared" si="224"/>
        <v>0</v>
      </c>
      <c r="DH418" s="527"/>
      <c r="DJ418" s="324">
        <f t="shared" si="194"/>
        <v>0</v>
      </c>
      <c r="DK418" s="529"/>
      <c r="DL418" s="338"/>
    </row>
    <row r="419" spans="15:116">
      <c r="O419" s="121">
        <v>0</v>
      </c>
      <c r="P419" s="755">
        <f t="shared" si="195"/>
        <v>0</v>
      </c>
      <c r="Q419" s="125">
        <v>0</v>
      </c>
      <c r="R419" s="890">
        <f>IF(O420=0,0,         IF(OR(Currency1="AUD",Currency1="NZD",Currency1="GBP"),O419,   _xll.qDateNext(O419,"-2b",,,IF(Currency1="EUR","TGT","LON"))))</f>
        <v>0</v>
      </c>
      <c r="S419" s="879" t="str">
        <v/>
      </c>
      <c r="T419" s="879" t="str">
        <v/>
      </c>
      <c r="U419" s="879" t="str">
        <v/>
      </c>
      <c r="V419" s="879" t="str">
        <v/>
      </c>
      <c r="W419" s="879" t="str">
        <v/>
      </c>
      <c r="X419" s="879" t="str">
        <v/>
      </c>
      <c r="Y419" s="879" t="str">
        <v/>
      </c>
      <c r="Z419" s="879" t="str">
        <v/>
      </c>
      <c r="AA419" s="882">
        <f>IF($O420=0,0,        _xll.qDateNext($O419,AA$17,$AH$16,TRUE,Currency1))</f>
        <v>0</v>
      </c>
      <c r="AB419" s="882">
        <f>IF($O420=0,0,        _xll.qDateNext($O419,AB$17,$AH$16,TRUE,Currency1))</f>
        <v>0</v>
      </c>
      <c r="AC419" s="882">
        <f>IF($O420=0,0,        _xll.qDateNext($O419,AC$17,$AH$16,TRUE,Currency1))</f>
        <v>0</v>
      </c>
      <c r="AD419" s="882">
        <f>IF($O420=0,0,        _xll.qDateNext($O419,AD$17,$AH$16,TRUE,Currency1))</f>
        <v>0</v>
      </c>
      <c r="AE419" s="882">
        <f>IF($O420=0,0,        _xll.qDateNext($O419,AE$17,$AH$16,TRUE,Currency1))</f>
        <v>0</v>
      </c>
      <c r="AF419" s="882">
        <f>IF($O420=0,0,        _xll.qDateNext($O419,AF$17,$AH$16,TRUE,Currency1))</f>
        <v>0</v>
      </c>
      <c r="AG419" s="882">
        <f>IF($O420=0,0,        _xll.qDateNext($O419,AG$17,$AH$16,TRUE,Currency1))</f>
        <v>0</v>
      </c>
      <c r="AH419" s="882">
        <f>IF($O420=0,0,        _xll.qDateNext($O419,AH$17,$AH$16,TRUE,Currency1))</f>
        <v>0</v>
      </c>
      <c r="AI419" s="886">
        <f>IF($O420=0,0,           IF(FRM,_xll.qGetFwdRate(AI$14,$O419,AA419,"T",DCC_Leg1_Float),_xll.qGetFwdRate(AI$14,$O419,$O420,"T",DCC_Leg1_Float)))</f>
        <v>0</v>
      </c>
      <c r="AJ419" s="886">
        <f>IF($O420=0,0,           IF(FRM,_xll.qGetFwdRate(AJ$14,$O419,AB419,"T",DCC_Leg1_Float),_xll.qGetFwdRate(AJ$14,$O419,$O420,"T",DCC_Leg1_Float)))</f>
        <v>0</v>
      </c>
      <c r="AK419" s="886">
        <f t="shared" si="196"/>
        <v>0</v>
      </c>
      <c r="AL419" s="886">
        <f>IF($O420=0,0,           IF(FRM,_xll.qGetFwdRate(AL$14,$O419,AD419,"T",DCC_Leg1_Float),_xll.qGetFwdRate(AL$14,$O419,$O420,"T",DCC_Leg1_Float)))</f>
        <v>0</v>
      </c>
      <c r="AM419" s="886">
        <f t="shared" si="209"/>
        <v>0</v>
      </c>
      <c r="AN419" s="886">
        <f t="shared" si="210"/>
        <v>0</v>
      </c>
      <c r="AO419" s="886">
        <f>IF($O420=0,0,           IF(FRM,_xll.qGetFwdRate(AO$14,$O419,AG419,"T",DCC_Leg1_Float),_xll.qGetFwdRate(AO$14,$O419,$O420,"T",DCC_Leg1_Float)))</f>
        <v>0</v>
      </c>
      <c r="AP419" s="886">
        <f>IF($O420=0,0,           IF(FRM,_xll.qGetFwdRate(AP$14,$O419,AH419,"T",DCC_Leg1_Float),_xll.qGetFwdRate(AP$14,$O419,$O420,"T",DCC_Leg1_Float)))</f>
        <v>0</v>
      </c>
      <c r="AQ419" s="648">
        <f t="shared" si="211"/>
        <v>0</v>
      </c>
      <c r="AR419" s="648">
        <f t="shared" si="212"/>
        <v>0</v>
      </c>
      <c r="AS419" s="648">
        <f t="shared" si="213"/>
        <v>0</v>
      </c>
      <c r="AT419" s="648">
        <f t="shared" si="214"/>
        <v>0</v>
      </c>
      <c r="AU419" s="648">
        <f t="shared" si="215"/>
        <v>0</v>
      </c>
      <c r="AV419" s="648">
        <f t="shared" si="216"/>
        <v>0</v>
      </c>
      <c r="AW419" s="648">
        <f t="shared" si="217"/>
        <v>0</v>
      </c>
      <c r="AX419" s="648">
        <f t="shared" si="218"/>
        <v>0</v>
      </c>
      <c r="AY419" s="634">
        <v>0</v>
      </c>
      <c r="AZ419" s="616"/>
      <c r="BA419" s="619">
        <f>IF(O420=0,0,             IF(ISNUMBER(AZ419),AZ419,             IF(ISTEXT(AZ419),INDEX(AQ419:AX419,MATCH(AZ419,$AQ$17:$AX$17,0)),           IF(AY419="INT",_xll.qInterp(O420,AA419:AH419,AQ419:AX419),       INDEX(AQ419:AX419,MATCH(AY419,$AQ$17:$AX$17,0))))))</f>
        <v>0</v>
      </c>
      <c r="BB419" s="674">
        <v>100</v>
      </c>
      <c r="BC419" s="666">
        <f t="shared" si="197"/>
        <v>0</v>
      </c>
      <c r="BD419" s="268">
        <f>IF($O420=0,0,                IF(LEFT(DCC_Leg1_Fixed,2)="1/",uEvaluate(DCC_Leg1_Fixed),        _xll.qDateYears($O419,$O420,DCC_Leg1_Fixed)))</f>
        <v>0</v>
      </c>
      <c r="BE419" s="268">
        <f>IF($O420,_xll.qDateYears($O419,$O420,DCC_Leg1_Float),0)</f>
        <v>0</v>
      </c>
      <c r="BG419" s="332">
        <f t="shared" si="219"/>
        <v>0</v>
      </c>
      <c r="BH419" s="357">
        <f t="shared" si="220"/>
        <v>0</v>
      </c>
      <c r="BI419" s="527"/>
      <c r="BK419" s="324">
        <f t="shared" si="193"/>
        <v>0</v>
      </c>
      <c r="BM419" s="338"/>
      <c r="BN419" s="121">
        <v>0</v>
      </c>
      <c r="BO419" s="755">
        <f t="shared" si="198"/>
        <v>0</v>
      </c>
      <c r="BP419" s="339">
        <v>0</v>
      </c>
      <c r="BQ419" s="890">
        <f>IF(BN420=0,0,         IF(OR(Currency2="AUD",Currency1="NZD",Currency2="GBP"),BN419,   _xll.qDateNext(BN419,"-2b",,,IF(Currency2="EUR","TGT","LON"))))</f>
        <v>0</v>
      </c>
      <c r="BR419" s="879" t="str">
        <v/>
      </c>
      <c r="BS419" s="879" t="str">
        <v/>
      </c>
      <c r="BT419" s="879" t="str">
        <v/>
      </c>
      <c r="BU419" s="879" t="str">
        <v/>
      </c>
      <c r="BV419" s="879" t="str">
        <v/>
      </c>
      <c r="BW419" s="879" t="str">
        <v/>
      </c>
      <c r="BX419" s="879" t="str">
        <v/>
      </c>
      <c r="BY419" s="879" t="str">
        <v/>
      </c>
      <c r="BZ419" s="882">
        <f>IF($BN420=0,0,        _xll.qDateNext($BN419,BZ$17,$CG$16,TRUE,Currency2))</f>
        <v>0</v>
      </c>
      <c r="CA419" s="882">
        <f>IF($BN420=0,0,        _xll.qDateNext($BN419,CA$17,$CG$16,TRUE,Currency2))</f>
        <v>0</v>
      </c>
      <c r="CB419" s="882">
        <f>IF($BN420=0,0,        _xll.qDateNext($BN419,CB$17,$CG$16,TRUE,Currency2))</f>
        <v>0</v>
      </c>
      <c r="CC419" s="882">
        <f>IF($BN420=0,0,        _xll.qDateNext($BN419,CC$17,$CG$16,TRUE,Currency2))</f>
        <v>0</v>
      </c>
      <c r="CD419" s="882">
        <f>IF($BN420=0,0,        _xll.qDateNext($BN419,CD$17,$CG$16,TRUE,Currency2))</f>
        <v>0</v>
      </c>
      <c r="CE419" s="882">
        <f>IF($BN420=0,0,        _xll.qDateNext($BN419,CE$17,$CG$16,TRUE,Currency2))</f>
        <v>0</v>
      </c>
      <c r="CF419" s="882">
        <f>IF($BN420=0,0,        _xll.qDateNext($BN419,CF$17,$CG$16,TRUE,Currency2))</f>
        <v>0</v>
      </c>
      <c r="CG419" s="882">
        <f>IF($BN420=0,0,        _xll.qDateNext($BN419,CG$17,$CG$16,TRUE,Currency2))</f>
        <v>0</v>
      </c>
      <c r="CH419" s="886">
        <v>0</v>
      </c>
      <c r="CI419" s="886">
        <v>0</v>
      </c>
      <c r="CJ419" s="886">
        <v>0</v>
      </c>
      <c r="CK419" s="886">
        <v>0</v>
      </c>
      <c r="CL419" s="886">
        <f t="shared" si="221"/>
        <v>0</v>
      </c>
      <c r="CM419" s="886">
        <f t="shared" si="222"/>
        <v>0</v>
      </c>
      <c r="CN419" s="886">
        <v>0</v>
      </c>
      <c r="CO419" s="886">
        <v>0</v>
      </c>
      <c r="CP419" s="648">
        <f t="shared" si="199"/>
        <v>0</v>
      </c>
      <c r="CQ419" s="648">
        <f t="shared" si="200"/>
        <v>0</v>
      </c>
      <c r="CR419" s="648">
        <f t="shared" si="201"/>
        <v>0</v>
      </c>
      <c r="CS419" s="648">
        <f t="shared" si="202"/>
        <v>0</v>
      </c>
      <c r="CT419" s="648">
        <f t="shared" si="203"/>
        <v>0</v>
      </c>
      <c r="CU419" s="648">
        <f t="shared" si="204"/>
        <v>0</v>
      </c>
      <c r="CV419" s="648">
        <f t="shared" si="205"/>
        <v>0</v>
      </c>
      <c r="CW419" s="648">
        <f t="shared" si="206"/>
        <v>0</v>
      </c>
      <c r="CX419" s="634">
        <v>0</v>
      </c>
      <c r="CY419" s="616"/>
      <c r="CZ419" s="619">
        <f>IF(BN420=0,0,             IF(ISNUMBER(CY419),CY419,             IF(ISTEXT(CY419),INDEX(CP419:CW419,MATCH(CY419,$CP$17:$CW$17,0)),           IF(CX419="INT",_xll.qInterp(BN420,BZ419:CG419,CP419:CW419),       INDEX(CP419:CW419,MATCH(CX419,$CP$17:$CW$17,0))))))</f>
        <v>0</v>
      </c>
      <c r="DA419" s="755">
        <f t="shared" si="207"/>
        <v>0</v>
      </c>
      <c r="DB419" s="387">
        <f t="shared" si="208"/>
        <v>0</v>
      </c>
      <c r="DC419" s="268">
        <f>IF($BN420=0,0,         IF(LEFT(DCC_Leg2_Fixed,2)="1/",uEvaluate(DCC_Leg2_Fixed),         _xll.qDateYears($BN419,$BN420,DCC_Leg2_Fixed)))</f>
        <v>0</v>
      </c>
      <c r="DD419" s="268">
        <f>IF($BN420,_xll.qDateYears($BN419,$BN420,DCC_Leg2_Float),0)</f>
        <v>0</v>
      </c>
      <c r="DF419" s="332">
        <f t="shared" si="223"/>
        <v>0</v>
      </c>
      <c r="DG419" s="357">
        <f t="shared" si="224"/>
        <v>0</v>
      </c>
      <c r="DH419" s="527"/>
      <c r="DJ419" s="324">
        <f t="shared" si="194"/>
        <v>0</v>
      </c>
      <c r="DK419" s="529"/>
      <c r="DL419" s="338"/>
    </row>
    <row r="420" spans="15:116">
      <c r="O420" s="121">
        <v>0</v>
      </c>
      <c r="P420" s="755">
        <f t="shared" si="195"/>
        <v>0</v>
      </c>
      <c r="Q420" s="125">
        <v>0</v>
      </c>
      <c r="R420" s="890">
        <f>IF(O421=0,0,         IF(OR(Currency1="AUD",Currency1="NZD",Currency1="GBP"),O420,   _xll.qDateNext(O420,"-2b",,,IF(Currency1="EUR","TGT","LON"))))</f>
        <v>0</v>
      </c>
      <c r="S420" s="879" t="str">
        <v/>
      </c>
      <c r="T420" s="879" t="str">
        <v/>
      </c>
      <c r="U420" s="879" t="str">
        <v/>
      </c>
      <c r="V420" s="879" t="str">
        <v/>
      </c>
      <c r="W420" s="879" t="str">
        <v/>
      </c>
      <c r="X420" s="879" t="str">
        <v/>
      </c>
      <c r="Y420" s="879" t="str">
        <v/>
      </c>
      <c r="Z420" s="879" t="str">
        <v/>
      </c>
      <c r="AA420" s="882">
        <f>IF($O421=0,0,        _xll.qDateNext($O420,AA$17,$AH$16,TRUE,Currency1))</f>
        <v>0</v>
      </c>
      <c r="AB420" s="882">
        <f>IF($O421=0,0,        _xll.qDateNext($O420,AB$17,$AH$16,TRUE,Currency1))</f>
        <v>0</v>
      </c>
      <c r="AC420" s="882">
        <f>IF($O421=0,0,        _xll.qDateNext($O420,AC$17,$AH$16,TRUE,Currency1))</f>
        <v>0</v>
      </c>
      <c r="AD420" s="882">
        <f>IF($O421=0,0,        _xll.qDateNext($O420,AD$17,$AH$16,TRUE,Currency1))</f>
        <v>0</v>
      </c>
      <c r="AE420" s="882">
        <f>IF($O421=0,0,        _xll.qDateNext($O420,AE$17,$AH$16,TRUE,Currency1))</f>
        <v>0</v>
      </c>
      <c r="AF420" s="882">
        <f>IF($O421=0,0,        _xll.qDateNext($O420,AF$17,$AH$16,TRUE,Currency1))</f>
        <v>0</v>
      </c>
      <c r="AG420" s="882">
        <f>IF($O421=0,0,        _xll.qDateNext($O420,AG$17,$AH$16,TRUE,Currency1))</f>
        <v>0</v>
      </c>
      <c r="AH420" s="882">
        <f>IF($O421=0,0,        _xll.qDateNext($O420,AH$17,$AH$16,TRUE,Currency1))</f>
        <v>0</v>
      </c>
      <c r="AI420" s="886">
        <f>IF($O421=0,0,           IF(FRM,_xll.qGetFwdRate(AI$14,$O420,AA420,"T",DCC_Leg1_Float),_xll.qGetFwdRate(AI$14,$O420,$O421,"T",DCC_Leg1_Float)))</f>
        <v>0</v>
      </c>
      <c r="AJ420" s="886">
        <f>IF($O421=0,0,           IF(FRM,_xll.qGetFwdRate(AJ$14,$O420,AB420,"T",DCC_Leg1_Float),_xll.qGetFwdRate(AJ$14,$O420,$O421,"T",DCC_Leg1_Float)))</f>
        <v>0</v>
      </c>
      <c r="AK420" s="886">
        <f t="shared" si="196"/>
        <v>0</v>
      </c>
      <c r="AL420" s="886">
        <f>IF($O421=0,0,           IF(FRM,_xll.qGetFwdRate(AL$14,$O420,AD420,"T",DCC_Leg1_Float),_xll.qGetFwdRate(AL$14,$O420,$O421,"T",DCC_Leg1_Float)))</f>
        <v>0</v>
      </c>
      <c r="AM420" s="886">
        <f t="shared" si="209"/>
        <v>0</v>
      </c>
      <c r="AN420" s="886">
        <f t="shared" si="210"/>
        <v>0</v>
      </c>
      <c r="AO420" s="886">
        <f>IF($O421=0,0,           IF(FRM,_xll.qGetFwdRate(AO$14,$O420,AG420,"T",DCC_Leg1_Float),_xll.qGetFwdRate(AO$14,$O420,$O421,"T",DCC_Leg1_Float)))</f>
        <v>0</v>
      </c>
      <c r="AP420" s="886">
        <f>IF($O421=0,0,           IF(FRM,_xll.qGetFwdRate(AP$14,$O420,AH420,"T",DCC_Leg1_Float),_xll.qGetFwdRate(AP$14,$O420,$O421,"T",DCC_Leg1_Float)))</f>
        <v>0</v>
      </c>
      <c r="AQ420" s="648">
        <f t="shared" si="211"/>
        <v>0</v>
      </c>
      <c r="AR420" s="648">
        <f t="shared" si="212"/>
        <v>0</v>
      </c>
      <c r="AS420" s="648">
        <f t="shared" si="213"/>
        <v>0</v>
      </c>
      <c r="AT420" s="648">
        <f t="shared" si="214"/>
        <v>0</v>
      </c>
      <c r="AU420" s="648">
        <f t="shared" si="215"/>
        <v>0</v>
      </c>
      <c r="AV420" s="648">
        <f t="shared" si="216"/>
        <v>0</v>
      </c>
      <c r="AW420" s="648">
        <f t="shared" si="217"/>
        <v>0</v>
      </c>
      <c r="AX420" s="648">
        <f t="shared" si="218"/>
        <v>0</v>
      </c>
      <c r="AY420" s="634">
        <v>0</v>
      </c>
      <c r="AZ420" s="616"/>
      <c r="BA420" s="619">
        <f>IF(O421=0,0,             IF(ISNUMBER(AZ420),AZ420,             IF(ISTEXT(AZ420),INDEX(AQ420:AX420,MATCH(AZ420,$AQ$17:$AX$17,0)),           IF(AY420="INT",_xll.qInterp(O421,AA420:AH420,AQ420:AX420),       INDEX(AQ420:AX420,MATCH(AY420,$AQ$17:$AX$17,0))))))</f>
        <v>0</v>
      </c>
      <c r="BB420" s="674">
        <v>100</v>
      </c>
      <c r="BC420" s="666">
        <f t="shared" si="197"/>
        <v>0</v>
      </c>
      <c r="BD420" s="268">
        <f>IF($O421=0,0,                IF(LEFT(DCC_Leg1_Fixed,2)="1/",uEvaluate(DCC_Leg1_Fixed),        _xll.qDateYears($O420,$O421,DCC_Leg1_Fixed)))</f>
        <v>0</v>
      </c>
      <c r="BE420" s="268">
        <f>IF($O421,_xll.qDateYears($O420,$O421,DCC_Leg1_Float),0)</f>
        <v>0</v>
      </c>
      <c r="BG420" s="332">
        <f t="shared" si="219"/>
        <v>0</v>
      </c>
      <c r="BH420" s="357">
        <f t="shared" si="220"/>
        <v>0</v>
      </c>
      <c r="BI420" s="527"/>
      <c r="BK420" s="324">
        <f t="shared" si="193"/>
        <v>0</v>
      </c>
      <c r="BM420" s="338"/>
      <c r="BN420" s="121">
        <v>0</v>
      </c>
      <c r="BO420" s="755">
        <f t="shared" si="198"/>
        <v>0</v>
      </c>
      <c r="BP420" s="339">
        <v>0</v>
      </c>
      <c r="BQ420" s="890">
        <f>IF(BN421=0,0,         IF(OR(Currency2="AUD",Currency1="NZD",Currency2="GBP"),BN420,   _xll.qDateNext(BN420,"-2b",,,IF(Currency2="EUR","TGT","LON"))))</f>
        <v>0</v>
      </c>
      <c r="BR420" s="879" t="str">
        <v/>
      </c>
      <c r="BS420" s="879" t="str">
        <v/>
      </c>
      <c r="BT420" s="879" t="str">
        <v/>
      </c>
      <c r="BU420" s="879" t="str">
        <v/>
      </c>
      <c r="BV420" s="879" t="str">
        <v/>
      </c>
      <c r="BW420" s="879" t="str">
        <v/>
      </c>
      <c r="BX420" s="879" t="str">
        <v/>
      </c>
      <c r="BY420" s="879" t="str">
        <v/>
      </c>
      <c r="BZ420" s="882">
        <f>IF($BN421=0,0,        _xll.qDateNext($BN420,BZ$17,$CG$16,TRUE,Currency2))</f>
        <v>0</v>
      </c>
      <c r="CA420" s="882">
        <f>IF($BN421=0,0,        _xll.qDateNext($BN420,CA$17,$CG$16,TRUE,Currency2))</f>
        <v>0</v>
      </c>
      <c r="CB420" s="882">
        <f>IF($BN421=0,0,        _xll.qDateNext($BN420,CB$17,$CG$16,TRUE,Currency2))</f>
        <v>0</v>
      </c>
      <c r="CC420" s="882">
        <f>IF($BN421=0,0,        _xll.qDateNext($BN420,CC$17,$CG$16,TRUE,Currency2))</f>
        <v>0</v>
      </c>
      <c r="CD420" s="882">
        <f>IF($BN421=0,0,        _xll.qDateNext($BN420,CD$17,$CG$16,TRUE,Currency2))</f>
        <v>0</v>
      </c>
      <c r="CE420" s="882">
        <f>IF($BN421=0,0,        _xll.qDateNext($BN420,CE$17,$CG$16,TRUE,Currency2))</f>
        <v>0</v>
      </c>
      <c r="CF420" s="882">
        <f>IF($BN421=0,0,        _xll.qDateNext($BN420,CF$17,$CG$16,TRUE,Currency2))</f>
        <v>0</v>
      </c>
      <c r="CG420" s="882">
        <f>IF($BN421=0,0,        _xll.qDateNext($BN420,CG$17,$CG$16,TRUE,Currency2))</f>
        <v>0</v>
      </c>
      <c r="CH420" s="886">
        <v>0</v>
      </c>
      <c r="CI420" s="886">
        <v>0</v>
      </c>
      <c r="CJ420" s="886">
        <v>0</v>
      </c>
      <c r="CK420" s="886">
        <v>0</v>
      </c>
      <c r="CL420" s="886">
        <f t="shared" si="221"/>
        <v>0</v>
      </c>
      <c r="CM420" s="886">
        <f t="shared" si="222"/>
        <v>0</v>
      </c>
      <c r="CN420" s="886">
        <v>0</v>
      </c>
      <c r="CO420" s="886">
        <v>0</v>
      </c>
      <c r="CP420" s="648">
        <f t="shared" si="199"/>
        <v>0</v>
      </c>
      <c r="CQ420" s="648">
        <f t="shared" si="200"/>
        <v>0</v>
      </c>
      <c r="CR420" s="648">
        <f t="shared" si="201"/>
        <v>0</v>
      </c>
      <c r="CS420" s="648">
        <f t="shared" si="202"/>
        <v>0</v>
      </c>
      <c r="CT420" s="648">
        <f t="shared" si="203"/>
        <v>0</v>
      </c>
      <c r="CU420" s="648">
        <f t="shared" si="204"/>
        <v>0</v>
      </c>
      <c r="CV420" s="648">
        <f t="shared" si="205"/>
        <v>0</v>
      </c>
      <c r="CW420" s="648">
        <f t="shared" si="206"/>
        <v>0</v>
      </c>
      <c r="CX420" s="634">
        <v>0</v>
      </c>
      <c r="CY420" s="616"/>
      <c r="CZ420" s="619">
        <f>IF(BN421=0,0,             IF(ISNUMBER(CY420),CY420,             IF(ISTEXT(CY420),INDEX(CP420:CW420,MATCH(CY420,$CP$17:$CW$17,0)),           IF(CX420="INT",_xll.qInterp(BN421,BZ420:CG420,CP420:CW420),       INDEX(CP420:CW420,MATCH(CX420,$CP$17:$CW$17,0))))))</f>
        <v>0</v>
      </c>
      <c r="DA420" s="755">
        <f t="shared" si="207"/>
        <v>0</v>
      </c>
      <c r="DB420" s="387">
        <f t="shared" si="208"/>
        <v>0</v>
      </c>
      <c r="DC420" s="268">
        <f>IF($BN421=0,0,         IF(LEFT(DCC_Leg2_Fixed,2)="1/",uEvaluate(DCC_Leg2_Fixed),         _xll.qDateYears($BN420,$BN421,DCC_Leg2_Fixed)))</f>
        <v>0</v>
      </c>
      <c r="DD420" s="268">
        <f>IF($BN421,_xll.qDateYears($BN420,$BN421,DCC_Leg2_Float),0)</f>
        <v>0</v>
      </c>
      <c r="DF420" s="332">
        <f t="shared" si="223"/>
        <v>0</v>
      </c>
      <c r="DG420" s="357">
        <f t="shared" si="224"/>
        <v>0</v>
      </c>
      <c r="DH420" s="527"/>
      <c r="DJ420" s="324">
        <f t="shared" si="194"/>
        <v>0</v>
      </c>
      <c r="DK420" s="529"/>
      <c r="DL420" s="338"/>
    </row>
    <row r="421" spans="15:116">
      <c r="O421" s="121">
        <v>0</v>
      </c>
      <c r="P421" s="755">
        <f t="shared" si="195"/>
        <v>0</v>
      </c>
      <c r="Q421" s="125">
        <v>0</v>
      </c>
      <c r="R421" s="890">
        <f>IF(O422=0,0,         IF(OR(Currency1="AUD",Currency1="NZD",Currency1="GBP"),O421,   _xll.qDateNext(O421,"-2b",,,IF(Currency1="EUR","TGT","LON"))))</f>
        <v>0</v>
      </c>
      <c r="S421" s="879" t="str">
        <v/>
      </c>
      <c r="T421" s="879" t="str">
        <v/>
      </c>
      <c r="U421" s="879" t="str">
        <v/>
      </c>
      <c r="V421" s="879" t="str">
        <v/>
      </c>
      <c r="W421" s="879" t="str">
        <v/>
      </c>
      <c r="X421" s="879" t="str">
        <v/>
      </c>
      <c r="Y421" s="879" t="str">
        <v/>
      </c>
      <c r="Z421" s="879" t="str">
        <v/>
      </c>
      <c r="AA421" s="882">
        <f>IF($O422=0,0,        _xll.qDateNext($O421,AA$17,$AH$16,TRUE,Currency1))</f>
        <v>0</v>
      </c>
      <c r="AB421" s="882">
        <f>IF($O422=0,0,        _xll.qDateNext($O421,AB$17,$AH$16,TRUE,Currency1))</f>
        <v>0</v>
      </c>
      <c r="AC421" s="882">
        <f>IF($O422=0,0,        _xll.qDateNext($O421,AC$17,$AH$16,TRUE,Currency1))</f>
        <v>0</v>
      </c>
      <c r="AD421" s="882">
        <f>IF($O422=0,0,        _xll.qDateNext($O421,AD$17,$AH$16,TRUE,Currency1))</f>
        <v>0</v>
      </c>
      <c r="AE421" s="882">
        <f>IF($O422=0,0,        _xll.qDateNext($O421,AE$17,$AH$16,TRUE,Currency1))</f>
        <v>0</v>
      </c>
      <c r="AF421" s="882">
        <f>IF($O422=0,0,        _xll.qDateNext($O421,AF$17,$AH$16,TRUE,Currency1))</f>
        <v>0</v>
      </c>
      <c r="AG421" s="882">
        <f>IF($O422=0,0,        _xll.qDateNext($O421,AG$17,$AH$16,TRUE,Currency1))</f>
        <v>0</v>
      </c>
      <c r="AH421" s="882">
        <f>IF($O422=0,0,        _xll.qDateNext($O421,AH$17,$AH$16,TRUE,Currency1))</f>
        <v>0</v>
      </c>
      <c r="AI421" s="886">
        <f>IF($O422=0,0,           IF(FRM,_xll.qGetFwdRate(AI$14,$O421,AA421,"T",DCC_Leg1_Float),_xll.qGetFwdRate(AI$14,$O421,$O422,"T",DCC_Leg1_Float)))</f>
        <v>0</v>
      </c>
      <c r="AJ421" s="886">
        <f>IF($O422=0,0,           IF(FRM,_xll.qGetFwdRate(AJ$14,$O421,AB421,"T",DCC_Leg1_Float),_xll.qGetFwdRate(AJ$14,$O421,$O422,"T",DCC_Leg1_Float)))</f>
        <v>0</v>
      </c>
      <c r="AK421" s="886">
        <f t="shared" si="196"/>
        <v>0</v>
      </c>
      <c r="AL421" s="886">
        <f>IF($O422=0,0,           IF(FRM,_xll.qGetFwdRate(AL$14,$O421,AD421,"T",DCC_Leg1_Float),_xll.qGetFwdRate(AL$14,$O421,$O422,"T",DCC_Leg1_Float)))</f>
        <v>0</v>
      </c>
      <c r="AM421" s="886">
        <f t="shared" si="209"/>
        <v>0</v>
      </c>
      <c r="AN421" s="886">
        <f t="shared" si="210"/>
        <v>0</v>
      </c>
      <c r="AO421" s="886">
        <f>IF($O422=0,0,           IF(FRM,_xll.qGetFwdRate(AO$14,$O421,AG421,"T",DCC_Leg1_Float),_xll.qGetFwdRate(AO$14,$O421,$O422,"T",DCC_Leg1_Float)))</f>
        <v>0</v>
      </c>
      <c r="AP421" s="886">
        <f>IF($O422=0,0,           IF(FRM,_xll.qGetFwdRate(AP$14,$O421,AH421,"T",DCC_Leg1_Float),_xll.qGetFwdRate(AP$14,$O421,$O422,"T",DCC_Leg1_Float)))</f>
        <v>0</v>
      </c>
      <c r="AQ421" s="648">
        <f t="shared" si="211"/>
        <v>0</v>
      </c>
      <c r="AR421" s="648">
        <f t="shared" si="212"/>
        <v>0</v>
      </c>
      <c r="AS421" s="648">
        <f t="shared" si="213"/>
        <v>0</v>
      </c>
      <c r="AT421" s="648">
        <f t="shared" si="214"/>
        <v>0</v>
      </c>
      <c r="AU421" s="648">
        <f t="shared" si="215"/>
        <v>0</v>
      </c>
      <c r="AV421" s="648">
        <f t="shared" si="216"/>
        <v>0</v>
      </c>
      <c r="AW421" s="648">
        <f t="shared" si="217"/>
        <v>0</v>
      </c>
      <c r="AX421" s="648">
        <f t="shared" si="218"/>
        <v>0</v>
      </c>
      <c r="AY421" s="634">
        <v>0</v>
      </c>
      <c r="AZ421" s="616"/>
      <c r="BA421" s="619">
        <f>IF(O422=0,0,             IF(ISNUMBER(AZ421),AZ421,             IF(ISTEXT(AZ421),INDEX(AQ421:AX421,MATCH(AZ421,$AQ$17:$AX$17,0)),           IF(AY421="INT",_xll.qInterp(O422,AA421:AH421,AQ421:AX421),       INDEX(AQ421:AX421,MATCH(AY421,$AQ$17:$AX$17,0))))))</f>
        <v>0</v>
      </c>
      <c r="BB421" s="674">
        <v>100</v>
      </c>
      <c r="BC421" s="666">
        <f t="shared" si="197"/>
        <v>0</v>
      </c>
      <c r="BD421" s="268">
        <f>IF($O422=0,0,                IF(LEFT(DCC_Leg1_Fixed,2)="1/",uEvaluate(DCC_Leg1_Fixed),        _xll.qDateYears($O421,$O422,DCC_Leg1_Fixed)))</f>
        <v>0</v>
      </c>
      <c r="BE421" s="268">
        <f>IF($O422,_xll.qDateYears($O421,$O422,DCC_Leg1_Float),0)</f>
        <v>0</v>
      </c>
      <c r="BG421" s="332">
        <f t="shared" si="219"/>
        <v>0</v>
      </c>
      <c r="BH421" s="357">
        <f t="shared" si="220"/>
        <v>0</v>
      </c>
      <c r="BI421" s="527"/>
      <c r="BK421" s="324">
        <f t="shared" si="193"/>
        <v>0</v>
      </c>
      <c r="BM421" s="338"/>
      <c r="BN421" s="121">
        <v>0</v>
      </c>
      <c r="BO421" s="755">
        <f t="shared" si="198"/>
        <v>0</v>
      </c>
      <c r="BP421" s="339">
        <v>0</v>
      </c>
      <c r="BQ421" s="890">
        <f>IF(BN422=0,0,         IF(OR(Currency2="AUD",Currency1="NZD",Currency2="GBP"),BN421,   _xll.qDateNext(BN421,"-2b",,,IF(Currency2="EUR","TGT","LON"))))</f>
        <v>0</v>
      </c>
      <c r="BR421" s="879" t="str">
        <v/>
      </c>
      <c r="BS421" s="879" t="str">
        <v/>
      </c>
      <c r="BT421" s="879" t="str">
        <v/>
      </c>
      <c r="BU421" s="879" t="str">
        <v/>
      </c>
      <c r="BV421" s="879" t="str">
        <v/>
      </c>
      <c r="BW421" s="879" t="str">
        <v/>
      </c>
      <c r="BX421" s="879" t="str">
        <v/>
      </c>
      <c r="BY421" s="879" t="str">
        <v/>
      </c>
      <c r="BZ421" s="882">
        <f>IF($BN422=0,0,        _xll.qDateNext($BN421,BZ$17,$CG$16,TRUE,Currency2))</f>
        <v>0</v>
      </c>
      <c r="CA421" s="882">
        <f>IF($BN422=0,0,        _xll.qDateNext($BN421,CA$17,$CG$16,TRUE,Currency2))</f>
        <v>0</v>
      </c>
      <c r="CB421" s="882">
        <f>IF($BN422=0,0,        _xll.qDateNext($BN421,CB$17,$CG$16,TRUE,Currency2))</f>
        <v>0</v>
      </c>
      <c r="CC421" s="882">
        <f>IF($BN422=0,0,        _xll.qDateNext($BN421,CC$17,$CG$16,TRUE,Currency2))</f>
        <v>0</v>
      </c>
      <c r="CD421" s="882">
        <f>IF($BN422=0,0,        _xll.qDateNext($BN421,CD$17,$CG$16,TRUE,Currency2))</f>
        <v>0</v>
      </c>
      <c r="CE421" s="882">
        <f>IF($BN422=0,0,        _xll.qDateNext($BN421,CE$17,$CG$16,TRUE,Currency2))</f>
        <v>0</v>
      </c>
      <c r="CF421" s="882">
        <f>IF($BN422=0,0,        _xll.qDateNext($BN421,CF$17,$CG$16,TRUE,Currency2))</f>
        <v>0</v>
      </c>
      <c r="CG421" s="882">
        <f>IF($BN422=0,0,        _xll.qDateNext($BN421,CG$17,$CG$16,TRUE,Currency2))</f>
        <v>0</v>
      </c>
      <c r="CH421" s="886">
        <v>0</v>
      </c>
      <c r="CI421" s="886">
        <v>0</v>
      </c>
      <c r="CJ421" s="886">
        <v>0</v>
      </c>
      <c r="CK421" s="886">
        <v>0</v>
      </c>
      <c r="CL421" s="886">
        <f t="shared" si="221"/>
        <v>0</v>
      </c>
      <c r="CM421" s="886">
        <f t="shared" si="222"/>
        <v>0</v>
      </c>
      <c r="CN421" s="886">
        <v>0</v>
      </c>
      <c r="CO421" s="886">
        <v>0</v>
      </c>
      <c r="CP421" s="648">
        <f t="shared" si="199"/>
        <v>0</v>
      </c>
      <c r="CQ421" s="648">
        <f t="shared" si="200"/>
        <v>0</v>
      </c>
      <c r="CR421" s="648">
        <f t="shared" si="201"/>
        <v>0</v>
      </c>
      <c r="CS421" s="648">
        <f t="shared" si="202"/>
        <v>0</v>
      </c>
      <c r="CT421" s="648">
        <f t="shared" si="203"/>
        <v>0</v>
      </c>
      <c r="CU421" s="648">
        <f t="shared" si="204"/>
        <v>0</v>
      </c>
      <c r="CV421" s="648">
        <f t="shared" si="205"/>
        <v>0</v>
      </c>
      <c r="CW421" s="648">
        <f t="shared" si="206"/>
        <v>0</v>
      </c>
      <c r="CX421" s="634">
        <v>0</v>
      </c>
      <c r="CY421" s="616"/>
      <c r="CZ421" s="619">
        <f>IF(BN422=0,0,             IF(ISNUMBER(CY421),CY421,             IF(ISTEXT(CY421),INDEX(CP421:CW421,MATCH(CY421,$CP$17:$CW$17,0)),           IF(CX421="INT",_xll.qInterp(BN422,BZ421:CG421,CP421:CW421),       INDEX(CP421:CW421,MATCH(CX421,$CP$17:$CW$17,0))))))</f>
        <v>0</v>
      </c>
      <c r="DA421" s="755">
        <f t="shared" si="207"/>
        <v>0</v>
      </c>
      <c r="DB421" s="387">
        <f t="shared" si="208"/>
        <v>0</v>
      </c>
      <c r="DC421" s="268">
        <f>IF($BN422=0,0,         IF(LEFT(DCC_Leg2_Fixed,2)="1/",uEvaluate(DCC_Leg2_Fixed),         _xll.qDateYears($BN421,$BN422,DCC_Leg2_Fixed)))</f>
        <v>0</v>
      </c>
      <c r="DD421" s="268">
        <f>IF($BN422,_xll.qDateYears($BN421,$BN422,DCC_Leg2_Float),0)</f>
        <v>0</v>
      </c>
      <c r="DF421" s="332">
        <f t="shared" si="223"/>
        <v>0</v>
      </c>
      <c r="DG421" s="357">
        <f t="shared" si="224"/>
        <v>0</v>
      </c>
      <c r="DH421" s="527"/>
      <c r="DJ421" s="324">
        <f t="shared" si="194"/>
        <v>0</v>
      </c>
      <c r="DK421" s="529"/>
      <c r="DL421" s="338"/>
    </row>
    <row r="422" spans="15:116">
      <c r="O422" s="121">
        <v>0</v>
      </c>
      <c r="P422" s="755">
        <f t="shared" si="195"/>
        <v>0</v>
      </c>
      <c r="Q422" s="125">
        <v>0</v>
      </c>
      <c r="R422" s="890">
        <f>IF(O423=0,0,         IF(OR(Currency1="AUD",Currency1="NZD",Currency1="GBP"),O422,   _xll.qDateNext(O422,"-2b",,,IF(Currency1="EUR","TGT","LON"))))</f>
        <v>0</v>
      </c>
      <c r="S422" s="879" t="str">
        <v/>
      </c>
      <c r="T422" s="879" t="str">
        <v/>
      </c>
      <c r="U422" s="879" t="str">
        <v/>
      </c>
      <c r="V422" s="879" t="str">
        <v/>
      </c>
      <c r="W422" s="879" t="str">
        <v/>
      </c>
      <c r="X422" s="879" t="str">
        <v/>
      </c>
      <c r="Y422" s="879" t="str">
        <v/>
      </c>
      <c r="Z422" s="879" t="str">
        <v/>
      </c>
      <c r="AA422" s="882">
        <f>IF($O423=0,0,        _xll.qDateNext($O422,AA$17,$AH$16,TRUE,Currency1))</f>
        <v>0</v>
      </c>
      <c r="AB422" s="882">
        <f>IF($O423=0,0,        _xll.qDateNext($O422,AB$17,$AH$16,TRUE,Currency1))</f>
        <v>0</v>
      </c>
      <c r="AC422" s="882">
        <f>IF($O423=0,0,        _xll.qDateNext($O422,AC$17,$AH$16,TRUE,Currency1))</f>
        <v>0</v>
      </c>
      <c r="AD422" s="882">
        <f>IF($O423=0,0,        _xll.qDateNext($O422,AD$17,$AH$16,TRUE,Currency1))</f>
        <v>0</v>
      </c>
      <c r="AE422" s="882">
        <f>IF($O423=0,0,        _xll.qDateNext($O422,AE$17,$AH$16,TRUE,Currency1))</f>
        <v>0</v>
      </c>
      <c r="AF422" s="882">
        <f>IF($O423=0,0,        _xll.qDateNext($O422,AF$17,$AH$16,TRUE,Currency1))</f>
        <v>0</v>
      </c>
      <c r="AG422" s="882">
        <f>IF($O423=0,0,        _xll.qDateNext($O422,AG$17,$AH$16,TRUE,Currency1))</f>
        <v>0</v>
      </c>
      <c r="AH422" s="882">
        <f>IF($O423=0,0,        _xll.qDateNext($O422,AH$17,$AH$16,TRUE,Currency1))</f>
        <v>0</v>
      </c>
      <c r="AI422" s="886">
        <f>IF($O423=0,0,           IF(FRM,_xll.qGetFwdRate(AI$14,$O422,AA422,"T",DCC_Leg1_Float),_xll.qGetFwdRate(AI$14,$O422,$O423,"T",DCC_Leg1_Float)))</f>
        <v>0</v>
      </c>
      <c r="AJ422" s="886">
        <f>IF($O423=0,0,           IF(FRM,_xll.qGetFwdRate(AJ$14,$O422,AB422,"T",DCC_Leg1_Float),_xll.qGetFwdRate(AJ$14,$O422,$O423,"T",DCC_Leg1_Float)))</f>
        <v>0</v>
      </c>
      <c r="AK422" s="886">
        <f t="shared" si="196"/>
        <v>0</v>
      </c>
      <c r="AL422" s="886">
        <f>IF($O423=0,0,           IF(FRM,_xll.qGetFwdRate(AL$14,$O422,AD422,"T",DCC_Leg1_Float),_xll.qGetFwdRate(AL$14,$O422,$O423,"T",DCC_Leg1_Float)))</f>
        <v>0</v>
      </c>
      <c r="AM422" s="886">
        <f t="shared" si="209"/>
        <v>0</v>
      </c>
      <c r="AN422" s="886">
        <f t="shared" si="210"/>
        <v>0</v>
      </c>
      <c r="AO422" s="886">
        <f>IF($O423=0,0,           IF(FRM,_xll.qGetFwdRate(AO$14,$O422,AG422,"T",DCC_Leg1_Float),_xll.qGetFwdRate(AO$14,$O422,$O423,"T",DCC_Leg1_Float)))</f>
        <v>0</v>
      </c>
      <c r="AP422" s="886">
        <f>IF($O423=0,0,           IF(FRM,_xll.qGetFwdRate(AP$14,$O422,AH422,"T",DCC_Leg1_Float),_xll.qGetFwdRate(AP$14,$O422,$O423,"T",DCC_Leg1_Float)))</f>
        <v>0</v>
      </c>
      <c r="AQ422" s="648">
        <f t="shared" si="211"/>
        <v>0</v>
      </c>
      <c r="AR422" s="648">
        <f t="shared" si="212"/>
        <v>0</v>
      </c>
      <c r="AS422" s="648">
        <f t="shared" si="213"/>
        <v>0</v>
      </c>
      <c r="AT422" s="648">
        <f t="shared" si="214"/>
        <v>0</v>
      </c>
      <c r="AU422" s="648">
        <f t="shared" si="215"/>
        <v>0</v>
      </c>
      <c r="AV422" s="648">
        <f t="shared" si="216"/>
        <v>0</v>
      </c>
      <c r="AW422" s="648">
        <f t="shared" si="217"/>
        <v>0</v>
      </c>
      <c r="AX422" s="648">
        <f t="shared" si="218"/>
        <v>0</v>
      </c>
      <c r="AY422" s="634">
        <v>0</v>
      </c>
      <c r="AZ422" s="616"/>
      <c r="BA422" s="619">
        <f>IF(O423=0,0,             IF(ISNUMBER(AZ422),AZ422,             IF(ISTEXT(AZ422),INDEX(AQ422:AX422,MATCH(AZ422,$AQ$17:$AX$17,0)),           IF(AY422="INT",_xll.qInterp(O423,AA422:AH422,AQ422:AX422),       INDEX(AQ422:AX422,MATCH(AY422,$AQ$17:$AX$17,0))))))</f>
        <v>0</v>
      </c>
      <c r="BB422" s="674">
        <v>100</v>
      </c>
      <c r="BC422" s="666">
        <f t="shared" si="197"/>
        <v>0</v>
      </c>
      <c r="BD422" s="268">
        <f>IF($O423=0,0,                IF(LEFT(DCC_Leg1_Fixed,2)="1/",uEvaluate(DCC_Leg1_Fixed),        _xll.qDateYears($O422,$O423,DCC_Leg1_Fixed)))</f>
        <v>0</v>
      </c>
      <c r="BE422" s="268">
        <f>IF($O423,_xll.qDateYears($O422,$O423,DCC_Leg1_Float),0)</f>
        <v>0</v>
      </c>
      <c r="BG422" s="332">
        <f t="shared" si="219"/>
        <v>0</v>
      </c>
      <c r="BH422" s="357">
        <f t="shared" si="220"/>
        <v>0</v>
      </c>
      <c r="BI422" s="527"/>
      <c r="BK422" s="324">
        <f t="shared" si="193"/>
        <v>0</v>
      </c>
      <c r="BM422" s="338"/>
      <c r="BN422" s="121">
        <v>0</v>
      </c>
      <c r="BO422" s="755">
        <f t="shared" si="198"/>
        <v>0</v>
      </c>
      <c r="BP422" s="339">
        <v>0</v>
      </c>
      <c r="BQ422" s="890">
        <f>IF(BN423=0,0,         IF(OR(Currency2="AUD",Currency1="NZD",Currency2="GBP"),BN422,   _xll.qDateNext(BN422,"-2b",,,IF(Currency2="EUR","TGT","LON"))))</f>
        <v>0</v>
      </c>
      <c r="BR422" s="879" t="str">
        <v/>
      </c>
      <c r="BS422" s="879" t="str">
        <v/>
      </c>
      <c r="BT422" s="879" t="str">
        <v/>
      </c>
      <c r="BU422" s="879" t="str">
        <v/>
      </c>
      <c r="BV422" s="879" t="str">
        <v/>
      </c>
      <c r="BW422" s="879" t="str">
        <v/>
      </c>
      <c r="BX422" s="879" t="str">
        <v/>
      </c>
      <c r="BY422" s="879" t="str">
        <v/>
      </c>
      <c r="BZ422" s="882">
        <f>IF($BN423=0,0,        _xll.qDateNext($BN422,BZ$17,$CG$16,TRUE,Currency2))</f>
        <v>0</v>
      </c>
      <c r="CA422" s="882">
        <f>IF($BN423=0,0,        _xll.qDateNext($BN422,CA$17,$CG$16,TRUE,Currency2))</f>
        <v>0</v>
      </c>
      <c r="CB422" s="882">
        <f>IF($BN423=0,0,        _xll.qDateNext($BN422,CB$17,$CG$16,TRUE,Currency2))</f>
        <v>0</v>
      </c>
      <c r="CC422" s="882">
        <f>IF($BN423=0,0,        _xll.qDateNext($BN422,CC$17,$CG$16,TRUE,Currency2))</f>
        <v>0</v>
      </c>
      <c r="CD422" s="882">
        <f>IF($BN423=0,0,        _xll.qDateNext($BN422,CD$17,$CG$16,TRUE,Currency2))</f>
        <v>0</v>
      </c>
      <c r="CE422" s="882">
        <f>IF($BN423=0,0,        _xll.qDateNext($BN422,CE$17,$CG$16,TRUE,Currency2))</f>
        <v>0</v>
      </c>
      <c r="CF422" s="882">
        <f>IF($BN423=0,0,        _xll.qDateNext($BN422,CF$17,$CG$16,TRUE,Currency2))</f>
        <v>0</v>
      </c>
      <c r="CG422" s="882">
        <f>IF($BN423=0,0,        _xll.qDateNext($BN422,CG$17,$CG$16,TRUE,Currency2))</f>
        <v>0</v>
      </c>
      <c r="CH422" s="886">
        <v>0</v>
      </c>
      <c r="CI422" s="886">
        <v>0</v>
      </c>
      <c r="CJ422" s="886">
        <v>0</v>
      </c>
      <c r="CK422" s="886">
        <v>0</v>
      </c>
      <c r="CL422" s="886">
        <f t="shared" si="221"/>
        <v>0</v>
      </c>
      <c r="CM422" s="886">
        <f t="shared" si="222"/>
        <v>0</v>
      </c>
      <c r="CN422" s="886">
        <v>0</v>
      </c>
      <c r="CO422" s="886">
        <v>0</v>
      </c>
      <c r="CP422" s="648">
        <f t="shared" si="199"/>
        <v>0</v>
      </c>
      <c r="CQ422" s="648">
        <f t="shared" si="200"/>
        <v>0</v>
      </c>
      <c r="CR422" s="648">
        <f t="shared" si="201"/>
        <v>0</v>
      </c>
      <c r="CS422" s="648">
        <f t="shared" si="202"/>
        <v>0</v>
      </c>
      <c r="CT422" s="648">
        <f t="shared" si="203"/>
        <v>0</v>
      </c>
      <c r="CU422" s="648">
        <f t="shared" si="204"/>
        <v>0</v>
      </c>
      <c r="CV422" s="648">
        <f t="shared" si="205"/>
        <v>0</v>
      </c>
      <c r="CW422" s="648">
        <f t="shared" si="206"/>
        <v>0</v>
      </c>
      <c r="CX422" s="634">
        <v>0</v>
      </c>
      <c r="CY422" s="616"/>
      <c r="CZ422" s="619">
        <f>IF(BN423=0,0,             IF(ISNUMBER(CY422),CY422,             IF(ISTEXT(CY422),INDEX(CP422:CW422,MATCH(CY422,$CP$17:$CW$17,0)),           IF(CX422="INT",_xll.qInterp(BN423,BZ422:CG422,CP422:CW422),       INDEX(CP422:CW422,MATCH(CX422,$CP$17:$CW$17,0))))))</f>
        <v>0</v>
      </c>
      <c r="DA422" s="755">
        <f t="shared" si="207"/>
        <v>0</v>
      </c>
      <c r="DB422" s="387">
        <f t="shared" si="208"/>
        <v>0</v>
      </c>
      <c r="DC422" s="268">
        <f>IF($BN423=0,0,         IF(LEFT(DCC_Leg2_Fixed,2)="1/",uEvaluate(DCC_Leg2_Fixed),         _xll.qDateYears($BN422,$BN423,DCC_Leg2_Fixed)))</f>
        <v>0</v>
      </c>
      <c r="DD422" s="268">
        <f>IF($BN423,_xll.qDateYears($BN422,$BN423,DCC_Leg2_Float),0)</f>
        <v>0</v>
      </c>
      <c r="DF422" s="332">
        <f t="shared" si="223"/>
        <v>0</v>
      </c>
      <c r="DG422" s="357">
        <f t="shared" si="224"/>
        <v>0</v>
      </c>
      <c r="DH422" s="527"/>
      <c r="DJ422" s="324">
        <f t="shared" si="194"/>
        <v>0</v>
      </c>
      <c r="DK422" s="529"/>
      <c r="DL422" s="338"/>
    </row>
    <row r="423" spans="15:116">
      <c r="O423" s="121">
        <v>0</v>
      </c>
      <c r="P423" s="755">
        <f t="shared" si="195"/>
        <v>0</v>
      </c>
      <c r="Q423" s="125">
        <v>0</v>
      </c>
      <c r="R423" s="890">
        <f>IF(O424=0,0,         IF(OR(Currency1="AUD",Currency1="NZD",Currency1="GBP"),O423,   _xll.qDateNext(O423,"-2b",,,IF(Currency1="EUR","TGT","LON"))))</f>
        <v>0</v>
      </c>
      <c r="S423" s="879" t="str">
        <v/>
      </c>
      <c r="T423" s="879" t="str">
        <v/>
      </c>
      <c r="U423" s="879" t="str">
        <v/>
      </c>
      <c r="V423" s="879" t="str">
        <v/>
      </c>
      <c r="W423" s="879" t="str">
        <v/>
      </c>
      <c r="X423" s="879" t="str">
        <v/>
      </c>
      <c r="Y423" s="879" t="str">
        <v/>
      </c>
      <c r="Z423" s="879" t="str">
        <v/>
      </c>
      <c r="AA423" s="882">
        <f>IF($O424=0,0,        _xll.qDateNext($O423,AA$17,$AH$16,TRUE,Currency1))</f>
        <v>0</v>
      </c>
      <c r="AB423" s="882">
        <f>IF($O424=0,0,        _xll.qDateNext($O423,AB$17,$AH$16,TRUE,Currency1))</f>
        <v>0</v>
      </c>
      <c r="AC423" s="882">
        <f>IF($O424=0,0,        _xll.qDateNext($O423,AC$17,$AH$16,TRUE,Currency1))</f>
        <v>0</v>
      </c>
      <c r="AD423" s="882">
        <f>IF($O424=0,0,        _xll.qDateNext($O423,AD$17,$AH$16,TRUE,Currency1))</f>
        <v>0</v>
      </c>
      <c r="AE423" s="882">
        <f>IF($O424=0,0,        _xll.qDateNext($O423,AE$17,$AH$16,TRUE,Currency1))</f>
        <v>0</v>
      </c>
      <c r="AF423" s="882">
        <f>IF($O424=0,0,        _xll.qDateNext($O423,AF$17,$AH$16,TRUE,Currency1))</f>
        <v>0</v>
      </c>
      <c r="AG423" s="882">
        <f>IF($O424=0,0,        _xll.qDateNext($O423,AG$17,$AH$16,TRUE,Currency1))</f>
        <v>0</v>
      </c>
      <c r="AH423" s="882">
        <f>IF($O424=0,0,        _xll.qDateNext($O423,AH$17,$AH$16,TRUE,Currency1))</f>
        <v>0</v>
      </c>
      <c r="AI423" s="886">
        <f>IF($O424=0,0,           IF(FRM,_xll.qGetFwdRate(AI$14,$O423,AA423,"T",DCC_Leg1_Float),_xll.qGetFwdRate(AI$14,$O423,$O424,"T",DCC_Leg1_Float)))</f>
        <v>0</v>
      </c>
      <c r="AJ423" s="886">
        <f>IF($O424=0,0,           IF(FRM,_xll.qGetFwdRate(AJ$14,$O423,AB423,"T",DCC_Leg1_Float),_xll.qGetFwdRate(AJ$14,$O423,$O424,"T",DCC_Leg1_Float)))</f>
        <v>0</v>
      </c>
      <c r="AK423" s="886">
        <f t="shared" si="196"/>
        <v>0</v>
      </c>
      <c r="AL423" s="886">
        <f>IF($O424=0,0,           IF(FRM,_xll.qGetFwdRate(AL$14,$O423,AD423,"T",DCC_Leg1_Float),_xll.qGetFwdRate(AL$14,$O423,$O424,"T",DCC_Leg1_Float)))</f>
        <v>0</v>
      </c>
      <c r="AM423" s="886">
        <f t="shared" si="209"/>
        <v>0</v>
      </c>
      <c r="AN423" s="886">
        <f t="shared" si="210"/>
        <v>0</v>
      </c>
      <c r="AO423" s="886">
        <f>IF($O424=0,0,           IF(FRM,_xll.qGetFwdRate(AO$14,$O423,AG423,"T",DCC_Leg1_Float),_xll.qGetFwdRate(AO$14,$O423,$O424,"T",DCC_Leg1_Float)))</f>
        <v>0</v>
      </c>
      <c r="AP423" s="886">
        <f>IF($O424=0,0,           IF(FRM,_xll.qGetFwdRate(AP$14,$O423,AH423,"T",DCC_Leg1_Float),_xll.qGetFwdRate(AP$14,$O423,$O424,"T",DCC_Leg1_Float)))</f>
        <v>0</v>
      </c>
      <c r="AQ423" s="648">
        <f t="shared" si="211"/>
        <v>0</v>
      </c>
      <c r="AR423" s="648">
        <f t="shared" si="212"/>
        <v>0</v>
      </c>
      <c r="AS423" s="648">
        <f t="shared" si="213"/>
        <v>0</v>
      </c>
      <c r="AT423" s="648">
        <f t="shared" si="214"/>
        <v>0</v>
      </c>
      <c r="AU423" s="648">
        <f t="shared" si="215"/>
        <v>0</v>
      </c>
      <c r="AV423" s="648">
        <f t="shared" si="216"/>
        <v>0</v>
      </c>
      <c r="AW423" s="648">
        <f t="shared" si="217"/>
        <v>0</v>
      </c>
      <c r="AX423" s="648">
        <f t="shared" si="218"/>
        <v>0</v>
      </c>
      <c r="AY423" s="634">
        <v>0</v>
      </c>
      <c r="AZ423" s="616"/>
      <c r="BA423" s="619">
        <f>IF(O424=0,0,             IF(ISNUMBER(AZ423),AZ423,             IF(ISTEXT(AZ423),INDEX(AQ423:AX423,MATCH(AZ423,$AQ$17:$AX$17,0)),           IF(AY423="INT",_xll.qInterp(O424,AA423:AH423,AQ423:AX423),       INDEX(AQ423:AX423,MATCH(AY423,$AQ$17:$AX$17,0))))))</f>
        <v>0</v>
      </c>
      <c r="BB423" s="674">
        <v>100</v>
      </c>
      <c r="BC423" s="666">
        <f t="shared" si="197"/>
        <v>0</v>
      </c>
      <c r="BD423" s="268">
        <f>IF($O424=0,0,                IF(LEFT(DCC_Leg1_Fixed,2)="1/",uEvaluate(DCC_Leg1_Fixed),        _xll.qDateYears($O423,$O424,DCC_Leg1_Fixed)))</f>
        <v>0</v>
      </c>
      <c r="BE423" s="268">
        <f>IF($O424,_xll.qDateYears($O423,$O424,DCC_Leg1_Float),0)</f>
        <v>0</v>
      </c>
      <c r="BG423" s="332">
        <f t="shared" si="219"/>
        <v>0</v>
      </c>
      <c r="BH423" s="357">
        <f t="shared" si="220"/>
        <v>0</v>
      </c>
      <c r="BI423" s="527"/>
      <c r="BK423" s="324">
        <f t="shared" si="193"/>
        <v>0</v>
      </c>
      <c r="BM423" s="338"/>
      <c r="BN423" s="121">
        <v>0</v>
      </c>
      <c r="BO423" s="755">
        <f t="shared" si="198"/>
        <v>0</v>
      </c>
      <c r="BP423" s="339">
        <v>0</v>
      </c>
      <c r="BQ423" s="890">
        <f>IF(BN424=0,0,         IF(OR(Currency2="AUD",Currency1="NZD",Currency2="GBP"),BN423,   _xll.qDateNext(BN423,"-2b",,,IF(Currency2="EUR","TGT","LON"))))</f>
        <v>0</v>
      </c>
      <c r="BR423" s="879" t="str">
        <v/>
      </c>
      <c r="BS423" s="879" t="str">
        <v/>
      </c>
      <c r="BT423" s="879" t="str">
        <v/>
      </c>
      <c r="BU423" s="879" t="str">
        <v/>
      </c>
      <c r="BV423" s="879" t="str">
        <v/>
      </c>
      <c r="BW423" s="879" t="str">
        <v/>
      </c>
      <c r="BX423" s="879" t="str">
        <v/>
      </c>
      <c r="BY423" s="879" t="str">
        <v/>
      </c>
      <c r="BZ423" s="882">
        <f>IF($BN424=0,0,        _xll.qDateNext($BN423,BZ$17,$CG$16,TRUE,Currency2))</f>
        <v>0</v>
      </c>
      <c r="CA423" s="882">
        <f>IF($BN424=0,0,        _xll.qDateNext($BN423,CA$17,$CG$16,TRUE,Currency2))</f>
        <v>0</v>
      </c>
      <c r="CB423" s="882">
        <f>IF($BN424=0,0,        _xll.qDateNext($BN423,CB$17,$CG$16,TRUE,Currency2))</f>
        <v>0</v>
      </c>
      <c r="CC423" s="882">
        <f>IF($BN424=0,0,        _xll.qDateNext($BN423,CC$17,$CG$16,TRUE,Currency2))</f>
        <v>0</v>
      </c>
      <c r="CD423" s="882">
        <f>IF($BN424=0,0,        _xll.qDateNext($BN423,CD$17,$CG$16,TRUE,Currency2))</f>
        <v>0</v>
      </c>
      <c r="CE423" s="882">
        <f>IF($BN424=0,0,        _xll.qDateNext($BN423,CE$17,$CG$16,TRUE,Currency2))</f>
        <v>0</v>
      </c>
      <c r="CF423" s="882">
        <f>IF($BN424=0,0,        _xll.qDateNext($BN423,CF$17,$CG$16,TRUE,Currency2))</f>
        <v>0</v>
      </c>
      <c r="CG423" s="882">
        <f>IF($BN424=0,0,        _xll.qDateNext($BN423,CG$17,$CG$16,TRUE,Currency2))</f>
        <v>0</v>
      </c>
      <c r="CH423" s="886">
        <v>0</v>
      </c>
      <c r="CI423" s="886">
        <v>0</v>
      </c>
      <c r="CJ423" s="886">
        <v>0</v>
      </c>
      <c r="CK423" s="886">
        <v>0</v>
      </c>
      <c r="CL423" s="886">
        <f t="shared" si="221"/>
        <v>0</v>
      </c>
      <c r="CM423" s="886">
        <f t="shared" si="222"/>
        <v>0</v>
      </c>
      <c r="CN423" s="886">
        <v>0</v>
      </c>
      <c r="CO423" s="886">
        <v>0</v>
      </c>
      <c r="CP423" s="648">
        <f t="shared" si="199"/>
        <v>0</v>
      </c>
      <c r="CQ423" s="648">
        <f t="shared" si="200"/>
        <v>0</v>
      </c>
      <c r="CR423" s="648">
        <f t="shared" si="201"/>
        <v>0</v>
      </c>
      <c r="CS423" s="648">
        <f t="shared" si="202"/>
        <v>0</v>
      </c>
      <c r="CT423" s="648">
        <f t="shared" si="203"/>
        <v>0</v>
      </c>
      <c r="CU423" s="648">
        <f t="shared" si="204"/>
        <v>0</v>
      </c>
      <c r="CV423" s="648">
        <f t="shared" si="205"/>
        <v>0</v>
      </c>
      <c r="CW423" s="648">
        <f t="shared" si="206"/>
        <v>0</v>
      </c>
      <c r="CX423" s="634">
        <v>0</v>
      </c>
      <c r="CY423" s="616"/>
      <c r="CZ423" s="619">
        <f>IF(BN424=0,0,             IF(ISNUMBER(CY423),CY423,             IF(ISTEXT(CY423),INDEX(CP423:CW423,MATCH(CY423,$CP$17:$CW$17,0)),           IF(CX423="INT",_xll.qInterp(BN424,BZ423:CG423,CP423:CW423),       INDEX(CP423:CW423,MATCH(CX423,$CP$17:$CW$17,0))))))</f>
        <v>0</v>
      </c>
      <c r="DA423" s="755">
        <f t="shared" si="207"/>
        <v>0</v>
      </c>
      <c r="DB423" s="387">
        <f t="shared" si="208"/>
        <v>0</v>
      </c>
      <c r="DC423" s="268">
        <f>IF($BN424=0,0,         IF(LEFT(DCC_Leg2_Fixed,2)="1/",uEvaluate(DCC_Leg2_Fixed),         _xll.qDateYears($BN423,$BN424,DCC_Leg2_Fixed)))</f>
        <v>0</v>
      </c>
      <c r="DD423" s="268">
        <f>IF($BN424,_xll.qDateYears($BN423,$BN424,DCC_Leg2_Float),0)</f>
        <v>0</v>
      </c>
      <c r="DF423" s="332">
        <f t="shared" si="223"/>
        <v>0</v>
      </c>
      <c r="DG423" s="357">
        <f t="shared" si="224"/>
        <v>0</v>
      </c>
      <c r="DH423" s="527"/>
      <c r="DJ423" s="324">
        <f t="shared" si="194"/>
        <v>0</v>
      </c>
      <c r="DK423" s="529"/>
      <c r="DL423" s="338"/>
    </row>
    <row r="424" spans="15:116">
      <c r="O424" s="121">
        <v>0</v>
      </c>
      <c r="P424" s="755">
        <f t="shared" si="195"/>
        <v>0</v>
      </c>
      <c r="Q424" s="125">
        <v>0</v>
      </c>
      <c r="R424" s="890">
        <f>IF(O425=0,0,         IF(OR(Currency1="AUD",Currency1="NZD",Currency1="GBP"),O424,   _xll.qDateNext(O424,"-2b",,,IF(Currency1="EUR","TGT","LON"))))</f>
        <v>0</v>
      </c>
      <c r="S424" s="879" t="str">
        <v/>
      </c>
      <c r="T424" s="879" t="str">
        <v/>
      </c>
      <c r="U424" s="879" t="str">
        <v/>
      </c>
      <c r="V424" s="879" t="str">
        <v/>
      </c>
      <c r="W424" s="879" t="str">
        <v/>
      </c>
      <c r="X424" s="879" t="str">
        <v/>
      </c>
      <c r="Y424" s="879" t="str">
        <v/>
      </c>
      <c r="Z424" s="879" t="str">
        <v/>
      </c>
      <c r="AA424" s="882">
        <f>IF($O425=0,0,        _xll.qDateNext($O424,AA$17,$AH$16,TRUE,Currency1))</f>
        <v>0</v>
      </c>
      <c r="AB424" s="882">
        <f>IF($O425=0,0,        _xll.qDateNext($O424,AB$17,$AH$16,TRUE,Currency1))</f>
        <v>0</v>
      </c>
      <c r="AC424" s="882">
        <f>IF($O425=0,0,        _xll.qDateNext($O424,AC$17,$AH$16,TRUE,Currency1))</f>
        <v>0</v>
      </c>
      <c r="AD424" s="882">
        <f>IF($O425=0,0,        _xll.qDateNext($O424,AD$17,$AH$16,TRUE,Currency1))</f>
        <v>0</v>
      </c>
      <c r="AE424" s="882">
        <f>IF($O425=0,0,        _xll.qDateNext($O424,AE$17,$AH$16,TRUE,Currency1))</f>
        <v>0</v>
      </c>
      <c r="AF424" s="882">
        <f>IF($O425=0,0,        _xll.qDateNext($O424,AF$17,$AH$16,TRUE,Currency1))</f>
        <v>0</v>
      </c>
      <c r="AG424" s="882">
        <f>IF($O425=0,0,        _xll.qDateNext($O424,AG$17,$AH$16,TRUE,Currency1))</f>
        <v>0</v>
      </c>
      <c r="AH424" s="882">
        <f>IF($O425=0,0,        _xll.qDateNext($O424,AH$17,$AH$16,TRUE,Currency1))</f>
        <v>0</v>
      </c>
      <c r="AI424" s="886">
        <f>IF($O425=0,0,           IF(FRM,_xll.qGetFwdRate(AI$14,$O424,AA424,"T",DCC_Leg1_Float),_xll.qGetFwdRate(AI$14,$O424,$O425,"T",DCC_Leg1_Float)))</f>
        <v>0</v>
      </c>
      <c r="AJ424" s="886">
        <f>IF($O425=0,0,           IF(FRM,_xll.qGetFwdRate(AJ$14,$O424,AB424,"T",DCC_Leg1_Float),_xll.qGetFwdRate(AJ$14,$O424,$O425,"T",DCC_Leg1_Float)))</f>
        <v>0</v>
      </c>
      <c r="AK424" s="886">
        <f t="shared" si="196"/>
        <v>0</v>
      </c>
      <c r="AL424" s="886">
        <f>IF($O425=0,0,           IF(FRM,_xll.qGetFwdRate(AL$14,$O424,AD424,"T",DCC_Leg1_Float),_xll.qGetFwdRate(AL$14,$O424,$O425,"T",DCC_Leg1_Float)))</f>
        <v>0</v>
      </c>
      <c r="AM424" s="886">
        <f t="shared" si="209"/>
        <v>0</v>
      </c>
      <c r="AN424" s="886">
        <f t="shared" si="210"/>
        <v>0</v>
      </c>
      <c r="AO424" s="886">
        <f>IF($O425=0,0,           IF(FRM,_xll.qGetFwdRate(AO$14,$O424,AG424,"T",DCC_Leg1_Float),_xll.qGetFwdRate(AO$14,$O424,$O425,"T",DCC_Leg1_Float)))</f>
        <v>0</v>
      </c>
      <c r="AP424" s="886">
        <f>IF($O425=0,0,           IF(FRM,_xll.qGetFwdRate(AP$14,$O424,AH424,"T",DCC_Leg1_Float),_xll.qGetFwdRate(AP$14,$O424,$O425,"T",DCC_Leg1_Float)))</f>
        <v>0</v>
      </c>
      <c r="AQ424" s="648">
        <f t="shared" si="211"/>
        <v>0</v>
      </c>
      <c r="AR424" s="648">
        <f t="shared" si="212"/>
        <v>0</v>
      </c>
      <c r="AS424" s="648">
        <f t="shared" si="213"/>
        <v>0</v>
      </c>
      <c r="AT424" s="648">
        <f t="shared" si="214"/>
        <v>0</v>
      </c>
      <c r="AU424" s="648">
        <f t="shared" si="215"/>
        <v>0</v>
      </c>
      <c r="AV424" s="648">
        <f t="shared" si="216"/>
        <v>0</v>
      </c>
      <c r="AW424" s="648">
        <f t="shared" si="217"/>
        <v>0</v>
      </c>
      <c r="AX424" s="648">
        <f t="shared" si="218"/>
        <v>0</v>
      </c>
      <c r="AY424" s="634">
        <v>0</v>
      </c>
      <c r="AZ424" s="616"/>
      <c r="BA424" s="619">
        <f>IF(O425=0,0,             IF(ISNUMBER(AZ424),AZ424,             IF(ISTEXT(AZ424),INDEX(AQ424:AX424,MATCH(AZ424,$AQ$17:$AX$17,0)),           IF(AY424="INT",_xll.qInterp(O425,AA424:AH424,AQ424:AX424),       INDEX(AQ424:AX424,MATCH(AY424,$AQ$17:$AX$17,0))))))</f>
        <v>0</v>
      </c>
      <c r="BB424" s="674">
        <v>100</v>
      </c>
      <c r="BC424" s="666">
        <f t="shared" si="197"/>
        <v>0</v>
      </c>
      <c r="BD424" s="268">
        <f>IF($O425=0,0,                IF(LEFT(DCC_Leg1_Fixed,2)="1/",uEvaluate(DCC_Leg1_Fixed),        _xll.qDateYears($O424,$O425,DCC_Leg1_Fixed)))</f>
        <v>0</v>
      </c>
      <c r="BE424" s="268">
        <f>IF($O425,_xll.qDateYears($O424,$O425,DCC_Leg1_Float),0)</f>
        <v>0</v>
      </c>
      <c r="BG424" s="332">
        <f t="shared" si="219"/>
        <v>0</v>
      </c>
      <c r="BH424" s="357">
        <f t="shared" si="220"/>
        <v>0</v>
      </c>
      <c r="BI424" s="527"/>
      <c r="BK424" s="324">
        <f t="shared" ref="BK424:BK487" si="225">SUM(BG424:BI424)</f>
        <v>0</v>
      </c>
      <c r="BM424" s="338"/>
      <c r="BN424" s="121">
        <v>0</v>
      </c>
      <c r="BO424" s="755">
        <f t="shared" si="198"/>
        <v>0</v>
      </c>
      <c r="BP424" s="339">
        <v>0</v>
      </c>
      <c r="BQ424" s="890">
        <f>IF(BN425=0,0,         IF(OR(Currency2="AUD",Currency1="NZD",Currency2="GBP"),BN424,   _xll.qDateNext(BN424,"-2b",,,IF(Currency2="EUR","TGT","LON"))))</f>
        <v>0</v>
      </c>
      <c r="BR424" s="879" t="str">
        <v/>
      </c>
      <c r="BS424" s="879" t="str">
        <v/>
      </c>
      <c r="BT424" s="879" t="str">
        <v/>
      </c>
      <c r="BU424" s="879" t="str">
        <v/>
      </c>
      <c r="BV424" s="879" t="str">
        <v/>
      </c>
      <c r="BW424" s="879" t="str">
        <v/>
      </c>
      <c r="BX424" s="879" t="str">
        <v/>
      </c>
      <c r="BY424" s="879" t="str">
        <v/>
      </c>
      <c r="BZ424" s="882">
        <f>IF($BN425=0,0,        _xll.qDateNext($BN424,BZ$17,$CG$16,TRUE,Currency2))</f>
        <v>0</v>
      </c>
      <c r="CA424" s="882">
        <f>IF($BN425=0,0,        _xll.qDateNext($BN424,CA$17,$CG$16,TRUE,Currency2))</f>
        <v>0</v>
      </c>
      <c r="CB424" s="882">
        <f>IF($BN425=0,0,        _xll.qDateNext($BN424,CB$17,$CG$16,TRUE,Currency2))</f>
        <v>0</v>
      </c>
      <c r="CC424" s="882">
        <f>IF($BN425=0,0,        _xll.qDateNext($BN424,CC$17,$CG$16,TRUE,Currency2))</f>
        <v>0</v>
      </c>
      <c r="CD424" s="882">
        <f>IF($BN425=0,0,        _xll.qDateNext($BN424,CD$17,$CG$16,TRUE,Currency2))</f>
        <v>0</v>
      </c>
      <c r="CE424" s="882">
        <f>IF($BN425=0,0,        _xll.qDateNext($BN424,CE$17,$CG$16,TRUE,Currency2))</f>
        <v>0</v>
      </c>
      <c r="CF424" s="882">
        <f>IF($BN425=0,0,        _xll.qDateNext($BN424,CF$17,$CG$16,TRUE,Currency2))</f>
        <v>0</v>
      </c>
      <c r="CG424" s="882">
        <f>IF($BN425=0,0,        _xll.qDateNext($BN424,CG$17,$CG$16,TRUE,Currency2))</f>
        <v>0</v>
      </c>
      <c r="CH424" s="886">
        <v>0</v>
      </c>
      <c r="CI424" s="886">
        <v>0</v>
      </c>
      <c r="CJ424" s="886">
        <v>0</v>
      </c>
      <c r="CK424" s="886">
        <v>0</v>
      </c>
      <c r="CL424" s="886">
        <f t="shared" si="221"/>
        <v>0</v>
      </c>
      <c r="CM424" s="886">
        <f t="shared" si="222"/>
        <v>0</v>
      </c>
      <c r="CN424" s="886">
        <v>0</v>
      </c>
      <c r="CO424" s="886">
        <v>0</v>
      </c>
      <c r="CP424" s="648">
        <f t="shared" si="199"/>
        <v>0</v>
      </c>
      <c r="CQ424" s="648">
        <f t="shared" si="200"/>
        <v>0</v>
      </c>
      <c r="CR424" s="648">
        <f t="shared" si="201"/>
        <v>0</v>
      </c>
      <c r="CS424" s="648">
        <f t="shared" si="202"/>
        <v>0</v>
      </c>
      <c r="CT424" s="648">
        <f t="shared" si="203"/>
        <v>0</v>
      </c>
      <c r="CU424" s="648">
        <f t="shared" si="204"/>
        <v>0</v>
      </c>
      <c r="CV424" s="648">
        <f t="shared" si="205"/>
        <v>0</v>
      </c>
      <c r="CW424" s="648">
        <f t="shared" si="206"/>
        <v>0</v>
      </c>
      <c r="CX424" s="634">
        <v>0</v>
      </c>
      <c r="CY424" s="616"/>
      <c r="CZ424" s="619">
        <f>IF(BN425=0,0,             IF(ISNUMBER(CY424),CY424,             IF(ISTEXT(CY424),INDEX(CP424:CW424,MATCH(CY424,$CP$17:$CW$17,0)),           IF(CX424="INT",_xll.qInterp(BN425,BZ424:CG424,CP424:CW424),       INDEX(CP424:CW424,MATCH(CX424,$CP$17:$CW$17,0))))))</f>
        <v>0</v>
      </c>
      <c r="DA424" s="755">
        <f t="shared" si="207"/>
        <v>0</v>
      </c>
      <c r="DB424" s="387">
        <f t="shared" si="208"/>
        <v>0</v>
      </c>
      <c r="DC424" s="268">
        <f>IF($BN425=0,0,         IF(LEFT(DCC_Leg2_Fixed,2)="1/",uEvaluate(DCC_Leg2_Fixed),         _xll.qDateYears($BN424,$BN425,DCC_Leg2_Fixed)))</f>
        <v>0</v>
      </c>
      <c r="DD424" s="268">
        <f>IF($BN425,_xll.qDateYears($BN424,$BN425,DCC_Leg2_Float),0)</f>
        <v>0</v>
      </c>
      <c r="DF424" s="332">
        <f t="shared" si="223"/>
        <v>0</v>
      </c>
      <c r="DG424" s="357">
        <f t="shared" si="224"/>
        <v>0</v>
      </c>
      <c r="DH424" s="527"/>
      <c r="DJ424" s="324">
        <f t="shared" si="194"/>
        <v>0</v>
      </c>
      <c r="DK424" s="529"/>
      <c r="DL424" s="338"/>
    </row>
    <row r="425" spans="15:116">
      <c r="O425" s="121">
        <v>0</v>
      </c>
      <c r="P425" s="755">
        <f t="shared" si="195"/>
        <v>0</v>
      </c>
      <c r="Q425" s="125">
        <v>0</v>
      </c>
      <c r="R425" s="890">
        <f>IF(O426=0,0,         IF(OR(Currency1="AUD",Currency1="NZD",Currency1="GBP"),O425,   _xll.qDateNext(O425,"-2b",,,IF(Currency1="EUR","TGT","LON"))))</f>
        <v>0</v>
      </c>
      <c r="S425" s="879" t="str">
        <v/>
      </c>
      <c r="T425" s="879" t="str">
        <v/>
      </c>
      <c r="U425" s="879" t="str">
        <v/>
      </c>
      <c r="V425" s="879" t="str">
        <v/>
      </c>
      <c r="W425" s="879" t="str">
        <v/>
      </c>
      <c r="X425" s="879" t="str">
        <v/>
      </c>
      <c r="Y425" s="879" t="str">
        <v/>
      </c>
      <c r="Z425" s="879" t="str">
        <v/>
      </c>
      <c r="AA425" s="882">
        <f>IF($O426=0,0,        _xll.qDateNext($O425,AA$17,$AH$16,TRUE,Currency1))</f>
        <v>0</v>
      </c>
      <c r="AB425" s="882">
        <f>IF($O426=0,0,        _xll.qDateNext($O425,AB$17,$AH$16,TRUE,Currency1))</f>
        <v>0</v>
      </c>
      <c r="AC425" s="882">
        <f>IF($O426=0,0,        _xll.qDateNext($O425,AC$17,$AH$16,TRUE,Currency1))</f>
        <v>0</v>
      </c>
      <c r="AD425" s="882">
        <f>IF($O426=0,0,        _xll.qDateNext($O425,AD$17,$AH$16,TRUE,Currency1))</f>
        <v>0</v>
      </c>
      <c r="AE425" s="882">
        <f>IF($O426=0,0,        _xll.qDateNext($O425,AE$17,$AH$16,TRUE,Currency1))</f>
        <v>0</v>
      </c>
      <c r="AF425" s="882">
        <f>IF($O426=0,0,        _xll.qDateNext($O425,AF$17,$AH$16,TRUE,Currency1))</f>
        <v>0</v>
      </c>
      <c r="AG425" s="882">
        <f>IF($O426=0,0,        _xll.qDateNext($O425,AG$17,$AH$16,TRUE,Currency1))</f>
        <v>0</v>
      </c>
      <c r="AH425" s="882">
        <f>IF($O426=0,0,        _xll.qDateNext($O425,AH$17,$AH$16,TRUE,Currency1))</f>
        <v>0</v>
      </c>
      <c r="AI425" s="886">
        <f>IF($O426=0,0,           IF(FRM,_xll.qGetFwdRate(AI$14,$O425,AA425,"T",DCC_Leg1_Float),_xll.qGetFwdRate(AI$14,$O425,$O426,"T",DCC_Leg1_Float)))</f>
        <v>0</v>
      </c>
      <c r="AJ425" s="886">
        <f>IF($O426=0,0,           IF(FRM,_xll.qGetFwdRate(AJ$14,$O425,AB425,"T",DCC_Leg1_Float),_xll.qGetFwdRate(AJ$14,$O425,$O426,"T",DCC_Leg1_Float)))</f>
        <v>0</v>
      </c>
      <c r="AK425" s="886">
        <f t="shared" si="196"/>
        <v>0</v>
      </c>
      <c r="AL425" s="886">
        <f>IF($O426=0,0,           IF(FRM,_xll.qGetFwdRate(AL$14,$O425,AD425,"T",DCC_Leg1_Float),_xll.qGetFwdRate(AL$14,$O425,$O426,"T",DCC_Leg1_Float)))</f>
        <v>0</v>
      </c>
      <c r="AM425" s="886">
        <f t="shared" si="209"/>
        <v>0</v>
      </c>
      <c r="AN425" s="886">
        <f t="shared" si="210"/>
        <v>0</v>
      </c>
      <c r="AO425" s="886">
        <f>IF($O426=0,0,           IF(FRM,_xll.qGetFwdRate(AO$14,$O425,AG425,"T",DCC_Leg1_Float),_xll.qGetFwdRate(AO$14,$O425,$O426,"T",DCC_Leg1_Float)))</f>
        <v>0</v>
      </c>
      <c r="AP425" s="886">
        <f>IF($O426=0,0,           IF(FRM,_xll.qGetFwdRate(AP$14,$O425,AH425,"T",DCC_Leg1_Float),_xll.qGetFwdRate(AP$14,$O425,$O426,"T",DCC_Leg1_Float)))</f>
        <v>0</v>
      </c>
      <c r="AQ425" s="648">
        <f t="shared" si="211"/>
        <v>0</v>
      </c>
      <c r="AR425" s="648">
        <f t="shared" si="212"/>
        <v>0</v>
      </c>
      <c r="AS425" s="648">
        <f t="shared" si="213"/>
        <v>0</v>
      </c>
      <c r="AT425" s="648">
        <f t="shared" si="214"/>
        <v>0</v>
      </c>
      <c r="AU425" s="648">
        <f t="shared" si="215"/>
        <v>0</v>
      </c>
      <c r="AV425" s="648">
        <f t="shared" si="216"/>
        <v>0</v>
      </c>
      <c r="AW425" s="648">
        <f t="shared" si="217"/>
        <v>0</v>
      </c>
      <c r="AX425" s="648">
        <f t="shared" si="218"/>
        <v>0</v>
      </c>
      <c r="AY425" s="634">
        <v>0</v>
      </c>
      <c r="AZ425" s="616"/>
      <c r="BA425" s="619">
        <f>IF(O426=0,0,             IF(ISNUMBER(AZ425),AZ425,             IF(ISTEXT(AZ425),INDEX(AQ425:AX425,MATCH(AZ425,$AQ$17:$AX$17,0)),           IF(AY425="INT",_xll.qInterp(O426,AA425:AH425,AQ425:AX425),       INDEX(AQ425:AX425,MATCH(AY425,$AQ$17:$AX$17,0))))))</f>
        <v>0</v>
      </c>
      <c r="BB425" s="674">
        <v>100</v>
      </c>
      <c r="BC425" s="666">
        <f t="shared" si="197"/>
        <v>0</v>
      </c>
      <c r="BD425" s="268">
        <f>IF($O426=0,0,                IF(LEFT(DCC_Leg1_Fixed,2)="1/",uEvaluate(DCC_Leg1_Fixed),        _xll.qDateYears($O425,$O426,DCC_Leg1_Fixed)))</f>
        <v>0</v>
      </c>
      <c r="BE425" s="268">
        <f>IF($O426,_xll.qDateYears($O425,$O426,DCC_Leg1_Float),0)</f>
        <v>0</v>
      </c>
      <c r="BG425" s="332">
        <f t="shared" si="219"/>
        <v>0</v>
      </c>
      <c r="BH425" s="357">
        <f t="shared" si="220"/>
        <v>0</v>
      </c>
      <c r="BI425" s="527"/>
      <c r="BK425" s="324">
        <f t="shared" si="225"/>
        <v>0</v>
      </c>
      <c r="BM425" s="338"/>
      <c r="BN425" s="121">
        <v>0</v>
      </c>
      <c r="BO425" s="755">
        <f t="shared" si="198"/>
        <v>0</v>
      </c>
      <c r="BP425" s="339">
        <v>0</v>
      </c>
      <c r="BQ425" s="890">
        <f>IF(BN426=0,0,         IF(OR(Currency2="AUD",Currency1="NZD",Currency2="GBP"),BN425,   _xll.qDateNext(BN425,"-2b",,,IF(Currency2="EUR","TGT","LON"))))</f>
        <v>0</v>
      </c>
      <c r="BR425" s="879" t="str">
        <v/>
      </c>
      <c r="BS425" s="879" t="str">
        <v/>
      </c>
      <c r="BT425" s="879" t="str">
        <v/>
      </c>
      <c r="BU425" s="879" t="str">
        <v/>
      </c>
      <c r="BV425" s="879" t="str">
        <v/>
      </c>
      <c r="BW425" s="879" t="str">
        <v/>
      </c>
      <c r="BX425" s="879" t="str">
        <v/>
      </c>
      <c r="BY425" s="879" t="str">
        <v/>
      </c>
      <c r="BZ425" s="882">
        <f>IF($BN426=0,0,        _xll.qDateNext($BN425,BZ$17,$CG$16,TRUE,Currency2))</f>
        <v>0</v>
      </c>
      <c r="CA425" s="882">
        <f>IF($BN426=0,0,        _xll.qDateNext($BN425,CA$17,$CG$16,TRUE,Currency2))</f>
        <v>0</v>
      </c>
      <c r="CB425" s="882">
        <f>IF($BN426=0,0,        _xll.qDateNext($BN425,CB$17,$CG$16,TRUE,Currency2))</f>
        <v>0</v>
      </c>
      <c r="CC425" s="882">
        <f>IF($BN426=0,0,        _xll.qDateNext($BN425,CC$17,$CG$16,TRUE,Currency2))</f>
        <v>0</v>
      </c>
      <c r="CD425" s="882">
        <f>IF($BN426=0,0,        _xll.qDateNext($BN425,CD$17,$CG$16,TRUE,Currency2))</f>
        <v>0</v>
      </c>
      <c r="CE425" s="882">
        <f>IF($BN426=0,0,        _xll.qDateNext($BN425,CE$17,$CG$16,TRUE,Currency2))</f>
        <v>0</v>
      </c>
      <c r="CF425" s="882">
        <f>IF($BN426=0,0,        _xll.qDateNext($BN425,CF$17,$CG$16,TRUE,Currency2))</f>
        <v>0</v>
      </c>
      <c r="CG425" s="882">
        <f>IF($BN426=0,0,        _xll.qDateNext($BN425,CG$17,$CG$16,TRUE,Currency2))</f>
        <v>0</v>
      </c>
      <c r="CH425" s="886">
        <v>0</v>
      </c>
      <c r="CI425" s="886">
        <v>0</v>
      </c>
      <c r="CJ425" s="886">
        <v>0</v>
      </c>
      <c r="CK425" s="886">
        <v>0</v>
      </c>
      <c r="CL425" s="886">
        <f t="shared" si="221"/>
        <v>0</v>
      </c>
      <c r="CM425" s="886">
        <f t="shared" si="222"/>
        <v>0</v>
      </c>
      <c r="CN425" s="886">
        <v>0</v>
      </c>
      <c r="CO425" s="886">
        <v>0</v>
      </c>
      <c r="CP425" s="648">
        <f t="shared" si="199"/>
        <v>0</v>
      </c>
      <c r="CQ425" s="648">
        <f t="shared" si="200"/>
        <v>0</v>
      </c>
      <c r="CR425" s="648">
        <f t="shared" si="201"/>
        <v>0</v>
      </c>
      <c r="CS425" s="648">
        <f t="shared" si="202"/>
        <v>0</v>
      </c>
      <c r="CT425" s="648">
        <f t="shared" si="203"/>
        <v>0</v>
      </c>
      <c r="CU425" s="648">
        <f t="shared" si="204"/>
        <v>0</v>
      </c>
      <c r="CV425" s="648">
        <f t="shared" si="205"/>
        <v>0</v>
      </c>
      <c r="CW425" s="648">
        <f t="shared" si="206"/>
        <v>0</v>
      </c>
      <c r="CX425" s="634">
        <v>0</v>
      </c>
      <c r="CY425" s="616"/>
      <c r="CZ425" s="619">
        <f>IF(BN426=0,0,             IF(ISNUMBER(CY425),CY425,             IF(ISTEXT(CY425),INDEX(CP425:CW425,MATCH(CY425,$CP$17:$CW$17,0)),           IF(CX425="INT",_xll.qInterp(BN426,BZ425:CG425,CP425:CW425),       INDEX(CP425:CW425,MATCH(CX425,$CP$17:$CW$17,0))))))</f>
        <v>0</v>
      </c>
      <c r="DA425" s="755">
        <f t="shared" si="207"/>
        <v>0</v>
      </c>
      <c r="DB425" s="387">
        <f t="shared" si="208"/>
        <v>0</v>
      </c>
      <c r="DC425" s="268">
        <f>IF($BN426=0,0,         IF(LEFT(DCC_Leg2_Fixed,2)="1/",uEvaluate(DCC_Leg2_Fixed),         _xll.qDateYears($BN425,$BN426,DCC_Leg2_Fixed)))</f>
        <v>0</v>
      </c>
      <c r="DD425" s="268">
        <f>IF($BN426,_xll.qDateYears($BN425,$BN426,DCC_Leg2_Float),0)</f>
        <v>0</v>
      </c>
      <c r="DF425" s="332">
        <f t="shared" si="223"/>
        <v>0</v>
      </c>
      <c r="DG425" s="357">
        <f t="shared" si="224"/>
        <v>0</v>
      </c>
      <c r="DH425" s="527"/>
      <c r="DJ425" s="324">
        <f t="shared" ref="DJ425:DJ488" si="226">SUM(DF425:DH425)</f>
        <v>0</v>
      </c>
      <c r="DK425" s="529"/>
      <c r="DL425" s="338"/>
    </row>
    <row r="426" spans="15:116">
      <c r="O426" s="121">
        <v>0</v>
      </c>
      <c r="P426" s="755">
        <f t="shared" si="195"/>
        <v>0</v>
      </c>
      <c r="Q426" s="125">
        <v>0</v>
      </c>
      <c r="R426" s="890">
        <f>IF(O427=0,0,         IF(OR(Currency1="AUD",Currency1="NZD",Currency1="GBP"),O426,   _xll.qDateNext(O426,"-2b",,,IF(Currency1="EUR","TGT","LON"))))</f>
        <v>0</v>
      </c>
      <c r="S426" s="879" t="str">
        <v/>
      </c>
      <c r="T426" s="879" t="str">
        <v/>
      </c>
      <c r="U426" s="879" t="str">
        <v/>
      </c>
      <c r="V426" s="879" t="str">
        <v/>
      </c>
      <c r="W426" s="879" t="str">
        <v/>
      </c>
      <c r="X426" s="879" t="str">
        <v/>
      </c>
      <c r="Y426" s="879" t="str">
        <v/>
      </c>
      <c r="Z426" s="879" t="str">
        <v/>
      </c>
      <c r="AA426" s="882">
        <f>IF($O427=0,0,        _xll.qDateNext($O426,AA$17,$AH$16,TRUE,Currency1))</f>
        <v>0</v>
      </c>
      <c r="AB426" s="882">
        <f>IF($O427=0,0,        _xll.qDateNext($O426,AB$17,$AH$16,TRUE,Currency1))</f>
        <v>0</v>
      </c>
      <c r="AC426" s="882">
        <f>IF($O427=0,0,        _xll.qDateNext($O426,AC$17,$AH$16,TRUE,Currency1))</f>
        <v>0</v>
      </c>
      <c r="AD426" s="882">
        <f>IF($O427=0,0,        _xll.qDateNext($O426,AD$17,$AH$16,TRUE,Currency1))</f>
        <v>0</v>
      </c>
      <c r="AE426" s="882">
        <f>IF($O427=0,0,        _xll.qDateNext($O426,AE$17,$AH$16,TRUE,Currency1))</f>
        <v>0</v>
      </c>
      <c r="AF426" s="882">
        <f>IF($O427=0,0,        _xll.qDateNext($O426,AF$17,$AH$16,TRUE,Currency1))</f>
        <v>0</v>
      </c>
      <c r="AG426" s="882">
        <f>IF($O427=0,0,        _xll.qDateNext($O426,AG$17,$AH$16,TRUE,Currency1))</f>
        <v>0</v>
      </c>
      <c r="AH426" s="882">
        <f>IF($O427=0,0,        _xll.qDateNext($O426,AH$17,$AH$16,TRUE,Currency1))</f>
        <v>0</v>
      </c>
      <c r="AI426" s="886">
        <f>IF($O427=0,0,           IF(FRM,_xll.qGetFwdRate(AI$14,$O426,AA426,"T",DCC_Leg1_Float),_xll.qGetFwdRate(AI$14,$O426,$O427,"T",DCC_Leg1_Float)))</f>
        <v>0</v>
      </c>
      <c r="AJ426" s="886">
        <f>IF($O427=0,0,           IF(FRM,_xll.qGetFwdRate(AJ$14,$O426,AB426,"T",DCC_Leg1_Float),_xll.qGetFwdRate(AJ$14,$O426,$O427,"T",DCC_Leg1_Float)))</f>
        <v>0</v>
      </c>
      <c r="AK426" s="886">
        <f t="shared" si="196"/>
        <v>0</v>
      </c>
      <c r="AL426" s="886">
        <f>IF($O427=0,0,           IF(FRM,_xll.qGetFwdRate(AL$14,$O426,AD426,"T",DCC_Leg1_Float),_xll.qGetFwdRate(AL$14,$O426,$O427,"T",DCC_Leg1_Float)))</f>
        <v>0</v>
      </c>
      <c r="AM426" s="886">
        <f t="shared" si="209"/>
        <v>0</v>
      </c>
      <c r="AN426" s="886">
        <f t="shared" si="210"/>
        <v>0</v>
      </c>
      <c r="AO426" s="886">
        <f>IF($O427=0,0,           IF(FRM,_xll.qGetFwdRate(AO$14,$O426,AG426,"T",DCC_Leg1_Float),_xll.qGetFwdRate(AO$14,$O426,$O427,"T",DCC_Leg1_Float)))</f>
        <v>0</v>
      </c>
      <c r="AP426" s="886">
        <f>IF($O427=0,0,           IF(FRM,_xll.qGetFwdRate(AP$14,$O426,AH426,"T",DCC_Leg1_Float),_xll.qGetFwdRate(AP$14,$O426,$O427,"T",DCC_Leg1_Float)))</f>
        <v>0</v>
      </c>
      <c r="AQ426" s="648">
        <f t="shared" si="211"/>
        <v>0</v>
      </c>
      <c r="AR426" s="648">
        <f t="shared" si="212"/>
        <v>0</v>
      </c>
      <c r="AS426" s="648">
        <f t="shared" si="213"/>
        <v>0</v>
      </c>
      <c r="AT426" s="648">
        <f t="shared" si="214"/>
        <v>0</v>
      </c>
      <c r="AU426" s="648">
        <f t="shared" si="215"/>
        <v>0</v>
      </c>
      <c r="AV426" s="648">
        <f t="shared" si="216"/>
        <v>0</v>
      </c>
      <c r="AW426" s="648">
        <f t="shared" si="217"/>
        <v>0</v>
      </c>
      <c r="AX426" s="648">
        <f t="shared" si="218"/>
        <v>0</v>
      </c>
      <c r="AY426" s="634">
        <v>0</v>
      </c>
      <c r="AZ426" s="616"/>
      <c r="BA426" s="619">
        <f>IF(O427=0,0,             IF(ISNUMBER(AZ426),AZ426,             IF(ISTEXT(AZ426),INDEX(AQ426:AX426,MATCH(AZ426,$AQ$17:$AX$17,0)),           IF(AY426="INT",_xll.qInterp(O427,AA426:AH426,AQ426:AX426),       INDEX(AQ426:AX426,MATCH(AY426,$AQ$17:$AX$17,0))))))</f>
        <v>0</v>
      </c>
      <c r="BB426" s="674">
        <v>100</v>
      </c>
      <c r="BC426" s="666">
        <f t="shared" si="197"/>
        <v>0</v>
      </c>
      <c r="BD426" s="268">
        <f>IF($O427=0,0,                IF(LEFT(DCC_Leg1_Fixed,2)="1/",uEvaluate(DCC_Leg1_Fixed),        _xll.qDateYears($O426,$O427,DCC_Leg1_Fixed)))</f>
        <v>0</v>
      </c>
      <c r="BE426" s="268">
        <f>IF($O427,_xll.qDateYears($O426,$O427,DCC_Leg1_Float),0)</f>
        <v>0</v>
      </c>
      <c r="BG426" s="332">
        <f t="shared" si="219"/>
        <v>0</v>
      </c>
      <c r="BH426" s="357">
        <f t="shared" si="220"/>
        <v>0</v>
      </c>
      <c r="BI426" s="527"/>
      <c r="BK426" s="324">
        <f t="shared" si="225"/>
        <v>0</v>
      </c>
      <c r="BM426" s="338"/>
      <c r="BN426" s="121">
        <v>0</v>
      </c>
      <c r="BO426" s="755">
        <f t="shared" si="198"/>
        <v>0</v>
      </c>
      <c r="BP426" s="339">
        <v>0</v>
      </c>
      <c r="BQ426" s="890">
        <f>IF(BN427=0,0,         IF(OR(Currency2="AUD",Currency1="NZD",Currency2="GBP"),BN426,   _xll.qDateNext(BN426,"-2b",,,IF(Currency2="EUR","TGT","LON"))))</f>
        <v>0</v>
      </c>
      <c r="BR426" s="879" t="str">
        <v/>
      </c>
      <c r="BS426" s="879" t="str">
        <v/>
      </c>
      <c r="BT426" s="879" t="str">
        <v/>
      </c>
      <c r="BU426" s="879" t="str">
        <v/>
      </c>
      <c r="BV426" s="879" t="str">
        <v/>
      </c>
      <c r="BW426" s="879" t="str">
        <v/>
      </c>
      <c r="BX426" s="879" t="str">
        <v/>
      </c>
      <c r="BY426" s="879" t="str">
        <v/>
      </c>
      <c r="BZ426" s="882">
        <f>IF($BN427=0,0,        _xll.qDateNext($BN426,BZ$17,$CG$16,TRUE,Currency2))</f>
        <v>0</v>
      </c>
      <c r="CA426" s="882">
        <f>IF($BN427=0,0,        _xll.qDateNext($BN426,CA$17,$CG$16,TRUE,Currency2))</f>
        <v>0</v>
      </c>
      <c r="CB426" s="882">
        <f>IF($BN427=0,0,        _xll.qDateNext($BN426,CB$17,$CG$16,TRUE,Currency2))</f>
        <v>0</v>
      </c>
      <c r="CC426" s="882">
        <f>IF($BN427=0,0,        _xll.qDateNext($BN426,CC$17,$CG$16,TRUE,Currency2))</f>
        <v>0</v>
      </c>
      <c r="CD426" s="882">
        <f>IF($BN427=0,0,        _xll.qDateNext($BN426,CD$17,$CG$16,TRUE,Currency2))</f>
        <v>0</v>
      </c>
      <c r="CE426" s="882">
        <f>IF($BN427=0,0,        _xll.qDateNext($BN426,CE$17,$CG$16,TRUE,Currency2))</f>
        <v>0</v>
      </c>
      <c r="CF426" s="882">
        <f>IF($BN427=0,0,        _xll.qDateNext($BN426,CF$17,$CG$16,TRUE,Currency2))</f>
        <v>0</v>
      </c>
      <c r="CG426" s="882">
        <f>IF($BN427=0,0,        _xll.qDateNext($BN426,CG$17,$CG$16,TRUE,Currency2))</f>
        <v>0</v>
      </c>
      <c r="CH426" s="886">
        <v>0</v>
      </c>
      <c r="CI426" s="886">
        <v>0</v>
      </c>
      <c r="CJ426" s="886">
        <v>0</v>
      </c>
      <c r="CK426" s="886">
        <v>0</v>
      </c>
      <c r="CL426" s="886">
        <f t="shared" si="221"/>
        <v>0</v>
      </c>
      <c r="CM426" s="886">
        <f t="shared" si="222"/>
        <v>0</v>
      </c>
      <c r="CN426" s="886">
        <v>0</v>
      </c>
      <c r="CO426" s="886">
        <v>0</v>
      </c>
      <c r="CP426" s="648">
        <f t="shared" si="199"/>
        <v>0</v>
      </c>
      <c r="CQ426" s="648">
        <f t="shared" si="200"/>
        <v>0</v>
      </c>
      <c r="CR426" s="648">
        <f t="shared" si="201"/>
        <v>0</v>
      </c>
      <c r="CS426" s="648">
        <f t="shared" si="202"/>
        <v>0</v>
      </c>
      <c r="CT426" s="648">
        <f t="shared" si="203"/>
        <v>0</v>
      </c>
      <c r="CU426" s="648">
        <f t="shared" si="204"/>
        <v>0</v>
      </c>
      <c r="CV426" s="648">
        <f t="shared" si="205"/>
        <v>0</v>
      </c>
      <c r="CW426" s="648">
        <f t="shared" si="206"/>
        <v>0</v>
      </c>
      <c r="CX426" s="634">
        <v>0</v>
      </c>
      <c r="CY426" s="616"/>
      <c r="CZ426" s="619">
        <f>IF(BN427=0,0,             IF(ISNUMBER(CY426),CY426,             IF(ISTEXT(CY426),INDEX(CP426:CW426,MATCH(CY426,$CP$17:$CW$17,0)),           IF(CX426="INT",_xll.qInterp(BN427,BZ426:CG426,CP426:CW426),       INDEX(CP426:CW426,MATCH(CX426,$CP$17:$CW$17,0))))))</f>
        <v>0</v>
      </c>
      <c r="DA426" s="755">
        <f t="shared" si="207"/>
        <v>0</v>
      </c>
      <c r="DB426" s="387">
        <f t="shared" si="208"/>
        <v>0</v>
      </c>
      <c r="DC426" s="268">
        <f>IF($BN427=0,0,         IF(LEFT(DCC_Leg2_Fixed,2)="1/",uEvaluate(DCC_Leg2_Fixed),         _xll.qDateYears($BN426,$BN427,DCC_Leg2_Fixed)))</f>
        <v>0</v>
      </c>
      <c r="DD426" s="268">
        <f>IF($BN427,_xll.qDateYears($BN426,$BN427,DCC_Leg2_Float),0)</f>
        <v>0</v>
      </c>
      <c r="DF426" s="332">
        <f t="shared" si="223"/>
        <v>0</v>
      </c>
      <c r="DG426" s="357">
        <f t="shared" si="224"/>
        <v>0</v>
      </c>
      <c r="DH426" s="527"/>
      <c r="DJ426" s="324">
        <f t="shared" si="226"/>
        <v>0</v>
      </c>
      <c r="DK426" s="529"/>
      <c r="DL426" s="338"/>
    </row>
    <row r="427" spans="15:116">
      <c r="O427" s="121">
        <v>0</v>
      </c>
      <c r="P427" s="755">
        <f t="shared" si="195"/>
        <v>0</v>
      </c>
      <c r="Q427" s="125">
        <v>0</v>
      </c>
      <c r="R427" s="890">
        <f>IF(O428=0,0,         IF(OR(Currency1="AUD",Currency1="NZD",Currency1="GBP"),O427,   _xll.qDateNext(O427,"-2b",,,IF(Currency1="EUR","TGT","LON"))))</f>
        <v>0</v>
      </c>
      <c r="S427" s="879" t="str">
        <v/>
      </c>
      <c r="T427" s="879" t="str">
        <v/>
      </c>
      <c r="U427" s="879" t="str">
        <v/>
      </c>
      <c r="V427" s="879" t="str">
        <v/>
      </c>
      <c r="W427" s="879" t="str">
        <v/>
      </c>
      <c r="X427" s="879" t="str">
        <v/>
      </c>
      <c r="Y427" s="879" t="str">
        <v/>
      </c>
      <c r="Z427" s="879" t="str">
        <v/>
      </c>
      <c r="AA427" s="882">
        <f>IF($O428=0,0,        _xll.qDateNext($O427,AA$17,$AH$16,TRUE,Currency1))</f>
        <v>0</v>
      </c>
      <c r="AB427" s="882">
        <f>IF($O428=0,0,        _xll.qDateNext($O427,AB$17,$AH$16,TRUE,Currency1))</f>
        <v>0</v>
      </c>
      <c r="AC427" s="882">
        <f>IF($O428=0,0,        _xll.qDateNext($O427,AC$17,$AH$16,TRUE,Currency1))</f>
        <v>0</v>
      </c>
      <c r="AD427" s="882">
        <f>IF($O428=0,0,        _xll.qDateNext($O427,AD$17,$AH$16,TRUE,Currency1))</f>
        <v>0</v>
      </c>
      <c r="AE427" s="882">
        <f>IF($O428=0,0,        _xll.qDateNext($O427,AE$17,$AH$16,TRUE,Currency1))</f>
        <v>0</v>
      </c>
      <c r="AF427" s="882">
        <f>IF($O428=0,0,        _xll.qDateNext($O427,AF$17,$AH$16,TRUE,Currency1))</f>
        <v>0</v>
      </c>
      <c r="AG427" s="882">
        <f>IF($O428=0,0,        _xll.qDateNext($O427,AG$17,$AH$16,TRUE,Currency1))</f>
        <v>0</v>
      </c>
      <c r="AH427" s="882">
        <f>IF($O428=0,0,        _xll.qDateNext($O427,AH$17,$AH$16,TRUE,Currency1))</f>
        <v>0</v>
      </c>
      <c r="AI427" s="886">
        <f>IF($O428=0,0,           IF(FRM,_xll.qGetFwdRate(AI$14,$O427,AA427,"T",DCC_Leg1_Float),_xll.qGetFwdRate(AI$14,$O427,$O428,"T",DCC_Leg1_Float)))</f>
        <v>0</v>
      </c>
      <c r="AJ427" s="886">
        <f>IF($O428=0,0,           IF(FRM,_xll.qGetFwdRate(AJ$14,$O427,AB427,"T",DCC_Leg1_Float),_xll.qGetFwdRate(AJ$14,$O427,$O428,"T",DCC_Leg1_Float)))</f>
        <v>0</v>
      </c>
      <c r="AK427" s="886">
        <f t="shared" si="196"/>
        <v>0</v>
      </c>
      <c r="AL427" s="886">
        <f>IF($O428=0,0,           IF(FRM,_xll.qGetFwdRate(AL$14,$O427,AD427,"T",DCC_Leg1_Float),_xll.qGetFwdRate(AL$14,$O427,$O428,"T",DCC_Leg1_Float)))</f>
        <v>0</v>
      </c>
      <c r="AM427" s="886">
        <f t="shared" si="209"/>
        <v>0</v>
      </c>
      <c r="AN427" s="886">
        <f t="shared" si="210"/>
        <v>0</v>
      </c>
      <c r="AO427" s="886">
        <f>IF($O428=0,0,           IF(FRM,_xll.qGetFwdRate(AO$14,$O427,AG427,"T",DCC_Leg1_Float),_xll.qGetFwdRate(AO$14,$O427,$O428,"T",DCC_Leg1_Float)))</f>
        <v>0</v>
      </c>
      <c r="AP427" s="886">
        <f>IF($O428=0,0,           IF(FRM,_xll.qGetFwdRate(AP$14,$O427,AH427,"T",DCC_Leg1_Float),_xll.qGetFwdRate(AP$14,$O427,$O428,"T",DCC_Leg1_Float)))</f>
        <v>0</v>
      </c>
      <c r="AQ427" s="648">
        <f t="shared" si="211"/>
        <v>0</v>
      </c>
      <c r="AR427" s="648">
        <f t="shared" si="212"/>
        <v>0</v>
      </c>
      <c r="AS427" s="648">
        <f t="shared" si="213"/>
        <v>0</v>
      </c>
      <c r="AT427" s="648">
        <f t="shared" si="214"/>
        <v>0</v>
      </c>
      <c r="AU427" s="648">
        <f t="shared" si="215"/>
        <v>0</v>
      </c>
      <c r="AV427" s="648">
        <f t="shared" si="216"/>
        <v>0</v>
      </c>
      <c r="AW427" s="648">
        <f t="shared" si="217"/>
        <v>0</v>
      </c>
      <c r="AX427" s="648">
        <f t="shared" si="218"/>
        <v>0</v>
      </c>
      <c r="AY427" s="634">
        <v>0</v>
      </c>
      <c r="AZ427" s="616"/>
      <c r="BA427" s="619">
        <f>IF(O428=0,0,             IF(ISNUMBER(AZ427),AZ427,             IF(ISTEXT(AZ427),INDEX(AQ427:AX427,MATCH(AZ427,$AQ$17:$AX$17,0)),           IF(AY427="INT",_xll.qInterp(O428,AA427:AH427,AQ427:AX427),       INDEX(AQ427:AX427,MATCH(AY427,$AQ$17:$AX$17,0))))))</f>
        <v>0</v>
      </c>
      <c r="BB427" s="674">
        <v>100</v>
      </c>
      <c r="BC427" s="666">
        <f t="shared" si="197"/>
        <v>0</v>
      </c>
      <c r="BD427" s="268">
        <f>IF($O428=0,0,                IF(LEFT(DCC_Leg1_Fixed,2)="1/",uEvaluate(DCC_Leg1_Fixed),        _xll.qDateYears($O427,$O428,DCC_Leg1_Fixed)))</f>
        <v>0</v>
      </c>
      <c r="BE427" s="268">
        <f>IF($O428,_xll.qDateYears($O427,$O428,DCC_Leg1_Float),0)</f>
        <v>0</v>
      </c>
      <c r="BG427" s="332">
        <f t="shared" si="219"/>
        <v>0</v>
      </c>
      <c r="BH427" s="357">
        <f t="shared" si="220"/>
        <v>0</v>
      </c>
      <c r="BI427" s="527"/>
      <c r="BK427" s="324">
        <f t="shared" si="225"/>
        <v>0</v>
      </c>
      <c r="BM427" s="338"/>
      <c r="BN427" s="121">
        <v>0</v>
      </c>
      <c r="BO427" s="755">
        <f t="shared" si="198"/>
        <v>0</v>
      </c>
      <c r="BP427" s="339">
        <v>0</v>
      </c>
      <c r="BQ427" s="890">
        <f>IF(BN428=0,0,         IF(OR(Currency2="AUD",Currency1="NZD",Currency2="GBP"),BN427,   _xll.qDateNext(BN427,"-2b",,,IF(Currency2="EUR","TGT","LON"))))</f>
        <v>0</v>
      </c>
      <c r="BR427" s="879" t="str">
        <v/>
      </c>
      <c r="BS427" s="879" t="str">
        <v/>
      </c>
      <c r="BT427" s="879" t="str">
        <v/>
      </c>
      <c r="BU427" s="879" t="str">
        <v/>
      </c>
      <c r="BV427" s="879" t="str">
        <v/>
      </c>
      <c r="BW427" s="879" t="str">
        <v/>
      </c>
      <c r="BX427" s="879" t="str">
        <v/>
      </c>
      <c r="BY427" s="879" t="str">
        <v/>
      </c>
      <c r="BZ427" s="882">
        <f>IF($BN428=0,0,        _xll.qDateNext($BN427,BZ$17,$CG$16,TRUE,Currency2))</f>
        <v>0</v>
      </c>
      <c r="CA427" s="882">
        <f>IF($BN428=0,0,        _xll.qDateNext($BN427,CA$17,$CG$16,TRUE,Currency2))</f>
        <v>0</v>
      </c>
      <c r="CB427" s="882">
        <f>IF($BN428=0,0,        _xll.qDateNext($BN427,CB$17,$CG$16,TRUE,Currency2))</f>
        <v>0</v>
      </c>
      <c r="CC427" s="882">
        <f>IF($BN428=0,0,        _xll.qDateNext($BN427,CC$17,$CG$16,TRUE,Currency2))</f>
        <v>0</v>
      </c>
      <c r="CD427" s="882">
        <f>IF($BN428=0,0,        _xll.qDateNext($BN427,CD$17,$CG$16,TRUE,Currency2))</f>
        <v>0</v>
      </c>
      <c r="CE427" s="882">
        <f>IF($BN428=0,0,        _xll.qDateNext($BN427,CE$17,$CG$16,TRUE,Currency2))</f>
        <v>0</v>
      </c>
      <c r="CF427" s="882">
        <f>IF($BN428=0,0,        _xll.qDateNext($BN427,CF$17,$CG$16,TRUE,Currency2))</f>
        <v>0</v>
      </c>
      <c r="CG427" s="882">
        <f>IF($BN428=0,0,        _xll.qDateNext($BN427,CG$17,$CG$16,TRUE,Currency2))</f>
        <v>0</v>
      </c>
      <c r="CH427" s="886">
        <v>0</v>
      </c>
      <c r="CI427" s="886">
        <v>0</v>
      </c>
      <c r="CJ427" s="886">
        <v>0</v>
      </c>
      <c r="CK427" s="886">
        <v>0</v>
      </c>
      <c r="CL427" s="886">
        <f t="shared" si="221"/>
        <v>0</v>
      </c>
      <c r="CM427" s="886">
        <f t="shared" si="222"/>
        <v>0</v>
      </c>
      <c r="CN427" s="886">
        <v>0</v>
      </c>
      <c r="CO427" s="886">
        <v>0</v>
      </c>
      <c r="CP427" s="648">
        <f t="shared" si="199"/>
        <v>0</v>
      </c>
      <c r="CQ427" s="648">
        <f t="shared" si="200"/>
        <v>0</v>
      </c>
      <c r="CR427" s="648">
        <f t="shared" si="201"/>
        <v>0</v>
      </c>
      <c r="CS427" s="648">
        <f t="shared" si="202"/>
        <v>0</v>
      </c>
      <c r="CT427" s="648">
        <f t="shared" si="203"/>
        <v>0</v>
      </c>
      <c r="CU427" s="648">
        <f t="shared" si="204"/>
        <v>0</v>
      </c>
      <c r="CV427" s="648">
        <f t="shared" si="205"/>
        <v>0</v>
      </c>
      <c r="CW427" s="648">
        <f t="shared" si="206"/>
        <v>0</v>
      </c>
      <c r="CX427" s="634">
        <v>0</v>
      </c>
      <c r="CY427" s="616"/>
      <c r="CZ427" s="619">
        <f>IF(BN428=0,0,             IF(ISNUMBER(CY427),CY427,             IF(ISTEXT(CY427),INDEX(CP427:CW427,MATCH(CY427,$CP$17:$CW$17,0)),           IF(CX427="INT",_xll.qInterp(BN428,BZ427:CG427,CP427:CW427),       INDEX(CP427:CW427,MATCH(CX427,$CP$17:$CW$17,0))))))</f>
        <v>0</v>
      </c>
      <c r="DA427" s="755">
        <f t="shared" si="207"/>
        <v>0</v>
      </c>
      <c r="DB427" s="387">
        <f t="shared" si="208"/>
        <v>0</v>
      </c>
      <c r="DC427" s="268">
        <f>IF($BN428=0,0,         IF(LEFT(DCC_Leg2_Fixed,2)="1/",uEvaluate(DCC_Leg2_Fixed),         _xll.qDateYears($BN427,$BN428,DCC_Leg2_Fixed)))</f>
        <v>0</v>
      </c>
      <c r="DD427" s="268">
        <f>IF($BN428,_xll.qDateYears($BN427,$BN428,DCC_Leg2_Float),0)</f>
        <v>0</v>
      </c>
      <c r="DF427" s="332">
        <f t="shared" si="223"/>
        <v>0</v>
      </c>
      <c r="DG427" s="357">
        <f t="shared" si="224"/>
        <v>0</v>
      </c>
      <c r="DH427" s="527"/>
      <c r="DJ427" s="324">
        <f t="shared" si="226"/>
        <v>0</v>
      </c>
      <c r="DK427" s="529"/>
      <c r="DL427" s="338"/>
    </row>
    <row r="428" spans="15:116">
      <c r="O428" s="121">
        <v>0</v>
      </c>
      <c r="P428" s="755">
        <f t="shared" si="195"/>
        <v>0</v>
      </c>
      <c r="Q428" s="125">
        <v>0</v>
      </c>
      <c r="R428" s="890">
        <f>IF(O429=0,0,         IF(OR(Currency1="AUD",Currency1="NZD",Currency1="GBP"),O428,   _xll.qDateNext(O428,"-2b",,,IF(Currency1="EUR","TGT","LON"))))</f>
        <v>0</v>
      </c>
      <c r="S428" s="879" t="str">
        <v/>
      </c>
      <c r="T428" s="879" t="str">
        <v/>
      </c>
      <c r="U428" s="879" t="str">
        <v/>
      </c>
      <c r="V428" s="879" t="str">
        <v/>
      </c>
      <c r="W428" s="879" t="str">
        <v/>
      </c>
      <c r="X428" s="879" t="str">
        <v/>
      </c>
      <c r="Y428" s="879" t="str">
        <v/>
      </c>
      <c r="Z428" s="879" t="str">
        <v/>
      </c>
      <c r="AA428" s="882">
        <f>IF($O429=0,0,        _xll.qDateNext($O428,AA$17,$AH$16,TRUE,Currency1))</f>
        <v>0</v>
      </c>
      <c r="AB428" s="882">
        <f>IF($O429=0,0,        _xll.qDateNext($O428,AB$17,$AH$16,TRUE,Currency1))</f>
        <v>0</v>
      </c>
      <c r="AC428" s="882">
        <f>IF($O429=0,0,        _xll.qDateNext($O428,AC$17,$AH$16,TRUE,Currency1))</f>
        <v>0</v>
      </c>
      <c r="AD428" s="882">
        <f>IF($O429=0,0,        _xll.qDateNext($O428,AD$17,$AH$16,TRUE,Currency1))</f>
        <v>0</v>
      </c>
      <c r="AE428" s="882">
        <f>IF($O429=0,0,        _xll.qDateNext($O428,AE$17,$AH$16,TRUE,Currency1))</f>
        <v>0</v>
      </c>
      <c r="AF428" s="882">
        <f>IF($O429=0,0,        _xll.qDateNext($O428,AF$17,$AH$16,TRUE,Currency1))</f>
        <v>0</v>
      </c>
      <c r="AG428" s="882">
        <f>IF($O429=0,0,        _xll.qDateNext($O428,AG$17,$AH$16,TRUE,Currency1))</f>
        <v>0</v>
      </c>
      <c r="AH428" s="882">
        <f>IF($O429=0,0,        _xll.qDateNext($O428,AH$17,$AH$16,TRUE,Currency1))</f>
        <v>0</v>
      </c>
      <c r="AI428" s="886">
        <f>IF($O429=0,0,           IF(FRM,_xll.qGetFwdRate(AI$14,$O428,AA428,"T",DCC_Leg1_Float),_xll.qGetFwdRate(AI$14,$O428,$O429,"T",DCC_Leg1_Float)))</f>
        <v>0</v>
      </c>
      <c r="AJ428" s="886">
        <f>IF($O429=0,0,           IF(FRM,_xll.qGetFwdRate(AJ$14,$O428,AB428,"T",DCC_Leg1_Float),_xll.qGetFwdRate(AJ$14,$O428,$O429,"T",DCC_Leg1_Float)))</f>
        <v>0</v>
      </c>
      <c r="AK428" s="886">
        <f t="shared" si="196"/>
        <v>0</v>
      </c>
      <c r="AL428" s="886">
        <f>IF($O429=0,0,           IF(FRM,_xll.qGetFwdRate(AL$14,$O428,AD428,"T",DCC_Leg1_Float),_xll.qGetFwdRate(AL$14,$O428,$O429,"T",DCC_Leg1_Float)))</f>
        <v>0</v>
      </c>
      <c r="AM428" s="886">
        <f t="shared" si="209"/>
        <v>0</v>
      </c>
      <c r="AN428" s="886">
        <f t="shared" si="210"/>
        <v>0</v>
      </c>
      <c r="AO428" s="886">
        <f>IF($O429=0,0,           IF(FRM,_xll.qGetFwdRate(AO$14,$O428,AG428,"T",DCC_Leg1_Float),_xll.qGetFwdRate(AO$14,$O428,$O429,"T",DCC_Leg1_Float)))</f>
        <v>0</v>
      </c>
      <c r="AP428" s="886">
        <f>IF($O429=0,0,           IF(FRM,_xll.qGetFwdRate(AP$14,$O428,AH428,"T",DCC_Leg1_Float),_xll.qGetFwdRate(AP$14,$O428,$O429,"T",DCC_Leg1_Float)))</f>
        <v>0</v>
      </c>
      <c r="AQ428" s="648">
        <f t="shared" si="211"/>
        <v>0</v>
      </c>
      <c r="AR428" s="648">
        <f t="shared" si="212"/>
        <v>0</v>
      </c>
      <c r="AS428" s="648">
        <f t="shared" si="213"/>
        <v>0</v>
      </c>
      <c r="AT428" s="648">
        <f t="shared" si="214"/>
        <v>0</v>
      </c>
      <c r="AU428" s="648">
        <f t="shared" si="215"/>
        <v>0</v>
      </c>
      <c r="AV428" s="648">
        <f t="shared" si="216"/>
        <v>0</v>
      </c>
      <c r="AW428" s="648">
        <f t="shared" si="217"/>
        <v>0</v>
      </c>
      <c r="AX428" s="648">
        <f t="shared" si="218"/>
        <v>0</v>
      </c>
      <c r="AY428" s="634">
        <v>0</v>
      </c>
      <c r="AZ428" s="616"/>
      <c r="BA428" s="619">
        <f>IF(O429=0,0,             IF(ISNUMBER(AZ428),AZ428,             IF(ISTEXT(AZ428),INDEX(AQ428:AX428,MATCH(AZ428,$AQ$17:$AX$17,0)),           IF(AY428="INT",_xll.qInterp(O429,AA428:AH428,AQ428:AX428),       INDEX(AQ428:AX428,MATCH(AY428,$AQ$17:$AX$17,0))))))</f>
        <v>0</v>
      </c>
      <c r="BB428" s="674">
        <v>100</v>
      </c>
      <c r="BC428" s="666">
        <f t="shared" si="197"/>
        <v>0</v>
      </c>
      <c r="BD428" s="268">
        <f>IF($O429=0,0,                IF(LEFT(DCC_Leg1_Fixed,2)="1/",uEvaluate(DCC_Leg1_Fixed),        _xll.qDateYears($O428,$O429,DCC_Leg1_Fixed)))</f>
        <v>0</v>
      </c>
      <c r="BE428" s="268">
        <f>IF($O429,_xll.qDateYears($O428,$O429,DCC_Leg1_Float),0)</f>
        <v>0</v>
      </c>
      <c r="BG428" s="332">
        <f t="shared" si="219"/>
        <v>0</v>
      </c>
      <c r="BH428" s="357">
        <f t="shared" si="220"/>
        <v>0</v>
      </c>
      <c r="BI428" s="527"/>
      <c r="BK428" s="324">
        <f t="shared" si="225"/>
        <v>0</v>
      </c>
      <c r="BM428" s="338"/>
      <c r="BN428" s="121">
        <v>0</v>
      </c>
      <c r="BO428" s="755">
        <f t="shared" si="198"/>
        <v>0</v>
      </c>
      <c r="BP428" s="339">
        <v>0</v>
      </c>
      <c r="BQ428" s="890">
        <f>IF(BN429=0,0,         IF(OR(Currency2="AUD",Currency1="NZD",Currency2="GBP"),BN428,   _xll.qDateNext(BN428,"-2b",,,IF(Currency2="EUR","TGT","LON"))))</f>
        <v>0</v>
      </c>
      <c r="BR428" s="879" t="str">
        <v/>
      </c>
      <c r="BS428" s="879" t="str">
        <v/>
      </c>
      <c r="BT428" s="879" t="str">
        <v/>
      </c>
      <c r="BU428" s="879" t="str">
        <v/>
      </c>
      <c r="BV428" s="879" t="str">
        <v/>
      </c>
      <c r="BW428" s="879" t="str">
        <v/>
      </c>
      <c r="BX428" s="879" t="str">
        <v/>
      </c>
      <c r="BY428" s="879" t="str">
        <v/>
      </c>
      <c r="BZ428" s="882">
        <f>IF($BN429=0,0,        _xll.qDateNext($BN428,BZ$17,$CG$16,TRUE,Currency2))</f>
        <v>0</v>
      </c>
      <c r="CA428" s="882">
        <f>IF($BN429=0,0,        _xll.qDateNext($BN428,CA$17,$CG$16,TRUE,Currency2))</f>
        <v>0</v>
      </c>
      <c r="CB428" s="882">
        <f>IF($BN429=0,0,        _xll.qDateNext($BN428,CB$17,$CG$16,TRUE,Currency2))</f>
        <v>0</v>
      </c>
      <c r="CC428" s="882">
        <f>IF($BN429=0,0,        _xll.qDateNext($BN428,CC$17,$CG$16,TRUE,Currency2))</f>
        <v>0</v>
      </c>
      <c r="CD428" s="882">
        <f>IF($BN429=0,0,        _xll.qDateNext($BN428,CD$17,$CG$16,TRUE,Currency2))</f>
        <v>0</v>
      </c>
      <c r="CE428" s="882">
        <f>IF($BN429=0,0,        _xll.qDateNext($BN428,CE$17,$CG$16,TRUE,Currency2))</f>
        <v>0</v>
      </c>
      <c r="CF428" s="882">
        <f>IF($BN429=0,0,        _xll.qDateNext($BN428,CF$17,$CG$16,TRUE,Currency2))</f>
        <v>0</v>
      </c>
      <c r="CG428" s="882">
        <f>IF($BN429=0,0,        _xll.qDateNext($BN428,CG$17,$CG$16,TRUE,Currency2))</f>
        <v>0</v>
      </c>
      <c r="CH428" s="886">
        <v>0</v>
      </c>
      <c r="CI428" s="886">
        <v>0</v>
      </c>
      <c r="CJ428" s="886">
        <v>0</v>
      </c>
      <c r="CK428" s="886">
        <v>0</v>
      </c>
      <c r="CL428" s="886">
        <f t="shared" si="221"/>
        <v>0</v>
      </c>
      <c r="CM428" s="886">
        <f t="shared" si="222"/>
        <v>0</v>
      </c>
      <c r="CN428" s="886">
        <v>0</v>
      </c>
      <c r="CO428" s="886">
        <v>0</v>
      </c>
      <c r="CP428" s="648">
        <f t="shared" si="199"/>
        <v>0</v>
      </c>
      <c r="CQ428" s="648">
        <f t="shared" si="200"/>
        <v>0</v>
      </c>
      <c r="CR428" s="648">
        <f t="shared" si="201"/>
        <v>0</v>
      </c>
      <c r="CS428" s="648">
        <f t="shared" si="202"/>
        <v>0</v>
      </c>
      <c r="CT428" s="648">
        <f t="shared" si="203"/>
        <v>0</v>
      </c>
      <c r="CU428" s="648">
        <f t="shared" si="204"/>
        <v>0</v>
      </c>
      <c r="CV428" s="648">
        <f t="shared" si="205"/>
        <v>0</v>
      </c>
      <c r="CW428" s="648">
        <f t="shared" si="206"/>
        <v>0</v>
      </c>
      <c r="CX428" s="634">
        <v>0</v>
      </c>
      <c r="CY428" s="616"/>
      <c r="CZ428" s="619">
        <f>IF(BN429=0,0,             IF(ISNUMBER(CY428),CY428,             IF(ISTEXT(CY428),INDEX(CP428:CW428,MATCH(CY428,$CP$17:$CW$17,0)),           IF(CX428="INT",_xll.qInterp(BN429,BZ428:CG428,CP428:CW428),       INDEX(CP428:CW428,MATCH(CX428,$CP$17:$CW$17,0))))))</f>
        <v>0</v>
      </c>
      <c r="DA428" s="755">
        <f t="shared" si="207"/>
        <v>0</v>
      </c>
      <c r="DB428" s="387">
        <f t="shared" si="208"/>
        <v>0</v>
      </c>
      <c r="DC428" s="268">
        <f>IF($BN429=0,0,         IF(LEFT(DCC_Leg2_Fixed,2)="1/",uEvaluate(DCC_Leg2_Fixed),         _xll.qDateYears($BN428,$BN429,DCC_Leg2_Fixed)))</f>
        <v>0</v>
      </c>
      <c r="DD428" s="268">
        <f>IF($BN429,_xll.qDateYears($BN428,$BN429,DCC_Leg2_Float),0)</f>
        <v>0</v>
      </c>
      <c r="DF428" s="332">
        <f t="shared" si="223"/>
        <v>0</v>
      </c>
      <c r="DG428" s="357">
        <f t="shared" si="224"/>
        <v>0</v>
      </c>
      <c r="DH428" s="527"/>
      <c r="DJ428" s="324">
        <f t="shared" si="226"/>
        <v>0</v>
      </c>
      <c r="DK428" s="529"/>
      <c r="DL428" s="338"/>
    </row>
    <row r="429" spans="15:116">
      <c r="O429" s="121">
        <v>0</v>
      </c>
      <c r="P429" s="755">
        <f t="shared" si="195"/>
        <v>0</v>
      </c>
      <c r="Q429" s="125">
        <v>0</v>
      </c>
      <c r="R429" s="890">
        <f>IF(O430=0,0,         IF(OR(Currency1="AUD",Currency1="NZD",Currency1="GBP"),O429,   _xll.qDateNext(O429,"-2b",,,IF(Currency1="EUR","TGT","LON"))))</f>
        <v>0</v>
      </c>
      <c r="S429" s="879" t="str">
        <v/>
      </c>
      <c r="T429" s="879" t="str">
        <v/>
      </c>
      <c r="U429" s="879" t="str">
        <v/>
      </c>
      <c r="V429" s="879" t="str">
        <v/>
      </c>
      <c r="W429" s="879" t="str">
        <v/>
      </c>
      <c r="X429" s="879" t="str">
        <v/>
      </c>
      <c r="Y429" s="879" t="str">
        <v/>
      </c>
      <c r="Z429" s="879" t="str">
        <v/>
      </c>
      <c r="AA429" s="882">
        <f>IF($O430=0,0,        _xll.qDateNext($O429,AA$17,$AH$16,TRUE,Currency1))</f>
        <v>0</v>
      </c>
      <c r="AB429" s="882">
        <f>IF($O430=0,0,        _xll.qDateNext($O429,AB$17,$AH$16,TRUE,Currency1))</f>
        <v>0</v>
      </c>
      <c r="AC429" s="882">
        <f>IF($O430=0,0,        _xll.qDateNext($O429,AC$17,$AH$16,TRUE,Currency1))</f>
        <v>0</v>
      </c>
      <c r="AD429" s="882">
        <f>IF($O430=0,0,        _xll.qDateNext($O429,AD$17,$AH$16,TRUE,Currency1))</f>
        <v>0</v>
      </c>
      <c r="AE429" s="882">
        <f>IF($O430=0,0,        _xll.qDateNext($O429,AE$17,$AH$16,TRUE,Currency1))</f>
        <v>0</v>
      </c>
      <c r="AF429" s="882">
        <f>IF($O430=0,0,        _xll.qDateNext($O429,AF$17,$AH$16,TRUE,Currency1))</f>
        <v>0</v>
      </c>
      <c r="AG429" s="882">
        <f>IF($O430=0,0,        _xll.qDateNext($O429,AG$17,$AH$16,TRUE,Currency1))</f>
        <v>0</v>
      </c>
      <c r="AH429" s="882">
        <f>IF($O430=0,0,        _xll.qDateNext($O429,AH$17,$AH$16,TRUE,Currency1))</f>
        <v>0</v>
      </c>
      <c r="AI429" s="886">
        <f>IF($O430=0,0,           IF(FRM,_xll.qGetFwdRate(AI$14,$O429,AA429,"T",DCC_Leg1_Float),_xll.qGetFwdRate(AI$14,$O429,$O430,"T",DCC_Leg1_Float)))</f>
        <v>0</v>
      </c>
      <c r="AJ429" s="886">
        <f>IF($O430=0,0,           IF(FRM,_xll.qGetFwdRate(AJ$14,$O429,AB429,"T",DCC_Leg1_Float),_xll.qGetFwdRate(AJ$14,$O429,$O430,"T",DCC_Leg1_Float)))</f>
        <v>0</v>
      </c>
      <c r="AK429" s="886">
        <f t="shared" si="196"/>
        <v>0</v>
      </c>
      <c r="AL429" s="886">
        <f>IF($O430=0,0,           IF(FRM,_xll.qGetFwdRate(AL$14,$O429,AD429,"T",DCC_Leg1_Float),_xll.qGetFwdRate(AL$14,$O429,$O430,"T",DCC_Leg1_Float)))</f>
        <v>0</v>
      </c>
      <c r="AM429" s="886">
        <f t="shared" si="209"/>
        <v>0</v>
      </c>
      <c r="AN429" s="886">
        <f t="shared" si="210"/>
        <v>0</v>
      </c>
      <c r="AO429" s="886">
        <f>IF($O430=0,0,           IF(FRM,_xll.qGetFwdRate(AO$14,$O429,AG429,"T",DCC_Leg1_Float),_xll.qGetFwdRate(AO$14,$O429,$O430,"T",DCC_Leg1_Float)))</f>
        <v>0</v>
      </c>
      <c r="AP429" s="886">
        <f>IF($O430=0,0,           IF(FRM,_xll.qGetFwdRate(AP$14,$O429,AH429,"T",DCC_Leg1_Float),_xll.qGetFwdRate(AP$14,$O429,$O430,"T",DCC_Leg1_Float)))</f>
        <v>0</v>
      </c>
      <c r="AQ429" s="648">
        <f t="shared" si="211"/>
        <v>0</v>
      </c>
      <c r="AR429" s="648">
        <f t="shared" si="212"/>
        <v>0</v>
      </c>
      <c r="AS429" s="648">
        <f t="shared" si="213"/>
        <v>0</v>
      </c>
      <c r="AT429" s="648">
        <f t="shared" si="214"/>
        <v>0</v>
      </c>
      <c r="AU429" s="648">
        <f t="shared" si="215"/>
        <v>0</v>
      </c>
      <c r="AV429" s="648">
        <f t="shared" si="216"/>
        <v>0</v>
      </c>
      <c r="AW429" s="648">
        <f t="shared" si="217"/>
        <v>0</v>
      </c>
      <c r="AX429" s="648">
        <f t="shared" si="218"/>
        <v>0</v>
      </c>
      <c r="AY429" s="634">
        <v>0</v>
      </c>
      <c r="AZ429" s="616"/>
      <c r="BA429" s="619">
        <f>IF(O430=0,0,             IF(ISNUMBER(AZ429),AZ429,             IF(ISTEXT(AZ429),INDEX(AQ429:AX429,MATCH(AZ429,$AQ$17:$AX$17,0)),           IF(AY429="INT",_xll.qInterp(O430,AA429:AH429,AQ429:AX429),       INDEX(AQ429:AX429,MATCH(AY429,$AQ$17:$AX$17,0))))))</f>
        <v>0</v>
      </c>
      <c r="BB429" s="674">
        <v>100</v>
      </c>
      <c r="BC429" s="666">
        <f t="shared" si="197"/>
        <v>0</v>
      </c>
      <c r="BD429" s="268">
        <f>IF($O430=0,0,                IF(LEFT(DCC_Leg1_Fixed,2)="1/",uEvaluate(DCC_Leg1_Fixed),        _xll.qDateYears($O429,$O430,DCC_Leg1_Fixed)))</f>
        <v>0</v>
      </c>
      <c r="BE429" s="268">
        <f>IF($O430,_xll.qDateYears($O429,$O430,DCC_Leg1_Float),0)</f>
        <v>0</v>
      </c>
      <c r="BG429" s="332">
        <f t="shared" si="219"/>
        <v>0</v>
      </c>
      <c r="BH429" s="357">
        <f t="shared" si="220"/>
        <v>0</v>
      </c>
      <c r="BI429" s="527"/>
      <c r="BK429" s="324">
        <f t="shared" si="225"/>
        <v>0</v>
      </c>
      <c r="BM429" s="338"/>
      <c r="BN429" s="121">
        <v>0</v>
      </c>
      <c r="BO429" s="755">
        <f t="shared" si="198"/>
        <v>0</v>
      </c>
      <c r="BP429" s="339">
        <v>0</v>
      </c>
      <c r="BQ429" s="890">
        <f>IF(BN430=0,0,         IF(OR(Currency2="AUD",Currency1="NZD",Currency2="GBP"),BN429,   _xll.qDateNext(BN429,"-2b",,,IF(Currency2="EUR","TGT","LON"))))</f>
        <v>0</v>
      </c>
      <c r="BR429" s="879" t="str">
        <v/>
      </c>
      <c r="BS429" s="879" t="str">
        <v/>
      </c>
      <c r="BT429" s="879" t="str">
        <v/>
      </c>
      <c r="BU429" s="879" t="str">
        <v/>
      </c>
      <c r="BV429" s="879" t="str">
        <v/>
      </c>
      <c r="BW429" s="879" t="str">
        <v/>
      </c>
      <c r="BX429" s="879" t="str">
        <v/>
      </c>
      <c r="BY429" s="879" t="str">
        <v/>
      </c>
      <c r="BZ429" s="882">
        <f>IF($BN430=0,0,        _xll.qDateNext($BN429,BZ$17,$CG$16,TRUE,Currency2))</f>
        <v>0</v>
      </c>
      <c r="CA429" s="882">
        <f>IF($BN430=0,0,        _xll.qDateNext($BN429,CA$17,$CG$16,TRUE,Currency2))</f>
        <v>0</v>
      </c>
      <c r="CB429" s="882">
        <f>IF($BN430=0,0,        _xll.qDateNext($BN429,CB$17,$CG$16,TRUE,Currency2))</f>
        <v>0</v>
      </c>
      <c r="CC429" s="882">
        <f>IF($BN430=0,0,        _xll.qDateNext($BN429,CC$17,$CG$16,TRUE,Currency2))</f>
        <v>0</v>
      </c>
      <c r="CD429" s="882">
        <f>IF($BN430=0,0,        _xll.qDateNext($BN429,CD$17,$CG$16,TRUE,Currency2))</f>
        <v>0</v>
      </c>
      <c r="CE429" s="882">
        <f>IF($BN430=0,0,        _xll.qDateNext($BN429,CE$17,$CG$16,TRUE,Currency2))</f>
        <v>0</v>
      </c>
      <c r="CF429" s="882">
        <f>IF($BN430=0,0,        _xll.qDateNext($BN429,CF$17,$CG$16,TRUE,Currency2))</f>
        <v>0</v>
      </c>
      <c r="CG429" s="882">
        <f>IF($BN430=0,0,        _xll.qDateNext($BN429,CG$17,$CG$16,TRUE,Currency2))</f>
        <v>0</v>
      </c>
      <c r="CH429" s="886">
        <v>0</v>
      </c>
      <c r="CI429" s="886">
        <v>0</v>
      </c>
      <c r="CJ429" s="886">
        <v>0</v>
      </c>
      <c r="CK429" s="886">
        <v>0</v>
      </c>
      <c r="CL429" s="886">
        <f t="shared" si="221"/>
        <v>0</v>
      </c>
      <c r="CM429" s="886">
        <f t="shared" si="222"/>
        <v>0</v>
      </c>
      <c r="CN429" s="886">
        <v>0</v>
      </c>
      <c r="CO429" s="886">
        <v>0</v>
      </c>
      <c r="CP429" s="648">
        <f t="shared" si="199"/>
        <v>0</v>
      </c>
      <c r="CQ429" s="648">
        <f t="shared" si="200"/>
        <v>0</v>
      </c>
      <c r="CR429" s="648">
        <f t="shared" si="201"/>
        <v>0</v>
      </c>
      <c r="CS429" s="648">
        <f t="shared" si="202"/>
        <v>0</v>
      </c>
      <c r="CT429" s="648">
        <f t="shared" si="203"/>
        <v>0</v>
      </c>
      <c r="CU429" s="648">
        <f t="shared" si="204"/>
        <v>0</v>
      </c>
      <c r="CV429" s="648">
        <f t="shared" si="205"/>
        <v>0</v>
      </c>
      <c r="CW429" s="648">
        <f t="shared" si="206"/>
        <v>0</v>
      </c>
      <c r="CX429" s="634">
        <v>0</v>
      </c>
      <c r="CY429" s="616"/>
      <c r="CZ429" s="619">
        <f>IF(BN430=0,0,             IF(ISNUMBER(CY429),CY429,             IF(ISTEXT(CY429),INDEX(CP429:CW429,MATCH(CY429,$CP$17:$CW$17,0)),           IF(CX429="INT",_xll.qInterp(BN430,BZ429:CG429,CP429:CW429),       INDEX(CP429:CW429,MATCH(CX429,$CP$17:$CW$17,0))))))</f>
        <v>0</v>
      </c>
      <c r="DA429" s="755">
        <f t="shared" si="207"/>
        <v>0</v>
      </c>
      <c r="DB429" s="387">
        <f t="shared" si="208"/>
        <v>0</v>
      </c>
      <c r="DC429" s="268">
        <f>IF($BN430=0,0,         IF(LEFT(DCC_Leg2_Fixed,2)="1/",uEvaluate(DCC_Leg2_Fixed),         _xll.qDateYears($BN429,$BN430,DCC_Leg2_Fixed)))</f>
        <v>0</v>
      </c>
      <c r="DD429" s="268">
        <f>IF($BN430,_xll.qDateYears($BN429,$BN430,DCC_Leg2_Float),0)</f>
        <v>0</v>
      </c>
      <c r="DF429" s="332">
        <f t="shared" si="223"/>
        <v>0</v>
      </c>
      <c r="DG429" s="357">
        <f t="shared" si="224"/>
        <v>0</v>
      </c>
      <c r="DH429" s="527"/>
      <c r="DJ429" s="324">
        <f t="shared" si="226"/>
        <v>0</v>
      </c>
      <c r="DK429" s="529"/>
      <c r="DL429" s="338"/>
    </row>
    <row r="430" spans="15:116">
      <c r="O430" s="121">
        <v>0</v>
      </c>
      <c r="P430" s="755">
        <f t="shared" si="195"/>
        <v>0</v>
      </c>
      <c r="Q430" s="125">
        <v>0</v>
      </c>
      <c r="R430" s="890">
        <f>IF(O431=0,0,         IF(OR(Currency1="AUD",Currency1="NZD",Currency1="GBP"),O430,   _xll.qDateNext(O430,"-2b",,,IF(Currency1="EUR","TGT","LON"))))</f>
        <v>0</v>
      </c>
      <c r="S430" s="879" t="str">
        <v/>
      </c>
      <c r="T430" s="879" t="str">
        <v/>
      </c>
      <c r="U430" s="879" t="str">
        <v/>
      </c>
      <c r="V430" s="879" t="str">
        <v/>
      </c>
      <c r="W430" s="879" t="str">
        <v/>
      </c>
      <c r="X430" s="879" t="str">
        <v/>
      </c>
      <c r="Y430" s="879" t="str">
        <v/>
      </c>
      <c r="Z430" s="879" t="str">
        <v/>
      </c>
      <c r="AA430" s="882">
        <f>IF($O431=0,0,        _xll.qDateNext($O430,AA$17,$AH$16,TRUE,Currency1))</f>
        <v>0</v>
      </c>
      <c r="AB430" s="882">
        <f>IF($O431=0,0,        _xll.qDateNext($O430,AB$17,$AH$16,TRUE,Currency1))</f>
        <v>0</v>
      </c>
      <c r="AC430" s="882">
        <f>IF($O431=0,0,        _xll.qDateNext($O430,AC$17,$AH$16,TRUE,Currency1))</f>
        <v>0</v>
      </c>
      <c r="AD430" s="882">
        <f>IF($O431=0,0,        _xll.qDateNext($O430,AD$17,$AH$16,TRUE,Currency1))</f>
        <v>0</v>
      </c>
      <c r="AE430" s="882">
        <f>IF($O431=0,0,        _xll.qDateNext($O430,AE$17,$AH$16,TRUE,Currency1))</f>
        <v>0</v>
      </c>
      <c r="AF430" s="882">
        <f>IF($O431=0,0,        _xll.qDateNext($O430,AF$17,$AH$16,TRUE,Currency1))</f>
        <v>0</v>
      </c>
      <c r="AG430" s="882">
        <f>IF($O431=0,0,        _xll.qDateNext($O430,AG$17,$AH$16,TRUE,Currency1))</f>
        <v>0</v>
      </c>
      <c r="AH430" s="882">
        <f>IF($O431=0,0,        _xll.qDateNext($O430,AH$17,$AH$16,TRUE,Currency1))</f>
        <v>0</v>
      </c>
      <c r="AI430" s="886">
        <f>IF($O431=0,0,           IF(FRM,_xll.qGetFwdRate(AI$14,$O430,AA430,"T",DCC_Leg1_Float),_xll.qGetFwdRate(AI$14,$O430,$O431,"T",DCC_Leg1_Float)))</f>
        <v>0</v>
      </c>
      <c r="AJ430" s="886">
        <f>IF($O431=0,0,           IF(FRM,_xll.qGetFwdRate(AJ$14,$O430,AB430,"T",DCC_Leg1_Float),_xll.qGetFwdRate(AJ$14,$O430,$O431,"T",DCC_Leg1_Float)))</f>
        <v>0</v>
      </c>
      <c r="AK430" s="886">
        <f t="shared" si="196"/>
        <v>0</v>
      </c>
      <c r="AL430" s="886">
        <f>IF($O431=0,0,           IF(FRM,_xll.qGetFwdRate(AL$14,$O430,AD430,"T",DCC_Leg1_Float),_xll.qGetFwdRate(AL$14,$O430,$O431,"T",DCC_Leg1_Float)))</f>
        <v>0</v>
      </c>
      <c r="AM430" s="886">
        <f t="shared" si="209"/>
        <v>0</v>
      </c>
      <c r="AN430" s="886">
        <f t="shared" si="210"/>
        <v>0</v>
      </c>
      <c r="AO430" s="886">
        <f>IF($O431=0,0,           IF(FRM,_xll.qGetFwdRate(AO$14,$O430,AG430,"T",DCC_Leg1_Float),_xll.qGetFwdRate(AO$14,$O430,$O431,"T",DCC_Leg1_Float)))</f>
        <v>0</v>
      </c>
      <c r="AP430" s="886">
        <f>IF($O431=0,0,           IF(FRM,_xll.qGetFwdRate(AP$14,$O430,AH430,"T",DCC_Leg1_Float),_xll.qGetFwdRate(AP$14,$O430,$O431,"T",DCC_Leg1_Float)))</f>
        <v>0</v>
      </c>
      <c r="AQ430" s="648">
        <f t="shared" si="211"/>
        <v>0</v>
      </c>
      <c r="AR430" s="648">
        <f t="shared" si="212"/>
        <v>0</v>
      </c>
      <c r="AS430" s="648">
        <f t="shared" si="213"/>
        <v>0</v>
      </c>
      <c r="AT430" s="648">
        <f t="shared" si="214"/>
        <v>0</v>
      </c>
      <c r="AU430" s="648">
        <f t="shared" si="215"/>
        <v>0</v>
      </c>
      <c r="AV430" s="648">
        <f t="shared" si="216"/>
        <v>0</v>
      </c>
      <c r="AW430" s="648">
        <f t="shared" si="217"/>
        <v>0</v>
      </c>
      <c r="AX430" s="648">
        <f t="shared" si="218"/>
        <v>0</v>
      </c>
      <c r="AY430" s="634">
        <v>0</v>
      </c>
      <c r="AZ430" s="616"/>
      <c r="BA430" s="619">
        <f>IF(O431=0,0,             IF(ISNUMBER(AZ430),AZ430,             IF(ISTEXT(AZ430),INDEX(AQ430:AX430,MATCH(AZ430,$AQ$17:$AX$17,0)),           IF(AY430="INT",_xll.qInterp(O431,AA430:AH430,AQ430:AX430),       INDEX(AQ430:AX430,MATCH(AY430,$AQ$17:$AX$17,0))))))</f>
        <v>0</v>
      </c>
      <c r="BB430" s="674">
        <v>100</v>
      </c>
      <c r="BC430" s="666">
        <f t="shared" si="197"/>
        <v>0</v>
      </c>
      <c r="BD430" s="268">
        <f>IF($O431=0,0,                IF(LEFT(DCC_Leg1_Fixed,2)="1/",uEvaluate(DCC_Leg1_Fixed),        _xll.qDateYears($O430,$O431,DCC_Leg1_Fixed)))</f>
        <v>0</v>
      </c>
      <c r="BE430" s="268">
        <f>IF($O431,_xll.qDateYears($O430,$O431,DCC_Leg1_Float),0)</f>
        <v>0</v>
      </c>
      <c r="BG430" s="332">
        <f t="shared" si="219"/>
        <v>0</v>
      </c>
      <c r="BH430" s="357">
        <f t="shared" si="220"/>
        <v>0</v>
      </c>
      <c r="BI430" s="527"/>
      <c r="BK430" s="324">
        <f t="shared" si="225"/>
        <v>0</v>
      </c>
      <c r="BM430" s="338"/>
      <c r="BN430" s="121">
        <v>0</v>
      </c>
      <c r="BO430" s="755">
        <f t="shared" si="198"/>
        <v>0</v>
      </c>
      <c r="BP430" s="339">
        <v>0</v>
      </c>
      <c r="BQ430" s="890">
        <f>IF(BN431=0,0,         IF(OR(Currency2="AUD",Currency1="NZD",Currency2="GBP"),BN430,   _xll.qDateNext(BN430,"-2b",,,IF(Currency2="EUR","TGT","LON"))))</f>
        <v>0</v>
      </c>
      <c r="BR430" s="879" t="str">
        <v/>
      </c>
      <c r="BS430" s="879" t="str">
        <v/>
      </c>
      <c r="BT430" s="879" t="str">
        <v/>
      </c>
      <c r="BU430" s="879" t="str">
        <v/>
      </c>
      <c r="BV430" s="879" t="str">
        <v/>
      </c>
      <c r="BW430" s="879" t="str">
        <v/>
      </c>
      <c r="BX430" s="879" t="str">
        <v/>
      </c>
      <c r="BY430" s="879" t="str">
        <v/>
      </c>
      <c r="BZ430" s="882">
        <f>IF($BN431=0,0,        _xll.qDateNext($BN430,BZ$17,$CG$16,TRUE,Currency2))</f>
        <v>0</v>
      </c>
      <c r="CA430" s="882">
        <f>IF($BN431=0,0,        _xll.qDateNext($BN430,CA$17,$CG$16,TRUE,Currency2))</f>
        <v>0</v>
      </c>
      <c r="CB430" s="882">
        <f>IF($BN431=0,0,        _xll.qDateNext($BN430,CB$17,$CG$16,TRUE,Currency2))</f>
        <v>0</v>
      </c>
      <c r="CC430" s="882">
        <f>IF($BN431=0,0,        _xll.qDateNext($BN430,CC$17,$CG$16,TRUE,Currency2))</f>
        <v>0</v>
      </c>
      <c r="CD430" s="882">
        <f>IF($BN431=0,0,        _xll.qDateNext($BN430,CD$17,$CG$16,TRUE,Currency2))</f>
        <v>0</v>
      </c>
      <c r="CE430" s="882">
        <f>IF($BN431=0,0,        _xll.qDateNext($BN430,CE$17,$CG$16,TRUE,Currency2))</f>
        <v>0</v>
      </c>
      <c r="CF430" s="882">
        <f>IF($BN431=0,0,        _xll.qDateNext($BN430,CF$17,$CG$16,TRUE,Currency2))</f>
        <v>0</v>
      </c>
      <c r="CG430" s="882">
        <f>IF($BN431=0,0,        _xll.qDateNext($BN430,CG$17,$CG$16,TRUE,Currency2))</f>
        <v>0</v>
      </c>
      <c r="CH430" s="886">
        <v>0</v>
      </c>
      <c r="CI430" s="886">
        <v>0</v>
      </c>
      <c r="CJ430" s="886">
        <v>0</v>
      </c>
      <c r="CK430" s="886">
        <v>0</v>
      </c>
      <c r="CL430" s="886">
        <f t="shared" si="221"/>
        <v>0</v>
      </c>
      <c r="CM430" s="886">
        <f t="shared" si="222"/>
        <v>0</v>
      </c>
      <c r="CN430" s="886">
        <v>0</v>
      </c>
      <c r="CO430" s="886">
        <v>0</v>
      </c>
      <c r="CP430" s="648">
        <f t="shared" si="199"/>
        <v>0</v>
      </c>
      <c r="CQ430" s="648">
        <f t="shared" si="200"/>
        <v>0</v>
      </c>
      <c r="CR430" s="648">
        <f t="shared" si="201"/>
        <v>0</v>
      </c>
      <c r="CS430" s="648">
        <f t="shared" si="202"/>
        <v>0</v>
      </c>
      <c r="CT430" s="648">
        <f t="shared" si="203"/>
        <v>0</v>
      </c>
      <c r="CU430" s="648">
        <f t="shared" si="204"/>
        <v>0</v>
      </c>
      <c r="CV430" s="648">
        <f t="shared" si="205"/>
        <v>0</v>
      </c>
      <c r="CW430" s="648">
        <f t="shared" si="206"/>
        <v>0</v>
      </c>
      <c r="CX430" s="634">
        <v>0</v>
      </c>
      <c r="CY430" s="616"/>
      <c r="CZ430" s="619">
        <f>IF(BN431=0,0,             IF(ISNUMBER(CY430),CY430,             IF(ISTEXT(CY430),INDEX(CP430:CW430,MATCH(CY430,$CP$17:$CW$17,0)),           IF(CX430="INT",_xll.qInterp(BN431,BZ430:CG430,CP430:CW430),       INDEX(CP430:CW430,MATCH(CX430,$CP$17:$CW$17,0))))))</f>
        <v>0</v>
      </c>
      <c r="DA430" s="755">
        <f t="shared" si="207"/>
        <v>0</v>
      </c>
      <c r="DB430" s="387">
        <f t="shared" si="208"/>
        <v>0</v>
      </c>
      <c r="DC430" s="268">
        <f>IF($BN431=0,0,         IF(LEFT(DCC_Leg2_Fixed,2)="1/",uEvaluate(DCC_Leg2_Fixed),         _xll.qDateYears($BN430,$BN431,DCC_Leg2_Fixed)))</f>
        <v>0</v>
      </c>
      <c r="DD430" s="268">
        <f>IF($BN431,_xll.qDateYears($BN430,$BN431,DCC_Leg2_Float),0)</f>
        <v>0</v>
      </c>
      <c r="DF430" s="332">
        <f t="shared" si="223"/>
        <v>0</v>
      </c>
      <c r="DG430" s="357">
        <f t="shared" si="224"/>
        <v>0</v>
      </c>
      <c r="DH430" s="527"/>
      <c r="DJ430" s="324">
        <f t="shared" si="226"/>
        <v>0</v>
      </c>
      <c r="DK430" s="529"/>
      <c r="DL430" s="338"/>
    </row>
    <row r="431" spans="15:116">
      <c r="O431" s="121">
        <v>0</v>
      </c>
      <c r="P431" s="755">
        <f t="shared" si="195"/>
        <v>0</v>
      </c>
      <c r="Q431" s="125">
        <v>0</v>
      </c>
      <c r="R431" s="890">
        <f>IF(O432=0,0,         IF(OR(Currency1="AUD",Currency1="NZD",Currency1="GBP"),O431,   _xll.qDateNext(O431,"-2b",,,IF(Currency1="EUR","TGT","LON"))))</f>
        <v>0</v>
      </c>
      <c r="S431" s="879" t="str">
        <v/>
      </c>
      <c r="T431" s="879" t="str">
        <v/>
      </c>
      <c r="U431" s="879" t="str">
        <v/>
      </c>
      <c r="V431" s="879" t="str">
        <v/>
      </c>
      <c r="W431" s="879" t="str">
        <v/>
      </c>
      <c r="X431" s="879" t="str">
        <v/>
      </c>
      <c r="Y431" s="879" t="str">
        <v/>
      </c>
      <c r="Z431" s="879" t="str">
        <v/>
      </c>
      <c r="AA431" s="882">
        <f>IF($O432=0,0,        _xll.qDateNext($O431,AA$17,$AH$16,TRUE,Currency1))</f>
        <v>0</v>
      </c>
      <c r="AB431" s="882">
        <f>IF($O432=0,0,        _xll.qDateNext($O431,AB$17,$AH$16,TRUE,Currency1))</f>
        <v>0</v>
      </c>
      <c r="AC431" s="882">
        <f>IF($O432=0,0,        _xll.qDateNext($O431,AC$17,$AH$16,TRUE,Currency1))</f>
        <v>0</v>
      </c>
      <c r="AD431" s="882">
        <f>IF($O432=0,0,        _xll.qDateNext($O431,AD$17,$AH$16,TRUE,Currency1))</f>
        <v>0</v>
      </c>
      <c r="AE431" s="882">
        <f>IF($O432=0,0,        _xll.qDateNext($O431,AE$17,$AH$16,TRUE,Currency1))</f>
        <v>0</v>
      </c>
      <c r="AF431" s="882">
        <f>IF($O432=0,0,        _xll.qDateNext($O431,AF$17,$AH$16,TRUE,Currency1))</f>
        <v>0</v>
      </c>
      <c r="AG431" s="882">
        <f>IF($O432=0,0,        _xll.qDateNext($O431,AG$17,$AH$16,TRUE,Currency1))</f>
        <v>0</v>
      </c>
      <c r="AH431" s="882">
        <f>IF($O432=0,0,        _xll.qDateNext($O431,AH$17,$AH$16,TRUE,Currency1))</f>
        <v>0</v>
      </c>
      <c r="AI431" s="886">
        <f>IF($O432=0,0,           IF(FRM,_xll.qGetFwdRate(AI$14,$O431,AA431,"T",DCC_Leg1_Float),_xll.qGetFwdRate(AI$14,$O431,$O432,"T",DCC_Leg1_Float)))</f>
        <v>0</v>
      </c>
      <c r="AJ431" s="886">
        <f>IF($O432=0,0,           IF(FRM,_xll.qGetFwdRate(AJ$14,$O431,AB431,"T",DCC_Leg1_Float),_xll.qGetFwdRate(AJ$14,$O431,$O432,"T",DCC_Leg1_Float)))</f>
        <v>0</v>
      </c>
      <c r="AK431" s="886">
        <f t="shared" si="196"/>
        <v>0</v>
      </c>
      <c r="AL431" s="886">
        <f>IF($O432=0,0,           IF(FRM,_xll.qGetFwdRate(AL$14,$O431,AD431,"T",DCC_Leg1_Float),_xll.qGetFwdRate(AL$14,$O431,$O432,"T",DCC_Leg1_Float)))</f>
        <v>0</v>
      </c>
      <c r="AM431" s="886">
        <f t="shared" si="209"/>
        <v>0</v>
      </c>
      <c r="AN431" s="886">
        <f t="shared" si="210"/>
        <v>0</v>
      </c>
      <c r="AO431" s="886">
        <f>IF($O432=0,0,           IF(FRM,_xll.qGetFwdRate(AO$14,$O431,AG431,"T",DCC_Leg1_Float),_xll.qGetFwdRate(AO$14,$O431,$O432,"T",DCC_Leg1_Float)))</f>
        <v>0</v>
      </c>
      <c r="AP431" s="886">
        <f>IF($O432=0,0,           IF(FRM,_xll.qGetFwdRate(AP$14,$O431,AH431,"T",DCC_Leg1_Float),_xll.qGetFwdRate(AP$14,$O431,$O432,"T",DCC_Leg1_Float)))</f>
        <v>0</v>
      </c>
      <c r="AQ431" s="648">
        <f t="shared" si="211"/>
        <v>0</v>
      </c>
      <c r="AR431" s="648">
        <f t="shared" si="212"/>
        <v>0</v>
      </c>
      <c r="AS431" s="648">
        <f t="shared" si="213"/>
        <v>0</v>
      </c>
      <c r="AT431" s="648">
        <f t="shared" si="214"/>
        <v>0</v>
      </c>
      <c r="AU431" s="648">
        <f t="shared" si="215"/>
        <v>0</v>
      </c>
      <c r="AV431" s="648">
        <f t="shared" si="216"/>
        <v>0</v>
      </c>
      <c r="AW431" s="648">
        <f t="shared" si="217"/>
        <v>0</v>
      </c>
      <c r="AX431" s="648">
        <f t="shared" si="218"/>
        <v>0</v>
      </c>
      <c r="AY431" s="634">
        <v>0</v>
      </c>
      <c r="AZ431" s="616"/>
      <c r="BA431" s="619">
        <f>IF(O432=0,0,             IF(ISNUMBER(AZ431),AZ431,             IF(ISTEXT(AZ431),INDEX(AQ431:AX431,MATCH(AZ431,$AQ$17:$AX$17,0)),           IF(AY431="INT",_xll.qInterp(O432,AA431:AH431,AQ431:AX431),       INDEX(AQ431:AX431,MATCH(AY431,$AQ$17:$AX$17,0))))))</f>
        <v>0</v>
      </c>
      <c r="BB431" s="674">
        <v>100</v>
      </c>
      <c r="BC431" s="666">
        <f t="shared" si="197"/>
        <v>0</v>
      </c>
      <c r="BD431" s="268">
        <f>IF($O432=0,0,                IF(LEFT(DCC_Leg1_Fixed,2)="1/",uEvaluate(DCC_Leg1_Fixed),        _xll.qDateYears($O431,$O432,DCC_Leg1_Fixed)))</f>
        <v>0</v>
      </c>
      <c r="BE431" s="268">
        <f>IF($O432,_xll.qDateYears($O431,$O432,DCC_Leg1_Float),0)</f>
        <v>0</v>
      </c>
      <c r="BG431" s="332">
        <f t="shared" si="219"/>
        <v>0</v>
      </c>
      <c r="BH431" s="357">
        <f t="shared" si="220"/>
        <v>0</v>
      </c>
      <c r="BI431" s="527"/>
      <c r="BK431" s="324">
        <f t="shared" si="225"/>
        <v>0</v>
      </c>
      <c r="BM431" s="338"/>
      <c r="BN431" s="121">
        <v>0</v>
      </c>
      <c r="BO431" s="755">
        <f t="shared" si="198"/>
        <v>0</v>
      </c>
      <c r="BP431" s="339">
        <v>0</v>
      </c>
      <c r="BQ431" s="890">
        <f>IF(BN432=0,0,         IF(OR(Currency2="AUD",Currency1="NZD",Currency2="GBP"),BN431,   _xll.qDateNext(BN431,"-2b",,,IF(Currency2="EUR","TGT","LON"))))</f>
        <v>0</v>
      </c>
      <c r="BR431" s="879" t="str">
        <v/>
      </c>
      <c r="BS431" s="879" t="str">
        <v/>
      </c>
      <c r="BT431" s="879" t="str">
        <v/>
      </c>
      <c r="BU431" s="879" t="str">
        <v/>
      </c>
      <c r="BV431" s="879" t="str">
        <v/>
      </c>
      <c r="BW431" s="879" t="str">
        <v/>
      </c>
      <c r="BX431" s="879" t="str">
        <v/>
      </c>
      <c r="BY431" s="879" t="str">
        <v/>
      </c>
      <c r="BZ431" s="882">
        <f>IF($BN432=0,0,        _xll.qDateNext($BN431,BZ$17,$CG$16,TRUE,Currency2))</f>
        <v>0</v>
      </c>
      <c r="CA431" s="882">
        <f>IF($BN432=0,0,        _xll.qDateNext($BN431,CA$17,$CG$16,TRUE,Currency2))</f>
        <v>0</v>
      </c>
      <c r="CB431" s="882">
        <f>IF($BN432=0,0,        _xll.qDateNext($BN431,CB$17,$CG$16,TRUE,Currency2))</f>
        <v>0</v>
      </c>
      <c r="CC431" s="882">
        <f>IF($BN432=0,0,        _xll.qDateNext($BN431,CC$17,$CG$16,TRUE,Currency2))</f>
        <v>0</v>
      </c>
      <c r="CD431" s="882">
        <f>IF($BN432=0,0,        _xll.qDateNext($BN431,CD$17,$CG$16,TRUE,Currency2))</f>
        <v>0</v>
      </c>
      <c r="CE431" s="882">
        <f>IF($BN432=0,0,        _xll.qDateNext($BN431,CE$17,$CG$16,TRUE,Currency2))</f>
        <v>0</v>
      </c>
      <c r="CF431" s="882">
        <f>IF($BN432=0,0,        _xll.qDateNext($BN431,CF$17,$CG$16,TRUE,Currency2))</f>
        <v>0</v>
      </c>
      <c r="CG431" s="882">
        <f>IF($BN432=0,0,        _xll.qDateNext($BN431,CG$17,$CG$16,TRUE,Currency2))</f>
        <v>0</v>
      </c>
      <c r="CH431" s="886">
        <v>0</v>
      </c>
      <c r="CI431" s="886">
        <v>0</v>
      </c>
      <c r="CJ431" s="886">
        <v>0</v>
      </c>
      <c r="CK431" s="886">
        <v>0</v>
      </c>
      <c r="CL431" s="886">
        <f t="shared" si="221"/>
        <v>0</v>
      </c>
      <c r="CM431" s="886">
        <f t="shared" si="222"/>
        <v>0</v>
      </c>
      <c r="CN431" s="886">
        <v>0</v>
      </c>
      <c r="CO431" s="886">
        <v>0</v>
      </c>
      <c r="CP431" s="648">
        <f t="shared" si="199"/>
        <v>0</v>
      </c>
      <c r="CQ431" s="648">
        <f t="shared" si="200"/>
        <v>0</v>
      </c>
      <c r="CR431" s="648">
        <f t="shared" si="201"/>
        <v>0</v>
      </c>
      <c r="CS431" s="648">
        <f t="shared" si="202"/>
        <v>0</v>
      </c>
      <c r="CT431" s="648">
        <f t="shared" si="203"/>
        <v>0</v>
      </c>
      <c r="CU431" s="648">
        <f t="shared" si="204"/>
        <v>0</v>
      </c>
      <c r="CV431" s="648">
        <f t="shared" si="205"/>
        <v>0</v>
      </c>
      <c r="CW431" s="648">
        <f t="shared" si="206"/>
        <v>0</v>
      </c>
      <c r="CX431" s="634">
        <v>0</v>
      </c>
      <c r="CY431" s="616"/>
      <c r="CZ431" s="619">
        <f>IF(BN432=0,0,             IF(ISNUMBER(CY431),CY431,             IF(ISTEXT(CY431),INDEX(CP431:CW431,MATCH(CY431,$CP$17:$CW$17,0)),           IF(CX431="INT",_xll.qInterp(BN432,BZ431:CG431,CP431:CW431),       INDEX(CP431:CW431,MATCH(CX431,$CP$17:$CW$17,0))))))</f>
        <v>0</v>
      </c>
      <c r="DA431" s="755">
        <f t="shared" si="207"/>
        <v>0</v>
      </c>
      <c r="DB431" s="387">
        <f t="shared" si="208"/>
        <v>0</v>
      </c>
      <c r="DC431" s="268">
        <f>IF($BN432=0,0,         IF(LEFT(DCC_Leg2_Fixed,2)="1/",uEvaluate(DCC_Leg2_Fixed),         _xll.qDateYears($BN431,$BN432,DCC_Leg2_Fixed)))</f>
        <v>0</v>
      </c>
      <c r="DD431" s="268">
        <f>IF($BN432,_xll.qDateYears($BN431,$BN432,DCC_Leg2_Float),0)</f>
        <v>0</v>
      </c>
      <c r="DF431" s="332">
        <f t="shared" si="223"/>
        <v>0</v>
      </c>
      <c r="DG431" s="357">
        <f t="shared" si="224"/>
        <v>0</v>
      </c>
      <c r="DH431" s="527"/>
      <c r="DJ431" s="324">
        <f t="shared" si="226"/>
        <v>0</v>
      </c>
      <c r="DK431" s="529"/>
      <c r="DL431" s="338"/>
    </row>
    <row r="432" spans="15:116">
      <c r="O432" s="121">
        <v>0</v>
      </c>
      <c r="P432" s="755">
        <f t="shared" si="195"/>
        <v>0</v>
      </c>
      <c r="Q432" s="125">
        <v>0</v>
      </c>
      <c r="R432" s="890">
        <f>IF(O433=0,0,         IF(OR(Currency1="AUD",Currency1="NZD",Currency1="GBP"),O432,   _xll.qDateNext(O432,"-2b",,,IF(Currency1="EUR","TGT","LON"))))</f>
        <v>0</v>
      </c>
      <c r="S432" s="879" t="str">
        <v/>
      </c>
      <c r="T432" s="879" t="str">
        <v/>
      </c>
      <c r="U432" s="879" t="str">
        <v/>
      </c>
      <c r="V432" s="879" t="str">
        <v/>
      </c>
      <c r="W432" s="879" t="str">
        <v/>
      </c>
      <c r="X432" s="879" t="str">
        <v/>
      </c>
      <c r="Y432" s="879" t="str">
        <v/>
      </c>
      <c r="Z432" s="879" t="str">
        <v/>
      </c>
      <c r="AA432" s="882">
        <f>IF($O433=0,0,        _xll.qDateNext($O432,AA$17,$AH$16,TRUE,Currency1))</f>
        <v>0</v>
      </c>
      <c r="AB432" s="882">
        <f>IF($O433=0,0,        _xll.qDateNext($O432,AB$17,$AH$16,TRUE,Currency1))</f>
        <v>0</v>
      </c>
      <c r="AC432" s="882">
        <f>IF($O433=0,0,        _xll.qDateNext($O432,AC$17,$AH$16,TRUE,Currency1))</f>
        <v>0</v>
      </c>
      <c r="AD432" s="882">
        <f>IF($O433=0,0,        _xll.qDateNext($O432,AD$17,$AH$16,TRUE,Currency1))</f>
        <v>0</v>
      </c>
      <c r="AE432" s="882">
        <f>IF($O433=0,0,        _xll.qDateNext($O432,AE$17,$AH$16,TRUE,Currency1))</f>
        <v>0</v>
      </c>
      <c r="AF432" s="882">
        <f>IF($O433=0,0,        _xll.qDateNext($O432,AF$17,$AH$16,TRUE,Currency1))</f>
        <v>0</v>
      </c>
      <c r="AG432" s="882">
        <f>IF($O433=0,0,        _xll.qDateNext($O432,AG$17,$AH$16,TRUE,Currency1))</f>
        <v>0</v>
      </c>
      <c r="AH432" s="882">
        <f>IF($O433=0,0,        _xll.qDateNext($O432,AH$17,$AH$16,TRUE,Currency1))</f>
        <v>0</v>
      </c>
      <c r="AI432" s="886">
        <f>IF($O433=0,0,           IF(FRM,_xll.qGetFwdRate(AI$14,$O432,AA432,"T",DCC_Leg1_Float),_xll.qGetFwdRate(AI$14,$O432,$O433,"T",DCC_Leg1_Float)))</f>
        <v>0</v>
      </c>
      <c r="AJ432" s="886">
        <f>IF($O433=0,0,           IF(FRM,_xll.qGetFwdRate(AJ$14,$O432,AB432,"T",DCC_Leg1_Float),_xll.qGetFwdRate(AJ$14,$O432,$O433,"T",DCC_Leg1_Float)))</f>
        <v>0</v>
      </c>
      <c r="AK432" s="886">
        <f t="shared" si="196"/>
        <v>0</v>
      </c>
      <c r="AL432" s="886">
        <f>IF($O433=0,0,           IF(FRM,_xll.qGetFwdRate(AL$14,$O432,AD432,"T",DCC_Leg1_Float),_xll.qGetFwdRate(AL$14,$O432,$O433,"T",DCC_Leg1_Float)))</f>
        <v>0</v>
      </c>
      <c r="AM432" s="886">
        <f t="shared" si="209"/>
        <v>0</v>
      </c>
      <c r="AN432" s="886">
        <f t="shared" si="210"/>
        <v>0</v>
      </c>
      <c r="AO432" s="886">
        <f>IF($O433=0,0,           IF(FRM,_xll.qGetFwdRate(AO$14,$O432,AG432,"T",DCC_Leg1_Float),_xll.qGetFwdRate(AO$14,$O432,$O433,"T",DCC_Leg1_Float)))</f>
        <v>0</v>
      </c>
      <c r="AP432" s="886">
        <f>IF($O433=0,0,           IF(FRM,_xll.qGetFwdRate(AP$14,$O432,AH432,"T",DCC_Leg1_Float),_xll.qGetFwdRate(AP$14,$O432,$O433,"T",DCC_Leg1_Float)))</f>
        <v>0</v>
      </c>
      <c r="AQ432" s="648">
        <f t="shared" si="211"/>
        <v>0</v>
      </c>
      <c r="AR432" s="648">
        <f t="shared" si="212"/>
        <v>0</v>
      </c>
      <c r="AS432" s="648">
        <f t="shared" si="213"/>
        <v>0</v>
      </c>
      <c r="AT432" s="648">
        <f t="shared" si="214"/>
        <v>0</v>
      </c>
      <c r="AU432" s="648">
        <f t="shared" si="215"/>
        <v>0</v>
      </c>
      <c r="AV432" s="648">
        <f t="shared" si="216"/>
        <v>0</v>
      </c>
      <c r="AW432" s="648">
        <f t="shared" si="217"/>
        <v>0</v>
      </c>
      <c r="AX432" s="648">
        <f t="shared" si="218"/>
        <v>0</v>
      </c>
      <c r="AY432" s="634">
        <v>0</v>
      </c>
      <c r="AZ432" s="616"/>
      <c r="BA432" s="619">
        <f>IF(O433=0,0,             IF(ISNUMBER(AZ432),AZ432,             IF(ISTEXT(AZ432),INDEX(AQ432:AX432,MATCH(AZ432,$AQ$17:$AX$17,0)),           IF(AY432="INT",_xll.qInterp(O433,AA432:AH432,AQ432:AX432),       INDEX(AQ432:AX432,MATCH(AY432,$AQ$17:$AX$17,0))))))</f>
        <v>0</v>
      </c>
      <c r="BB432" s="674">
        <v>100</v>
      </c>
      <c r="BC432" s="666">
        <f t="shared" si="197"/>
        <v>0</v>
      </c>
      <c r="BD432" s="268">
        <f>IF($O433=0,0,                IF(LEFT(DCC_Leg1_Fixed,2)="1/",uEvaluate(DCC_Leg1_Fixed),        _xll.qDateYears($O432,$O433,DCC_Leg1_Fixed)))</f>
        <v>0</v>
      </c>
      <c r="BE432" s="268">
        <f>IF($O433,_xll.qDateYears($O432,$O433,DCC_Leg1_Float),0)</f>
        <v>0</v>
      </c>
      <c r="BG432" s="332">
        <f t="shared" si="219"/>
        <v>0</v>
      </c>
      <c r="BH432" s="357">
        <f t="shared" si="220"/>
        <v>0</v>
      </c>
      <c r="BI432" s="527"/>
      <c r="BK432" s="324">
        <f t="shared" si="225"/>
        <v>0</v>
      </c>
      <c r="BM432" s="338"/>
      <c r="BN432" s="121">
        <v>0</v>
      </c>
      <c r="BO432" s="755">
        <f t="shared" si="198"/>
        <v>0</v>
      </c>
      <c r="BP432" s="339">
        <v>0</v>
      </c>
      <c r="BQ432" s="890">
        <f>IF(BN433=0,0,         IF(OR(Currency2="AUD",Currency1="NZD",Currency2="GBP"),BN432,   _xll.qDateNext(BN432,"-2b",,,IF(Currency2="EUR","TGT","LON"))))</f>
        <v>0</v>
      </c>
      <c r="BR432" s="879" t="str">
        <v/>
      </c>
      <c r="BS432" s="879" t="str">
        <v/>
      </c>
      <c r="BT432" s="879" t="str">
        <v/>
      </c>
      <c r="BU432" s="879" t="str">
        <v/>
      </c>
      <c r="BV432" s="879" t="str">
        <v/>
      </c>
      <c r="BW432" s="879" t="str">
        <v/>
      </c>
      <c r="BX432" s="879" t="str">
        <v/>
      </c>
      <c r="BY432" s="879" t="str">
        <v/>
      </c>
      <c r="BZ432" s="882">
        <f>IF($BN433=0,0,        _xll.qDateNext($BN432,BZ$17,$CG$16,TRUE,Currency2))</f>
        <v>0</v>
      </c>
      <c r="CA432" s="882">
        <f>IF($BN433=0,0,        _xll.qDateNext($BN432,CA$17,$CG$16,TRUE,Currency2))</f>
        <v>0</v>
      </c>
      <c r="CB432" s="882">
        <f>IF($BN433=0,0,        _xll.qDateNext($BN432,CB$17,$CG$16,TRUE,Currency2))</f>
        <v>0</v>
      </c>
      <c r="CC432" s="882">
        <f>IF($BN433=0,0,        _xll.qDateNext($BN432,CC$17,$CG$16,TRUE,Currency2))</f>
        <v>0</v>
      </c>
      <c r="CD432" s="882">
        <f>IF($BN433=0,0,        _xll.qDateNext($BN432,CD$17,$CG$16,TRUE,Currency2))</f>
        <v>0</v>
      </c>
      <c r="CE432" s="882">
        <f>IF($BN433=0,0,        _xll.qDateNext($BN432,CE$17,$CG$16,TRUE,Currency2))</f>
        <v>0</v>
      </c>
      <c r="CF432" s="882">
        <f>IF($BN433=0,0,        _xll.qDateNext($BN432,CF$17,$CG$16,TRUE,Currency2))</f>
        <v>0</v>
      </c>
      <c r="CG432" s="882">
        <f>IF($BN433=0,0,        _xll.qDateNext($BN432,CG$17,$CG$16,TRUE,Currency2))</f>
        <v>0</v>
      </c>
      <c r="CH432" s="886">
        <v>0</v>
      </c>
      <c r="CI432" s="886">
        <v>0</v>
      </c>
      <c r="CJ432" s="886">
        <v>0</v>
      </c>
      <c r="CK432" s="886">
        <v>0</v>
      </c>
      <c r="CL432" s="886">
        <f t="shared" si="221"/>
        <v>0</v>
      </c>
      <c r="CM432" s="886">
        <f t="shared" si="222"/>
        <v>0</v>
      </c>
      <c r="CN432" s="886">
        <v>0</v>
      </c>
      <c r="CO432" s="886">
        <v>0</v>
      </c>
      <c r="CP432" s="648">
        <f t="shared" si="199"/>
        <v>0</v>
      </c>
      <c r="CQ432" s="648">
        <f t="shared" si="200"/>
        <v>0</v>
      </c>
      <c r="CR432" s="648">
        <f t="shared" si="201"/>
        <v>0</v>
      </c>
      <c r="CS432" s="648">
        <f t="shared" si="202"/>
        <v>0</v>
      </c>
      <c r="CT432" s="648">
        <f t="shared" si="203"/>
        <v>0</v>
      </c>
      <c r="CU432" s="648">
        <f t="shared" si="204"/>
        <v>0</v>
      </c>
      <c r="CV432" s="648">
        <f t="shared" si="205"/>
        <v>0</v>
      </c>
      <c r="CW432" s="648">
        <f t="shared" si="206"/>
        <v>0</v>
      </c>
      <c r="CX432" s="634">
        <v>0</v>
      </c>
      <c r="CY432" s="616"/>
      <c r="CZ432" s="619">
        <f>IF(BN433=0,0,             IF(ISNUMBER(CY432),CY432,             IF(ISTEXT(CY432),INDEX(CP432:CW432,MATCH(CY432,$CP$17:$CW$17,0)),           IF(CX432="INT",_xll.qInterp(BN433,BZ432:CG432,CP432:CW432),       INDEX(CP432:CW432,MATCH(CX432,$CP$17:$CW$17,0))))))</f>
        <v>0</v>
      </c>
      <c r="DA432" s="755">
        <f t="shared" si="207"/>
        <v>0</v>
      </c>
      <c r="DB432" s="387">
        <f t="shared" si="208"/>
        <v>0</v>
      </c>
      <c r="DC432" s="268">
        <f>IF($BN433=0,0,         IF(LEFT(DCC_Leg2_Fixed,2)="1/",uEvaluate(DCC_Leg2_Fixed),         _xll.qDateYears($BN432,$BN433,DCC_Leg2_Fixed)))</f>
        <v>0</v>
      </c>
      <c r="DD432" s="268">
        <f>IF($BN433,_xll.qDateYears($BN432,$BN433,DCC_Leg2_Float),0)</f>
        <v>0</v>
      </c>
      <c r="DF432" s="332">
        <f t="shared" si="223"/>
        <v>0</v>
      </c>
      <c r="DG432" s="357">
        <f t="shared" si="224"/>
        <v>0</v>
      </c>
      <c r="DH432" s="527"/>
      <c r="DJ432" s="324">
        <f t="shared" si="226"/>
        <v>0</v>
      </c>
      <c r="DK432" s="529"/>
      <c r="DL432" s="338"/>
    </row>
    <row r="433" spans="15:116">
      <c r="O433" s="121">
        <v>0</v>
      </c>
      <c r="P433" s="755">
        <f t="shared" si="195"/>
        <v>0</v>
      </c>
      <c r="Q433" s="125">
        <v>0</v>
      </c>
      <c r="R433" s="890">
        <f>IF(O434=0,0,         IF(OR(Currency1="AUD",Currency1="NZD",Currency1="GBP"),O433,   _xll.qDateNext(O433,"-2b",,,IF(Currency1="EUR","TGT","LON"))))</f>
        <v>0</v>
      </c>
      <c r="S433" s="879" t="str">
        <v/>
      </c>
      <c r="T433" s="879" t="str">
        <v/>
      </c>
      <c r="U433" s="879" t="str">
        <v/>
      </c>
      <c r="V433" s="879" t="str">
        <v/>
      </c>
      <c r="W433" s="879" t="str">
        <v/>
      </c>
      <c r="X433" s="879" t="str">
        <v/>
      </c>
      <c r="Y433" s="879" t="str">
        <v/>
      </c>
      <c r="Z433" s="879" t="str">
        <v/>
      </c>
      <c r="AA433" s="882">
        <f>IF($O434=0,0,        _xll.qDateNext($O433,AA$17,$AH$16,TRUE,Currency1))</f>
        <v>0</v>
      </c>
      <c r="AB433" s="882">
        <f>IF($O434=0,0,        _xll.qDateNext($O433,AB$17,$AH$16,TRUE,Currency1))</f>
        <v>0</v>
      </c>
      <c r="AC433" s="882">
        <f>IF($O434=0,0,        _xll.qDateNext($O433,AC$17,$AH$16,TRUE,Currency1))</f>
        <v>0</v>
      </c>
      <c r="AD433" s="882">
        <f>IF($O434=0,0,        _xll.qDateNext($O433,AD$17,$AH$16,TRUE,Currency1))</f>
        <v>0</v>
      </c>
      <c r="AE433" s="882">
        <f>IF($O434=0,0,        _xll.qDateNext($O433,AE$17,$AH$16,TRUE,Currency1))</f>
        <v>0</v>
      </c>
      <c r="AF433" s="882">
        <f>IF($O434=0,0,        _xll.qDateNext($O433,AF$17,$AH$16,TRUE,Currency1))</f>
        <v>0</v>
      </c>
      <c r="AG433" s="882">
        <f>IF($O434=0,0,        _xll.qDateNext($O433,AG$17,$AH$16,TRUE,Currency1))</f>
        <v>0</v>
      </c>
      <c r="AH433" s="882">
        <f>IF($O434=0,0,        _xll.qDateNext($O433,AH$17,$AH$16,TRUE,Currency1))</f>
        <v>0</v>
      </c>
      <c r="AI433" s="886">
        <f>IF($O434=0,0,           IF(FRM,_xll.qGetFwdRate(AI$14,$O433,AA433,"T",DCC_Leg1_Float),_xll.qGetFwdRate(AI$14,$O433,$O434,"T",DCC_Leg1_Float)))</f>
        <v>0</v>
      </c>
      <c r="AJ433" s="886">
        <f>IF($O434=0,0,           IF(FRM,_xll.qGetFwdRate(AJ$14,$O433,AB433,"T",DCC_Leg1_Float),_xll.qGetFwdRate(AJ$14,$O433,$O434,"T",DCC_Leg1_Float)))</f>
        <v>0</v>
      </c>
      <c r="AK433" s="886">
        <f t="shared" si="196"/>
        <v>0</v>
      </c>
      <c r="AL433" s="886">
        <f>IF($O434=0,0,           IF(FRM,_xll.qGetFwdRate(AL$14,$O433,AD433,"T",DCC_Leg1_Float),_xll.qGetFwdRate(AL$14,$O433,$O434,"T",DCC_Leg1_Float)))</f>
        <v>0</v>
      </c>
      <c r="AM433" s="886">
        <f t="shared" si="209"/>
        <v>0</v>
      </c>
      <c r="AN433" s="886">
        <f t="shared" si="210"/>
        <v>0</v>
      </c>
      <c r="AO433" s="886">
        <f>IF($O434=0,0,           IF(FRM,_xll.qGetFwdRate(AO$14,$O433,AG433,"T",DCC_Leg1_Float),_xll.qGetFwdRate(AO$14,$O433,$O434,"T",DCC_Leg1_Float)))</f>
        <v>0</v>
      </c>
      <c r="AP433" s="886">
        <f>IF($O434=0,0,           IF(FRM,_xll.qGetFwdRate(AP$14,$O433,AH433,"T",DCC_Leg1_Float),_xll.qGetFwdRate(AP$14,$O433,$O434,"T",DCC_Leg1_Float)))</f>
        <v>0</v>
      </c>
      <c r="AQ433" s="648">
        <f t="shared" si="211"/>
        <v>0</v>
      </c>
      <c r="AR433" s="648">
        <f t="shared" si="212"/>
        <v>0</v>
      </c>
      <c r="AS433" s="648">
        <f t="shared" si="213"/>
        <v>0</v>
      </c>
      <c r="AT433" s="648">
        <f t="shared" si="214"/>
        <v>0</v>
      </c>
      <c r="AU433" s="648">
        <f t="shared" si="215"/>
        <v>0</v>
      </c>
      <c r="AV433" s="648">
        <f t="shared" si="216"/>
        <v>0</v>
      </c>
      <c r="AW433" s="648">
        <f t="shared" si="217"/>
        <v>0</v>
      </c>
      <c r="AX433" s="648">
        <f t="shared" si="218"/>
        <v>0</v>
      </c>
      <c r="AY433" s="634">
        <v>0</v>
      </c>
      <c r="AZ433" s="616"/>
      <c r="BA433" s="619">
        <f>IF(O434=0,0,             IF(ISNUMBER(AZ433),AZ433,             IF(ISTEXT(AZ433),INDEX(AQ433:AX433,MATCH(AZ433,$AQ$17:$AX$17,0)),           IF(AY433="INT",_xll.qInterp(O434,AA433:AH433,AQ433:AX433),       INDEX(AQ433:AX433,MATCH(AY433,$AQ$17:$AX$17,0))))))</f>
        <v>0</v>
      </c>
      <c r="BB433" s="674">
        <v>100</v>
      </c>
      <c r="BC433" s="666">
        <f t="shared" si="197"/>
        <v>0</v>
      </c>
      <c r="BD433" s="268">
        <f>IF($O434=0,0,                IF(LEFT(DCC_Leg1_Fixed,2)="1/",uEvaluate(DCC_Leg1_Fixed),        _xll.qDateYears($O433,$O434,DCC_Leg1_Fixed)))</f>
        <v>0</v>
      </c>
      <c r="BE433" s="268">
        <f>IF($O434,_xll.qDateYears($O433,$O434,DCC_Leg1_Float),0)</f>
        <v>0</v>
      </c>
      <c r="BG433" s="332">
        <f t="shared" si="219"/>
        <v>0</v>
      </c>
      <c r="BH433" s="357">
        <f t="shared" si="220"/>
        <v>0</v>
      </c>
      <c r="BI433" s="527"/>
      <c r="BK433" s="324">
        <f t="shared" si="225"/>
        <v>0</v>
      </c>
      <c r="BM433" s="338"/>
      <c r="BN433" s="121">
        <v>0</v>
      </c>
      <c r="BO433" s="755">
        <f t="shared" si="198"/>
        <v>0</v>
      </c>
      <c r="BP433" s="339">
        <v>0</v>
      </c>
      <c r="BQ433" s="890">
        <f>IF(BN434=0,0,         IF(OR(Currency2="AUD",Currency1="NZD",Currency2="GBP"),BN433,   _xll.qDateNext(BN433,"-2b",,,IF(Currency2="EUR","TGT","LON"))))</f>
        <v>0</v>
      </c>
      <c r="BR433" s="879" t="str">
        <v/>
      </c>
      <c r="BS433" s="879" t="str">
        <v/>
      </c>
      <c r="BT433" s="879" t="str">
        <v/>
      </c>
      <c r="BU433" s="879" t="str">
        <v/>
      </c>
      <c r="BV433" s="879" t="str">
        <v/>
      </c>
      <c r="BW433" s="879" t="str">
        <v/>
      </c>
      <c r="BX433" s="879" t="str">
        <v/>
      </c>
      <c r="BY433" s="879" t="str">
        <v/>
      </c>
      <c r="BZ433" s="882">
        <f>IF($BN434=0,0,        _xll.qDateNext($BN433,BZ$17,$CG$16,TRUE,Currency2))</f>
        <v>0</v>
      </c>
      <c r="CA433" s="882">
        <f>IF($BN434=0,0,        _xll.qDateNext($BN433,CA$17,$CG$16,TRUE,Currency2))</f>
        <v>0</v>
      </c>
      <c r="CB433" s="882">
        <f>IF($BN434=0,0,        _xll.qDateNext($BN433,CB$17,$CG$16,TRUE,Currency2))</f>
        <v>0</v>
      </c>
      <c r="CC433" s="882">
        <f>IF($BN434=0,0,        _xll.qDateNext($BN433,CC$17,$CG$16,TRUE,Currency2))</f>
        <v>0</v>
      </c>
      <c r="CD433" s="882">
        <f>IF($BN434=0,0,        _xll.qDateNext($BN433,CD$17,$CG$16,TRUE,Currency2))</f>
        <v>0</v>
      </c>
      <c r="CE433" s="882">
        <f>IF($BN434=0,0,        _xll.qDateNext($BN433,CE$17,$CG$16,TRUE,Currency2))</f>
        <v>0</v>
      </c>
      <c r="CF433" s="882">
        <f>IF($BN434=0,0,        _xll.qDateNext($BN433,CF$17,$CG$16,TRUE,Currency2))</f>
        <v>0</v>
      </c>
      <c r="CG433" s="882">
        <f>IF($BN434=0,0,        _xll.qDateNext($BN433,CG$17,$CG$16,TRUE,Currency2))</f>
        <v>0</v>
      </c>
      <c r="CH433" s="886">
        <v>0</v>
      </c>
      <c r="CI433" s="886">
        <v>0</v>
      </c>
      <c r="CJ433" s="886">
        <v>0</v>
      </c>
      <c r="CK433" s="886">
        <v>0</v>
      </c>
      <c r="CL433" s="886">
        <f t="shared" si="221"/>
        <v>0</v>
      </c>
      <c r="CM433" s="886">
        <f t="shared" si="222"/>
        <v>0</v>
      </c>
      <c r="CN433" s="886">
        <v>0</v>
      </c>
      <c r="CO433" s="886">
        <v>0</v>
      </c>
      <c r="CP433" s="648">
        <f t="shared" si="199"/>
        <v>0</v>
      </c>
      <c r="CQ433" s="648">
        <f t="shared" si="200"/>
        <v>0</v>
      </c>
      <c r="CR433" s="648">
        <f t="shared" si="201"/>
        <v>0</v>
      </c>
      <c r="CS433" s="648">
        <f t="shared" si="202"/>
        <v>0</v>
      </c>
      <c r="CT433" s="648">
        <f t="shared" si="203"/>
        <v>0</v>
      </c>
      <c r="CU433" s="648">
        <f t="shared" si="204"/>
        <v>0</v>
      </c>
      <c r="CV433" s="648">
        <f t="shared" si="205"/>
        <v>0</v>
      </c>
      <c r="CW433" s="648">
        <f t="shared" si="206"/>
        <v>0</v>
      </c>
      <c r="CX433" s="634">
        <v>0</v>
      </c>
      <c r="CY433" s="616"/>
      <c r="CZ433" s="619">
        <f>IF(BN434=0,0,             IF(ISNUMBER(CY433),CY433,             IF(ISTEXT(CY433),INDEX(CP433:CW433,MATCH(CY433,$CP$17:$CW$17,0)),           IF(CX433="INT",_xll.qInterp(BN434,BZ433:CG433,CP433:CW433),       INDEX(CP433:CW433,MATCH(CX433,$CP$17:$CW$17,0))))))</f>
        <v>0</v>
      </c>
      <c r="DA433" s="755">
        <f t="shared" si="207"/>
        <v>0</v>
      </c>
      <c r="DB433" s="387">
        <f t="shared" si="208"/>
        <v>0</v>
      </c>
      <c r="DC433" s="268">
        <f>IF($BN434=0,0,         IF(LEFT(DCC_Leg2_Fixed,2)="1/",uEvaluate(DCC_Leg2_Fixed),         _xll.qDateYears($BN433,$BN434,DCC_Leg2_Fixed)))</f>
        <v>0</v>
      </c>
      <c r="DD433" s="268">
        <f>IF($BN434,_xll.qDateYears($BN433,$BN434,DCC_Leg2_Float),0)</f>
        <v>0</v>
      </c>
      <c r="DF433" s="332">
        <f t="shared" si="223"/>
        <v>0</v>
      </c>
      <c r="DG433" s="357">
        <f t="shared" si="224"/>
        <v>0</v>
      </c>
      <c r="DH433" s="527"/>
      <c r="DJ433" s="324">
        <f t="shared" si="226"/>
        <v>0</v>
      </c>
      <c r="DK433" s="529"/>
      <c r="DL433" s="338"/>
    </row>
    <row r="434" spans="15:116">
      <c r="O434" s="121">
        <v>0</v>
      </c>
      <c r="P434" s="755">
        <f t="shared" si="195"/>
        <v>0</v>
      </c>
      <c r="Q434" s="125">
        <v>0</v>
      </c>
      <c r="R434" s="890">
        <f>IF(O435=0,0,         IF(OR(Currency1="AUD",Currency1="NZD",Currency1="GBP"),O434,   _xll.qDateNext(O434,"-2b",,,IF(Currency1="EUR","TGT","LON"))))</f>
        <v>0</v>
      </c>
      <c r="S434" s="879" t="str">
        <v/>
      </c>
      <c r="T434" s="879" t="str">
        <v/>
      </c>
      <c r="U434" s="879" t="str">
        <v/>
      </c>
      <c r="V434" s="879" t="str">
        <v/>
      </c>
      <c r="W434" s="879" t="str">
        <v/>
      </c>
      <c r="X434" s="879" t="str">
        <v/>
      </c>
      <c r="Y434" s="879" t="str">
        <v/>
      </c>
      <c r="Z434" s="879" t="str">
        <v/>
      </c>
      <c r="AA434" s="882">
        <f>IF($O435=0,0,        _xll.qDateNext($O434,AA$17,$AH$16,TRUE,Currency1))</f>
        <v>0</v>
      </c>
      <c r="AB434" s="882">
        <f>IF($O435=0,0,        _xll.qDateNext($O434,AB$17,$AH$16,TRUE,Currency1))</f>
        <v>0</v>
      </c>
      <c r="AC434" s="882">
        <f>IF($O435=0,0,        _xll.qDateNext($O434,AC$17,$AH$16,TRUE,Currency1))</f>
        <v>0</v>
      </c>
      <c r="AD434" s="882">
        <f>IF($O435=0,0,        _xll.qDateNext($O434,AD$17,$AH$16,TRUE,Currency1))</f>
        <v>0</v>
      </c>
      <c r="AE434" s="882">
        <f>IF($O435=0,0,        _xll.qDateNext($O434,AE$17,$AH$16,TRUE,Currency1))</f>
        <v>0</v>
      </c>
      <c r="AF434" s="882">
        <f>IF($O435=0,0,        _xll.qDateNext($O434,AF$17,$AH$16,TRUE,Currency1))</f>
        <v>0</v>
      </c>
      <c r="AG434" s="882">
        <f>IF($O435=0,0,        _xll.qDateNext($O434,AG$17,$AH$16,TRUE,Currency1))</f>
        <v>0</v>
      </c>
      <c r="AH434" s="882">
        <f>IF($O435=0,0,        _xll.qDateNext($O434,AH$17,$AH$16,TRUE,Currency1))</f>
        <v>0</v>
      </c>
      <c r="AI434" s="886">
        <f>IF($O435=0,0,           IF(FRM,_xll.qGetFwdRate(AI$14,$O434,AA434,"T",DCC_Leg1_Float),_xll.qGetFwdRate(AI$14,$O434,$O435,"T",DCC_Leg1_Float)))</f>
        <v>0</v>
      </c>
      <c r="AJ434" s="886">
        <f>IF($O435=0,0,           IF(FRM,_xll.qGetFwdRate(AJ$14,$O434,AB434,"T",DCC_Leg1_Float),_xll.qGetFwdRate(AJ$14,$O434,$O435,"T",DCC_Leg1_Float)))</f>
        <v>0</v>
      </c>
      <c r="AK434" s="886">
        <f t="shared" si="196"/>
        <v>0</v>
      </c>
      <c r="AL434" s="886">
        <f>IF($O435=0,0,           IF(FRM,_xll.qGetFwdRate(AL$14,$O434,AD434,"T",DCC_Leg1_Float),_xll.qGetFwdRate(AL$14,$O434,$O435,"T",DCC_Leg1_Float)))</f>
        <v>0</v>
      </c>
      <c r="AM434" s="886">
        <f t="shared" si="209"/>
        <v>0</v>
      </c>
      <c r="AN434" s="886">
        <f t="shared" si="210"/>
        <v>0</v>
      </c>
      <c r="AO434" s="886">
        <f>IF($O435=0,0,           IF(FRM,_xll.qGetFwdRate(AO$14,$O434,AG434,"T",DCC_Leg1_Float),_xll.qGetFwdRate(AO$14,$O434,$O435,"T",DCC_Leg1_Float)))</f>
        <v>0</v>
      </c>
      <c r="AP434" s="886">
        <f>IF($O435=0,0,           IF(FRM,_xll.qGetFwdRate(AP$14,$O434,AH434,"T",DCC_Leg1_Float),_xll.qGetFwdRate(AP$14,$O434,$O435,"T",DCC_Leg1_Float)))</f>
        <v>0</v>
      </c>
      <c r="AQ434" s="648">
        <f t="shared" si="211"/>
        <v>0</v>
      </c>
      <c r="AR434" s="648">
        <f t="shared" si="212"/>
        <v>0</v>
      </c>
      <c r="AS434" s="648">
        <f t="shared" si="213"/>
        <v>0</v>
      </c>
      <c r="AT434" s="648">
        <f t="shared" si="214"/>
        <v>0</v>
      </c>
      <c r="AU434" s="648">
        <f t="shared" si="215"/>
        <v>0</v>
      </c>
      <c r="AV434" s="648">
        <f t="shared" si="216"/>
        <v>0</v>
      </c>
      <c r="AW434" s="648">
        <f t="shared" si="217"/>
        <v>0</v>
      </c>
      <c r="AX434" s="648">
        <f t="shared" si="218"/>
        <v>0</v>
      </c>
      <c r="AY434" s="634">
        <v>0</v>
      </c>
      <c r="AZ434" s="616"/>
      <c r="BA434" s="619">
        <f>IF(O435=0,0,             IF(ISNUMBER(AZ434),AZ434,             IF(ISTEXT(AZ434),INDEX(AQ434:AX434,MATCH(AZ434,$AQ$17:$AX$17,0)),           IF(AY434="INT",_xll.qInterp(O435,AA434:AH434,AQ434:AX434),       INDEX(AQ434:AX434,MATCH(AY434,$AQ$17:$AX$17,0))))))</f>
        <v>0</v>
      </c>
      <c r="BB434" s="674">
        <v>100</v>
      </c>
      <c r="BC434" s="666">
        <f t="shared" si="197"/>
        <v>0</v>
      </c>
      <c r="BD434" s="268">
        <f>IF($O435=0,0,                IF(LEFT(DCC_Leg1_Fixed,2)="1/",uEvaluate(DCC_Leg1_Fixed),        _xll.qDateYears($O434,$O435,DCC_Leg1_Fixed)))</f>
        <v>0</v>
      </c>
      <c r="BE434" s="268">
        <f>IF($O435,_xll.qDateYears($O434,$O435,DCC_Leg1_Float),0)</f>
        <v>0</v>
      </c>
      <c r="BG434" s="332">
        <f t="shared" si="219"/>
        <v>0</v>
      </c>
      <c r="BH434" s="357">
        <f t="shared" si="220"/>
        <v>0</v>
      </c>
      <c r="BI434" s="527"/>
      <c r="BK434" s="324">
        <f t="shared" si="225"/>
        <v>0</v>
      </c>
      <c r="BM434" s="338"/>
      <c r="BN434" s="121">
        <v>0</v>
      </c>
      <c r="BO434" s="755">
        <f t="shared" si="198"/>
        <v>0</v>
      </c>
      <c r="BP434" s="339">
        <v>0</v>
      </c>
      <c r="BQ434" s="890">
        <f>IF(BN435=0,0,         IF(OR(Currency2="AUD",Currency1="NZD",Currency2="GBP"),BN434,   _xll.qDateNext(BN434,"-2b",,,IF(Currency2="EUR","TGT","LON"))))</f>
        <v>0</v>
      </c>
      <c r="BR434" s="879" t="str">
        <v/>
      </c>
      <c r="BS434" s="879" t="str">
        <v/>
      </c>
      <c r="BT434" s="879" t="str">
        <v/>
      </c>
      <c r="BU434" s="879" t="str">
        <v/>
      </c>
      <c r="BV434" s="879" t="str">
        <v/>
      </c>
      <c r="BW434" s="879" t="str">
        <v/>
      </c>
      <c r="BX434" s="879" t="str">
        <v/>
      </c>
      <c r="BY434" s="879" t="str">
        <v/>
      </c>
      <c r="BZ434" s="882">
        <f>IF($BN435=0,0,        _xll.qDateNext($BN434,BZ$17,$CG$16,TRUE,Currency2))</f>
        <v>0</v>
      </c>
      <c r="CA434" s="882">
        <f>IF($BN435=0,0,        _xll.qDateNext($BN434,CA$17,$CG$16,TRUE,Currency2))</f>
        <v>0</v>
      </c>
      <c r="CB434" s="882">
        <f>IF($BN435=0,0,        _xll.qDateNext($BN434,CB$17,$CG$16,TRUE,Currency2))</f>
        <v>0</v>
      </c>
      <c r="CC434" s="882">
        <f>IF($BN435=0,0,        _xll.qDateNext($BN434,CC$17,$CG$16,TRUE,Currency2))</f>
        <v>0</v>
      </c>
      <c r="CD434" s="882">
        <f>IF($BN435=0,0,        _xll.qDateNext($BN434,CD$17,$CG$16,TRUE,Currency2))</f>
        <v>0</v>
      </c>
      <c r="CE434" s="882">
        <f>IF($BN435=0,0,        _xll.qDateNext($BN434,CE$17,$CG$16,TRUE,Currency2))</f>
        <v>0</v>
      </c>
      <c r="CF434" s="882">
        <f>IF($BN435=0,0,        _xll.qDateNext($BN434,CF$17,$CG$16,TRUE,Currency2))</f>
        <v>0</v>
      </c>
      <c r="CG434" s="882">
        <f>IF($BN435=0,0,        _xll.qDateNext($BN434,CG$17,$CG$16,TRUE,Currency2))</f>
        <v>0</v>
      </c>
      <c r="CH434" s="886">
        <v>0</v>
      </c>
      <c r="CI434" s="886">
        <v>0</v>
      </c>
      <c r="CJ434" s="886">
        <v>0</v>
      </c>
      <c r="CK434" s="886">
        <v>0</v>
      </c>
      <c r="CL434" s="886">
        <f t="shared" si="221"/>
        <v>0</v>
      </c>
      <c r="CM434" s="886">
        <f t="shared" si="222"/>
        <v>0</v>
      </c>
      <c r="CN434" s="886">
        <v>0</v>
      </c>
      <c r="CO434" s="886">
        <v>0</v>
      </c>
      <c r="CP434" s="648">
        <f t="shared" si="199"/>
        <v>0</v>
      </c>
      <c r="CQ434" s="648">
        <f t="shared" si="200"/>
        <v>0</v>
      </c>
      <c r="CR434" s="648">
        <f t="shared" si="201"/>
        <v>0</v>
      </c>
      <c r="CS434" s="648">
        <f t="shared" si="202"/>
        <v>0</v>
      </c>
      <c r="CT434" s="648">
        <f t="shared" si="203"/>
        <v>0</v>
      </c>
      <c r="CU434" s="648">
        <f t="shared" si="204"/>
        <v>0</v>
      </c>
      <c r="CV434" s="648">
        <f t="shared" si="205"/>
        <v>0</v>
      </c>
      <c r="CW434" s="648">
        <f t="shared" si="206"/>
        <v>0</v>
      </c>
      <c r="CX434" s="634">
        <v>0</v>
      </c>
      <c r="CY434" s="616"/>
      <c r="CZ434" s="619">
        <f>IF(BN435=0,0,             IF(ISNUMBER(CY434),CY434,             IF(ISTEXT(CY434),INDEX(CP434:CW434,MATCH(CY434,$CP$17:$CW$17,0)),           IF(CX434="INT",_xll.qInterp(BN435,BZ434:CG434,CP434:CW434),       INDEX(CP434:CW434,MATCH(CX434,$CP$17:$CW$17,0))))))</f>
        <v>0</v>
      </c>
      <c r="DA434" s="755">
        <f t="shared" si="207"/>
        <v>0</v>
      </c>
      <c r="DB434" s="387">
        <f t="shared" si="208"/>
        <v>0</v>
      </c>
      <c r="DC434" s="268">
        <f>IF($BN435=0,0,         IF(LEFT(DCC_Leg2_Fixed,2)="1/",uEvaluate(DCC_Leg2_Fixed),         _xll.qDateYears($BN434,$BN435,DCC_Leg2_Fixed)))</f>
        <v>0</v>
      </c>
      <c r="DD434" s="268">
        <f>IF($BN435,_xll.qDateYears($BN434,$BN435,DCC_Leg2_Float),0)</f>
        <v>0</v>
      </c>
      <c r="DF434" s="332">
        <f t="shared" si="223"/>
        <v>0</v>
      </c>
      <c r="DG434" s="357">
        <f t="shared" si="224"/>
        <v>0</v>
      </c>
      <c r="DH434" s="527"/>
      <c r="DJ434" s="324">
        <f t="shared" si="226"/>
        <v>0</v>
      </c>
      <c r="DK434" s="529"/>
      <c r="DL434" s="338"/>
    </row>
    <row r="435" spans="15:116">
      <c r="O435" s="121">
        <v>0</v>
      </c>
      <c r="P435" s="755">
        <f t="shared" si="195"/>
        <v>0</v>
      </c>
      <c r="Q435" s="125">
        <v>0</v>
      </c>
      <c r="R435" s="890">
        <f>IF(O436=0,0,         IF(OR(Currency1="AUD",Currency1="NZD",Currency1="GBP"),O435,   _xll.qDateNext(O435,"-2b",,,IF(Currency1="EUR","TGT","LON"))))</f>
        <v>0</v>
      </c>
      <c r="S435" s="879" t="str">
        <v/>
      </c>
      <c r="T435" s="879" t="str">
        <v/>
      </c>
      <c r="U435" s="879" t="str">
        <v/>
      </c>
      <c r="V435" s="879" t="str">
        <v/>
      </c>
      <c r="W435" s="879" t="str">
        <v/>
      </c>
      <c r="X435" s="879" t="str">
        <v/>
      </c>
      <c r="Y435" s="879" t="str">
        <v/>
      </c>
      <c r="Z435" s="879" t="str">
        <v/>
      </c>
      <c r="AA435" s="882">
        <f>IF($O436=0,0,        _xll.qDateNext($O435,AA$17,$AH$16,TRUE,Currency1))</f>
        <v>0</v>
      </c>
      <c r="AB435" s="882">
        <f>IF($O436=0,0,        _xll.qDateNext($O435,AB$17,$AH$16,TRUE,Currency1))</f>
        <v>0</v>
      </c>
      <c r="AC435" s="882">
        <f>IF($O436=0,0,        _xll.qDateNext($O435,AC$17,$AH$16,TRUE,Currency1))</f>
        <v>0</v>
      </c>
      <c r="AD435" s="882">
        <f>IF($O436=0,0,        _xll.qDateNext($O435,AD$17,$AH$16,TRUE,Currency1))</f>
        <v>0</v>
      </c>
      <c r="AE435" s="882">
        <f>IF($O436=0,0,        _xll.qDateNext($O435,AE$17,$AH$16,TRUE,Currency1))</f>
        <v>0</v>
      </c>
      <c r="AF435" s="882">
        <f>IF($O436=0,0,        _xll.qDateNext($O435,AF$17,$AH$16,TRUE,Currency1))</f>
        <v>0</v>
      </c>
      <c r="AG435" s="882">
        <f>IF($O436=0,0,        _xll.qDateNext($O435,AG$17,$AH$16,TRUE,Currency1))</f>
        <v>0</v>
      </c>
      <c r="AH435" s="882">
        <f>IF($O436=0,0,        _xll.qDateNext($O435,AH$17,$AH$16,TRUE,Currency1))</f>
        <v>0</v>
      </c>
      <c r="AI435" s="886">
        <f>IF($O436=0,0,           IF(FRM,_xll.qGetFwdRate(AI$14,$O435,AA435,"T",DCC_Leg1_Float),_xll.qGetFwdRate(AI$14,$O435,$O436,"T",DCC_Leg1_Float)))</f>
        <v>0</v>
      </c>
      <c r="AJ435" s="886">
        <f>IF($O436=0,0,           IF(FRM,_xll.qGetFwdRate(AJ$14,$O435,AB435,"T",DCC_Leg1_Float),_xll.qGetFwdRate(AJ$14,$O435,$O436,"T",DCC_Leg1_Float)))</f>
        <v>0</v>
      </c>
      <c r="AK435" s="886">
        <f t="shared" si="196"/>
        <v>0</v>
      </c>
      <c r="AL435" s="886">
        <f>IF($O436=0,0,           IF(FRM,_xll.qGetFwdRate(AL$14,$O435,AD435,"T",DCC_Leg1_Float),_xll.qGetFwdRate(AL$14,$O435,$O436,"T",DCC_Leg1_Float)))</f>
        <v>0</v>
      </c>
      <c r="AM435" s="886">
        <f t="shared" si="209"/>
        <v>0</v>
      </c>
      <c r="AN435" s="886">
        <f t="shared" si="210"/>
        <v>0</v>
      </c>
      <c r="AO435" s="886">
        <f>IF($O436=0,0,           IF(FRM,_xll.qGetFwdRate(AO$14,$O435,AG435,"T",DCC_Leg1_Float),_xll.qGetFwdRate(AO$14,$O435,$O436,"T",DCC_Leg1_Float)))</f>
        <v>0</v>
      </c>
      <c r="AP435" s="886">
        <f>IF($O436=0,0,           IF(FRM,_xll.qGetFwdRate(AP$14,$O435,AH435,"T",DCC_Leg1_Float),_xll.qGetFwdRate(AP$14,$O435,$O436,"T",DCC_Leg1_Float)))</f>
        <v>0</v>
      </c>
      <c r="AQ435" s="648">
        <f t="shared" si="211"/>
        <v>0</v>
      </c>
      <c r="AR435" s="648">
        <f t="shared" si="212"/>
        <v>0</v>
      </c>
      <c r="AS435" s="648">
        <f t="shared" si="213"/>
        <v>0</v>
      </c>
      <c r="AT435" s="648">
        <f t="shared" si="214"/>
        <v>0</v>
      </c>
      <c r="AU435" s="648">
        <f t="shared" si="215"/>
        <v>0</v>
      </c>
      <c r="AV435" s="648">
        <f t="shared" si="216"/>
        <v>0</v>
      </c>
      <c r="AW435" s="648">
        <f t="shared" si="217"/>
        <v>0</v>
      </c>
      <c r="AX435" s="648">
        <f t="shared" si="218"/>
        <v>0</v>
      </c>
      <c r="AY435" s="634">
        <v>0</v>
      </c>
      <c r="AZ435" s="616"/>
      <c r="BA435" s="619">
        <f>IF(O436=0,0,             IF(ISNUMBER(AZ435),AZ435,             IF(ISTEXT(AZ435),INDEX(AQ435:AX435,MATCH(AZ435,$AQ$17:$AX$17,0)),           IF(AY435="INT",_xll.qInterp(O436,AA435:AH435,AQ435:AX435),       INDEX(AQ435:AX435,MATCH(AY435,$AQ$17:$AX$17,0))))))</f>
        <v>0</v>
      </c>
      <c r="BB435" s="674">
        <v>100</v>
      </c>
      <c r="BC435" s="666">
        <f t="shared" si="197"/>
        <v>0</v>
      </c>
      <c r="BD435" s="268">
        <f>IF($O436=0,0,                IF(LEFT(DCC_Leg1_Fixed,2)="1/",uEvaluate(DCC_Leg1_Fixed),        _xll.qDateYears($O435,$O436,DCC_Leg1_Fixed)))</f>
        <v>0</v>
      </c>
      <c r="BE435" s="268">
        <f>IF($O436,_xll.qDateYears($O435,$O436,DCC_Leg1_Float),0)</f>
        <v>0</v>
      </c>
      <c r="BG435" s="332">
        <f t="shared" si="219"/>
        <v>0</v>
      </c>
      <c r="BH435" s="357">
        <f t="shared" si="220"/>
        <v>0</v>
      </c>
      <c r="BI435" s="527"/>
      <c r="BK435" s="324">
        <f t="shared" si="225"/>
        <v>0</v>
      </c>
      <c r="BM435" s="338"/>
      <c r="BN435" s="121">
        <v>0</v>
      </c>
      <c r="BO435" s="755">
        <f t="shared" si="198"/>
        <v>0</v>
      </c>
      <c r="BP435" s="339">
        <v>0</v>
      </c>
      <c r="BQ435" s="890">
        <f>IF(BN436=0,0,         IF(OR(Currency2="AUD",Currency1="NZD",Currency2="GBP"),BN435,   _xll.qDateNext(BN435,"-2b",,,IF(Currency2="EUR","TGT","LON"))))</f>
        <v>0</v>
      </c>
      <c r="BR435" s="879" t="str">
        <v/>
      </c>
      <c r="BS435" s="879" t="str">
        <v/>
      </c>
      <c r="BT435" s="879" t="str">
        <v/>
      </c>
      <c r="BU435" s="879" t="str">
        <v/>
      </c>
      <c r="BV435" s="879" t="str">
        <v/>
      </c>
      <c r="BW435" s="879" t="str">
        <v/>
      </c>
      <c r="BX435" s="879" t="str">
        <v/>
      </c>
      <c r="BY435" s="879" t="str">
        <v/>
      </c>
      <c r="BZ435" s="882">
        <f>IF($BN436=0,0,        _xll.qDateNext($BN435,BZ$17,$CG$16,TRUE,Currency2))</f>
        <v>0</v>
      </c>
      <c r="CA435" s="882">
        <f>IF($BN436=0,0,        _xll.qDateNext($BN435,CA$17,$CG$16,TRUE,Currency2))</f>
        <v>0</v>
      </c>
      <c r="CB435" s="882">
        <f>IF($BN436=0,0,        _xll.qDateNext($BN435,CB$17,$CG$16,TRUE,Currency2))</f>
        <v>0</v>
      </c>
      <c r="CC435" s="882">
        <f>IF($BN436=0,0,        _xll.qDateNext($BN435,CC$17,$CG$16,TRUE,Currency2))</f>
        <v>0</v>
      </c>
      <c r="CD435" s="882">
        <f>IF($BN436=0,0,        _xll.qDateNext($BN435,CD$17,$CG$16,TRUE,Currency2))</f>
        <v>0</v>
      </c>
      <c r="CE435" s="882">
        <f>IF($BN436=0,0,        _xll.qDateNext($BN435,CE$17,$CG$16,TRUE,Currency2))</f>
        <v>0</v>
      </c>
      <c r="CF435" s="882">
        <f>IF($BN436=0,0,        _xll.qDateNext($BN435,CF$17,$CG$16,TRUE,Currency2))</f>
        <v>0</v>
      </c>
      <c r="CG435" s="882">
        <f>IF($BN436=0,0,        _xll.qDateNext($BN435,CG$17,$CG$16,TRUE,Currency2))</f>
        <v>0</v>
      </c>
      <c r="CH435" s="886">
        <v>0</v>
      </c>
      <c r="CI435" s="886">
        <v>0</v>
      </c>
      <c r="CJ435" s="886">
        <v>0</v>
      </c>
      <c r="CK435" s="886">
        <v>0</v>
      </c>
      <c r="CL435" s="886">
        <f t="shared" si="221"/>
        <v>0</v>
      </c>
      <c r="CM435" s="886">
        <f t="shared" si="222"/>
        <v>0</v>
      </c>
      <c r="CN435" s="886">
        <v>0</v>
      </c>
      <c r="CO435" s="886">
        <v>0</v>
      </c>
      <c r="CP435" s="648">
        <f t="shared" si="199"/>
        <v>0</v>
      </c>
      <c r="CQ435" s="648">
        <f t="shared" si="200"/>
        <v>0</v>
      </c>
      <c r="CR435" s="648">
        <f t="shared" si="201"/>
        <v>0</v>
      </c>
      <c r="CS435" s="648">
        <f t="shared" si="202"/>
        <v>0</v>
      </c>
      <c r="CT435" s="648">
        <f t="shared" si="203"/>
        <v>0</v>
      </c>
      <c r="CU435" s="648">
        <f t="shared" si="204"/>
        <v>0</v>
      </c>
      <c r="CV435" s="648">
        <f t="shared" si="205"/>
        <v>0</v>
      </c>
      <c r="CW435" s="648">
        <f t="shared" si="206"/>
        <v>0</v>
      </c>
      <c r="CX435" s="634">
        <v>0</v>
      </c>
      <c r="CY435" s="616"/>
      <c r="CZ435" s="619">
        <f>IF(BN436=0,0,             IF(ISNUMBER(CY435),CY435,             IF(ISTEXT(CY435),INDEX(CP435:CW435,MATCH(CY435,$CP$17:$CW$17,0)),           IF(CX435="INT",_xll.qInterp(BN436,BZ435:CG435,CP435:CW435),       INDEX(CP435:CW435,MATCH(CX435,$CP$17:$CW$17,0))))))</f>
        <v>0</v>
      </c>
      <c r="DA435" s="755">
        <f t="shared" si="207"/>
        <v>0</v>
      </c>
      <c r="DB435" s="387">
        <f t="shared" si="208"/>
        <v>0</v>
      </c>
      <c r="DC435" s="268">
        <f>IF($BN436=0,0,         IF(LEFT(DCC_Leg2_Fixed,2)="1/",uEvaluate(DCC_Leg2_Fixed),         _xll.qDateYears($BN435,$BN436,DCC_Leg2_Fixed)))</f>
        <v>0</v>
      </c>
      <c r="DD435" s="268">
        <f>IF($BN436,_xll.qDateYears($BN435,$BN436,DCC_Leg2_Float),0)</f>
        <v>0</v>
      </c>
      <c r="DF435" s="332">
        <f t="shared" si="223"/>
        <v>0</v>
      </c>
      <c r="DG435" s="357">
        <f t="shared" si="224"/>
        <v>0</v>
      </c>
      <c r="DH435" s="527"/>
      <c r="DJ435" s="324">
        <f t="shared" si="226"/>
        <v>0</v>
      </c>
      <c r="DK435" s="529"/>
      <c r="DL435" s="338"/>
    </row>
    <row r="436" spans="15:116">
      <c r="O436" s="121">
        <v>0</v>
      </c>
      <c r="P436" s="755">
        <f t="shared" si="195"/>
        <v>0</v>
      </c>
      <c r="Q436" s="125">
        <v>0</v>
      </c>
      <c r="R436" s="890">
        <f>IF(O437=0,0,         IF(OR(Currency1="AUD",Currency1="NZD",Currency1="GBP"),O436,   _xll.qDateNext(O436,"-2b",,,IF(Currency1="EUR","TGT","LON"))))</f>
        <v>0</v>
      </c>
      <c r="S436" s="879" t="str">
        <v/>
      </c>
      <c r="T436" s="879" t="str">
        <v/>
      </c>
      <c r="U436" s="879" t="str">
        <v/>
      </c>
      <c r="V436" s="879" t="str">
        <v/>
      </c>
      <c r="W436" s="879" t="str">
        <v/>
      </c>
      <c r="X436" s="879" t="str">
        <v/>
      </c>
      <c r="Y436" s="879" t="str">
        <v/>
      </c>
      <c r="Z436" s="879" t="str">
        <v/>
      </c>
      <c r="AA436" s="882">
        <f>IF($O437=0,0,        _xll.qDateNext($O436,AA$17,$AH$16,TRUE,Currency1))</f>
        <v>0</v>
      </c>
      <c r="AB436" s="882">
        <f>IF($O437=0,0,        _xll.qDateNext($O436,AB$17,$AH$16,TRUE,Currency1))</f>
        <v>0</v>
      </c>
      <c r="AC436" s="882">
        <f>IF($O437=0,0,        _xll.qDateNext($O436,AC$17,$AH$16,TRUE,Currency1))</f>
        <v>0</v>
      </c>
      <c r="AD436" s="882">
        <f>IF($O437=0,0,        _xll.qDateNext($O436,AD$17,$AH$16,TRUE,Currency1))</f>
        <v>0</v>
      </c>
      <c r="AE436" s="882">
        <f>IF($O437=0,0,        _xll.qDateNext($O436,AE$17,$AH$16,TRUE,Currency1))</f>
        <v>0</v>
      </c>
      <c r="AF436" s="882">
        <f>IF($O437=0,0,        _xll.qDateNext($O436,AF$17,$AH$16,TRUE,Currency1))</f>
        <v>0</v>
      </c>
      <c r="AG436" s="882">
        <f>IF($O437=0,0,        _xll.qDateNext($O436,AG$17,$AH$16,TRUE,Currency1))</f>
        <v>0</v>
      </c>
      <c r="AH436" s="882">
        <f>IF($O437=0,0,        _xll.qDateNext($O436,AH$17,$AH$16,TRUE,Currency1))</f>
        <v>0</v>
      </c>
      <c r="AI436" s="886">
        <f>IF($O437=0,0,           IF(FRM,_xll.qGetFwdRate(AI$14,$O436,AA436,"T",DCC_Leg1_Float),_xll.qGetFwdRate(AI$14,$O436,$O437,"T",DCC_Leg1_Float)))</f>
        <v>0</v>
      </c>
      <c r="AJ436" s="886">
        <f>IF($O437=0,0,           IF(FRM,_xll.qGetFwdRate(AJ$14,$O436,AB436,"T",DCC_Leg1_Float),_xll.qGetFwdRate(AJ$14,$O436,$O437,"T",DCC_Leg1_Float)))</f>
        <v>0</v>
      </c>
      <c r="AK436" s="886">
        <f t="shared" si="196"/>
        <v>0</v>
      </c>
      <c r="AL436" s="886">
        <f>IF($O437=0,0,           IF(FRM,_xll.qGetFwdRate(AL$14,$O436,AD436,"T",DCC_Leg1_Float),_xll.qGetFwdRate(AL$14,$O436,$O437,"T",DCC_Leg1_Float)))</f>
        <v>0</v>
      </c>
      <c r="AM436" s="886">
        <f t="shared" si="209"/>
        <v>0</v>
      </c>
      <c r="AN436" s="886">
        <f t="shared" si="210"/>
        <v>0</v>
      </c>
      <c r="AO436" s="886">
        <f>IF($O437=0,0,           IF(FRM,_xll.qGetFwdRate(AO$14,$O436,AG436,"T",DCC_Leg1_Float),_xll.qGetFwdRate(AO$14,$O436,$O437,"T",DCC_Leg1_Float)))</f>
        <v>0</v>
      </c>
      <c r="AP436" s="886">
        <f>IF($O437=0,0,           IF(FRM,_xll.qGetFwdRate(AP$14,$O436,AH436,"T",DCC_Leg1_Float),_xll.qGetFwdRate(AP$14,$O436,$O437,"T",DCC_Leg1_Float)))</f>
        <v>0</v>
      </c>
      <c r="AQ436" s="648">
        <f t="shared" si="211"/>
        <v>0</v>
      </c>
      <c r="AR436" s="648">
        <f t="shared" si="212"/>
        <v>0</v>
      </c>
      <c r="AS436" s="648">
        <f t="shared" si="213"/>
        <v>0</v>
      </c>
      <c r="AT436" s="648">
        <f t="shared" si="214"/>
        <v>0</v>
      </c>
      <c r="AU436" s="648">
        <f t="shared" si="215"/>
        <v>0</v>
      </c>
      <c r="AV436" s="648">
        <f t="shared" si="216"/>
        <v>0</v>
      </c>
      <c r="AW436" s="648">
        <f t="shared" si="217"/>
        <v>0</v>
      </c>
      <c r="AX436" s="648">
        <f t="shared" si="218"/>
        <v>0</v>
      </c>
      <c r="AY436" s="634">
        <v>0</v>
      </c>
      <c r="AZ436" s="616"/>
      <c r="BA436" s="619">
        <f>IF(O437=0,0,             IF(ISNUMBER(AZ436),AZ436,             IF(ISTEXT(AZ436),INDEX(AQ436:AX436,MATCH(AZ436,$AQ$17:$AX$17,0)),           IF(AY436="INT",_xll.qInterp(O437,AA436:AH436,AQ436:AX436),       INDEX(AQ436:AX436,MATCH(AY436,$AQ$17:$AX$17,0))))))</f>
        <v>0</v>
      </c>
      <c r="BB436" s="674">
        <v>100</v>
      </c>
      <c r="BC436" s="666">
        <f t="shared" si="197"/>
        <v>0</v>
      </c>
      <c r="BD436" s="268">
        <f>IF($O437=0,0,                IF(LEFT(DCC_Leg1_Fixed,2)="1/",uEvaluate(DCC_Leg1_Fixed),        _xll.qDateYears($O436,$O437,DCC_Leg1_Fixed)))</f>
        <v>0</v>
      </c>
      <c r="BE436" s="268">
        <f>IF($O437,_xll.qDateYears($O436,$O437,DCC_Leg1_Float),0)</f>
        <v>0</v>
      </c>
      <c r="BG436" s="332">
        <f t="shared" si="219"/>
        <v>0</v>
      </c>
      <c r="BH436" s="357">
        <f t="shared" si="220"/>
        <v>0</v>
      </c>
      <c r="BI436" s="527"/>
      <c r="BK436" s="324">
        <f t="shared" si="225"/>
        <v>0</v>
      </c>
      <c r="BM436" s="338"/>
      <c r="BN436" s="121">
        <v>0</v>
      </c>
      <c r="BO436" s="755">
        <f t="shared" si="198"/>
        <v>0</v>
      </c>
      <c r="BP436" s="339">
        <v>0</v>
      </c>
      <c r="BQ436" s="890">
        <f>IF(BN437=0,0,         IF(OR(Currency2="AUD",Currency1="NZD",Currency2="GBP"),BN436,   _xll.qDateNext(BN436,"-2b",,,IF(Currency2="EUR","TGT","LON"))))</f>
        <v>0</v>
      </c>
      <c r="BR436" s="879" t="str">
        <v/>
      </c>
      <c r="BS436" s="879" t="str">
        <v/>
      </c>
      <c r="BT436" s="879" t="str">
        <v/>
      </c>
      <c r="BU436" s="879" t="str">
        <v/>
      </c>
      <c r="BV436" s="879" t="str">
        <v/>
      </c>
      <c r="BW436" s="879" t="str">
        <v/>
      </c>
      <c r="BX436" s="879" t="str">
        <v/>
      </c>
      <c r="BY436" s="879" t="str">
        <v/>
      </c>
      <c r="BZ436" s="882">
        <f>IF($BN437=0,0,        _xll.qDateNext($BN436,BZ$17,$CG$16,TRUE,Currency2))</f>
        <v>0</v>
      </c>
      <c r="CA436" s="882">
        <f>IF($BN437=0,0,        _xll.qDateNext($BN436,CA$17,$CG$16,TRUE,Currency2))</f>
        <v>0</v>
      </c>
      <c r="CB436" s="882">
        <f>IF($BN437=0,0,        _xll.qDateNext($BN436,CB$17,$CG$16,TRUE,Currency2))</f>
        <v>0</v>
      </c>
      <c r="CC436" s="882">
        <f>IF($BN437=0,0,        _xll.qDateNext($BN436,CC$17,$CG$16,TRUE,Currency2))</f>
        <v>0</v>
      </c>
      <c r="CD436" s="882">
        <f>IF($BN437=0,0,        _xll.qDateNext($BN436,CD$17,$CG$16,TRUE,Currency2))</f>
        <v>0</v>
      </c>
      <c r="CE436" s="882">
        <f>IF($BN437=0,0,        _xll.qDateNext($BN436,CE$17,$CG$16,TRUE,Currency2))</f>
        <v>0</v>
      </c>
      <c r="CF436" s="882">
        <f>IF($BN437=0,0,        _xll.qDateNext($BN436,CF$17,$CG$16,TRUE,Currency2))</f>
        <v>0</v>
      </c>
      <c r="CG436" s="882">
        <f>IF($BN437=0,0,        _xll.qDateNext($BN436,CG$17,$CG$16,TRUE,Currency2))</f>
        <v>0</v>
      </c>
      <c r="CH436" s="886">
        <v>0</v>
      </c>
      <c r="CI436" s="886">
        <v>0</v>
      </c>
      <c r="CJ436" s="886">
        <v>0</v>
      </c>
      <c r="CK436" s="886">
        <v>0</v>
      </c>
      <c r="CL436" s="886">
        <f t="shared" si="221"/>
        <v>0</v>
      </c>
      <c r="CM436" s="886">
        <f t="shared" si="222"/>
        <v>0</v>
      </c>
      <c r="CN436" s="886">
        <v>0</v>
      </c>
      <c r="CO436" s="886">
        <v>0</v>
      </c>
      <c r="CP436" s="648">
        <f t="shared" si="199"/>
        <v>0</v>
      </c>
      <c r="CQ436" s="648">
        <f t="shared" si="200"/>
        <v>0</v>
      </c>
      <c r="CR436" s="648">
        <f t="shared" si="201"/>
        <v>0</v>
      </c>
      <c r="CS436" s="648">
        <f t="shared" si="202"/>
        <v>0</v>
      </c>
      <c r="CT436" s="648">
        <f t="shared" si="203"/>
        <v>0</v>
      </c>
      <c r="CU436" s="648">
        <f t="shared" si="204"/>
        <v>0</v>
      </c>
      <c r="CV436" s="648">
        <f t="shared" si="205"/>
        <v>0</v>
      </c>
      <c r="CW436" s="648">
        <f t="shared" si="206"/>
        <v>0</v>
      </c>
      <c r="CX436" s="634">
        <v>0</v>
      </c>
      <c r="CY436" s="616"/>
      <c r="CZ436" s="619">
        <f>IF(BN437=0,0,             IF(ISNUMBER(CY436),CY436,             IF(ISTEXT(CY436),INDEX(CP436:CW436,MATCH(CY436,$CP$17:$CW$17,0)),           IF(CX436="INT",_xll.qInterp(BN437,BZ436:CG436,CP436:CW436),       INDEX(CP436:CW436,MATCH(CX436,$CP$17:$CW$17,0))))))</f>
        <v>0</v>
      </c>
      <c r="DA436" s="755">
        <f t="shared" si="207"/>
        <v>0</v>
      </c>
      <c r="DB436" s="387">
        <f t="shared" si="208"/>
        <v>0</v>
      </c>
      <c r="DC436" s="268">
        <f>IF($BN437=0,0,         IF(LEFT(DCC_Leg2_Fixed,2)="1/",uEvaluate(DCC_Leg2_Fixed),         _xll.qDateYears($BN436,$BN437,DCC_Leg2_Fixed)))</f>
        <v>0</v>
      </c>
      <c r="DD436" s="268">
        <f>IF($BN437,_xll.qDateYears($BN436,$BN437,DCC_Leg2_Float),0)</f>
        <v>0</v>
      </c>
      <c r="DF436" s="332">
        <f t="shared" si="223"/>
        <v>0</v>
      </c>
      <c r="DG436" s="357">
        <f t="shared" si="224"/>
        <v>0</v>
      </c>
      <c r="DH436" s="527"/>
      <c r="DJ436" s="324">
        <f t="shared" si="226"/>
        <v>0</v>
      </c>
      <c r="DK436" s="529"/>
      <c r="DL436" s="338"/>
    </row>
    <row r="437" spans="15:116">
      <c r="O437" s="121">
        <v>0</v>
      </c>
      <c r="P437" s="755">
        <f t="shared" si="195"/>
        <v>0</v>
      </c>
      <c r="Q437" s="125">
        <v>0</v>
      </c>
      <c r="R437" s="890">
        <f>IF(O438=0,0,         IF(OR(Currency1="AUD",Currency1="NZD",Currency1="GBP"),O437,   _xll.qDateNext(O437,"-2b",,,IF(Currency1="EUR","TGT","LON"))))</f>
        <v>0</v>
      </c>
      <c r="S437" s="879" t="str">
        <v/>
      </c>
      <c r="T437" s="879" t="str">
        <v/>
      </c>
      <c r="U437" s="879" t="str">
        <v/>
      </c>
      <c r="V437" s="879" t="str">
        <v/>
      </c>
      <c r="W437" s="879" t="str">
        <v/>
      </c>
      <c r="X437" s="879" t="str">
        <v/>
      </c>
      <c r="Y437" s="879" t="str">
        <v/>
      </c>
      <c r="Z437" s="879" t="str">
        <v/>
      </c>
      <c r="AA437" s="882">
        <f>IF($O438=0,0,        _xll.qDateNext($O437,AA$17,$AH$16,TRUE,Currency1))</f>
        <v>0</v>
      </c>
      <c r="AB437" s="882">
        <f>IF($O438=0,0,        _xll.qDateNext($O437,AB$17,$AH$16,TRUE,Currency1))</f>
        <v>0</v>
      </c>
      <c r="AC437" s="882">
        <f>IF($O438=0,0,        _xll.qDateNext($O437,AC$17,$AH$16,TRUE,Currency1))</f>
        <v>0</v>
      </c>
      <c r="AD437" s="882">
        <f>IF($O438=0,0,        _xll.qDateNext($O437,AD$17,$AH$16,TRUE,Currency1))</f>
        <v>0</v>
      </c>
      <c r="AE437" s="882">
        <f>IF($O438=0,0,        _xll.qDateNext($O437,AE$17,$AH$16,TRUE,Currency1))</f>
        <v>0</v>
      </c>
      <c r="AF437" s="882">
        <f>IF($O438=0,0,        _xll.qDateNext($O437,AF$17,$AH$16,TRUE,Currency1))</f>
        <v>0</v>
      </c>
      <c r="AG437" s="882">
        <f>IF($O438=0,0,        _xll.qDateNext($O437,AG$17,$AH$16,TRUE,Currency1))</f>
        <v>0</v>
      </c>
      <c r="AH437" s="882">
        <f>IF($O438=0,0,        _xll.qDateNext($O437,AH$17,$AH$16,TRUE,Currency1))</f>
        <v>0</v>
      </c>
      <c r="AI437" s="886">
        <f>IF($O438=0,0,           IF(FRM,_xll.qGetFwdRate(AI$14,$O437,AA437,"T",DCC_Leg1_Float),_xll.qGetFwdRate(AI$14,$O437,$O438,"T",DCC_Leg1_Float)))</f>
        <v>0</v>
      </c>
      <c r="AJ437" s="886">
        <f>IF($O438=0,0,           IF(FRM,_xll.qGetFwdRate(AJ$14,$O437,AB437,"T",DCC_Leg1_Float),_xll.qGetFwdRate(AJ$14,$O437,$O438,"T",DCC_Leg1_Float)))</f>
        <v>0</v>
      </c>
      <c r="AK437" s="886">
        <f t="shared" si="196"/>
        <v>0</v>
      </c>
      <c r="AL437" s="886">
        <f>IF($O438=0,0,           IF(FRM,_xll.qGetFwdRate(AL$14,$O437,AD437,"T",DCC_Leg1_Float),_xll.qGetFwdRate(AL$14,$O437,$O438,"T",DCC_Leg1_Float)))</f>
        <v>0</v>
      </c>
      <c r="AM437" s="886">
        <f t="shared" si="209"/>
        <v>0</v>
      </c>
      <c r="AN437" s="886">
        <f t="shared" si="210"/>
        <v>0</v>
      </c>
      <c r="AO437" s="886">
        <f>IF($O438=0,0,           IF(FRM,_xll.qGetFwdRate(AO$14,$O437,AG437,"T",DCC_Leg1_Float),_xll.qGetFwdRate(AO$14,$O437,$O438,"T",DCC_Leg1_Float)))</f>
        <v>0</v>
      </c>
      <c r="AP437" s="886">
        <f>IF($O438=0,0,           IF(FRM,_xll.qGetFwdRate(AP$14,$O437,AH437,"T",DCC_Leg1_Float),_xll.qGetFwdRate(AP$14,$O437,$O438,"T",DCC_Leg1_Float)))</f>
        <v>0</v>
      </c>
      <c r="AQ437" s="648">
        <f t="shared" si="211"/>
        <v>0</v>
      </c>
      <c r="AR437" s="648">
        <f t="shared" si="212"/>
        <v>0</v>
      </c>
      <c r="AS437" s="648">
        <f t="shared" si="213"/>
        <v>0</v>
      </c>
      <c r="AT437" s="648">
        <f t="shared" si="214"/>
        <v>0</v>
      </c>
      <c r="AU437" s="648">
        <f t="shared" si="215"/>
        <v>0</v>
      </c>
      <c r="AV437" s="648">
        <f t="shared" si="216"/>
        <v>0</v>
      </c>
      <c r="AW437" s="648">
        <f t="shared" si="217"/>
        <v>0</v>
      </c>
      <c r="AX437" s="648">
        <f t="shared" si="218"/>
        <v>0</v>
      </c>
      <c r="AY437" s="634">
        <v>0</v>
      </c>
      <c r="AZ437" s="616"/>
      <c r="BA437" s="619">
        <f>IF(O438=0,0,             IF(ISNUMBER(AZ437),AZ437,             IF(ISTEXT(AZ437),INDEX(AQ437:AX437,MATCH(AZ437,$AQ$17:$AX$17,0)),           IF(AY437="INT",_xll.qInterp(O438,AA437:AH437,AQ437:AX437),       INDEX(AQ437:AX437,MATCH(AY437,$AQ$17:$AX$17,0))))))</f>
        <v>0</v>
      </c>
      <c r="BB437" s="674">
        <v>100</v>
      </c>
      <c r="BC437" s="666">
        <f t="shared" si="197"/>
        <v>0</v>
      </c>
      <c r="BD437" s="268">
        <f>IF($O438=0,0,                IF(LEFT(DCC_Leg1_Fixed,2)="1/",uEvaluate(DCC_Leg1_Fixed),        _xll.qDateYears($O437,$O438,DCC_Leg1_Fixed)))</f>
        <v>0</v>
      </c>
      <c r="BE437" s="268">
        <f>IF($O438,_xll.qDateYears($O437,$O438,DCC_Leg1_Float),0)</f>
        <v>0</v>
      </c>
      <c r="BG437" s="332">
        <f t="shared" si="219"/>
        <v>0</v>
      </c>
      <c r="BH437" s="357">
        <f t="shared" si="220"/>
        <v>0</v>
      </c>
      <c r="BI437" s="527"/>
      <c r="BK437" s="324">
        <f t="shared" si="225"/>
        <v>0</v>
      </c>
      <c r="BM437" s="338"/>
      <c r="BN437" s="121">
        <v>0</v>
      </c>
      <c r="BO437" s="755">
        <f t="shared" si="198"/>
        <v>0</v>
      </c>
      <c r="BP437" s="339">
        <v>0</v>
      </c>
      <c r="BQ437" s="890">
        <f>IF(BN438=0,0,         IF(OR(Currency2="AUD",Currency1="NZD",Currency2="GBP"),BN437,   _xll.qDateNext(BN437,"-2b",,,IF(Currency2="EUR","TGT","LON"))))</f>
        <v>0</v>
      </c>
      <c r="BR437" s="879" t="str">
        <v/>
      </c>
      <c r="BS437" s="879" t="str">
        <v/>
      </c>
      <c r="BT437" s="879" t="str">
        <v/>
      </c>
      <c r="BU437" s="879" t="str">
        <v/>
      </c>
      <c r="BV437" s="879" t="str">
        <v/>
      </c>
      <c r="BW437" s="879" t="str">
        <v/>
      </c>
      <c r="BX437" s="879" t="str">
        <v/>
      </c>
      <c r="BY437" s="879" t="str">
        <v/>
      </c>
      <c r="BZ437" s="882">
        <f>IF($BN438=0,0,        _xll.qDateNext($BN437,BZ$17,$CG$16,TRUE,Currency2))</f>
        <v>0</v>
      </c>
      <c r="CA437" s="882">
        <f>IF($BN438=0,0,        _xll.qDateNext($BN437,CA$17,$CG$16,TRUE,Currency2))</f>
        <v>0</v>
      </c>
      <c r="CB437" s="882">
        <f>IF($BN438=0,0,        _xll.qDateNext($BN437,CB$17,$CG$16,TRUE,Currency2))</f>
        <v>0</v>
      </c>
      <c r="CC437" s="882">
        <f>IF($BN438=0,0,        _xll.qDateNext($BN437,CC$17,$CG$16,TRUE,Currency2))</f>
        <v>0</v>
      </c>
      <c r="CD437" s="882">
        <f>IF($BN438=0,0,        _xll.qDateNext($BN437,CD$17,$CG$16,TRUE,Currency2))</f>
        <v>0</v>
      </c>
      <c r="CE437" s="882">
        <f>IF($BN438=0,0,        _xll.qDateNext($BN437,CE$17,$CG$16,TRUE,Currency2))</f>
        <v>0</v>
      </c>
      <c r="CF437" s="882">
        <f>IF($BN438=0,0,        _xll.qDateNext($BN437,CF$17,$CG$16,TRUE,Currency2))</f>
        <v>0</v>
      </c>
      <c r="CG437" s="882">
        <f>IF($BN438=0,0,        _xll.qDateNext($BN437,CG$17,$CG$16,TRUE,Currency2))</f>
        <v>0</v>
      </c>
      <c r="CH437" s="886">
        <v>0</v>
      </c>
      <c r="CI437" s="886">
        <v>0</v>
      </c>
      <c r="CJ437" s="886">
        <v>0</v>
      </c>
      <c r="CK437" s="886">
        <v>0</v>
      </c>
      <c r="CL437" s="886">
        <f t="shared" si="221"/>
        <v>0</v>
      </c>
      <c r="CM437" s="886">
        <f t="shared" si="222"/>
        <v>0</v>
      </c>
      <c r="CN437" s="886">
        <v>0</v>
      </c>
      <c r="CO437" s="886">
        <v>0</v>
      </c>
      <c r="CP437" s="648">
        <f t="shared" si="199"/>
        <v>0</v>
      </c>
      <c r="CQ437" s="648">
        <f t="shared" si="200"/>
        <v>0</v>
      </c>
      <c r="CR437" s="648">
        <f t="shared" si="201"/>
        <v>0</v>
      </c>
      <c r="CS437" s="648">
        <f t="shared" si="202"/>
        <v>0</v>
      </c>
      <c r="CT437" s="648">
        <f t="shared" si="203"/>
        <v>0</v>
      </c>
      <c r="CU437" s="648">
        <f t="shared" si="204"/>
        <v>0</v>
      </c>
      <c r="CV437" s="648">
        <f t="shared" si="205"/>
        <v>0</v>
      </c>
      <c r="CW437" s="648">
        <f t="shared" si="206"/>
        <v>0</v>
      </c>
      <c r="CX437" s="634">
        <v>0</v>
      </c>
      <c r="CY437" s="616"/>
      <c r="CZ437" s="619">
        <f>IF(BN438=0,0,             IF(ISNUMBER(CY437),CY437,             IF(ISTEXT(CY437),INDEX(CP437:CW437,MATCH(CY437,$CP$17:$CW$17,0)),           IF(CX437="INT",_xll.qInterp(BN438,BZ437:CG437,CP437:CW437),       INDEX(CP437:CW437,MATCH(CX437,$CP$17:$CW$17,0))))))</f>
        <v>0</v>
      </c>
      <c r="DA437" s="755">
        <f t="shared" si="207"/>
        <v>0</v>
      </c>
      <c r="DB437" s="387">
        <f t="shared" si="208"/>
        <v>0</v>
      </c>
      <c r="DC437" s="268">
        <f>IF($BN438=0,0,         IF(LEFT(DCC_Leg2_Fixed,2)="1/",uEvaluate(DCC_Leg2_Fixed),         _xll.qDateYears($BN437,$BN438,DCC_Leg2_Fixed)))</f>
        <v>0</v>
      </c>
      <c r="DD437" s="268">
        <f>IF($BN438,_xll.qDateYears($BN437,$BN438,DCC_Leg2_Float),0)</f>
        <v>0</v>
      </c>
      <c r="DF437" s="332">
        <f t="shared" si="223"/>
        <v>0</v>
      </c>
      <c r="DG437" s="357">
        <f t="shared" si="224"/>
        <v>0</v>
      </c>
      <c r="DH437" s="527"/>
      <c r="DJ437" s="324">
        <f t="shared" si="226"/>
        <v>0</v>
      </c>
      <c r="DK437" s="529"/>
      <c r="DL437" s="338"/>
    </row>
    <row r="438" spans="15:116">
      <c r="O438" s="121">
        <v>0</v>
      </c>
      <c r="P438" s="755">
        <f t="shared" si="195"/>
        <v>0</v>
      </c>
      <c r="Q438" s="125">
        <v>0</v>
      </c>
      <c r="R438" s="890">
        <f>IF(O439=0,0,         IF(OR(Currency1="AUD",Currency1="NZD",Currency1="GBP"),O438,   _xll.qDateNext(O438,"-2b",,,IF(Currency1="EUR","TGT","LON"))))</f>
        <v>0</v>
      </c>
      <c r="S438" s="879" t="str">
        <v/>
      </c>
      <c r="T438" s="879" t="str">
        <v/>
      </c>
      <c r="U438" s="879" t="str">
        <v/>
      </c>
      <c r="V438" s="879" t="str">
        <v/>
      </c>
      <c r="W438" s="879" t="str">
        <v/>
      </c>
      <c r="X438" s="879" t="str">
        <v/>
      </c>
      <c r="Y438" s="879" t="str">
        <v/>
      </c>
      <c r="Z438" s="879" t="str">
        <v/>
      </c>
      <c r="AA438" s="882">
        <f>IF($O439=0,0,        _xll.qDateNext($O438,AA$17,$AH$16,TRUE,Currency1))</f>
        <v>0</v>
      </c>
      <c r="AB438" s="882">
        <f>IF($O439=0,0,        _xll.qDateNext($O438,AB$17,$AH$16,TRUE,Currency1))</f>
        <v>0</v>
      </c>
      <c r="AC438" s="882">
        <f>IF($O439=0,0,        _xll.qDateNext($O438,AC$17,$AH$16,TRUE,Currency1))</f>
        <v>0</v>
      </c>
      <c r="AD438" s="882">
        <f>IF($O439=0,0,        _xll.qDateNext($O438,AD$17,$AH$16,TRUE,Currency1))</f>
        <v>0</v>
      </c>
      <c r="AE438" s="882">
        <f>IF($O439=0,0,        _xll.qDateNext($O438,AE$17,$AH$16,TRUE,Currency1))</f>
        <v>0</v>
      </c>
      <c r="AF438" s="882">
        <f>IF($O439=0,0,        _xll.qDateNext($O438,AF$17,$AH$16,TRUE,Currency1))</f>
        <v>0</v>
      </c>
      <c r="AG438" s="882">
        <f>IF($O439=0,0,        _xll.qDateNext($O438,AG$17,$AH$16,TRUE,Currency1))</f>
        <v>0</v>
      </c>
      <c r="AH438" s="882">
        <f>IF($O439=0,0,        _xll.qDateNext($O438,AH$17,$AH$16,TRUE,Currency1))</f>
        <v>0</v>
      </c>
      <c r="AI438" s="886">
        <f>IF($O439=0,0,           IF(FRM,_xll.qGetFwdRate(AI$14,$O438,AA438,"T",DCC_Leg1_Float),_xll.qGetFwdRate(AI$14,$O438,$O439,"T",DCC_Leg1_Float)))</f>
        <v>0</v>
      </c>
      <c r="AJ438" s="886">
        <f>IF($O439=0,0,           IF(FRM,_xll.qGetFwdRate(AJ$14,$O438,AB438,"T",DCC_Leg1_Float),_xll.qGetFwdRate(AJ$14,$O438,$O439,"T",DCC_Leg1_Float)))</f>
        <v>0</v>
      </c>
      <c r="AK438" s="886">
        <f t="shared" si="196"/>
        <v>0</v>
      </c>
      <c r="AL438" s="886">
        <f>IF($O439=0,0,           IF(FRM,_xll.qGetFwdRate(AL$14,$O438,AD438,"T",DCC_Leg1_Float),_xll.qGetFwdRate(AL$14,$O438,$O439,"T",DCC_Leg1_Float)))</f>
        <v>0</v>
      </c>
      <c r="AM438" s="886">
        <f t="shared" si="209"/>
        <v>0</v>
      </c>
      <c r="AN438" s="886">
        <f t="shared" si="210"/>
        <v>0</v>
      </c>
      <c r="AO438" s="886">
        <f>IF($O439=0,0,           IF(FRM,_xll.qGetFwdRate(AO$14,$O438,AG438,"T",DCC_Leg1_Float),_xll.qGetFwdRate(AO$14,$O438,$O439,"T",DCC_Leg1_Float)))</f>
        <v>0</v>
      </c>
      <c r="AP438" s="886">
        <f>IF($O439=0,0,           IF(FRM,_xll.qGetFwdRate(AP$14,$O438,AH438,"T",DCC_Leg1_Float),_xll.qGetFwdRate(AP$14,$O438,$O439,"T",DCC_Leg1_Float)))</f>
        <v>0</v>
      </c>
      <c r="AQ438" s="648">
        <f t="shared" si="211"/>
        <v>0</v>
      </c>
      <c r="AR438" s="648">
        <f t="shared" si="212"/>
        <v>0</v>
      </c>
      <c r="AS438" s="648">
        <f t="shared" si="213"/>
        <v>0</v>
      </c>
      <c r="AT438" s="648">
        <f t="shared" si="214"/>
        <v>0</v>
      </c>
      <c r="AU438" s="648">
        <f t="shared" si="215"/>
        <v>0</v>
      </c>
      <c r="AV438" s="648">
        <f t="shared" si="216"/>
        <v>0</v>
      </c>
      <c r="AW438" s="648">
        <f t="shared" si="217"/>
        <v>0</v>
      </c>
      <c r="AX438" s="648">
        <f t="shared" si="218"/>
        <v>0</v>
      </c>
      <c r="AY438" s="634">
        <v>0</v>
      </c>
      <c r="AZ438" s="616"/>
      <c r="BA438" s="619">
        <f>IF(O439=0,0,             IF(ISNUMBER(AZ438),AZ438,             IF(ISTEXT(AZ438),INDEX(AQ438:AX438,MATCH(AZ438,$AQ$17:$AX$17,0)),           IF(AY438="INT",_xll.qInterp(O439,AA438:AH438,AQ438:AX438),       INDEX(AQ438:AX438,MATCH(AY438,$AQ$17:$AX$17,0))))))</f>
        <v>0</v>
      </c>
      <c r="BB438" s="674">
        <v>100</v>
      </c>
      <c r="BC438" s="666">
        <f t="shared" si="197"/>
        <v>0</v>
      </c>
      <c r="BD438" s="268">
        <f>IF($O439=0,0,                IF(LEFT(DCC_Leg1_Fixed,2)="1/",uEvaluate(DCC_Leg1_Fixed),        _xll.qDateYears($O438,$O439,DCC_Leg1_Fixed)))</f>
        <v>0</v>
      </c>
      <c r="BE438" s="268">
        <f>IF($O439,_xll.qDateYears($O438,$O439,DCC_Leg1_Float),0)</f>
        <v>0</v>
      </c>
      <c r="BG438" s="332">
        <f t="shared" si="219"/>
        <v>0</v>
      </c>
      <c r="BH438" s="357">
        <f t="shared" si="220"/>
        <v>0</v>
      </c>
      <c r="BI438" s="527"/>
      <c r="BK438" s="324">
        <f t="shared" si="225"/>
        <v>0</v>
      </c>
      <c r="BM438" s="338"/>
      <c r="BN438" s="121">
        <v>0</v>
      </c>
      <c r="BO438" s="755">
        <f t="shared" si="198"/>
        <v>0</v>
      </c>
      <c r="BP438" s="339">
        <v>0</v>
      </c>
      <c r="BQ438" s="890">
        <f>IF(BN439=0,0,         IF(OR(Currency2="AUD",Currency1="NZD",Currency2="GBP"),BN438,   _xll.qDateNext(BN438,"-2b",,,IF(Currency2="EUR","TGT","LON"))))</f>
        <v>0</v>
      </c>
      <c r="BR438" s="879" t="str">
        <v/>
      </c>
      <c r="BS438" s="879" t="str">
        <v/>
      </c>
      <c r="BT438" s="879" t="str">
        <v/>
      </c>
      <c r="BU438" s="879" t="str">
        <v/>
      </c>
      <c r="BV438" s="879" t="str">
        <v/>
      </c>
      <c r="BW438" s="879" t="str">
        <v/>
      </c>
      <c r="BX438" s="879" t="str">
        <v/>
      </c>
      <c r="BY438" s="879" t="str">
        <v/>
      </c>
      <c r="BZ438" s="882">
        <f>IF($BN439=0,0,        _xll.qDateNext($BN438,BZ$17,$CG$16,TRUE,Currency2))</f>
        <v>0</v>
      </c>
      <c r="CA438" s="882">
        <f>IF($BN439=0,0,        _xll.qDateNext($BN438,CA$17,$CG$16,TRUE,Currency2))</f>
        <v>0</v>
      </c>
      <c r="CB438" s="882">
        <f>IF($BN439=0,0,        _xll.qDateNext($BN438,CB$17,$CG$16,TRUE,Currency2))</f>
        <v>0</v>
      </c>
      <c r="CC438" s="882">
        <f>IF($BN439=0,0,        _xll.qDateNext($BN438,CC$17,$CG$16,TRUE,Currency2))</f>
        <v>0</v>
      </c>
      <c r="CD438" s="882">
        <f>IF($BN439=0,0,        _xll.qDateNext($BN438,CD$17,$CG$16,TRUE,Currency2))</f>
        <v>0</v>
      </c>
      <c r="CE438" s="882">
        <f>IF($BN439=0,0,        _xll.qDateNext($BN438,CE$17,$CG$16,TRUE,Currency2))</f>
        <v>0</v>
      </c>
      <c r="CF438" s="882">
        <f>IF($BN439=0,0,        _xll.qDateNext($BN438,CF$17,$CG$16,TRUE,Currency2))</f>
        <v>0</v>
      </c>
      <c r="CG438" s="882">
        <f>IF($BN439=0,0,        _xll.qDateNext($BN438,CG$17,$CG$16,TRUE,Currency2))</f>
        <v>0</v>
      </c>
      <c r="CH438" s="886">
        <v>0</v>
      </c>
      <c r="CI438" s="886">
        <v>0</v>
      </c>
      <c r="CJ438" s="886">
        <v>0</v>
      </c>
      <c r="CK438" s="886">
        <v>0</v>
      </c>
      <c r="CL438" s="886">
        <f t="shared" si="221"/>
        <v>0</v>
      </c>
      <c r="CM438" s="886">
        <f t="shared" si="222"/>
        <v>0</v>
      </c>
      <c r="CN438" s="886">
        <v>0</v>
      </c>
      <c r="CO438" s="886">
        <v>0</v>
      </c>
      <c r="CP438" s="648">
        <f t="shared" si="199"/>
        <v>0</v>
      </c>
      <c r="CQ438" s="648">
        <f t="shared" si="200"/>
        <v>0</v>
      </c>
      <c r="CR438" s="648">
        <f t="shared" si="201"/>
        <v>0</v>
      </c>
      <c r="CS438" s="648">
        <f t="shared" si="202"/>
        <v>0</v>
      </c>
      <c r="CT438" s="648">
        <f t="shared" si="203"/>
        <v>0</v>
      </c>
      <c r="CU438" s="648">
        <f t="shared" si="204"/>
        <v>0</v>
      </c>
      <c r="CV438" s="648">
        <f t="shared" si="205"/>
        <v>0</v>
      </c>
      <c r="CW438" s="648">
        <f t="shared" si="206"/>
        <v>0</v>
      </c>
      <c r="CX438" s="634">
        <v>0</v>
      </c>
      <c r="CY438" s="616"/>
      <c r="CZ438" s="619">
        <f>IF(BN439=0,0,             IF(ISNUMBER(CY438),CY438,             IF(ISTEXT(CY438),INDEX(CP438:CW438,MATCH(CY438,$CP$17:$CW$17,0)),           IF(CX438="INT",_xll.qInterp(BN439,BZ438:CG438,CP438:CW438),       INDEX(CP438:CW438,MATCH(CX438,$CP$17:$CW$17,0))))))</f>
        <v>0</v>
      </c>
      <c r="DA438" s="755">
        <f t="shared" si="207"/>
        <v>0</v>
      </c>
      <c r="DB438" s="387">
        <f t="shared" si="208"/>
        <v>0</v>
      </c>
      <c r="DC438" s="268">
        <f>IF($BN439=0,0,         IF(LEFT(DCC_Leg2_Fixed,2)="1/",uEvaluate(DCC_Leg2_Fixed),         _xll.qDateYears($BN438,$BN439,DCC_Leg2_Fixed)))</f>
        <v>0</v>
      </c>
      <c r="DD438" s="268">
        <f>IF($BN439,_xll.qDateYears($BN438,$BN439,DCC_Leg2_Float),0)</f>
        <v>0</v>
      </c>
      <c r="DF438" s="332">
        <f t="shared" si="223"/>
        <v>0</v>
      </c>
      <c r="DG438" s="357">
        <f t="shared" si="224"/>
        <v>0</v>
      </c>
      <c r="DH438" s="527"/>
      <c r="DJ438" s="324">
        <f t="shared" si="226"/>
        <v>0</v>
      </c>
      <c r="DK438" s="529"/>
      <c r="DL438" s="338"/>
    </row>
    <row r="439" spans="15:116">
      <c r="O439" s="121">
        <v>0</v>
      </c>
      <c r="P439" s="755">
        <f t="shared" si="195"/>
        <v>0</v>
      </c>
      <c r="Q439" s="125">
        <v>0</v>
      </c>
      <c r="R439" s="890">
        <f>IF(O440=0,0,         IF(OR(Currency1="AUD",Currency1="NZD",Currency1="GBP"),O439,   _xll.qDateNext(O439,"-2b",,,IF(Currency1="EUR","TGT","LON"))))</f>
        <v>0</v>
      </c>
      <c r="S439" s="879" t="str">
        <v/>
      </c>
      <c r="T439" s="879" t="str">
        <v/>
      </c>
      <c r="U439" s="879" t="str">
        <v/>
      </c>
      <c r="V439" s="879" t="str">
        <v/>
      </c>
      <c r="W439" s="879" t="str">
        <v/>
      </c>
      <c r="X439" s="879" t="str">
        <v/>
      </c>
      <c r="Y439" s="879" t="str">
        <v/>
      </c>
      <c r="Z439" s="879" t="str">
        <v/>
      </c>
      <c r="AA439" s="882">
        <f>IF($O440=0,0,        _xll.qDateNext($O439,AA$17,$AH$16,TRUE,Currency1))</f>
        <v>0</v>
      </c>
      <c r="AB439" s="882">
        <f>IF($O440=0,0,        _xll.qDateNext($O439,AB$17,$AH$16,TRUE,Currency1))</f>
        <v>0</v>
      </c>
      <c r="AC439" s="882">
        <f>IF($O440=0,0,        _xll.qDateNext($O439,AC$17,$AH$16,TRUE,Currency1))</f>
        <v>0</v>
      </c>
      <c r="AD439" s="882">
        <f>IF($O440=0,0,        _xll.qDateNext($O439,AD$17,$AH$16,TRUE,Currency1))</f>
        <v>0</v>
      </c>
      <c r="AE439" s="882">
        <f>IF($O440=0,0,        _xll.qDateNext($O439,AE$17,$AH$16,TRUE,Currency1))</f>
        <v>0</v>
      </c>
      <c r="AF439" s="882">
        <f>IF($O440=0,0,        _xll.qDateNext($O439,AF$17,$AH$16,TRUE,Currency1))</f>
        <v>0</v>
      </c>
      <c r="AG439" s="882">
        <f>IF($O440=0,0,        _xll.qDateNext($O439,AG$17,$AH$16,TRUE,Currency1))</f>
        <v>0</v>
      </c>
      <c r="AH439" s="882">
        <f>IF($O440=0,0,        _xll.qDateNext($O439,AH$17,$AH$16,TRUE,Currency1))</f>
        <v>0</v>
      </c>
      <c r="AI439" s="886">
        <f>IF($O440=0,0,           IF(FRM,_xll.qGetFwdRate(AI$14,$O439,AA439,"T",DCC_Leg1_Float),_xll.qGetFwdRate(AI$14,$O439,$O440,"T",DCC_Leg1_Float)))</f>
        <v>0</v>
      </c>
      <c r="AJ439" s="886">
        <f>IF($O440=0,0,           IF(FRM,_xll.qGetFwdRate(AJ$14,$O439,AB439,"T",DCC_Leg1_Float),_xll.qGetFwdRate(AJ$14,$O439,$O440,"T",DCC_Leg1_Float)))</f>
        <v>0</v>
      </c>
      <c r="AK439" s="886">
        <f t="shared" si="196"/>
        <v>0</v>
      </c>
      <c r="AL439" s="886">
        <f>IF($O440=0,0,           IF(FRM,_xll.qGetFwdRate(AL$14,$O439,AD439,"T",DCC_Leg1_Float),_xll.qGetFwdRate(AL$14,$O439,$O440,"T",DCC_Leg1_Float)))</f>
        <v>0</v>
      </c>
      <c r="AM439" s="886">
        <f t="shared" si="209"/>
        <v>0</v>
      </c>
      <c r="AN439" s="886">
        <f t="shared" si="210"/>
        <v>0</v>
      </c>
      <c r="AO439" s="886">
        <f>IF($O440=0,0,           IF(FRM,_xll.qGetFwdRate(AO$14,$O439,AG439,"T",DCC_Leg1_Float),_xll.qGetFwdRate(AO$14,$O439,$O440,"T",DCC_Leg1_Float)))</f>
        <v>0</v>
      </c>
      <c r="AP439" s="886">
        <f>IF($O440=0,0,           IF(FRM,_xll.qGetFwdRate(AP$14,$O439,AH439,"T",DCC_Leg1_Float),_xll.qGetFwdRate(AP$14,$O439,$O440,"T",DCC_Leg1_Float)))</f>
        <v>0</v>
      </c>
      <c r="AQ439" s="648">
        <f t="shared" si="211"/>
        <v>0</v>
      </c>
      <c r="AR439" s="648">
        <f t="shared" si="212"/>
        <v>0</v>
      </c>
      <c r="AS439" s="648">
        <f t="shared" si="213"/>
        <v>0</v>
      </c>
      <c r="AT439" s="648">
        <f t="shared" si="214"/>
        <v>0</v>
      </c>
      <c r="AU439" s="648">
        <f t="shared" si="215"/>
        <v>0</v>
      </c>
      <c r="AV439" s="648">
        <f t="shared" si="216"/>
        <v>0</v>
      </c>
      <c r="AW439" s="648">
        <f t="shared" si="217"/>
        <v>0</v>
      </c>
      <c r="AX439" s="648">
        <f t="shared" si="218"/>
        <v>0</v>
      </c>
      <c r="AY439" s="634">
        <v>0</v>
      </c>
      <c r="AZ439" s="616"/>
      <c r="BA439" s="619">
        <f>IF(O440=0,0,             IF(ISNUMBER(AZ439),AZ439,             IF(ISTEXT(AZ439),INDEX(AQ439:AX439,MATCH(AZ439,$AQ$17:$AX$17,0)),           IF(AY439="INT",_xll.qInterp(O440,AA439:AH439,AQ439:AX439),       INDEX(AQ439:AX439,MATCH(AY439,$AQ$17:$AX$17,0))))))</f>
        <v>0</v>
      </c>
      <c r="BB439" s="674">
        <v>100</v>
      </c>
      <c r="BC439" s="666">
        <f t="shared" si="197"/>
        <v>0</v>
      </c>
      <c r="BD439" s="268">
        <f>IF($O440=0,0,                IF(LEFT(DCC_Leg1_Fixed,2)="1/",uEvaluate(DCC_Leg1_Fixed),        _xll.qDateYears($O439,$O440,DCC_Leg1_Fixed)))</f>
        <v>0</v>
      </c>
      <c r="BE439" s="268">
        <f>IF($O440,_xll.qDateYears($O439,$O440,DCC_Leg1_Float),0)</f>
        <v>0</v>
      </c>
      <c r="BG439" s="332">
        <f t="shared" si="219"/>
        <v>0</v>
      </c>
      <c r="BH439" s="357">
        <f t="shared" si="220"/>
        <v>0</v>
      </c>
      <c r="BI439" s="527"/>
      <c r="BK439" s="324">
        <f t="shared" si="225"/>
        <v>0</v>
      </c>
      <c r="BM439" s="338"/>
      <c r="BN439" s="121">
        <v>0</v>
      </c>
      <c r="BO439" s="755">
        <f t="shared" si="198"/>
        <v>0</v>
      </c>
      <c r="BP439" s="339">
        <v>0</v>
      </c>
      <c r="BQ439" s="890">
        <f>IF(BN440=0,0,         IF(OR(Currency2="AUD",Currency1="NZD",Currency2="GBP"),BN439,   _xll.qDateNext(BN439,"-2b",,,IF(Currency2="EUR","TGT","LON"))))</f>
        <v>0</v>
      </c>
      <c r="BR439" s="879" t="str">
        <v/>
      </c>
      <c r="BS439" s="879" t="str">
        <v/>
      </c>
      <c r="BT439" s="879" t="str">
        <v/>
      </c>
      <c r="BU439" s="879" t="str">
        <v/>
      </c>
      <c r="BV439" s="879" t="str">
        <v/>
      </c>
      <c r="BW439" s="879" t="str">
        <v/>
      </c>
      <c r="BX439" s="879" t="str">
        <v/>
      </c>
      <c r="BY439" s="879" t="str">
        <v/>
      </c>
      <c r="BZ439" s="882">
        <f>IF($BN440=0,0,        _xll.qDateNext($BN439,BZ$17,$CG$16,TRUE,Currency2))</f>
        <v>0</v>
      </c>
      <c r="CA439" s="882">
        <f>IF($BN440=0,0,        _xll.qDateNext($BN439,CA$17,$CG$16,TRUE,Currency2))</f>
        <v>0</v>
      </c>
      <c r="CB439" s="882">
        <f>IF($BN440=0,0,        _xll.qDateNext($BN439,CB$17,$CG$16,TRUE,Currency2))</f>
        <v>0</v>
      </c>
      <c r="CC439" s="882">
        <f>IF($BN440=0,0,        _xll.qDateNext($BN439,CC$17,$CG$16,TRUE,Currency2))</f>
        <v>0</v>
      </c>
      <c r="CD439" s="882">
        <f>IF($BN440=0,0,        _xll.qDateNext($BN439,CD$17,$CG$16,TRUE,Currency2))</f>
        <v>0</v>
      </c>
      <c r="CE439" s="882">
        <f>IF($BN440=0,0,        _xll.qDateNext($BN439,CE$17,$CG$16,TRUE,Currency2))</f>
        <v>0</v>
      </c>
      <c r="CF439" s="882">
        <f>IF($BN440=0,0,        _xll.qDateNext($BN439,CF$17,$CG$16,TRUE,Currency2))</f>
        <v>0</v>
      </c>
      <c r="CG439" s="882">
        <f>IF($BN440=0,0,        _xll.qDateNext($BN439,CG$17,$CG$16,TRUE,Currency2))</f>
        <v>0</v>
      </c>
      <c r="CH439" s="886">
        <v>0</v>
      </c>
      <c r="CI439" s="886">
        <v>0</v>
      </c>
      <c r="CJ439" s="886">
        <v>0</v>
      </c>
      <c r="CK439" s="886">
        <v>0</v>
      </c>
      <c r="CL439" s="886">
        <f t="shared" si="221"/>
        <v>0</v>
      </c>
      <c r="CM439" s="886">
        <f t="shared" si="222"/>
        <v>0</v>
      </c>
      <c r="CN439" s="886">
        <v>0</v>
      </c>
      <c r="CO439" s="886">
        <v>0</v>
      </c>
      <c r="CP439" s="648">
        <f t="shared" si="199"/>
        <v>0</v>
      </c>
      <c r="CQ439" s="648">
        <f t="shared" si="200"/>
        <v>0</v>
      </c>
      <c r="CR439" s="648">
        <f t="shared" si="201"/>
        <v>0</v>
      </c>
      <c r="CS439" s="648">
        <f t="shared" si="202"/>
        <v>0</v>
      </c>
      <c r="CT439" s="648">
        <f t="shared" si="203"/>
        <v>0</v>
      </c>
      <c r="CU439" s="648">
        <f t="shared" si="204"/>
        <v>0</v>
      </c>
      <c r="CV439" s="648">
        <f t="shared" si="205"/>
        <v>0</v>
      </c>
      <c r="CW439" s="648">
        <f t="shared" si="206"/>
        <v>0</v>
      </c>
      <c r="CX439" s="634">
        <v>0</v>
      </c>
      <c r="CY439" s="616"/>
      <c r="CZ439" s="619">
        <f>IF(BN440=0,0,             IF(ISNUMBER(CY439),CY439,             IF(ISTEXT(CY439),INDEX(CP439:CW439,MATCH(CY439,$CP$17:$CW$17,0)),           IF(CX439="INT",_xll.qInterp(BN440,BZ439:CG439,CP439:CW439),       INDEX(CP439:CW439,MATCH(CX439,$CP$17:$CW$17,0))))))</f>
        <v>0</v>
      </c>
      <c r="DA439" s="755">
        <f t="shared" si="207"/>
        <v>0</v>
      </c>
      <c r="DB439" s="387">
        <f t="shared" si="208"/>
        <v>0</v>
      </c>
      <c r="DC439" s="268">
        <f>IF($BN440=0,0,         IF(LEFT(DCC_Leg2_Fixed,2)="1/",uEvaluate(DCC_Leg2_Fixed),         _xll.qDateYears($BN439,$BN440,DCC_Leg2_Fixed)))</f>
        <v>0</v>
      </c>
      <c r="DD439" s="268">
        <f>IF($BN440,_xll.qDateYears($BN439,$BN440,DCC_Leg2_Float),0)</f>
        <v>0</v>
      </c>
      <c r="DF439" s="332">
        <f t="shared" si="223"/>
        <v>0</v>
      </c>
      <c r="DG439" s="357">
        <f t="shared" si="224"/>
        <v>0</v>
      </c>
      <c r="DH439" s="527"/>
      <c r="DJ439" s="324">
        <f t="shared" si="226"/>
        <v>0</v>
      </c>
      <c r="DK439" s="529"/>
      <c r="DL439" s="338"/>
    </row>
    <row r="440" spans="15:116">
      <c r="O440" s="121">
        <v>0</v>
      </c>
      <c r="P440" s="755">
        <f t="shared" si="195"/>
        <v>0</v>
      </c>
      <c r="Q440" s="125">
        <v>0</v>
      </c>
      <c r="R440" s="890">
        <f>IF(O441=0,0,         IF(OR(Currency1="AUD",Currency1="NZD",Currency1="GBP"),O440,   _xll.qDateNext(O440,"-2b",,,IF(Currency1="EUR","TGT","LON"))))</f>
        <v>0</v>
      </c>
      <c r="S440" s="879" t="str">
        <v/>
      </c>
      <c r="T440" s="879" t="str">
        <v/>
      </c>
      <c r="U440" s="879" t="str">
        <v/>
      </c>
      <c r="V440" s="879" t="str">
        <v/>
      </c>
      <c r="W440" s="879" t="str">
        <v/>
      </c>
      <c r="X440" s="879" t="str">
        <v/>
      </c>
      <c r="Y440" s="879" t="str">
        <v/>
      </c>
      <c r="Z440" s="879" t="str">
        <v/>
      </c>
      <c r="AA440" s="882">
        <f>IF($O441=0,0,        _xll.qDateNext($O440,AA$17,$AH$16,TRUE,Currency1))</f>
        <v>0</v>
      </c>
      <c r="AB440" s="882">
        <f>IF($O441=0,0,        _xll.qDateNext($O440,AB$17,$AH$16,TRUE,Currency1))</f>
        <v>0</v>
      </c>
      <c r="AC440" s="882">
        <f>IF($O441=0,0,        _xll.qDateNext($O440,AC$17,$AH$16,TRUE,Currency1))</f>
        <v>0</v>
      </c>
      <c r="AD440" s="882">
        <f>IF($O441=0,0,        _xll.qDateNext($O440,AD$17,$AH$16,TRUE,Currency1))</f>
        <v>0</v>
      </c>
      <c r="AE440" s="882">
        <f>IF($O441=0,0,        _xll.qDateNext($O440,AE$17,$AH$16,TRUE,Currency1))</f>
        <v>0</v>
      </c>
      <c r="AF440" s="882">
        <f>IF($O441=0,0,        _xll.qDateNext($O440,AF$17,$AH$16,TRUE,Currency1))</f>
        <v>0</v>
      </c>
      <c r="AG440" s="882">
        <f>IF($O441=0,0,        _xll.qDateNext($O440,AG$17,$AH$16,TRUE,Currency1))</f>
        <v>0</v>
      </c>
      <c r="AH440" s="882">
        <f>IF($O441=0,0,        _xll.qDateNext($O440,AH$17,$AH$16,TRUE,Currency1))</f>
        <v>0</v>
      </c>
      <c r="AI440" s="886">
        <f>IF($O441=0,0,           IF(FRM,_xll.qGetFwdRate(AI$14,$O440,AA440,"T",DCC_Leg1_Float),_xll.qGetFwdRate(AI$14,$O440,$O441,"T",DCC_Leg1_Float)))</f>
        <v>0</v>
      </c>
      <c r="AJ440" s="886">
        <f>IF($O441=0,0,           IF(FRM,_xll.qGetFwdRate(AJ$14,$O440,AB440,"T",DCC_Leg1_Float),_xll.qGetFwdRate(AJ$14,$O440,$O441,"T",DCC_Leg1_Float)))</f>
        <v>0</v>
      </c>
      <c r="AK440" s="886">
        <f t="shared" si="196"/>
        <v>0</v>
      </c>
      <c r="AL440" s="886">
        <f>IF($O441=0,0,           IF(FRM,_xll.qGetFwdRate(AL$14,$O440,AD440,"T",DCC_Leg1_Float),_xll.qGetFwdRate(AL$14,$O440,$O441,"T",DCC_Leg1_Float)))</f>
        <v>0</v>
      </c>
      <c r="AM440" s="886">
        <f t="shared" si="209"/>
        <v>0</v>
      </c>
      <c r="AN440" s="886">
        <f t="shared" si="210"/>
        <v>0</v>
      </c>
      <c r="AO440" s="886">
        <f>IF($O441=0,0,           IF(FRM,_xll.qGetFwdRate(AO$14,$O440,AG440,"T",DCC_Leg1_Float),_xll.qGetFwdRate(AO$14,$O440,$O441,"T",DCC_Leg1_Float)))</f>
        <v>0</v>
      </c>
      <c r="AP440" s="886">
        <f>IF($O441=0,0,           IF(FRM,_xll.qGetFwdRate(AP$14,$O440,AH440,"T",DCC_Leg1_Float),_xll.qGetFwdRate(AP$14,$O440,$O441,"T",DCC_Leg1_Float)))</f>
        <v>0</v>
      </c>
      <c r="AQ440" s="648">
        <f t="shared" si="211"/>
        <v>0</v>
      </c>
      <c r="AR440" s="648">
        <f t="shared" si="212"/>
        <v>0</v>
      </c>
      <c r="AS440" s="648">
        <f t="shared" si="213"/>
        <v>0</v>
      </c>
      <c r="AT440" s="648">
        <f t="shared" si="214"/>
        <v>0</v>
      </c>
      <c r="AU440" s="648">
        <f t="shared" si="215"/>
        <v>0</v>
      </c>
      <c r="AV440" s="648">
        <f t="shared" si="216"/>
        <v>0</v>
      </c>
      <c r="AW440" s="648">
        <f t="shared" si="217"/>
        <v>0</v>
      </c>
      <c r="AX440" s="648">
        <f t="shared" si="218"/>
        <v>0</v>
      </c>
      <c r="AY440" s="634">
        <v>0</v>
      </c>
      <c r="AZ440" s="616"/>
      <c r="BA440" s="619">
        <f>IF(O441=0,0,             IF(ISNUMBER(AZ440),AZ440,             IF(ISTEXT(AZ440),INDEX(AQ440:AX440,MATCH(AZ440,$AQ$17:$AX$17,0)),           IF(AY440="INT",_xll.qInterp(O441,AA440:AH440,AQ440:AX440),       INDEX(AQ440:AX440,MATCH(AY440,$AQ$17:$AX$17,0))))))</f>
        <v>0</v>
      </c>
      <c r="BB440" s="674">
        <v>100</v>
      </c>
      <c r="BC440" s="666">
        <f t="shared" si="197"/>
        <v>0</v>
      </c>
      <c r="BD440" s="268">
        <f>IF($O441=0,0,                IF(LEFT(DCC_Leg1_Fixed,2)="1/",uEvaluate(DCC_Leg1_Fixed),        _xll.qDateYears($O440,$O441,DCC_Leg1_Fixed)))</f>
        <v>0</v>
      </c>
      <c r="BE440" s="268">
        <f>IF($O441,_xll.qDateYears($O440,$O441,DCC_Leg1_Float),0)</f>
        <v>0</v>
      </c>
      <c r="BG440" s="332">
        <f t="shared" si="219"/>
        <v>0</v>
      </c>
      <c r="BH440" s="357">
        <f t="shared" si="220"/>
        <v>0</v>
      </c>
      <c r="BI440" s="527"/>
      <c r="BK440" s="324">
        <f t="shared" si="225"/>
        <v>0</v>
      </c>
      <c r="BM440" s="338"/>
      <c r="BN440" s="121">
        <v>0</v>
      </c>
      <c r="BO440" s="755">
        <f t="shared" si="198"/>
        <v>0</v>
      </c>
      <c r="BP440" s="339">
        <v>0</v>
      </c>
      <c r="BQ440" s="890">
        <f>IF(BN441=0,0,         IF(OR(Currency2="AUD",Currency1="NZD",Currency2="GBP"),BN440,   _xll.qDateNext(BN440,"-2b",,,IF(Currency2="EUR","TGT","LON"))))</f>
        <v>0</v>
      </c>
      <c r="BR440" s="879" t="str">
        <v/>
      </c>
      <c r="BS440" s="879" t="str">
        <v/>
      </c>
      <c r="BT440" s="879" t="str">
        <v/>
      </c>
      <c r="BU440" s="879" t="str">
        <v/>
      </c>
      <c r="BV440" s="879" t="str">
        <v/>
      </c>
      <c r="BW440" s="879" t="str">
        <v/>
      </c>
      <c r="BX440" s="879" t="str">
        <v/>
      </c>
      <c r="BY440" s="879" t="str">
        <v/>
      </c>
      <c r="BZ440" s="882">
        <f>IF($BN441=0,0,        _xll.qDateNext($BN440,BZ$17,$CG$16,TRUE,Currency2))</f>
        <v>0</v>
      </c>
      <c r="CA440" s="882">
        <f>IF($BN441=0,0,        _xll.qDateNext($BN440,CA$17,$CG$16,TRUE,Currency2))</f>
        <v>0</v>
      </c>
      <c r="CB440" s="882">
        <f>IF($BN441=0,0,        _xll.qDateNext($BN440,CB$17,$CG$16,TRUE,Currency2))</f>
        <v>0</v>
      </c>
      <c r="CC440" s="882">
        <f>IF($BN441=0,0,        _xll.qDateNext($BN440,CC$17,$CG$16,TRUE,Currency2))</f>
        <v>0</v>
      </c>
      <c r="CD440" s="882">
        <f>IF($BN441=0,0,        _xll.qDateNext($BN440,CD$17,$CG$16,TRUE,Currency2))</f>
        <v>0</v>
      </c>
      <c r="CE440" s="882">
        <f>IF($BN441=0,0,        _xll.qDateNext($BN440,CE$17,$CG$16,TRUE,Currency2))</f>
        <v>0</v>
      </c>
      <c r="CF440" s="882">
        <f>IF($BN441=0,0,        _xll.qDateNext($BN440,CF$17,$CG$16,TRUE,Currency2))</f>
        <v>0</v>
      </c>
      <c r="CG440" s="882">
        <f>IF($BN441=0,0,        _xll.qDateNext($BN440,CG$17,$CG$16,TRUE,Currency2))</f>
        <v>0</v>
      </c>
      <c r="CH440" s="886">
        <v>0</v>
      </c>
      <c r="CI440" s="886">
        <v>0</v>
      </c>
      <c r="CJ440" s="886">
        <v>0</v>
      </c>
      <c r="CK440" s="886">
        <v>0</v>
      </c>
      <c r="CL440" s="886">
        <f t="shared" si="221"/>
        <v>0</v>
      </c>
      <c r="CM440" s="886">
        <f t="shared" si="222"/>
        <v>0</v>
      </c>
      <c r="CN440" s="886">
        <v>0</v>
      </c>
      <c r="CO440" s="886">
        <v>0</v>
      </c>
      <c r="CP440" s="648">
        <f t="shared" si="199"/>
        <v>0</v>
      </c>
      <c r="CQ440" s="648">
        <f t="shared" si="200"/>
        <v>0</v>
      </c>
      <c r="CR440" s="648">
        <f t="shared" si="201"/>
        <v>0</v>
      </c>
      <c r="CS440" s="648">
        <f t="shared" si="202"/>
        <v>0</v>
      </c>
      <c r="CT440" s="648">
        <f t="shared" si="203"/>
        <v>0</v>
      </c>
      <c r="CU440" s="648">
        <f t="shared" si="204"/>
        <v>0</v>
      </c>
      <c r="CV440" s="648">
        <f t="shared" si="205"/>
        <v>0</v>
      </c>
      <c r="CW440" s="648">
        <f t="shared" si="206"/>
        <v>0</v>
      </c>
      <c r="CX440" s="634">
        <v>0</v>
      </c>
      <c r="CY440" s="616"/>
      <c r="CZ440" s="619">
        <f>IF(BN441=0,0,             IF(ISNUMBER(CY440),CY440,             IF(ISTEXT(CY440),INDEX(CP440:CW440,MATCH(CY440,$CP$17:$CW$17,0)),           IF(CX440="INT",_xll.qInterp(BN441,BZ440:CG440,CP440:CW440),       INDEX(CP440:CW440,MATCH(CX440,$CP$17:$CW$17,0))))))</f>
        <v>0</v>
      </c>
      <c r="DA440" s="755">
        <f t="shared" si="207"/>
        <v>0</v>
      </c>
      <c r="DB440" s="387">
        <f t="shared" si="208"/>
        <v>0</v>
      </c>
      <c r="DC440" s="268">
        <f>IF($BN441=0,0,         IF(LEFT(DCC_Leg2_Fixed,2)="1/",uEvaluate(DCC_Leg2_Fixed),         _xll.qDateYears($BN440,$BN441,DCC_Leg2_Fixed)))</f>
        <v>0</v>
      </c>
      <c r="DD440" s="268">
        <f>IF($BN441,_xll.qDateYears($BN440,$BN441,DCC_Leg2_Float),0)</f>
        <v>0</v>
      </c>
      <c r="DF440" s="332">
        <f t="shared" si="223"/>
        <v>0</v>
      </c>
      <c r="DG440" s="357">
        <f t="shared" si="224"/>
        <v>0</v>
      </c>
      <c r="DH440" s="527"/>
      <c r="DJ440" s="324">
        <f t="shared" si="226"/>
        <v>0</v>
      </c>
      <c r="DK440" s="529"/>
      <c r="DL440" s="338"/>
    </row>
    <row r="441" spans="15:116">
      <c r="O441" s="121">
        <v>0</v>
      </c>
      <c r="P441" s="755">
        <f t="shared" si="195"/>
        <v>0</v>
      </c>
      <c r="Q441" s="125">
        <v>0</v>
      </c>
      <c r="R441" s="890">
        <f>IF(O442=0,0,         IF(OR(Currency1="AUD",Currency1="NZD",Currency1="GBP"),O441,   _xll.qDateNext(O441,"-2b",,,IF(Currency1="EUR","TGT","LON"))))</f>
        <v>0</v>
      </c>
      <c r="S441" s="879" t="str">
        <v/>
      </c>
      <c r="T441" s="879" t="str">
        <v/>
      </c>
      <c r="U441" s="879" t="str">
        <v/>
      </c>
      <c r="V441" s="879" t="str">
        <v/>
      </c>
      <c r="W441" s="879" t="str">
        <v/>
      </c>
      <c r="X441" s="879" t="str">
        <v/>
      </c>
      <c r="Y441" s="879" t="str">
        <v/>
      </c>
      <c r="Z441" s="879" t="str">
        <v/>
      </c>
      <c r="AA441" s="882">
        <f>IF($O442=0,0,        _xll.qDateNext($O441,AA$17,$AH$16,TRUE,Currency1))</f>
        <v>0</v>
      </c>
      <c r="AB441" s="882">
        <f>IF($O442=0,0,        _xll.qDateNext($O441,AB$17,$AH$16,TRUE,Currency1))</f>
        <v>0</v>
      </c>
      <c r="AC441" s="882">
        <f>IF($O442=0,0,        _xll.qDateNext($O441,AC$17,$AH$16,TRUE,Currency1))</f>
        <v>0</v>
      </c>
      <c r="AD441" s="882">
        <f>IF($O442=0,0,        _xll.qDateNext($O441,AD$17,$AH$16,TRUE,Currency1))</f>
        <v>0</v>
      </c>
      <c r="AE441" s="882">
        <f>IF($O442=0,0,        _xll.qDateNext($O441,AE$17,$AH$16,TRUE,Currency1))</f>
        <v>0</v>
      </c>
      <c r="AF441" s="882">
        <f>IF($O442=0,0,        _xll.qDateNext($O441,AF$17,$AH$16,TRUE,Currency1))</f>
        <v>0</v>
      </c>
      <c r="AG441" s="882">
        <f>IF($O442=0,0,        _xll.qDateNext($O441,AG$17,$AH$16,TRUE,Currency1))</f>
        <v>0</v>
      </c>
      <c r="AH441" s="882">
        <f>IF($O442=0,0,        _xll.qDateNext($O441,AH$17,$AH$16,TRUE,Currency1))</f>
        <v>0</v>
      </c>
      <c r="AI441" s="886">
        <f>IF($O442=0,0,           IF(FRM,_xll.qGetFwdRate(AI$14,$O441,AA441,"T",DCC_Leg1_Float),_xll.qGetFwdRate(AI$14,$O441,$O442,"T",DCC_Leg1_Float)))</f>
        <v>0</v>
      </c>
      <c r="AJ441" s="886">
        <f>IF($O442=0,0,           IF(FRM,_xll.qGetFwdRate(AJ$14,$O441,AB441,"T",DCC_Leg1_Float),_xll.qGetFwdRate(AJ$14,$O441,$O442,"T",DCC_Leg1_Float)))</f>
        <v>0</v>
      </c>
      <c r="AK441" s="886">
        <f t="shared" si="196"/>
        <v>0</v>
      </c>
      <c r="AL441" s="886">
        <f>IF($O442=0,0,           IF(FRM,_xll.qGetFwdRate(AL$14,$O441,AD441,"T",DCC_Leg1_Float),_xll.qGetFwdRate(AL$14,$O441,$O442,"T",DCC_Leg1_Float)))</f>
        <v>0</v>
      </c>
      <c r="AM441" s="886">
        <f t="shared" si="209"/>
        <v>0</v>
      </c>
      <c r="AN441" s="886">
        <f t="shared" si="210"/>
        <v>0</v>
      </c>
      <c r="AO441" s="886">
        <f>IF($O442=0,0,           IF(FRM,_xll.qGetFwdRate(AO$14,$O441,AG441,"T",DCC_Leg1_Float),_xll.qGetFwdRate(AO$14,$O441,$O442,"T",DCC_Leg1_Float)))</f>
        <v>0</v>
      </c>
      <c r="AP441" s="886">
        <f>IF($O442=0,0,           IF(FRM,_xll.qGetFwdRate(AP$14,$O441,AH441,"T",DCC_Leg1_Float),_xll.qGetFwdRate(AP$14,$O441,$O442,"T",DCC_Leg1_Float)))</f>
        <v>0</v>
      </c>
      <c r="AQ441" s="648">
        <f t="shared" si="211"/>
        <v>0</v>
      </c>
      <c r="AR441" s="648">
        <f t="shared" si="212"/>
        <v>0</v>
      </c>
      <c r="AS441" s="648">
        <f t="shared" si="213"/>
        <v>0</v>
      </c>
      <c r="AT441" s="648">
        <f t="shared" si="214"/>
        <v>0</v>
      </c>
      <c r="AU441" s="648">
        <f t="shared" si="215"/>
        <v>0</v>
      </c>
      <c r="AV441" s="648">
        <f t="shared" si="216"/>
        <v>0</v>
      </c>
      <c r="AW441" s="648">
        <f t="shared" si="217"/>
        <v>0</v>
      </c>
      <c r="AX441" s="648">
        <f t="shared" si="218"/>
        <v>0</v>
      </c>
      <c r="AY441" s="634">
        <v>0</v>
      </c>
      <c r="AZ441" s="616"/>
      <c r="BA441" s="619">
        <f>IF(O442=0,0,             IF(ISNUMBER(AZ441),AZ441,             IF(ISTEXT(AZ441),INDEX(AQ441:AX441,MATCH(AZ441,$AQ$17:$AX$17,0)),           IF(AY441="INT",_xll.qInterp(O442,AA441:AH441,AQ441:AX441),       INDEX(AQ441:AX441,MATCH(AY441,$AQ$17:$AX$17,0))))))</f>
        <v>0</v>
      </c>
      <c r="BB441" s="674">
        <v>100</v>
      </c>
      <c r="BC441" s="666">
        <f t="shared" si="197"/>
        <v>0</v>
      </c>
      <c r="BD441" s="268">
        <f>IF($O442=0,0,                IF(LEFT(DCC_Leg1_Fixed,2)="1/",uEvaluate(DCC_Leg1_Fixed),        _xll.qDateYears($O441,$O442,DCC_Leg1_Fixed)))</f>
        <v>0</v>
      </c>
      <c r="BE441" s="268">
        <f>IF($O442,_xll.qDateYears($O441,$O442,DCC_Leg1_Float),0)</f>
        <v>0</v>
      </c>
      <c r="BG441" s="332">
        <f t="shared" si="219"/>
        <v>0</v>
      </c>
      <c r="BH441" s="357">
        <f t="shared" si="220"/>
        <v>0</v>
      </c>
      <c r="BI441" s="527"/>
      <c r="BK441" s="324">
        <f t="shared" si="225"/>
        <v>0</v>
      </c>
      <c r="BM441" s="338"/>
      <c r="BN441" s="121">
        <v>0</v>
      </c>
      <c r="BO441" s="755">
        <f t="shared" si="198"/>
        <v>0</v>
      </c>
      <c r="BP441" s="339">
        <v>0</v>
      </c>
      <c r="BQ441" s="890">
        <f>IF(BN442=0,0,         IF(OR(Currency2="AUD",Currency1="NZD",Currency2="GBP"),BN441,   _xll.qDateNext(BN441,"-2b",,,IF(Currency2="EUR","TGT","LON"))))</f>
        <v>0</v>
      </c>
      <c r="BR441" s="879" t="str">
        <v/>
      </c>
      <c r="BS441" s="879" t="str">
        <v/>
      </c>
      <c r="BT441" s="879" t="str">
        <v/>
      </c>
      <c r="BU441" s="879" t="str">
        <v/>
      </c>
      <c r="BV441" s="879" t="str">
        <v/>
      </c>
      <c r="BW441" s="879" t="str">
        <v/>
      </c>
      <c r="BX441" s="879" t="str">
        <v/>
      </c>
      <c r="BY441" s="879" t="str">
        <v/>
      </c>
      <c r="BZ441" s="882">
        <f>IF($BN442=0,0,        _xll.qDateNext($BN441,BZ$17,$CG$16,TRUE,Currency2))</f>
        <v>0</v>
      </c>
      <c r="CA441" s="882">
        <f>IF($BN442=0,0,        _xll.qDateNext($BN441,CA$17,$CG$16,TRUE,Currency2))</f>
        <v>0</v>
      </c>
      <c r="CB441" s="882">
        <f>IF($BN442=0,0,        _xll.qDateNext($BN441,CB$17,$CG$16,TRUE,Currency2))</f>
        <v>0</v>
      </c>
      <c r="CC441" s="882">
        <f>IF($BN442=0,0,        _xll.qDateNext($BN441,CC$17,$CG$16,TRUE,Currency2))</f>
        <v>0</v>
      </c>
      <c r="CD441" s="882">
        <f>IF($BN442=0,0,        _xll.qDateNext($BN441,CD$17,$CG$16,TRUE,Currency2))</f>
        <v>0</v>
      </c>
      <c r="CE441" s="882">
        <f>IF($BN442=0,0,        _xll.qDateNext($BN441,CE$17,$CG$16,TRUE,Currency2))</f>
        <v>0</v>
      </c>
      <c r="CF441" s="882">
        <f>IF($BN442=0,0,        _xll.qDateNext($BN441,CF$17,$CG$16,TRUE,Currency2))</f>
        <v>0</v>
      </c>
      <c r="CG441" s="882">
        <f>IF($BN442=0,0,        _xll.qDateNext($BN441,CG$17,$CG$16,TRUE,Currency2))</f>
        <v>0</v>
      </c>
      <c r="CH441" s="886">
        <v>0</v>
      </c>
      <c r="CI441" s="886">
        <v>0</v>
      </c>
      <c r="CJ441" s="886">
        <v>0</v>
      </c>
      <c r="CK441" s="886">
        <v>0</v>
      </c>
      <c r="CL441" s="886">
        <f t="shared" si="221"/>
        <v>0</v>
      </c>
      <c r="CM441" s="886">
        <f t="shared" si="222"/>
        <v>0</v>
      </c>
      <c r="CN441" s="886">
        <v>0</v>
      </c>
      <c r="CO441" s="886">
        <v>0</v>
      </c>
      <c r="CP441" s="648">
        <f t="shared" si="199"/>
        <v>0</v>
      </c>
      <c r="CQ441" s="648">
        <f t="shared" si="200"/>
        <v>0</v>
      </c>
      <c r="CR441" s="648">
        <f t="shared" si="201"/>
        <v>0</v>
      </c>
      <c r="CS441" s="648">
        <f t="shared" si="202"/>
        <v>0</v>
      </c>
      <c r="CT441" s="648">
        <f t="shared" si="203"/>
        <v>0</v>
      </c>
      <c r="CU441" s="648">
        <f t="shared" si="204"/>
        <v>0</v>
      </c>
      <c r="CV441" s="648">
        <f t="shared" si="205"/>
        <v>0</v>
      </c>
      <c r="CW441" s="648">
        <f t="shared" si="206"/>
        <v>0</v>
      </c>
      <c r="CX441" s="634">
        <v>0</v>
      </c>
      <c r="CY441" s="616"/>
      <c r="CZ441" s="619">
        <f>IF(BN442=0,0,             IF(ISNUMBER(CY441),CY441,             IF(ISTEXT(CY441),INDEX(CP441:CW441,MATCH(CY441,$CP$17:$CW$17,0)),           IF(CX441="INT",_xll.qInterp(BN442,BZ441:CG441,CP441:CW441),       INDEX(CP441:CW441,MATCH(CX441,$CP$17:$CW$17,0))))))</f>
        <v>0</v>
      </c>
      <c r="DA441" s="755">
        <f t="shared" si="207"/>
        <v>0</v>
      </c>
      <c r="DB441" s="387">
        <f t="shared" si="208"/>
        <v>0</v>
      </c>
      <c r="DC441" s="268">
        <f>IF($BN442=0,0,         IF(LEFT(DCC_Leg2_Fixed,2)="1/",uEvaluate(DCC_Leg2_Fixed),         _xll.qDateYears($BN441,$BN442,DCC_Leg2_Fixed)))</f>
        <v>0</v>
      </c>
      <c r="DD441" s="268">
        <f>IF($BN442,_xll.qDateYears($BN441,$BN442,DCC_Leg2_Float),0)</f>
        <v>0</v>
      </c>
      <c r="DF441" s="332">
        <f t="shared" si="223"/>
        <v>0</v>
      </c>
      <c r="DG441" s="357">
        <f t="shared" si="224"/>
        <v>0</v>
      </c>
      <c r="DH441" s="527"/>
      <c r="DJ441" s="324">
        <f t="shared" si="226"/>
        <v>0</v>
      </c>
      <c r="DK441" s="529"/>
      <c r="DL441" s="338"/>
    </row>
    <row r="442" spans="15:116">
      <c r="O442" s="121">
        <v>0</v>
      </c>
      <c r="P442" s="755">
        <f t="shared" si="195"/>
        <v>0</v>
      </c>
      <c r="Q442" s="125">
        <v>0</v>
      </c>
      <c r="R442" s="890">
        <f>IF(O443=0,0,         IF(OR(Currency1="AUD",Currency1="NZD",Currency1="GBP"),O442,   _xll.qDateNext(O442,"-2b",,,IF(Currency1="EUR","TGT","LON"))))</f>
        <v>0</v>
      </c>
      <c r="S442" s="879" t="str">
        <v/>
      </c>
      <c r="T442" s="879" t="str">
        <v/>
      </c>
      <c r="U442" s="879" t="str">
        <v/>
      </c>
      <c r="V442" s="879" t="str">
        <v/>
      </c>
      <c r="W442" s="879" t="str">
        <v/>
      </c>
      <c r="X442" s="879" t="str">
        <v/>
      </c>
      <c r="Y442" s="879" t="str">
        <v/>
      </c>
      <c r="Z442" s="879" t="str">
        <v/>
      </c>
      <c r="AA442" s="882">
        <f>IF($O443=0,0,        _xll.qDateNext($O442,AA$17,$AH$16,TRUE,Currency1))</f>
        <v>0</v>
      </c>
      <c r="AB442" s="882">
        <f>IF($O443=0,0,        _xll.qDateNext($O442,AB$17,$AH$16,TRUE,Currency1))</f>
        <v>0</v>
      </c>
      <c r="AC442" s="882">
        <f>IF($O443=0,0,        _xll.qDateNext($O442,AC$17,$AH$16,TRUE,Currency1))</f>
        <v>0</v>
      </c>
      <c r="AD442" s="882">
        <f>IF($O443=0,0,        _xll.qDateNext($O442,AD$17,$AH$16,TRUE,Currency1))</f>
        <v>0</v>
      </c>
      <c r="AE442" s="882">
        <f>IF($O443=0,0,        _xll.qDateNext($O442,AE$17,$AH$16,TRUE,Currency1))</f>
        <v>0</v>
      </c>
      <c r="AF442" s="882">
        <f>IF($O443=0,0,        _xll.qDateNext($O442,AF$17,$AH$16,TRUE,Currency1))</f>
        <v>0</v>
      </c>
      <c r="AG442" s="882">
        <f>IF($O443=0,0,        _xll.qDateNext($O442,AG$17,$AH$16,TRUE,Currency1))</f>
        <v>0</v>
      </c>
      <c r="AH442" s="882">
        <f>IF($O443=0,0,        _xll.qDateNext($O442,AH$17,$AH$16,TRUE,Currency1))</f>
        <v>0</v>
      </c>
      <c r="AI442" s="886">
        <f>IF($O443=0,0,           IF(FRM,_xll.qGetFwdRate(AI$14,$O442,AA442,"T",DCC_Leg1_Float),_xll.qGetFwdRate(AI$14,$O442,$O443,"T",DCC_Leg1_Float)))</f>
        <v>0</v>
      </c>
      <c r="AJ442" s="886">
        <f>IF($O443=0,0,           IF(FRM,_xll.qGetFwdRate(AJ$14,$O442,AB442,"T",DCC_Leg1_Float),_xll.qGetFwdRate(AJ$14,$O442,$O443,"T",DCC_Leg1_Float)))</f>
        <v>0</v>
      </c>
      <c r="AK442" s="886">
        <f t="shared" si="196"/>
        <v>0</v>
      </c>
      <c r="AL442" s="886">
        <f>IF($O443=0,0,           IF(FRM,_xll.qGetFwdRate(AL$14,$O442,AD442,"T",DCC_Leg1_Float),_xll.qGetFwdRate(AL$14,$O442,$O443,"T",DCC_Leg1_Float)))</f>
        <v>0</v>
      </c>
      <c r="AM442" s="886">
        <f t="shared" si="209"/>
        <v>0</v>
      </c>
      <c r="AN442" s="886">
        <f t="shared" si="210"/>
        <v>0</v>
      </c>
      <c r="AO442" s="886">
        <f>IF($O443=0,0,           IF(FRM,_xll.qGetFwdRate(AO$14,$O442,AG442,"T",DCC_Leg1_Float),_xll.qGetFwdRate(AO$14,$O442,$O443,"T",DCC_Leg1_Float)))</f>
        <v>0</v>
      </c>
      <c r="AP442" s="886">
        <f>IF($O443=0,0,           IF(FRM,_xll.qGetFwdRate(AP$14,$O442,AH442,"T",DCC_Leg1_Float),_xll.qGetFwdRate(AP$14,$O442,$O443,"T",DCC_Leg1_Float)))</f>
        <v>0</v>
      </c>
      <c r="AQ442" s="648">
        <f t="shared" si="211"/>
        <v>0</v>
      </c>
      <c r="AR442" s="648">
        <f t="shared" si="212"/>
        <v>0</v>
      </c>
      <c r="AS442" s="648">
        <f t="shared" si="213"/>
        <v>0</v>
      </c>
      <c r="AT442" s="648">
        <f t="shared" si="214"/>
        <v>0</v>
      </c>
      <c r="AU442" s="648">
        <f t="shared" si="215"/>
        <v>0</v>
      </c>
      <c r="AV442" s="648">
        <f t="shared" si="216"/>
        <v>0</v>
      </c>
      <c r="AW442" s="648">
        <f t="shared" si="217"/>
        <v>0</v>
      </c>
      <c r="AX442" s="648">
        <f t="shared" si="218"/>
        <v>0</v>
      </c>
      <c r="AY442" s="634">
        <v>0</v>
      </c>
      <c r="AZ442" s="616"/>
      <c r="BA442" s="619">
        <f>IF(O443=0,0,             IF(ISNUMBER(AZ442),AZ442,             IF(ISTEXT(AZ442),INDEX(AQ442:AX442,MATCH(AZ442,$AQ$17:$AX$17,0)),           IF(AY442="INT",_xll.qInterp(O443,AA442:AH442,AQ442:AX442),       INDEX(AQ442:AX442,MATCH(AY442,$AQ$17:$AX$17,0))))))</f>
        <v>0</v>
      </c>
      <c r="BB442" s="674">
        <v>100</v>
      </c>
      <c r="BC442" s="666">
        <f t="shared" si="197"/>
        <v>0</v>
      </c>
      <c r="BD442" s="268">
        <f>IF($O443=0,0,                IF(LEFT(DCC_Leg1_Fixed,2)="1/",uEvaluate(DCC_Leg1_Fixed),        _xll.qDateYears($O442,$O443,DCC_Leg1_Fixed)))</f>
        <v>0</v>
      </c>
      <c r="BE442" s="268">
        <f>IF($O443,_xll.qDateYears($O442,$O443,DCC_Leg1_Float),0)</f>
        <v>0</v>
      </c>
      <c r="BG442" s="332">
        <f t="shared" si="219"/>
        <v>0</v>
      </c>
      <c r="BH442" s="357">
        <f t="shared" si="220"/>
        <v>0</v>
      </c>
      <c r="BI442" s="527"/>
      <c r="BK442" s="324">
        <f t="shared" si="225"/>
        <v>0</v>
      </c>
      <c r="BM442" s="338"/>
      <c r="BN442" s="121">
        <v>0</v>
      </c>
      <c r="BO442" s="755">
        <f t="shared" si="198"/>
        <v>0</v>
      </c>
      <c r="BP442" s="339">
        <v>0</v>
      </c>
      <c r="BQ442" s="890">
        <f>IF(BN443=0,0,         IF(OR(Currency2="AUD",Currency1="NZD",Currency2="GBP"),BN442,   _xll.qDateNext(BN442,"-2b",,,IF(Currency2="EUR","TGT","LON"))))</f>
        <v>0</v>
      </c>
      <c r="BR442" s="879" t="str">
        <v/>
      </c>
      <c r="BS442" s="879" t="str">
        <v/>
      </c>
      <c r="BT442" s="879" t="str">
        <v/>
      </c>
      <c r="BU442" s="879" t="str">
        <v/>
      </c>
      <c r="BV442" s="879" t="str">
        <v/>
      </c>
      <c r="BW442" s="879" t="str">
        <v/>
      </c>
      <c r="BX442" s="879" t="str">
        <v/>
      </c>
      <c r="BY442" s="879" t="str">
        <v/>
      </c>
      <c r="BZ442" s="882">
        <f>IF($BN443=0,0,        _xll.qDateNext($BN442,BZ$17,$CG$16,TRUE,Currency2))</f>
        <v>0</v>
      </c>
      <c r="CA442" s="882">
        <f>IF($BN443=0,0,        _xll.qDateNext($BN442,CA$17,$CG$16,TRUE,Currency2))</f>
        <v>0</v>
      </c>
      <c r="CB442" s="882">
        <f>IF($BN443=0,0,        _xll.qDateNext($BN442,CB$17,$CG$16,TRUE,Currency2))</f>
        <v>0</v>
      </c>
      <c r="CC442" s="882">
        <f>IF($BN443=0,0,        _xll.qDateNext($BN442,CC$17,$CG$16,TRUE,Currency2))</f>
        <v>0</v>
      </c>
      <c r="CD442" s="882">
        <f>IF($BN443=0,0,        _xll.qDateNext($BN442,CD$17,$CG$16,TRUE,Currency2))</f>
        <v>0</v>
      </c>
      <c r="CE442" s="882">
        <f>IF($BN443=0,0,        _xll.qDateNext($BN442,CE$17,$CG$16,TRUE,Currency2))</f>
        <v>0</v>
      </c>
      <c r="CF442" s="882">
        <f>IF($BN443=0,0,        _xll.qDateNext($BN442,CF$17,$CG$16,TRUE,Currency2))</f>
        <v>0</v>
      </c>
      <c r="CG442" s="882">
        <f>IF($BN443=0,0,        _xll.qDateNext($BN442,CG$17,$CG$16,TRUE,Currency2))</f>
        <v>0</v>
      </c>
      <c r="CH442" s="886">
        <v>0</v>
      </c>
      <c r="CI442" s="886">
        <v>0</v>
      </c>
      <c r="CJ442" s="886">
        <v>0</v>
      </c>
      <c r="CK442" s="886">
        <v>0</v>
      </c>
      <c r="CL442" s="886">
        <f t="shared" si="221"/>
        <v>0</v>
      </c>
      <c r="CM442" s="886">
        <f t="shared" si="222"/>
        <v>0</v>
      </c>
      <c r="CN442" s="886">
        <v>0</v>
      </c>
      <c r="CO442" s="886">
        <v>0</v>
      </c>
      <c r="CP442" s="648">
        <f t="shared" si="199"/>
        <v>0</v>
      </c>
      <c r="CQ442" s="648">
        <f t="shared" si="200"/>
        <v>0</v>
      </c>
      <c r="CR442" s="648">
        <f t="shared" si="201"/>
        <v>0</v>
      </c>
      <c r="CS442" s="648">
        <f t="shared" si="202"/>
        <v>0</v>
      </c>
      <c r="CT442" s="648">
        <f t="shared" si="203"/>
        <v>0</v>
      </c>
      <c r="CU442" s="648">
        <f t="shared" si="204"/>
        <v>0</v>
      </c>
      <c r="CV442" s="648">
        <f t="shared" si="205"/>
        <v>0</v>
      </c>
      <c r="CW442" s="648">
        <f t="shared" si="206"/>
        <v>0</v>
      </c>
      <c r="CX442" s="634">
        <v>0</v>
      </c>
      <c r="CY442" s="616"/>
      <c r="CZ442" s="619">
        <f>IF(BN443=0,0,             IF(ISNUMBER(CY442),CY442,             IF(ISTEXT(CY442),INDEX(CP442:CW442,MATCH(CY442,$CP$17:$CW$17,0)),           IF(CX442="INT",_xll.qInterp(BN443,BZ442:CG442,CP442:CW442),       INDEX(CP442:CW442,MATCH(CX442,$CP$17:$CW$17,0))))))</f>
        <v>0</v>
      </c>
      <c r="DA442" s="755">
        <f t="shared" si="207"/>
        <v>0</v>
      </c>
      <c r="DB442" s="387">
        <f t="shared" si="208"/>
        <v>0</v>
      </c>
      <c r="DC442" s="268">
        <f>IF($BN443=0,0,         IF(LEFT(DCC_Leg2_Fixed,2)="1/",uEvaluate(DCC_Leg2_Fixed),         _xll.qDateYears($BN442,$BN443,DCC_Leg2_Fixed)))</f>
        <v>0</v>
      </c>
      <c r="DD442" s="268">
        <f>IF($BN443,_xll.qDateYears($BN442,$BN443,DCC_Leg2_Float),0)</f>
        <v>0</v>
      </c>
      <c r="DF442" s="332">
        <f t="shared" si="223"/>
        <v>0</v>
      </c>
      <c r="DG442" s="357">
        <f t="shared" si="224"/>
        <v>0</v>
      </c>
      <c r="DH442" s="527"/>
      <c r="DJ442" s="324">
        <f t="shared" si="226"/>
        <v>0</v>
      </c>
      <c r="DK442" s="529"/>
      <c r="DL442" s="338"/>
    </row>
    <row r="443" spans="15:116">
      <c r="O443" s="121">
        <v>0</v>
      </c>
      <c r="P443" s="755">
        <f t="shared" si="195"/>
        <v>0</v>
      </c>
      <c r="Q443" s="125">
        <v>0</v>
      </c>
      <c r="R443" s="890">
        <f>IF(O444=0,0,         IF(OR(Currency1="AUD",Currency1="NZD",Currency1="GBP"),O443,   _xll.qDateNext(O443,"-2b",,,IF(Currency1="EUR","TGT","LON"))))</f>
        <v>0</v>
      </c>
      <c r="S443" s="879" t="str">
        <v/>
      </c>
      <c r="T443" s="879" t="str">
        <v/>
      </c>
      <c r="U443" s="879" t="str">
        <v/>
      </c>
      <c r="V443" s="879" t="str">
        <v/>
      </c>
      <c r="W443" s="879" t="str">
        <v/>
      </c>
      <c r="X443" s="879" t="str">
        <v/>
      </c>
      <c r="Y443" s="879" t="str">
        <v/>
      </c>
      <c r="Z443" s="879" t="str">
        <v/>
      </c>
      <c r="AA443" s="882">
        <f>IF($O444=0,0,        _xll.qDateNext($O443,AA$17,$AH$16,TRUE,Currency1))</f>
        <v>0</v>
      </c>
      <c r="AB443" s="882">
        <f>IF($O444=0,0,        _xll.qDateNext($O443,AB$17,$AH$16,TRUE,Currency1))</f>
        <v>0</v>
      </c>
      <c r="AC443" s="882">
        <f>IF($O444=0,0,        _xll.qDateNext($O443,AC$17,$AH$16,TRUE,Currency1))</f>
        <v>0</v>
      </c>
      <c r="AD443" s="882">
        <f>IF($O444=0,0,        _xll.qDateNext($O443,AD$17,$AH$16,TRUE,Currency1))</f>
        <v>0</v>
      </c>
      <c r="AE443" s="882">
        <f>IF($O444=0,0,        _xll.qDateNext($O443,AE$17,$AH$16,TRUE,Currency1))</f>
        <v>0</v>
      </c>
      <c r="AF443" s="882">
        <f>IF($O444=0,0,        _xll.qDateNext($O443,AF$17,$AH$16,TRUE,Currency1))</f>
        <v>0</v>
      </c>
      <c r="AG443" s="882">
        <f>IF($O444=0,0,        _xll.qDateNext($O443,AG$17,$AH$16,TRUE,Currency1))</f>
        <v>0</v>
      </c>
      <c r="AH443" s="882">
        <f>IF($O444=0,0,        _xll.qDateNext($O443,AH$17,$AH$16,TRUE,Currency1))</f>
        <v>0</v>
      </c>
      <c r="AI443" s="886">
        <f>IF($O444=0,0,           IF(FRM,_xll.qGetFwdRate(AI$14,$O443,AA443,"T",DCC_Leg1_Float),_xll.qGetFwdRate(AI$14,$O443,$O444,"T",DCC_Leg1_Float)))</f>
        <v>0</v>
      </c>
      <c r="AJ443" s="886">
        <f>IF($O444=0,0,           IF(FRM,_xll.qGetFwdRate(AJ$14,$O443,AB443,"T",DCC_Leg1_Float),_xll.qGetFwdRate(AJ$14,$O443,$O444,"T",DCC_Leg1_Float)))</f>
        <v>0</v>
      </c>
      <c r="AK443" s="886">
        <f t="shared" si="196"/>
        <v>0</v>
      </c>
      <c r="AL443" s="886">
        <f>IF($O444=0,0,           IF(FRM,_xll.qGetFwdRate(AL$14,$O443,AD443,"T",DCC_Leg1_Float),_xll.qGetFwdRate(AL$14,$O443,$O444,"T",DCC_Leg1_Float)))</f>
        <v>0</v>
      </c>
      <c r="AM443" s="886">
        <f t="shared" si="209"/>
        <v>0</v>
      </c>
      <c r="AN443" s="886">
        <f t="shared" si="210"/>
        <v>0</v>
      </c>
      <c r="AO443" s="886">
        <f>IF($O444=0,0,           IF(FRM,_xll.qGetFwdRate(AO$14,$O443,AG443,"T",DCC_Leg1_Float),_xll.qGetFwdRate(AO$14,$O443,$O444,"T",DCC_Leg1_Float)))</f>
        <v>0</v>
      </c>
      <c r="AP443" s="886">
        <f>IF($O444=0,0,           IF(FRM,_xll.qGetFwdRate(AP$14,$O443,AH443,"T",DCC_Leg1_Float),_xll.qGetFwdRate(AP$14,$O443,$O444,"T",DCC_Leg1_Float)))</f>
        <v>0</v>
      </c>
      <c r="AQ443" s="648">
        <f t="shared" si="211"/>
        <v>0</v>
      </c>
      <c r="AR443" s="648">
        <f t="shared" si="212"/>
        <v>0</v>
      </c>
      <c r="AS443" s="648">
        <f t="shared" si="213"/>
        <v>0</v>
      </c>
      <c r="AT443" s="648">
        <f t="shared" si="214"/>
        <v>0</v>
      </c>
      <c r="AU443" s="648">
        <f t="shared" si="215"/>
        <v>0</v>
      </c>
      <c r="AV443" s="648">
        <f t="shared" si="216"/>
        <v>0</v>
      </c>
      <c r="AW443" s="648">
        <f t="shared" si="217"/>
        <v>0</v>
      </c>
      <c r="AX443" s="648">
        <f t="shared" si="218"/>
        <v>0</v>
      </c>
      <c r="AY443" s="634">
        <v>0</v>
      </c>
      <c r="AZ443" s="616"/>
      <c r="BA443" s="619">
        <f>IF(O444=0,0,             IF(ISNUMBER(AZ443),AZ443,             IF(ISTEXT(AZ443),INDEX(AQ443:AX443,MATCH(AZ443,$AQ$17:$AX$17,0)),           IF(AY443="INT",_xll.qInterp(O444,AA443:AH443,AQ443:AX443),       INDEX(AQ443:AX443,MATCH(AY443,$AQ$17:$AX$17,0))))))</f>
        <v>0</v>
      </c>
      <c r="BB443" s="674">
        <v>100</v>
      </c>
      <c r="BC443" s="666">
        <f t="shared" si="197"/>
        <v>0</v>
      </c>
      <c r="BD443" s="268">
        <f>IF($O444=0,0,                IF(LEFT(DCC_Leg1_Fixed,2)="1/",uEvaluate(DCC_Leg1_Fixed),        _xll.qDateYears($O443,$O444,DCC_Leg1_Fixed)))</f>
        <v>0</v>
      </c>
      <c r="BE443" s="268">
        <f>IF($O444,_xll.qDateYears($O443,$O444,DCC_Leg1_Float),0)</f>
        <v>0</v>
      </c>
      <c r="BG443" s="332">
        <f t="shared" si="219"/>
        <v>0</v>
      </c>
      <c r="BH443" s="357">
        <f t="shared" si="220"/>
        <v>0</v>
      </c>
      <c r="BI443" s="527"/>
      <c r="BK443" s="324">
        <f t="shared" si="225"/>
        <v>0</v>
      </c>
      <c r="BM443" s="338"/>
      <c r="BN443" s="121">
        <v>0</v>
      </c>
      <c r="BO443" s="755">
        <f t="shared" si="198"/>
        <v>0</v>
      </c>
      <c r="BP443" s="339">
        <v>0</v>
      </c>
      <c r="BQ443" s="890">
        <f>IF(BN444=0,0,         IF(OR(Currency2="AUD",Currency1="NZD",Currency2="GBP"),BN443,   _xll.qDateNext(BN443,"-2b",,,IF(Currency2="EUR","TGT","LON"))))</f>
        <v>0</v>
      </c>
      <c r="BR443" s="879" t="str">
        <v/>
      </c>
      <c r="BS443" s="879" t="str">
        <v/>
      </c>
      <c r="BT443" s="879" t="str">
        <v/>
      </c>
      <c r="BU443" s="879" t="str">
        <v/>
      </c>
      <c r="BV443" s="879" t="str">
        <v/>
      </c>
      <c r="BW443" s="879" t="str">
        <v/>
      </c>
      <c r="BX443" s="879" t="str">
        <v/>
      </c>
      <c r="BY443" s="879" t="str">
        <v/>
      </c>
      <c r="BZ443" s="882">
        <f>IF($BN444=0,0,        _xll.qDateNext($BN443,BZ$17,$CG$16,TRUE,Currency2))</f>
        <v>0</v>
      </c>
      <c r="CA443" s="882">
        <f>IF($BN444=0,0,        _xll.qDateNext($BN443,CA$17,$CG$16,TRUE,Currency2))</f>
        <v>0</v>
      </c>
      <c r="CB443" s="882">
        <f>IF($BN444=0,0,        _xll.qDateNext($BN443,CB$17,$CG$16,TRUE,Currency2))</f>
        <v>0</v>
      </c>
      <c r="CC443" s="882">
        <f>IF($BN444=0,0,        _xll.qDateNext($BN443,CC$17,$CG$16,TRUE,Currency2))</f>
        <v>0</v>
      </c>
      <c r="CD443" s="882">
        <f>IF($BN444=0,0,        _xll.qDateNext($BN443,CD$17,$CG$16,TRUE,Currency2))</f>
        <v>0</v>
      </c>
      <c r="CE443" s="882">
        <f>IF($BN444=0,0,        _xll.qDateNext($BN443,CE$17,$CG$16,TRUE,Currency2))</f>
        <v>0</v>
      </c>
      <c r="CF443" s="882">
        <f>IF($BN444=0,0,        _xll.qDateNext($BN443,CF$17,$CG$16,TRUE,Currency2))</f>
        <v>0</v>
      </c>
      <c r="CG443" s="882">
        <f>IF($BN444=0,0,        _xll.qDateNext($BN443,CG$17,$CG$16,TRUE,Currency2))</f>
        <v>0</v>
      </c>
      <c r="CH443" s="886">
        <v>0</v>
      </c>
      <c r="CI443" s="886">
        <v>0</v>
      </c>
      <c r="CJ443" s="886">
        <v>0</v>
      </c>
      <c r="CK443" s="886">
        <v>0</v>
      </c>
      <c r="CL443" s="886">
        <f t="shared" si="221"/>
        <v>0</v>
      </c>
      <c r="CM443" s="886">
        <f t="shared" si="222"/>
        <v>0</v>
      </c>
      <c r="CN443" s="886">
        <v>0</v>
      </c>
      <c r="CO443" s="886">
        <v>0</v>
      </c>
      <c r="CP443" s="648">
        <f t="shared" si="199"/>
        <v>0</v>
      </c>
      <c r="CQ443" s="648">
        <f t="shared" si="200"/>
        <v>0</v>
      </c>
      <c r="CR443" s="648">
        <f t="shared" si="201"/>
        <v>0</v>
      </c>
      <c r="CS443" s="648">
        <f t="shared" si="202"/>
        <v>0</v>
      </c>
      <c r="CT443" s="648">
        <f t="shared" si="203"/>
        <v>0</v>
      </c>
      <c r="CU443" s="648">
        <f t="shared" si="204"/>
        <v>0</v>
      </c>
      <c r="CV443" s="648">
        <f t="shared" si="205"/>
        <v>0</v>
      </c>
      <c r="CW443" s="648">
        <f t="shared" si="206"/>
        <v>0</v>
      </c>
      <c r="CX443" s="634">
        <v>0</v>
      </c>
      <c r="CY443" s="616"/>
      <c r="CZ443" s="619">
        <f>IF(BN444=0,0,             IF(ISNUMBER(CY443),CY443,             IF(ISTEXT(CY443),INDEX(CP443:CW443,MATCH(CY443,$CP$17:$CW$17,0)),           IF(CX443="INT",_xll.qInterp(BN444,BZ443:CG443,CP443:CW443),       INDEX(CP443:CW443,MATCH(CX443,$CP$17:$CW$17,0))))))</f>
        <v>0</v>
      </c>
      <c r="DA443" s="755">
        <f t="shared" si="207"/>
        <v>0</v>
      </c>
      <c r="DB443" s="387">
        <f t="shared" si="208"/>
        <v>0</v>
      </c>
      <c r="DC443" s="268">
        <f>IF($BN444=0,0,         IF(LEFT(DCC_Leg2_Fixed,2)="1/",uEvaluate(DCC_Leg2_Fixed),         _xll.qDateYears($BN443,$BN444,DCC_Leg2_Fixed)))</f>
        <v>0</v>
      </c>
      <c r="DD443" s="268">
        <f>IF($BN444,_xll.qDateYears($BN443,$BN444,DCC_Leg2_Float),0)</f>
        <v>0</v>
      </c>
      <c r="DF443" s="332">
        <f t="shared" si="223"/>
        <v>0</v>
      </c>
      <c r="DG443" s="357">
        <f t="shared" si="224"/>
        <v>0</v>
      </c>
      <c r="DH443" s="527"/>
      <c r="DJ443" s="324">
        <f t="shared" si="226"/>
        <v>0</v>
      </c>
      <c r="DK443" s="529"/>
      <c r="DL443" s="338"/>
    </row>
    <row r="444" spans="15:116">
      <c r="O444" s="121">
        <v>0</v>
      </c>
      <c r="P444" s="755">
        <f t="shared" si="195"/>
        <v>0</v>
      </c>
      <c r="Q444" s="125">
        <v>0</v>
      </c>
      <c r="R444" s="890">
        <f>IF(O445=0,0,         IF(OR(Currency1="AUD",Currency1="NZD",Currency1="GBP"),O444,   _xll.qDateNext(O444,"-2b",,,IF(Currency1="EUR","TGT","LON"))))</f>
        <v>0</v>
      </c>
      <c r="S444" s="879" t="str">
        <v/>
      </c>
      <c r="T444" s="879" t="str">
        <v/>
      </c>
      <c r="U444" s="879" t="str">
        <v/>
      </c>
      <c r="V444" s="879" t="str">
        <v/>
      </c>
      <c r="W444" s="879" t="str">
        <v/>
      </c>
      <c r="X444" s="879" t="str">
        <v/>
      </c>
      <c r="Y444" s="879" t="str">
        <v/>
      </c>
      <c r="Z444" s="879" t="str">
        <v/>
      </c>
      <c r="AA444" s="882">
        <f>IF($O445=0,0,        _xll.qDateNext($O444,AA$17,$AH$16,TRUE,Currency1))</f>
        <v>0</v>
      </c>
      <c r="AB444" s="882">
        <f>IF($O445=0,0,        _xll.qDateNext($O444,AB$17,$AH$16,TRUE,Currency1))</f>
        <v>0</v>
      </c>
      <c r="AC444" s="882">
        <f>IF($O445=0,0,        _xll.qDateNext($O444,AC$17,$AH$16,TRUE,Currency1))</f>
        <v>0</v>
      </c>
      <c r="AD444" s="882">
        <f>IF($O445=0,0,        _xll.qDateNext($O444,AD$17,$AH$16,TRUE,Currency1))</f>
        <v>0</v>
      </c>
      <c r="AE444" s="882">
        <f>IF($O445=0,0,        _xll.qDateNext($O444,AE$17,$AH$16,TRUE,Currency1))</f>
        <v>0</v>
      </c>
      <c r="AF444" s="882">
        <f>IF($O445=0,0,        _xll.qDateNext($O444,AF$17,$AH$16,TRUE,Currency1))</f>
        <v>0</v>
      </c>
      <c r="AG444" s="882">
        <f>IF($O445=0,0,        _xll.qDateNext($O444,AG$17,$AH$16,TRUE,Currency1))</f>
        <v>0</v>
      </c>
      <c r="AH444" s="882">
        <f>IF($O445=0,0,        _xll.qDateNext($O444,AH$17,$AH$16,TRUE,Currency1))</f>
        <v>0</v>
      </c>
      <c r="AI444" s="886">
        <f>IF($O445=0,0,           IF(FRM,_xll.qGetFwdRate(AI$14,$O444,AA444,"T",DCC_Leg1_Float),_xll.qGetFwdRate(AI$14,$O444,$O445,"T",DCC_Leg1_Float)))</f>
        <v>0</v>
      </c>
      <c r="AJ444" s="886">
        <f>IF($O445=0,0,           IF(FRM,_xll.qGetFwdRate(AJ$14,$O444,AB444,"T",DCC_Leg1_Float),_xll.qGetFwdRate(AJ$14,$O444,$O445,"T",DCC_Leg1_Float)))</f>
        <v>0</v>
      </c>
      <c r="AK444" s="886">
        <f t="shared" si="196"/>
        <v>0</v>
      </c>
      <c r="AL444" s="886">
        <f>IF($O445=0,0,           IF(FRM,_xll.qGetFwdRate(AL$14,$O444,AD444,"T",DCC_Leg1_Float),_xll.qGetFwdRate(AL$14,$O444,$O445,"T",DCC_Leg1_Float)))</f>
        <v>0</v>
      </c>
      <c r="AM444" s="886">
        <f t="shared" si="209"/>
        <v>0</v>
      </c>
      <c r="AN444" s="886">
        <f t="shared" si="210"/>
        <v>0</v>
      </c>
      <c r="AO444" s="886">
        <f>IF($O445=0,0,           IF(FRM,_xll.qGetFwdRate(AO$14,$O444,AG444,"T",DCC_Leg1_Float),_xll.qGetFwdRate(AO$14,$O444,$O445,"T",DCC_Leg1_Float)))</f>
        <v>0</v>
      </c>
      <c r="AP444" s="886">
        <f>IF($O445=0,0,           IF(FRM,_xll.qGetFwdRate(AP$14,$O444,AH444,"T",DCC_Leg1_Float),_xll.qGetFwdRate(AP$14,$O444,$O445,"T",DCC_Leg1_Float)))</f>
        <v>0</v>
      </c>
      <c r="AQ444" s="648">
        <f t="shared" si="211"/>
        <v>0</v>
      </c>
      <c r="AR444" s="648">
        <f t="shared" si="212"/>
        <v>0</v>
      </c>
      <c r="AS444" s="648">
        <f t="shared" si="213"/>
        <v>0</v>
      </c>
      <c r="AT444" s="648">
        <f t="shared" si="214"/>
        <v>0</v>
      </c>
      <c r="AU444" s="648">
        <f t="shared" si="215"/>
        <v>0</v>
      </c>
      <c r="AV444" s="648">
        <f t="shared" si="216"/>
        <v>0</v>
      </c>
      <c r="AW444" s="648">
        <f t="shared" si="217"/>
        <v>0</v>
      </c>
      <c r="AX444" s="648">
        <f t="shared" si="218"/>
        <v>0</v>
      </c>
      <c r="AY444" s="634">
        <v>0</v>
      </c>
      <c r="AZ444" s="616"/>
      <c r="BA444" s="619">
        <f>IF(O445=0,0,             IF(ISNUMBER(AZ444),AZ444,             IF(ISTEXT(AZ444),INDEX(AQ444:AX444,MATCH(AZ444,$AQ$17:$AX$17,0)),           IF(AY444="INT",_xll.qInterp(O445,AA444:AH444,AQ444:AX444),       INDEX(AQ444:AX444,MATCH(AY444,$AQ$17:$AX$17,0))))))</f>
        <v>0</v>
      </c>
      <c r="BB444" s="674">
        <v>100</v>
      </c>
      <c r="BC444" s="666">
        <f t="shared" si="197"/>
        <v>0</v>
      </c>
      <c r="BD444" s="268">
        <f>IF($O445=0,0,                IF(LEFT(DCC_Leg1_Fixed,2)="1/",uEvaluate(DCC_Leg1_Fixed),        _xll.qDateYears($O444,$O445,DCC_Leg1_Fixed)))</f>
        <v>0</v>
      </c>
      <c r="BE444" s="268">
        <f>IF($O445,_xll.qDateYears($O444,$O445,DCC_Leg1_Float),0)</f>
        <v>0</v>
      </c>
      <c r="BG444" s="332">
        <f t="shared" si="219"/>
        <v>0</v>
      </c>
      <c r="BH444" s="357">
        <f t="shared" si="220"/>
        <v>0</v>
      </c>
      <c r="BI444" s="527"/>
      <c r="BK444" s="324">
        <f t="shared" si="225"/>
        <v>0</v>
      </c>
      <c r="BM444" s="338"/>
      <c r="BN444" s="121">
        <v>0</v>
      </c>
      <c r="BO444" s="755">
        <f t="shared" si="198"/>
        <v>0</v>
      </c>
      <c r="BP444" s="339">
        <v>0</v>
      </c>
      <c r="BQ444" s="890">
        <f>IF(BN445=0,0,         IF(OR(Currency2="AUD",Currency1="NZD",Currency2="GBP"),BN444,   _xll.qDateNext(BN444,"-2b",,,IF(Currency2="EUR","TGT","LON"))))</f>
        <v>0</v>
      </c>
      <c r="BR444" s="879" t="str">
        <v/>
      </c>
      <c r="BS444" s="879" t="str">
        <v/>
      </c>
      <c r="BT444" s="879" t="str">
        <v/>
      </c>
      <c r="BU444" s="879" t="str">
        <v/>
      </c>
      <c r="BV444" s="879" t="str">
        <v/>
      </c>
      <c r="BW444" s="879" t="str">
        <v/>
      </c>
      <c r="BX444" s="879" t="str">
        <v/>
      </c>
      <c r="BY444" s="879" t="str">
        <v/>
      </c>
      <c r="BZ444" s="882">
        <f>IF($BN445=0,0,        _xll.qDateNext($BN444,BZ$17,$CG$16,TRUE,Currency2))</f>
        <v>0</v>
      </c>
      <c r="CA444" s="882">
        <f>IF($BN445=0,0,        _xll.qDateNext($BN444,CA$17,$CG$16,TRUE,Currency2))</f>
        <v>0</v>
      </c>
      <c r="CB444" s="882">
        <f>IF($BN445=0,0,        _xll.qDateNext($BN444,CB$17,$CG$16,TRUE,Currency2))</f>
        <v>0</v>
      </c>
      <c r="CC444" s="882">
        <f>IF($BN445=0,0,        _xll.qDateNext($BN444,CC$17,$CG$16,TRUE,Currency2))</f>
        <v>0</v>
      </c>
      <c r="CD444" s="882">
        <f>IF($BN445=0,0,        _xll.qDateNext($BN444,CD$17,$CG$16,TRUE,Currency2))</f>
        <v>0</v>
      </c>
      <c r="CE444" s="882">
        <f>IF($BN445=0,0,        _xll.qDateNext($BN444,CE$17,$CG$16,TRUE,Currency2))</f>
        <v>0</v>
      </c>
      <c r="CF444" s="882">
        <f>IF($BN445=0,0,        _xll.qDateNext($BN444,CF$17,$CG$16,TRUE,Currency2))</f>
        <v>0</v>
      </c>
      <c r="CG444" s="882">
        <f>IF($BN445=0,0,        _xll.qDateNext($BN444,CG$17,$CG$16,TRUE,Currency2))</f>
        <v>0</v>
      </c>
      <c r="CH444" s="886">
        <v>0</v>
      </c>
      <c r="CI444" s="886">
        <v>0</v>
      </c>
      <c r="CJ444" s="886">
        <v>0</v>
      </c>
      <c r="CK444" s="886">
        <v>0</v>
      </c>
      <c r="CL444" s="886">
        <f t="shared" si="221"/>
        <v>0</v>
      </c>
      <c r="CM444" s="886">
        <f t="shared" si="222"/>
        <v>0</v>
      </c>
      <c r="CN444" s="886">
        <v>0</v>
      </c>
      <c r="CO444" s="886">
        <v>0</v>
      </c>
      <c r="CP444" s="648">
        <f t="shared" si="199"/>
        <v>0</v>
      </c>
      <c r="CQ444" s="648">
        <f t="shared" si="200"/>
        <v>0</v>
      </c>
      <c r="CR444" s="648">
        <f t="shared" si="201"/>
        <v>0</v>
      </c>
      <c r="CS444" s="648">
        <f t="shared" si="202"/>
        <v>0</v>
      </c>
      <c r="CT444" s="648">
        <f t="shared" si="203"/>
        <v>0</v>
      </c>
      <c r="CU444" s="648">
        <f t="shared" si="204"/>
        <v>0</v>
      </c>
      <c r="CV444" s="648">
        <f t="shared" si="205"/>
        <v>0</v>
      </c>
      <c r="CW444" s="648">
        <f t="shared" si="206"/>
        <v>0</v>
      </c>
      <c r="CX444" s="634">
        <v>0</v>
      </c>
      <c r="CY444" s="616"/>
      <c r="CZ444" s="619">
        <f>IF(BN445=0,0,             IF(ISNUMBER(CY444),CY444,             IF(ISTEXT(CY444),INDEX(CP444:CW444,MATCH(CY444,$CP$17:$CW$17,0)),           IF(CX444="INT",_xll.qInterp(BN445,BZ444:CG444,CP444:CW444),       INDEX(CP444:CW444,MATCH(CX444,$CP$17:$CW$17,0))))))</f>
        <v>0</v>
      </c>
      <c r="DA444" s="755">
        <f t="shared" si="207"/>
        <v>0</v>
      </c>
      <c r="DB444" s="387">
        <f t="shared" si="208"/>
        <v>0</v>
      </c>
      <c r="DC444" s="268">
        <f>IF($BN445=0,0,         IF(LEFT(DCC_Leg2_Fixed,2)="1/",uEvaluate(DCC_Leg2_Fixed),         _xll.qDateYears($BN444,$BN445,DCC_Leg2_Fixed)))</f>
        <v>0</v>
      </c>
      <c r="DD444" s="268">
        <f>IF($BN445,_xll.qDateYears($BN444,$BN445,DCC_Leg2_Float),0)</f>
        <v>0</v>
      </c>
      <c r="DF444" s="332">
        <f t="shared" si="223"/>
        <v>0</v>
      </c>
      <c r="DG444" s="357">
        <f t="shared" si="224"/>
        <v>0</v>
      </c>
      <c r="DH444" s="527"/>
      <c r="DJ444" s="324">
        <f t="shared" si="226"/>
        <v>0</v>
      </c>
      <c r="DK444" s="529"/>
      <c r="DL444" s="338"/>
    </row>
    <row r="445" spans="15:116">
      <c r="O445" s="121">
        <v>0</v>
      </c>
      <c r="P445" s="755">
        <f t="shared" si="195"/>
        <v>0</v>
      </c>
      <c r="Q445" s="125">
        <v>0</v>
      </c>
      <c r="R445" s="890">
        <f>IF(O446=0,0,         IF(OR(Currency1="AUD",Currency1="NZD",Currency1="GBP"),O445,   _xll.qDateNext(O445,"-2b",,,IF(Currency1="EUR","TGT","LON"))))</f>
        <v>0</v>
      </c>
      <c r="S445" s="879" t="str">
        <v/>
      </c>
      <c r="T445" s="879" t="str">
        <v/>
      </c>
      <c r="U445" s="879" t="str">
        <v/>
      </c>
      <c r="V445" s="879" t="str">
        <v/>
      </c>
      <c r="W445" s="879" t="str">
        <v/>
      </c>
      <c r="X445" s="879" t="str">
        <v/>
      </c>
      <c r="Y445" s="879" t="str">
        <v/>
      </c>
      <c r="Z445" s="879" t="str">
        <v/>
      </c>
      <c r="AA445" s="882">
        <f>IF($O446=0,0,        _xll.qDateNext($O445,AA$17,$AH$16,TRUE,Currency1))</f>
        <v>0</v>
      </c>
      <c r="AB445" s="882">
        <f>IF($O446=0,0,        _xll.qDateNext($O445,AB$17,$AH$16,TRUE,Currency1))</f>
        <v>0</v>
      </c>
      <c r="AC445" s="882">
        <f>IF($O446=0,0,        _xll.qDateNext($O445,AC$17,$AH$16,TRUE,Currency1))</f>
        <v>0</v>
      </c>
      <c r="AD445" s="882">
        <f>IF($O446=0,0,        _xll.qDateNext($O445,AD$17,$AH$16,TRUE,Currency1))</f>
        <v>0</v>
      </c>
      <c r="AE445" s="882">
        <f>IF($O446=0,0,        _xll.qDateNext($O445,AE$17,$AH$16,TRUE,Currency1))</f>
        <v>0</v>
      </c>
      <c r="AF445" s="882">
        <f>IF($O446=0,0,        _xll.qDateNext($O445,AF$17,$AH$16,TRUE,Currency1))</f>
        <v>0</v>
      </c>
      <c r="AG445" s="882">
        <f>IF($O446=0,0,        _xll.qDateNext($O445,AG$17,$AH$16,TRUE,Currency1))</f>
        <v>0</v>
      </c>
      <c r="AH445" s="882">
        <f>IF($O446=0,0,        _xll.qDateNext($O445,AH$17,$AH$16,TRUE,Currency1))</f>
        <v>0</v>
      </c>
      <c r="AI445" s="886">
        <f>IF($O446=0,0,           IF(FRM,_xll.qGetFwdRate(AI$14,$O445,AA445,"T",DCC_Leg1_Float),_xll.qGetFwdRate(AI$14,$O445,$O446,"T",DCC_Leg1_Float)))</f>
        <v>0</v>
      </c>
      <c r="AJ445" s="886">
        <f>IF($O446=0,0,           IF(FRM,_xll.qGetFwdRate(AJ$14,$O445,AB445,"T",DCC_Leg1_Float),_xll.qGetFwdRate(AJ$14,$O445,$O446,"T",DCC_Leg1_Float)))</f>
        <v>0</v>
      </c>
      <c r="AK445" s="886">
        <f t="shared" si="196"/>
        <v>0</v>
      </c>
      <c r="AL445" s="886">
        <f>IF($O446=0,0,           IF(FRM,_xll.qGetFwdRate(AL$14,$O445,AD445,"T",DCC_Leg1_Float),_xll.qGetFwdRate(AL$14,$O445,$O446,"T",DCC_Leg1_Float)))</f>
        <v>0</v>
      </c>
      <c r="AM445" s="886">
        <f t="shared" si="209"/>
        <v>0</v>
      </c>
      <c r="AN445" s="886">
        <f t="shared" si="210"/>
        <v>0</v>
      </c>
      <c r="AO445" s="886">
        <f>IF($O446=0,0,           IF(FRM,_xll.qGetFwdRate(AO$14,$O445,AG445,"T",DCC_Leg1_Float),_xll.qGetFwdRate(AO$14,$O445,$O446,"T",DCC_Leg1_Float)))</f>
        <v>0</v>
      </c>
      <c r="AP445" s="886">
        <f>IF($O446=0,0,           IF(FRM,_xll.qGetFwdRate(AP$14,$O445,AH445,"T",DCC_Leg1_Float),_xll.qGetFwdRate(AP$14,$O445,$O446,"T",DCC_Leg1_Float)))</f>
        <v>0</v>
      </c>
      <c r="AQ445" s="648">
        <f t="shared" si="211"/>
        <v>0</v>
      </c>
      <c r="AR445" s="648">
        <f t="shared" si="212"/>
        <v>0</v>
      </c>
      <c r="AS445" s="648">
        <f t="shared" si="213"/>
        <v>0</v>
      </c>
      <c r="AT445" s="648">
        <f t="shared" si="214"/>
        <v>0</v>
      </c>
      <c r="AU445" s="648">
        <f t="shared" si="215"/>
        <v>0</v>
      </c>
      <c r="AV445" s="648">
        <f t="shared" si="216"/>
        <v>0</v>
      </c>
      <c r="AW445" s="648">
        <f t="shared" si="217"/>
        <v>0</v>
      </c>
      <c r="AX445" s="648">
        <f t="shared" si="218"/>
        <v>0</v>
      </c>
      <c r="AY445" s="634">
        <v>0</v>
      </c>
      <c r="AZ445" s="616"/>
      <c r="BA445" s="619">
        <f>IF(O446=0,0,             IF(ISNUMBER(AZ445),AZ445,             IF(ISTEXT(AZ445),INDEX(AQ445:AX445,MATCH(AZ445,$AQ$17:$AX$17,0)),           IF(AY445="INT",_xll.qInterp(O446,AA445:AH445,AQ445:AX445),       INDEX(AQ445:AX445,MATCH(AY445,$AQ$17:$AX$17,0))))))</f>
        <v>0</v>
      </c>
      <c r="BB445" s="674">
        <v>100</v>
      </c>
      <c r="BC445" s="666">
        <f t="shared" si="197"/>
        <v>0</v>
      </c>
      <c r="BD445" s="268">
        <f>IF($O446=0,0,                IF(LEFT(DCC_Leg1_Fixed,2)="1/",uEvaluate(DCC_Leg1_Fixed),        _xll.qDateYears($O445,$O446,DCC_Leg1_Fixed)))</f>
        <v>0</v>
      </c>
      <c r="BE445" s="268">
        <f>IF($O446,_xll.qDateYears($O445,$O446,DCC_Leg1_Float),0)</f>
        <v>0</v>
      </c>
      <c r="BG445" s="332">
        <f t="shared" si="219"/>
        <v>0</v>
      </c>
      <c r="BH445" s="357">
        <f t="shared" si="220"/>
        <v>0</v>
      </c>
      <c r="BI445" s="527"/>
      <c r="BK445" s="324">
        <f t="shared" si="225"/>
        <v>0</v>
      </c>
      <c r="BM445" s="338"/>
      <c r="BN445" s="121">
        <v>0</v>
      </c>
      <c r="BO445" s="755">
        <f t="shared" si="198"/>
        <v>0</v>
      </c>
      <c r="BP445" s="339">
        <v>0</v>
      </c>
      <c r="BQ445" s="890">
        <f>IF(BN446=0,0,         IF(OR(Currency2="AUD",Currency1="NZD",Currency2="GBP"),BN445,   _xll.qDateNext(BN445,"-2b",,,IF(Currency2="EUR","TGT","LON"))))</f>
        <v>0</v>
      </c>
      <c r="BR445" s="879" t="str">
        <v/>
      </c>
      <c r="BS445" s="879" t="str">
        <v/>
      </c>
      <c r="BT445" s="879" t="str">
        <v/>
      </c>
      <c r="BU445" s="879" t="str">
        <v/>
      </c>
      <c r="BV445" s="879" t="str">
        <v/>
      </c>
      <c r="BW445" s="879" t="str">
        <v/>
      </c>
      <c r="BX445" s="879" t="str">
        <v/>
      </c>
      <c r="BY445" s="879" t="str">
        <v/>
      </c>
      <c r="BZ445" s="882">
        <f>IF($BN446=0,0,        _xll.qDateNext($BN445,BZ$17,$CG$16,TRUE,Currency2))</f>
        <v>0</v>
      </c>
      <c r="CA445" s="882">
        <f>IF($BN446=0,0,        _xll.qDateNext($BN445,CA$17,$CG$16,TRUE,Currency2))</f>
        <v>0</v>
      </c>
      <c r="CB445" s="882">
        <f>IF($BN446=0,0,        _xll.qDateNext($BN445,CB$17,$CG$16,TRUE,Currency2))</f>
        <v>0</v>
      </c>
      <c r="CC445" s="882">
        <f>IF($BN446=0,0,        _xll.qDateNext($BN445,CC$17,$CG$16,TRUE,Currency2))</f>
        <v>0</v>
      </c>
      <c r="CD445" s="882">
        <f>IF($BN446=0,0,        _xll.qDateNext($BN445,CD$17,$CG$16,TRUE,Currency2))</f>
        <v>0</v>
      </c>
      <c r="CE445" s="882">
        <f>IF($BN446=0,0,        _xll.qDateNext($BN445,CE$17,$CG$16,TRUE,Currency2))</f>
        <v>0</v>
      </c>
      <c r="CF445" s="882">
        <f>IF($BN446=0,0,        _xll.qDateNext($BN445,CF$17,$CG$16,TRUE,Currency2))</f>
        <v>0</v>
      </c>
      <c r="CG445" s="882">
        <f>IF($BN446=0,0,        _xll.qDateNext($BN445,CG$17,$CG$16,TRUE,Currency2))</f>
        <v>0</v>
      </c>
      <c r="CH445" s="886">
        <v>0</v>
      </c>
      <c r="CI445" s="886">
        <v>0</v>
      </c>
      <c r="CJ445" s="886">
        <v>0</v>
      </c>
      <c r="CK445" s="886">
        <v>0</v>
      </c>
      <c r="CL445" s="886">
        <f t="shared" si="221"/>
        <v>0</v>
      </c>
      <c r="CM445" s="886">
        <f t="shared" si="222"/>
        <v>0</v>
      </c>
      <c r="CN445" s="886">
        <v>0</v>
      </c>
      <c r="CO445" s="886">
        <v>0</v>
      </c>
      <c r="CP445" s="648">
        <f t="shared" si="199"/>
        <v>0</v>
      </c>
      <c r="CQ445" s="648">
        <f t="shared" si="200"/>
        <v>0</v>
      </c>
      <c r="CR445" s="648">
        <f t="shared" si="201"/>
        <v>0</v>
      </c>
      <c r="CS445" s="648">
        <f t="shared" si="202"/>
        <v>0</v>
      </c>
      <c r="CT445" s="648">
        <f t="shared" si="203"/>
        <v>0</v>
      </c>
      <c r="CU445" s="648">
        <f t="shared" si="204"/>
        <v>0</v>
      </c>
      <c r="CV445" s="648">
        <f t="shared" si="205"/>
        <v>0</v>
      </c>
      <c r="CW445" s="648">
        <f t="shared" si="206"/>
        <v>0</v>
      </c>
      <c r="CX445" s="634">
        <v>0</v>
      </c>
      <c r="CY445" s="616"/>
      <c r="CZ445" s="619">
        <f>IF(BN446=0,0,             IF(ISNUMBER(CY445),CY445,             IF(ISTEXT(CY445),INDEX(CP445:CW445,MATCH(CY445,$CP$17:$CW$17,0)),           IF(CX445="INT",_xll.qInterp(BN446,BZ445:CG445,CP445:CW445),       INDEX(CP445:CW445,MATCH(CX445,$CP$17:$CW$17,0))))))</f>
        <v>0</v>
      </c>
      <c r="DA445" s="755">
        <f t="shared" si="207"/>
        <v>0</v>
      </c>
      <c r="DB445" s="387">
        <f t="shared" si="208"/>
        <v>0</v>
      </c>
      <c r="DC445" s="268">
        <f>IF($BN446=0,0,         IF(LEFT(DCC_Leg2_Fixed,2)="1/",uEvaluate(DCC_Leg2_Fixed),         _xll.qDateYears($BN445,$BN446,DCC_Leg2_Fixed)))</f>
        <v>0</v>
      </c>
      <c r="DD445" s="268">
        <f>IF($BN446,_xll.qDateYears($BN445,$BN446,DCC_Leg2_Float),0)</f>
        <v>0</v>
      </c>
      <c r="DF445" s="332">
        <f t="shared" si="223"/>
        <v>0</v>
      </c>
      <c r="DG445" s="357">
        <f t="shared" si="224"/>
        <v>0</v>
      </c>
      <c r="DH445" s="527"/>
      <c r="DJ445" s="324">
        <f t="shared" si="226"/>
        <v>0</v>
      </c>
      <c r="DK445" s="529"/>
      <c r="DL445" s="338"/>
    </row>
    <row r="446" spans="15:116">
      <c r="O446" s="121">
        <v>0</v>
      </c>
      <c r="P446" s="755">
        <f t="shared" si="195"/>
        <v>0</v>
      </c>
      <c r="Q446" s="125">
        <v>0</v>
      </c>
      <c r="R446" s="890">
        <f>IF(O447=0,0,         IF(OR(Currency1="AUD",Currency1="NZD",Currency1="GBP"),O446,   _xll.qDateNext(O446,"-2b",,,IF(Currency1="EUR","TGT","LON"))))</f>
        <v>0</v>
      </c>
      <c r="S446" s="879" t="str">
        <v/>
      </c>
      <c r="T446" s="879" t="str">
        <v/>
      </c>
      <c r="U446" s="879" t="str">
        <v/>
      </c>
      <c r="V446" s="879" t="str">
        <v/>
      </c>
      <c r="W446" s="879" t="str">
        <v/>
      </c>
      <c r="X446" s="879" t="str">
        <v/>
      </c>
      <c r="Y446" s="879" t="str">
        <v/>
      </c>
      <c r="Z446" s="879" t="str">
        <v/>
      </c>
      <c r="AA446" s="882">
        <f>IF($O447=0,0,        _xll.qDateNext($O446,AA$17,$AH$16,TRUE,Currency1))</f>
        <v>0</v>
      </c>
      <c r="AB446" s="882">
        <f>IF($O447=0,0,        _xll.qDateNext($O446,AB$17,$AH$16,TRUE,Currency1))</f>
        <v>0</v>
      </c>
      <c r="AC446" s="882">
        <f>IF($O447=0,0,        _xll.qDateNext($O446,AC$17,$AH$16,TRUE,Currency1))</f>
        <v>0</v>
      </c>
      <c r="AD446" s="882">
        <f>IF($O447=0,0,        _xll.qDateNext($O446,AD$17,$AH$16,TRUE,Currency1))</f>
        <v>0</v>
      </c>
      <c r="AE446" s="882">
        <f>IF($O447=0,0,        _xll.qDateNext($O446,AE$17,$AH$16,TRUE,Currency1))</f>
        <v>0</v>
      </c>
      <c r="AF446" s="882">
        <f>IF($O447=0,0,        _xll.qDateNext($O446,AF$17,$AH$16,TRUE,Currency1))</f>
        <v>0</v>
      </c>
      <c r="AG446" s="882">
        <f>IF($O447=0,0,        _xll.qDateNext($O446,AG$17,$AH$16,TRUE,Currency1))</f>
        <v>0</v>
      </c>
      <c r="AH446" s="882">
        <f>IF($O447=0,0,        _xll.qDateNext($O446,AH$17,$AH$16,TRUE,Currency1))</f>
        <v>0</v>
      </c>
      <c r="AI446" s="886">
        <f>IF($O447=0,0,           IF(FRM,_xll.qGetFwdRate(AI$14,$O446,AA446,"T",DCC_Leg1_Float),_xll.qGetFwdRate(AI$14,$O446,$O447,"T",DCC_Leg1_Float)))</f>
        <v>0</v>
      </c>
      <c r="AJ446" s="886">
        <f>IF($O447=0,0,           IF(FRM,_xll.qGetFwdRate(AJ$14,$O446,AB446,"T",DCC_Leg1_Float),_xll.qGetFwdRate(AJ$14,$O446,$O447,"T",DCC_Leg1_Float)))</f>
        <v>0</v>
      </c>
      <c r="AK446" s="886">
        <f t="shared" si="196"/>
        <v>0</v>
      </c>
      <c r="AL446" s="886">
        <f>IF($O447=0,0,           IF(FRM,_xll.qGetFwdRate(AL$14,$O446,AD446,"T",DCC_Leg1_Float),_xll.qGetFwdRate(AL$14,$O446,$O447,"T",DCC_Leg1_Float)))</f>
        <v>0</v>
      </c>
      <c r="AM446" s="886">
        <f t="shared" si="209"/>
        <v>0</v>
      </c>
      <c r="AN446" s="886">
        <f t="shared" si="210"/>
        <v>0</v>
      </c>
      <c r="AO446" s="886">
        <f>IF($O447=0,0,           IF(FRM,_xll.qGetFwdRate(AO$14,$O446,AG446,"T",DCC_Leg1_Float),_xll.qGetFwdRate(AO$14,$O446,$O447,"T",DCC_Leg1_Float)))</f>
        <v>0</v>
      </c>
      <c r="AP446" s="886">
        <f>IF($O447=0,0,           IF(FRM,_xll.qGetFwdRate(AP$14,$O446,AH446,"T",DCC_Leg1_Float),_xll.qGetFwdRate(AP$14,$O446,$O447,"T",DCC_Leg1_Float)))</f>
        <v>0</v>
      </c>
      <c r="AQ446" s="648">
        <f t="shared" si="211"/>
        <v>0</v>
      </c>
      <c r="AR446" s="648">
        <f t="shared" si="212"/>
        <v>0</v>
      </c>
      <c r="AS446" s="648">
        <f t="shared" si="213"/>
        <v>0</v>
      </c>
      <c r="AT446" s="648">
        <f t="shared" si="214"/>
        <v>0</v>
      </c>
      <c r="AU446" s="648">
        <f t="shared" si="215"/>
        <v>0</v>
      </c>
      <c r="AV446" s="648">
        <f t="shared" si="216"/>
        <v>0</v>
      </c>
      <c r="AW446" s="648">
        <f t="shared" si="217"/>
        <v>0</v>
      </c>
      <c r="AX446" s="648">
        <f t="shared" si="218"/>
        <v>0</v>
      </c>
      <c r="AY446" s="634">
        <v>0</v>
      </c>
      <c r="AZ446" s="616"/>
      <c r="BA446" s="619">
        <f>IF(O447=0,0,             IF(ISNUMBER(AZ446),AZ446,             IF(ISTEXT(AZ446),INDEX(AQ446:AX446,MATCH(AZ446,$AQ$17:$AX$17,0)),           IF(AY446="INT",_xll.qInterp(O447,AA446:AH446,AQ446:AX446),       INDEX(AQ446:AX446,MATCH(AY446,$AQ$17:$AX$17,0))))))</f>
        <v>0</v>
      </c>
      <c r="BB446" s="674">
        <v>100</v>
      </c>
      <c r="BC446" s="666">
        <f t="shared" si="197"/>
        <v>0</v>
      </c>
      <c r="BD446" s="268">
        <f>IF($O447=0,0,                IF(LEFT(DCC_Leg1_Fixed,2)="1/",uEvaluate(DCC_Leg1_Fixed),        _xll.qDateYears($O446,$O447,DCC_Leg1_Fixed)))</f>
        <v>0</v>
      </c>
      <c r="BE446" s="268">
        <f>IF($O447,_xll.qDateYears($O446,$O447,DCC_Leg1_Float),0)</f>
        <v>0</v>
      </c>
      <c r="BG446" s="332">
        <f t="shared" si="219"/>
        <v>0</v>
      </c>
      <c r="BH446" s="357">
        <f t="shared" si="220"/>
        <v>0</v>
      </c>
      <c r="BI446" s="527"/>
      <c r="BK446" s="324">
        <f t="shared" si="225"/>
        <v>0</v>
      </c>
      <c r="BM446" s="338"/>
      <c r="BN446" s="121">
        <v>0</v>
      </c>
      <c r="BO446" s="755">
        <f t="shared" si="198"/>
        <v>0</v>
      </c>
      <c r="BP446" s="339">
        <v>0</v>
      </c>
      <c r="BQ446" s="890">
        <f>IF(BN447=0,0,         IF(OR(Currency2="AUD",Currency1="NZD",Currency2="GBP"),BN446,   _xll.qDateNext(BN446,"-2b",,,IF(Currency2="EUR","TGT","LON"))))</f>
        <v>0</v>
      </c>
      <c r="BR446" s="879" t="str">
        <v/>
      </c>
      <c r="BS446" s="879" t="str">
        <v/>
      </c>
      <c r="BT446" s="879" t="str">
        <v/>
      </c>
      <c r="BU446" s="879" t="str">
        <v/>
      </c>
      <c r="BV446" s="879" t="str">
        <v/>
      </c>
      <c r="BW446" s="879" t="str">
        <v/>
      </c>
      <c r="BX446" s="879" t="str">
        <v/>
      </c>
      <c r="BY446" s="879" t="str">
        <v/>
      </c>
      <c r="BZ446" s="882">
        <f>IF($BN447=0,0,        _xll.qDateNext($BN446,BZ$17,$CG$16,TRUE,Currency2))</f>
        <v>0</v>
      </c>
      <c r="CA446" s="882">
        <f>IF($BN447=0,0,        _xll.qDateNext($BN446,CA$17,$CG$16,TRUE,Currency2))</f>
        <v>0</v>
      </c>
      <c r="CB446" s="882">
        <f>IF($BN447=0,0,        _xll.qDateNext($BN446,CB$17,$CG$16,TRUE,Currency2))</f>
        <v>0</v>
      </c>
      <c r="CC446" s="882">
        <f>IF($BN447=0,0,        _xll.qDateNext($BN446,CC$17,$CG$16,TRUE,Currency2))</f>
        <v>0</v>
      </c>
      <c r="CD446" s="882">
        <f>IF($BN447=0,0,        _xll.qDateNext($BN446,CD$17,$CG$16,TRUE,Currency2))</f>
        <v>0</v>
      </c>
      <c r="CE446" s="882">
        <f>IF($BN447=0,0,        _xll.qDateNext($BN446,CE$17,$CG$16,TRUE,Currency2))</f>
        <v>0</v>
      </c>
      <c r="CF446" s="882">
        <f>IF($BN447=0,0,        _xll.qDateNext($BN446,CF$17,$CG$16,TRUE,Currency2))</f>
        <v>0</v>
      </c>
      <c r="CG446" s="882">
        <f>IF($BN447=0,0,        _xll.qDateNext($BN446,CG$17,$CG$16,TRUE,Currency2))</f>
        <v>0</v>
      </c>
      <c r="CH446" s="886">
        <v>0</v>
      </c>
      <c r="CI446" s="886">
        <v>0</v>
      </c>
      <c r="CJ446" s="886">
        <v>0</v>
      </c>
      <c r="CK446" s="886">
        <v>0</v>
      </c>
      <c r="CL446" s="886">
        <f t="shared" si="221"/>
        <v>0</v>
      </c>
      <c r="CM446" s="886">
        <f t="shared" si="222"/>
        <v>0</v>
      </c>
      <c r="CN446" s="886">
        <v>0</v>
      </c>
      <c r="CO446" s="886">
        <v>0</v>
      </c>
      <c r="CP446" s="648">
        <f t="shared" si="199"/>
        <v>0</v>
      </c>
      <c r="CQ446" s="648">
        <f t="shared" si="200"/>
        <v>0</v>
      </c>
      <c r="CR446" s="648">
        <f t="shared" si="201"/>
        <v>0</v>
      </c>
      <c r="CS446" s="648">
        <f t="shared" si="202"/>
        <v>0</v>
      </c>
      <c r="CT446" s="648">
        <f t="shared" si="203"/>
        <v>0</v>
      </c>
      <c r="CU446" s="648">
        <f t="shared" si="204"/>
        <v>0</v>
      </c>
      <c r="CV446" s="648">
        <f t="shared" si="205"/>
        <v>0</v>
      </c>
      <c r="CW446" s="648">
        <f t="shared" si="206"/>
        <v>0</v>
      </c>
      <c r="CX446" s="634">
        <v>0</v>
      </c>
      <c r="CY446" s="616"/>
      <c r="CZ446" s="619">
        <f>IF(BN447=0,0,             IF(ISNUMBER(CY446),CY446,             IF(ISTEXT(CY446),INDEX(CP446:CW446,MATCH(CY446,$CP$17:$CW$17,0)),           IF(CX446="INT",_xll.qInterp(BN447,BZ446:CG446,CP446:CW446),       INDEX(CP446:CW446,MATCH(CX446,$CP$17:$CW$17,0))))))</f>
        <v>0</v>
      </c>
      <c r="DA446" s="755">
        <f t="shared" si="207"/>
        <v>0</v>
      </c>
      <c r="DB446" s="387">
        <f t="shared" si="208"/>
        <v>0</v>
      </c>
      <c r="DC446" s="268">
        <f>IF($BN447=0,0,         IF(LEFT(DCC_Leg2_Fixed,2)="1/",uEvaluate(DCC_Leg2_Fixed),         _xll.qDateYears($BN446,$BN447,DCC_Leg2_Fixed)))</f>
        <v>0</v>
      </c>
      <c r="DD446" s="268">
        <f>IF($BN447,_xll.qDateYears($BN446,$BN447,DCC_Leg2_Float),0)</f>
        <v>0</v>
      </c>
      <c r="DF446" s="332">
        <f t="shared" si="223"/>
        <v>0</v>
      </c>
      <c r="DG446" s="357">
        <f t="shared" si="224"/>
        <v>0</v>
      </c>
      <c r="DH446" s="527"/>
      <c r="DJ446" s="324">
        <f t="shared" si="226"/>
        <v>0</v>
      </c>
      <c r="DK446" s="529"/>
      <c r="DL446" s="338"/>
    </row>
    <row r="447" spans="15:116">
      <c r="O447" s="121">
        <v>0</v>
      </c>
      <c r="P447" s="755">
        <f t="shared" si="195"/>
        <v>0</v>
      </c>
      <c r="Q447" s="125">
        <v>0</v>
      </c>
      <c r="R447" s="890">
        <f>IF(O448=0,0,         IF(OR(Currency1="AUD",Currency1="NZD",Currency1="GBP"),O447,   _xll.qDateNext(O447,"-2b",,,IF(Currency1="EUR","TGT","LON"))))</f>
        <v>0</v>
      </c>
      <c r="S447" s="879" t="str">
        <v/>
      </c>
      <c r="T447" s="879" t="str">
        <v/>
      </c>
      <c r="U447" s="879" t="str">
        <v/>
      </c>
      <c r="V447" s="879" t="str">
        <v/>
      </c>
      <c r="W447" s="879" t="str">
        <v/>
      </c>
      <c r="X447" s="879" t="str">
        <v/>
      </c>
      <c r="Y447" s="879" t="str">
        <v/>
      </c>
      <c r="Z447" s="879" t="str">
        <v/>
      </c>
      <c r="AA447" s="882">
        <f>IF($O448=0,0,        _xll.qDateNext($O447,AA$17,$AH$16,TRUE,Currency1))</f>
        <v>0</v>
      </c>
      <c r="AB447" s="882">
        <f>IF($O448=0,0,        _xll.qDateNext($O447,AB$17,$AH$16,TRUE,Currency1))</f>
        <v>0</v>
      </c>
      <c r="AC447" s="882">
        <f>IF($O448=0,0,        _xll.qDateNext($O447,AC$17,$AH$16,TRUE,Currency1))</f>
        <v>0</v>
      </c>
      <c r="AD447" s="882">
        <f>IF($O448=0,0,        _xll.qDateNext($O447,AD$17,$AH$16,TRUE,Currency1))</f>
        <v>0</v>
      </c>
      <c r="AE447" s="882">
        <f>IF($O448=0,0,        _xll.qDateNext($O447,AE$17,$AH$16,TRUE,Currency1))</f>
        <v>0</v>
      </c>
      <c r="AF447" s="882">
        <f>IF($O448=0,0,        _xll.qDateNext($O447,AF$17,$AH$16,TRUE,Currency1))</f>
        <v>0</v>
      </c>
      <c r="AG447" s="882">
        <f>IF($O448=0,0,        _xll.qDateNext($O447,AG$17,$AH$16,TRUE,Currency1))</f>
        <v>0</v>
      </c>
      <c r="AH447" s="882">
        <f>IF($O448=0,0,        _xll.qDateNext($O447,AH$17,$AH$16,TRUE,Currency1))</f>
        <v>0</v>
      </c>
      <c r="AI447" s="886">
        <f>IF($O448=0,0,           IF(FRM,_xll.qGetFwdRate(AI$14,$O447,AA447,"T",DCC_Leg1_Float),_xll.qGetFwdRate(AI$14,$O447,$O448,"T",DCC_Leg1_Float)))</f>
        <v>0</v>
      </c>
      <c r="AJ447" s="886">
        <f>IF($O448=0,0,           IF(FRM,_xll.qGetFwdRate(AJ$14,$O447,AB447,"T",DCC_Leg1_Float),_xll.qGetFwdRate(AJ$14,$O447,$O448,"T",DCC_Leg1_Float)))</f>
        <v>0</v>
      </c>
      <c r="AK447" s="886">
        <f t="shared" si="196"/>
        <v>0</v>
      </c>
      <c r="AL447" s="886">
        <f>IF($O448=0,0,           IF(FRM,_xll.qGetFwdRate(AL$14,$O447,AD447,"T",DCC_Leg1_Float),_xll.qGetFwdRate(AL$14,$O447,$O448,"T",DCC_Leg1_Float)))</f>
        <v>0</v>
      </c>
      <c r="AM447" s="886">
        <f t="shared" si="209"/>
        <v>0</v>
      </c>
      <c r="AN447" s="886">
        <f t="shared" si="210"/>
        <v>0</v>
      </c>
      <c r="AO447" s="886">
        <f>IF($O448=0,0,           IF(FRM,_xll.qGetFwdRate(AO$14,$O447,AG447,"T",DCC_Leg1_Float),_xll.qGetFwdRate(AO$14,$O447,$O448,"T",DCC_Leg1_Float)))</f>
        <v>0</v>
      </c>
      <c r="AP447" s="886">
        <f>IF($O448=0,0,           IF(FRM,_xll.qGetFwdRate(AP$14,$O447,AH447,"T",DCC_Leg1_Float),_xll.qGetFwdRate(AP$14,$O447,$O448,"T",DCC_Leg1_Float)))</f>
        <v>0</v>
      </c>
      <c r="AQ447" s="648">
        <f t="shared" si="211"/>
        <v>0</v>
      </c>
      <c r="AR447" s="648">
        <f t="shared" si="212"/>
        <v>0</v>
      </c>
      <c r="AS447" s="648">
        <f t="shared" si="213"/>
        <v>0</v>
      </c>
      <c r="AT447" s="648">
        <f t="shared" si="214"/>
        <v>0</v>
      </c>
      <c r="AU447" s="648">
        <f t="shared" si="215"/>
        <v>0</v>
      </c>
      <c r="AV447" s="648">
        <f t="shared" si="216"/>
        <v>0</v>
      </c>
      <c r="AW447" s="648">
        <f t="shared" si="217"/>
        <v>0</v>
      </c>
      <c r="AX447" s="648">
        <f t="shared" si="218"/>
        <v>0</v>
      </c>
      <c r="AY447" s="634">
        <v>0</v>
      </c>
      <c r="AZ447" s="616"/>
      <c r="BA447" s="619">
        <f>IF(O448=0,0,             IF(ISNUMBER(AZ447),AZ447,             IF(ISTEXT(AZ447),INDEX(AQ447:AX447,MATCH(AZ447,$AQ$17:$AX$17,0)),           IF(AY447="INT",_xll.qInterp(O448,AA447:AH447,AQ447:AX447),       INDEX(AQ447:AX447,MATCH(AY447,$AQ$17:$AX$17,0))))))</f>
        <v>0</v>
      </c>
      <c r="BB447" s="674">
        <v>100</v>
      </c>
      <c r="BC447" s="666">
        <f t="shared" si="197"/>
        <v>0</v>
      </c>
      <c r="BD447" s="268">
        <f>IF($O448=0,0,                IF(LEFT(DCC_Leg1_Fixed,2)="1/",uEvaluate(DCC_Leg1_Fixed),        _xll.qDateYears($O447,$O448,DCC_Leg1_Fixed)))</f>
        <v>0</v>
      </c>
      <c r="BE447" s="268">
        <f>IF($O448,_xll.qDateYears($O447,$O448,DCC_Leg1_Float),0)</f>
        <v>0</v>
      </c>
      <c r="BG447" s="332">
        <f t="shared" si="219"/>
        <v>0</v>
      </c>
      <c r="BH447" s="357">
        <f t="shared" si="220"/>
        <v>0</v>
      </c>
      <c r="BI447" s="527"/>
      <c r="BK447" s="324">
        <f t="shared" si="225"/>
        <v>0</v>
      </c>
      <c r="BM447" s="338"/>
      <c r="BN447" s="121">
        <v>0</v>
      </c>
      <c r="BO447" s="755">
        <f t="shared" si="198"/>
        <v>0</v>
      </c>
      <c r="BP447" s="339">
        <v>0</v>
      </c>
      <c r="BQ447" s="890">
        <f>IF(BN448=0,0,         IF(OR(Currency2="AUD",Currency1="NZD",Currency2="GBP"),BN447,   _xll.qDateNext(BN447,"-2b",,,IF(Currency2="EUR","TGT","LON"))))</f>
        <v>0</v>
      </c>
      <c r="BR447" s="879" t="str">
        <v/>
      </c>
      <c r="BS447" s="879" t="str">
        <v/>
      </c>
      <c r="BT447" s="879" t="str">
        <v/>
      </c>
      <c r="BU447" s="879" t="str">
        <v/>
      </c>
      <c r="BV447" s="879" t="str">
        <v/>
      </c>
      <c r="BW447" s="879" t="str">
        <v/>
      </c>
      <c r="BX447" s="879" t="str">
        <v/>
      </c>
      <c r="BY447" s="879" t="str">
        <v/>
      </c>
      <c r="BZ447" s="882">
        <f>IF($BN448=0,0,        _xll.qDateNext($BN447,BZ$17,$CG$16,TRUE,Currency2))</f>
        <v>0</v>
      </c>
      <c r="CA447" s="882">
        <f>IF($BN448=0,0,        _xll.qDateNext($BN447,CA$17,$CG$16,TRUE,Currency2))</f>
        <v>0</v>
      </c>
      <c r="CB447" s="882">
        <f>IF($BN448=0,0,        _xll.qDateNext($BN447,CB$17,$CG$16,TRUE,Currency2))</f>
        <v>0</v>
      </c>
      <c r="CC447" s="882">
        <f>IF($BN448=0,0,        _xll.qDateNext($BN447,CC$17,$CG$16,TRUE,Currency2))</f>
        <v>0</v>
      </c>
      <c r="CD447" s="882">
        <f>IF($BN448=0,0,        _xll.qDateNext($BN447,CD$17,$CG$16,TRUE,Currency2))</f>
        <v>0</v>
      </c>
      <c r="CE447" s="882">
        <f>IF($BN448=0,0,        _xll.qDateNext($BN447,CE$17,$CG$16,TRUE,Currency2))</f>
        <v>0</v>
      </c>
      <c r="CF447" s="882">
        <f>IF($BN448=0,0,        _xll.qDateNext($BN447,CF$17,$CG$16,TRUE,Currency2))</f>
        <v>0</v>
      </c>
      <c r="CG447" s="882">
        <f>IF($BN448=0,0,        _xll.qDateNext($BN447,CG$17,$CG$16,TRUE,Currency2))</f>
        <v>0</v>
      </c>
      <c r="CH447" s="886">
        <v>0</v>
      </c>
      <c r="CI447" s="886">
        <v>0</v>
      </c>
      <c r="CJ447" s="886">
        <v>0</v>
      </c>
      <c r="CK447" s="886">
        <v>0</v>
      </c>
      <c r="CL447" s="886">
        <f t="shared" si="221"/>
        <v>0</v>
      </c>
      <c r="CM447" s="886">
        <f t="shared" si="222"/>
        <v>0</v>
      </c>
      <c r="CN447" s="886">
        <v>0</v>
      </c>
      <c r="CO447" s="886">
        <v>0</v>
      </c>
      <c r="CP447" s="648">
        <f t="shared" si="199"/>
        <v>0</v>
      </c>
      <c r="CQ447" s="648">
        <f t="shared" si="200"/>
        <v>0</v>
      </c>
      <c r="CR447" s="648">
        <f t="shared" si="201"/>
        <v>0</v>
      </c>
      <c r="CS447" s="648">
        <f t="shared" si="202"/>
        <v>0</v>
      </c>
      <c r="CT447" s="648">
        <f t="shared" si="203"/>
        <v>0</v>
      </c>
      <c r="CU447" s="648">
        <f t="shared" si="204"/>
        <v>0</v>
      </c>
      <c r="CV447" s="648">
        <f t="shared" si="205"/>
        <v>0</v>
      </c>
      <c r="CW447" s="648">
        <f t="shared" si="206"/>
        <v>0</v>
      </c>
      <c r="CX447" s="634">
        <v>0</v>
      </c>
      <c r="CY447" s="616"/>
      <c r="CZ447" s="619">
        <f>IF(BN448=0,0,             IF(ISNUMBER(CY447),CY447,             IF(ISTEXT(CY447),INDEX(CP447:CW447,MATCH(CY447,$CP$17:$CW$17,0)),           IF(CX447="INT",_xll.qInterp(BN448,BZ447:CG447,CP447:CW447),       INDEX(CP447:CW447,MATCH(CX447,$CP$17:$CW$17,0))))))</f>
        <v>0</v>
      </c>
      <c r="DA447" s="755">
        <f t="shared" si="207"/>
        <v>0</v>
      </c>
      <c r="DB447" s="387">
        <f t="shared" si="208"/>
        <v>0</v>
      </c>
      <c r="DC447" s="268">
        <f>IF($BN448=0,0,         IF(LEFT(DCC_Leg2_Fixed,2)="1/",uEvaluate(DCC_Leg2_Fixed),         _xll.qDateYears($BN447,$BN448,DCC_Leg2_Fixed)))</f>
        <v>0</v>
      </c>
      <c r="DD447" s="268">
        <f>IF($BN448,_xll.qDateYears($BN447,$BN448,DCC_Leg2_Float),0)</f>
        <v>0</v>
      </c>
      <c r="DF447" s="332">
        <f t="shared" si="223"/>
        <v>0</v>
      </c>
      <c r="DG447" s="357">
        <f t="shared" si="224"/>
        <v>0</v>
      </c>
      <c r="DH447" s="527"/>
      <c r="DJ447" s="324">
        <f t="shared" si="226"/>
        <v>0</v>
      </c>
      <c r="DK447" s="529"/>
      <c r="DL447" s="338"/>
    </row>
    <row r="448" spans="15:116">
      <c r="O448" s="121">
        <v>0</v>
      </c>
      <c r="P448" s="755">
        <f t="shared" si="195"/>
        <v>0</v>
      </c>
      <c r="Q448" s="125">
        <v>0</v>
      </c>
      <c r="R448" s="890">
        <f>IF(O449=0,0,         IF(OR(Currency1="AUD",Currency1="NZD",Currency1="GBP"),O448,   _xll.qDateNext(O448,"-2b",,,IF(Currency1="EUR","TGT","LON"))))</f>
        <v>0</v>
      </c>
      <c r="S448" s="879" t="str">
        <v/>
      </c>
      <c r="T448" s="879" t="str">
        <v/>
      </c>
      <c r="U448" s="879" t="str">
        <v/>
      </c>
      <c r="V448" s="879" t="str">
        <v/>
      </c>
      <c r="W448" s="879" t="str">
        <v/>
      </c>
      <c r="X448" s="879" t="str">
        <v/>
      </c>
      <c r="Y448" s="879" t="str">
        <v/>
      </c>
      <c r="Z448" s="879" t="str">
        <v/>
      </c>
      <c r="AA448" s="882">
        <f>IF($O449=0,0,        _xll.qDateNext($O448,AA$17,$AH$16,TRUE,Currency1))</f>
        <v>0</v>
      </c>
      <c r="AB448" s="882">
        <f>IF($O449=0,0,        _xll.qDateNext($O448,AB$17,$AH$16,TRUE,Currency1))</f>
        <v>0</v>
      </c>
      <c r="AC448" s="882">
        <f>IF($O449=0,0,        _xll.qDateNext($O448,AC$17,$AH$16,TRUE,Currency1))</f>
        <v>0</v>
      </c>
      <c r="AD448" s="882">
        <f>IF($O449=0,0,        _xll.qDateNext($O448,AD$17,$AH$16,TRUE,Currency1))</f>
        <v>0</v>
      </c>
      <c r="AE448" s="882">
        <f>IF($O449=0,0,        _xll.qDateNext($O448,AE$17,$AH$16,TRUE,Currency1))</f>
        <v>0</v>
      </c>
      <c r="AF448" s="882">
        <f>IF($O449=0,0,        _xll.qDateNext($O448,AF$17,$AH$16,TRUE,Currency1))</f>
        <v>0</v>
      </c>
      <c r="AG448" s="882">
        <f>IF($O449=0,0,        _xll.qDateNext($O448,AG$17,$AH$16,TRUE,Currency1))</f>
        <v>0</v>
      </c>
      <c r="AH448" s="882">
        <f>IF($O449=0,0,        _xll.qDateNext($O448,AH$17,$AH$16,TRUE,Currency1))</f>
        <v>0</v>
      </c>
      <c r="AI448" s="886">
        <f>IF($O449=0,0,           IF(FRM,_xll.qGetFwdRate(AI$14,$O448,AA448,"T",DCC_Leg1_Float),_xll.qGetFwdRate(AI$14,$O448,$O449,"T",DCC_Leg1_Float)))</f>
        <v>0</v>
      </c>
      <c r="AJ448" s="886">
        <f>IF($O449=0,0,           IF(FRM,_xll.qGetFwdRate(AJ$14,$O448,AB448,"T",DCC_Leg1_Float),_xll.qGetFwdRate(AJ$14,$O448,$O449,"T",DCC_Leg1_Float)))</f>
        <v>0</v>
      </c>
      <c r="AK448" s="886">
        <f t="shared" si="196"/>
        <v>0</v>
      </c>
      <c r="AL448" s="886">
        <f>IF($O449=0,0,           IF(FRM,_xll.qGetFwdRate(AL$14,$O448,AD448,"T",DCC_Leg1_Float),_xll.qGetFwdRate(AL$14,$O448,$O449,"T",DCC_Leg1_Float)))</f>
        <v>0</v>
      </c>
      <c r="AM448" s="886">
        <f t="shared" si="209"/>
        <v>0</v>
      </c>
      <c r="AN448" s="886">
        <f t="shared" si="210"/>
        <v>0</v>
      </c>
      <c r="AO448" s="886">
        <f>IF($O449=0,0,           IF(FRM,_xll.qGetFwdRate(AO$14,$O448,AG448,"T",DCC_Leg1_Float),_xll.qGetFwdRate(AO$14,$O448,$O449,"T",DCC_Leg1_Float)))</f>
        <v>0</v>
      </c>
      <c r="AP448" s="886">
        <f>IF($O449=0,0,           IF(FRM,_xll.qGetFwdRate(AP$14,$O448,AH448,"T",DCC_Leg1_Float),_xll.qGetFwdRate(AP$14,$O448,$O449,"T",DCC_Leg1_Float)))</f>
        <v>0</v>
      </c>
      <c r="AQ448" s="648">
        <f t="shared" si="211"/>
        <v>0</v>
      </c>
      <c r="AR448" s="648">
        <f t="shared" si="212"/>
        <v>0</v>
      </c>
      <c r="AS448" s="648">
        <f t="shared" si="213"/>
        <v>0</v>
      </c>
      <c r="AT448" s="648">
        <f t="shared" si="214"/>
        <v>0</v>
      </c>
      <c r="AU448" s="648">
        <f t="shared" si="215"/>
        <v>0</v>
      </c>
      <c r="AV448" s="648">
        <f t="shared" si="216"/>
        <v>0</v>
      </c>
      <c r="AW448" s="648">
        <f t="shared" si="217"/>
        <v>0</v>
      </c>
      <c r="AX448" s="648">
        <f t="shared" si="218"/>
        <v>0</v>
      </c>
      <c r="AY448" s="634">
        <v>0</v>
      </c>
      <c r="AZ448" s="616"/>
      <c r="BA448" s="619">
        <f>IF(O449=0,0,             IF(ISNUMBER(AZ448),AZ448,             IF(ISTEXT(AZ448),INDEX(AQ448:AX448,MATCH(AZ448,$AQ$17:$AX$17,0)),           IF(AY448="INT",_xll.qInterp(O449,AA448:AH448,AQ448:AX448),       INDEX(AQ448:AX448,MATCH(AY448,$AQ$17:$AX$17,0))))))</f>
        <v>0</v>
      </c>
      <c r="BB448" s="674">
        <v>100</v>
      </c>
      <c r="BC448" s="666">
        <f t="shared" si="197"/>
        <v>0</v>
      </c>
      <c r="BD448" s="268">
        <f>IF($O449=0,0,                IF(LEFT(DCC_Leg1_Fixed,2)="1/",uEvaluate(DCC_Leg1_Fixed),        _xll.qDateYears($O448,$O449,DCC_Leg1_Fixed)))</f>
        <v>0</v>
      </c>
      <c r="BE448" s="268">
        <f>IF($O449,_xll.qDateYears($O448,$O449,DCC_Leg1_Float),0)</f>
        <v>0</v>
      </c>
      <c r="BG448" s="332">
        <f t="shared" si="219"/>
        <v>0</v>
      </c>
      <c r="BH448" s="357">
        <f t="shared" si="220"/>
        <v>0</v>
      </c>
      <c r="BI448" s="527"/>
      <c r="BK448" s="324">
        <f t="shared" si="225"/>
        <v>0</v>
      </c>
      <c r="BM448" s="338"/>
      <c r="BN448" s="121">
        <v>0</v>
      </c>
      <c r="BO448" s="755">
        <f t="shared" si="198"/>
        <v>0</v>
      </c>
      <c r="BP448" s="339">
        <v>0</v>
      </c>
      <c r="BQ448" s="890">
        <f>IF(BN449=0,0,         IF(OR(Currency2="AUD",Currency1="NZD",Currency2="GBP"),BN448,   _xll.qDateNext(BN448,"-2b",,,IF(Currency2="EUR","TGT","LON"))))</f>
        <v>0</v>
      </c>
      <c r="BR448" s="879" t="str">
        <v/>
      </c>
      <c r="BS448" s="879" t="str">
        <v/>
      </c>
      <c r="BT448" s="879" t="str">
        <v/>
      </c>
      <c r="BU448" s="879" t="str">
        <v/>
      </c>
      <c r="BV448" s="879" t="str">
        <v/>
      </c>
      <c r="BW448" s="879" t="str">
        <v/>
      </c>
      <c r="BX448" s="879" t="str">
        <v/>
      </c>
      <c r="BY448" s="879" t="str">
        <v/>
      </c>
      <c r="BZ448" s="882">
        <f>IF($BN449=0,0,        _xll.qDateNext($BN448,BZ$17,$CG$16,TRUE,Currency2))</f>
        <v>0</v>
      </c>
      <c r="CA448" s="882">
        <f>IF($BN449=0,0,        _xll.qDateNext($BN448,CA$17,$CG$16,TRUE,Currency2))</f>
        <v>0</v>
      </c>
      <c r="CB448" s="882">
        <f>IF($BN449=0,0,        _xll.qDateNext($BN448,CB$17,$CG$16,TRUE,Currency2))</f>
        <v>0</v>
      </c>
      <c r="CC448" s="882">
        <f>IF($BN449=0,0,        _xll.qDateNext($BN448,CC$17,$CG$16,TRUE,Currency2))</f>
        <v>0</v>
      </c>
      <c r="CD448" s="882">
        <f>IF($BN449=0,0,        _xll.qDateNext($BN448,CD$17,$CG$16,TRUE,Currency2))</f>
        <v>0</v>
      </c>
      <c r="CE448" s="882">
        <f>IF($BN449=0,0,        _xll.qDateNext($BN448,CE$17,$CG$16,TRUE,Currency2))</f>
        <v>0</v>
      </c>
      <c r="CF448" s="882">
        <f>IF($BN449=0,0,        _xll.qDateNext($BN448,CF$17,$CG$16,TRUE,Currency2))</f>
        <v>0</v>
      </c>
      <c r="CG448" s="882">
        <f>IF($BN449=0,0,        _xll.qDateNext($BN448,CG$17,$CG$16,TRUE,Currency2))</f>
        <v>0</v>
      </c>
      <c r="CH448" s="886">
        <v>0</v>
      </c>
      <c r="CI448" s="886">
        <v>0</v>
      </c>
      <c r="CJ448" s="886">
        <v>0</v>
      </c>
      <c r="CK448" s="886">
        <v>0</v>
      </c>
      <c r="CL448" s="886">
        <f t="shared" si="221"/>
        <v>0</v>
      </c>
      <c r="CM448" s="886">
        <f t="shared" si="222"/>
        <v>0</v>
      </c>
      <c r="CN448" s="886">
        <v>0</v>
      </c>
      <c r="CO448" s="886">
        <v>0</v>
      </c>
      <c r="CP448" s="648">
        <f t="shared" si="199"/>
        <v>0</v>
      </c>
      <c r="CQ448" s="648">
        <f t="shared" si="200"/>
        <v>0</v>
      </c>
      <c r="CR448" s="648">
        <f t="shared" si="201"/>
        <v>0</v>
      </c>
      <c r="CS448" s="648">
        <f t="shared" si="202"/>
        <v>0</v>
      </c>
      <c r="CT448" s="648">
        <f t="shared" si="203"/>
        <v>0</v>
      </c>
      <c r="CU448" s="648">
        <f t="shared" si="204"/>
        <v>0</v>
      </c>
      <c r="CV448" s="648">
        <f t="shared" si="205"/>
        <v>0</v>
      </c>
      <c r="CW448" s="648">
        <f t="shared" si="206"/>
        <v>0</v>
      </c>
      <c r="CX448" s="634">
        <v>0</v>
      </c>
      <c r="CY448" s="616"/>
      <c r="CZ448" s="619">
        <f>IF(BN449=0,0,             IF(ISNUMBER(CY448),CY448,             IF(ISTEXT(CY448),INDEX(CP448:CW448,MATCH(CY448,$CP$17:$CW$17,0)),           IF(CX448="INT",_xll.qInterp(BN449,BZ448:CG448,CP448:CW448),       INDEX(CP448:CW448,MATCH(CX448,$CP$17:$CW$17,0))))))</f>
        <v>0</v>
      </c>
      <c r="DA448" s="755">
        <f t="shared" si="207"/>
        <v>0</v>
      </c>
      <c r="DB448" s="387">
        <f t="shared" si="208"/>
        <v>0</v>
      </c>
      <c r="DC448" s="268">
        <f>IF($BN449=0,0,         IF(LEFT(DCC_Leg2_Fixed,2)="1/",uEvaluate(DCC_Leg2_Fixed),         _xll.qDateYears($BN448,$BN449,DCC_Leg2_Fixed)))</f>
        <v>0</v>
      </c>
      <c r="DD448" s="268">
        <f>IF($BN449,_xll.qDateYears($BN448,$BN449,DCC_Leg2_Float),0)</f>
        <v>0</v>
      </c>
      <c r="DF448" s="332">
        <f t="shared" si="223"/>
        <v>0</v>
      </c>
      <c r="DG448" s="357">
        <f t="shared" si="224"/>
        <v>0</v>
      </c>
      <c r="DH448" s="527"/>
      <c r="DJ448" s="324">
        <f t="shared" si="226"/>
        <v>0</v>
      </c>
      <c r="DK448" s="529"/>
      <c r="DL448" s="338"/>
    </row>
    <row r="449" spans="15:116">
      <c r="O449" s="121">
        <v>0</v>
      </c>
      <c r="P449" s="755">
        <f t="shared" si="195"/>
        <v>0</v>
      </c>
      <c r="Q449" s="125">
        <v>0</v>
      </c>
      <c r="R449" s="890">
        <f>IF(O450=0,0,         IF(OR(Currency1="AUD",Currency1="NZD",Currency1="GBP"),O449,   _xll.qDateNext(O449,"-2b",,,IF(Currency1="EUR","TGT","LON"))))</f>
        <v>0</v>
      </c>
      <c r="S449" s="879" t="str">
        <v/>
      </c>
      <c r="T449" s="879" t="str">
        <v/>
      </c>
      <c r="U449" s="879" t="str">
        <v/>
      </c>
      <c r="V449" s="879" t="str">
        <v/>
      </c>
      <c r="W449" s="879" t="str">
        <v/>
      </c>
      <c r="X449" s="879" t="str">
        <v/>
      </c>
      <c r="Y449" s="879" t="str">
        <v/>
      </c>
      <c r="Z449" s="879" t="str">
        <v/>
      </c>
      <c r="AA449" s="882">
        <f>IF($O450=0,0,        _xll.qDateNext($O449,AA$17,$AH$16,TRUE,Currency1))</f>
        <v>0</v>
      </c>
      <c r="AB449" s="882">
        <f>IF($O450=0,0,        _xll.qDateNext($O449,AB$17,$AH$16,TRUE,Currency1))</f>
        <v>0</v>
      </c>
      <c r="AC449" s="882">
        <f>IF($O450=0,0,        _xll.qDateNext($O449,AC$17,$AH$16,TRUE,Currency1))</f>
        <v>0</v>
      </c>
      <c r="AD449" s="882">
        <f>IF($O450=0,0,        _xll.qDateNext($O449,AD$17,$AH$16,TRUE,Currency1))</f>
        <v>0</v>
      </c>
      <c r="AE449" s="882">
        <f>IF($O450=0,0,        _xll.qDateNext($O449,AE$17,$AH$16,TRUE,Currency1))</f>
        <v>0</v>
      </c>
      <c r="AF449" s="882">
        <f>IF($O450=0,0,        _xll.qDateNext($O449,AF$17,$AH$16,TRUE,Currency1))</f>
        <v>0</v>
      </c>
      <c r="AG449" s="882">
        <f>IF($O450=0,0,        _xll.qDateNext($O449,AG$17,$AH$16,TRUE,Currency1))</f>
        <v>0</v>
      </c>
      <c r="AH449" s="882">
        <f>IF($O450=0,0,        _xll.qDateNext($O449,AH$17,$AH$16,TRUE,Currency1))</f>
        <v>0</v>
      </c>
      <c r="AI449" s="886">
        <f>IF($O450=0,0,           IF(FRM,_xll.qGetFwdRate(AI$14,$O449,AA449,"T",DCC_Leg1_Float),_xll.qGetFwdRate(AI$14,$O449,$O450,"T",DCC_Leg1_Float)))</f>
        <v>0</v>
      </c>
      <c r="AJ449" s="886">
        <f>IF($O450=0,0,           IF(FRM,_xll.qGetFwdRate(AJ$14,$O449,AB449,"T",DCC_Leg1_Float),_xll.qGetFwdRate(AJ$14,$O449,$O450,"T",DCC_Leg1_Float)))</f>
        <v>0</v>
      </c>
      <c r="AK449" s="886">
        <f t="shared" si="196"/>
        <v>0</v>
      </c>
      <c r="AL449" s="886">
        <f>IF($O450=0,0,           IF(FRM,_xll.qGetFwdRate(AL$14,$O449,AD449,"T",DCC_Leg1_Float),_xll.qGetFwdRate(AL$14,$O449,$O450,"T",DCC_Leg1_Float)))</f>
        <v>0</v>
      </c>
      <c r="AM449" s="886">
        <f t="shared" si="209"/>
        <v>0</v>
      </c>
      <c r="AN449" s="886">
        <f t="shared" si="210"/>
        <v>0</v>
      </c>
      <c r="AO449" s="886">
        <f>IF($O450=0,0,           IF(FRM,_xll.qGetFwdRate(AO$14,$O449,AG449,"T",DCC_Leg1_Float),_xll.qGetFwdRate(AO$14,$O449,$O450,"T",DCC_Leg1_Float)))</f>
        <v>0</v>
      </c>
      <c r="AP449" s="886">
        <f>IF($O450=0,0,           IF(FRM,_xll.qGetFwdRate(AP$14,$O449,AH449,"T",DCC_Leg1_Float),_xll.qGetFwdRate(AP$14,$O449,$O450,"T",DCC_Leg1_Float)))</f>
        <v>0</v>
      </c>
      <c r="AQ449" s="648">
        <f t="shared" si="211"/>
        <v>0</v>
      </c>
      <c r="AR449" s="648">
        <f t="shared" si="212"/>
        <v>0</v>
      </c>
      <c r="AS449" s="648">
        <f t="shared" si="213"/>
        <v>0</v>
      </c>
      <c r="AT449" s="648">
        <f t="shared" si="214"/>
        <v>0</v>
      </c>
      <c r="AU449" s="648">
        <f t="shared" si="215"/>
        <v>0</v>
      </c>
      <c r="AV449" s="648">
        <f t="shared" si="216"/>
        <v>0</v>
      </c>
      <c r="AW449" s="648">
        <f t="shared" si="217"/>
        <v>0</v>
      </c>
      <c r="AX449" s="648">
        <f t="shared" si="218"/>
        <v>0</v>
      </c>
      <c r="AY449" s="634">
        <v>0</v>
      </c>
      <c r="AZ449" s="616"/>
      <c r="BA449" s="619">
        <f>IF(O450=0,0,             IF(ISNUMBER(AZ449),AZ449,             IF(ISTEXT(AZ449),INDEX(AQ449:AX449,MATCH(AZ449,$AQ$17:$AX$17,0)),           IF(AY449="INT",_xll.qInterp(O450,AA449:AH449,AQ449:AX449),       INDEX(AQ449:AX449,MATCH(AY449,$AQ$17:$AX$17,0))))))</f>
        <v>0</v>
      </c>
      <c r="BB449" s="674">
        <v>100</v>
      </c>
      <c r="BC449" s="666">
        <f t="shared" si="197"/>
        <v>0</v>
      </c>
      <c r="BD449" s="268">
        <f>IF($O450=0,0,                IF(LEFT(DCC_Leg1_Fixed,2)="1/",uEvaluate(DCC_Leg1_Fixed),        _xll.qDateYears($O449,$O450,DCC_Leg1_Fixed)))</f>
        <v>0</v>
      </c>
      <c r="BE449" s="268">
        <f>IF($O450,_xll.qDateYears($O449,$O450,DCC_Leg1_Float),0)</f>
        <v>0</v>
      </c>
      <c r="BG449" s="332">
        <f t="shared" si="219"/>
        <v>0</v>
      </c>
      <c r="BH449" s="357">
        <f t="shared" si="220"/>
        <v>0</v>
      </c>
      <c r="BI449" s="527"/>
      <c r="BK449" s="324">
        <f t="shared" si="225"/>
        <v>0</v>
      </c>
      <c r="BM449" s="338"/>
      <c r="BN449" s="121">
        <v>0</v>
      </c>
      <c r="BO449" s="755">
        <f t="shared" si="198"/>
        <v>0</v>
      </c>
      <c r="BP449" s="339">
        <v>0</v>
      </c>
      <c r="BQ449" s="890">
        <f>IF(BN450=0,0,         IF(OR(Currency2="AUD",Currency1="NZD",Currency2="GBP"),BN449,   _xll.qDateNext(BN449,"-2b",,,IF(Currency2="EUR","TGT","LON"))))</f>
        <v>0</v>
      </c>
      <c r="BR449" s="879" t="str">
        <v/>
      </c>
      <c r="BS449" s="879" t="str">
        <v/>
      </c>
      <c r="BT449" s="879" t="str">
        <v/>
      </c>
      <c r="BU449" s="879" t="str">
        <v/>
      </c>
      <c r="BV449" s="879" t="str">
        <v/>
      </c>
      <c r="BW449" s="879" t="str">
        <v/>
      </c>
      <c r="BX449" s="879" t="str">
        <v/>
      </c>
      <c r="BY449" s="879" t="str">
        <v/>
      </c>
      <c r="BZ449" s="882">
        <f>IF($BN450=0,0,        _xll.qDateNext($BN449,BZ$17,$CG$16,TRUE,Currency2))</f>
        <v>0</v>
      </c>
      <c r="CA449" s="882">
        <f>IF($BN450=0,0,        _xll.qDateNext($BN449,CA$17,$CG$16,TRUE,Currency2))</f>
        <v>0</v>
      </c>
      <c r="CB449" s="882">
        <f>IF($BN450=0,0,        _xll.qDateNext($BN449,CB$17,$CG$16,TRUE,Currency2))</f>
        <v>0</v>
      </c>
      <c r="CC449" s="882">
        <f>IF($BN450=0,0,        _xll.qDateNext($BN449,CC$17,$CG$16,TRUE,Currency2))</f>
        <v>0</v>
      </c>
      <c r="CD449" s="882">
        <f>IF($BN450=0,0,        _xll.qDateNext($BN449,CD$17,$CG$16,TRUE,Currency2))</f>
        <v>0</v>
      </c>
      <c r="CE449" s="882">
        <f>IF($BN450=0,0,        _xll.qDateNext($BN449,CE$17,$CG$16,TRUE,Currency2))</f>
        <v>0</v>
      </c>
      <c r="CF449" s="882">
        <f>IF($BN450=0,0,        _xll.qDateNext($BN449,CF$17,$CG$16,TRUE,Currency2))</f>
        <v>0</v>
      </c>
      <c r="CG449" s="882">
        <f>IF($BN450=0,0,        _xll.qDateNext($BN449,CG$17,$CG$16,TRUE,Currency2))</f>
        <v>0</v>
      </c>
      <c r="CH449" s="886">
        <v>0</v>
      </c>
      <c r="CI449" s="886">
        <v>0</v>
      </c>
      <c r="CJ449" s="886">
        <v>0</v>
      </c>
      <c r="CK449" s="886">
        <v>0</v>
      </c>
      <c r="CL449" s="886">
        <f t="shared" si="221"/>
        <v>0</v>
      </c>
      <c r="CM449" s="886">
        <f t="shared" si="222"/>
        <v>0</v>
      </c>
      <c r="CN449" s="886">
        <v>0</v>
      </c>
      <c r="CO449" s="886">
        <v>0</v>
      </c>
      <c r="CP449" s="648">
        <f t="shared" si="199"/>
        <v>0</v>
      </c>
      <c r="CQ449" s="648">
        <f t="shared" si="200"/>
        <v>0</v>
      </c>
      <c r="CR449" s="648">
        <f t="shared" si="201"/>
        <v>0</v>
      </c>
      <c r="CS449" s="648">
        <f t="shared" si="202"/>
        <v>0</v>
      </c>
      <c r="CT449" s="648">
        <f t="shared" si="203"/>
        <v>0</v>
      </c>
      <c r="CU449" s="648">
        <f t="shared" si="204"/>
        <v>0</v>
      </c>
      <c r="CV449" s="648">
        <f t="shared" si="205"/>
        <v>0</v>
      </c>
      <c r="CW449" s="648">
        <f t="shared" si="206"/>
        <v>0</v>
      </c>
      <c r="CX449" s="634">
        <v>0</v>
      </c>
      <c r="CY449" s="616"/>
      <c r="CZ449" s="619">
        <f>IF(BN450=0,0,             IF(ISNUMBER(CY449),CY449,             IF(ISTEXT(CY449),INDEX(CP449:CW449,MATCH(CY449,$CP$17:$CW$17,0)),           IF(CX449="INT",_xll.qInterp(BN450,BZ449:CG449,CP449:CW449),       INDEX(CP449:CW449,MATCH(CX449,$CP$17:$CW$17,0))))))</f>
        <v>0</v>
      </c>
      <c r="DA449" s="755">
        <f t="shared" si="207"/>
        <v>0</v>
      </c>
      <c r="DB449" s="387">
        <f t="shared" si="208"/>
        <v>0</v>
      </c>
      <c r="DC449" s="268">
        <f>IF($BN450=0,0,         IF(LEFT(DCC_Leg2_Fixed,2)="1/",uEvaluate(DCC_Leg2_Fixed),         _xll.qDateYears($BN449,$BN450,DCC_Leg2_Fixed)))</f>
        <v>0</v>
      </c>
      <c r="DD449" s="268">
        <f>IF($BN450,_xll.qDateYears($BN449,$BN450,DCC_Leg2_Float),0)</f>
        <v>0</v>
      </c>
      <c r="DF449" s="332">
        <f t="shared" si="223"/>
        <v>0</v>
      </c>
      <c r="DG449" s="357">
        <f t="shared" si="224"/>
        <v>0</v>
      </c>
      <c r="DH449" s="527"/>
      <c r="DJ449" s="324">
        <f t="shared" si="226"/>
        <v>0</v>
      </c>
      <c r="DK449" s="529"/>
      <c r="DL449" s="338"/>
    </row>
    <row r="450" spans="15:116">
      <c r="O450" s="121">
        <v>0</v>
      </c>
      <c r="P450" s="755">
        <f t="shared" si="195"/>
        <v>0</v>
      </c>
      <c r="Q450" s="125">
        <v>0</v>
      </c>
      <c r="R450" s="890">
        <f>IF(O451=0,0,         IF(OR(Currency1="AUD",Currency1="NZD",Currency1="GBP"),O450,   _xll.qDateNext(O450,"-2b",,,IF(Currency1="EUR","TGT","LON"))))</f>
        <v>0</v>
      </c>
      <c r="S450" s="879" t="str">
        <v/>
      </c>
      <c r="T450" s="879" t="str">
        <v/>
      </c>
      <c r="U450" s="879" t="str">
        <v/>
      </c>
      <c r="V450" s="879" t="str">
        <v/>
      </c>
      <c r="W450" s="879" t="str">
        <v/>
      </c>
      <c r="X450" s="879" t="str">
        <v/>
      </c>
      <c r="Y450" s="879" t="str">
        <v/>
      </c>
      <c r="Z450" s="879" t="str">
        <v/>
      </c>
      <c r="AA450" s="882">
        <f>IF($O451=0,0,        _xll.qDateNext($O450,AA$17,$AH$16,TRUE,Currency1))</f>
        <v>0</v>
      </c>
      <c r="AB450" s="882">
        <f>IF($O451=0,0,        _xll.qDateNext($O450,AB$17,$AH$16,TRUE,Currency1))</f>
        <v>0</v>
      </c>
      <c r="AC450" s="882">
        <f>IF($O451=0,0,        _xll.qDateNext($O450,AC$17,$AH$16,TRUE,Currency1))</f>
        <v>0</v>
      </c>
      <c r="AD450" s="882">
        <f>IF($O451=0,0,        _xll.qDateNext($O450,AD$17,$AH$16,TRUE,Currency1))</f>
        <v>0</v>
      </c>
      <c r="AE450" s="882">
        <f>IF($O451=0,0,        _xll.qDateNext($O450,AE$17,$AH$16,TRUE,Currency1))</f>
        <v>0</v>
      </c>
      <c r="AF450" s="882">
        <f>IF($O451=0,0,        _xll.qDateNext($O450,AF$17,$AH$16,TRUE,Currency1))</f>
        <v>0</v>
      </c>
      <c r="AG450" s="882">
        <f>IF($O451=0,0,        _xll.qDateNext($O450,AG$17,$AH$16,TRUE,Currency1))</f>
        <v>0</v>
      </c>
      <c r="AH450" s="882">
        <f>IF($O451=0,0,        _xll.qDateNext($O450,AH$17,$AH$16,TRUE,Currency1))</f>
        <v>0</v>
      </c>
      <c r="AI450" s="886">
        <f>IF($O451=0,0,           IF(FRM,_xll.qGetFwdRate(AI$14,$O450,AA450,"T",DCC_Leg1_Float),_xll.qGetFwdRate(AI$14,$O450,$O451,"T",DCC_Leg1_Float)))</f>
        <v>0</v>
      </c>
      <c r="AJ450" s="886">
        <f>IF($O451=0,0,           IF(FRM,_xll.qGetFwdRate(AJ$14,$O450,AB450,"T",DCC_Leg1_Float),_xll.qGetFwdRate(AJ$14,$O450,$O451,"T",DCC_Leg1_Float)))</f>
        <v>0</v>
      </c>
      <c r="AK450" s="886">
        <f t="shared" si="196"/>
        <v>0</v>
      </c>
      <c r="AL450" s="886">
        <f>IF($O451=0,0,           IF(FRM,_xll.qGetFwdRate(AL$14,$O450,AD450,"T",DCC_Leg1_Float),_xll.qGetFwdRate(AL$14,$O450,$O451,"T",DCC_Leg1_Float)))</f>
        <v>0</v>
      </c>
      <c r="AM450" s="886">
        <f t="shared" si="209"/>
        <v>0</v>
      </c>
      <c r="AN450" s="886">
        <f t="shared" si="210"/>
        <v>0</v>
      </c>
      <c r="AO450" s="886">
        <f>IF($O451=0,0,           IF(FRM,_xll.qGetFwdRate(AO$14,$O450,AG450,"T",DCC_Leg1_Float),_xll.qGetFwdRate(AO$14,$O450,$O451,"T",DCC_Leg1_Float)))</f>
        <v>0</v>
      </c>
      <c r="AP450" s="886">
        <f>IF($O451=0,0,           IF(FRM,_xll.qGetFwdRate(AP$14,$O450,AH450,"T",DCC_Leg1_Float),_xll.qGetFwdRate(AP$14,$O450,$O451,"T",DCC_Leg1_Float)))</f>
        <v>0</v>
      </c>
      <c r="AQ450" s="648">
        <f t="shared" si="211"/>
        <v>0</v>
      </c>
      <c r="AR450" s="648">
        <f t="shared" si="212"/>
        <v>0</v>
      </c>
      <c r="AS450" s="648">
        <f t="shared" si="213"/>
        <v>0</v>
      </c>
      <c r="AT450" s="648">
        <f t="shared" si="214"/>
        <v>0</v>
      </c>
      <c r="AU450" s="648">
        <f t="shared" si="215"/>
        <v>0</v>
      </c>
      <c r="AV450" s="648">
        <f t="shared" si="216"/>
        <v>0</v>
      </c>
      <c r="AW450" s="648">
        <f t="shared" si="217"/>
        <v>0</v>
      </c>
      <c r="AX450" s="648">
        <f t="shared" si="218"/>
        <v>0</v>
      </c>
      <c r="AY450" s="634">
        <v>0</v>
      </c>
      <c r="AZ450" s="616"/>
      <c r="BA450" s="619">
        <f>IF(O451=0,0,             IF(ISNUMBER(AZ450),AZ450,             IF(ISTEXT(AZ450),INDEX(AQ450:AX450,MATCH(AZ450,$AQ$17:$AX$17,0)),           IF(AY450="INT",_xll.qInterp(O451,AA450:AH450,AQ450:AX450),       INDEX(AQ450:AX450,MATCH(AY450,$AQ$17:$AX$17,0))))))</f>
        <v>0</v>
      </c>
      <c r="BB450" s="674">
        <v>100</v>
      </c>
      <c r="BC450" s="666">
        <f t="shared" si="197"/>
        <v>0</v>
      </c>
      <c r="BD450" s="268">
        <f>IF($O451=0,0,                IF(LEFT(DCC_Leg1_Fixed,2)="1/",uEvaluate(DCC_Leg1_Fixed),        _xll.qDateYears($O450,$O451,DCC_Leg1_Fixed)))</f>
        <v>0</v>
      </c>
      <c r="BE450" s="268">
        <f>IF($O451,_xll.qDateYears($O450,$O451,DCC_Leg1_Float),0)</f>
        <v>0</v>
      </c>
      <c r="BG450" s="332">
        <f t="shared" si="219"/>
        <v>0</v>
      </c>
      <c r="BH450" s="357">
        <f t="shared" si="220"/>
        <v>0</v>
      </c>
      <c r="BI450" s="527"/>
      <c r="BK450" s="324">
        <f t="shared" si="225"/>
        <v>0</v>
      </c>
      <c r="BM450" s="338"/>
      <c r="BN450" s="121">
        <v>0</v>
      </c>
      <c r="BO450" s="755">
        <f t="shared" si="198"/>
        <v>0</v>
      </c>
      <c r="BP450" s="339">
        <v>0</v>
      </c>
      <c r="BQ450" s="890">
        <f>IF(BN451=0,0,         IF(OR(Currency2="AUD",Currency1="NZD",Currency2="GBP"),BN450,   _xll.qDateNext(BN450,"-2b",,,IF(Currency2="EUR","TGT","LON"))))</f>
        <v>0</v>
      </c>
      <c r="BR450" s="879" t="str">
        <v/>
      </c>
      <c r="BS450" s="879" t="str">
        <v/>
      </c>
      <c r="BT450" s="879" t="str">
        <v/>
      </c>
      <c r="BU450" s="879" t="str">
        <v/>
      </c>
      <c r="BV450" s="879" t="str">
        <v/>
      </c>
      <c r="BW450" s="879" t="str">
        <v/>
      </c>
      <c r="BX450" s="879" t="str">
        <v/>
      </c>
      <c r="BY450" s="879" t="str">
        <v/>
      </c>
      <c r="BZ450" s="882">
        <f>IF($BN451=0,0,        _xll.qDateNext($BN450,BZ$17,$CG$16,TRUE,Currency2))</f>
        <v>0</v>
      </c>
      <c r="CA450" s="882">
        <f>IF($BN451=0,0,        _xll.qDateNext($BN450,CA$17,$CG$16,TRUE,Currency2))</f>
        <v>0</v>
      </c>
      <c r="CB450" s="882">
        <f>IF($BN451=0,0,        _xll.qDateNext($BN450,CB$17,$CG$16,TRUE,Currency2))</f>
        <v>0</v>
      </c>
      <c r="CC450" s="882">
        <f>IF($BN451=0,0,        _xll.qDateNext($BN450,CC$17,$CG$16,TRUE,Currency2))</f>
        <v>0</v>
      </c>
      <c r="CD450" s="882">
        <f>IF($BN451=0,0,        _xll.qDateNext($BN450,CD$17,$CG$16,TRUE,Currency2))</f>
        <v>0</v>
      </c>
      <c r="CE450" s="882">
        <f>IF($BN451=0,0,        _xll.qDateNext($BN450,CE$17,$CG$16,TRUE,Currency2))</f>
        <v>0</v>
      </c>
      <c r="CF450" s="882">
        <f>IF($BN451=0,0,        _xll.qDateNext($BN450,CF$17,$CG$16,TRUE,Currency2))</f>
        <v>0</v>
      </c>
      <c r="CG450" s="882">
        <f>IF($BN451=0,0,        _xll.qDateNext($BN450,CG$17,$CG$16,TRUE,Currency2))</f>
        <v>0</v>
      </c>
      <c r="CH450" s="886">
        <v>0</v>
      </c>
      <c r="CI450" s="886">
        <v>0</v>
      </c>
      <c r="CJ450" s="886">
        <v>0</v>
      </c>
      <c r="CK450" s="886">
        <v>0</v>
      </c>
      <c r="CL450" s="886">
        <f t="shared" si="221"/>
        <v>0</v>
      </c>
      <c r="CM450" s="886">
        <f t="shared" si="222"/>
        <v>0</v>
      </c>
      <c r="CN450" s="886">
        <v>0</v>
      </c>
      <c r="CO450" s="886">
        <v>0</v>
      </c>
      <c r="CP450" s="648">
        <f t="shared" si="199"/>
        <v>0</v>
      </c>
      <c r="CQ450" s="648">
        <f t="shared" si="200"/>
        <v>0</v>
      </c>
      <c r="CR450" s="648">
        <f t="shared" si="201"/>
        <v>0</v>
      </c>
      <c r="CS450" s="648">
        <f t="shared" si="202"/>
        <v>0</v>
      </c>
      <c r="CT450" s="648">
        <f t="shared" si="203"/>
        <v>0</v>
      </c>
      <c r="CU450" s="648">
        <f t="shared" si="204"/>
        <v>0</v>
      </c>
      <c r="CV450" s="648">
        <f t="shared" si="205"/>
        <v>0</v>
      </c>
      <c r="CW450" s="648">
        <f t="shared" si="206"/>
        <v>0</v>
      </c>
      <c r="CX450" s="634">
        <v>0</v>
      </c>
      <c r="CY450" s="616"/>
      <c r="CZ450" s="619">
        <f>IF(BN451=0,0,             IF(ISNUMBER(CY450),CY450,             IF(ISTEXT(CY450),INDEX(CP450:CW450,MATCH(CY450,$CP$17:$CW$17,0)),           IF(CX450="INT",_xll.qInterp(BN451,BZ450:CG450,CP450:CW450),       INDEX(CP450:CW450,MATCH(CX450,$CP$17:$CW$17,0))))))</f>
        <v>0</v>
      </c>
      <c r="DA450" s="755">
        <f t="shared" si="207"/>
        <v>0</v>
      </c>
      <c r="DB450" s="387">
        <f t="shared" si="208"/>
        <v>0</v>
      </c>
      <c r="DC450" s="268">
        <f>IF($BN451=0,0,         IF(LEFT(DCC_Leg2_Fixed,2)="1/",uEvaluate(DCC_Leg2_Fixed),         _xll.qDateYears($BN450,$BN451,DCC_Leg2_Fixed)))</f>
        <v>0</v>
      </c>
      <c r="DD450" s="268">
        <f>IF($BN451,_xll.qDateYears($BN450,$BN451,DCC_Leg2_Float),0)</f>
        <v>0</v>
      </c>
      <c r="DF450" s="332">
        <f t="shared" si="223"/>
        <v>0</v>
      </c>
      <c r="DG450" s="357">
        <f t="shared" si="224"/>
        <v>0</v>
      </c>
      <c r="DH450" s="527"/>
      <c r="DJ450" s="324">
        <f t="shared" si="226"/>
        <v>0</v>
      </c>
      <c r="DK450" s="529"/>
      <c r="DL450" s="338"/>
    </row>
    <row r="451" spans="15:116">
      <c r="O451" s="121">
        <v>0</v>
      </c>
      <c r="P451" s="755">
        <f t="shared" si="195"/>
        <v>0</v>
      </c>
      <c r="Q451" s="125">
        <v>0</v>
      </c>
      <c r="R451" s="890">
        <f>IF(O452=0,0,         IF(OR(Currency1="AUD",Currency1="NZD",Currency1="GBP"),O451,   _xll.qDateNext(O451,"-2b",,,IF(Currency1="EUR","TGT","LON"))))</f>
        <v>0</v>
      </c>
      <c r="S451" s="879" t="str">
        <v/>
      </c>
      <c r="T451" s="879" t="str">
        <v/>
      </c>
      <c r="U451" s="879" t="str">
        <v/>
      </c>
      <c r="V451" s="879" t="str">
        <v/>
      </c>
      <c r="W451" s="879" t="str">
        <v/>
      </c>
      <c r="X451" s="879" t="str">
        <v/>
      </c>
      <c r="Y451" s="879" t="str">
        <v/>
      </c>
      <c r="Z451" s="879" t="str">
        <v/>
      </c>
      <c r="AA451" s="882">
        <f>IF($O452=0,0,        _xll.qDateNext($O451,AA$17,$AH$16,TRUE,Currency1))</f>
        <v>0</v>
      </c>
      <c r="AB451" s="882">
        <f>IF($O452=0,0,        _xll.qDateNext($O451,AB$17,$AH$16,TRUE,Currency1))</f>
        <v>0</v>
      </c>
      <c r="AC451" s="882">
        <f>IF($O452=0,0,        _xll.qDateNext($O451,AC$17,$AH$16,TRUE,Currency1))</f>
        <v>0</v>
      </c>
      <c r="AD451" s="882">
        <f>IF($O452=0,0,        _xll.qDateNext($O451,AD$17,$AH$16,TRUE,Currency1))</f>
        <v>0</v>
      </c>
      <c r="AE451" s="882">
        <f>IF($O452=0,0,        _xll.qDateNext($O451,AE$17,$AH$16,TRUE,Currency1))</f>
        <v>0</v>
      </c>
      <c r="AF451" s="882">
        <f>IF($O452=0,0,        _xll.qDateNext($O451,AF$17,$AH$16,TRUE,Currency1))</f>
        <v>0</v>
      </c>
      <c r="AG451" s="882">
        <f>IF($O452=0,0,        _xll.qDateNext($O451,AG$17,$AH$16,TRUE,Currency1))</f>
        <v>0</v>
      </c>
      <c r="AH451" s="882">
        <f>IF($O452=0,0,        _xll.qDateNext($O451,AH$17,$AH$16,TRUE,Currency1))</f>
        <v>0</v>
      </c>
      <c r="AI451" s="886">
        <f>IF($O452=0,0,           IF(FRM,_xll.qGetFwdRate(AI$14,$O451,AA451,"T",DCC_Leg1_Float),_xll.qGetFwdRate(AI$14,$O451,$O452,"T",DCC_Leg1_Float)))</f>
        <v>0</v>
      </c>
      <c r="AJ451" s="886">
        <f>IF($O452=0,0,           IF(FRM,_xll.qGetFwdRate(AJ$14,$O451,AB451,"T",DCC_Leg1_Float),_xll.qGetFwdRate(AJ$14,$O451,$O452,"T",DCC_Leg1_Float)))</f>
        <v>0</v>
      </c>
      <c r="AK451" s="886">
        <f t="shared" si="196"/>
        <v>0</v>
      </c>
      <c r="AL451" s="886">
        <f>IF($O452=0,0,           IF(FRM,_xll.qGetFwdRate(AL$14,$O451,AD451,"T",DCC_Leg1_Float),_xll.qGetFwdRate(AL$14,$O451,$O452,"T",DCC_Leg1_Float)))</f>
        <v>0</v>
      </c>
      <c r="AM451" s="886">
        <f t="shared" si="209"/>
        <v>0</v>
      </c>
      <c r="AN451" s="886">
        <f t="shared" si="210"/>
        <v>0</v>
      </c>
      <c r="AO451" s="886">
        <f>IF($O452=0,0,           IF(FRM,_xll.qGetFwdRate(AO$14,$O451,AG451,"T",DCC_Leg1_Float),_xll.qGetFwdRate(AO$14,$O451,$O452,"T",DCC_Leg1_Float)))</f>
        <v>0</v>
      </c>
      <c r="AP451" s="886">
        <f>IF($O452=0,0,           IF(FRM,_xll.qGetFwdRate(AP$14,$O451,AH451,"T",DCC_Leg1_Float),_xll.qGetFwdRate(AP$14,$O451,$O452,"T",DCC_Leg1_Float)))</f>
        <v>0</v>
      </c>
      <c r="AQ451" s="648">
        <f t="shared" si="211"/>
        <v>0</v>
      </c>
      <c r="AR451" s="648">
        <f t="shared" si="212"/>
        <v>0</v>
      </c>
      <c r="AS451" s="648">
        <f t="shared" si="213"/>
        <v>0</v>
      </c>
      <c r="AT451" s="648">
        <f t="shared" si="214"/>
        <v>0</v>
      </c>
      <c r="AU451" s="648">
        <f t="shared" si="215"/>
        <v>0</v>
      </c>
      <c r="AV451" s="648">
        <f t="shared" si="216"/>
        <v>0</v>
      </c>
      <c r="AW451" s="648">
        <f t="shared" si="217"/>
        <v>0</v>
      </c>
      <c r="AX451" s="648">
        <f t="shared" si="218"/>
        <v>0</v>
      </c>
      <c r="AY451" s="634">
        <v>0</v>
      </c>
      <c r="AZ451" s="616"/>
      <c r="BA451" s="619">
        <f>IF(O452=0,0,             IF(ISNUMBER(AZ451),AZ451,             IF(ISTEXT(AZ451),INDEX(AQ451:AX451,MATCH(AZ451,$AQ$17:$AX$17,0)),           IF(AY451="INT",_xll.qInterp(O452,AA451:AH451,AQ451:AX451),       INDEX(AQ451:AX451,MATCH(AY451,$AQ$17:$AX$17,0))))))</f>
        <v>0</v>
      </c>
      <c r="BB451" s="674">
        <v>100</v>
      </c>
      <c r="BC451" s="666">
        <f t="shared" si="197"/>
        <v>0</v>
      </c>
      <c r="BD451" s="268">
        <f>IF($O452=0,0,                IF(LEFT(DCC_Leg1_Fixed,2)="1/",uEvaluate(DCC_Leg1_Fixed),        _xll.qDateYears($O451,$O452,DCC_Leg1_Fixed)))</f>
        <v>0</v>
      </c>
      <c r="BE451" s="268">
        <f>IF($O452,_xll.qDateYears($O451,$O452,DCC_Leg1_Float),0)</f>
        <v>0</v>
      </c>
      <c r="BG451" s="332">
        <f t="shared" si="219"/>
        <v>0</v>
      </c>
      <c r="BH451" s="357">
        <f t="shared" si="220"/>
        <v>0</v>
      </c>
      <c r="BI451" s="527"/>
      <c r="BK451" s="324">
        <f t="shared" si="225"/>
        <v>0</v>
      </c>
      <c r="BM451" s="338"/>
      <c r="BN451" s="121">
        <v>0</v>
      </c>
      <c r="BO451" s="755">
        <f t="shared" si="198"/>
        <v>0</v>
      </c>
      <c r="BP451" s="339">
        <v>0</v>
      </c>
      <c r="BQ451" s="890">
        <f>IF(BN452=0,0,         IF(OR(Currency2="AUD",Currency1="NZD",Currency2="GBP"),BN451,   _xll.qDateNext(BN451,"-2b",,,IF(Currency2="EUR","TGT","LON"))))</f>
        <v>0</v>
      </c>
      <c r="BR451" s="879" t="str">
        <v/>
      </c>
      <c r="BS451" s="879" t="str">
        <v/>
      </c>
      <c r="BT451" s="879" t="str">
        <v/>
      </c>
      <c r="BU451" s="879" t="str">
        <v/>
      </c>
      <c r="BV451" s="879" t="str">
        <v/>
      </c>
      <c r="BW451" s="879" t="str">
        <v/>
      </c>
      <c r="BX451" s="879" t="str">
        <v/>
      </c>
      <c r="BY451" s="879" t="str">
        <v/>
      </c>
      <c r="BZ451" s="882">
        <f>IF($BN452=0,0,        _xll.qDateNext($BN451,BZ$17,$CG$16,TRUE,Currency2))</f>
        <v>0</v>
      </c>
      <c r="CA451" s="882">
        <f>IF($BN452=0,0,        _xll.qDateNext($BN451,CA$17,$CG$16,TRUE,Currency2))</f>
        <v>0</v>
      </c>
      <c r="CB451" s="882">
        <f>IF($BN452=0,0,        _xll.qDateNext($BN451,CB$17,$CG$16,TRUE,Currency2))</f>
        <v>0</v>
      </c>
      <c r="CC451" s="882">
        <f>IF($BN452=0,0,        _xll.qDateNext($BN451,CC$17,$CG$16,TRUE,Currency2))</f>
        <v>0</v>
      </c>
      <c r="CD451" s="882">
        <f>IF($BN452=0,0,        _xll.qDateNext($BN451,CD$17,$CG$16,TRUE,Currency2))</f>
        <v>0</v>
      </c>
      <c r="CE451" s="882">
        <f>IF($BN452=0,0,        _xll.qDateNext($BN451,CE$17,$CG$16,TRUE,Currency2))</f>
        <v>0</v>
      </c>
      <c r="CF451" s="882">
        <f>IF($BN452=0,0,        _xll.qDateNext($BN451,CF$17,$CG$16,TRUE,Currency2))</f>
        <v>0</v>
      </c>
      <c r="CG451" s="882">
        <f>IF($BN452=0,0,        _xll.qDateNext($BN451,CG$17,$CG$16,TRUE,Currency2))</f>
        <v>0</v>
      </c>
      <c r="CH451" s="886">
        <v>0</v>
      </c>
      <c r="CI451" s="886">
        <v>0</v>
      </c>
      <c r="CJ451" s="886">
        <v>0</v>
      </c>
      <c r="CK451" s="886">
        <v>0</v>
      </c>
      <c r="CL451" s="886">
        <f t="shared" si="221"/>
        <v>0</v>
      </c>
      <c r="CM451" s="886">
        <f t="shared" si="222"/>
        <v>0</v>
      </c>
      <c r="CN451" s="886">
        <v>0</v>
      </c>
      <c r="CO451" s="886">
        <v>0</v>
      </c>
      <c r="CP451" s="648">
        <f t="shared" si="199"/>
        <v>0</v>
      </c>
      <c r="CQ451" s="648">
        <f t="shared" si="200"/>
        <v>0</v>
      </c>
      <c r="CR451" s="648">
        <f t="shared" si="201"/>
        <v>0</v>
      </c>
      <c r="CS451" s="648">
        <f t="shared" si="202"/>
        <v>0</v>
      </c>
      <c r="CT451" s="648">
        <f t="shared" si="203"/>
        <v>0</v>
      </c>
      <c r="CU451" s="648">
        <f t="shared" si="204"/>
        <v>0</v>
      </c>
      <c r="CV451" s="648">
        <f t="shared" si="205"/>
        <v>0</v>
      </c>
      <c r="CW451" s="648">
        <f t="shared" si="206"/>
        <v>0</v>
      </c>
      <c r="CX451" s="634">
        <v>0</v>
      </c>
      <c r="CY451" s="616"/>
      <c r="CZ451" s="619">
        <f>IF(BN452=0,0,             IF(ISNUMBER(CY451),CY451,             IF(ISTEXT(CY451),INDEX(CP451:CW451,MATCH(CY451,$CP$17:$CW$17,0)),           IF(CX451="INT",_xll.qInterp(BN452,BZ451:CG451,CP451:CW451),       INDEX(CP451:CW451,MATCH(CX451,$CP$17:$CW$17,0))))))</f>
        <v>0</v>
      </c>
      <c r="DA451" s="755">
        <f t="shared" si="207"/>
        <v>0</v>
      </c>
      <c r="DB451" s="387">
        <f t="shared" si="208"/>
        <v>0</v>
      </c>
      <c r="DC451" s="268">
        <f>IF($BN452=0,0,         IF(LEFT(DCC_Leg2_Fixed,2)="1/",uEvaluate(DCC_Leg2_Fixed),         _xll.qDateYears($BN451,$BN452,DCC_Leg2_Fixed)))</f>
        <v>0</v>
      </c>
      <c r="DD451" s="268">
        <f>IF($BN452,_xll.qDateYears($BN451,$BN452,DCC_Leg2_Float),0)</f>
        <v>0</v>
      </c>
      <c r="DF451" s="332">
        <f t="shared" si="223"/>
        <v>0</v>
      </c>
      <c r="DG451" s="357">
        <f t="shared" si="224"/>
        <v>0</v>
      </c>
      <c r="DH451" s="527"/>
      <c r="DJ451" s="324">
        <f t="shared" si="226"/>
        <v>0</v>
      </c>
      <c r="DK451" s="529"/>
      <c r="DL451" s="338"/>
    </row>
    <row r="452" spans="15:116">
      <c r="O452" s="121">
        <v>0</v>
      </c>
      <c r="P452" s="755">
        <f t="shared" si="195"/>
        <v>0</v>
      </c>
      <c r="Q452" s="125">
        <v>0</v>
      </c>
      <c r="R452" s="890">
        <f>IF(O453=0,0,         IF(OR(Currency1="AUD",Currency1="NZD",Currency1="GBP"),O452,   _xll.qDateNext(O452,"-2b",,,IF(Currency1="EUR","TGT","LON"))))</f>
        <v>0</v>
      </c>
      <c r="S452" s="879" t="str">
        <v/>
      </c>
      <c r="T452" s="879" t="str">
        <v/>
      </c>
      <c r="U452" s="879" t="str">
        <v/>
      </c>
      <c r="V452" s="879" t="str">
        <v/>
      </c>
      <c r="W452" s="879" t="str">
        <v/>
      </c>
      <c r="X452" s="879" t="str">
        <v/>
      </c>
      <c r="Y452" s="879" t="str">
        <v/>
      </c>
      <c r="Z452" s="879" t="str">
        <v/>
      </c>
      <c r="AA452" s="882">
        <f>IF($O453=0,0,        _xll.qDateNext($O452,AA$17,$AH$16,TRUE,Currency1))</f>
        <v>0</v>
      </c>
      <c r="AB452" s="882">
        <f>IF($O453=0,0,        _xll.qDateNext($O452,AB$17,$AH$16,TRUE,Currency1))</f>
        <v>0</v>
      </c>
      <c r="AC452" s="882">
        <f>IF($O453=0,0,        _xll.qDateNext($O452,AC$17,$AH$16,TRUE,Currency1))</f>
        <v>0</v>
      </c>
      <c r="AD452" s="882">
        <f>IF($O453=0,0,        _xll.qDateNext($O452,AD$17,$AH$16,TRUE,Currency1))</f>
        <v>0</v>
      </c>
      <c r="AE452" s="882">
        <f>IF($O453=0,0,        _xll.qDateNext($O452,AE$17,$AH$16,TRUE,Currency1))</f>
        <v>0</v>
      </c>
      <c r="AF452" s="882">
        <f>IF($O453=0,0,        _xll.qDateNext($O452,AF$17,$AH$16,TRUE,Currency1))</f>
        <v>0</v>
      </c>
      <c r="AG452" s="882">
        <f>IF($O453=0,0,        _xll.qDateNext($O452,AG$17,$AH$16,TRUE,Currency1))</f>
        <v>0</v>
      </c>
      <c r="AH452" s="882">
        <f>IF($O453=0,0,        _xll.qDateNext($O452,AH$17,$AH$16,TRUE,Currency1))</f>
        <v>0</v>
      </c>
      <c r="AI452" s="886">
        <f>IF($O453=0,0,           IF(FRM,_xll.qGetFwdRate(AI$14,$O452,AA452,"T",DCC_Leg1_Float),_xll.qGetFwdRate(AI$14,$O452,$O453,"T",DCC_Leg1_Float)))</f>
        <v>0</v>
      </c>
      <c r="AJ452" s="886">
        <f>IF($O453=0,0,           IF(FRM,_xll.qGetFwdRate(AJ$14,$O452,AB452,"T",DCC_Leg1_Float),_xll.qGetFwdRate(AJ$14,$O452,$O453,"T",DCC_Leg1_Float)))</f>
        <v>0</v>
      </c>
      <c r="AK452" s="886">
        <f t="shared" si="196"/>
        <v>0</v>
      </c>
      <c r="AL452" s="886">
        <f>IF($O453=0,0,           IF(FRM,_xll.qGetFwdRate(AL$14,$O452,AD452,"T",DCC_Leg1_Float),_xll.qGetFwdRate(AL$14,$O452,$O453,"T",DCC_Leg1_Float)))</f>
        <v>0</v>
      </c>
      <c r="AM452" s="886">
        <f t="shared" si="209"/>
        <v>0</v>
      </c>
      <c r="AN452" s="886">
        <f t="shared" si="210"/>
        <v>0</v>
      </c>
      <c r="AO452" s="886">
        <f>IF($O453=0,0,           IF(FRM,_xll.qGetFwdRate(AO$14,$O452,AG452,"T",DCC_Leg1_Float),_xll.qGetFwdRate(AO$14,$O452,$O453,"T",DCC_Leg1_Float)))</f>
        <v>0</v>
      </c>
      <c r="AP452" s="886">
        <f>IF($O453=0,0,           IF(FRM,_xll.qGetFwdRate(AP$14,$O452,AH452,"T",DCC_Leg1_Float),_xll.qGetFwdRate(AP$14,$O452,$O453,"T",DCC_Leg1_Float)))</f>
        <v>0</v>
      </c>
      <c r="AQ452" s="648">
        <f t="shared" si="211"/>
        <v>0</v>
      </c>
      <c r="AR452" s="648">
        <f t="shared" si="212"/>
        <v>0</v>
      </c>
      <c r="AS452" s="648">
        <f t="shared" si="213"/>
        <v>0</v>
      </c>
      <c r="AT452" s="648">
        <f t="shared" si="214"/>
        <v>0</v>
      </c>
      <c r="AU452" s="648">
        <f t="shared" si="215"/>
        <v>0</v>
      </c>
      <c r="AV452" s="648">
        <f t="shared" si="216"/>
        <v>0</v>
      </c>
      <c r="AW452" s="648">
        <f t="shared" si="217"/>
        <v>0</v>
      </c>
      <c r="AX452" s="648">
        <f t="shared" si="218"/>
        <v>0</v>
      </c>
      <c r="AY452" s="634">
        <v>0</v>
      </c>
      <c r="AZ452" s="616"/>
      <c r="BA452" s="619">
        <f>IF(O453=0,0,             IF(ISNUMBER(AZ452),AZ452,             IF(ISTEXT(AZ452),INDEX(AQ452:AX452,MATCH(AZ452,$AQ$17:$AX$17,0)),           IF(AY452="INT",_xll.qInterp(O453,AA452:AH452,AQ452:AX452),       INDEX(AQ452:AX452,MATCH(AY452,$AQ$17:$AX$17,0))))))</f>
        <v>0</v>
      </c>
      <c r="BB452" s="674">
        <v>100</v>
      </c>
      <c r="BC452" s="666">
        <f t="shared" si="197"/>
        <v>0</v>
      </c>
      <c r="BD452" s="268">
        <f>IF($O453=0,0,                IF(LEFT(DCC_Leg1_Fixed,2)="1/",uEvaluate(DCC_Leg1_Fixed),        _xll.qDateYears($O452,$O453,DCC_Leg1_Fixed)))</f>
        <v>0</v>
      </c>
      <c r="BE452" s="268">
        <f>IF($O453,_xll.qDateYears($O452,$O453,DCC_Leg1_Float),0)</f>
        <v>0</v>
      </c>
      <c r="BG452" s="332">
        <f t="shared" si="219"/>
        <v>0</v>
      </c>
      <c r="BH452" s="357">
        <f t="shared" si="220"/>
        <v>0</v>
      </c>
      <c r="BI452" s="527"/>
      <c r="BK452" s="324">
        <f t="shared" si="225"/>
        <v>0</v>
      </c>
      <c r="BM452" s="338"/>
      <c r="BN452" s="121">
        <v>0</v>
      </c>
      <c r="BO452" s="755">
        <f t="shared" si="198"/>
        <v>0</v>
      </c>
      <c r="BP452" s="339">
        <v>0</v>
      </c>
      <c r="BQ452" s="890">
        <f>IF(BN453=0,0,         IF(OR(Currency2="AUD",Currency1="NZD",Currency2="GBP"),BN452,   _xll.qDateNext(BN452,"-2b",,,IF(Currency2="EUR","TGT","LON"))))</f>
        <v>0</v>
      </c>
      <c r="BR452" s="879" t="str">
        <v/>
      </c>
      <c r="BS452" s="879" t="str">
        <v/>
      </c>
      <c r="BT452" s="879" t="str">
        <v/>
      </c>
      <c r="BU452" s="879" t="str">
        <v/>
      </c>
      <c r="BV452" s="879" t="str">
        <v/>
      </c>
      <c r="BW452" s="879" t="str">
        <v/>
      </c>
      <c r="BX452" s="879" t="str">
        <v/>
      </c>
      <c r="BY452" s="879" t="str">
        <v/>
      </c>
      <c r="BZ452" s="882">
        <f>IF($BN453=0,0,        _xll.qDateNext($BN452,BZ$17,$CG$16,TRUE,Currency2))</f>
        <v>0</v>
      </c>
      <c r="CA452" s="882">
        <f>IF($BN453=0,0,        _xll.qDateNext($BN452,CA$17,$CG$16,TRUE,Currency2))</f>
        <v>0</v>
      </c>
      <c r="CB452" s="882">
        <f>IF($BN453=0,0,        _xll.qDateNext($BN452,CB$17,$CG$16,TRUE,Currency2))</f>
        <v>0</v>
      </c>
      <c r="CC452" s="882">
        <f>IF($BN453=0,0,        _xll.qDateNext($BN452,CC$17,$CG$16,TRUE,Currency2))</f>
        <v>0</v>
      </c>
      <c r="CD452" s="882">
        <f>IF($BN453=0,0,        _xll.qDateNext($BN452,CD$17,$CG$16,TRUE,Currency2))</f>
        <v>0</v>
      </c>
      <c r="CE452" s="882">
        <f>IF($BN453=0,0,        _xll.qDateNext($BN452,CE$17,$CG$16,TRUE,Currency2))</f>
        <v>0</v>
      </c>
      <c r="CF452" s="882">
        <f>IF($BN453=0,0,        _xll.qDateNext($BN452,CF$17,$CG$16,TRUE,Currency2))</f>
        <v>0</v>
      </c>
      <c r="CG452" s="882">
        <f>IF($BN453=0,0,        _xll.qDateNext($BN452,CG$17,$CG$16,TRUE,Currency2))</f>
        <v>0</v>
      </c>
      <c r="CH452" s="886">
        <v>0</v>
      </c>
      <c r="CI452" s="886">
        <v>0</v>
      </c>
      <c r="CJ452" s="886">
        <v>0</v>
      </c>
      <c r="CK452" s="886">
        <v>0</v>
      </c>
      <c r="CL452" s="886">
        <f t="shared" si="221"/>
        <v>0</v>
      </c>
      <c r="CM452" s="886">
        <f t="shared" si="222"/>
        <v>0</v>
      </c>
      <c r="CN452" s="886">
        <v>0</v>
      </c>
      <c r="CO452" s="886">
        <v>0</v>
      </c>
      <c r="CP452" s="648">
        <f t="shared" si="199"/>
        <v>0</v>
      </c>
      <c r="CQ452" s="648">
        <f t="shared" si="200"/>
        <v>0</v>
      </c>
      <c r="CR452" s="648">
        <f t="shared" si="201"/>
        <v>0</v>
      </c>
      <c r="CS452" s="648">
        <f t="shared" si="202"/>
        <v>0</v>
      </c>
      <c r="CT452" s="648">
        <f t="shared" si="203"/>
        <v>0</v>
      </c>
      <c r="CU452" s="648">
        <f t="shared" si="204"/>
        <v>0</v>
      </c>
      <c r="CV452" s="648">
        <f t="shared" si="205"/>
        <v>0</v>
      </c>
      <c r="CW452" s="648">
        <f t="shared" si="206"/>
        <v>0</v>
      </c>
      <c r="CX452" s="634">
        <v>0</v>
      </c>
      <c r="CY452" s="616"/>
      <c r="CZ452" s="619">
        <f>IF(BN453=0,0,             IF(ISNUMBER(CY452),CY452,             IF(ISTEXT(CY452),INDEX(CP452:CW452,MATCH(CY452,$CP$17:$CW$17,0)),           IF(CX452="INT",_xll.qInterp(BN453,BZ452:CG452,CP452:CW452),       INDEX(CP452:CW452,MATCH(CX452,$CP$17:$CW$17,0))))))</f>
        <v>0</v>
      </c>
      <c r="DA452" s="755">
        <f t="shared" si="207"/>
        <v>0</v>
      </c>
      <c r="DB452" s="387">
        <f t="shared" si="208"/>
        <v>0</v>
      </c>
      <c r="DC452" s="268">
        <f>IF($BN453=0,0,         IF(LEFT(DCC_Leg2_Fixed,2)="1/",uEvaluate(DCC_Leg2_Fixed),         _xll.qDateYears($BN452,$BN453,DCC_Leg2_Fixed)))</f>
        <v>0</v>
      </c>
      <c r="DD452" s="268">
        <f>IF($BN453,_xll.qDateYears($BN452,$BN453,DCC_Leg2_Float),0)</f>
        <v>0</v>
      </c>
      <c r="DF452" s="332">
        <f t="shared" si="223"/>
        <v>0</v>
      </c>
      <c r="DG452" s="357">
        <f t="shared" si="224"/>
        <v>0</v>
      </c>
      <c r="DH452" s="527"/>
      <c r="DJ452" s="324">
        <f t="shared" si="226"/>
        <v>0</v>
      </c>
      <c r="DK452" s="529"/>
      <c r="DL452" s="338"/>
    </row>
    <row r="453" spans="15:116">
      <c r="O453" s="121">
        <v>0</v>
      </c>
      <c r="P453" s="755">
        <f t="shared" si="195"/>
        <v>0</v>
      </c>
      <c r="Q453" s="125">
        <v>0</v>
      </c>
      <c r="R453" s="890">
        <f>IF(O454=0,0,         IF(OR(Currency1="AUD",Currency1="NZD",Currency1="GBP"),O453,   _xll.qDateNext(O453,"-2b",,,IF(Currency1="EUR","TGT","LON"))))</f>
        <v>0</v>
      </c>
      <c r="S453" s="879" t="str">
        <v/>
      </c>
      <c r="T453" s="879" t="str">
        <v/>
      </c>
      <c r="U453" s="879" t="str">
        <v/>
      </c>
      <c r="V453" s="879" t="str">
        <v/>
      </c>
      <c r="W453" s="879" t="str">
        <v/>
      </c>
      <c r="X453" s="879" t="str">
        <v/>
      </c>
      <c r="Y453" s="879" t="str">
        <v/>
      </c>
      <c r="Z453" s="879" t="str">
        <v/>
      </c>
      <c r="AA453" s="882">
        <f>IF($O454=0,0,        _xll.qDateNext($O453,AA$17,$AH$16,TRUE,Currency1))</f>
        <v>0</v>
      </c>
      <c r="AB453" s="882">
        <f>IF($O454=0,0,        _xll.qDateNext($O453,AB$17,$AH$16,TRUE,Currency1))</f>
        <v>0</v>
      </c>
      <c r="AC453" s="882">
        <f>IF($O454=0,0,        _xll.qDateNext($O453,AC$17,$AH$16,TRUE,Currency1))</f>
        <v>0</v>
      </c>
      <c r="AD453" s="882">
        <f>IF($O454=0,0,        _xll.qDateNext($O453,AD$17,$AH$16,TRUE,Currency1))</f>
        <v>0</v>
      </c>
      <c r="AE453" s="882">
        <f>IF($O454=0,0,        _xll.qDateNext($O453,AE$17,$AH$16,TRUE,Currency1))</f>
        <v>0</v>
      </c>
      <c r="AF453" s="882">
        <f>IF($O454=0,0,        _xll.qDateNext($O453,AF$17,$AH$16,TRUE,Currency1))</f>
        <v>0</v>
      </c>
      <c r="AG453" s="882">
        <f>IF($O454=0,0,        _xll.qDateNext($O453,AG$17,$AH$16,TRUE,Currency1))</f>
        <v>0</v>
      </c>
      <c r="AH453" s="882">
        <f>IF($O454=0,0,        _xll.qDateNext($O453,AH$17,$AH$16,TRUE,Currency1))</f>
        <v>0</v>
      </c>
      <c r="AI453" s="886">
        <f>IF($O454=0,0,           IF(FRM,_xll.qGetFwdRate(AI$14,$O453,AA453,"T",DCC_Leg1_Float),_xll.qGetFwdRate(AI$14,$O453,$O454,"T",DCC_Leg1_Float)))</f>
        <v>0</v>
      </c>
      <c r="AJ453" s="886">
        <f>IF($O454=0,0,           IF(FRM,_xll.qGetFwdRate(AJ$14,$O453,AB453,"T",DCC_Leg1_Float),_xll.qGetFwdRate(AJ$14,$O453,$O454,"T",DCC_Leg1_Float)))</f>
        <v>0</v>
      </c>
      <c r="AK453" s="886">
        <f t="shared" si="196"/>
        <v>0</v>
      </c>
      <c r="AL453" s="886">
        <f>IF($O454=0,0,           IF(FRM,_xll.qGetFwdRate(AL$14,$O453,AD453,"T",DCC_Leg1_Float),_xll.qGetFwdRate(AL$14,$O453,$O454,"T",DCC_Leg1_Float)))</f>
        <v>0</v>
      </c>
      <c r="AM453" s="886">
        <f t="shared" si="209"/>
        <v>0</v>
      </c>
      <c r="AN453" s="886">
        <f t="shared" si="210"/>
        <v>0</v>
      </c>
      <c r="AO453" s="886">
        <f>IF($O454=0,0,           IF(FRM,_xll.qGetFwdRate(AO$14,$O453,AG453,"T",DCC_Leg1_Float),_xll.qGetFwdRate(AO$14,$O453,$O454,"T",DCC_Leg1_Float)))</f>
        <v>0</v>
      </c>
      <c r="AP453" s="886">
        <f>IF($O454=0,0,           IF(FRM,_xll.qGetFwdRate(AP$14,$O453,AH453,"T",DCC_Leg1_Float),_xll.qGetFwdRate(AP$14,$O453,$O454,"T",DCC_Leg1_Float)))</f>
        <v>0</v>
      </c>
      <c r="AQ453" s="648">
        <f t="shared" si="211"/>
        <v>0</v>
      </c>
      <c r="AR453" s="648">
        <f t="shared" si="212"/>
        <v>0</v>
      </c>
      <c r="AS453" s="648">
        <f t="shared" si="213"/>
        <v>0</v>
      </c>
      <c r="AT453" s="648">
        <f t="shared" si="214"/>
        <v>0</v>
      </c>
      <c r="AU453" s="648">
        <f t="shared" si="215"/>
        <v>0</v>
      </c>
      <c r="AV453" s="648">
        <f t="shared" si="216"/>
        <v>0</v>
      </c>
      <c r="AW453" s="648">
        <f t="shared" si="217"/>
        <v>0</v>
      </c>
      <c r="AX453" s="648">
        <f t="shared" si="218"/>
        <v>0</v>
      </c>
      <c r="AY453" s="634">
        <v>0</v>
      </c>
      <c r="AZ453" s="616"/>
      <c r="BA453" s="619">
        <f>IF(O454=0,0,             IF(ISNUMBER(AZ453),AZ453,             IF(ISTEXT(AZ453),INDEX(AQ453:AX453,MATCH(AZ453,$AQ$17:$AX$17,0)),           IF(AY453="INT",_xll.qInterp(O454,AA453:AH453,AQ453:AX453),       INDEX(AQ453:AX453,MATCH(AY453,$AQ$17:$AX$17,0))))))</f>
        <v>0</v>
      </c>
      <c r="BB453" s="674">
        <v>100</v>
      </c>
      <c r="BC453" s="666">
        <f t="shared" si="197"/>
        <v>0</v>
      </c>
      <c r="BD453" s="268">
        <f>IF($O454=0,0,                IF(LEFT(DCC_Leg1_Fixed,2)="1/",uEvaluate(DCC_Leg1_Fixed),        _xll.qDateYears($O453,$O454,DCC_Leg1_Fixed)))</f>
        <v>0</v>
      </c>
      <c r="BE453" s="268">
        <f>IF($O454,_xll.qDateYears($O453,$O454,DCC_Leg1_Float),0)</f>
        <v>0</v>
      </c>
      <c r="BG453" s="332">
        <f t="shared" si="219"/>
        <v>0</v>
      </c>
      <c r="BH453" s="357">
        <f t="shared" si="220"/>
        <v>0</v>
      </c>
      <c r="BI453" s="527"/>
      <c r="BK453" s="324">
        <f t="shared" si="225"/>
        <v>0</v>
      </c>
      <c r="BM453" s="338"/>
      <c r="BN453" s="121">
        <v>0</v>
      </c>
      <c r="BO453" s="755">
        <f t="shared" si="198"/>
        <v>0</v>
      </c>
      <c r="BP453" s="339">
        <v>0</v>
      </c>
      <c r="BQ453" s="890">
        <f>IF(BN454=0,0,         IF(OR(Currency2="AUD",Currency1="NZD",Currency2="GBP"),BN453,   _xll.qDateNext(BN453,"-2b",,,IF(Currency2="EUR","TGT","LON"))))</f>
        <v>0</v>
      </c>
      <c r="BR453" s="879" t="str">
        <v/>
      </c>
      <c r="BS453" s="879" t="str">
        <v/>
      </c>
      <c r="BT453" s="879" t="str">
        <v/>
      </c>
      <c r="BU453" s="879" t="str">
        <v/>
      </c>
      <c r="BV453" s="879" t="str">
        <v/>
      </c>
      <c r="BW453" s="879" t="str">
        <v/>
      </c>
      <c r="BX453" s="879" t="str">
        <v/>
      </c>
      <c r="BY453" s="879" t="str">
        <v/>
      </c>
      <c r="BZ453" s="882">
        <f>IF($BN454=0,0,        _xll.qDateNext($BN453,BZ$17,$CG$16,TRUE,Currency2))</f>
        <v>0</v>
      </c>
      <c r="CA453" s="882">
        <f>IF($BN454=0,0,        _xll.qDateNext($BN453,CA$17,$CG$16,TRUE,Currency2))</f>
        <v>0</v>
      </c>
      <c r="CB453" s="882">
        <f>IF($BN454=0,0,        _xll.qDateNext($BN453,CB$17,$CG$16,TRUE,Currency2))</f>
        <v>0</v>
      </c>
      <c r="CC453" s="882">
        <f>IF($BN454=0,0,        _xll.qDateNext($BN453,CC$17,$CG$16,TRUE,Currency2))</f>
        <v>0</v>
      </c>
      <c r="CD453" s="882">
        <f>IF($BN454=0,0,        _xll.qDateNext($BN453,CD$17,$CG$16,TRUE,Currency2))</f>
        <v>0</v>
      </c>
      <c r="CE453" s="882">
        <f>IF($BN454=0,0,        _xll.qDateNext($BN453,CE$17,$CG$16,TRUE,Currency2))</f>
        <v>0</v>
      </c>
      <c r="CF453" s="882">
        <f>IF($BN454=0,0,        _xll.qDateNext($BN453,CF$17,$CG$16,TRUE,Currency2))</f>
        <v>0</v>
      </c>
      <c r="CG453" s="882">
        <f>IF($BN454=0,0,        _xll.qDateNext($BN453,CG$17,$CG$16,TRUE,Currency2))</f>
        <v>0</v>
      </c>
      <c r="CH453" s="886">
        <v>0</v>
      </c>
      <c r="CI453" s="886">
        <v>0</v>
      </c>
      <c r="CJ453" s="886">
        <v>0</v>
      </c>
      <c r="CK453" s="886">
        <v>0</v>
      </c>
      <c r="CL453" s="886">
        <f t="shared" si="221"/>
        <v>0</v>
      </c>
      <c r="CM453" s="886">
        <f t="shared" si="222"/>
        <v>0</v>
      </c>
      <c r="CN453" s="886">
        <v>0</v>
      </c>
      <c r="CO453" s="886">
        <v>0</v>
      </c>
      <c r="CP453" s="648">
        <f t="shared" si="199"/>
        <v>0</v>
      </c>
      <c r="CQ453" s="648">
        <f t="shared" si="200"/>
        <v>0</v>
      </c>
      <c r="CR453" s="648">
        <f t="shared" si="201"/>
        <v>0</v>
      </c>
      <c r="CS453" s="648">
        <f t="shared" si="202"/>
        <v>0</v>
      </c>
      <c r="CT453" s="648">
        <f t="shared" si="203"/>
        <v>0</v>
      </c>
      <c r="CU453" s="648">
        <f t="shared" si="204"/>
        <v>0</v>
      </c>
      <c r="CV453" s="648">
        <f t="shared" si="205"/>
        <v>0</v>
      </c>
      <c r="CW453" s="648">
        <f t="shared" si="206"/>
        <v>0</v>
      </c>
      <c r="CX453" s="634">
        <v>0</v>
      </c>
      <c r="CY453" s="616"/>
      <c r="CZ453" s="619">
        <f>IF(BN454=0,0,             IF(ISNUMBER(CY453),CY453,             IF(ISTEXT(CY453),INDEX(CP453:CW453,MATCH(CY453,$CP$17:$CW$17,0)),           IF(CX453="INT",_xll.qInterp(BN454,BZ453:CG453,CP453:CW453),       INDEX(CP453:CW453,MATCH(CX453,$CP$17:$CW$17,0))))))</f>
        <v>0</v>
      </c>
      <c r="DA453" s="755">
        <f t="shared" si="207"/>
        <v>0</v>
      </c>
      <c r="DB453" s="387">
        <f t="shared" si="208"/>
        <v>0</v>
      </c>
      <c r="DC453" s="268">
        <f>IF($BN454=0,0,         IF(LEFT(DCC_Leg2_Fixed,2)="1/",uEvaluate(DCC_Leg2_Fixed),         _xll.qDateYears($BN453,$BN454,DCC_Leg2_Fixed)))</f>
        <v>0</v>
      </c>
      <c r="DD453" s="268">
        <f>IF($BN454,_xll.qDateYears($BN453,$BN454,DCC_Leg2_Float),0)</f>
        <v>0</v>
      </c>
      <c r="DF453" s="332">
        <f t="shared" si="223"/>
        <v>0</v>
      </c>
      <c r="DG453" s="357">
        <f t="shared" si="224"/>
        <v>0</v>
      </c>
      <c r="DH453" s="527"/>
      <c r="DJ453" s="324">
        <f t="shared" si="226"/>
        <v>0</v>
      </c>
      <c r="DK453" s="529"/>
      <c r="DL453" s="338"/>
    </row>
    <row r="454" spans="15:116">
      <c r="O454" s="121">
        <v>0</v>
      </c>
      <c r="P454" s="755">
        <f t="shared" si="195"/>
        <v>0</v>
      </c>
      <c r="Q454" s="125">
        <v>0</v>
      </c>
      <c r="R454" s="890">
        <f>IF(O455=0,0,         IF(OR(Currency1="AUD",Currency1="NZD",Currency1="GBP"),O454,   _xll.qDateNext(O454,"-2b",,,IF(Currency1="EUR","TGT","LON"))))</f>
        <v>0</v>
      </c>
      <c r="S454" s="879" t="str">
        <v/>
      </c>
      <c r="T454" s="879" t="str">
        <v/>
      </c>
      <c r="U454" s="879" t="str">
        <v/>
      </c>
      <c r="V454" s="879" t="str">
        <v/>
      </c>
      <c r="W454" s="879" t="str">
        <v/>
      </c>
      <c r="X454" s="879" t="str">
        <v/>
      </c>
      <c r="Y454" s="879" t="str">
        <v/>
      </c>
      <c r="Z454" s="879" t="str">
        <v/>
      </c>
      <c r="AA454" s="882">
        <f>IF($O455=0,0,        _xll.qDateNext($O454,AA$17,$AH$16,TRUE,Currency1))</f>
        <v>0</v>
      </c>
      <c r="AB454" s="882">
        <f>IF($O455=0,0,        _xll.qDateNext($O454,AB$17,$AH$16,TRUE,Currency1))</f>
        <v>0</v>
      </c>
      <c r="AC454" s="882">
        <f>IF($O455=0,0,        _xll.qDateNext($O454,AC$17,$AH$16,TRUE,Currency1))</f>
        <v>0</v>
      </c>
      <c r="AD454" s="882">
        <f>IF($O455=0,0,        _xll.qDateNext($O454,AD$17,$AH$16,TRUE,Currency1))</f>
        <v>0</v>
      </c>
      <c r="AE454" s="882">
        <f>IF($O455=0,0,        _xll.qDateNext($O454,AE$17,$AH$16,TRUE,Currency1))</f>
        <v>0</v>
      </c>
      <c r="AF454" s="882">
        <f>IF($O455=0,0,        _xll.qDateNext($O454,AF$17,$AH$16,TRUE,Currency1))</f>
        <v>0</v>
      </c>
      <c r="AG454" s="882">
        <f>IF($O455=0,0,        _xll.qDateNext($O454,AG$17,$AH$16,TRUE,Currency1))</f>
        <v>0</v>
      </c>
      <c r="AH454" s="882">
        <f>IF($O455=0,0,        _xll.qDateNext($O454,AH$17,$AH$16,TRUE,Currency1))</f>
        <v>0</v>
      </c>
      <c r="AI454" s="886">
        <f>IF($O455=0,0,           IF(FRM,_xll.qGetFwdRate(AI$14,$O454,AA454,"T",DCC_Leg1_Float),_xll.qGetFwdRate(AI$14,$O454,$O455,"T",DCC_Leg1_Float)))</f>
        <v>0</v>
      </c>
      <c r="AJ454" s="886">
        <f>IF($O455=0,0,           IF(FRM,_xll.qGetFwdRate(AJ$14,$O454,AB454,"T",DCC_Leg1_Float),_xll.qGetFwdRate(AJ$14,$O454,$O455,"T",DCC_Leg1_Float)))</f>
        <v>0</v>
      </c>
      <c r="AK454" s="886">
        <f t="shared" si="196"/>
        <v>0</v>
      </c>
      <c r="AL454" s="886">
        <f>IF($O455=0,0,           IF(FRM,_xll.qGetFwdRate(AL$14,$O454,AD454,"T",DCC_Leg1_Float),_xll.qGetFwdRate(AL$14,$O454,$O455,"T",DCC_Leg1_Float)))</f>
        <v>0</v>
      </c>
      <c r="AM454" s="886">
        <f t="shared" si="209"/>
        <v>0</v>
      </c>
      <c r="AN454" s="886">
        <f t="shared" si="210"/>
        <v>0</v>
      </c>
      <c r="AO454" s="886">
        <f>IF($O455=0,0,           IF(FRM,_xll.qGetFwdRate(AO$14,$O454,AG454,"T",DCC_Leg1_Float),_xll.qGetFwdRate(AO$14,$O454,$O455,"T",DCC_Leg1_Float)))</f>
        <v>0</v>
      </c>
      <c r="AP454" s="886">
        <f>IF($O455=0,0,           IF(FRM,_xll.qGetFwdRate(AP$14,$O454,AH454,"T",DCC_Leg1_Float),_xll.qGetFwdRate(AP$14,$O454,$O455,"T",DCC_Leg1_Float)))</f>
        <v>0</v>
      </c>
      <c r="AQ454" s="648">
        <f t="shared" si="211"/>
        <v>0</v>
      </c>
      <c r="AR454" s="648">
        <f t="shared" si="212"/>
        <v>0</v>
      </c>
      <c r="AS454" s="648">
        <f t="shared" si="213"/>
        <v>0</v>
      </c>
      <c r="AT454" s="648">
        <f t="shared" si="214"/>
        <v>0</v>
      </c>
      <c r="AU454" s="648">
        <f t="shared" si="215"/>
        <v>0</v>
      </c>
      <c r="AV454" s="648">
        <f t="shared" si="216"/>
        <v>0</v>
      </c>
      <c r="AW454" s="648">
        <f t="shared" si="217"/>
        <v>0</v>
      </c>
      <c r="AX454" s="648">
        <f t="shared" si="218"/>
        <v>0</v>
      </c>
      <c r="AY454" s="634">
        <v>0</v>
      </c>
      <c r="AZ454" s="616"/>
      <c r="BA454" s="619">
        <f>IF(O455=0,0,             IF(ISNUMBER(AZ454),AZ454,             IF(ISTEXT(AZ454),INDEX(AQ454:AX454,MATCH(AZ454,$AQ$17:$AX$17,0)),           IF(AY454="INT",_xll.qInterp(O455,AA454:AH454,AQ454:AX454),       INDEX(AQ454:AX454,MATCH(AY454,$AQ$17:$AX$17,0))))))</f>
        <v>0</v>
      </c>
      <c r="BB454" s="674">
        <v>100</v>
      </c>
      <c r="BC454" s="666">
        <f t="shared" si="197"/>
        <v>0</v>
      </c>
      <c r="BD454" s="268">
        <f>IF($O455=0,0,                IF(LEFT(DCC_Leg1_Fixed,2)="1/",uEvaluate(DCC_Leg1_Fixed),        _xll.qDateYears($O454,$O455,DCC_Leg1_Fixed)))</f>
        <v>0</v>
      </c>
      <c r="BE454" s="268">
        <f>IF($O455,_xll.qDateYears($O454,$O455,DCC_Leg1_Float),0)</f>
        <v>0</v>
      </c>
      <c r="BG454" s="332">
        <f t="shared" si="219"/>
        <v>0</v>
      </c>
      <c r="BH454" s="357">
        <f t="shared" si="220"/>
        <v>0</v>
      </c>
      <c r="BI454" s="527"/>
      <c r="BK454" s="324">
        <f t="shared" si="225"/>
        <v>0</v>
      </c>
      <c r="BM454" s="338"/>
      <c r="BN454" s="121">
        <v>0</v>
      </c>
      <c r="BO454" s="755">
        <f t="shared" si="198"/>
        <v>0</v>
      </c>
      <c r="BP454" s="339">
        <v>0</v>
      </c>
      <c r="BQ454" s="890">
        <f>IF(BN455=0,0,         IF(OR(Currency2="AUD",Currency1="NZD",Currency2="GBP"),BN454,   _xll.qDateNext(BN454,"-2b",,,IF(Currency2="EUR","TGT","LON"))))</f>
        <v>0</v>
      </c>
      <c r="BR454" s="879" t="str">
        <v/>
      </c>
      <c r="BS454" s="879" t="str">
        <v/>
      </c>
      <c r="BT454" s="879" t="str">
        <v/>
      </c>
      <c r="BU454" s="879" t="str">
        <v/>
      </c>
      <c r="BV454" s="879" t="str">
        <v/>
      </c>
      <c r="BW454" s="879" t="str">
        <v/>
      </c>
      <c r="BX454" s="879" t="str">
        <v/>
      </c>
      <c r="BY454" s="879" t="str">
        <v/>
      </c>
      <c r="BZ454" s="882">
        <f>IF($BN455=0,0,        _xll.qDateNext($BN454,BZ$17,$CG$16,TRUE,Currency2))</f>
        <v>0</v>
      </c>
      <c r="CA454" s="882">
        <f>IF($BN455=0,0,        _xll.qDateNext($BN454,CA$17,$CG$16,TRUE,Currency2))</f>
        <v>0</v>
      </c>
      <c r="CB454" s="882">
        <f>IF($BN455=0,0,        _xll.qDateNext($BN454,CB$17,$CG$16,TRUE,Currency2))</f>
        <v>0</v>
      </c>
      <c r="CC454" s="882">
        <f>IF($BN455=0,0,        _xll.qDateNext($BN454,CC$17,$CG$16,TRUE,Currency2))</f>
        <v>0</v>
      </c>
      <c r="CD454" s="882">
        <f>IF($BN455=0,0,        _xll.qDateNext($BN454,CD$17,$CG$16,TRUE,Currency2))</f>
        <v>0</v>
      </c>
      <c r="CE454" s="882">
        <f>IF($BN455=0,0,        _xll.qDateNext($BN454,CE$17,$CG$16,TRUE,Currency2))</f>
        <v>0</v>
      </c>
      <c r="CF454" s="882">
        <f>IF($BN455=0,0,        _xll.qDateNext($BN454,CF$17,$CG$16,TRUE,Currency2))</f>
        <v>0</v>
      </c>
      <c r="CG454" s="882">
        <f>IF($BN455=0,0,        _xll.qDateNext($BN454,CG$17,$CG$16,TRUE,Currency2))</f>
        <v>0</v>
      </c>
      <c r="CH454" s="886">
        <v>0</v>
      </c>
      <c r="CI454" s="886">
        <v>0</v>
      </c>
      <c r="CJ454" s="886">
        <v>0</v>
      </c>
      <c r="CK454" s="886">
        <v>0</v>
      </c>
      <c r="CL454" s="886">
        <f t="shared" si="221"/>
        <v>0</v>
      </c>
      <c r="CM454" s="886">
        <f t="shared" si="222"/>
        <v>0</v>
      </c>
      <c r="CN454" s="886">
        <v>0</v>
      </c>
      <c r="CO454" s="886">
        <v>0</v>
      </c>
      <c r="CP454" s="648">
        <f t="shared" si="199"/>
        <v>0</v>
      </c>
      <c r="CQ454" s="648">
        <f t="shared" si="200"/>
        <v>0</v>
      </c>
      <c r="CR454" s="648">
        <f t="shared" si="201"/>
        <v>0</v>
      </c>
      <c r="CS454" s="648">
        <f t="shared" si="202"/>
        <v>0</v>
      </c>
      <c r="CT454" s="648">
        <f t="shared" si="203"/>
        <v>0</v>
      </c>
      <c r="CU454" s="648">
        <f t="shared" si="204"/>
        <v>0</v>
      </c>
      <c r="CV454" s="648">
        <f t="shared" si="205"/>
        <v>0</v>
      </c>
      <c r="CW454" s="648">
        <f t="shared" si="206"/>
        <v>0</v>
      </c>
      <c r="CX454" s="634">
        <v>0</v>
      </c>
      <c r="CY454" s="616"/>
      <c r="CZ454" s="619">
        <f>IF(BN455=0,0,             IF(ISNUMBER(CY454),CY454,             IF(ISTEXT(CY454),INDEX(CP454:CW454,MATCH(CY454,$CP$17:$CW$17,0)),           IF(CX454="INT",_xll.qInterp(BN455,BZ454:CG454,CP454:CW454),       INDEX(CP454:CW454,MATCH(CX454,$CP$17:$CW$17,0))))))</f>
        <v>0</v>
      </c>
      <c r="DA454" s="755">
        <f t="shared" si="207"/>
        <v>0</v>
      </c>
      <c r="DB454" s="387">
        <f t="shared" si="208"/>
        <v>0</v>
      </c>
      <c r="DC454" s="268">
        <f>IF($BN455=0,0,         IF(LEFT(DCC_Leg2_Fixed,2)="1/",uEvaluate(DCC_Leg2_Fixed),         _xll.qDateYears($BN454,$BN455,DCC_Leg2_Fixed)))</f>
        <v>0</v>
      </c>
      <c r="DD454" s="268">
        <f>IF($BN455,_xll.qDateYears($BN454,$BN455,DCC_Leg2_Float),0)</f>
        <v>0</v>
      </c>
      <c r="DF454" s="332">
        <f t="shared" si="223"/>
        <v>0</v>
      </c>
      <c r="DG454" s="357">
        <f t="shared" si="224"/>
        <v>0</v>
      </c>
      <c r="DH454" s="527"/>
      <c r="DJ454" s="324">
        <f t="shared" si="226"/>
        <v>0</v>
      </c>
      <c r="DK454" s="529"/>
      <c r="DL454" s="338"/>
    </row>
    <row r="455" spans="15:116">
      <c r="O455" s="121">
        <v>0</v>
      </c>
      <c r="P455" s="755">
        <f t="shared" si="195"/>
        <v>0</v>
      </c>
      <c r="Q455" s="125">
        <v>0</v>
      </c>
      <c r="R455" s="890">
        <f>IF(O456=0,0,         IF(OR(Currency1="AUD",Currency1="NZD",Currency1="GBP"),O455,   _xll.qDateNext(O455,"-2b",,,IF(Currency1="EUR","TGT","LON"))))</f>
        <v>0</v>
      </c>
      <c r="S455" s="879" t="str">
        <v/>
      </c>
      <c r="T455" s="879" t="str">
        <v/>
      </c>
      <c r="U455" s="879" t="str">
        <v/>
      </c>
      <c r="V455" s="879" t="str">
        <v/>
      </c>
      <c r="W455" s="879" t="str">
        <v/>
      </c>
      <c r="X455" s="879" t="str">
        <v/>
      </c>
      <c r="Y455" s="879" t="str">
        <v/>
      </c>
      <c r="Z455" s="879" t="str">
        <v/>
      </c>
      <c r="AA455" s="882">
        <f>IF($O456=0,0,        _xll.qDateNext($O455,AA$17,$AH$16,TRUE,Currency1))</f>
        <v>0</v>
      </c>
      <c r="AB455" s="882">
        <f>IF($O456=0,0,        _xll.qDateNext($O455,AB$17,$AH$16,TRUE,Currency1))</f>
        <v>0</v>
      </c>
      <c r="AC455" s="882">
        <f>IF($O456=0,0,        _xll.qDateNext($O455,AC$17,$AH$16,TRUE,Currency1))</f>
        <v>0</v>
      </c>
      <c r="AD455" s="882">
        <f>IF($O456=0,0,        _xll.qDateNext($O455,AD$17,$AH$16,TRUE,Currency1))</f>
        <v>0</v>
      </c>
      <c r="AE455" s="882">
        <f>IF($O456=0,0,        _xll.qDateNext($O455,AE$17,$AH$16,TRUE,Currency1))</f>
        <v>0</v>
      </c>
      <c r="AF455" s="882">
        <f>IF($O456=0,0,        _xll.qDateNext($O455,AF$17,$AH$16,TRUE,Currency1))</f>
        <v>0</v>
      </c>
      <c r="AG455" s="882">
        <f>IF($O456=0,0,        _xll.qDateNext($O455,AG$17,$AH$16,TRUE,Currency1))</f>
        <v>0</v>
      </c>
      <c r="AH455" s="882">
        <f>IF($O456=0,0,        _xll.qDateNext($O455,AH$17,$AH$16,TRUE,Currency1))</f>
        <v>0</v>
      </c>
      <c r="AI455" s="886">
        <f>IF($O456=0,0,           IF(FRM,_xll.qGetFwdRate(AI$14,$O455,AA455,"T",DCC_Leg1_Float),_xll.qGetFwdRate(AI$14,$O455,$O456,"T",DCC_Leg1_Float)))</f>
        <v>0</v>
      </c>
      <c r="AJ455" s="886">
        <f>IF($O456=0,0,           IF(FRM,_xll.qGetFwdRate(AJ$14,$O455,AB455,"T",DCC_Leg1_Float),_xll.qGetFwdRate(AJ$14,$O455,$O456,"T",DCC_Leg1_Float)))</f>
        <v>0</v>
      </c>
      <c r="AK455" s="886">
        <f t="shared" si="196"/>
        <v>0</v>
      </c>
      <c r="AL455" s="886">
        <f>IF($O456=0,0,           IF(FRM,_xll.qGetFwdRate(AL$14,$O455,AD455,"T",DCC_Leg1_Float),_xll.qGetFwdRate(AL$14,$O455,$O456,"T",DCC_Leg1_Float)))</f>
        <v>0</v>
      </c>
      <c r="AM455" s="886">
        <f t="shared" si="209"/>
        <v>0</v>
      </c>
      <c r="AN455" s="886">
        <f t="shared" si="210"/>
        <v>0</v>
      </c>
      <c r="AO455" s="886">
        <f>IF($O456=0,0,           IF(FRM,_xll.qGetFwdRate(AO$14,$O455,AG455,"T",DCC_Leg1_Float),_xll.qGetFwdRate(AO$14,$O455,$O456,"T",DCC_Leg1_Float)))</f>
        <v>0</v>
      </c>
      <c r="AP455" s="886">
        <f>IF($O456=0,0,           IF(FRM,_xll.qGetFwdRate(AP$14,$O455,AH455,"T",DCC_Leg1_Float),_xll.qGetFwdRate(AP$14,$O455,$O456,"T",DCC_Leg1_Float)))</f>
        <v>0</v>
      </c>
      <c r="AQ455" s="648">
        <f t="shared" si="211"/>
        <v>0</v>
      </c>
      <c r="AR455" s="648">
        <f t="shared" si="212"/>
        <v>0</v>
      </c>
      <c r="AS455" s="648">
        <f t="shared" si="213"/>
        <v>0</v>
      </c>
      <c r="AT455" s="648">
        <f t="shared" si="214"/>
        <v>0</v>
      </c>
      <c r="AU455" s="648">
        <f t="shared" si="215"/>
        <v>0</v>
      </c>
      <c r="AV455" s="648">
        <f t="shared" si="216"/>
        <v>0</v>
      </c>
      <c r="AW455" s="648">
        <f t="shared" si="217"/>
        <v>0</v>
      </c>
      <c r="AX455" s="648">
        <f t="shared" si="218"/>
        <v>0</v>
      </c>
      <c r="AY455" s="634">
        <v>0</v>
      </c>
      <c r="AZ455" s="616"/>
      <c r="BA455" s="619">
        <f>IF(O456=0,0,             IF(ISNUMBER(AZ455),AZ455,             IF(ISTEXT(AZ455),INDEX(AQ455:AX455,MATCH(AZ455,$AQ$17:$AX$17,0)),           IF(AY455="INT",_xll.qInterp(O456,AA455:AH455,AQ455:AX455),       INDEX(AQ455:AX455,MATCH(AY455,$AQ$17:$AX$17,0))))))</f>
        <v>0</v>
      </c>
      <c r="BB455" s="674">
        <v>100</v>
      </c>
      <c r="BC455" s="666">
        <f t="shared" si="197"/>
        <v>0</v>
      </c>
      <c r="BD455" s="268">
        <f>IF($O456=0,0,                IF(LEFT(DCC_Leg1_Fixed,2)="1/",uEvaluate(DCC_Leg1_Fixed),        _xll.qDateYears($O455,$O456,DCC_Leg1_Fixed)))</f>
        <v>0</v>
      </c>
      <c r="BE455" s="268">
        <f>IF($O456,_xll.qDateYears($O455,$O456,DCC_Leg1_Float),0)</f>
        <v>0</v>
      </c>
      <c r="BG455" s="332">
        <f t="shared" si="219"/>
        <v>0</v>
      </c>
      <c r="BH455" s="357">
        <f t="shared" si="220"/>
        <v>0</v>
      </c>
      <c r="BI455" s="527"/>
      <c r="BK455" s="324">
        <f t="shared" si="225"/>
        <v>0</v>
      </c>
      <c r="BM455" s="338"/>
      <c r="BN455" s="121">
        <v>0</v>
      </c>
      <c r="BO455" s="755">
        <f t="shared" si="198"/>
        <v>0</v>
      </c>
      <c r="BP455" s="339">
        <v>0</v>
      </c>
      <c r="BQ455" s="890">
        <f>IF(BN456=0,0,         IF(OR(Currency2="AUD",Currency1="NZD",Currency2="GBP"),BN455,   _xll.qDateNext(BN455,"-2b",,,IF(Currency2="EUR","TGT","LON"))))</f>
        <v>0</v>
      </c>
      <c r="BR455" s="879" t="str">
        <v/>
      </c>
      <c r="BS455" s="879" t="str">
        <v/>
      </c>
      <c r="BT455" s="879" t="str">
        <v/>
      </c>
      <c r="BU455" s="879" t="str">
        <v/>
      </c>
      <c r="BV455" s="879" t="str">
        <v/>
      </c>
      <c r="BW455" s="879" t="str">
        <v/>
      </c>
      <c r="BX455" s="879" t="str">
        <v/>
      </c>
      <c r="BY455" s="879" t="str">
        <v/>
      </c>
      <c r="BZ455" s="882">
        <f>IF($BN456=0,0,        _xll.qDateNext($BN455,BZ$17,$CG$16,TRUE,Currency2))</f>
        <v>0</v>
      </c>
      <c r="CA455" s="882">
        <f>IF($BN456=0,0,        _xll.qDateNext($BN455,CA$17,$CG$16,TRUE,Currency2))</f>
        <v>0</v>
      </c>
      <c r="CB455" s="882">
        <f>IF($BN456=0,0,        _xll.qDateNext($BN455,CB$17,$CG$16,TRUE,Currency2))</f>
        <v>0</v>
      </c>
      <c r="CC455" s="882">
        <f>IF($BN456=0,0,        _xll.qDateNext($BN455,CC$17,$CG$16,TRUE,Currency2))</f>
        <v>0</v>
      </c>
      <c r="CD455" s="882">
        <f>IF($BN456=0,0,        _xll.qDateNext($BN455,CD$17,$CG$16,TRUE,Currency2))</f>
        <v>0</v>
      </c>
      <c r="CE455" s="882">
        <f>IF($BN456=0,0,        _xll.qDateNext($BN455,CE$17,$CG$16,TRUE,Currency2))</f>
        <v>0</v>
      </c>
      <c r="CF455" s="882">
        <f>IF($BN456=0,0,        _xll.qDateNext($BN455,CF$17,$CG$16,TRUE,Currency2))</f>
        <v>0</v>
      </c>
      <c r="CG455" s="882">
        <f>IF($BN456=0,0,        _xll.qDateNext($BN455,CG$17,$CG$16,TRUE,Currency2))</f>
        <v>0</v>
      </c>
      <c r="CH455" s="886">
        <v>0</v>
      </c>
      <c r="CI455" s="886">
        <v>0</v>
      </c>
      <c r="CJ455" s="886">
        <v>0</v>
      </c>
      <c r="CK455" s="886">
        <v>0</v>
      </c>
      <c r="CL455" s="886">
        <f t="shared" si="221"/>
        <v>0</v>
      </c>
      <c r="CM455" s="886">
        <f t="shared" si="222"/>
        <v>0</v>
      </c>
      <c r="CN455" s="886">
        <v>0</v>
      </c>
      <c r="CO455" s="886">
        <v>0</v>
      </c>
      <c r="CP455" s="648">
        <f t="shared" si="199"/>
        <v>0</v>
      </c>
      <c r="CQ455" s="648">
        <f t="shared" si="200"/>
        <v>0</v>
      </c>
      <c r="CR455" s="648">
        <f t="shared" si="201"/>
        <v>0</v>
      </c>
      <c r="CS455" s="648">
        <f t="shared" si="202"/>
        <v>0</v>
      </c>
      <c r="CT455" s="648">
        <f t="shared" si="203"/>
        <v>0</v>
      </c>
      <c r="CU455" s="648">
        <f t="shared" si="204"/>
        <v>0</v>
      </c>
      <c r="CV455" s="648">
        <f t="shared" si="205"/>
        <v>0</v>
      </c>
      <c r="CW455" s="648">
        <f t="shared" si="206"/>
        <v>0</v>
      </c>
      <c r="CX455" s="634">
        <v>0</v>
      </c>
      <c r="CY455" s="616"/>
      <c r="CZ455" s="619">
        <f>IF(BN456=0,0,             IF(ISNUMBER(CY455),CY455,             IF(ISTEXT(CY455),INDEX(CP455:CW455,MATCH(CY455,$CP$17:$CW$17,0)),           IF(CX455="INT",_xll.qInterp(BN456,BZ455:CG455,CP455:CW455),       INDEX(CP455:CW455,MATCH(CX455,$CP$17:$CW$17,0))))))</f>
        <v>0</v>
      </c>
      <c r="DA455" s="755">
        <f t="shared" si="207"/>
        <v>0</v>
      </c>
      <c r="DB455" s="387">
        <f t="shared" si="208"/>
        <v>0</v>
      </c>
      <c r="DC455" s="268">
        <f>IF($BN456=0,0,         IF(LEFT(DCC_Leg2_Fixed,2)="1/",uEvaluate(DCC_Leg2_Fixed),         _xll.qDateYears($BN455,$BN456,DCC_Leg2_Fixed)))</f>
        <v>0</v>
      </c>
      <c r="DD455" s="268">
        <f>IF($BN456,_xll.qDateYears($BN455,$BN456,DCC_Leg2_Float),0)</f>
        <v>0</v>
      </c>
      <c r="DF455" s="332">
        <f t="shared" si="223"/>
        <v>0</v>
      </c>
      <c r="DG455" s="357">
        <f t="shared" si="224"/>
        <v>0</v>
      </c>
      <c r="DH455" s="527"/>
      <c r="DJ455" s="324">
        <f t="shared" si="226"/>
        <v>0</v>
      </c>
      <c r="DK455" s="529"/>
      <c r="DL455" s="338"/>
    </row>
    <row r="456" spans="15:116">
      <c r="O456" s="121">
        <v>0</v>
      </c>
      <c r="P456" s="755">
        <f t="shared" si="195"/>
        <v>0</v>
      </c>
      <c r="Q456" s="125">
        <v>0</v>
      </c>
      <c r="R456" s="890">
        <f>IF(O457=0,0,         IF(OR(Currency1="AUD",Currency1="NZD",Currency1="GBP"),O456,   _xll.qDateNext(O456,"-2b",,,IF(Currency1="EUR","TGT","LON"))))</f>
        <v>0</v>
      </c>
      <c r="S456" s="879" t="str">
        <v/>
      </c>
      <c r="T456" s="879" t="str">
        <v/>
      </c>
      <c r="U456" s="879" t="str">
        <v/>
      </c>
      <c r="V456" s="879" t="str">
        <v/>
      </c>
      <c r="W456" s="879" t="str">
        <v/>
      </c>
      <c r="X456" s="879" t="str">
        <v/>
      </c>
      <c r="Y456" s="879" t="str">
        <v/>
      </c>
      <c r="Z456" s="879" t="str">
        <v/>
      </c>
      <c r="AA456" s="882">
        <f>IF($O457=0,0,        _xll.qDateNext($O456,AA$17,$AH$16,TRUE,Currency1))</f>
        <v>0</v>
      </c>
      <c r="AB456" s="882">
        <f>IF($O457=0,0,        _xll.qDateNext($O456,AB$17,$AH$16,TRUE,Currency1))</f>
        <v>0</v>
      </c>
      <c r="AC456" s="882">
        <f>IF($O457=0,0,        _xll.qDateNext($O456,AC$17,$AH$16,TRUE,Currency1))</f>
        <v>0</v>
      </c>
      <c r="AD456" s="882">
        <f>IF($O457=0,0,        _xll.qDateNext($O456,AD$17,$AH$16,TRUE,Currency1))</f>
        <v>0</v>
      </c>
      <c r="AE456" s="882">
        <f>IF($O457=0,0,        _xll.qDateNext($O456,AE$17,$AH$16,TRUE,Currency1))</f>
        <v>0</v>
      </c>
      <c r="AF456" s="882">
        <f>IF($O457=0,0,        _xll.qDateNext($O456,AF$17,$AH$16,TRUE,Currency1))</f>
        <v>0</v>
      </c>
      <c r="AG456" s="882">
        <f>IF($O457=0,0,        _xll.qDateNext($O456,AG$17,$AH$16,TRUE,Currency1))</f>
        <v>0</v>
      </c>
      <c r="AH456" s="882">
        <f>IF($O457=0,0,        _xll.qDateNext($O456,AH$17,$AH$16,TRUE,Currency1))</f>
        <v>0</v>
      </c>
      <c r="AI456" s="886">
        <f>IF($O457=0,0,           IF(FRM,_xll.qGetFwdRate(AI$14,$O456,AA456,"T",DCC_Leg1_Float),_xll.qGetFwdRate(AI$14,$O456,$O457,"T",DCC_Leg1_Float)))</f>
        <v>0</v>
      </c>
      <c r="AJ456" s="886">
        <f>IF($O457=0,0,           IF(FRM,_xll.qGetFwdRate(AJ$14,$O456,AB456,"T",DCC_Leg1_Float),_xll.qGetFwdRate(AJ$14,$O456,$O457,"T",DCC_Leg1_Float)))</f>
        <v>0</v>
      </c>
      <c r="AK456" s="886">
        <f t="shared" si="196"/>
        <v>0</v>
      </c>
      <c r="AL456" s="886">
        <f>IF($O457=0,0,           IF(FRM,_xll.qGetFwdRate(AL$14,$O456,AD456,"T",DCC_Leg1_Float),_xll.qGetFwdRate(AL$14,$O456,$O457,"T",DCC_Leg1_Float)))</f>
        <v>0</v>
      </c>
      <c r="AM456" s="886">
        <f t="shared" si="209"/>
        <v>0</v>
      </c>
      <c r="AN456" s="886">
        <f t="shared" si="210"/>
        <v>0</v>
      </c>
      <c r="AO456" s="886">
        <f>IF($O457=0,0,           IF(FRM,_xll.qGetFwdRate(AO$14,$O456,AG456,"T",DCC_Leg1_Float),_xll.qGetFwdRate(AO$14,$O456,$O457,"T",DCC_Leg1_Float)))</f>
        <v>0</v>
      </c>
      <c r="AP456" s="886">
        <f>IF($O457=0,0,           IF(FRM,_xll.qGetFwdRate(AP$14,$O456,AH456,"T",DCC_Leg1_Float),_xll.qGetFwdRate(AP$14,$O456,$O457,"T",DCC_Leg1_Float)))</f>
        <v>0</v>
      </c>
      <c r="AQ456" s="648">
        <f t="shared" si="211"/>
        <v>0</v>
      </c>
      <c r="AR456" s="648">
        <f t="shared" si="212"/>
        <v>0</v>
      </c>
      <c r="AS456" s="648">
        <f t="shared" si="213"/>
        <v>0</v>
      </c>
      <c r="AT456" s="648">
        <f t="shared" si="214"/>
        <v>0</v>
      </c>
      <c r="AU456" s="648">
        <f t="shared" si="215"/>
        <v>0</v>
      </c>
      <c r="AV456" s="648">
        <f t="shared" si="216"/>
        <v>0</v>
      </c>
      <c r="AW456" s="648">
        <f t="shared" si="217"/>
        <v>0</v>
      </c>
      <c r="AX456" s="648">
        <f t="shared" si="218"/>
        <v>0</v>
      </c>
      <c r="AY456" s="634">
        <v>0</v>
      </c>
      <c r="AZ456" s="616"/>
      <c r="BA456" s="619">
        <f>IF(O457=0,0,             IF(ISNUMBER(AZ456),AZ456,             IF(ISTEXT(AZ456),INDEX(AQ456:AX456,MATCH(AZ456,$AQ$17:$AX$17,0)),           IF(AY456="INT",_xll.qInterp(O457,AA456:AH456,AQ456:AX456),       INDEX(AQ456:AX456,MATCH(AY456,$AQ$17:$AX$17,0))))))</f>
        <v>0</v>
      </c>
      <c r="BB456" s="674">
        <v>100</v>
      </c>
      <c r="BC456" s="666">
        <f t="shared" si="197"/>
        <v>0</v>
      </c>
      <c r="BD456" s="268">
        <f>IF($O457=0,0,                IF(LEFT(DCC_Leg1_Fixed,2)="1/",uEvaluate(DCC_Leg1_Fixed),        _xll.qDateYears($O456,$O457,DCC_Leg1_Fixed)))</f>
        <v>0</v>
      </c>
      <c r="BE456" s="268">
        <f>IF($O457,_xll.qDateYears($O456,$O457,DCC_Leg1_Float),0)</f>
        <v>0</v>
      </c>
      <c r="BG456" s="332">
        <f t="shared" si="219"/>
        <v>0</v>
      </c>
      <c r="BH456" s="357">
        <f t="shared" si="220"/>
        <v>0</v>
      </c>
      <c r="BI456" s="527"/>
      <c r="BK456" s="324">
        <f t="shared" si="225"/>
        <v>0</v>
      </c>
      <c r="BM456" s="338"/>
      <c r="BN456" s="121">
        <v>0</v>
      </c>
      <c r="BO456" s="755">
        <f t="shared" si="198"/>
        <v>0</v>
      </c>
      <c r="BP456" s="339">
        <v>0</v>
      </c>
      <c r="BQ456" s="890">
        <f>IF(BN457=0,0,         IF(OR(Currency2="AUD",Currency1="NZD",Currency2="GBP"),BN456,   _xll.qDateNext(BN456,"-2b",,,IF(Currency2="EUR","TGT","LON"))))</f>
        <v>0</v>
      </c>
      <c r="BR456" s="879" t="str">
        <v/>
      </c>
      <c r="BS456" s="879" t="str">
        <v/>
      </c>
      <c r="BT456" s="879" t="str">
        <v/>
      </c>
      <c r="BU456" s="879" t="str">
        <v/>
      </c>
      <c r="BV456" s="879" t="str">
        <v/>
      </c>
      <c r="BW456" s="879" t="str">
        <v/>
      </c>
      <c r="BX456" s="879" t="str">
        <v/>
      </c>
      <c r="BY456" s="879" t="str">
        <v/>
      </c>
      <c r="BZ456" s="882">
        <f>IF($BN457=0,0,        _xll.qDateNext($BN456,BZ$17,$CG$16,TRUE,Currency2))</f>
        <v>0</v>
      </c>
      <c r="CA456" s="882">
        <f>IF($BN457=0,0,        _xll.qDateNext($BN456,CA$17,$CG$16,TRUE,Currency2))</f>
        <v>0</v>
      </c>
      <c r="CB456" s="882">
        <f>IF($BN457=0,0,        _xll.qDateNext($BN456,CB$17,$CG$16,TRUE,Currency2))</f>
        <v>0</v>
      </c>
      <c r="CC456" s="882">
        <f>IF($BN457=0,0,        _xll.qDateNext($BN456,CC$17,$CG$16,TRUE,Currency2))</f>
        <v>0</v>
      </c>
      <c r="CD456" s="882">
        <f>IF($BN457=0,0,        _xll.qDateNext($BN456,CD$17,$CG$16,TRUE,Currency2))</f>
        <v>0</v>
      </c>
      <c r="CE456" s="882">
        <f>IF($BN457=0,0,        _xll.qDateNext($BN456,CE$17,$CG$16,TRUE,Currency2))</f>
        <v>0</v>
      </c>
      <c r="CF456" s="882">
        <f>IF($BN457=0,0,        _xll.qDateNext($BN456,CF$17,$CG$16,TRUE,Currency2))</f>
        <v>0</v>
      </c>
      <c r="CG456" s="882">
        <f>IF($BN457=0,0,        _xll.qDateNext($BN456,CG$17,$CG$16,TRUE,Currency2))</f>
        <v>0</v>
      </c>
      <c r="CH456" s="886">
        <v>0</v>
      </c>
      <c r="CI456" s="886">
        <v>0</v>
      </c>
      <c r="CJ456" s="886">
        <v>0</v>
      </c>
      <c r="CK456" s="886">
        <v>0</v>
      </c>
      <c r="CL456" s="886">
        <f t="shared" si="221"/>
        <v>0</v>
      </c>
      <c r="CM456" s="886">
        <f t="shared" si="222"/>
        <v>0</v>
      </c>
      <c r="CN456" s="886">
        <v>0</v>
      </c>
      <c r="CO456" s="886">
        <v>0</v>
      </c>
      <c r="CP456" s="648">
        <f t="shared" si="199"/>
        <v>0</v>
      </c>
      <c r="CQ456" s="648">
        <f t="shared" si="200"/>
        <v>0</v>
      </c>
      <c r="CR456" s="648">
        <f t="shared" si="201"/>
        <v>0</v>
      </c>
      <c r="CS456" s="648">
        <f t="shared" si="202"/>
        <v>0</v>
      </c>
      <c r="CT456" s="648">
        <f t="shared" si="203"/>
        <v>0</v>
      </c>
      <c r="CU456" s="648">
        <f t="shared" si="204"/>
        <v>0</v>
      </c>
      <c r="CV456" s="648">
        <f t="shared" si="205"/>
        <v>0</v>
      </c>
      <c r="CW456" s="648">
        <f t="shared" si="206"/>
        <v>0</v>
      </c>
      <c r="CX456" s="634">
        <v>0</v>
      </c>
      <c r="CY456" s="616"/>
      <c r="CZ456" s="619">
        <f>IF(BN457=0,0,             IF(ISNUMBER(CY456),CY456,             IF(ISTEXT(CY456),INDEX(CP456:CW456,MATCH(CY456,$CP$17:$CW$17,0)),           IF(CX456="INT",_xll.qInterp(BN457,BZ456:CG456,CP456:CW456),       INDEX(CP456:CW456,MATCH(CX456,$CP$17:$CW$17,0))))))</f>
        <v>0</v>
      </c>
      <c r="DA456" s="755">
        <f t="shared" si="207"/>
        <v>0</v>
      </c>
      <c r="DB456" s="387">
        <f t="shared" si="208"/>
        <v>0</v>
      </c>
      <c r="DC456" s="268">
        <f>IF($BN457=0,0,         IF(LEFT(DCC_Leg2_Fixed,2)="1/",uEvaluate(DCC_Leg2_Fixed),         _xll.qDateYears($BN456,$BN457,DCC_Leg2_Fixed)))</f>
        <v>0</v>
      </c>
      <c r="DD456" s="268">
        <f>IF($BN457,_xll.qDateYears($BN456,$BN457,DCC_Leg2_Float),0)</f>
        <v>0</v>
      </c>
      <c r="DF456" s="332">
        <f t="shared" si="223"/>
        <v>0</v>
      </c>
      <c r="DG456" s="357">
        <f t="shared" si="224"/>
        <v>0</v>
      </c>
      <c r="DH456" s="527"/>
      <c r="DJ456" s="324">
        <f t="shared" si="226"/>
        <v>0</v>
      </c>
      <c r="DK456" s="529"/>
      <c r="DL456" s="338"/>
    </row>
    <row r="457" spans="15:116">
      <c r="O457" s="121">
        <v>0</v>
      </c>
      <c r="P457" s="755">
        <f t="shared" si="195"/>
        <v>0</v>
      </c>
      <c r="Q457" s="125">
        <v>0</v>
      </c>
      <c r="R457" s="890">
        <f>IF(O458=0,0,         IF(OR(Currency1="AUD",Currency1="NZD",Currency1="GBP"),O457,   _xll.qDateNext(O457,"-2b",,,IF(Currency1="EUR","TGT","LON"))))</f>
        <v>0</v>
      </c>
      <c r="S457" s="879" t="str">
        <v/>
      </c>
      <c r="T457" s="879" t="str">
        <v/>
      </c>
      <c r="U457" s="879" t="str">
        <v/>
      </c>
      <c r="V457" s="879" t="str">
        <v/>
      </c>
      <c r="W457" s="879" t="str">
        <v/>
      </c>
      <c r="X457" s="879" t="str">
        <v/>
      </c>
      <c r="Y457" s="879" t="str">
        <v/>
      </c>
      <c r="Z457" s="879" t="str">
        <v/>
      </c>
      <c r="AA457" s="882">
        <f>IF($O458=0,0,        _xll.qDateNext($O457,AA$17,$AH$16,TRUE,Currency1))</f>
        <v>0</v>
      </c>
      <c r="AB457" s="882">
        <f>IF($O458=0,0,        _xll.qDateNext($O457,AB$17,$AH$16,TRUE,Currency1))</f>
        <v>0</v>
      </c>
      <c r="AC457" s="882">
        <f>IF($O458=0,0,        _xll.qDateNext($O457,AC$17,$AH$16,TRUE,Currency1))</f>
        <v>0</v>
      </c>
      <c r="AD457" s="882">
        <f>IF($O458=0,0,        _xll.qDateNext($O457,AD$17,$AH$16,TRUE,Currency1))</f>
        <v>0</v>
      </c>
      <c r="AE457" s="882">
        <f>IF($O458=0,0,        _xll.qDateNext($O457,AE$17,$AH$16,TRUE,Currency1))</f>
        <v>0</v>
      </c>
      <c r="AF457" s="882">
        <f>IF($O458=0,0,        _xll.qDateNext($O457,AF$17,$AH$16,TRUE,Currency1))</f>
        <v>0</v>
      </c>
      <c r="AG457" s="882">
        <f>IF($O458=0,0,        _xll.qDateNext($O457,AG$17,$AH$16,TRUE,Currency1))</f>
        <v>0</v>
      </c>
      <c r="AH457" s="882">
        <f>IF($O458=0,0,        _xll.qDateNext($O457,AH$17,$AH$16,TRUE,Currency1))</f>
        <v>0</v>
      </c>
      <c r="AI457" s="886">
        <f>IF($O458=0,0,           IF(FRM,_xll.qGetFwdRate(AI$14,$O457,AA457,"T",DCC_Leg1_Float),_xll.qGetFwdRate(AI$14,$O457,$O458,"T",DCC_Leg1_Float)))</f>
        <v>0</v>
      </c>
      <c r="AJ457" s="886">
        <f>IF($O458=0,0,           IF(FRM,_xll.qGetFwdRate(AJ$14,$O457,AB457,"T",DCC_Leg1_Float),_xll.qGetFwdRate(AJ$14,$O457,$O458,"T",DCC_Leg1_Float)))</f>
        <v>0</v>
      </c>
      <c r="AK457" s="886">
        <f t="shared" si="196"/>
        <v>0</v>
      </c>
      <c r="AL457" s="886">
        <f>IF($O458=0,0,           IF(FRM,_xll.qGetFwdRate(AL$14,$O457,AD457,"T",DCC_Leg1_Float),_xll.qGetFwdRate(AL$14,$O457,$O458,"T",DCC_Leg1_Float)))</f>
        <v>0</v>
      </c>
      <c r="AM457" s="886">
        <f t="shared" si="209"/>
        <v>0</v>
      </c>
      <c r="AN457" s="886">
        <f t="shared" si="210"/>
        <v>0</v>
      </c>
      <c r="AO457" s="886">
        <f>IF($O458=0,0,           IF(FRM,_xll.qGetFwdRate(AO$14,$O457,AG457,"T",DCC_Leg1_Float),_xll.qGetFwdRate(AO$14,$O457,$O458,"T",DCC_Leg1_Float)))</f>
        <v>0</v>
      </c>
      <c r="AP457" s="886">
        <f>IF($O458=0,0,           IF(FRM,_xll.qGetFwdRate(AP$14,$O457,AH457,"T",DCC_Leg1_Float),_xll.qGetFwdRate(AP$14,$O457,$O458,"T",DCC_Leg1_Float)))</f>
        <v>0</v>
      </c>
      <c r="AQ457" s="648">
        <f t="shared" si="211"/>
        <v>0</v>
      </c>
      <c r="AR457" s="648">
        <f t="shared" si="212"/>
        <v>0</v>
      </c>
      <c r="AS457" s="648">
        <f t="shared" si="213"/>
        <v>0</v>
      </c>
      <c r="AT457" s="648">
        <f t="shared" si="214"/>
        <v>0</v>
      </c>
      <c r="AU457" s="648">
        <f t="shared" si="215"/>
        <v>0</v>
      </c>
      <c r="AV457" s="648">
        <f t="shared" si="216"/>
        <v>0</v>
      </c>
      <c r="AW457" s="648">
        <f t="shared" si="217"/>
        <v>0</v>
      </c>
      <c r="AX457" s="648">
        <f t="shared" si="218"/>
        <v>0</v>
      </c>
      <c r="AY457" s="634">
        <v>0</v>
      </c>
      <c r="AZ457" s="616"/>
      <c r="BA457" s="619">
        <f>IF(O458=0,0,             IF(ISNUMBER(AZ457),AZ457,             IF(ISTEXT(AZ457),INDEX(AQ457:AX457,MATCH(AZ457,$AQ$17:$AX$17,0)),           IF(AY457="INT",_xll.qInterp(O458,AA457:AH457,AQ457:AX457),       INDEX(AQ457:AX457,MATCH(AY457,$AQ$17:$AX$17,0))))))</f>
        <v>0</v>
      </c>
      <c r="BB457" s="674">
        <v>100</v>
      </c>
      <c r="BC457" s="666">
        <f t="shared" si="197"/>
        <v>0</v>
      </c>
      <c r="BD457" s="268">
        <f>IF($O458=0,0,                IF(LEFT(DCC_Leg1_Fixed,2)="1/",uEvaluate(DCC_Leg1_Fixed),        _xll.qDateYears($O457,$O458,DCC_Leg1_Fixed)))</f>
        <v>0</v>
      </c>
      <c r="BE457" s="268">
        <f>IF($O458,_xll.qDateYears($O457,$O458,DCC_Leg1_Float),0)</f>
        <v>0</v>
      </c>
      <c r="BG457" s="332">
        <f t="shared" si="219"/>
        <v>0</v>
      </c>
      <c r="BH457" s="357">
        <f t="shared" si="220"/>
        <v>0</v>
      </c>
      <c r="BI457" s="527"/>
      <c r="BK457" s="324">
        <f t="shared" si="225"/>
        <v>0</v>
      </c>
      <c r="BM457" s="338"/>
      <c r="BN457" s="121">
        <v>0</v>
      </c>
      <c r="BO457" s="755">
        <f t="shared" si="198"/>
        <v>0</v>
      </c>
      <c r="BP457" s="339">
        <v>0</v>
      </c>
      <c r="BQ457" s="890">
        <f>IF(BN458=0,0,         IF(OR(Currency2="AUD",Currency1="NZD",Currency2="GBP"),BN457,   _xll.qDateNext(BN457,"-2b",,,IF(Currency2="EUR","TGT","LON"))))</f>
        <v>0</v>
      </c>
      <c r="BR457" s="879" t="str">
        <v/>
      </c>
      <c r="BS457" s="879" t="str">
        <v/>
      </c>
      <c r="BT457" s="879" t="str">
        <v/>
      </c>
      <c r="BU457" s="879" t="str">
        <v/>
      </c>
      <c r="BV457" s="879" t="str">
        <v/>
      </c>
      <c r="BW457" s="879" t="str">
        <v/>
      </c>
      <c r="BX457" s="879" t="str">
        <v/>
      </c>
      <c r="BY457" s="879" t="str">
        <v/>
      </c>
      <c r="BZ457" s="882">
        <f>IF($BN458=0,0,        _xll.qDateNext($BN457,BZ$17,$CG$16,TRUE,Currency2))</f>
        <v>0</v>
      </c>
      <c r="CA457" s="882">
        <f>IF($BN458=0,0,        _xll.qDateNext($BN457,CA$17,$CG$16,TRUE,Currency2))</f>
        <v>0</v>
      </c>
      <c r="CB457" s="882">
        <f>IF($BN458=0,0,        _xll.qDateNext($BN457,CB$17,$CG$16,TRUE,Currency2))</f>
        <v>0</v>
      </c>
      <c r="CC457" s="882">
        <f>IF($BN458=0,0,        _xll.qDateNext($BN457,CC$17,$CG$16,TRUE,Currency2))</f>
        <v>0</v>
      </c>
      <c r="CD457" s="882">
        <f>IF($BN458=0,0,        _xll.qDateNext($BN457,CD$17,$CG$16,TRUE,Currency2))</f>
        <v>0</v>
      </c>
      <c r="CE457" s="882">
        <f>IF($BN458=0,0,        _xll.qDateNext($BN457,CE$17,$CG$16,TRUE,Currency2))</f>
        <v>0</v>
      </c>
      <c r="CF457" s="882">
        <f>IF($BN458=0,0,        _xll.qDateNext($BN457,CF$17,$CG$16,TRUE,Currency2))</f>
        <v>0</v>
      </c>
      <c r="CG457" s="882">
        <f>IF($BN458=0,0,        _xll.qDateNext($BN457,CG$17,$CG$16,TRUE,Currency2))</f>
        <v>0</v>
      </c>
      <c r="CH457" s="886">
        <v>0</v>
      </c>
      <c r="CI457" s="886">
        <v>0</v>
      </c>
      <c r="CJ457" s="886">
        <v>0</v>
      </c>
      <c r="CK457" s="886">
        <v>0</v>
      </c>
      <c r="CL457" s="886">
        <f t="shared" si="221"/>
        <v>0</v>
      </c>
      <c r="CM457" s="886">
        <f t="shared" si="222"/>
        <v>0</v>
      </c>
      <c r="CN457" s="886">
        <v>0</v>
      </c>
      <c r="CO457" s="886">
        <v>0</v>
      </c>
      <c r="CP457" s="648">
        <f t="shared" si="199"/>
        <v>0</v>
      </c>
      <c r="CQ457" s="648">
        <f t="shared" si="200"/>
        <v>0</v>
      </c>
      <c r="CR457" s="648">
        <f t="shared" si="201"/>
        <v>0</v>
      </c>
      <c r="CS457" s="648">
        <f t="shared" si="202"/>
        <v>0</v>
      </c>
      <c r="CT457" s="648">
        <f t="shared" si="203"/>
        <v>0</v>
      </c>
      <c r="CU457" s="648">
        <f t="shared" si="204"/>
        <v>0</v>
      </c>
      <c r="CV457" s="648">
        <f t="shared" si="205"/>
        <v>0</v>
      </c>
      <c r="CW457" s="648">
        <f t="shared" si="206"/>
        <v>0</v>
      </c>
      <c r="CX457" s="634">
        <v>0</v>
      </c>
      <c r="CY457" s="616"/>
      <c r="CZ457" s="619">
        <f>IF(BN458=0,0,             IF(ISNUMBER(CY457),CY457,             IF(ISTEXT(CY457),INDEX(CP457:CW457,MATCH(CY457,$CP$17:$CW$17,0)),           IF(CX457="INT",_xll.qInterp(BN458,BZ457:CG457,CP457:CW457),       INDEX(CP457:CW457,MATCH(CX457,$CP$17:$CW$17,0))))))</f>
        <v>0</v>
      </c>
      <c r="DA457" s="755">
        <f t="shared" si="207"/>
        <v>0</v>
      </c>
      <c r="DB457" s="387">
        <f t="shared" si="208"/>
        <v>0</v>
      </c>
      <c r="DC457" s="268">
        <f>IF($BN458=0,0,         IF(LEFT(DCC_Leg2_Fixed,2)="1/",uEvaluate(DCC_Leg2_Fixed),         _xll.qDateYears($BN457,$BN458,DCC_Leg2_Fixed)))</f>
        <v>0</v>
      </c>
      <c r="DD457" s="268">
        <f>IF($BN458,_xll.qDateYears($BN457,$BN458,DCC_Leg2_Float),0)</f>
        <v>0</v>
      </c>
      <c r="DF457" s="332">
        <f t="shared" si="223"/>
        <v>0</v>
      </c>
      <c r="DG457" s="357">
        <f t="shared" si="224"/>
        <v>0</v>
      </c>
      <c r="DH457" s="527"/>
      <c r="DJ457" s="324">
        <f t="shared" si="226"/>
        <v>0</v>
      </c>
      <c r="DK457" s="529"/>
      <c r="DL457" s="338"/>
    </row>
    <row r="458" spans="15:116">
      <c r="O458" s="121">
        <v>0</v>
      </c>
      <c r="P458" s="755">
        <f t="shared" si="195"/>
        <v>0</v>
      </c>
      <c r="Q458" s="125">
        <v>0</v>
      </c>
      <c r="R458" s="890">
        <f>IF(O459=0,0,         IF(OR(Currency1="AUD",Currency1="NZD",Currency1="GBP"),O458,   _xll.qDateNext(O458,"-2b",,,IF(Currency1="EUR","TGT","LON"))))</f>
        <v>0</v>
      </c>
      <c r="S458" s="879" t="str">
        <v/>
      </c>
      <c r="T458" s="879" t="str">
        <v/>
      </c>
      <c r="U458" s="879" t="str">
        <v/>
      </c>
      <c r="V458" s="879" t="str">
        <v/>
      </c>
      <c r="W458" s="879" t="str">
        <v/>
      </c>
      <c r="X458" s="879" t="str">
        <v/>
      </c>
      <c r="Y458" s="879" t="str">
        <v/>
      </c>
      <c r="Z458" s="879" t="str">
        <v/>
      </c>
      <c r="AA458" s="882">
        <f>IF($O459=0,0,        _xll.qDateNext($O458,AA$17,$AH$16,TRUE,Currency1))</f>
        <v>0</v>
      </c>
      <c r="AB458" s="882">
        <f>IF($O459=0,0,        _xll.qDateNext($O458,AB$17,$AH$16,TRUE,Currency1))</f>
        <v>0</v>
      </c>
      <c r="AC458" s="882">
        <f>IF($O459=0,0,        _xll.qDateNext($O458,AC$17,$AH$16,TRUE,Currency1))</f>
        <v>0</v>
      </c>
      <c r="AD458" s="882">
        <f>IF($O459=0,0,        _xll.qDateNext($O458,AD$17,$AH$16,TRUE,Currency1))</f>
        <v>0</v>
      </c>
      <c r="AE458" s="882">
        <f>IF($O459=0,0,        _xll.qDateNext($O458,AE$17,$AH$16,TRUE,Currency1))</f>
        <v>0</v>
      </c>
      <c r="AF458" s="882">
        <f>IF($O459=0,0,        _xll.qDateNext($O458,AF$17,$AH$16,TRUE,Currency1))</f>
        <v>0</v>
      </c>
      <c r="AG458" s="882">
        <f>IF($O459=0,0,        _xll.qDateNext($O458,AG$17,$AH$16,TRUE,Currency1))</f>
        <v>0</v>
      </c>
      <c r="AH458" s="882">
        <f>IF($O459=0,0,        _xll.qDateNext($O458,AH$17,$AH$16,TRUE,Currency1))</f>
        <v>0</v>
      </c>
      <c r="AI458" s="886">
        <f>IF($O459=0,0,           IF(FRM,_xll.qGetFwdRate(AI$14,$O458,AA458,"T",DCC_Leg1_Float),_xll.qGetFwdRate(AI$14,$O458,$O459,"T",DCC_Leg1_Float)))</f>
        <v>0</v>
      </c>
      <c r="AJ458" s="886">
        <f>IF($O459=0,0,           IF(FRM,_xll.qGetFwdRate(AJ$14,$O458,AB458,"T",DCC_Leg1_Float),_xll.qGetFwdRate(AJ$14,$O458,$O459,"T",DCC_Leg1_Float)))</f>
        <v>0</v>
      </c>
      <c r="AK458" s="886">
        <f t="shared" si="196"/>
        <v>0</v>
      </c>
      <c r="AL458" s="886">
        <f>IF($O459=0,0,           IF(FRM,_xll.qGetFwdRate(AL$14,$O458,AD458,"T",DCC_Leg1_Float),_xll.qGetFwdRate(AL$14,$O458,$O459,"T",DCC_Leg1_Float)))</f>
        <v>0</v>
      </c>
      <c r="AM458" s="886">
        <f t="shared" si="209"/>
        <v>0</v>
      </c>
      <c r="AN458" s="886">
        <f t="shared" si="210"/>
        <v>0</v>
      </c>
      <c r="AO458" s="886">
        <f>IF($O459=0,0,           IF(FRM,_xll.qGetFwdRate(AO$14,$O458,AG458,"T",DCC_Leg1_Float),_xll.qGetFwdRate(AO$14,$O458,$O459,"T",DCC_Leg1_Float)))</f>
        <v>0</v>
      </c>
      <c r="AP458" s="886">
        <f>IF($O459=0,0,           IF(FRM,_xll.qGetFwdRate(AP$14,$O458,AH458,"T",DCC_Leg1_Float),_xll.qGetFwdRate(AP$14,$O458,$O459,"T",DCC_Leg1_Float)))</f>
        <v>0</v>
      </c>
      <c r="AQ458" s="648">
        <f t="shared" si="211"/>
        <v>0</v>
      </c>
      <c r="AR458" s="648">
        <f t="shared" si="212"/>
        <v>0</v>
      </c>
      <c r="AS458" s="648">
        <f t="shared" si="213"/>
        <v>0</v>
      </c>
      <c r="AT458" s="648">
        <f t="shared" si="214"/>
        <v>0</v>
      </c>
      <c r="AU458" s="648">
        <f t="shared" si="215"/>
        <v>0</v>
      </c>
      <c r="AV458" s="648">
        <f t="shared" si="216"/>
        <v>0</v>
      </c>
      <c r="AW458" s="648">
        <f t="shared" si="217"/>
        <v>0</v>
      </c>
      <c r="AX458" s="648">
        <f t="shared" si="218"/>
        <v>0</v>
      </c>
      <c r="AY458" s="634">
        <v>0</v>
      </c>
      <c r="AZ458" s="616"/>
      <c r="BA458" s="619">
        <f>IF(O459=0,0,             IF(ISNUMBER(AZ458),AZ458,             IF(ISTEXT(AZ458),INDEX(AQ458:AX458,MATCH(AZ458,$AQ$17:$AX$17,0)),           IF(AY458="INT",_xll.qInterp(O459,AA458:AH458,AQ458:AX458),       INDEX(AQ458:AX458,MATCH(AY458,$AQ$17:$AX$17,0))))))</f>
        <v>0</v>
      </c>
      <c r="BB458" s="674">
        <v>100</v>
      </c>
      <c r="BC458" s="666">
        <f t="shared" si="197"/>
        <v>0</v>
      </c>
      <c r="BD458" s="268">
        <f>IF($O459=0,0,                IF(LEFT(DCC_Leg1_Fixed,2)="1/",uEvaluate(DCC_Leg1_Fixed),        _xll.qDateYears($O458,$O459,DCC_Leg1_Fixed)))</f>
        <v>0</v>
      </c>
      <c r="BE458" s="268">
        <f>IF($O459,_xll.qDateYears($O458,$O459,DCC_Leg1_Float),0)</f>
        <v>0</v>
      </c>
      <c r="BG458" s="332">
        <f t="shared" si="219"/>
        <v>0</v>
      </c>
      <c r="BH458" s="357">
        <f t="shared" si="220"/>
        <v>0</v>
      </c>
      <c r="BI458" s="527"/>
      <c r="BK458" s="324">
        <f t="shared" si="225"/>
        <v>0</v>
      </c>
      <c r="BM458" s="338"/>
      <c r="BN458" s="121">
        <v>0</v>
      </c>
      <c r="BO458" s="755">
        <f t="shared" si="198"/>
        <v>0</v>
      </c>
      <c r="BP458" s="339">
        <v>0</v>
      </c>
      <c r="BQ458" s="890">
        <f>IF(BN459=0,0,         IF(OR(Currency2="AUD",Currency1="NZD",Currency2="GBP"),BN458,   _xll.qDateNext(BN458,"-2b",,,IF(Currency2="EUR","TGT","LON"))))</f>
        <v>0</v>
      </c>
      <c r="BR458" s="879" t="str">
        <v/>
      </c>
      <c r="BS458" s="879" t="str">
        <v/>
      </c>
      <c r="BT458" s="879" t="str">
        <v/>
      </c>
      <c r="BU458" s="879" t="str">
        <v/>
      </c>
      <c r="BV458" s="879" t="str">
        <v/>
      </c>
      <c r="BW458" s="879" t="str">
        <v/>
      </c>
      <c r="BX458" s="879" t="str">
        <v/>
      </c>
      <c r="BY458" s="879" t="str">
        <v/>
      </c>
      <c r="BZ458" s="882">
        <f>IF($BN459=0,0,        _xll.qDateNext($BN458,BZ$17,$CG$16,TRUE,Currency2))</f>
        <v>0</v>
      </c>
      <c r="CA458" s="882">
        <f>IF($BN459=0,0,        _xll.qDateNext($BN458,CA$17,$CG$16,TRUE,Currency2))</f>
        <v>0</v>
      </c>
      <c r="CB458" s="882">
        <f>IF($BN459=0,0,        _xll.qDateNext($BN458,CB$17,$CG$16,TRUE,Currency2))</f>
        <v>0</v>
      </c>
      <c r="CC458" s="882">
        <f>IF($BN459=0,0,        _xll.qDateNext($BN458,CC$17,$CG$16,TRUE,Currency2))</f>
        <v>0</v>
      </c>
      <c r="CD458" s="882">
        <f>IF($BN459=0,0,        _xll.qDateNext($BN458,CD$17,$CG$16,TRUE,Currency2))</f>
        <v>0</v>
      </c>
      <c r="CE458" s="882">
        <f>IF($BN459=0,0,        _xll.qDateNext($BN458,CE$17,$CG$16,TRUE,Currency2))</f>
        <v>0</v>
      </c>
      <c r="CF458" s="882">
        <f>IF($BN459=0,0,        _xll.qDateNext($BN458,CF$17,$CG$16,TRUE,Currency2))</f>
        <v>0</v>
      </c>
      <c r="CG458" s="882">
        <f>IF($BN459=0,0,        _xll.qDateNext($BN458,CG$17,$CG$16,TRUE,Currency2))</f>
        <v>0</v>
      </c>
      <c r="CH458" s="886">
        <v>0</v>
      </c>
      <c r="CI458" s="886">
        <v>0</v>
      </c>
      <c r="CJ458" s="886">
        <v>0</v>
      </c>
      <c r="CK458" s="886">
        <v>0</v>
      </c>
      <c r="CL458" s="886">
        <f t="shared" si="221"/>
        <v>0</v>
      </c>
      <c r="CM458" s="886">
        <f t="shared" si="222"/>
        <v>0</v>
      </c>
      <c r="CN458" s="886">
        <v>0</v>
      </c>
      <c r="CO458" s="886">
        <v>0</v>
      </c>
      <c r="CP458" s="648">
        <f t="shared" si="199"/>
        <v>0</v>
      </c>
      <c r="CQ458" s="648">
        <f t="shared" si="200"/>
        <v>0</v>
      </c>
      <c r="CR458" s="648">
        <f t="shared" si="201"/>
        <v>0</v>
      </c>
      <c r="CS458" s="648">
        <f t="shared" si="202"/>
        <v>0</v>
      </c>
      <c r="CT458" s="648">
        <f t="shared" si="203"/>
        <v>0</v>
      </c>
      <c r="CU458" s="648">
        <f t="shared" si="204"/>
        <v>0</v>
      </c>
      <c r="CV458" s="648">
        <f t="shared" si="205"/>
        <v>0</v>
      </c>
      <c r="CW458" s="648">
        <f t="shared" si="206"/>
        <v>0</v>
      </c>
      <c r="CX458" s="634">
        <v>0</v>
      </c>
      <c r="CY458" s="616"/>
      <c r="CZ458" s="619">
        <f>IF(BN459=0,0,             IF(ISNUMBER(CY458),CY458,             IF(ISTEXT(CY458),INDEX(CP458:CW458,MATCH(CY458,$CP$17:$CW$17,0)),           IF(CX458="INT",_xll.qInterp(BN459,BZ458:CG458,CP458:CW458),       INDEX(CP458:CW458,MATCH(CX458,$CP$17:$CW$17,0))))))</f>
        <v>0</v>
      </c>
      <c r="DA458" s="755">
        <f t="shared" si="207"/>
        <v>0</v>
      </c>
      <c r="DB458" s="387">
        <f t="shared" si="208"/>
        <v>0</v>
      </c>
      <c r="DC458" s="268">
        <f>IF($BN459=0,0,         IF(LEFT(DCC_Leg2_Fixed,2)="1/",uEvaluate(DCC_Leg2_Fixed),         _xll.qDateYears($BN458,$BN459,DCC_Leg2_Fixed)))</f>
        <v>0</v>
      </c>
      <c r="DD458" s="268">
        <f>IF($BN459,_xll.qDateYears($BN458,$BN459,DCC_Leg2_Float),0)</f>
        <v>0</v>
      </c>
      <c r="DF458" s="332">
        <f t="shared" si="223"/>
        <v>0</v>
      </c>
      <c r="DG458" s="357">
        <f t="shared" si="224"/>
        <v>0</v>
      </c>
      <c r="DH458" s="527"/>
      <c r="DJ458" s="324">
        <f t="shared" si="226"/>
        <v>0</v>
      </c>
      <c r="DK458" s="529"/>
      <c r="DL458" s="338"/>
    </row>
    <row r="459" spans="15:116">
      <c r="O459" s="121">
        <v>0</v>
      </c>
      <c r="P459" s="755">
        <f t="shared" si="195"/>
        <v>0</v>
      </c>
      <c r="Q459" s="125">
        <v>0</v>
      </c>
      <c r="R459" s="890">
        <f>IF(O460=0,0,         IF(OR(Currency1="AUD",Currency1="NZD",Currency1="GBP"),O459,   _xll.qDateNext(O459,"-2b",,,IF(Currency1="EUR","TGT","LON"))))</f>
        <v>0</v>
      </c>
      <c r="S459" s="879" t="str">
        <v/>
      </c>
      <c r="T459" s="879" t="str">
        <v/>
      </c>
      <c r="U459" s="879" t="str">
        <v/>
      </c>
      <c r="V459" s="879" t="str">
        <v/>
      </c>
      <c r="W459" s="879" t="str">
        <v/>
      </c>
      <c r="X459" s="879" t="str">
        <v/>
      </c>
      <c r="Y459" s="879" t="str">
        <v/>
      </c>
      <c r="Z459" s="879" t="str">
        <v/>
      </c>
      <c r="AA459" s="882">
        <f>IF($O460=0,0,        _xll.qDateNext($O459,AA$17,$AH$16,TRUE,Currency1))</f>
        <v>0</v>
      </c>
      <c r="AB459" s="882">
        <f>IF($O460=0,0,        _xll.qDateNext($O459,AB$17,$AH$16,TRUE,Currency1))</f>
        <v>0</v>
      </c>
      <c r="AC459" s="882">
        <f>IF($O460=0,0,        _xll.qDateNext($O459,AC$17,$AH$16,TRUE,Currency1))</f>
        <v>0</v>
      </c>
      <c r="AD459" s="882">
        <f>IF($O460=0,0,        _xll.qDateNext($O459,AD$17,$AH$16,TRUE,Currency1))</f>
        <v>0</v>
      </c>
      <c r="AE459" s="882">
        <f>IF($O460=0,0,        _xll.qDateNext($O459,AE$17,$AH$16,TRUE,Currency1))</f>
        <v>0</v>
      </c>
      <c r="AF459" s="882">
        <f>IF($O460=0,0,        _xll.qDateNext($O459,AF$17,$AH$16,TRUE,Currency1))</f>
        <v>0</v>
      </c>
      <c r="AG459" s="882">
        <f>IF($O460=0,0,        _xll.qDateNext($O459,AG$17,$AH$16,TRUE,Currency1))</f>
        <v>0</v>
      </c>
      <c r="AH459" s="882">
        <f>IF($O460=0,0,        _xll.qDateNext($O459,AH$17,$AH$16,TRUE,Currency1))</f>
        <v>0</v>
      </c>
      <c r="AI459" s="886">
        <f>IF($O460=0,0,           IF(FRM,_xll.qGetFwdRate(AI$14,$O459,AA459,"T",DCC_Leg1_Float),_xll.qGetFwdRate(AI$14,$O459,$O460,"T",DCC_Leg1_Float)))</f>
        <v>0</v>
      </c>
      <c r="AJ459" s="886">
        <f>IF($O460=0,0,           IF(FRM,_xll.qGetFwdRate(AJ$14,$O459,AB459,"T",DCC_Leg1_Float),_xll.qGetFwdRate(AJ$14,$O459,$O460,"T",DCC_Leg1_Float)))</f>
        <v>0</v>
      </c>
      <c r="AK459" s="886">
        <f t="shared" si="196"/>
        <v>0</v>
      </c>
      <c r="AL459" s="886">
        <f>IF($O460=0,0,           IF(FRM,_xll.qGetFwdRate(AL$14,$O459,AD459,"T",DCC_Leg1_Float),_xll.qGetFwdRate(AL$14,$O459,$O460,"T",DCC_Leg1_Float)))</f>
        <v>0</v>
      </c>
      <c r="AM459" s="886">
        <f t="shared" si="209"/>
        <v>0</v>
      </c>
      <c r="AN459" s="886">
        <f t="shared" si="210"/>
        <v>0</v>
      </c>
      <c r="AO459" s="886">
        <f>IF($O460=0,0,           IF(FRM,_xll.qGetFwdRate(AO$14,$O459,AG459,"T",DCC_Leg1_Float),_xll.qGetFwdRate(AO$14,$O459,$O460,"T",DCC_Leg1_Float)))</f>
        <v>0</v>
      </c>
      <c r="AP459" s="886">
        <f>IF($O460=0,0,           IF(FRM,_xll.qGetFwdRate(AP$14,$O459,AH459,"T",DCC_Leg1_Float),_xll.qGetFwdRate(AP$14,$O459,$O460,"T",DCC_Leg1_Float)))</f>
        <v>0</v>
      </c>
      <c r="AQ459" s="648">
        <f t="shared" si="211"/>
        <v>0</v>
      </c>
      <c r="AR459" s="648">
        <f t="shared" si="212"/>
        <v>0</v>
      </c>
      <c r="AS459" s="648">
        <f t="shared" si="213"/>
        <v>0</v>
      </c>
      <c r="AT459" s="648">
        <f t="shared" si="214"/>
        <v>0</v>
      </c>
      <c r="AU459" s="648">
        <f t="shared" si="215"/>
        <v>0</v>
      </c>
      <c r="AV459" s="648">
        <f t="shared" si="216"/>
        <v>0</v>
      </c>
      <c r="AW459" s="648">
        <f t="shared" si="217"/>
        <v>0</v>
      </c>
      <c r="AX459" s="648">
        <f t="shared" si="218"/>
        <v>0</v>
      </c>
      <c r="AY459" s="634">
        <v>0</v>
      </c>
      <c r="AZ459" s="616"/>
      <c r="BA459" s="619">
        <f>IF(O460=0,0,             IF(ISNUMBER(AZ459),AZ459,             IF(ISTEXT(AZ459),INDEX(AQ459:AX459,MATCH(AZ459,$AQ$17:$AX$17,0)),           IF(AY459="INT",_xll.qInterp(O460,AA459:AH459,AQ459:AX459),       INDEX(AQ459:AX459,MATCH(AY459,$AQ$17:$AX$17,0))))))</f>
        <v>0</v>
      </c>
      <c r="BB459" s="674">
        <v>100</v>
      </c>
      <c r="BC459" s="666">
        <f t="shared" si="197"/>
        <v>0</v>
      </c>
      <c r="BD459" s="268">
        <f>IF($O460=0,0,                IF(LEFT(DCC_Leg1_Fixed,2)="1/",uEvaluate(DCC_Leg1_Fixed),        _xll.qDateYears($O459,$O460,DCC_Leg1_Fixed)))</f>
        <v>0</v>
      </c>
      <c r="BE459" s="268">
        <f>IF($O460,_xll.qDateYears($O459,$O460,DCC_Leg1_Float),0)</f>
        <v>0</v>
      </c>
      <c r="BG459" s="332">
        <f t="shared" si="219"/>
        <v>0</v>
      </c>
      <c r="BH459" s="357">
        <f t="shared" si="220"/>
        <v>0</v>
      </c>
      <c r="BI459" s="527"/>
      <c r="BK459" s="324">
        <f t="shared" si="225"/>
        <v>0</v>
      </c>
      <c r="BM459" s="338"/>
      <c r="BN459" s="121">
        <v>0</v>
      </c>
      <c r="BO459" s="755">
        <f t="shared" si="198"/>
        <v>0</v>
      </c>
      <c r="BP459" s="339">
        <v>0</v>
      </c>
      <c r="BQ459" s="890">
        <f>IF(BN460=0,0,         IF(OR(Currency2="AUD",Currency1="NZD",Currency2="GBP"),BN459,   _xll.qDateNext(BN459,"-2b",,,IF(Currency2="EUR","TGT","LON"))))</f>
        <v>0</v>
      </c>
      <c r="BR459" s="879" t="str">
        <v/>
      </c>
      <c r="BS459" s="879" t="str">
        <v/>
      </c>
      <c r="BT459" s="879" t="str">
        <v/>
      </c>
      <c r="BU459" s="879" t="str">
        <v/>
      </c>
      <c r="BV459" s="879" t="str">
        <v/>
      </c>
      <c r="BW459" s="879" t="str">
        <v/>
      </c>
      <c r="BX459" s="879" t="str">
        <v/>
      </c>
      <c r="BY459" s="879" t="str">
        <v/>
      </c>
      <c r="BZ459" s="882">
        <f>IF($BN460=0,0,        _xll.qDateNext($BN459,BZ$17,$CG$16,TRUE,Currency2))</f>
        <v>0</v>
      </c>
      <c r="CA459" s="882">
        <f>IF($BN460=0,0,        _xll.qDateNext($BN459,CA$17,$CG$16,TRUE,Currency2))</f>
        <v>0</v>
      </c>
      <c r="CB459" s="882">
        <f>IF($BN460=0,0,        _xll.qDateNext($BN459,CB$17,$CG$16,TRUE,Currency2))</f>
        <v>0</v>
      </c>
      <c r="CC459" s="882">
        <f>IF($BN460=0,0,        _xll.qDateNext($BN459,CC$17,$CG$16,TRUE,Currency2))</f>
        <v>0</v>
      </c>
      <c r="CD459" s="882">
        <f>IF($BN460=0,0,        _xll.qDateNext($BN459,CD$17,$CG$16,TRUE,Currency2))</f>
        <v>0</v>
      </c>
      <c r="CE459" s="882">
        <f>IF($BN460=0,0,        _xll.qDateNext($BN459,CE$17,$CG$16,TRUE,Currency2))</f>
        <v>0</v>
      </c>
      <c r="CF459" s="882">
        <f>IF($BN460=0,0,        _xll.qDateNext($BN459,CF$17,$CG$16,TRUE,Currency2))</f>
        <v>0</v>
      </c>
      <c r="CG459" s="882">
        <f>IF($BN460=0,0,        _xll.qDateNext($BN459,CG$17,$CG$16,TRUE,Currency2))</f>
        <v>0</v>
      </c>
      <c r="CH459" s="886">
        <v>0</v>
      </c>
      <c r="CI459" s="886">
        <v>0</v>
      </c>
      <c r="CJ459" s="886">
        <v>0</v>
      </c>
      <c r="CK459" s="886">
        <v>0</v>
      </c>
      <c r="CL459" s="886">
        <f t="shared" si="221"/>
        <v>0</v>
      </c>
      <c r="CM459" s="886">
        <f t="shared" si="222"/>
        <v>0</v>
      </c>
      <c r="CN459" s="886">
        <v>0</v>
      </c>
      <c r="CO459" s="886">
        <v>0</v>
      </c>
      <c r="CP459" s="648">
        <f t="shared" si="199"/>
        <v>0</v>
      </c>
      <c r="CQ459" s="648">
        <f t="shared" si="200"/>
        <v>0</v>
      </c>
      <c r="CR459" s="648">
        <f t="shared" si="201"/>
        <v>0</v>
      </c>
      <c r="CS459" s="648">
        <f t="shared" si="202"/>
        <v>0</v>
      </c>
      <c r="CT459" s="648">
        <f t="shared" si="203"/>
        <v>0</v>
      </c>
      <c r="CU459" s="648">
        <f t="shared" si="204"/>
        <v>0</v>
      </c>
      <c r="CV459" s="648">
        <f t="shared" si="205"/>
        <v>0</v>
      </c>
      <c r="CW459" s="648">
        <f t="shared" si="206"/>
        <v>0</v>
      </c>
      <c r="CX459" s="634">
        <v>0</v>
      </c>
      <c r="CY459" s="616"/>
      <c r="CZ459" s="619">
        <f>IF(BN460=0,0,             IF(ISNUMBER(CY459),CY459,             IF(ISTEXT(CY459),INDEX(CP459:CW459,MATCH(CY459,$CP$17:$CW$17,0)),           IF(CX459="INT",_xll.qInterp(BN460,BZ459:CG459,CP459:CW459),       INDEX(CP459:CW459,MATCH(CX459,$CP$17:$CW$17,0))))))</f>
        <v>0</v>
      </c>
      <c r="DA459" s="755">
        <f t="shared" si="207"/>
        <v>0</v>
      </c>
      <c r="DB459" s="387">
        <f t="shared" si="208"/>
        <v>0</v>
      </c>
      <c r="DC459" s="268">
        <f>IF($BN460=0,0,         IF(LEFT(DCC_Leg2_Fixed,2)="1/",uEvaluate(DCC_Leg2_Fixed),         _xll.qDateYears($BN459,$BN460,DCC_Leg2_Fixed)))</f>
        <v>0</v>
      </c>
      <c r="DD459" s="268">
        <f>IF($BN460,_xll.qDateYears($BN459,$BN460,DCC_Leg2_Float),0)</f>
        <v>0</v>
      </c>
      <c r="DF459" s="332">
        <f t="shared" si="223"/>
        <v>0</v>
      </c>
      <c r="DG459" s="357">
        <f t="shared" si="224"/>
        <v>0</v>
      </c>
      <c r="DH459" s="527"/>
      <c r="DJ459" s="324">
        <f t="shared" si="226"/>
        <v>0</v>
      </c>
      <c r="DK459" s="529"/>
      <c r="DL459" s="338"/>
    </row>
    <row r="460" spans="15:116">
      <c r="O460" s="121">
        <v>0</v>
      </c>
      <c r="P460" s="755">
        <f t="shared" si="195"/>
        <v>0</v>
      </c>
      <c r="Q460" s="125">
        <v>0</v>
      </c>
      <c r="R460" s="890">
        <f>IF(O461=0,0,         IF(OR(Currency1="AUD",Currency1="NZD",Currency1="GBP"),O460,   _xll.qDateNext(O460,"-2b",,,IF(Currency1="EUR","TGT","LON"))))</f>
        <v>0</v>
      </c>
      <c r="S460" s="879" t="str">
        <v/>
      </c>
      <c r="T460" s="879" t="str">
        <v/>
      </c>
      <c r="U460" s="879" t="str">
        <v/>
      </c>
      <c r="V460" s="879" t="str">
        <v/>
      </c>
      <c r="W460" s="879" t="str">
        <v/>
      </c>
      <c r="X460" s="879" t="str">
        <v/>
      </c>
      <c r="Y460" s="879" t="str">
        <v/>
      </c>
      <c r="Z460" s="879" t="str">
        <v/>
      </c>
      <c r="AA460" s="882">
        <f>IF($O461=0,0,        _xll.qDateNext($O460,AA$17,$AH$16,TRUE,Currency1))</f>
        <v>0</v>
      </c>
      <c r="AB460" s="882">
        <f>IF($O461=0,0,        _xll.qDateNext($O460,AB$17,$AH$16,TRUE,Currency1))</f>
        <v>0</v>
      </c>
      <c r="AC460" s="882">
        <f>IF($O461=0,0,        _xll.qDateNext($O460,AC$17,$AH$16,TRUE,Currency1))</f>
        <v>0</v>
      </c>
      <c r="AD460" s="882">
        <f>IF($O461=0,0,        _xll.qDateNext($O460,AD$17,$AH$16,TRUE,Currency1))</f>
        <v>0</v>
      </c>
      <c r="AE460" s="882">
        <f>IF($O461=0,0,        _xll.qDateNext($O460,AE$17,$AH$16,TRUE,Currency1))</f>
        <v>0</v>
      </c>
      <c r="AF460" s="882">
        <f>IF($O461=0,0,        _xll.qDateNext($O460,AF$17,$AH$16,TRUE,Currency1))</f>
        <v>0</v>
      </c>
      <c r="AG460" s="882">
        <f>IF($O461=0,0,        _xll.qDateNext($O460,AG$17,$AH$16,TRUE,Currency1))</f>
        <v>0</v>
      </c>
      <c r="AH460" s="882">
        <f>IF($O461=0,0,        _xll.qDateNext($O460,AH$17,$AH$16,TRUE,Currency1))</f>
        <v>0</v>
      </c>
      <c r="AI460" s="886">
        <f>IF($O461=0,0,           IF(FRM,_xll.qGetFwdRate(AI$14,$O460,AA460,"T",DCC_Leg1_Float),_xll.qGetFwdRate(AI$14,$O460,$O461,"T",DCC_Leg1_Float)))</f>
        <v>0</v>
      </c>
      <c r="AJ460" s="886">
        <f>IF($O461=0,0,           IF(FRM,_xll.qGetFwdRate(AJ$14,$O460,AB460,"T",DCC_Leg1_Float),_xll.qGetFwdRate(AJ$14,$O460,$O461,"T",DCC_Leg1_Float)))</f>
        <v>0</v>
      </c>
      <c r="AK460" s="886">
        <f t="shared" si="196"/>
        <v>0</v>
      </c>
      <c r="AL460" s="886">
        <f>IF($O461=0,0,           IF(FRM,_xll.qGetFwdRate(AL$14,$O460,AD460,"T",DCC_Leg1_Float),_xll.qGetFwdRate(AL$14,$O460,$O461,"T",DCC_Leg1_Float)))</f>
        <v>0</v>
      </c>
      <c r="AM460" s="886">
        <f t="shared" si="209"/>
        <v>0</v>
      </c>
      <c r="AN460" s="886">
        <f t="shared" si="210"/>
        <v>0</v>
      </c>
      <c r="AO460" s="886">
        <f>IF($O461=0,0,           IF(FRM,_xll.qGetFwdRate(AO$14,$O460,AG460,"T",DCC_Leg1_Float),_xll.qGetFwdRate(AO$14,$O460,$O461,"T",DCC_Leg1_Float)))</f>
        <v>0</v>
      </c>
      <c r="AP460" s="886">
        <f>IF($O461=0,0,           IF(FRM,_xll.qGetFwdRate(AP$14,$O460,AH460,"T",DCC_Leg1_Float),_xll.qGetFwdRate(AP$14,$O460,$O461,"T",DCC_Leg1_Float)))</f>
        <v>0</v>
      </c>
      <c r="AQ460" s="648">
        <f t="shared" si="211"/>
        <v>0</v>
      </c>
      <c r="AR460" s="648">
        <f t="shared" si="212"/>
        <v>0</v>
      </c>
      <c r="AS460" s="648">
        <f t="shared" si="213"/>
        <v>0</v>
      </c>
      <c r="AT460" s="648">
        <f t="shared" si="214"/>
        <v>0</v>
      </c>
      <c r="AU460" s="648">
        <f t="shared" si="215"/>
        <v>0</v>
      </c>
      <c r="AV460" s="648">
        <f t="shared" si="216"/>
        <v>0</v>
      </c>
      <c r="AW460" s="648">
        <f t="shared" si="217"/>
        <v>0</v>
      </c>
      <c r="AX460" s="648">
        <f t="shared" si="218"/>
        <v>0</v>
      </c>
      <c r="AY460" s="634">
        <v>0</v>
      </c>
      <c r="AZ460" s="616"/>
      <c r="BA460" s="619">
        <f>IF(O461=0,0,             IF(ISNUMBER(AZ460),AZ460,             IF(ISTEXT(AZ460),INDEX(AQ460:AX460,MATCH(AZ460,$AQ$17:$AX$17,0)),           IF(AY460="INT",_xll.qInterp(O461,AA460:AH460,AQ460:AX460),       INDEX(AQ460:AX460,MATCH(AY460,$AQ$17:$AX$17,0))))))</f>
        <v>0</v>
      </c>
      <c r="BB460" s="674">
        <v>100</v>
      </c>
      <c r="BC460" s="666">
        <f t="shared" si="197"/>
        <v>0</v>
      </c>
      <c r="BD460" s="268">
        <f>IF($O461=0,0,                IF(LEFT(DCC_Leg1_Fixed,2)="1/",uEvaluate(DCC_Leg1_Fixed),        _xll.qDateYears($O460,$O461,DCC_Leg1_Fixed)))</f>
        <v>0</v>
      </c>
      <c r="BE460" s="268">
        <f>IF($O461,_xll.qDateYears($O460,$O461,DCC_Leg1_Float),0)</f>
        <v>0</v>
      </c>
      <c r="BG460" s="332">
        <f t="shared" si="219"/>
        <v>0</v>
      </c>
      <c r="BH460" s="357">
        <f t="shared" si="220"/>
        <v>0</v>
      </c>
      <c r="BI460" s="527"/>
      <c r="BK460" s="324">
        <f t="shared" si="225"/>
        <v>0</v>
      </c>
      <c r="BM460" s="338"/>
      <c r="BN460" s="121">
        <v>0</v>
      </c>
      <c r="BO460" s="755">
        <f t="shared" si="198"/>
        <v>0</v>
      </c>
      <c r="BP460" s="339">
        <v>0</v>
      </c>
      <c r="BQ460" s="890">
        <f>IF(BN461=0,0,         IF(OR(Currency2="AUD",Currency1="NZD",Currency2="GBP"),BN460,   _xll.qDateNext(BN460,"-2b",,,IF(Currency2="EUR","TGT","LON"))))</f>
        <v>0</v>
      </c>
      <c r="BR460" s="879" t="str">
        <v/>
      </c>
      <c r="BS460" s="879" t="str">
        <v/>
      </c>
      <c r="BT460" s="879" t="str">
        <v/>
      </c>
      <c r="BU460" s="879" t="str">
        <v/>
      </c>
      <c r="BV460" s="879" t="str">
        <v/>
      </c>
      <c r="BW460" s="879" t="str">
        <v/>
      </c>
      <c r="BX460" s="879" t="str">
        <v/>
      </c>
      <c r="BY460" s="879" t="str">
        <v/>
      </c>
      <c r="BZ460" s="882">
        <f>IF($BN461=0,0,        _xll.qDateNext($BN460,BZ$17,$CG$16,TRUE,Currency2))</f>
        <v>0</v>
      </c>
      <c r="CA460" s="882">
        <f>IF($BN461=0,0,        _xll.qDateNext($BN460,CA$17,$CG$16,TRUE,Currency2))</f>
        <v>0</v>
      </c>
      <c r="CB460" s="882">
        <f>IF($BN461=0,0,        _xll.qDateNext($BN460,CB$17,$CG$16,TRUE,Currency2))</f>
        <v>0</v>
      </c>
      <c r="CC460" s="882">
        <f>IF($BN461=0,0,        _xll.qDateNext($BN460,CC$17,$CG$16,TRUE,Currency2))</f>
        <v>0</v>
      </c>
      <c r="CD460" s="882">
        <f>IF($BN461=0,0,        _xll.qDateNext($BN460,CD$17,$CG$16,TRUE,Currency2))</f>
        <v>0</v>
      </c>
      <c r="CE460" s="882">
        <f>IF($BN461=0,0,        _xll.qDateNext($BN460,CE$17,$CG$16,TRUE,Currency2))</f>
        <v>0</v>
      </c>
      <c r="CF460" s="882">
        <f>IF($BN461=0,0,        _xll.qDateNext($BN460,CF$17,$CG$16,TRUE,Currency2))</f>
        <v>0</v>
      </c>
      <c r="CG460" s="882">
        <f>IF($BN461=0,0,        _xll.qDateNext($BN460,CG$17,$CG$16,TRUE,Currency2))</f>
        <v>0</v>
      </c>
      <c r="CH460" s="886">
        <v>0</v>
      </c>
      <c r="CI460" s="886">
        <v>0</v>
      </c>
      <c r="CJ460" s="886">
        <v>0</v>
      </c>
      <c r="CK460" s="886">
        <v>0</v>
      </c>
      <c r="CL460" s="886">
        <f t="shared" si="221"/>
        <v>0</v>
      </c>
      <c r="CM460" s="886">
        <f t="shared" si="222"/>
        <v>0</v>
      </c>
      <c r="CN460" s="886">
        <v>0</v>
      </c>
      <c r="CO460" s="886">
        <v>0</v>
      </c>
      <c r="CP460" s="648">
        <f t="shared" si="199"/>
        <v>0</v>
      </c>
      <c r="CQ460" s="648">
        <f t="shared" si="200"/>
        <v>0</v>
      </c>
      <c r="CR460" s="648">
        <f t="shared" si="201"/>
        <v>0</v>
      </c>
      <c r="CS460" s="648">
        <f t="shared" si="202"/>
        <v>0</v>
      </c>
      <c r="CT460" s="648">
        <f t="shared" si="203"/>
        <v>0</v>
      </c>
      <c r="CU460" s="648">
        <f t="shared" si="204"/>
        <v>0</v>
      </c>
      <c r="CV460" s="648">
        <f t="shared" si="205"/>
        <v>0</v>
      </c>
      <c r="CW460" s="648">
        <f t="shared" si="206"/>
        <v>0</v>
      </c>
      <c r="CX460" s="634">
        <v>0</v>
      </c>
      <c r="CY460" s="616"/>
      <c r="CZ460" s="619">
        <f>IF(BN461=0,0,             IF(ISNUMBER(CY460),CY460,             IF(ISTEXT(CY460),INDEX(CP460:CW460,MATCH(CY460,$CP$17:$CW$17,0)),           IF(CX460="INT",_xll.qInterp(BN461,BZ460:CG460,CP460:CW460),       INDEX(CP460:CW460,MATCH(CX460,$CP$17:$CW$17,0))))))</f>
        <v>0</v>
      </c>
      <c r="DA460" s="755">
        <f t="shared" si="207"/>
        <v>0</v>
      </c>
      <c r="DB460" s="387">
        <f t="shared" si="208"/>
        <v>0</v>
      </c>
      <c r="DC460" s="268">
        <f>IF($BN461=0,0,         IF(LEFT(DCC_Leg2_Fixed,2)="1/",uEvaluate(DCC_Leg2_Fixed),         _xll.qDateYears($BN460,$BN461,DCC_Leg2_Fixed)))</f>
        <v>0</v>
      </c>
      <c r="DD460" s="268">
        <f>IF($BN461,_xll.qDateYears($BN460,$BN461,DCC_Leg2_Float),0)</f>
        <v>0</v>
      </c>
      <c r="DF460" s="332">
        <f t="shared" si="223"/>
        <v>0</v>
      </c>
      <c r="DG460" s="357">
        <f t="shared" si="224"/>
        <v>0</v>
      </c>
      <c r="DH460" s="527"/>
      <c r="DJ460" s="324">
        <f t="shared" si="226"/>
        <v>0</v>
      </c>
      <c r="DK460" s="529"/>
      <c r="DL460" s="338"/>
    </row>
    <row r="461" spans="15:116">
      <c r="O461" s="121">
        <v>0</v>
      </c>
      <c r="P461" s="755">
        <f t="shared" si="195"/>
        <v>0</v>
      </c>
      <c r="Q461" s="125">
        <v>0</v>
      </c>
      <c r="R461" s="890">
        <f>IF(O462=0,0,         IF(OR(Currency1="AUD",Currency1="NZD",Currency1="GBP"),O461,   _xll.qDateNext(O461,"-2b",,,IF(Currency1="EUR","TGT","LON"))))</f>
        <v>0</v>
      </c>
      <c r="S461" s="879" t="str">
        <v/>
      </c>
      <c r="T461" s="879" t="str">
        <v/>
      </c>
      <c r="U461" s="879" t="str">
        <v/>
      </c>
      <c r="V461" s="879" t="str">
        <v/>
      </c>
      <c r="W461" s="879" t="str">
        <v/>
      </c>
      <c r="X461" s="879" t="str">
        <v/>
      </c>
      <c r="Y461" s="879" t="str">
        <v/>
      </c>
      <c r="Z461" s="879" t="str">
        <v/>
      </c>
      <c r="AA461" s="882">
        <f>IF($O462=0,0,        _xll.qDateNext($O461,AA$17,$AH$16,TRUE,Currency1))</f>
        <v>0</v>
      </c>
      <c r="AB461" s="882">
        <f>IF($O462=0,0,        _xll.qDateNext($O461,AB$17,$AH$16,TRUE,Currency1))</f>
        <v>0</v>
      </c>
      <c r="AC461" s="882">
        <f>IF($O462=0,0,        _xll.qDateNext($O461,AC$17,$AH$16,TRUE,Currency1))</f>
        <v>0</v>
      </c>
      <c r="AD461" s="882">
        <f>IF($O462=0,0,        _xll.qDateNext($O461,AD$17,$AH$16,TRUE,Currency1))</f>
        <v>0</v>
      </c>
      <c r="AE461" s="882">
        <f>IF($O462=0,0,        _xll.qDateNext($O461,AE$17,$AH$16,TRUE,Currency1))</f>
        <v>0</v>
      </c>
      <c r="AF461" s="882">
        <f>IF($O462=0,0,        _xll.qDateNext($O461,AF$17,$AH$16,TRUE,Currency1))</f>
        <v>0</v>
      </c>
      <c r="AG461" s="882">
        <f>IF($O462=0,0,        _xll.qDateNext($O461,AG$17,$AH$16,TRUE,Currency1))</f>
        <v>0</v>
      </c>
      <c r="AH461" s="882">
        <f>IF($O462=0,0,        _xll.qDateNext($O461,AH$17,$AH$16,TRUE,Currency1))</f>
        <v>0</v>
      </c>
      <c r="AI461" s="886">
        <f>IF($O462=0,0,           IF(FRM,_xll.qGetFwdRate(AI$14,$O461,AA461,"T",DCC_Leg1_Float),_xll.qGetFwdRate(AI$14,$O461,$O462,"T",DCC_Leg1_Float)))</f>
        <v>0</v>
      </c>
      <c r="AJ461" s="886">
        <f>IF($O462=0,0,           IF(FRM,_xll.qGetFwdRate(AJ$14,$O461,AB461,"T",DCC_Leg1_Float),_xll.qGetFwdRate(AJ$14,$O461,$O462,"T",DCC_Leg1_Float)))</f>
        <v>0</v>
      </c>
      <c r="AK461" s="886">
        <f t="shared" si="196"/>
        <v>0</v>
      </c>
      <c r="AL461" s="886">
        <f>IF($O462=0,0,           IF(FRM,_xll.qGetFwdRate(AL$14,$O461,AD461,"T",DCC_Leg1_Float),_xll.qGetFwdRate(AL$14,$O461,$O462,"T",DCC_Leg1_Float)))</f>
        <v>0</v>
      </c>
      <c r="AM461" s="886">
        <f t="shared" si="209"/>
        <v>0</v>
      </c>
      <c r="AN461" s="886">
        <f t="shared" si="210"/>
        <v>0</v>
      </c>
      <c r="AO461" s="886">
        <f>IF($O462=0,0,           IF(FRM,_xll.qGetFwdRate(AO$14,$O461,AG461,"T",DCC_Leg1_Float),_xll.qGetFwdRate(AO$14,$O461,$O462,"T",DCC_Leg1_Float)))</f>
        <v>0</v>
      </c>
      <c r="AP461" s="886">
        <f>IF($O462=0,0,           IF(FRM,_xll.qGetFwdRate(AP$14,$O461,AH461,"T",DCC_Leg1_Float),_xll.qGetFwdRate(AP$14,$O461,$O462,"T",DCC_Leg1_Float)))</f>
        <v>0</v>
      </c>
      <c r="AQ461" s="648">
        <f t="shared" si="211"/>
        <v>0</v>
      </c>
      <c r="AR461" s="648">
        <f t="shared" si="212"/>
        <v>0</v>
      </c>
      <c r="AS461" s="648">
        <f t="shared" si="213"/>
        <v>0</v>
      </c>
      <c r="AT461" s="648">
        <f t="shared" si="214"/>
        <v>0</v>
      </c>
      <c r="AU461" s="648">
        <f t="shared" si="215"/>
        <v>0</v>
      </c>
      <c r="AV461" s="648">
        <f t="shared" si="216"/>
        <v>0</v>
      </c>
      <c r="AW461" s="648">
        <f t="shared" si="217"/>
        <v>0</v>
      </c>
      <c r="AX461" s="648">
        <f t="shared" si="218"/>
        <v>0</v>
      </c>
      <c r="AY461" s="634">
        <v>0</v>
      </c>
      <c r="AZ461" s="616"/>
      <c r="BA461" s="619">
        <f>IF(O462=0,0,             IF(ISNUMBER(AZ461),AZ461,             IF(ISTEXT(AZ461),INDEX(AQ461:AX461,MATCH(AZ461,$AQ$17:$AX$17,0)),           IF(AY461="INT",_xll.qInterp(O462,AA461:AH461,AQ461:AX461),       INDEX(AQ461:AX461,MATCH(AY461,$AQ$17:$AX$17,0))))))</f>
        <v>0</v>
      </c>
      <c r="BB461" s="674">
        <v>100</v>
      </c>
      <c r="BC461" s="666">
        <f t="shared" si="197"/>
        <v>0</v>
      </c>
      <c r="BD461" s="268">
        <f>IF($O462=0,0,                IF(LEFT(DCC_Leg1_Fixed,2)="1/",uEvaluate(DCC_Leg1_Fixed),        _xll.qDateYears($O461,$O462,DCC_Leg1_Fixed)))</f>
        <v>0</v>
      </c>
      <c r="BE461" s="268">
        <f>IF($O462,_xll.qDateYears($O461,$O462,DCC_Leg1_Float),0)</f>
        <v>0</v>
      </c>
      <c r="BG461" s="332">
        <f t="shared" si="219"/>
        <v>0</v>
      </c>
      <c r="BH461" s="357">
        <f t="shared" si="220"/>
        <v>0</v>
      </c>
      <c r="BI461" s="527"/>
      <c r="BK461" s="324">
        <f t="shared" si="225"/>
        <v>0</v>
      </c>
      <c r="BM461" s="338"/>
      <c r="BN461" s="121">
        <v>0</v>
      </c>
      <c r="BO461" s="755">
        <f t="shared" si="198"/>
        <v>0</v>
      </c>
      <c r="BP461" s="339">
        <v>0</v>
      </c>
      <c r="BQ461" s="890">
        <f>IF(BN462=0,0,         IF(OR(Currency2="AUD",Currency1="NZD",Currency2="GBP"),BN461,   _xll.qDateNext(BN461,"-2b",,,IF(Currency2="EUR","TGT","LON"))))</f>
        <v>0</v>
      </c>
      <c r="BR461" s="879" t="str">
        <v/>
      </c>
      <c r="BS461" s="879" t="str">
        <v/>
      </c>
      <c r="BT461" s="879" t="str">
        <v/>
      </c>
      <c r="BU461" s="879" t="str">
        <v/>
      </c>
      <c r="BV461" s="879" t="str">
        <v/>
      </c>
      <c r="BW461" s="879" t="str">
        <v/>
      </c>
      <c r="BX461" s="879" t="str">
        <v/>
      </c>
      <c r="BY461" s="879" t="str">
        <v/>
      </c>
      <c r="BZ461" s="882">
        <f>IF($BN462=0,0,        _xll.qDateNext($BN461,BZ$17,$CG$16,TRUE,Currency2))</f>
        <v>0</v>
      </c>
      <c r="CA461" s="882">
        <f>IF($BN462=0,0,        _xll.qDateNext($BN461,CA$17,$CG$16,TRUE,Currency2))</f>
        <v>0</v>
      </c>
      <c r="CB461" s="882">
        <f>IF($BN462=0,0,        _xll.qDateNext($BN461,CB$17,$CG$16,TRUE,Currency2))</f>
        <v>0</v>
      </c>
      <c r="CC461" s="882">
        <f>IF($BN462=0,0,        _xll.qDateNext($BN461,CC$17,$CG$16,TRUE,Currency2))</f>
        <v>0</v>
      </c>
      <c r="CD461" s="882">
        <f>IF($BN462=0,0,        _xll.qDateNext($BN461,CD$17,$CG$16,TRUE,Currency2))</f>
        <v>0</v>
      </c>
      <c r="CE461" s="882">
        <f>IF($BN462=0,0,        _xll.qDateNext($BN461,CE$17,$CG$16,TRUE,Currency2))</f>
        <v>0</v>
      </c>
      <c r="CF461" s="882">
        <f>IF($BN462=0,0,        _xll.qDateNext($BN461,CF$17,$CG$16,TRUE,Currency2))</f>
        <v>0</v>
      </c>
      <c r="CG461" s="882">
        <f>IF($BN462=0,0,        _xll.qDateNext($BN461,CG$17,$CG$16,TRUE,Currency2))</f>
        <v>0</v>
      </c>
      <c r="CH461" s="886">
        <v>0</v>
      </c>
      <c r="CI461" s="886">
        <v>0</v>
      </c>
      <c r="CJ461" s="886">
        <v>0</v>
      </c>
      <c r="CK461" s="886">
        <v>0</v>
      </c>
      <c r="CL461" s="886">
        <f t="shared" si="221"/>
        <v>0</v>
      </c>
      <c r="CM461" s="886">
        <f t="shared" si="222"/>
        <v>0</v>
      </c>
      <c r="CN461" s="886">
        <v>0</v>
      </c>
      <c r="CO461" s="886">
        <v>0</v>
      </c>
      <c r="CP461" s="648">
        <f t="shared" si="199"/>
        <v>0</v>
      </c>
      <c r="CQ461" s="648">
        <f t="shared" si="200"/>
        <v>0</v>
      </c>
      <c r="CR461" s="648">
        <f t="shared" si="201"/>
        <v>0</v>
      </c>
      <c r="CS461" s="648">
        <f t="shared" si="202"/>
        <v>0</v>
      </c>
      <c r="CT461" s="648">
        <f t="shared" si="203"/>
        <v>0</v>
      </c>
      <c r="CU461" s="648">
        <f t="shared" si="204"/>
        <v>0</v>
      </c>
      <c r="CV461" s="648">
        <f t="shared" si="205"/>
        <v>0</v>
      </c>
      <c r="CW461" s="648">
        <f t="shared" si="206"/>
        <v>0</v>
      </c>
      <c r="CX461" s="634">
        <v>0</v>
      </c>
      <c r="CY461" s="616"/>
      <c r="CZ461" s="619">
        <f>IF(BN462=0,0,             IF(ISNUMBER(CY461),CY461,             IF(ISTEXT(CY461),INDEX(CP461:CW461,MATCH(CY461,$CP$17:$CW$17,0)),           IF(CX461="INT",_xll.qInterp(BN462,BZ461:CG461,CP461:CW461),       INDEX(CP461:CW461,MATCH(CX461,$CP$17:$CW$17,0))))))</f>
        <v>0</v>
      </c>
      <c r="DA461" s="755">
        <f t="shared" si="207"/>
        <v>0</v>
      </c>
      <c r="DB461" s="387">
        <f t="shared" si="208"/>
        <v>0</v>
      </c>
      <c r="DC461" s="268">
        <f>IF($BN462=0,0,         IF(LEFT(DCC_Leg2_Fixed,2)="1/",uEvaluate(DCC_Leg2_Fixed),         _xll.qDateYears($BN461,$BN462,DCC_Leg2_Fixed)))</f>
        <v>0</v>
      </c>
      <c r="DD461" s="268">
        <f>IF($BN462,_xll.qDateYears($BN461,$BN462,DCC_Leg2_Float),0)</f>
        <v>0</v>
      </c>
      <c r="DF461" s="332">
        <f t="shared" si="223"/>
        <v>0</v>
      </c>
      <c r="DG461" s="357">
        <f t="shared" si="224"/>
        <v>0</v>
      </c>
      <c r="DH461" s="527"/>
      <c r="DJ461" s="324">
        <f t="shared" si="226"/>
        <v>0</v>
      </c>
      <c r="DK461" s="529"/>
      <c r="DL461" s="338"/>
    </row>
    <row r="462" spans="15:116">
      <c r="O462" s="121">
        <v>0</v>
      </c>
      <c r="P462" s="755">
        <f t="shared" si="195"/>
        <v>0</v>
      </c>
      <c r="Q462" s="125">
        <v>0</v>
      </c>
      <c r="R462" s="890">
        <f>IF(O463=0,0,         IF(OR(Currency1="AUD",Currency1="NZD",Currency1="GBP"),O462,   _xll.qDateNext(O462,"-2b",,,IF(Currency1="EUR","TGT","LON"))))</f>
        <v>0</v>
      </c>
      <c r="S462" s="879" t="str">
        <v/>
      </c>
      <c r="T462" s="879" t="str">
        <v/>
      </c>
      <c r="U462" s="879" t="str">
        <v/>
      </c>
      <c r="V462" s="879" t="str">
        <v/>
      </c>
      <c r="W462" s="879" t="str">
        <v/>
      </c>
      <c r="X462" s="879" t="str">
        <v/>
      </c>
      <c r="Y462" s="879" t="str">
        <v/>
      </c>
      <c r="Z462" s="879" t="str">
        <v/>
      </c>
      <c r="AA462" s="882">
        <f>IF($O463=0,0,        _xll.qDateNext($O462,AA$17,$AH$16,TRUE,Currency1))</f>
        <v>0</v>
      </c>
      <c r="AB462" s="882">
        <f>IF($O463=0,0,        _xll.qDateNext($O462,AB$17,$AH$16,TRUE,Currency1))</f>
        <v>0</v>
      </c>
      <c r="AC462" s="882">
        <f>IF($O463=0,0,        _xll.qDateNext($O462,AC$17,$AH$16,TRUE,Currency1))</f>
        <v>0</v>
      </c>
      <c r="AD462" s="882">
        <f>IF($O463=0,0,        _xll.qDateNext($O462,AD$17,$AH$16,TRUE,Currency1))</f>
        <v>0</v>
      </c>
      <c r="AE462" s="882">
        <f>IF($O463=0,0,        _xll.qDateNext($O462,AE$17,$AH$16,TRUE,Currency1))</f>
        <v>0</v>
      </c>
      <c r="AF462" s="882">
        <f>IF($O463=0,0,        _xll.qDateNext($O462,AF$17,$AH$16,TRUE,Currency1))</f>
        <v>0</v>
      </c>
      <c r="AG462" s="882">
        <f>IF($O463=0,0,        _xll.qDateNext($O462,AG$17,$AH$16,TRUE,Currency1))</f>
        <v>0</v>
      </c>
      <c r="AH462" s="882">
        <f>IF($O463=0,0,        _xll.qDateNext($O462,AH$17,$AH$16,TRUE,Currency1))</f>
        <v>0</v>
      </c>
      <c r="AI462" s="886">
        <f>IF($O463=0,0,           IF(FRM,_xll.qGetFwdRate(AI$14,$O462,AA462,"T",DCC_Leg1_Float),_xll.qGetFwdRate(AI$14,$O462,$O463,"T",DCC_Leg1_Float)))</f>
        <v>0</v>
      </c>
      <c r="AJ462" s="886">
        <f>IF($O463=0,0,           IF(FRM,_xll.qGetFwdRate(AJ$14,$O462,AB462,"T",DCC_Leg1_Float),_xll.qGetFwdRate(AJ$14,$O462,$O463,"T",DCC_Leg1_Float)))</f>
        <v>0</v>
      </c>
      <c r="AK462" s="886">
        <f t="shared" si="196"/>
        <v>0</v>
      </c>
      <c r="AL462" s="886">
        <f>IF($O463=0,0,           IF(FRM,_xll.qGetFwdRate(AL$14,$O462,AD462,"T",DCC_Leg1_Float),_xll.qGetFwdRate(AL$14,$O462,$O463,"T",DCC_Leg1_Float)))</f>
        <v>0</v>
      </c>
      <c r="AM462" s="886">
        <f t="shared" si="209"/>
        <v>0</v>
      </c>
      <c r="AN462" s="886">
        <f t="shared" si="210"/>
        <v>0</v>
      </c>
      <c r="AO462" s="886">
        <f>IF($O463=0,0,           IF(FRM,_xll.qGetFwdRate(AO$14,$O462,AG462,"T",DCC_Leg1_Float),_xll.qGetFwdRate(AO$14,$O462,$O463,"T",DCC_Leg1_Float)))</f>
        <v>0</v>
      </c>
      <c r="AP462" s="886">
        <f>IF($O463=0,0,           IF(FRM,_xll.qGetFwdRate(AP$14,$O462,AH462,"T",DCC_Leg1_Float),_xll.qGetFwdRate(AP$14,$O462,$O463,"T",DCC_Leg1_Float)))</f>
        <v>0</v>
      </c>
      <c r="AQ462" s="648">
        <f t="shared" si="211"/>
        <v>0</v>
      </c>
      <c r="AR462" s="648">
        <f t="shared" si="212"/>
        <v>0</v>
      </c>
      <c r="AS462" s="648">
        <f t="shared" si="213"/>
        <v>0</v>
      </c>
      <c r="AT462" s="648">
        <f t="shared" si="214"/>
        <v>0</v>
      </c>
      <c r="AU462" s="648">
        <f t="shared" si="215"/>
        <v>0</v>
      </c>
      <c r="AV462" s="648">
        <f t="shared" si="216"/>
        <v>0</v>
      </c>
      <c r="AW462" s="648">
        <f t="shared" si="217"/>
        <v>0</v>
      </c>
      <c r="AX462" s="648">
        <f t="shared" si="218"/>
        <v>0</v>
      </c>
      <c r="AY462" s="634">
        <v>0</v>
      </c>
      <c r="AZ462" s="616"/>
      <c r="BA462" s="619">
        <f>IF(O463=0,0,             IF(ISNUMBER(AZ462),AZ462,             IF(ISTEXT(AZ462),INDEX(AQ462:AX462,MATCH(AZ462,$AQ$17:$AX$17,0)),           IF(AY462="INT",_xll.qInterp(O463,AA462:AH462,AQ462:AX462),       INDEX(AQ462:AX462,MATCH(AY462,$AQ$17:$AX$17,0))))))</f>
        <v>0</v>
      </c>
      <c r="BB462" s="674">
        <v>100</v>
      </c>
      <c r="BC462" s="666">
        <f t="shared" si="197"/>
        <v>0</v>
      </c>
      <c r="BD462" s="268">
        <f>IF($O463=0,0,                IF(LEFT(DCC_Leg1_Fixed,2)="1/",uEvaluate(DCC_Leg1_Fixed),        _xll.qDateYears($O462,$O463,DCC_Leg1_Fixed)))</f>
        <v>0</v>
      </c>
      <c r="BE462" s="268">
        <f>IF($O463,_xll.qDateYears($O462,$O463,DCC_Leg1_Float),0)</f>
        <v>0</v>
      </c>
      <c r="BG462" s="332">
        <f t="shared" si="219"/>
        <v>0</v>
      </c>
      <c r="BH462" s="357">
        <f t="shared" si="220"/>
        <v>0</v>
      </c>
      <c r="BI462" s="527"/>
      <c r="BK462" s="324">
        <f t="shared" si="225"/>
        <v>0</v>
      </c>
      <c r="BM462" s="338"/>
      <c r="BN462" s="121">
        <v>0</v>
      </c>
      <c r="BO462" s="755">
        <f t="shared" si="198"/>
        <v>0</v>
      </c>
      <c r="BP462" s="339">
        <v>0</v>
      </c>
      <c r="BQ462" s="890">
        <f>IF(BN463=0,0,         IF(OR(Currency2="AUD",Currency1="NZD",Currency2="GBP"),BN462,   _xll.qDateNext(BN462,"-2b",,,IF(Currency2="EUR","TGT","LON"))))</f>
        <v>0</v>
      </c>
      <c r="BR462" s="879" t="str">
        <v/>
      </c>
      <c r="BS462" s="879" t="str">
        <v/>
      </c>
      <c r="BT462" s="879" t="str">
        <v/>
      </c>
      <c r="BU462" s="879" t="str">
        <v/>
      </c>
      <c r="BV462" s="879" t="str">
        <v/>
      </c>
      <c r="BW462" s="879" t="str">
        <v/>
      </c>
      <c r="BX462" s="879" t="str">
        <v/>
      </c>
      <c r="BY462" s="879" t="str">
        <v/>
      </c>
      <c r="BZ462" s="882">
        <f>IF($BN463=0,0,        _xll.qDateNext($BN462,BZ$17,$CG$16,TRUE,Currency2))</f>
        <v>0</v>
      </c>
      <c r="CA462" s="882">
        <f>IF($BN463=0,0,        _xll.qDateNext($BN462,CA$17,$CG$16,TRUE,Currency2))</f>
        <v>0</v>
      </c>
      <c r="CB462" s="882">
        <f>IF($BN463=0,0,        _xll.qDateNext($BN462,CB$17,$CG$16,TRUE,Currency2))</f>
        <v>0</v>
      </c>
      <c r="CC462" s="882">
        <f>IF($BN463=0,0,        _xll.qDateNext($BN462,CC$17,$CG$16,TRUE,Currency2))</f>
        <v>0</v>
      </c>
      <c r="CD462" s="882">
        <f>IF($BN463=0,0,        _xll.qDateNext($BN462,CD$17,$CG$16,TRUE,Currency2))</f>
        <v>0</v>
      </c>
      <c r="CE462" s="882">
        <f>IF($BN463=0,0,        _xll.qDateNext($BN462,CE$17,$CG$16,TRUE,Currency2))</f>
        <v>0</v>
      </c>
      <c r="CF462" s="882">
        <f>IF($BN463=0,0,        _xll.qDateNext($BN462,CF$17,$CG$16,TRUE,Currency2))</f>
        <v>0</v>
      </c>
      <c r="CG462" s="882">
        <f>IF($BN463=0,0,        _xll.qDateNext($BN462,CG$17,$CG$16,TRUE,Currency2))</f>
        <v>0</v>
      </c>
      <c r="CH462" s="886">
        <v>0</v>
      </c>
      <c r="CI462" s="886">
        <v>0</v>
      </c>
      <c r="CJ462" s="886">
        <v>0</v>
      </c>
      <c r="CK462" s="886">
        <v>0</v>
      </c>
      <c r="CL462" s="886">
        <f t="shared" si="221"/>
        <v>0</v>
      </c>
      <c r="CM462" s="886">
        <f t="shared" si="222"/>
        <v>0</v>
      </c>
      <c r="CN462" s="886">
        <v>0</v>
      </c>
      <c r="CO462" s="886">
        <v>0</v>
      </c>
      <c r="CP462" s="648">
        <f t="shared" si="199"/>
        <v>0</v>
      </c>
      <c r="CQ462" s="648">
        <f t="shared" si="200"/>
        <v>0</v>
      </c>
      <c r="CR462" s="648">
        <f t="shared" si="201"/>
        <v>0</v>
      </c>
      <c r="CS462" s="648">
        <f t="shared" si="202"/>
        <v>0</v>
      </c>
      <c r="CT462" s="648">
        <f t="shared" si="203"/>
        <v>0</v>
      </c>
      <c r="CU462" s="648">
        <f t="shared" si="204"/>
        <v>0</v>
      </c>
      <c r="CV462" s="648">
        <f t="shared" si="205"/>
        <v>0</v>
      </c>
      <c r="CW462" s="648">
        <f t="shared" si="206"/>
        <v>0</v>
      </c>
      <c r="CX462" s="634">
        <v>0</v>
      </c>
      <c r="CY462" s="616"/>
      <c r="CZ462" s="619">
        <f>IF(BN463=0,0,             IF(ISNUMBER(CY462),CY462,             IF(ISTEXT(CY462),INDEX(CP462:CW462,MATCH(CY462,$CP$17:$CW$17,0)),           IF(CX462="INT",_xll.qInterp(BN463,BZ462:CG462,CP462:CW462),       INDEX(CP462:CW462,MATCH(CX462,$CP$17:$CW$17,0))))))</f>
        <v>0</v>
      </c>
      <c r="DA462" s="755">
        <f t="shared" si="207"/>
        <v>0</v>
      </c>
      <c r="DB462" s="387">
        <f t="shared" si="208"/>
        <v>0</v>
      </c>
      <c r="DC462" s="268">
        <f>IF($BN463=0,0,         IF(LEFT(DCC_Leg2_Fixed,2)="1/",uEvaluate(DCC_Leg2_Fixed),         _xll.qDateYears($BN462,$BN463,DCC_Leg2_Fixed)))</f>
        <v>0</v>
      </c>
      <c r="DD462" s="268">
        <f>IF($BN463,_xll.qDateYears($BN462,$BN463,DCC_Leg2_Float),0)</f>
        <v>0</v>
      </c>
      <c r="DF462" s="332">
        <f t="shared" si="223"/>
        <v>0</v>
      </c>
      <c r="DG462" s="357">
        <f t="shared" si="224"/>
        <v>0</v>
      </c>
      <c r="DH462" s="527"/>
      <c r="DJ462" s="324">
        <f t="shared" si="226"/>
        <v>0</v>
      </c>
      <c r="DK462" s="529"/>
      <c r="DL462" s="338"/>
    </row>
    <row r="463" spans="15:116">
      <c r="O463" s="121">
        <v>0</v>
      </c>
      <c r="P463" s="755">
        <f t="shared" si="195"/>
        <v>0</v>
      </c>
      <c r="Q463" s="125">
        <v>0</v>
      </c>
      <c r="R463" s="890">
        <f>IF(O464=0,0,         IF(OR(Currency1="AUD",Currency1="NZD",Currency1="GBP"),O463,   _xll.qDateNext(O463,"-2b",,,IF(Currency1="EUR","TGT","LON"))))</f>
        <v>0</v>
      </c>
      <c r="S463" s="879" t="str">
        <v/>
      </c>
      <c r="T463" s="879" t="str">
        <v/>
      </c>
      <c r="U463" s="879" t="str">
        <v/>
      </c>
      <c r="V463" s="879" t="str">
        <v/>
      </c>
      <c r="W463" s="879" t="str">
        <v/>
      </c>
      <c r="X463" s="879" t="str">
        <v/>
      </c>
      <c r="Y463" s="879" t="str">
        <v/>
      </c>
      <c r="Z463" s="879" t="str">
        <v/>
      </c>
      <c r="AA463" s="882">
        <f>IF($O464=0,0,        _xll.qDateNext($O463,AA$17,$AH$16,TRUE,Currency1))</f>
        <v>0</v>
      </c>
      <c r="AB463" s="882">
        <f>IF($O464=0,0,        _xll.qDateNext($O463,AB$17,$AH$16,TRUE,Currency1))</f>
        <v>0</v>
      </c>
      <c r="AC463" s="882">
        <f>IF($O464=0,0,        _xll.qDateNext($O463,AC$17,$AH$16,TRUE,Currency1))</f>
        <v>0</v>
      </c>
      <c r="AD463" s="882">
        <f>IF($O464=0,0,        _xll.qDateNext($O463,AD$17,$AH$16,TRUE,Currency1))</f>
        <v>0</v>
      </c>
      <c r="AE463" s="882">
        <f>IF($O464=0,0,        _xll.qDateNext($O463,AE$17,$AH$16,TRUE,Currency1))</f>
        <v>0</v>
      </c>
      <c r="AF463" s="882">
        <f>IF($O464=0,0,        _xll.qDateNext($O463,AF$17,$AH$16,TRUE,Currency1))</f>
        <v>0</v>
      </c>
      <c r="AG463" s="882">
        <f>IF($O464=0,0,        _xll.qDateNext($O463,AG$17,$AH$16,TRUE,Currency1))</f>
        <v>0</v>
      </c>
      <c r="AH463" s="882">
        <f>IF($O464=0,0,        _xll.qDateNext($O463,AH$17,$AH$16,TRUE,Currency1))</f>
        <v>0</v>
      </c>
      <c r="AI463" s="886">
        <f>IF($O464=0,0,           IF(FRM,_xll.qGetFwdRate(AI$14,$O463,AA463,"T",DCC_Leg1_Float),_xll.qGetFwdRate(AI$14,$O463,$O464,"T",DCC_Leg1_Float)))</f>
        <v>0</v>
      </c>
      <c r="AJ463" s="886">
        <f>IF($O464=0,0,           IF(FRM,_xll.qGetFwdRate(AJ$14,$O463,AB463,"T",DCC_Leg1_Float),_xll.qGetFwdRate(AJ$14,$O463,$O464,"T",DCC_Leg1_Float)))</f>
        <v>0</v>
      </c>
      <c r="AK463" s="886">
        <f t="shared" si="196"/>
        <v>0</v>
      </c>
      <c r="AL463" s="886">
        <f>IF($O464=0,0,           IF(FRM,_xll.qGetFwdRate(AL$14,$O463,AD463,"T",DCC_Leg1_Float),_xll.qGetFwdRate(AL$14,$O463,$O464,"T",DCC_Leg1_Float)))</f>
        <v>0</v>
      </c>
      <c r="AM463" s="886">
        <f t="shared" si="209"/>
        <v>0</v>
      </c>
      <c r="AN463" s="886">
        <f t="shared" si="210"/>
        <v>0</v>
      </c>
      <c r="AO463" s="886">
        <f>IF($O464=0,0,           IF(FRM,_xll.qGetFwdRate(AO$14,$O463,AG463,"T",DCC_Leg1_Float),_xll.qGetFwdRate(AO$14,$O463,$O464,"T",DCC_Leg1_Float)))</f>
        <v>0</v>
      </c>
      <c r="AP463" s="886">
        <f>IF($O464=0,0,           IF(FRM,_xll.qGetFwdRate(AP$14,$O463,AH463,"T",DCC_Leg1_Float),_xll.qGetFwdRate(AP$14,$O463,$O464,"T",DCC_Leg1_Float)))</f>
        <v>0</v>
      </c>
      <c r="AQ463" s="648">
        <f t="shared" si="211"/>
        <v>0</v>
      </c>
      <c r="AR463" s="648">
        <f t="shared" si="212"/>
        <v>0</v>
      </c>
      <c r="AS463" s="648">
        <f t="shared" si="213"/>
        <v>0</v>
      </c>
      <c r="AT463" s="648">
        <f t="shared" si="214"/>
        <v>0</v>
      </c>
      <c r="AU463" s="648">
        <f t="shared" si="215"/>
        <v>0</v>
      </c>
      <c r="AV463" s="648">
        <f t="shared" si="216"/>
        <v>0</v>
      </c>
      <c r="AW463" s="648">
        <f t="shared" si="217"/>
        <v>0</v>
      </c>
      <c r="AX463" s="648">
        <f t="shared" si="218"/>
        <v>0</v>
      </c>
      <c r="AY463" s="634">
        <v>0</v>
      </c>
      <c r="AZ463" s="616"/>
      <c r="BA463" s="619">
        <f>IF(O464=0,0,             IF(ISNUMBER(AZ463),AZ463,             IF(ISTEXT(AZ463),INDEX(AQ463:AX463,MATCH(AZ463,$AQ$17:$AX$17,0)),           IF(AY463="INT",_xll.qInterp(O464,AA463:AH463,AQ463:AX463),       INDEX(AQ463:AX463,MATCH(AY463,$AQ$17:$AX$17,0))))))</f>
        <v>0</v>
      </c>
      <c r="BB463" s="674">
        <v>100</v>
      </c>
      <c r="BC463" s="666">
        <f t="shared" si="197"/>
        <v>0</v>
      </c>
      <c r="BD463" s="268">
        <f>IF($O464=0,0,                IF(LEFT(DCC_Leg1_Fixed,2)="1/",uEvaluate(DCC_Leg1_Fixed),        _xll.qDateYears($O463,$O464,DCC_Leg1_Fixed)))</f>
        <v>0</v>
      </c>
      <c r="BE463" s="268">
        <f>IF($O464,_xll.qDateYears($O463,$O464,DCC_Leg1_Float),0)</f>
        <v>0</v>
      </c>
      <c r="BG463" s="332">
        <f t="shared" si="219"/>
        <v>0</v>
      </c>
      <c r="BH463" s="357">
        <f t="shared" si="220"/>
        <v>0</v>
      </c>
      <c r="BI463" s="527"/>
      <c r="BK463" s="324">
        <f t="shared" si="225"/>
        <v>0</v>
      </c>
      <c r="BM463" s="338"/>
      <c r="BN463" s="121">
        <v>0</v>
      </c>
      <c r="BO463" s="755">
        <f t="shared" si="198"/>
        <v>0</v>
      </c>
      <c r="BP463" s="339">
        <v>0</v>
      </c>
      <c r="BQ463" s="890">
        <f>IF(BN464=0,0,         IF(OR(Currency2="AUD",Currency1="NZD",Currency2="GBP"),BN463,   _xll.qDateNext(BN463,"-2b",,,IF(Currency2="EUR","TGT","LON"))))</f>
        <v>0</v>
      </c>
      <c r="BR463" s="879" t="str">
        <v/>
      </c>
      <c r="BS463" s="879" t="str">
        <v/>
      </c>
      <c r="BT463" s="879" t="str">
        <v/>
      </c>
      <c r="BU463" s="879" t="str">
        <v/>
      </c>
      <c r="BV463" s="879" t="str">
        <v/>
      </c>
      <c r="BW463" s="879" t="str">
        <v/>
      </c>
      <c r="BX463" s="879" t="str">
        <v/>
      </c>
      <c r="BY463" s="879" t="str">
        <v/>
      </c>
      <c r="BZ463" s="882">
        <f>IF($BN464=0,0,        _xll.qDateNext($BN463,BZ$17,$CG$16,TRUE,Currency2))</f>
        <v>0</v>
      </c>
      <c r="CA463" s="882">
        <f>IF($BN464=0,0,        _xll.qDateNext($BN463,CA$17,$CG$16,TRUE,Currency2))</f>
        <v>0</v>
      </c>
      <c r="CB463" s="882">
        <f>IF($BN464=0,0,        _xll.qDateNext($BN463,CB$17,$CG$16,TRUE,Currency2))</f>
        <v>0</v>
      </c>
      <c r="CC463" s="882">
        <f>IF($BN464=0,0,        _xll.qDateNext($BN463,CC$17,$CG$16,TRUE,Currency2))</f>
        <v>0</v>
      </c>
      <c r="CD463" s="882">
        <f>IF($BN464=0,0,        _xll.qDateNext($BN463,CD$17,$CG$16,TRUE,Currency2))</f>
        <v>0</v>
      </c>
      <c r="CE463" s="882">
        <f>IF($BN464=0,0,        _xll.qDateNext($BN463,CE$17,$CG$16,TRUE,Currency2))</f>
        <v>0</v>
      </c>
      <c r="CF463" s="882">
        <f>IF($BN464=0,0,        _xll.qDateNext($BN463,CF$17,$CG$16,TRUE,Currency2))</f>
        <v>0</v>
      </c>
      <c r="CG463" s="882">
        <f>IF($BN464=0,0,        _xll.qDateNext($BN463,CG$17,$CG$16,TRUE,Currency2))</f>
        <v>0</v>
      </c>
      <c r="CH463" s="886">
        <v>0</v>
      </c>
      <c r="CI463" s="886">
        <v>0</v>
      </c>
      <c r="CJ463" s="886">
        <v>0</v>
      </c>
      <c r="CK463" s="886">
        <v>0</v>
      </c>
      <c r="CL463" s="886">
        <f t="shared" si="221"/>
        <v>0</v>
      </c>
      <c r="CM463" s="886">
        <f t="shared" si="222"/>
        <v>0</v>
      </c>
      <c r="CN463" s="886">
        <v>0</v>
      </c>
      <c r="CO463" s="886">
        <v>0</v>
      </c>
      <c r="CP463" s="648">
        <f t="shared" si="199"/>
        <v>0</v>
      </c>
      <c r="CQ463" s="648">
        <f t="shared" si="200"/>
        <v>0</v>
      </c>
      <c r="CR463" s="648">
        <f t="shared" si="201"/>
        <v>0</v>
      </c>
      <c r="CS463" s="648">
        <f t="shared" si="202"/>
        <v>0</v>
      </c>
      <c r="CT463" s="648">
        <f t="shared" si="203"/>
        <v>0</v>
      </c>
      <c r="CU463" s="648">
        <f t="shared" si="204"/>
        <v>0</v>
      </c>
      <c r="CV463" s="648">
        <f t="shared" si="205"/>
        <v>0</v>
      </c>
      <c r="CW463" s="648">
        <f t="shared" si="206"/>
        <v>0</v>
      </c>
      <c r="CX463" s="634">
        <v>0</v>
      </c>
      <c r="CY463" s="616"/>
      <c r="CZ463" s="619">
        <f>IF(BN464=0,0,             IF(ISNUMBER(CY463),CY463,             IF(ISTEXT(CY463),INDEX(CP463:CW463,MATCH(CY463,$CP$17:$CW$17,0)),           IF(CX463="INT",_xll.qInterp(BN464,BZ463:CG463,CP463:CW463),       INDEX(CP463:CW463,MATCH(CX463,$CP$17:$CW$17,0))))))</f>
        <v>0</v>
      </c>
      <c r="DA463" s="755">
        <f t="shared" si="207"/>
        <v>0</v>
      </c>
      <c r="DB463" s="387">
        <f t="shared" si="208"/>
        <v>0</v>
      </c>
      <c r="DC463" s="268">
        <f>IF($BN464=0,0,         IF(LEFT(DCC_Leg2_Fixed,2)="1/",uEvaluate(DCC_Leg2_Fixed),         _xll.qDateYears($BN463,$BN464,DCC_Leg2_Fixed)))</f>
        <v>0</v>
      </c>
      <c r="DD463" s="268">
        <f>IF($BN464,_xll.qDateYears($BN463,$BN464,DCC_Leg2_Float),0)</f>
        <v>0</v>
      </c>
      <c r="DF463" s="332">
        <f t="shared" si="223"/>
        <v>0</v>
      </c>
      <c r="DG463" s="357">
        <f t="shared" si="224"/>
        <v>0</v>
      </c>
      <c r="DH463" s="527"/>
      <c r="DJ463" s="324">
        <f t="shared" si="226"/>
        <v>0</v>
      </c>
      <c r="DK463" s="529"/>
      <c r="DL463" s="338"/>
    </row>
    <row r="464" spans="15:116">
      <c r="O464" s="121">
        <v>0</v>
      </c>
      <c r="P464" s="755">
        <f t="shared" si="195"/>
        <v>0</v>
      </c>
      <c r="Q464" s="125">
        <v>0</v>
      </c>
      <c r="R464" s="890">
        <f>IF(O465=0,0,         IF(OR(Currency1="AUD",Currency1="NZD",Currency1="GBP"),O464,   _xll.qDateNext(O464,"-2b",,,IF(Currency1="EUR","TGT","LON"))))</f>
        <v>0</v>
      </c>
      <c r="S464" s="879" t="str">
        <v/>
      </c>
      <c r="T464" s="879" t="str">
        <v/>
      </c>
      <c r="U464" s="879" t="str">
        <v/>
      </c>
      <c r="V464" s="879" t="str">
        <v/>
      </c>
      <c r="W464" s="879" t="str">
        <v/>
      </c>
      <c r="X464" s="879" t="str">
        <v/>
      </c>
      <c r="Y464" s="879" t="str">
        <v/>
      </c>
      <c r="Z464" s="879" t="str">
        <v/>
      </c>
      <c r="AA464" s="882">
        <f>IF($O465=0,0,        _xll.qDateNext($O464,AA$17,$AH$16,TRUE,Currency1))</f>
        <v>0</v>
      </c>
      <c r="AB464" s="882">
        <f>IF($O465=0,0,        _xll.qDateNext($O464,AB$17,$AH$16,TRUE,Currency1))</f>
        <v>0</v>
      </c>
      <c r="AC464" s="882">
        <f>IF($O465=0,0,        _xll.qDateNext($O464,AC$17,$AH$16,TRUE,Currency1))</f>
        <v>0</v>
      </c>
      <c r="AD464" s="882">
        <f>IF($O465=0,0,        _xll.qDateNext($O464,AD$17,$AH$16,TRUE,Currency1))</f>
        <v>0</v>
      </c>
      <c r="AE464" s="882">
        <f>IF($O465=0,0,        _xll.qDateNext($O464,AE$17,$AH$16,TRUE,Currency1))</f>
        <v>0</v>
      </c>
      <c r="AF464" s="882">
        <f>IF($O465=0,0,        _xll.qDateNext($O464,AF$17,$AH$16,TRUE,Currency1))</f>
        <v>0</v>
      </c>
      <c r="AG464" s="882">
        <f>IF($O465=0,0,        _xll.qDateNext($O464,AG$17,$AH$16,TRUE,Currency1))</f>
        <v>0</v>
      </c>
      <c r="AH464" s="882">
        <f>IF($O465=0,0,        _xll.qDateNext($O464,AH$17,$AH$16,TRUE,Currency1))</f>
        <v>0</v>
      </c>
      <c r="AI464" s="886">
        <f>IF($O465=0,0,           IF(FRM,_xll.qGetFwdRate(AI$14,$O464,AA464,"T",DCC_Leg1_Float),_xll.qGetFwdRate(AI$14,$O464,$O465,"T",DCC_Leg1_Float)))</f>
        <v>0</v>
      </c>
      <c r="AJ464" s="886">
        <f>IF($O465=0,0,           IF(FRM,_xll.qGetFwdRate(AJ$14,$O464,AB464,"T",DCC_Leg1_Float),_xll.qGetFwdRate(AJ$14,$O464,$O465,"T",DCC_Leg1_Float)))</f>
        <v>0</v>
      </c>
      <c r="AK464" s="886">
        <f t="shared" si="196"/>
        <v>0</v>
      </c>
      <c r="AL464" s="886">
        <f>IF($O465=0,0,           IF(FRM,_xll.qGetFwdRate(AL$14,$O464,AD464,"T",DCC_Leg1_Float),_xll.qGetFwdRate(AL$14,$O464,$O465,"T",DCC_Leg1_Float)))</f>
        <v>0</v>
      </c>
      <c r="AM464" s="886">
        <f t="shared" si="209"/>
        <v>0</v>
      </c>
      <c r="AN464" s="886">
        <f t="shared" si="210"/>
        <v>0</v>
      </c>
      <c r="AO464" s="886">
        <f>IF($O465=0,0,           IF(FRM,_xll.qGetFwdRate(AO$14,$O464,AG464,"T",DCC_Leg1_Float),_xll.qGetFwdRate(AO$14,$O464,$O465,"T",DCC_Leg1_Float)))</f>
        <v>0</v>
      </c>
      <c r="AP464" s="886">
        <f>IF($O465=0,0,           IF(FRM,_xll.qGetFwdRate(AP$14,$O464,AH464,"T",DCC_Leg1_Float),_xll.qGetFwdRate(AP$14,$O464,$O465,"T",DCC_Leg1_Float)))</f>
        <v>0</v>
      </c>
      <c r="AQ464" s="648">
        <f t="shared" si="211"/>
        <v>0</v>
      </c>
      <c r="AR464" s="648">
        <f t="shared" si="212"/>
        <v>0</v>
      </c>
      <c r="AS464" s="648">
        <f t="shared" si="213"/>
        <v>0</v>
      </c>
      <c r="AT464" s="648">
        <f t="shared" si="214"/>
        <v>0</v>
      </c>
      <c r="AU464" s="648">
        <f t="shared" si="215"/>
        <v>0</v>
      </c>
      <c r="AV464" s="648">
        <f t="shared" si="216"/>
        <v>0</v>
      </c>
      <c r="AW464" s="648">
        <f t="shared" si="217"/>
        <v>0</v>
      </c>
      <c r="AX464" s="648">
        <f t="shared" si="218"/>
        <v>0</v>
      </c>
      <c r="AY464" s="634">
        <v>0</v>
      </c>
      <c r="AZ464" s="616"/>
      <c r="BA464" s="619">
        <f>IF(O465=0,0,             IF(ISNUMBER(AZ464),AZ464,             IF(ISTEXT(AZ464),INDEX(AQ464:AX464,MATCH(AZ464,$AQ$17:$AX$17,0)),           IF(AY464="INT",_xll.qInterp(O465,AA464:AH464,AQ464:AX464),       INDEX(AQ464:AX464,MATCH(AY464,$AQ$17:$AX$17,0))))))</f>
        <v>0</v>
      </c>
      <c r="BB464" s="674">
        <v>100</v>
      </c>
      <c r="BC464" s="666">
        <f t="shared" si="197"/>
        <v>0</v>
      </c>
      <c r="BD464" s="268">
        <f>IF($O465=0,0,                IF(LEFT(DCC_Leg1_Fixed,2)="1/",uEvaluate(DCC_Leg1_Fixed),        _xll.qDateYears($O464,$O465,DCC_Leg1_Fixed)))</f>
        <v>0</v>
      </c>
      <c r="BE464" s="268">
        <f>IF($O465,_xll.qDateYears($O464,$O465,DCC_Leg1_Float),0)</f>
        <v>0</v>
      </c>
      <c r="BG464" s="332">
        <f t="shared" si="219"/>
        <v>0</v>
      </c>
      <c r="BH464" s="357">
        <f t="shared" si="220"/>
        <v>0</v>
      </c>
      <c r="BI464" s="527"/>
      <c r="BK464" s="324">
        <f t="shared" si="225"/>
        <v>0</v>
      </c>
      <c r="BM464" s="338"/>
      <c r="BN464" s="121">
        <v>0</v>
      </c>
      <c r="BO464" s="755">
        <f t="shared" si="198"/>
        <v>0</v>
      </c>
      <c r="BP464" s="339">
        <v>0</v>
      </c>
      <c r="BQ464" s="890">
        <f>IF(BN465=0,0,         IF(OR(Currency2="AUD",Currency1="NZD",Currency2="GBP"),BN464,   _xll.qDateNext(BN464,"-2b",,,IF(Currency2="EUR","TGT","LON"))))</f>
        <v>0</v>
      </c>
      <c r="BR464" s="879" t="str">
        <v/>
      </c>
      <c r="BS464" s="879" t="str">
        <v/>
      </c>
      <c r="BT464" s="879" t="str">
        <v/>
      </c>
      <c r="BU464" s="879" t="str">
        <v/>
      </c>
      <c r="BV464" s="879" t="str">
        <v/>
      </c>
      <c r="BW464" s="879" t="str">
        <v/>
      </c>
      <c r="BX464" s="879" t="str">
        <v/>
      </c>
      <c r="BY464" s="879" t="str">
        <v/>
      </c>
      <c r="BZ464" s="882">
        <f>IF($BN465=0,0,        _xll.qDateNext($BN464,BZ$17,$CG$16,TRUE,Currency2))</f>
        <v>0</v>
      </c>
      <c r="CA464" s="882">
        <f>IF($BN465=0,0,        _xll.qDateNext($BN464,CA$17,$CG$16,TRUE,Currency2))</f>
        <v>0</v>
      </c>
      <c r="CB464" s="882">
        <f>IF($BN465=0,0,        _xll.qDateNext($BN464,CB$17,$CG$16,TRUE,Currency2))</f>
        <v>0</v>
      </c>
      <c r="CC464" s="882">
        <f>IF($BN465=0,0,        _xll.qDateNext($BN464,CC$17,$CG$16,TRUE,Currency2))</f>
        <v>0</v>
      </c>
      <c r="CD464" s="882">
        <f>IF($BN465=0,0,        _xll.qDateNext($BN464,CD$17,$CG$16,TRUE,Currency2))</f>
        <v>0</v>
      </c>
      <c r="CE464" s="882">
        <f>IF($BN465=0,0,        _xll.qDateNext($BN464,CE$17,$CG$16,TRUE,Currency2))</f>
        <v>0</v>
      </c>
      <c r="CF464" s="882">
        <f>IF($BN465=0,0,        _xll.qDateNext($BN464,CF$17,$CG$16,TRUE,Currency2))</f>
        <v>0</v>
      </c>
      <c r="CG464" s="882">
        <f>IF($BN465=0,0,        _xll.qDateNext($BN464,CG$17,$CG$16,TRUE,Currency2))</f>
        <v>0</v>
      </c>
      <c r="CH464" s="886">
        <v>0</v>
      </c>
      <c r="CI464" s="886">
        <v>0</v>
      </c>
      <c r="CJ464" s="886">
        <v>0</v>
      </c>
      <c r="CK464" s="886">
        <v>0</v>
      </c>
      <c r="CL464" s="886">
        <f t="shared" si="221"/>
        <v>0</v>
      </c>
      <c r="CM464" s="886">
        <f t="shared" si="222"/>
        <v>0</v>
      </c>
      <c r="CN464" s="886">
        <v>0</v>
      </c>
      <c r="CO464" s="886">
        <v>0</v>
      </c>
      <c r="CP464" s="648">
        <f t="shared" si="199"/>
        <v>0</v>
      </c>
      <c r="CQ464" s="648">
        <f t="shared" si="200"/>
        <v>0</v>
      </c>
      <c r="CR464" s="648">
        <f t="shared" si="201"/>
        <v>0</v>
      </c>
      <c r="CS464" s="648">
        <f t="shared" si="202"/>
        <v>0</v>
      </c>
      <c r="CT464" s="648">
        <f t="shared" si="203"/>
        <v>0</v>
      </c>
      <c r="CU464" s="648">
        <f t="shared" si="204"/>
        <v>0</v>
      </c>
      <c r="CV464" s="648">
        <f t="shared" si="205"/>
        <v>0</v>
      </c>
      <c r="CW464" s="648">
        <f t="shared" si="206"/>
        <v>0</v>
      </c>
      <c r="CX464" s="634">
        <v>0</v>
      </c>
      <c r="CY464" s="616"/>
      <c r="CZ464" s="619">
        <f>IF(BN465=0,0,             IF(ISNUMBER(CY464),CY464,             IF(ISTEXT(CY464),INDEX(CP464:CW464,MATCH(CY464,$CP$17:$CW$17,0)),           IF(CX464="INT",_xll.qInterp(BN465,BZ464:CG464,CP464:CW464),       INDEX(CP464:CW464,MATCH(CX464,$CP$17:$CW$17,0))))))</f>
        <v>0</v>
      </c>
      <c r="DA464" s="755">
        <f t="shared" si="207"/>
        <v>0</v>
      </c>
      <c r="DB464" s="387">
        <f t="shared" si="208"/>
        <v>0</v>
      </c>
      <c r="DC464" s="268">
        <f>IF($BN465=0,0,         IF(LEFT(DCC_Leg2_Fixed,2)="1/",uEvaluate(DCC_Leg2_Fixed),         _xll.qDateYears($BN464,$BN465,DCC_Leg2_Fixed)))</f>
        <v>0</v>
      </c>
      <c r="DD464" s="268">
        <f>IF($BN465,_xll.qDateYears($BN464,$BN465,DCC_Leg2_Float),0)</f>
        <v>0</v>
      </c>
      <c r="DF464" s="332">
        <f t="shared" si="223"/>
        <v>0</v>
      </c>
      <c r="DG464" s="357">
        <f t="shared" si="224"/>
        <v>0</v>
      </c>
      <c r="DH464" s="527"/>
      <c r="DJ464" s="324">
        <f t="shared" si="226"/>
        <v>0</v>
      </c>
      <c r="DK464" s="529"/>
      <c r="DL464" s="338"/>
    </row>
    <row r="465" spans="15:116">
      <c r="O465" s="121">
        <v>0</v>
      </c>
      <c r="P465" s="755">
        <f t="shared" si="195"/>
        <v>0</v>
      </c>
      <c r="Q465" s="125">
        <v>0</v>
      </c>
      <c r="R465" s="890">
        <f>IF(O466=0,0,         IF(OR(Currency1="AUD",Currency1="NZD",Currency1="GBP"),O465,   _xll.qDateNext(O465,"-2b",,,IF(Currency1="EUR","TGT","LON"))))</f>
        <v>0</v>
      </c>
      <c r="S465" s="879" t="str">
        <v/>
      </c>
      <c r="T465" s="879" t="str">
        <v/>
      </c>
      <c r="U465" s="879" t="str">
        <v/>
      </c>
      <c r="V465" s="879" t="str">
        <v/>
      </c>
      <c r="W465" s="879" t="str">
        <v/>
      </c>
      <c r="X465" s="879" t="str">
        <v/>
      </c>
      <c r="Y465" s="879" t="str">
        <v/>
      </c>
      <c r="Z465" s="879" t="str">
        <v/>
      </c>
      <c r="AA465" s="882">
        <f>IF($O466=0,0,        _xll.qDateNext($O465,AA$17,$AH$16,TRUE,Currency1))</f>
        <v>0</v>
      </c>
      <c r="AB465" s="882">
        <f>IF($O466=0,0,        _xll.qDateNext($O465,AB$17,$AH$16,TRUE,Currency1))</f>
        <v>0</v>
      </c>
      <c r="AC465" s="882">
        <f>IF($O466=0,0,        _xll.qDateNext($O465,AC$17,$AH$16,TRUE,Currency1))</f>
        <v>0</v>
      </c>
      <c r="AD465" s="882">
        <f>IF($O466=0,0,        _xll.qDateNext($O465,AD$17,$AH$16,TRUE,Currency1))</f>
        <v>0</v>
      </c>
      <c r="AE465" s="882">
        <f>IF($O466=0,0,        _xll.qDateNext($O465,AE$17,$AH$16,TRUE,Currency1))</f>
        <v>0</v>
      </c>
      <c r="AF465" s="882">
        <f>IF($O466=0,0,        _xll.qDateNext($O465,AF$17,$AH$16,TRUE,Currency1))</f>
        <v>0</v>
      </c>
      <c r="AG465" s="882">
        <f>IF($O466=0,0,        _xll.qDateNext($O465,AG$17,$AH$16,TRUE,Currency1))</f>
        <v>0</v>
      </c>
      <c r="AH465" s="882">
        <f>IF($O466=0,0,        _xll.qDateNext($O465,AH$17,$AH$16,TRUE,Currency1))</f>
        <v>0</v>
      </c>
      <c r="AI465" s="886">
        <f>IF($O466=0,0,           IF(FRM,_xll.qGetFwdRate(AI$14,$O465,AA465,"T",DCC_Leg1_Float),_xll.qGetFwdRate(AI$14,$O465,$O466,"T",DCC_Leg1_Float)))</f>
        <v>0</v>
      </c>
      <c r="AJ465" s="886">
        <f>IF($O466=0,0,           IF(FRM,_xll.qGetFwdRate(AJ$14,$O465,AB465,"T",DCC_Leg1_Float),_xll.qGetFwdRate(AJ$14,$O465,$O466,"T",DCC_Leg1_Float)))</f>
        <v>0</v>
      </c>
      <c r="AK465" s="886">
        <f t="shared" si="196"/>
        <v>0</v>
      </c>
      <c r="AL465" s="886">
        <f>IF($O466=0,0,           IF(FRM,_xll.qGetFwdRate(AL$14,$O465,AD465,"T",DCC_Leg1_Float),_xll.qGetFwdRate(AL$14,$O465,$O466,"T",DCC_Leg1_Float)))</f>
        <v>0</v>
      </c>
      <c r="AM465" s="886">
        <f t="shared" si="209"/>
        <v>0</v>
      </c>
      <c r="AN465" s="886">
        <f t="shared" si="210"/>
        <v>0</v>
      </c>
      <c r="AO465" s="886">
        <f>IF($O466=0,0,           IF(FRM,_xll.qGetFwdRate(AO$14,$O465,AG465,"T",DCC_Leg1_Float),_xll.qGetFwdRate(AO$14,$O465,$O466,"T",DCC_Leg1_Float)))</f>
        <v>0</v>
      </c>
      <c r="AP465" s="886">
        <f>IF($O466=0,0,           IF(FRM,_xll.qGetFwdRate(AP$14,$O465,AH465,"T",DCC_Leg1_Float),_xll.qGetFwdRate(AP$14,$O465,$O466,"T",DCC_Leg1_Float)))</f>
        <v>0</v>
      </c>
      <c r="AQ465" s="648">
        <f t="shared" si="211"/>
        <v>0</v>
      </c>
      <c r="AR465" s="648">
        <f t="shared" si="212"/>
        <v>0</v>
      </c>
      <c r="AS465" s="648">
        <f t="shared" si="213"/>
        <v>0</v>
      </c>
      <c r="AT465" s="648">
        <f t="shared" si="214"/>
        <v>0</v>
      </c>
      <c r="AU465" s="648">
        <f t="shared" si="215"/>
        <v>0</v>
      </c>
      <c r="AV465" s="648">
        <f t="shared" si="216"/>
        <v>0</v>
      </c>
      <c r="AW465" s="648">
        <f t="shared" si="217"/>
        <v>0</v>
      </c>
      <c r="AX465" s="648">
        <f t="shared" si="218"/>
        <v>0</v>
      </c>
      <c r="AY465" s="634">
        <v>0</v>
      </c>
      <c r="AZ465" s="616"/>
      <c r="BA465" s="619">
        <f>IF(O466=0,0,             IF(ISNUMBER(AZ465),AZ465,             IF(ISTEXT(AZ465),INDEX(AQ465:AX465,MATCH(AZ465,$AQ$17:$AX$17,0)),           IF(AY465="INT",_xll.qInterp(O466,AA465:AH465,AQ465:AX465),       INDEX(AQ465:AX465,MATCH(AY465,$AQ$17:$AX$17,0))))))</f>
        <v>0</v>
      </c>
      <c r="BB465" s="674">
        <v>100</v>
      </c>
      <c r="BC465" s="666">
        <f t="shared" si="197"/>
        <v>0</v>
      </c>
      <c r="BD465" s="268">
        <f>IF($O466=0,0,                IF(LEFT(DCC_Leg1_Fixed,2)="1/",uEvaluate(DCC_Leg1_Fixed),        _xll.qDateYears($O465,$O466,DCC_Leg1_Fixed)))</f>
        <v>0</v>
      </c>
      <c r="BE465" s="268">
        <f>IF($O466,_xll.qDateYears($O465,$O466,DCC_Leg1_Float),0)</f>
        <v>0</v>
      </c>
      <c r="BG465" s="332">
        <f t="shared" si="219"/>
        <v>0</v>
      </c>
      <c r="BH465" s="357">
        <f t="shared" si="220"/>
        <v>0</v>
      </c>
      <c r="BI465" s="527"/>
      <c r="BK465" s="324">
        <f t="shared" si="225"/>
        <v>0</v>
      </c>
      <c r="BM465" s="338"/>
      <c r="BN465" s="121">
        <v>0</v>
      </c>
      <c r="BO465" s="755">
        <f t="shared" si="198"/>
        <v>0</v>
      </c>
      <c r="BP465" s="339">
        <v>0</v>
      </c>
      <c r="BQ465" s="890">
        <f>IF(BN466=0,0,         IF(OR(Currency2="AUD",Currency1="NZD",Currency2="GBP"),BN465,   _xll.qDateNext(BN465,"-2b",,,IF(Currency2="EUR","TGT","LON"))))</f>
        <v>0</v>
      </c>
      <c r="BR465" s="879" t="str">
        <v/>
      </c>
      <c r="BS465" s="879" t="str">
        <v/>
      </c>
      <c r="BT465" s="879" t="str">
        <v/>
      </c>
      <c r="BU465" s="879" t="str">
        <v/>
      </c>
      <c r="BV465" s="879" t="str">
        <v/>
      </c>
      <c r="BW465" s="879" t="str">
        <v/>
      </c>
      <c r="BX465" s="879" t="str">
        <v/>
      </c>
      <c r="BY465" s="879" t="str">
        <v/>
      </c>
      <c r="BZ465" s="882">
        <f>IF($BN466=0,0,        _xll.qDateNext($BN465,BZ$17,$CG$16,TRUE,Currency2))</f>
        <v>0</v>
      </c>
      <c r="CA465" s="882">
        <f>IF($BN466=0,0,        _xll.qDateNext($BN465,CA$17,$CG$16,TRUE,Currency2))</f>
        <v>0</v>
      </c>
      <c r="CB465" s="882">
        <f>IF($BN466=0,0,        _xll.qDateNext($BN465,CB$17,$CG$16,TRUE,Currency2))</f>
        <v>0</v>
      </c>
      <c r="CC465" s="882">
        <f>IF($BN466=0,0,        _xll.qDateNext($BN465,CC$17,$CG$16,TRUE,Currency2))</f>
        <v>0</v>
      </c>
      <c r="CD465" s="882">
        <f>IF($BN466=0,0,        _xll.qDateNext($BN465,CD$17,$CG$16,TRUE,Currency2))</f>
        <v>0</v>
      </c>
      <c r="CE465" s="882">
        <f>IF($BN466=0,0,        _xll.qDateNext($BN465,CE$17,$CG$16,TRUE,Currency2))</f>
        <v>0</v>
      </c>
      <c r="CF465" s="882">
        <f>IF($BN466=0,0,        _xll.qDateNext($BN465,CF$17,$CG$16,TRUE,Currency2))</f>
        <v>0</v>
      </c>
      <c r="CG465" s="882">
        <f>IF($BN466=0,0,        _xll.qDateNext($BN465,CG$17,$CG$16,TRUE,Currency2))</f>
        <v>0</v>
      </c>
      <c r="CH465" s="886">
        <v>0</v>
      </c>
      <c r="CI465" s="886">
        <v>0</v>
      </c>
      <c r="CJ465" s="886">
        <v>0</v>
      </c>
      <c r="CK465" s="886">
        <v>0</v>
      </c>
      <c r="CL465" s="886">
        <f t="shared" si="221"/>
        <v>0</v>
      </c>
      <c r="CM465" s="886">
        <f t="shared" si="222"/>
        <v>0</v>
      </c>
      <c r="CN465" s="886">
        <v>0</v>
      </c>
      <c r="CO465" s="886">
        <v>0</v>
      </c>
      <c r="CP465" s="648">
        <f t="shared" si="199"/>
        <v>0</v>
      </c>
      <c r="CQ465" s="648">
        <f t="shared" si="200"/>
        <v>0</v>
      </c>
      <c r="CR465" s="648">
        <f t="shared" si="201"/>
        <v>0</v>
      </c>
      <c r="CS465" s="648">
        <f t="shared" si="202"/>
        <v>0</v>
      </c>
      <c r="CT465" s="648">
        <f t="shared" si="203"/>
        <v>0</v>
      </c>
      <c r="CU465" s="648">
        <f t="shared" si="204"/>
        <v>0</v>
      </c>
      <c r="CV465" s="648">
        <f t="shared" si="205"/>
        <v>0</v>
      </c>
      <c r="CW465" s="648">
        <f t="shared" si="206"/>
        <v>0</v>
      </c>
      <c r="CX465" s="634">
        <v>0</v>
      </c>
      <c r="CY465" s="616"/>
      <c r="CZ465" s="619">
        <f>IF(BN466=0,0,             IF(ISNUMBER(CY465),CY465,             IF(ISTEXT(CY465),INDEX(CP465:CW465,MATCH(CY465,$CP$17:$CW$17,0)),           IF(CX465="INT",_xll.qInterp(BN466,BZ465:CG465,CP465:CW465),       INDEX(CP465:CW465,MATCH(CX465,$CP$17:$CW$17,0))))))</f>
        <v>0</v>
      </c>
      <c r="DA465" s="755">
        <f t="shared" si="207"/>
        <v>0</v>
      </c>
      <c r="DB465" s="387">
        <f t="shared" si="208"/>
        <v>0</v>
      </c>
      <c r="DC465" s="268">
        <f>IF($BN466=0,0,         IF(LEFT(DCC_Leg2_Fixed,2)="1/",uEvaluate(DCC_Leg2_Fixed),         _xll.qDateYears($BN465,$BN466,DCC_Leg2_Fixed)))</f>
        <v>0</v>
      </c>
      <c r="DD465" s="268">
        <f>IF($BN466,_xll.qDateYears($BN465,$BN466,DCC_Leg2_Float),0)</f>
        <v>0</v>
      </c>
      <c r="DF465" s="332">
        <f t="shared" si="223"/>
        <v>0</v>
      </c>
      <c r="DG465" s="357">
        <f t="shared" si="224"/>
        <v>0</v>
      </c>
      <c r="DH465" s="527"/>
      <c r="DJ465" s="324">
        <f t="shared" si="226"/>
        <v>0</v>
      </c>
      <c r="DK465" s="529"/>
      <c r="DL465" s="338"/>
    </row>
    <row r="466" spans="15:116">
      <c r="O466" s="121">
        <v>0</v>
      </c>
      <c r="P466" s="755">
        <f t="shared" ref="P466:P516" si="227">IF(O467,O467-O466,0)</f>
        <v>0</v>
      </c>
      <c r="Q466" s="125">
        <v>0</v>
      </c>
      <c r="R466" s="890">
        <f>IF(O467=0,0,         IF(OR(Currency1="AUD",Currency1="NZD",Currency1="GBP"),O466,   _xll.qDateNext(O466,"-2b",,,IF(Currency1="EUR","TGT","LON"))))</f>
        <v>0</v>
      </c>
      <c r="S466" s="879" t="str">
        <v/>
      </c>
      <c r="T466" s="879" t="str">
        <v/>
      </c>
      <c r="U466" s="879" t="str">
        <v/>
      </c>
      <c r="V466" s="879" t="str">
        <v/>
      </c>
      <c r="W466" s="879" t="str">
        <v/>
      </c>
      <c r="X466" s="879" t="str">
        <v/>
      </c>
      <c r="Y466" s="879" t="str">
        <v/>
      </c>
      <c r="Z466" s="879" t="str">
        <v/>
      </c>
      <c r="AA466" s="882">
        <f>IF($O467=0,0,        _xll.qDateNext($O466,AA$17,$AH$16,TRUE,Currency1))</f>
        <v>0</v>
      </c>
      <c r="AB466" s="882">
        <f>IF($O467=0,0,        _xll.qDateNext($O466,AB$17,$AH$16,TRUE,Currency1))</f>
        <v>0</v>
      </c>
      <c r="AC466" s="882">
        <f>IF($O467=0,0,        _xll.qDateNext($O466,AC$17,$AH$16,TRUE,Currency1))</f>
        <v>0</v>
      </c>
      <c r="AD466" s="882">
        <f>IF($O467=0,0,        _xll.qDateNext($O466,AD$17,$AH$16,TRUE,Currency1))</f>
        <v>0</v>
      </c>
      <c r="AE466" s="882">
        <f>IF($O467=0,0,        _xll.qDateNext($O466,AE$17,$AH$16,TRUE,Currency1))</f>
        <v>0</v>
      </c>
      <c r="AF466" s="882">
        <f>IF($O467=0,0,        _xll.qDateNext($O466,AF$17,$AH$16,TRUE,Currency1))</f>
        <v>0</v>
      </c>
      <c r="AG466" s="882">
        <f>IF($O467=0,0,        _xll.qDateNext($O466,AG$17,$AH$16,TRUE,Currency1))</f>
        <v>0</v>
      </c>
      <c r="AH466" s="882">
        <f>IF($O467=0,0,        _xll.qDateNext($O466,AH$17,$AH$16,TRUE,Currency1))</f>
        <v>0</v>
      </c>
      <c r="AI466" s="886">
        <f>IF($O467=0,0,           IF(FRM,_xll.qGetFwdRate(AI$14,$O466,AA466,"T",DCC_Leg1_Float),_xll.qGetFwdRate(AI$14,$O466,$O467,"T",DCC_Leg1_Float)))</f>
        <v>0</v>
      </c>
      <c r="AJ466" s="886">
        <f>IF($O467=0,0,           IF(FRM,_xll.qGetFwdRate(AJ$14,$O466,AB466,"T",DCC_Leg1_Float),_xll.qGetFwdRate(AJ$14,$O466,$O467,"T",DCC_Leg1_Float)))</f>
        <v>0</v>
      </c>
      <c r="AK466" s="886">
        <f t="shared" ref="AK466:AK516" si="228">AVERAGE(AJ466,AL466)</f>
        <v>0</v>
      </c>
      <c r="AL466" s="886">
        <f>IF($O467=0,0,           IF(FRM,_xll.qGetFwdRate(AL$14,$O466,AD466,"T",DCC_Leg1_Float),_xll.qGetFwdRate(AL$14,$O466,$O467,"T",DCC_Leg1_Float)))</f>
        <v>0</v>
      </c>
      <c r="AM466" s="886">
        <f t="shared" si="209"/>
        <v>0</v>
      </c>
      <c r="AN466" s="886">
        <f t="shared" si="210"/>
        <v>0</v>
      </c>
      <c r="AO466" s="886">
        <f>IF($O467=0,0,           IF(FRM,_xll.qGetFwdRate(AO$14,$O466,AG466,"T",DCC_Leg1_Float),_xll.qGetFwdRate(AO$14,$O466,$O467,"T",DCC_Leg1_Float)))</f>
        <v>0</v>
      </c>
      <c r="AP466" s="886">
        <f>IF($O467=0,0,           IF(FRM,_xll.qGetFwdRate(AP$14,$O466,AH466,"T",DCC_Leg1_Float),_xll.qGetFwdRate(AP$14,$O466,$O467,"T",DCC_Leg1_Float)))</f>
        <v>0</v>
      </c>
      <c r="AQ466" s="648">
        <f t="shared" si="211"/>
        <v>0</v>
      </c>
      <c r="AR466" s="648">
        <f t="shared" si="212"/>
        <v>0</v>
      </c>
      <c r="AS466" s="648">
        <f t="shared" si="213"/>
        <v>0</v>
      </c>
      <c r="AT466" s="648">
        <f t="shared" si="214"/>
        <v>0</v>
      </c>
      <c r="AU466" s="648">
        <f t="shared" si="215"/>
        <v>0</v>
      </c>
      <c r="AV466" s="648">
        <f t="shared" si="216"/>
        <v>0</v>
      </c>
      <c r="AW466" s="648">
        <f t="shared" si="217"/>
        <v>0</v>
      </c>
      <c r="AX466" s="648">
        <f t="shared" si="218"/>
        <v>0</v>
      </c>
      <c r="AY466" s="634">
        <v>0</v>
      </c>
      <c r="AZ466" s="616"/>
      <c r="BA466" s="619">
        <f>IF(O467=0,0,             IF(ISNUMBER(AZ466),AZ466,             IF(ISTEXT(AZ466),INDEX(AQ466:AX466,MATCH(AZ466,$AQ$17:$AX$17,0)),           IF(AY466="INT",_xll.qInterp(O467,AA466:AH466,AQ466:AX466),       INDEX(AQ466:AX466,MATCH(AY466,$AQ$17:$AX$17,0))))))</f>
        <v>0</v>
      </c>
      <c r="BB466" s="674">
        <v>100</v>
      </c>
      <c r="BC466" s="666">
        <f t="shared" ref="BC466:BC516" si="229">IF(O467,BB466*1000000*$BE$11,0)</f>
        <v>0</v>
      </c>
      <c r="BD466" s="268">
        <f>IF($O467=0,0,                IF(LEFT(DCC_Leg1_Fixed,2)="1/",uEvaluate(DCC_Leg1_Fixed),        _xll.qDateYears($O466,$O467,DCC_Leg1_Fixed)))</f>
        <v>0</v>
      </c>
      <c r="BE466" s="268">
        <f>IF($O467,_xll.qDateYears($O466,$O467,DCC_Leg1_Float),0)</f>
        <v>0</v>
      </c>
      <c r="BG466" s="332">
        <f t="shared" si="219"/>
        <v>0</v>
      </c>
      <c r="BH466" s="357">
        <f t="shared" si="220"/>
        <v>0</v>
      </c>
      <c r="BI466" s="527"/>
      <c r="BK466" s="324">
        <f t="shared" si="225"/>
        <v>0</v>
      </c>
      <c r="BM466" s="338"/>
      <c r="BN466" s="121">
        <v>0</v>
      </c>
      <c r="BO466" s="755">
        <f t="shared" ref="BO466:BO516" si="230">IF(BN467,BN467-BN466,0)</f>
        <v>0</v>
      </c>
      <c r="BP466" s="339">
        <v>0</v>
      </c>
      <c r="BQ466" s="890">
        <f>IF(BN467=0,0,         IF(OR(Currency2="AUD",Currency1="NZD",Currency2="GBP"),BN466,   _xll.qDateNext(BN466,"-2b",,,IF(Currency2="EUR","TGT","LON"))))</f>
        <v>0</v>
      </c>
      <c r="BR466" s="879" t="str">
        <v/>
      </c>
      <c r="BS466" s="879" t="str">
        <v/>
      </c>
      <c r="BT466" s="879" t="str">
        <v/>
      </c>
      <c r="BU466" s="879" t="str">
        <v/>
      </c>
      <c r="BV466" s="879" t="str">
        <v/>
      </c>
      <c r="BW466" s="879" t="str">
        <v/>
      </c>
      <c r="BX466" s="879" t="str">
        <v/>
      </c>
      <c r="BY466" s="879" t="str">
        <v/>
      </c>
      <c r="BZ466" s="882">
        <f>IF($BN467=0,0,        _xll.qDateNext($BN466,BZ$17,$CG$16,TRUE,Currency2))</f>
        <v>0</v>
      </c>
      <c r="CA466" s="882">
        <f>IF($BN467=0,0,        _xll.qDateNext($BN466,CA$17,$CG$16,TRUE,Currency2))</f>
        <v>0</v>
      </c>
      <c r="CB466" s="882">
        <f>IF($BN467=0,0,        _xll.qDateNext($BN466,CB$17,$CG$16,TRUE,Currency2))</f>
        <v>0</v>
      </c>
      <c r="CC466" s="882">
        <f>IF($BN467=0,0,        _xll.qDateNext($BN466,CC$17,$CG$16,TRUE,Currency2))</f>
        <v>0</v>
      </c>
      <c r="CD466" s="882">
        <f>IF($BN467=0,0,        _xll.qDateNext($BN466,CD$17,$CG$16,TRUE,Currency2))</f>
        <v>0</v>
      </c>
      <c r="CE466" s="882">
        <f>IF($BN467=0,0,        _xll.qDateNext($BN466,CE$17,$CG$16,TRUE,Currency2))</f>
        <v>0</v>
      </c>
      <c r="CF466" s="882">
        <f>IF($BN467=0,0,        _xll.qDateNext($BN466,CF$17,$CG$16,TRUE,Currency2))</f>
        <v>0</v>
      </c>
      <c r="CG466" s="882">
        <f>IF($BN467=0,0,        _xll.qDateNext($BN466,CG$17,$CG$16,TRUE,Currency2))</f>
        <v>0</v>
      </c>
      <c r="CH466" s="886">
        <v>0</v>
      </c>
      <c r="CI466" s="886">
        <v>0</v>
      </c>
      <c r="CJ466" s="886">
        <v>0</v>
      </c>
      <c r="CK466" s="886">
        <v>0</v>
      </c>
      <c r="CL466" s="886">
        <f t="shared" si="221"/>
        <v>0</v>
      </c>
      <c r="CM466" s="886">
        <f t="shared" si="222"/>
        <v>0</v>
      </c>
      <c r="CN466" s="886">
        <v>0</v>
      </c>
      <c r="CO466" s="886">
        <v>0</v>
      </c>
      <c r="CP466" s="648">
        <f t="shared" ref="CP466:CP516" si="231">IF($BN466=0,0,      IF(ISNUMBER(BR466),BR466,CH466))</f>
        <v>0</v>
      </c>
      <c r="CQ466" s="648">
        <f t="shared" ref="CQ466:CQ516" si="232">IF($BN466=0,0,      IF(ISNUMBER(BS466),BS466,CI466))</f>
        <v>0</v>
      </c>
      <c r="CR466" s="648">
        <f t="shared" ref="CR466:CR516" si="233">IF($BN466=0,0,      IF(ISNUMBER(BT466),BT466,CJ466))</f>
        <v>0</v>
      </c>
      <c r="CS466" s="648">
        <f t="shared" ref="CS466:CS516" si="234">IF($BN466=0,0,      IF(ISNUMBER(BU466),BU466,CK466))</f>
        <v>0</v>
      </c>
      <c r="CT466" s="648">
        <f t="shared" ref="CT466:CT516" si="235">IF($BN466=0,0,      IF(ISNUMBER(BV466),BV466,CL466))</f>
        <v>0</v>
      </c>
      <c r="CU466" s="648">
        <f t="shared" ref="CU466:CU516" si="236">IF($BN466=0,0,      IF(ISNUMBER(BW466),BW466,CM466))</f>
        <v>0</v>
      </c>
      <c r="CV466" s="648">
        <f t="shared" ref="CV466:CV516" si="237">IF($BN466=0,0,      IF(ISNUMBER(BX466),BX466,CN466))</f>
        <v>0</v>
      </c>
      <c r="CW466" s="648">
        <f t="shared" ref="CW466:CW516" si="238">IF($BN466=0,0,      IF(ISNUMBER(BY466),BY466,CO466))</f>
        <v>0</v>
      </c>
      <c r="CX466" s="634">
        <v>0</v>
      </c>
      <c r="CY466" s="616"/>
      <c r="CZ466" s="619">
        <f>IF(BN467=0,0,             IF(ISNUMBER(CY466),CY466,             IF(ISTEXT(CY466),INDEX(CP466:CW466,MATCH(CY466,$CP$17:$CW$17,0)),           IF(CX466="INT",_xll.qInterp(BN467,BZ466:CG466,CP466:CW466),       INDEX(CP466:CW466,MATCH(CX466,$CP$17:$CW$17,0))))))</f>
        <v>0</v>
      </c>
      <c r="DA466" s="755">
        <f t="shared" ref="DA466:DA516" si="239">IF(BN467,INDEX($BB$18:$BB$516,MATCH(BN466,OFFSET($O$18,0,0,$BE$12,1)))*FaceFX,0)</f>
        <v>0</v>
      </c>
      <c r="DB466" s="387">
        <f t="shared" ref="DB466:DB516" si="240">IF(BN466,DA466*1000000*$DD$11,0)</f>
        <v>0</v>
      </c>
      <c r="DC466" s="268">
        <f>IF($BN467=0,0,         IF(LEFT(DCC_Leg2_Fixed,2)="1/",uEvaluate(DCC_Leg2_Fixed),         _xll.qDateYears($BN466,$BN467,DCC_Leg2_Fixed)))</f>
        <v>0</v>
      </c>
      <c r="DD466" s="268">
        <f>IF($BN467,_xll.qDateYears($BN466,$BN467,DCC_Leg2_Float),0)</f>
        <v>0</v>
      </c>
      <c r="DF466" s="332">
        <f t="shared" si="223"/>
        <v>0</v>
      </c>
      <c r="DG466" s="357">
        <f t="shared" si="224"/>
        <v>0</v>
      </c>
      <c r="DH466" s="527"/>
      <c r="DJ466" s="324">
        <f t="shared" si="226"/>
        <v>0</v>
      </c>
      <c r="DK466" s="529"/>
      <c r="DL466" s="338"/>
    </row>
    <row r="467" spans="15:116">
      <c r="O467" s="121">
        <v>0</v>
      </c>
      <c r="P467" s="755">
        <f t="shared" si="227"/>
        <v>0</v>
      </c>
      <c r="Q467" s="125">
        <v>0</v>
      </c>
      <c r="R467" s="890">
        <f>IF(O468=0,0,         IF(OR(Currency1="AUD",Currency1="NZD",Currency1="GBP"),O467,   _xll.qDateNext(O467,"-2b",,,IF(Currency1="EUR","TGT","LON"))))</f>
        <v>0</v>
      </c>
      <c r="S467" s="879" t="str">
        <v/>
      </c>
      <c r="T467" s="879" t="str">
        <v/>
      </c>
      <c r="U467" s="879" t="str">
        <v/>
      </c>
      <c r="V467" s="879" t="str">
        <v/>
      </c>
      <c r="W467" s="879" t="str">
        <v/>
      </c>
      <c r="X467" s="879" t="str">
        <v/>
      </c>
      <c r="Y467" s="879" t="str">
        <v/>
      </c>
      <c r="Z467" s="879" t="str">
        <v/>
      </c>
      <c r="AA467" s="882">
        <f>IF($O468=0,0,        _xll.qDateNext($O467,AA$17,$AH$16,TRUE,Currency1))</f>
        <v>0</v>
      </c>
      <c r="AB467" s="882">
        <f>IF($O468=0,0,        _xll.qDateNext($O467,AB$17,$AH$16,TRUE,Currency1))</f>
        <v>0</v>
      </c>
      <c r="AC467" s="882">
        <f>IF($O468=0,0,        _xll.qDateNext($O467,AC$17,$AH$16,TRUE,Currency1))</f>
        <v>0</v>
      </c>
      <c r="AD467" s="882">
        <f>IF($O468=0,0,        _xll.qDateNext($O467,AD$17,$AH$16,TRUE,Currency1))</f>
        <v>0</v>
      </c>
      <c r="AE467" s="882">
        <f>IF($O468=0,0,        _xll.qDateNext($O467,AE$17,$AH$16,TRUE,Currency1))</f>
        <v>0</v>
      </c>
      <c r="AF467" s="882">
        <f>IF($O468=0,0,        _xll.qDateNext($O467,AF$17,$AH$16,TRUE,Currency1))</f>
        <v>0</v>
      </c>
      <c r="AG467" s="882">
        <f>IF($O468=0,0,        _xll.qDateNext($O467,AG$17,$AH$16,TRUE,Currency1))</f>
        <v>0</v>
      </c>
      <c r="AH467" s="882">
        <f>IF($O468=0,0,        _xll.qDateNext($O467,AH$17,$AH$16,TRUE,Currency1))</f>
        <v>0</v>
      </c>
      <c r="AI467" s="886">
        <f>IF($O468=0,0,           IF(FRM,_xll.qGetFwdRate(AI$14,$O467,AA467,"T",DCC_Leg1_Float),_xll.qGetFwdRate(AI$14,$O467,$O468,"T",DCC_Leg1_Float)))</f>
        <v>0</v>
      </c>
      <c r="AJ467" s="886">
        <f>IF($O468=0,0,           IF(FRM,_xll.qGetFwdRate(AJ$14,$O467,AB467,"T",DCC_Leg1_Float),_xll.qGetFwdRate(AJ$14,$O467,$O468,"T",DCC_Leg1_Float)))</f>
        <v>0</v>
      </c>
      <c r="AK467" s="886">
        <f t="shared" si="228"/>
        <v>0</v>
      </c>
      <c r="AL467" s="886">
        <f>IF($O468=0,0,           IF(FRM,_xll.qGetFwdRate(AL$14,$O467,AD467,"T",DCC_Leg1_Float),_xll.qGetFwdRate(AL$14,$O467,$O468,"T",DCC_Leg1_Float)))</f>
        <v>0</v>
      </c>
      <c r="AM467" s="886">
        <f t="shared" ref="AM467:AM516" si="241">(AO467-AL467)/3+AL467</f>
        <v>0</v>
      </c>
      <c r="AN467" s="886">
        <f t="shared" ref="AN467:AN516" si="242">AVERAGE(AM467,AO467)</f>
        <v>0</v>
      </c>
      <c r="AO467" s="886">
        <f>IF($O468=0,0,           IF(FRM,_xll.qGetFwdRate(AO$14,$O467,AG467,"T",DCC_Leg1_Float),_xll.qGetFwdRate(AO$14,$O467,$O468,"T",DCC_Leg1_Float)))</f>
        <v>0</v>
      </c>
      <c r="AP467" s="886">
        <f>IF($O468=0,0,           IF(FRM,_xll.qGetFwdRate(AP$14,$O467,AH467,"T",DCC_Leg1_Float),_xll.qGetFwdRate(AP$14,$O467,$O468,"T",DCC_Leg1_Float)))</f>
        <v>0</v>
      </c>
      <c r="AQ467" s="648">
        <f t="shared" ref="AQ467:AQ516" si="243">IF(ISNUMBER(S467),S467,AI467)</f>
        <v>0</v>
      </c>
      <c r="AR467" s="648">
        <f t="shared" ref="AR467:AR516" si="244">IF(ISNUMBER(T467),T467,AJ467)</f>
        <v>0</v>
      </c>
      <c r="AS467" s="648">
        <f t="shared" ref="AS467:AS516" si="245">IF(ISNUMBER(U467),U467,AK467)</f>
        <v>0</v>
      </c>
      <c r="AT467" s="648">
        <f t="shared" ref="AT467:AT516" si="246">IF(ISNUMBER(V467),V467,AL467)</f>
        <v>0</v>
      </c>
      <c r="AU467" s="648">
        <f t="shared" ref="AU467:AU516" si="247">IF(ISNUMBER(W467),W467,AM467)</f>
        <v>0</v>
      </c>
      <c r="AV467" s="648">
        <f t="shared" ref="AV467:AV516" si="248">IF(ISNUMBER(X467),X467,AN467)</f>
        <v>0</v>
      </c>
      <c r="AW467" s="648">
        <f t="shared" ref="AW467:AW516" si="249">IF(ISNUMBER(Y467),Y467,AO467)</f>
        <v>0</v>
      </c>
      <c r="AX467" s="648">
        <f t="shared" ref="AX467:AX516" si="250">IF(ISNUMBER(Z467),Z467,AP467)</f>
        <v>0</v>
      </c>
      <c r="AY467" s="634">
        <v>0</v>
      </c>
      <c r="AZ467" s="616"/>
      <c r="BA467" s="619">
        <f>IF(O468=0,0,             IF(ISNUMBER(AZ467),AZ467,             IF(ISTEXT(AZ467),INDEX(AQ467:AX467,MATCH(AZ467,$AQ$17:$AX$17,0)),           IF(AY467="INT",_xll.qInterp(O468,AA467:AH467,AQ467:AX467),       INDEX(AQ467:AX467,MATCH(AY467,$AQ$17:$AX$17,0))))))</f>
        <v>0</v>
      </c>
      <c r="BB467" s="674">
        <v>100</v>
      </c>
      <c r="BC467" s="666">
        <f t="shared" si="229"/>
        <v>0</v>
      </c>
      <c r="BD467" s="268">
        <f>IF($O468=0,0,                IF(LEFT(DCC_Leg1_Fixed,2)="1/",uEvaluate(DCC_Leg1_Fixed),        _xll.qDateYears($O467,$O468,DCC_Leg1_Fixed)))</f>
        <v>0</v>
      </c>
      <c r="BE467" s="268">
        <f>IF($O468,_xll.qDateYears($O467,$O468,DCC_Leg1_Float),0)</f>
        <v>0</v>
      </c>
      <c r="BG467" s="332">
        <f t="shared" ref="BG467:BG517" si="251">IF(Principal1?,$BC466-$BC467,       0)</f>
        <v>0</v>
      </c>
      <c r="BH467" s="357">
        <f t="shared" ref="BH467:BH517" si="252">IF(GenType_1a="Fixed",GenRate_1a%*$BC466*BD466,          IF(GenType_1a="Float",$BC466*(BA466%+GenRate_1a%%)*$BE466,        IF(GenType_1a="bp (Fixed)",GenRate_1a%%*$BD466*$BC466,   IF(GenType_1a="bp (Float)",GenRate_1a%%*$BC466*$BE466,0))))</f>
        <v>0</v>
      </c>
      <c r="BI467" s="527"/>
      <c r="BK467" s="324">
        <f t="shared" si="225"/>
        <v>0</v>
      </c>
      <c r="BM467" s="338"/>
      <c r="BN467" s="121">
        <v>0</v>
      </c>
      <c r="BO467" s="755">
        <f t="shared" si="230"/>
        <v>0</v>
      </c>
      <c r="BP467" s="339">
        <v>0</v>
      </c>
      <c r="BQ467" s="890">
        <f>IF(BN468=0,0,         IF(OR(Currency2="AUD",Currency1="NZD",Currency2="GBP"),BN467,   _xll.qDateNext(BN467,"-2b",,,IF(Currency2="EUR","TGT","LON"))))</f>
        <v>0</v>
      </c>
      <c r="BR467" s="879" t="str">
        <v/>
      </c>
      <c r="BS467" s="879" t="str">
        <v/>
      </c>
      <c r="BT467" s="879" t="str">
        <v/>
      </c>
      <c r="BU467" s="879" t="str">
        <v/>
      </c>
      <c r="BV467" s="879" t="str">
        <v/>
      </c>
      <c r="BW467" s="879" t="str">
        <v/>
      </c>
      <c r="BX467" s="879" t="str">
        <v/>
      </c>
      <c r="BY467" s="879" t="str">
        <v/>
      </c>
      <c r="BZ467" s="882">
        <f>IF($BN468=0,0,        _xll.qDateNext($BN467,BZ$17,$CG$16,TRUE,Currency2))</f>
        <v>0</v>
      </c>
      <c r="CA467" s="882">
        <f>IF($BN468=0,0,        _xll.qDateNext($BN467,CA$17,$CG$16,TRUE,Currency2))</f>
        <v>0</v>
      </c>
      <c r="CB467" s="882">
        <f>IF($BN468=0,0,        _xll.qDateNext($BN467,CB$17,$CG$16,TRUE,Currency2))</f>
        <v>0</v>
      </c>
      <c r="CC467" s="882">
        <f>IF($BN468=0,0,        _xll.qDateNext($BN467,CC$17,$CG$16,TRUE,Currency2))</f>
        <v>0</v>
      </c>
      <c r="CD467" s="882">
        <f>IF($BN468=0,0,        _xll.qDateNext($BN467,CD$17,$CG$16,TRUE,Currency2))</f>
        <v>0</v>
      </c>
      <c r="CE467" s="882">
        <f>IF($BN468=0,0,        _xll.qDateNext($BN467,CE$17,$CG$16,TRUE,Currency2))</f>
        <v>0</v>
      </c>
      <c r="CF467" s="882">
        <f>IF($BN468=0,0,        _xll.qDateNext($BN467,CF$17,$CG$16,TRUE,Currency2))</f>
        <v>0</v>
      </c>
      <c r="CG467" s="882">
        <f>IF($BN468=0,0,        _xll.qDateNext($BN467,CG$17,$CG$16,TRUE,Currency2))</f>
        <v>0</v>
      </c>
      <c r="CH467" s="886">
        <v>0</v>
      </c>
      <c r="CI467" s="886">
        <v>0</v>
      </c>
      <c r="CJ467" s="886">
        <v>0</v>
      </c>
      <c r="CK467" s="886">
        <v>0</v>
      </c>
      <c r="CL467" s="886">
        <f t="shared" ref="CL467:CL516" si="253">(CN467-CK467)/3+CK467</f>
        <v>0</v>
      </c>
      <c r="CM467" s="886">
        <f t="shared" ref="CM467:CM516" si="254">AVERAGE(CL467,CN467)</f>
        <v>0</v>
      </c>
      <c r="CN467" s="886">
        <v>0</v>
      </c>
      <c r="CO467" s="886">
        <v>0</v>
      </c>
      <c r="CP467" s="648">
        <f t="shared" si="231"/>
        <v>0</v>
      </c>
      <c r="CQ467" s="648">
        <f t="shared" si="232"/>
        <v>0</v>
      </c>
      <c r="CR467" s="648">
        <f t="shared" si="233"/>
        <v>0</v>
      </c>
      <c r="CS467" s="648">
        <f t="shared" si="234"/>
        <v>0</v>
      </c>
      <c r="CT467" s="648">
        <f t="shared" si="235"/>
        <v>0</v>
      </c>
      <c r="CU467" s="648">
        <f t="shared" si="236"/>
        <v>0</v>
      </c>
      <c r="CV467" s="648">
        <f t="shared" si="237"/>
        <v>0</v>
      </c>
      <c r="CW467" s="648">
        <f t="shared" si="238"/>
        <v>0</v>
      </c>
      <c r="CX467" s="634">
        <v>0</v>
      </c>
      <c r="CY467" s="616"/>
      <c r="CZ467" s="619">
        <f>IF(BN468=0,0,             IF(ISNUMBER(CY467),CY467,             IF(ISTEXT(CY467),INDEX(CP467:CW467,MATCH(CY467,$CP$17:$CW$17,0)),           IF(CX467="INT",_xll.qInterp(BN468,BZ467:CG467,CP467:CW467),       INDEX(CP467:CW467,MATCH(CX467,$CP$17:$CW$17,0))))))</f>
        <v>0</v>
      </c>
      <c r="DA467" s="755">
        <f t="shared" si="239"/>
        <v>0</v>
      </c>
      <c r="DB467" s="387">
        <f t="shared" si="240"/>
        <v>0</v>
      </c>
      <c r="DC467" s="268">
        <f>IF($BN468=0,0,         IF(LEFT(DCC_Leg2_Fixed,2)="1/",uEvaluate(DCC_Leg2_Fixed),         _xll.qDateYears($BN467,$BN468,DCC_Leg2_Fixed)))</f>
        <v>0</v>
      </c>
      <c r="DD467" s="268">
        <f>IF($BN468,_xll.qDateYears($BN467,$BN468,DCC_Leg2_Float),0)</f>
        <v>0</v>
      </c>
      <c r="DF467" s="332">
        <f t="shared" ref="DF467:DF517" si="255">IF(Principal2?,$DB466-$DB467,       0)</f>
        <v>0</v>
      </c>
      <c r="DG467" s="357">
        <f t="shared" ref="DG467:DG517" si="256">IF(GenType_2a="Fixed",GenRate_2a%*$DB466*DC466,          IF(GenType_2a="Float",$DB466*(CZ466%+GenRate_2a%%)*$DD466,        IF(GenType_2a="bp (Fixed)",GenRate_2a%%*$DC466*$DB466,   IF(GenType_2a="bp (Float)",GenRate_2a%%*$DB466*$DD466,0))))</f>
        <v>0</v>
      </c>
      <c r="DH467" s="527"/>
      <c r="DJ467" s="324">
        <f t="shared" si="226"/>
        <v>0</v>
      </c>
      <c r="DK467" s="529"/>
      <c r="DL467" s="338"/>
    </row>
    <row r="468" spans="15:116">
      <c r="O468" s="121">
        <v>0</v>
      </c>
      <c r="P468" s="755">
        <f t="shared" si="227"/>
        <v>0</v>
      </c>
      <c r="Q468" s="125">
        <v>0</v>
      </c>
      <c r="R468" s="890">
        <f>IF(O469=0,0,         IF(OR(Currency1="AUD",Currency1="NZD",Currency1="GBP"),O468,   _xll.qDateNext(O468,"-2b",,,IF(Currency1="EUR","TGT","LON"))))</f>
        <v>0</v>
      </c>
      <c r="S468" s="879" t="str">
        <v/>
      </c>
      <c r="T468" s="879" t="str">
        <v/>
      </c>
      <c r="U468" s="879" t="str">
        <v/>
      </c>
      <c r="V468" s="879" t="str">
        <v/>
      </c>
      <c r="W468" s="879" t="str">
        <v/>
      </c>
      <c r="X468" s="879" t="str">
        <v/>
      </c>
      <c r="Y468" s="879" t="str">
        <v/>
      </c>
      <c r="Z468" s="879" t="str">
        <v/>
      </c>
      <c r="AA468" s="882">
        <f>IF($O469=0,0,        _xll.qDateNext($O468,AA$17,$AH$16,TRUE,Currency1))</f>
        <v>0</v>
      </c>
      <c r="AB468" s="882">
        <f>IF($O469=0,0,        _xll.qDateNext($O468,AB$17,$AH$16,TRUE,Currency1))</f>
        <v>0</v>
      </c>
      <c r="AC468" s="882">
        <f>IF($O469=0,0,        _xll.qDateNext($O468,AC$17,$AH$16,TRUE,Currency1))</f>
        <v>0</v>
      </c>
      <c r="AD468" s="882">
        <f>IF($O469=0,0,        _xll.qDateNext($O468,AD$17,$AH$16,TRUE,Currency1))</f>
        <v>0</v>
      </c>
      <c r="AE468" s="882">
        <f>IF($O469=0,0,        _xll.qDateNext($O468,AE$17,$AH$16,TRUE,Currency1))</f>
        <v>0</v>
      </c>
      <c r="AF468" s="882">
        <f>IF($O469=0,0,        _xll.qDateNext($O468,AF$17,$AH$16,TRUE,Currency1))</f>
        <v>0</v>
      </c>
      <c r="AG468" s="882">
        <f>IF($O469=0,0,        _xll.qDateNext($O468,AG$17,$AH$16,TRUE,Currency1))</f>
        <v>0</v>
      </c>
      <c r="AH468" s="882">
        <f>IF($O469=0,0,        _xll.qDateNext($O468,AH$17,$AH$16,TRUE,Currency1))</f>
        <v>0</v>
      </c>
      <c r="AI468" s="886">
        <f>IF($O469=0,0,           IF(FRM,_xll.qGetFwdRate(AI$14,$O468,AA468,"T",DCC_Leg1_Float),_xll.qGetFwdRate(AI$14,$O468,$O469,"T",DCC_Leg1_Float)))</f>
        <v>0</v>
      </c>
      <c r="AJ468" s="886">
        <f>IF($O469=0,0,           IF(FRM,_xll.qGetFwdRate(AJ$14,$O468,AB468,"T",DCC_Leg1_Float),_xll.qGetFwdRate(AJ$14,$O468,$O469,"T",DCC_Leg1_Float)))</f>
        <v>0</v>
      </c>
      <c r="AK468" s="886">
        <f t="shared" si="228"/>
        <v>0</v>
      </c>
      <c r="AL468" s="886">
        <f>IF($O469=0,0,           IF(FRM,_xll.qGetFwdRate(AL$14,$O468,AD468,"T",DCC_Leg1_Float),_xll.qGetFwdRate(AL$14,$O468,$O469,"T",DCC_Leg1_Float)))</f>
        <v>0</v>
      </c>
      <c r="AM468" s="886">
        <f t="shared" si="241"/>
        <v>0</v>
      </c>
      <c r="AN468" s="886">
        <f t="shared" si="242"/>
        <v>0</v>
      </c>
      <c r="AO468" s="886">
        <f>IF($O469=0,0,           IF(FRM,_xll.qGetFwdRate(AO$14,$O468,AG468,"T",DCC_Leg1_Float),_xll.qGetFwdRate(AO$14,$O468,$O469,"T",DCC_Leg1_Float)))</f>
        <v>0</v>
      </c>
      <c r="AP468" s="886">
        <f>IF($O469=0,0,           IF(FRM,_xll.qGetFwdRate(AP$14,$O468,AH468,"T",DCC_Leg1_Float),_xll.qGetFwdRate(AP$14,$O468,$O469,"T",DCC_Leg1_Float)))</f>
        <v>0</v>
      </c>
      <c r="AQ468" s="648">
        <f t="shared" si="243"/>
        <v>0</v>
      </c>
      <c r="AR468" s="648">
        <f t="shared" si="244"/>
        <v>0</v>
      </c>
      <c r="AS468" s="648">
        <f t="shared" si="245"/>
        <v>0</v>
      </c>
      <c r="AT468" s="648">
        <f t="shared" si="246"/>
        <v>0</v>
      </c>
      <c r="AU468" s="648">
        <f t="shared" si="247"/>
        <v>0</v>
      </c>
      <c r="AV468" s="648">
        <f t="shared" si="248"/>
        <v>0</v>
      </c>
      <c r="AW468" s="648">
        <f t="shared" si="249"/>
        <v>0</v>
      </c>
      <c r="AX468" s="648">
        <f t="shared" si="250"/>
        <v>0</v>
      </c>
      <c r="AY468" s="634">
        <v>0</v>
      </c>
      <c r="AZ468" s="616"/>
      <c r="BA468" s="619">
        <f>IF(O469=0,0,             IF(ISNUMBER(AZ468),AZ468,             IF(ISTEXT(AZ468),INDEX(AQ468:AX468,MATCH(AZ468,$AQ$17:$AX$17,0)),           IF(AY468="INT",_xll.qInterp(O469,AA468:AH468,AQ468:AX468),       INDEX(AQ468:AX468,MATCH(AY468,$AQ$17:$AX$17,0))))))</f>
        <v>0</v>
      </c>
      <c r="BB468" s="674">
        <v>100</v>
      </c>
      <c r="BC468" s="666">
        <f t="shared" si="229"/>
        <v>0</v>
      </c>
      <c r="BD468" s="268">
        <f>IF($O469=0,0,                IF(LEFT(DCC_Leg1_Fixed,2)="1/",uEvaluate(DCC_Leg1_Fixed),        _xll.qDateYears($O468,$O469,DCC_Leg1_Fixed)))</f>
        <v>0</v>
      </c>
      <c r="BE468" s="268">
        <f>IF($O469,_xll.qDateYears($O468,$O469,DCC_Leg1_Float),0)</f>
        <v>0</v>
      </c>
      <c r="BG468" s="332">
        <f t="shared" si="251"/>
        <v>0</v>
      </c>
      <c r="BH468" s="357">
        <f t="shared" si="252"/>
        <v>0</v>
      </c>
      <c r="BI468" s="527"/>
      <c r="BK468" s="324">
        <f t="shared" si="225"/>
        <v>0</v>
      </c>
      <c r="BM468" s="338"/>
      <c r="BN468" s="121">
        <v>0</v>
      </c>
      <c r="BO468" s="755">
        <f t="shared" si="230"/>
        <v>0</v>
      </c>
      <c r="BP468" s="339">
        <v>0</v>
      </c>
      <c r="BQ468" s="890">
        <f>IF(BN469=0,0,         IF(OR(Currency2="AUD",Currency1="NZD",Currency2="GBP"),BN468,   _xll.qDateNext(BN468,"-2b",,,IF(Currency2="EUR","TGT","LON"))))</f>
        <v>0</v>
      </c>
      <c r="BR468" s="879" t="str">
        <v/>
      </c>
      <c r="BS468" s="879" t="str">
        <v/>
      </c>
      <c r="BT468" s="879" t="str">
        <v/>
      </c>
      <c r="BU468" s="879" t="str">
        <v/>
      </c>
      <c r="BV468" s="879" t="str">
        <v/>
      </c>
      <c r="BW468" s="879" t="str">
        <v/>
      </c>
      <c r="BX468" s="879" t="str">
        <v/>
      </c>
      <c r="BY468" s="879" t="str">
        <v/>
      </c>
      <c r="BZ468" s="882">
        <f>IF($BN469=0,0,        _xll.qDateNext($BN468,BZ$17,$CG$16,TRUE,Currency2))</f>
        <v>0</v>
      </c>
      <c r="CA468" s="882">
        <f>IF($BN469=0,0,        _xll.qDateNext($BN468,CA$17,$CG$16,TRUE,Currency2))</f>
        <v>0</v>
      </c>
      <c r="CB468" s="882">
        <f>IF($BN469=0,0,        _xll.qDateNext($BN468,CB$17,$CG$16,TRUE,Currency2))</f>
        <v>0</v>
      </c>
      <c r="CC468" s="882">
        <f>IF($BN469=0,0,        _xll.qDateNext($BN468,CC$17,$CG$16,TRUE,Currency2))</f>
        <v>0</v>
      </c>
      <c r="CD468" s="882">
        <f>IF($BN469=0,0,        _xll.qDateNext($BN468,CD$17,$CG$16,TRUE,Currency2))</f>
        <v>0</v>
      </c>
      <c r="CE468" s="882">
        <f>IF($BN469=0,0,        _xll.qDateNext($BN468,CE$17,$CG$16,TRUE,Currency2))</f>
        <v>0</v>
      </c>
      <c r="CF468" s="882">
        <f>IF($BN469=0,0,        _xll.qDateNext($BN468,CF$17,$CG$16,TRUE,Currency2))</f>
        <v>0</v>
      </c>
      <c r="CG468" s="882">
        <f>IF($BN469=0,0,        _xll.qDateNext($BN468,CG$17,$CG$16,TRUE,Currency2))</f>
        <v>0</v>
      </c>
      <c r="CH468" s="886">
        <v>0</v>
      </c>
      <c r="CI468" s="886">
        <v>0</v>
      </c>
      <c r="CJ468" s="886">
        <v>0</v>
      </c>
      <c r="CK468" s="886">
        <v>0</v>
      </c>
      <c r="CL468" s="886">
        <f t="shared" si="253"/>
        <v>0</v>
      </c>
      <c r="CM468" s="886">
        <f t="shared" si="254"/>
        <v>0</v>
      </c>
      <c r="CN468" s="886">
        <v>0</v>
      </c>
      <c r="CO468" s="886">
        <v>0</v>
      </c>
      <c r="CP468" s="648">
        <f t="shared" si="231"/>
        <v>0</v>
      </c>
      <c r="CQ468" s="648">
        <f t="shared" si="232"/>
        <v>0</v>
      </c>
      <c r="CR468" s="648">
        <f t="shared" si="233"/>
        <v>0</v>
      </c>
      <c r="CS468" s="648">
        <f t="shared" si="234"/>
        <v>0</v>
      </c>
      <c r="CT468" s="648">
        <f t="shared" si="235"/>
        <v>0</v>
      </c>
      <c r="CU468" s="648">
        <f t="shared" si="236"/>
        <v>0</v>
      </c>
      <c r="CV468" s="648">
        <f t="shared" si="237"/>
        <v>0</v>
      </c>
      <c r="CW468" s="648">
        <f t="shared" si="238"/>
        <v>0</v>
      </c>
      <c r="CX468" s="634">
        <v>0</v>
      </c>
      <c r="CY468" s="616"/>
      <c r="CZ468" s="619">
        <f>IF(BN469=0,0,             IF(ISNUMBER(CY468),CY468,             IF(ISTEXT(CY468),INDEX(CP468:CW468,MATCH(CY468,$CP$17:$CW$17,0)),           IF(CX468="INT",_xll.qInterp(BN469,BZ468:CG468,CP468:CW468),       INDEX(CP468:CW468,MATCH(CX468,$CP$17:$CW$17,0))))))</f>
        <v>0</v>
      </c>
      <c r="DA468" s="755">
        <f t="shared" si="239"/>
        <v>0</v>
      </c>
      <c r="DB468" s="387">
        <f t="shared" si="240"/>
        <v>0</v>
      </c>
      <c r="DC468" s="268">
        <f>IF($BN469=0,0,         IF(LEFT(DCC_Leg2_Fixed,2)="1/",uEvaluate(DCC_Leg2_Fixed),         _xll.qDateYears($BN468,$BN469,DCC_Leg2_Fixed)))</f>
        <v>0</v>
      </c>
      <c r="DD468" s="268">
        <f>IF($BN469,_xll.qDateYears($BN468,$BN469,DCC_Leg2_Float),0)</f>
        <v>0</v>
      </c>
      <c r="DF468" s="332">
        <f t="shared" si="255"/>
        <v>0</v>
      </c>
      <c r="DG468" s="357">
        <f t="shared" si="256"/>
        <v>0</v>
      </c>
      <c r="DH468" s="527"/>
      <c r="DJ468" s="324">
        <f t="shared" si="226"/>
        <v>0</v>
      </c>
      <c r="DK468" s="529"/>
      <c r="DL468" s="338"/>
    </row>
    <row r="469" spans="15:116">
      <c r="O469" s="121">
        <v>0</v>
      </c>
      <c r="P469" s="755">
        <f t="shared" si="227"/>
        <v>0</v>
      </c>
      <c r="Q469" s="125">
        <v>0</v>
      </c>
      <c r="R469" s="890">
        <f>IF(O470=0,0,         IF(OR(Currency1="AUD",Currency1="NZD",Currency1="GBP"),O469,   _xll.qDateNext(O469,"-2b",,,IF(Currency1="EUR","TGT","LON"))))</f>
        <v>0</v>
      </c>
      <c r="S469" s="879" t="str">
        <v/>
      </c>
      <c r="T469" s="879" t="str">
        <v/>
      </c>
      <c r="U469" s="879" t="str">
        <v/>
      </c>
      <c r="V469" s="879" t="str">
        <v/>
      </c>
      <c r="W469" s="879" t="str">
        <v/>
      </c>
      <c r="X469" s="879" t="str">
        <v/>
      </c>
      <c r="Y469" s="879" t="str">
        <v/>
      </c>
      <c r="Z469" s="879" t="str">
        <v/>
      </c>
      <c r="AA469" s="882">
        <f>IF($O470=0,0,        _xll.qDateNext($O469,AA$17,$AH$16,TRUE,Currency1))</f>
        <v>0</v>
      </c>
      <c r="AB469" s="882">
        <f>IF($O470=0,0,        _xll.qDateNext($O469,AB$17,$AH$16,TRUE,Currency1))</f>
        <v>0</v>
      </c>
      <c r="AC469" s="882">
        <f>IF($O470=0,0,        _xll.qDateNext($O469,AC$17,$AH$16,TRUE,Currency1))</f>
        <v>0</v>
      </c>
      <c r="AD469" s="882">
        <f>IF($O470=0,0,        _xll.qDateNext($O469,AD$17,$AH$16,TRUE,Currency1))</f>
        <v>0</v>
      </c>
      <c r="AE469" s="882">
        <f>IF($O470=0,0,        _xll.qDateNext($O469,AE$17,$AH$16,TRUE,Currency1))</f>
        <v>0</v>
      </c>
      <c r="AF469" s="882">
        <f>IF($O470=0,0,        _xll.qDateNext($O469,AF$17,$AH$16,TRUE,Currency1))</f>
        <v>0</v>
      </c>
      <c r="AG469" s="882">
        <f>IF($O470=0,0,        _xll.qDateNext($O469,AG$17,$AH$16,TRUE,Currency1))</f>
        <v>0</v>
      </c>
      <c r="AH469" s="882">
        <f>IF($O470=0,0,        _xll.qDateNext($O469,AH$17,$AH$16,TRUE,Currency1))</f>
        <v>0</v>
      </c>
      <c r="AI469" s="886">
        <f>IF($O470=0,0,           IF(FRM,_xll.qGetFwdRate(AI$14,$O469,AA469,"T",DCC_Leg1_Float),_xll.qGetFwdRate(AI$14,$O469,$O470,"T",DCC_Leg1_Float)))</f>
        <v>0</v>
      </c>
      <c r="AJ469" s="886">
        <f>IF($O470=0,0,           IF(FRM,_xll.qGetFwdRate(AJ$14,$O469,AB469,"T",DCC_Leg1_Float),_xll.qGetFwdRate(AJ$14,$O469,$O470,"T",DCC_Leg1_Float)))</f>
        <v>0</v>
      </c>
      <c r="AK469" s="886">
        <f t="shared" si="228"/>
        <v>0</v>
      </c>
      <c r="AL469" s="886">
        <f>IF($O470=0,0,           IF(FRM,_xll.qGetFwdRate(AL$14,$O469,AD469,"T",DCC_Leg1_Float),_xll.qGetFwdRate(AL$14,$O469,$O470,"T",DCC_Leg1_Float)))</f>
        <v>0</v>
      </c>
      <c r="AM469" s="886">
        <f t="shared" si="241"/>
        <v>0</v>
      </c>
      <c r="AN469" s="886">
        <f t="shared" si="242"/>
        <v>0</v>
      </c>
      <c r="AO469" s="886">
        <f>IF($O470=0,0,           IF(FRM,_xll.qGetFwdRate(AO$14,$O469,AG469,"T",DCC_Leg1_Float),_xll.qGetFwdRate(AO$14,$O469,$O470,"T",DCC_Leg1_Float)))</f>
        <v>0</v>
      </c>
      <c r="AP469" s="886">
        <f>IF($O470=0,0,           IF(FRM,_xll.qGetFwdRate(AP$14,$O469,AH469,"T",DCC_Leg1_Float),_xll.qGetFwdRate(AP$14,$O469,$O470,"T",DCC_Leg1_Float)))</f>
        <v>0</v>
      </c>
      <c r="AQ469" s="648">
        <f t="shared" si="243"/>
        <v>0</v>
      </c>
      <c r="AR469" s="648">
        <f t="shared" si="244"/>
        <v>0</v>
      </c>
      <c r="AS469" s="648">
        <f t="shared" si="245"/>
        <v>0</v>
      </c>
      <c r="AT469" s="648">
        <f t="shared" si="246"/>
        <v>0</v>
      </c>
      <c r="AU469" s="648">
        <f t="shared" si="247"/>
        <v>0</v>
      </c>
      <c r="AV469" s="648">
        <f t="shared" si="248"/>
        <v>0</v>
      </c>
      <c r="AW469" s="648">
        <f t="shared" si="249"/>
        <v>0</v>
      </c>
      <c r="AX469" s="648">
        <f t="shared" si="250"/>
        <v>0</v>
      </c>
      <c r="AY469" s="634">
        <v>0</v>
      </c>
      <c r="AZ469" s="616"/>
      <c r="BA469" s="619">
        <f>IF(O470=0,0,             IF(ISNUMBER(AZ469),AZ469,             IF(ISTEXT(AZ469),INDEX(AQ469:AX469,MATCH(AZ469,$AQ$17:$AX$17,0)),           IF(AY469="INT",_xll.qInterp(O470,AA469:AH469,AQ469:AX469),       INDEX(AQ469:AX469,MATCH(AY469,$AQ$17:$AX$17,0))))))</f>
        <v>0</v>
      </c>
      <c r="BB469" s="674">
        <v>100</v>
      </c>
      <c r="BC469" s="666">
        <f t="shared" si="229"/>
        <v>0</v>
      </c>
      <c r="BD469" s="268">
        <f>IF($O470=0,0,                IF(LEFT(DCC_Leg1_Fixed,2)="1/",uEvaluate(DCC_Leg1_Fixed),        _xll.qDateYears($O469,$O470,DCC_Leg1_Fixed)))</f>
        <v>0</v>
      </c>
      <c r="BE469" s="268">
        <f>IF($O470,_xll.qDateYears($O469,$O470,DCC_Leg1_Float),0)</f>
        <v>0</v>
      </c>
      <c r="BG469" s="332">
        <f t="shared" si="251"/>
        <v>0</v>
      </c>
      <c r="BH469" s="357">
        <f t="shared" si="252"/>
        <v>0</v>
      </c>
      <c r="BI469" s="527"/>
      <c r="BK469" s="324">
        <f t="shared" si="225"/>
        <v>0</v>
      </c>
      <c r="BM469" s="338"/>
      <c r="BN469" s="121">
        <v>0</v>
      </c>
      <c r="BO469" s="755">
        <f t="shared" si="230"/>
        <v>0</v>
      </c>
      <c r="BP469" s="339">
        <v>0</v>
      </c>
      <c r="BQ469" s="890">
        <f>IF(BN470=0,0,         IF(OR(Currency2="AUD",Currency1="NZD",Currency2="GBP"),BN469,   _xll.qDateNext(BN469,"-2b",,,IF(Currency2="EUR","TGT","LON"))))</f>
        <v>0</v>
      </c>
      <c r="BR469" s="879" t="str">
        <v/>
      </c>
      <c r="BS469" s="879" t="str">
        <v/>
      </c>
      <c r="BT469" s="879" t="str">
        <v/>
      </c>
      <c r="BU469" s="879" t="str">
        <v/>
      </c>
      <c r="BV469" s="879" t="str">
        <v/>
      </c>
      <c r="BW469" s="879" t="str">
        <v/>
      </c>
      <c r="BX469" s="879" t="str">
        <v/>
      </c>
      <c r="BY469" s="879" t="str">
        <v/>
      </c>
      <c r="BZ469" s="882">
        <f>IF($BN470=0,0,        _xll.qDateNext($BN469,BZ$17,$CG$16,TRUE,Currency2))</f>
        <v>0</v>
      </c>
      <c r="CA469" s="882">
        <f>IF($BN470=0,0,        _xll.qDateNext($BN469,CA$17,$CG$16,TRUE,Currency2))</f>
        <v>0</v>
      </c>
      <c r="CB469" s="882">
        <f>IF($BN470=0,0,        _xll.qDateNext($BN469,CB$17,$CG$16,TRUE,Currency2))</f>
        <v>0</v>
      </c>
      <c r="CC469" s="882">
        <f>IF($BN470=0,0,        _xll.qDateNext($BN469,CC$17,$CG$16,TRUE,Currency2))</f>
        <v>0</v>
      </c>
      <c r="CD469" s="882">
        <f>IF($BN470=0,0,        _xll.qDateNext($BN469,CD$17,$CG$16,TRUE,Currency2))</f>
        <v>0</v>
      </c>
      <c r="CE469" s="882">
        <f>IF($BN470=0,0,        _xll.qDateNext($BN469,CE$17,$CG$16,TRUE,Currency2))</f>
        <v>0</v>
      </c>
      <c r="CF469" s="882">
        <f>IF($BN470=0,0,        _xll.qDateNext($BN469,CF$17,$CG$16,TRUE,Currency2))</f>
        <v>0</v>
      </c>
      <c r="CG469" s="882">
        <f>IF($BN470=0,0,        _xll.qDateNext($BN469,CG$17,$CG$16,TRUE,Currency2))</f>
        <v>0</v>
      </c>
      <c r="CH469" s="886">
        <v>0</v>
      </c>
      <c r="CI469" s="886">
        <v>0</v>
      </c>
      <c r="CJ469" s="886">
        <v>0</v>
      </c>
      <c r="CK469" s="886">
        <v>0</v>
      </c>
      <c r="CL469" s="886">
        <f t="shared" si="253"/>
        <v>0</v>
      </c>
      <c r="CM469" s="886">
        <f t="shared" si="254"/>
        <v>0</v>
      </c>
      <c r="CN469" s="886">
        <v>0</v>
      </c>
      <c r="CO469" s="886">
        <v>0</v>
      </c>
      <c r="CP469" s="648">
        <f t="shared" si="231"/>
        <v>0</v>
      </c>
      <c r="CQ469" s="648">
        <f t="shared" si="232"/>
        <v>0</v>
      </c>
      <c r="CR469" s="648">
        <f t="shared" si="233"/>
        <v>0</v>
      </c>
      <c r="CS469" s="648">
        <f t="shared" si="234"/>
        <v>0</v>
      </c>
      <c r="CT469" s="648">
        <f t="shared" si="235"/>
        <v>0</v>
      </c>
      <c r="CU469" s="648">
        <f t="shared" si="236"/>
        <v>0</v>
      </c>
      <c r="CV469" s="648">
        <f t="shared" si="237"/>
        <v>0</v>
      </c>
      <c r="CW469" s="648">
        <f t="shared" si="238"/>
        <v>0</v>
      </c>
      <c r="CX469" s="634">
        <v>0</v>
      </c>
      <c r="CY469" s="616"/>
      <c r="CZ469" s="619">
        <f>IF(BN470=0,0,             IF(ISNUMBER(CY469),CY469,             IF(ISTEXT(CY469),INDEX(CP469:CW469,MATCH(CY469,$CP$17:$CW$17,0)),           IF(CX469="INT",_xll.qInterp(BN470,BZ469:CG469,CP469:CW469),       INDEX(CP469:CW469,MATCH(CX469,$CP$17:$CW$17,0))))))</f>
        <v>0</v>
      </c>
      <c r="DA469" s="755">
        <f t="shared" si="239"/>
        <v>0</v>
      </c>
      <c r="DB469" s="387">
        <f t="shared" si="240"/>
        <v>0</v>
      </c>
      <c r="DC469" s="268">
        <f>IF($BN470=0,0,         IF(LEFT(DCC_Leg2_Fixed,2)="1/",uEvaluate(DCC_Leg2_Fixed),         _xll.qDateYears($BN469,$BN470,DCC_Leg2_Fixed)))</f>
        <v>0</v>
      </c>
      <c r="DD469" s="268">
        <f>IF($BN470,_xll.qDateYears($BN469,$BN470,DCC_Leg2_Float),0)</f>
        <v>0</v>
      </c>
      <c r="DF469" s="332">
        <f t="shared" si="255"/>
        <v>0</v>
      </c>
      <c r="DG469" s="357">
        <f t="shared" si="256"/>
        <v>0</v>
      </c>
      <c r="DH469" s="527"/>
      <c r="DJ469" s="324">
        <f t="shared" si="226"/>
        <v>0</v>
      </c>
      <c r="DK469" s="529"/>
      <c r="DL469" s="338"/>
    </row>
    <row r="470" spans="15:116">
      <c r="O470" s="121">
        <v>0</v>
      </c>
      <c r="P470" s="755">
        <f t="shared" si="227"/>
        <v>0</v>
      </c>
      <c r="Q470" s="125">
        <v>0</v>
      </c>
      <c r="R470" s="890">
        <f>IF(O471=0,0,         IF(OR(Currency1="AUD",Currency1="NZD",Currency1="GBP"),O470,   _xll.qDateNext(O470,"-2b",,,IF(Currency1="EUR","TGT","LON"))))</f>
        <v>0</v>
      </c>
      <c r="S470" s="879" t="str">
        <v/>
      </c>
      <c r="T470" s="879" t="str">
        <v/>
      </c>
      <c r="U470" s="879" t="str">
        <v/>
      </c>
      <c r="V470" s="879" t="str">
        <v/>
      </c>
      <c r="W470" s="879" t="str">
        <v/>
      </c>
      <c r="X470" s="879" t="str">
        <v/>
      </c>
      <c r="Y470" s="879" t="str">
        <v/>
      </c>
      <c r="Z470" s="879" t="str">
        <v/>
      </c>
      <c r="AA470" s="882">
        <f>IF($O471=0,0,        _xll.qDateNext($O470,AA$17,$AH$16,TRUE,Currency1))</f>
        <v>0</v>
      </c>
      <c r="AB470" s="882">
        <f>IF($O471=0,0,        _xll.qDateNext($O470,AB$17,$AH$16,TRUE,Currency1))</f>
        <v>0</v>
      </c>
      <c r="AC470" s="882">
        <f>IF($O471=0,0,        _xll.qDateNext($O470,AC$17,$AH$16,TRUE,Currency1))</f>
        <v>0</v>
      </c>
      <c r="AD470" s="882">
        <f>IF($O471=0,0,        _xll.qDateNext($O470,AD$17,$AH$16,TRUE,Currency1))</f>
        <v>0</v>
      </c>
      <c r="AE470" s="882">
        <f>IF($O471=0,0,        _xll.qDateNext($O470,AE$17,$AH$16,TRUE,Currency1))</f>
        <v>0</v>
      </c>
      <c r="AF470" s="882">
        <f>IF($O471=0,0,        _xll.qDateNext($O470,AF$17,$AH$16,TRUE,Currency1))</f>
        <v>0</v>
      </c>
      <c r="AG470" s="882">
        <f>IF($O471=0,0,        _xll.qDateNext($O470,AG$17,$AH$16,TRUE,Currency1))</f>
        <v>0</v>
      </c>
      <c r="AH470" s="882">
        <f>IF($O471=0,0,        _xll.qDateNext($O470,AH$17,$AH$16,TRUE,Currency1))</f>
        <v>0</v>
      </c>
      <c r="AI470" s="886">
        <f>IF($O471=0,0,           IF(FRM,_xll.qGetFwdRate(AI$14,$O470,AA470,"T",DCC_Leg1_Float),_xll.qGetFwdRate(AI$14,$O470,$O471,"T",DCC_Leg1_Float)))</f>
        <v>0</v>
      </c>
      <c r="AJ470" s="886">
        <f>IF($O471=0,0,           IF(FRM,_xll.qGetFwdRate(AJ$14,$O470,AB470,"T",DCC_Leg1_Float),_xll.qGetFwdRate(AJ$14,$O470,$O471,"T",DCC_Leg1_Float)))</f>
        <v>0</v>
      </c>
      <c r="AK470" s="886">
        <f t="shared" si="228"/>
        <v>0</v>
      </c>
      <c r="AL470" s="886">
        <f>IF($O471=0,0,           IF(FRM,_xll.qGetFwdRate(AL$14,$O470,AD470,"T",DCC_Leg1_Float),_xll.qGetFwdRate(AL$14,$O470,$O471,"T",DCC_Leg1_Float)))</f>
        <v>0</v>
      </c>
      <c r="AM470" s="886">
        <f t="shared" si="241"/>
        <v>0</v>
      </c>
      <c r="AN470" s="886">
        <f t="shared" si="242"/>
        <v>0</v>
      </c>
      <c r="AO470" s="886">
        <f>IF($O471=0,0,           IF(FRM,_xll.qGetFwdRate(AO$14,$O470,AG470,"T",DCC_Leg1_Float),_xll.qGetFwdRate(AO$14,$O470,$O471,"T",DCC_Leg1_Float)))</f>
        <v>0</v>
      </c>
      <c r="AP470" s="886">
        <f>IF($O471=0,0,           IF(FRM,_xll.qGetFwdRate(AP$14,$O470,AH470,"T",DCC_Leg1_Float),_xll.qGetFwdRate(AP$14,$O470,$O471,"T",DCC_Leg1_Float)))</f>
        <v>0</v>
      </c>
      <c r="AQ470" s="648">
        <f t="shared" si="243"/>
        <v>0</v>
      </c>
      <c r="AR470" s="648">
        <f t="shared" si="244"/>
        <v>0</v>
      </c>
      <c r="AS470" s="648">
        <f t="shared" si="245"/>
        <v>0</v>
      </c>
      <c r="AT470" s="648">
        <f t="shared" si="246"/>
        <v>0</v>
      </c>
      <c r="AU470" s="648">
        <f t="shared" si="247"/>
        <v>0</v>
      </c>
      <c r="AV470" s="648">
        <f t="shared" si="248"/>
        <v>0</v>
      </c>
      <c r="AW470" s="648">
        <f t="shared" si="249"/>
        <v>0</v>
      </c>
      <c r="AX470" s="648">
        <f t="shared" si="250"/>
        <v>0</v>
      </c>
      <c r="AY470" s="634">
        <v>0</v>
      </c>
      <c r="AZ470" s="616"/>
      <c r="BA470" s="619">
        <f>IF(O471=0,0,             IF(ISNUMBER(AZ470),AZ470,             IF(ISTEXT(AZ470),INDEX(AQ470:AX470,MATCH(AZ470,$AQ$17:$AX$17,0)),           IF(AY470="INT",_xll.qInterp(O471,AA470:AH470,AQ470:AX470),       INDEX(AQ470:AX470,MATCH(AY470,$AQ$17:$AX$17,0))))))</f>
        <v>0</v>
      </c>
      <c r="BB470" s="674">
        <v>100</v>
      </c>
      <c r="BC470" s="666">
        <f t="shared" si="229"/>
        <v>0</v>
      </c>
      <c r="BD470" s="268">
        <f>IF($O471=0,0,                IF(LEFT(DCC_Leg1_Fixed,2)="1/",uEvaluate(DCC_Leg1_Fixed),        _xll.qDateYears($O470,$O471,DCC_Leg1_Fixed)))</f>
        <v>0</v>
      </c>
      <c r="BE470" s="268">
        <f>IF($O471,_xll.qDateYears($O470,$O471,DCC_Leg1_Float),0)</f>
        <v>0</v>
      </c>
      <c r="BG470" s="332">
        <f t="shared" si="251"/>
        <v>0</v>
      </c>
      <c r="BH470" s="357">
        <f t="shared" si="252"/>
        <v>0</v>
      </c>
      <c r="BI470" s="527"/>
      <c r="BK470" s="324">
        <f t="shared" si="225"/>
        <v>0</v>
      </c>
      <c r="BM470" s="338"/>
      <c r="BN470" s="121">
        <v>0</v>
      </c>
      <c r="BO470" s="755">
        <f t="shared" si="230"/>
        <v>0</v>
      </c>
      <c r="BP470" s="339">
        <v>0</v>
      </c>
      <c r="BQ470" s="890">
        <f>IF(BN471=0,0,         IF(OR(Currency2="AUD",Currency1="NZD",Currency2="GBP"),BN470,   _xll.qDateNext(BN470,"-2b",,,IF(Currency2="EUR","TGT","LON"))))</f>
        <v>0</v>
      </c>
      <c r="BR470" s="879" t="str">
        <v/>
      </c>
      <c r="BS470" s="879" t="str">
        <v/>
      </c>
      <c r="BT470" s="879" t="str">
        <v/>
      </c>
      <c r="BU470" s="879" t="str">
        <v/>
      </c>
      <c r="BV470" s="879" t="str">
        <v/>
      </c>
      <c r="BW470" s="879" t="str">
        <v/>
      </c>
      <c r="BX470" s="879" t="str">
        <v/>
      </c>
      <c r="BY470" s="879" t="str">
        <v/>
      </c>
      <c r="BZ470" s="882">
        <f>IF($BN471=0,0,        _xll.qDateNext($BN470,BZ$17,$CG$16,TRUE,Currency2))</f>
        <v>0</v>
      </c>
      <c r="CA470" s="882">
        <f>IF($BN471=0,0,        _xll.qDateNext($BN470,CA$17,$CG$16,TRUE,Currency2))</f>
        <v>0</v>
      </c>
      <c r="CB470" s="882">
        <f>IF($BN471=0,0,        _xll.qDateNext($BN470,CB$17,$CG$16,TRUE,Currency2))</f>
        <v>0</v>
      </c>
      <c r="CC470" s="882">
        <f>IF($BN471=0,0,        _xll.qDateNext($BN470,CC$17,$CG$16,TRUE,Currency2))</f>
        <v>0</v>
      </c>
      <c r="CD470" s="882">
        <f>IF($BN471=0,0,        _xll.qDateNext($BN470,CD$17,$CG$16,TRUE,Currency2))</f>
        <v>0</v>
      </c>
      <c r="CE470" s="882">
        <f>IF($BN471=0,0,        _xll.qDateNext($BN470,CE$17,$CG$16,TRUE,Currency2))</f>
        <v>0</v>
      </c>
      <c r="CF470" s="882">
        <f>IF($BN471=0,0,        _xll.qDateNext($BN470,CF$17,$CG$16,TRUE,Currency2))</f>
        <v>0</v>
      </c>
      <c r="CG470" s="882">
        <f>IF($BN471=0,0,        _xll.qDateNext($BN470,CG$17,$CG$16,TRUE,Currency2))</f>
        <v>0</v>
      </c>
      <c r="CH470" s="886">
        <v>0</v>
      </c>
      <c r="CI470" s="886">
        <v>0</v>
      </c>
      <c r="CJ470" s="886">
        <v>0</v>
      </c>
      <c r="CK470" s="886">
        <v>0</v>
      </c>
      <c r="CL470" s="886">
        <f t="shared" si="253"/>
        <v>0</v>
      </c>
      <c r="CM470" s="886">
        <f t="shared" si="254"/>
        <v>0</v>
      </c>
      <c r="CN470" s="886">
        <v>0</v>
      </c>
      <c r="CO470" s="886">
        <v>0</v>
      </c>
      <c r="CP470" s="648">
        <f t="shared" si="231"/>
        <v>0</v>
      </c>
      <c r="CQ470" s="648">
        <f t="shared" si="232"/>
        <v>0</v>
      </c>
      <c r="CR470" s="648">
        <f t="shared" si="233"/>
        <v>0</v>
      </c>
      <c r="CS470" s="648">
        <f t="shared" si="234"/>
        <v>0</v>
      </c>
      <c r="CT470" s="648">
        <f t="shared" si="235"/>
        <v>0</v>
      </c>
      <c r="CU470" s="648">
        <f t="shared" si="236"/>
        <v>0</v>
      </c>
      <c r="CV470" s="648">
        <f t="shared" si="237"/>
        <v>0</v>
      </c>
      <c r="CW470" s="648">
        <f t="shared" si="238"/>
        <v>0</v>
      </c>
      <c r="CX470" s="634">
        <v>0</v>
      </c>
      <c r="CY470" s="616"/>
      <c r="CZ470" s="619">
        <f>IF(BN471=0,0,             IF(ISNUMBER(CY470),CY470,             IF(ISTEXT(CY470),INDEX(CP470:CW470,MATCH(CY470,$CP$17:$CW$17,0)),           IF(CX470="INT",_xll.qInterp(BN471,BZ470:CG470,CP470:CW470),       INDEX(CP470:CW470,MATCH(CX470,$CP$17:$CW$17,0))))))</f>
        <v>0</v>
      </c>
      <c r="DA470" s="755">
        <f t="shared" si="239"/>
        <v>0</v>
      </c>
      <c r="DB470" s="387">
        <f t="shared" si="240"/>
        <v>0</v>
      </c>
      <c r="DC470" s="268">
        <f>IF($BN471=0,0,         IF(LEFT(DCC_Leg2_Fixed,2)="1/",uEvaluate(DCC_Leg2_Fixed),         _xll.qDateYears($BN470,$BN471,DCC_Leg2_Fixed)))</f>
        <v>0</v>
      </c>
      <c r="DD470" s="268">
        <f>IF($BN471,_xll.qDateYears($BN470,$BN471,DCC_Leg2_Float),0)</f>
        <v>0</v>
      </c>
      <c r="DF470" s="332">
        <f t="shared" si="255"/>
        <v>0</v>
      </c>
      <c r="DG470" s="357">
        <f t="shared" si="256"/>
        <v>0</v>
      </c>
      <c r="DH470" s="527"/>
      <c r="DJ470" s="324">
        <f t="shared" si="226"/>
        <v>0</v>
      </c>
      <c r="DK470" s="529"/>
      <c r="DL470" s="338"/>
    </row>
    <row r="471" spans="15:116">
      <c r="O471" s="121">
        <v>0</v>
      </c>
      <c r="P471" s="755">
        <f t="shared" si="227"/>
        <v>0</v>
      </c>
      <c r="Q471" s="125">
        <v>0</v>
      </c>
      <c r="R471" s="890">
        <f>IF(O472=0,0,         IF(OR(Currency1="AUD",Currency1="NZD",Currency1="GBP"),O471,   _xll.qDateNext(O471,"-2b",,,IF(Currency1="EUR","TGT","LON"))))</f>
        <v>0</v>
      </c>
      <c r="S471" s="879" t="str">
        <v/>
      </c>
      <c r="T471" s="879" t="str">
        <v/>
      </c>
      <c r="U471" s="879" t="str">
        <v/>
      </c>
      <c r="V471" s="879" t="str">
        <v/>
      </c>
      <c r="W471" s="879" t="str">
        <v/>
      </c>
      <c r="X471" s="879" t="str">
        <v/>
      </c>
      <c r="Y471" s="879" t="str">
        <v/>
      </c>
      <c r="Z471" s="879" t="str">
        <v/>
      </c>
      <c r="AA471" s="882">
        <f>IF($O472=0,0,        _xll.qDateNext($O471,AA$17,$AH$16,TRUE,Currency1))</f>
        <v>0</v>
      </c>
      <c r="AB471" s="882">
        <f>IF($O472=0,0,        _xll.qDateNext($O471,AB$17,$AH$16,TRUE,Currency1))</f>
        <v>0</v>
      </c>
      <c r="AC471" s="882">
        <f>IF($O472=0,0,        _xll.qDateNext($O471,AC$17,$AH$16,TRUE,Currency1))</f>
        <v>0</v>
      </c>
      <c r="AD471" s="882">
        <f>IF($O472=0,0,        _xll.qDateNext($O471,AD$17,$AH$16,TRUE,Currency1))</f>
        <v>0</v>
      </c>
      <c r="AE471" s="882">
        <f>IF($O472=0,0,        _xll.qDateNext($O471,AE$17,$AH$16,TRUE,Currency1))</f>
        <v>0</v>
      </c>
      <c r="AF471" s="882">
        <f>IF($O472=0,0,        _xll.qDateNext($O471,AF$17,$AH$16,TRUE,Currency1))</f>
        <v>0</v>
      </c>
      <c r="AG471" s="882">
        <f>IF($O472=0,0,        _xll.qDateNext($O471,AG$17,$AH$16,TRUE,Currency1))</f>
        <v>0</v>
      </c>
      <c r="AH471" s="882">
        <f>IF($O472=0,0,        _xll.qDateNext($O471,AH$17,$AH$16,TRUE,Currency1))</f>
        <v>0</v>
      </c>
      <c r="AI471" s="886">
        <f>IF($O472=0,0,           IF(FRM,_xll.qGetFwdRate(AI$14,$O471,AA471,"T",DCC_Leg1_Float),_xll.qGetFwdRate(AI$14,$O471,$O472,"T",DCC_Leg1_Float)))</f>
        <v>0</v>
      </c>
      <c r="AJ471" s="886">
        <f>IF($O472=0,0,           IF(FRM,_xll.qGetFwdRate(AJ$14,$O471,AB471,"T",DCC_Leg1_Float),_xll.qGetFwdRate(AJ$14,$O471,$O472,"T",DCC_Leg1_Float)))</f>
        <v>0</v>
      </c>
      <c r="AK471" s="886">
        <f t="shared" si="228"/>
        <v>0</v>
      </c>
      <c r="AL471" s="886">
        <f>IF($O472=0,0,           IF(FRM,_xll.qGetFwdRate(AL$14,$O471,AD471,"T",DCC_Leg1_Float),_xll.qGetFwdRate(AL$14,$O471,$O472,"T",DCC_Leg1_Float)))</f>
        <v>0</v>
      </c>
      <c r="AM471" s="886">
        <f t="shared" si="241"/>
        <v>0</v>
      </c>
      <c r="AN471" s="886">
        <f t="shared" si="242"/>
        <v>0</v>
      </c>
      <c r="AO471" s="886">
        <f>IF($O472=0,0,           IF(FRM,_xll.qGetFwdRate(AO$14,$O471,AG471,"T",DCC_Leg1_Float),_xll.qGetFwdRate(AO$14,$O471,$O472,"T",DCC_Leg1_Float)))</f>
        <v>0</v>
      </c>
      <c r="AP471" s="886">
        <f>IF($O472=0,0,           IF(FRM,_xll.qGetFwdRate(AP$14,$O471,AH471,"T",DCC_Leg1_Float),_xll.qGetFwdRate(AP$14,$O471,$O472,"T",DCC_Leg1_Float)))</f>
        <v>0</v>
      </c>
      <c r="AQ471" s="648">
        <f t="shared" si="243"/>
        <v>0</v>
      </c>
      <c r="AR471" s="648">
        <f t="shared" si="244"/>
        <v>0</v>
      </c>
      <c r="AS471" s="648">
        <f t="shared" si="245"/>
        <v>0</v>
      </c>
      <c r="AT471" s="648">
        <f t="shared" si="246"/>
        <v>0</v>
      </c>
      <c r="AU471" s="648">
        <f t="shared" si="247"/>
        <v>0</v>
      </c>
      <c r="AV471" s="648">
        <f t="shared" si="248"/>
        <v>0</v>
      </c>
      <c r="AW471" s="648">
        <f t="shared" si="249"/>
        <v>0</v>
      </c>
      <c r="AX471" s="648">
        <f t="shared" si="250"/>
        <v>0</v>
      </c>
      <c r="AY471" s="634">
        <v>0</v>
      </c>
      <c r="AZ471" s="616"/>
      <c r="BA471" s="619">
        <f>IF(O472=0,0,             IF(ISNUMBER(AZ471),AZ471,             IF(ISTEXT(AZ471),INDEX(AQ471:AX471,MATCH(AZ471,$AQ$17:$AX$17,0)),           IF(AY471="INT",_xll.qInterp(O472,AA471:AH471,AQ471:AX471),       INDEX(AQ471:AX471,MATCH(AY471,$AQ$17:$AX$17,0))))))</f>
        <v>0</v>
      </c>
      <c r="BB471" s="674">
        <v>100</v>
      </c>
      <c r="BC471" s="666">
        <f t="shared" si="229"/>
        <v>0</v>
      </c>
      <c r="BD471" s="268">
        <f>IF($O472=0,0,                IF(LEFT(DCC_Leg1_Fixed,2)="1/",uEvaluate(DCC_Leg1_Fixed),        _xll.qDateYears($O471,$O472,DCC_Leg1_Fixed)))</f>
        <v>0</v>
      </c>
      <c r="BE471" s="268">
        <f>IF($O472,_xll.qDateYears($O471,$O472,DCC_Leg1_Float),0)</f>
        <v>0</v>
      </c>
      <c r="BG471" s="332">
        <f t="shared" si="251"/>
        <v>0</v>
      </c>
      <c r="BH471" s="357">
        <f t="shared" si="252"/>
        <v>0</v>
      </c>
      <c r="BI471" s="527"/>
      <c r="BK471" s="324">
        <f t="shared" si="225"/>
        <v>0</v>
      </c>
      <c r="BM471" s="338"/>
      <c r="BN471" s="121">
        <v>0</v>
      </c>
      <c r="BO471" s="755">
        <f t="shared" si="230"/>
        <v>0</v>
      </c>
      <c r="BP471" s="339">
        <v>0</v>
      </c>
      <c r="BQ471" s="890">
        <f>IF(BN472=0,0,         IF(OR(Currency2="AUD",Currency1="NZD",Currency2="GBP"),BN471,   _xll.qDateNext(BN471,"-2b",,,IF(Currency2="EUR","TGT","LON"))))</f>
        <v>0</v>
      </c>
      <c r="BR471" s="879" t="str">
        <v/>
      </c>
      <c r="BS471" s="879" t="str">
        <v/>
      </c>
      <c r="BT471" s="879" t="str">
        <v/>
      </c>
      <c r="BU471" s="879" t="str">
        <v/>
      </c>
      <c r="BV471" s="879" t="str">
        <v/>
      </c>
      <c r="BW471" s="879" t="str">
        <v/>
      </c>
      <c r="BX471" s="879" t="str">
        <v/>
      </c>
      <c r="BY471" s="879" t="str">
        <v/>
      </c>
      <c r="BZ471" s="882">
        <f>IF($BN472=0,0,        _xll.qDateNext($BN471,BZ$17,$CG$16,TRUE,Currency2))</f>
        <v>0</v>
      </c>
      <c r="CA471" s="882">
        <f>IF($BN472=0,0,        _xll.qDateNext($BN471,CA$17,$CG$16,TRUE,Currency2))</f>
        <v>0</v>
      </c>
      <c r="CB471" s="882">
        <f>IF($BN472=0,0,        _xll.qDateNext($BN471,CB$17,$CG$16,TRUE,Currency2))</f>
        <v>0</v>
      </c>
      <c r="CC471" s="882">
        <f>IF($BN472=0,0,        _xll.qDateNext($BN471,CC$17,$CG$16,TRUE,Currency2))</f>
        <v>0</v>
      </c>
      <c r="CD471" s="882">
        <f>IF($BN472=0,0,        _xll.qDateNext($BN471,CD$17,$CG$16,TRUE,Currency2))</f>
        <v>0</v>
      </c>
      <c r="CE471" s="882">
        <f>IF($BN472=0,0,        _xll.qDateNext($BN471,CE$17,$CG$16,TRUE,Currency2))</f>
        <v>0</v>
      </c>
      <c r="CF471" s="882">
        <f>IF($BN472=0,0,        _xll.qDateNext($BN471,CF$17,$CG$16,TRUE,Currency2))</f>
        <v>0</v>
      </c>
      <c r="CG471" s="882">
        <f>IF($BN472=0,0,        _xll.qDateNext($BN471,CG$17,$CG$16,TRUE,Currency2))</f>
        <v>0</v>
      </c>
      <c r="CH471" s="886">
        <v>0</v>
      </c>
      <c r="CI471" s="886">
        <v>0</v>
      </c>
      <c r="CJ471" s="886">
        <v>0</v>
      </c>
      <c r="CK471" s="886">
        <v>0</v>
      </c>
      <c r="CL471" s="886">
        <f t="shared" si="253"/>
        <v>0</v>
      </c>
      <c r="CM471" s="886">
        <f t="shared" si="254"/>
        <v>0</v>
      </c>
      <c r="CN471" s="886">
        <v>0</v>
      </c>
      <c r="CO471" s="886">
        <v>0</v>
      </c>
      <c r="CP471" s="648">
        <f t="shared" si="231"/>
        <v>0</v>
      </c>
      <c r="CQ471" s="648">
        <f t="shared" si="232"/>
        <v>0</v>
      </c>
      <c r="CR471" s="648">
        <f t="shared" si="233"/>
        <v>0</v>
      </c>
      <c r="CS471" s="648">
        <f t="shared" si="234"/>
        <v>0</v>
      </c>
      <c r="CT471" s="648">
        <f t="shared" si="235"/>
        <v>0</v>
      </c>
      <c r="CU471" s="648">
        <f t="shared" si="236"/>
        <v>0</v>
      </c>
      <c r="CV471" s="648">
        <f t="shared" si="237"/>
        <v>0</v>
      </c>
      <c r="CW471" s="648">
        <f t="shared" si="238"/>
        <v>0</v>
      </c>
      <c r="CX471" s="634">
        <v>0</v>
      </c>
      <c r="CY471" s="616"/>
      <c r="CZ471" s="619">
        <f>IF(BN472=0,0,             IF(ISNUMBER(CY471),CY471,             IF(ISTEXT(CY471),INDEX(CP471:CW471,MATCH(CY471,$CP$17:$CW$17,0)),           IF(CX471="INT",_xll.qInterp(BN472,BZ471:CG471,CP471:CW471),       INDEX(CP471:CW471,MATCH(CX471,$CP$17:$CW$17,0))))))</f>
        <v>0</v>
      </c>
      <c r="DA471" s="755">
        <f t="shared" si="239"/>
        <v>0</v>
      </c>
      <c r="DB471" s="387">
        <f t="shared" si="240"/>
        <v>0</v>
      </c>
      <c r="DC471" s="268">
        <f>IF($BN472=0,0,         IF(LEFT(DCC_Leg2_Fixed,2)="1/",uEvaluate(DCC_Leg2_Fixed),         _xll.qDateYears($BN471,$BN472,DCC_Leg2_Fixed)))</f>
        <v>0</v>
      </c>
      <c r="DD471" s="268">
        <f>IF($BN472,_xll.qDateYears($BN471,$BN472,DCC_Leg2_Float),0)</f>
        <v>0</v>
      </c>
      <c r="DF471" s="332">
        <f t="shared" si="255"/>
        <v>0</v>
      </c>
      <c r="DG471" s="357">
        <f t="shared" si="256"/>
        <v>0</v>
      </c>
      <c r="DH471" s="527"/>
      <c r="DJ471" s="324">
        <f t="shared" si="226"/>
        <v>0</v>
      </c>
      <c r="DK471" s="529"/>
      <c r="DL471" s="338"/>
    </row>
    <row r="472" spans="15:116">
      <c r="O472" s="121">
        <v>0</v>
      </c>
      <c r="P472" s="755">
        <f t="shared" si="227"/>
        <v>0</v>
      </c>
      <c r="Q472" s="125">
        <v>0</v>
      </c>
      <c r="R472" s="890">
        <f>IF(O473=0,0,         IF(OR(Currency1="AUD",Currency1="NZD",Currency1="GBP"),O472,   _xll.qDateNext(O472,"-2b",,,IF(Currency1="EUR","TGT","LON"))))</f>
        <v>0</v>
      </c>
      <c r="S472" s="879" t="str">
        <v/>
      </c>
      <c r="T472" s="879" t="str">
        <v/>
      </c>
      <c r="U472" s="879" t="str">
        <v/>
      </c>
      <c r="V472" s="879" t="str">
        <v/>
      </c>
      <c r="W472" s="879" t="str">
        <v/>
      </c>
      <c r="X472" s="879" t="str">
        <v/>
      </c>
      <c r="Y472" s="879" t="str">
        <v/>
      </c>
      <c r="Z472" s="879" t="str">
        <v/>
      </c>
      <c r="AA472" s="882">
        <f>IF($O473=0,0,        _xll.qDateNext($O472,AA$17,$AH$16,TRUE,Currency1))</f>
        <v>0</v>
      </c>
      <c r="AB472" s="882">
        <f>IF($O473=0,0,        _xll.qDateNext($O472,AB$17,$AH$16,TRUE,Currency1))</f>
        <v>0</v>
      </c>
      <c r="AC472" s="882">
        <f>IF($O473=0,0,        _xll.qDateNext($O472,AC$17,$AH$16,TRUE,Currency1))</f>
        <v>0</v>
      </c>
      <c r="AD472" s="882">
        <f>IF($O473=0,0,        _xll.qDateNext($O472,AD$17,$AH$16,TRUE,Currency1))</f>
        <v>0</v>
      </c>
      <c r="AE472" s="882">
        <f>IF($O473=0,0,        _xll.qDateNext($O472,AE$17,$AH$16,TRUE,Currency1))</f>
        <v>0</v>
      </c>
      <c r="AF472" s="882">
        <f>IF($O473=0,0,        _xll.qDateNext($O472,AF$17,$AH$16,TRUE,Currency1))</f>
        <v>0</v>
      </c>
      <c r="AG472" s="882">
        <f>IF($O473=0,0,        _xll.qDateNext($O472,AG$17,$AH$16,TRUE,Currency1))</f>
        <v>0</v>
      </c>
      <c r="AH472" s="882">
        <f>IF($O473=0,0,        _xll.qDateNext($O472,AH$17,$AH$16,TRUE,Currency1))</f>
        <v>0</v>
      </c>
      <c r="AI472" s="886">
        <f>IF($O473=0,0,           IF(FRM,_xll.qGetFwdRate(AI$14,$O472,AA472,"T",DCC_Leg1_Float),_xll.qGetFwdRate(AI$14,$O472,$O473,"T",DCC_Leg1_Float)))</f>
        <v>0</v>
      </c>
      <c r="AJ472" s="886">
        <f>IF($O473=0,0,           IF(FRM,_xll.qGetFwdRate(AJ$14,$O472,AB472,"T",DCC_Leg1_Float),_xll.qGetFwdRate(AJ$14,$O472,$O473,"T",DCC_Leg1_Float)))</f>
        <v>0</v>
      </c>
      <c r="AK472" s="886">
        <f t="shared" si="228"/>
        <v>0</v>
      </c>
      <c r="AL472" s="886">
        <f>IF($O473=0,0,           IF(FRM,_xll.qGetFwdRate(AL$14,$O472,AD472,"T",DCC_Leg1_Float),_xll.qGetFwdRate(AL$14,$O472,$O473,"T",DCC_Leg1_Float)))</f>
        <v>0</v>
      </c>
      <c r="AM472" s="886">
        <f t="shared" si="241"/>
        <v>0</v>
      </c>
      <c r="AN472" s="886">
        <f t="shared" si="242"/>
        <v>0</v>
      </c>
      <c r="AO472" s="886">
        <f>IF($O473=0,0,           IF(FRM,_xll.qGetFwdRate(AO$14,$O472,AG472,"T",DCC_Leg1_Float),_xll.qGetFwdRate(AO$14,$O472,$O473,"T",DCC_Leg1_Float)))</f>
        <v>0</v>
      </c>
      <c r="AP472" s="886">
        <f>IF($O473=0,0,           IF(FRM,_xll.qGetFwdRate(AP$14,$O472,AH472,"T",DCC_Leg1_Float),_xll.qGetFwdRate(AP$14,$O472,$O473,"T",DCC_Leg1_Float)))</f>
        <v>0</v>
      </c>
      <c r="AQ472" s="648">
        <f t="shared" si="243"/>
        <v>0</v>
      </c>
      <c r="AR472" s="648">
        <f t="shared" si="244"/>
        <v>0</v>
      </c>
      <c r="AS472" s="648">
        <f t="shared" si="245"/>
        <v>0</v>
      </c>
      <c r="AT472" s="648">
        <f t="shared" si="246"/>
        <v>0</v>
      </c>
      <c r="AU472" s="648">
        <f t="shared" si="247"/>
        <v>0</v>
      </c>
      <c r="AV472" s="648">
        <f t="shared" si="248"/>
        <v>0</v>
      </c>
      <c r="AW472" s="648">
        <f t="shared" si="249"/>
        <v>0</v>
      </c>
      <c r="AX472" s="648">
        <f t="shared" si="250"/>
        <v>0</v>
      </c>
      <c r="AY472" s="634">
        <v>0</v>
      </c>
      <c r="AZ472" s="616"/>
      <c r="BA472" s="619">
        <f>IF(O473=0,0,             IF(ISNUMBER(AZ472),AZ472,             IF(ISTEXT(AZ472),INDEX(AQ472:AX472,MATCH(AZ472,$AQ$17:$AX$17,0)),           IF(AY472="INT",_xll.qInterp(O473,AA472:AH472,AQ472:AX472),       INDEX(AQ472:AX472,MATCH(AY472,$AQ$17:$AX$17,0))))))</f>
        <v>0</v>
      </c>
      <c r="BB472" s="674">
        <v>100</v>
      </c>
      <c r="BC472" s="666">
        <f t="shared" si="229"/>
        <v>0</v>
      </c>
      <c r="BD472" s="268">
        <f>IF($O473=0,0,                IF(LEFT(DCC_Leg1_Fixed,2)="1/",uEvaluate(DCC_Leg1_Fixed),        _xll.qDateYears($O472,$O473,DCC_Leg1_Fixed)))</f>
        <v>0</v>
      </c>
      <c r="BE472" s="268">
        <f>IF($O473,_xll.qDateYears($O472,$O473,DCC_Leg1_Float),0)</f>
        <v>0</v>
      </c>
      <c r="BG472" s="332">
        <f t="shared" si="251"/>
        <v>0</v>
      </c>
      <c r="BH472" s="357">
        <f t="shared" si="252"/>
        <v>0</v>
      </c>
      <c r="BI472" s="527"/>
      <c r="BK472" s="324">
        <f t="shared" si="225"/>
        <v>0</v>
      </c>
      <c r="BM472" s="338"/>
      <c r="BN472" s="121">
        <v>0</v>
      </c>
      <c r="BO472" s="755">
        <f t="shared" si="230"/>
        <v>0</v>
      </c>
      <c r="BP472" s="339">
        <v>0</v>
      </c>
      <c r="BQ472" s="890">
        <f>IF(BN473=0,0,         IF(OR(Currency2="AUD",Currency1="NZD",Currency2="GBP"),BN472,   _xll.qDateNext(BN472,"-2b",,,IF(Currency2="EUR","TGT","LON"))))</f>
        <v>0</v>
      </c>
      <c r="BR472" s="879" t="str">
        <v/>
      </c>
      <c r="BS472" s="879" t="str">
        <v/>
      </c>
      <c r="BT472" s="879" t="str">
        <v/>
      </c>
      <c r="BU472" s="879" t="str">
        <v/>
      </c>
      <c r="BV472" s="879" t="str">
        <v/>
      </c>
      <c r="BW472" s="879" t="str">
        <v/>
      </c>
      <c r="BX472" s="879" t="str">
        <v/>
      </c>
      <c r="BY472" s="879" t="str">
        <v/>
      </c>
      <c r="BZ472" s="882">
        <f>IF($BN473=0,0,        _xll.qDateNext($BN472,BZ$17,$CG$16,TRUE,Currency2))</f>
        <v>0</v>
      </c>
      <c r="CA472" s="882">
        <f>IF($BN473=0,0,        _xll.qDateNext($BN472,CA$17,$CG$16,TRUE,Currency2))</f>
        <v>0</v>
      </c>
      <c r="CB472" s="882">
        <f>IF($BN473=0,0,        _xll.qDateNext($BN472,CB$17,$CG$16,TRUE,Currency2))</f>
        <v>0</v>
      </c>
      <c r="CC472" s="882">
        <f>IF($BN473=0,0,        _xll.qDateNext($BN472,CC$17,$CG$16,TRUE,Currency2))</f>
        <v>0</v>
      </c>
      <c r="CD472" s="882">
        <f>IF($BN473=0,0,        _xll.qDateNext($BN472,CD$17,$CG$16,TRUE,Currency2))</f>
        <v>0</v>
      </c>
      <c r="CE472" s="882">
        <f>IF($BN473=0,0,        _xll.qDateNext($BN472,CE$17,$CG$16,TRUE,Currency2))</f>
        <v>0</v>
      </c>
      <c r="CF472" s="882">
        <f>IF($BN473=0,0,        _xll.qDateNext($BN472,CF$17,$CG$16,TRUE,Currency2))</f>
        <v>0</v>
      </c>
      <c r="CG472" s="882">
        <f>IF($BN473=0,0,        _xll.qDateNext($BN472,CG$17,$CG$16,TRUE,Currency2))</f>
        <v>0</v>
      </c>
      <c r="CH472" s="886">
        <v>0</v>
      </c>
      <c r="CI472" s="886">
        <v>0</v>
      </c>
      <c r="CJ472" s="886">
        <v>0</v>
      </c>
      <c r="CK472" s="886">
        <v>0</v>
      </c>
      <c r="CL472" s="886">
        <f t="shared" si="253"/>
        <v>0</v>
      </c>
      <c r="CM472" s="886">
        <f t="shared" si="254"/>
        <v>0</v>
      </c>
      <c r="CN472" s="886">
        <v>0</v>
      </c>
      <c r="CO472" s="886">
        <v>0</v>
      </c>
      <c r="CP472" s="648">
        <f t="shared" si="231"/>
        <v>0</v>
      </c>
      <c r="CQ472" s="648">
        <f t="shared" si="232"/>
        <v>0</v>
      </c>
      <c r="CR472" s="648">
        <f t="shared" si="233"/>
        <v>0</v>
      </c>
      <c r="CS472" s="648">
        <f t="shared" si="234"/>
        <v>0</v>
      </c>
      <c r="CT472" s="648">
        <f t="shared" si="235"/>
        <v>0</v>
      </c>
      <c r="CU472" s="648">
        <f t="shared" si="236"/>
        <v>0</v>
      </c>
      <c r="CV472" s="648">
        <f t="shared" si="237"/>
        <v>0</v>
      </c>
      <c r="CW472" s="648">
        <f t="shared" si="238"/>
        <v>0</v>
      </c>
      <c r="CX472" s="634">
        <v>0</v>
      </c>
      <c r="CY472" s="616"/>
      <c r="CZ472" s="619">
        <f>IF(BN473=0,0,             IF(ISNUMBER(CY472),CY472,             IF(ISTEXT(CY472),INDEX(CP472:CW472,MATCH(CY472,$CP$17:$CW$17,0)),           IF(CX472="INT",_xll.qInterp(BN473,BZ472:CG472,CP472:CW472),       INDEX(CP472:CW472,MATCH(CX472,$CP$17:$CW$17,0))))))</f>
        <v>0</v>
      </c>
      <c r="DA472" s="755">
        <f t="shared" si="239"/>
        <v>0</v>
      </c>
      <c r="DB472" s="387">
        <f t="shared" si="240"/>
        <v>0</v>
      </c>
      <c r="DC472" s="268">
        <f>IF($BN473=0,0,         IF(LEFT(DCC_Leg2_Fixed,2)="1/",uEvaluate(DCC_Leg2_Fixed),         _xll.qDateYears($BN472,$BN473,DCC_Leg2_Fixed)))</f>
        <v>0</v>
      </c>
      <c r="DD472" s="268">
        <f>IF($BN473,_xll.qDateYears($BN472,$BN473,DCC_Leg2_Float),0)</f>
        <v>0</v>
      </c>
      <c r="DF472" s="332">
        <f t="shared" si="255"/>
        <v>0</v>
      </c>
      <c r="DG472" s="357">
        <f t="shared" si="256"/>
        <v>0</v>
      </c>
      <c r="DH472" s="527"/>
      <c r="DJ472" s="324">
        <f t="shared" si="226"/>
        <v>0</v>
      </c>
      <c r="DK472" s="529"/>
      <c r="DL472" s="338"/>
    </row>
    <row r="473" spans="15:116">
      <c r="O473" s="121">
        <v>0</v>
      </c>
      <c r="P473" s="755">
        <f t="shared" si="227"/>
        <v>0</v>
      </c>
      <c r="Q473" s="125">
        <v>0</v>
      </c>
      <c r="R473" s="890">
        <f>IF(O474=0,0,         IF(OR(Currency1="AUD",Currency1="NZD",Currency1="GBP"),O473,   _xll.qDateNext(O473,"-2b",,,IF(Currency1="EUR","TGT","LON"))))</f>
        <v>0</v>
      </c>
      <c r="S473" s="879" t="str">
        <v/>
      </c>
      <c r="T473" s="879" t="str">
        <v/>
      </c>
      <c r="U473" s="879" t="str">
        <v/>
      </c>
      <c r="V473" s="879" t="str">
        <v/>
      </c>
      <c r="W473" s="879" t="str">
        <v/>
      </c>
      <c r="X473" s="879" t="str">
        <v/>
      </c>
      <c r="Y473" s="879" t="str">
        <v/>
      </c>
      <c r="Z473" s="879" t="str">
        <v/>
      </c>
      <c r="AA473" s="882">
        <f>IF($O474=0,0,        _xll.qDateNext($O473,AA$17,$AH$16,TRUE,Currency1))</f>
        <v>0</v>
      </c>
      <c r="AB473" s="882">
        <f>IF($O474=0,0,        _xll.qDateNext($O473,AB$17,$AH$16,TRUE,Currency1))</f>
        <v>0</v>
      </c>
      <c r="AC473" s="882">
        <f>IF($O474=0,0,        _xll.qDateNext($O473,AC$17,$AH$16,TRUE,Currency1))</f>
        <v>0</v>
      </c>
      <c r="AD473" s="882">
        <f>IF($O474=0,0,        _xll.qDateNext($O473,AD$17,$AH$16,TRUE,Currency1))</f>
        <v>0</v>
      </c>
      <c r="AE473" s="882">
        <f>IF($O474=0,0,        _xll.qDateNext($O473,AE$17,$AH$16,TRUE,Currency1))</f>
        <v>0</v>
      </c>
      <c r="AF473" s="882">
        <f>IF($O474=0,0,        _xll.qDateNext($O473,AF$17,$AH$16,TRUE,Currency1))</f>
        <v>0</v>
      </c>
      <c r="AG473" s="882">
        <f>IF($O474=0,0,        _xll.qDateNext($O473,AG$17,$AH$16,TRUE,Currency1))</f>
        <v>0</v>
      </c>
      <c r="AH473" s="882">
        <f>IF($O474=0,0,        _xll.qDateNext($O473,AH$17,$AH$16,TRUE,Currency1))</f>
        <v>0</v>
      </c>
      <c r="AI473" s="886">
        <f>IF($O474=0,0,           IF(FRM,_xll.qGetFwdRate(AI$14,$O473,AA473,"T",DCC_Leg1_Float),_xll.qGetFwdRate(AI$14,$O473,$O474,"T",DCC_Leg1_Float)))</f>
        <v>0</v>
      </c>
      <c r="AJ473" s="886">
        <f>IF($O474=0,0,           IF(FRM,_xll.qGetFwdRate(AJ$14,$O473,AB473,"T",DCC_Leg1_Float),_xll.qGetFwdRate(AJ$14,$O473,$O474,"T",DCC_Leg1_Float)))</f>
        <v>0</v>
      </c>
      <c r="AK473" s="886">
        <f t="shared" si="228"/>
        <v>0</v>
      </c>
      <c r="AL473" s="886">
        <f>IF($O474=0,0,           IF(FRM,_xll.qGetFwdRate(AL$14,$O473,AD473,"T",DCC_Leg1_Float),_xll.qGetFwdRate(AL$14,$O473,$O474,"T",DCC_Leg1_Float)))</f>
        <v>0</v>
      </c>
      <c r="AM473" s="886">
        <f t="shared" si="241"/>
        <v>0</v>
      </c>
      <c r="AN473" s="886">
        <f t="shared" si="242"/>
        <v>0</v>
      </c>
      <c r="AO473" s="886">
        <f>IF($O474=0,0,           IF(FRM,_xll.qGetFwdRate(AO$14,$O473,AG473,"T",DCC_Leg1_Float),_xll.qGetFwdRate(AO$14,$O473,$O474,"T",DCC_Leg1_Float)))</f>
        <v>0</v>
      </c>
      <c r="AP473" s="886">
        <f>IF($O474=0,0,           IF(FRM,_xll.qGetFwdRate(AP$14,$O473,AH473,"T",DCC_Leg1_Float),_xll.qGetFwdRate(AP$14,$O473,$O474,"T",DCC_Leg1_Float)))</f>
        <v>0</v>
      </c>
      <c r="AQ473" s="648">
        <f t="shared" si="243"/>
        <v>0</v>
      </c>
      <c r="AR473" s="648">
        <f t="shared" si="244"/>
        <v>0</v>
      </c>
      <c r="AS473" s="648">
        <f t="shared" si="245"/>
        <v>0</v>
      </c>
      <c r="AT473" s="648">
        <f t="shared" si="246"/>
        <v>0</v>
      </c>
      <c r="AU473" s="648">
        <f t="shared" si="247"/>
        <v>0</v>
      </c>
      <c r="AV473" s="648">
        <f t="shared" si="248"/>
        <v>0</v>
      </c>
      <c r="AW473" s="648">
        <f t="shared" si="249"/>
        <v>0</v>
      </c>
      <c r="AX473" s="648">
        <f t="shared" si="250"/>
        <v>0</v>
      </c>
      <c r="AY473" s="634">
        <v>0</v>
      </c>
      <c r="AZ473" s="616"/>
      <c r="BA473" s="619">
        <f>IF(O474=0,0,             IF(ISNUMBER(AZ473),AZ473,             IF(ISTEXT(AZ473),INDEX(AQ473:AX473,MATCH(AZ473,$AQ$17:$AX$17,0)),           IF(AY473="INT",_xll.qInterp(O474,AA473:AH473,AQ473:AX473),       INDEX(AQ473:AX473,MATCH(AY473,$AQ$17:$AX$17,0))))))</f>
        <v>0</v>
      </c>
      <c r="BB473" s="674">
        <v>100</v>
      </c>
      <c r="BC473" s="666">
        <f t="shared" si="229"/>
        <v>0</v>
      </c>
      <c r="BD473" s="268">
        <f>IF($O474=0,0,                IF(LEFT(DCC_Leg1_Fixed,2)="1/",uEvaluate(DCC_Leg1_Fixed),        _xll.qDateYears($O473,$O474,DCC_Leg1_Fixed)))</f>
        <v>0</v>
      </c>
      <c r="BE473" s="268">
        <f>IF($O474,_xll.qDateYears($O473,$O474,DCC_Leg1_Float),0)</f>
        <v>0</v>
      </c>
      <c r="BG473" s="332">
        <f t="shared" si="251"/>
        <v>0</v>
      </c>
      <c r="BH473" s="357">
        <f t="shared" si="252"/>
        <v>0</v>
      </c>
      <c r="BI473" s="527"/>
      <c r="BK473" s="324">
        <f t="shared" si="225"/>
        <v>0</v>
      </c>
      <c r="BM473" s="338"/>
      <c r="BN473" s="121">
        <v>0</v>
      </c>
      <c r="BO473" s="755">
        <f t="shared" si="230"/>
        <v>0</v>
      </c>
      <c r="BP473" s="339">
        <v>0</v>
      </c>
      <c r="BQ473" s="890">
        <f>IF(BN474=0,0,         IF(OR(Currency2="AUD",Currency1="NZD",Currency2="GBP"),BN473,   _xll.qDateNext(BN473,"-2b",,,IF(Currency2="EUR","TGT","LON"))))</f>
        <v>0</v>
      </c>
      <c r="BR473" s="879" t="str">
        <v/>
      </c>
      <c r="BS473" s="879" t="str">
        <v/>
      </c>
      <c r="BT473" s="879" t="str">
        <v/>
      </c>
      <c r="BU473" s="879" t="str">
        <v/>
      </c>
      <c r="BV473" s="879" t="str">
        <v/>
      </c>
      <c r="BW473" s="879" t="str">
        <v/>
      </c>
      <c r="BX473" s="879" t="str">
        <v/>
      </c>
      <c r="BY473" s="879" t="str">
        <v/>
      </c>
      <c r="BZ473" s="882">
        <f>IF($BN474=0,0,        _xll.qDateNext($BN473,BZ$17,$CG$16,TRUE,Currency2))</f>
        <v>0</v>
      </c>
      <c r="CA473" s="882">
        <f>IF($BN474=0,0,        _xll.qDateNext($BN473,CA$17,$CG$16,TRUE,Currency2))</f>
        <v>0</v>
      </c>
      <c r="CB473" s="882">
        <f>IF($BN474=0,0,        _xll.qDateNext($BN473,CB$17,$CG$16,TRUE,Currency2))</f>
        <v>0</v>
      </c>
      <c r="CC473" s="882">
        <f>IF($BN474=0,0,        _xll.qDateNext($BN473,CC$17,$CG$16,TRUE,Currency2))</f>
        <v>0</v>
      </c>
      <c r="CD473" s="882">
        <f>IF($BN474=0,0,        _xll.qDateNext($BN473,CD$17,$CG$16,TRUE,Currency2))</f>
        <v>0</v>
      </c>
      <c r="CE473" s="882">
        <f>IF($BN474=0,0,        _xll.qDateNext($BN473,CE$17,$CG$16,TRUE,Currency2))</f>
        <v>0</v>
      </c>
      <c r="CF473" s="882">
        <f>IF($BN474=0,0,        _xll.qDateNext($BN473,CF$17,$CG$16,TRUE,Currency2))</f>
        <v>0</v>
      </c>
      <c r="CG473" s="882">
        <f>IF($BN474=0,0,        _xll.qDateNext($BN473,CG$17,$CG$16,TRUE,Currency2))</f>
        <v>0</v>
      </c>
      <c r="CH473" s="886">
        <v>0</v>
      </c>
      <c r="CI473" s="886">
        <v>0</v>
      </c>
      <c r="CJ473" s="886">
        <v>0</v>
      </c>
      <c r="CK473" s="886">
        <v>0</v>
      </c>
      <c r="CL473" s="886">
        <f t="shared" si="253"/>
        <v>0</v>
      </c>
      <c r="CM473" s="886">
        <f t="shared" si="254"/>
        <v>0</v>
      </c>
      <c r="CN473" s="886">
        <v>0</v>
      </c>
      <c r="CO473" s="886">
        <v>0</v>
      </c>
      <c r="CP473" s="648">
        <f t="shared" si="231"/>
        <v>0</v>
      </c>
      <c r="CQ473" s="648">
        <f t="shared" si="232"/>
        <v>0</v>
      </c>
      <c r="CR473" s="648">
        <f t="shared" si="233"/>
        <v>0</v>
      </c>
      <c r="CS473" s="648">
        <f t="shared" si="234"/>
        <v>0</v>
      </c>
      <c r="CT473" s="648">
        <f t="shared" si="235"/>
        <v>0</v>
      </c>
      <c r="CU473" s="648">
        <f t="shared" si="236"/>
        <v>0</v>
      </c>
      <c r="CV473" s="648">
        <f t="shared" si="237"/>
        <v>0</v>
      </c>
      <c r="CW473" s="648">
        <f t="shared" si="238"/>
        <v>0</v>
      </c>
      <c r="CX473" s="634">
        <v>0</v>
      </c>
      <c r="CY473" s="616"/>
      <c r="CZ473" s="619">
        <f>IF(BN474=0,0,             IF(ISNUMBER(CY473),CY473,             IF(ISTEXT(CY473),INDEX(CP473:CW473,MATCH(CY473,$CP$17:$CW$17,0)),           IF(CX473="INT",_xll.qInterp(BN474,BZ473:CG473,CP473:CW473),       INDEX(CP473:CW473,MATCH(CX473,$CP$17:$CW$17,0))))))</f>
        <v>0</v>
      </c>
      <c r="DA473" s="755">
        <f t="shared" si="239"/>
        <v>0</v>
      </c>
      <c r="DB473" s="387">
        <f t="shared" si="240"/>
        <v>0</v>
      </c>
      <c r="DC473" s="268">
        <f>IF($BN474=0,0,         IF(LEFT(DCC_Leg2_Fixed,2)="1/",uEvaluate(DCC_Leg2_Fixed),         _xll.qDateYears($BN473,$BN474,DCC_Leg2_Fixed)))</f>
        <v>0</v>
      </c>
      <c r="DD473" s="268">
        <f>IF($BN474,_xll.qDateYears($BN473,$BN474,DCC_Leg2_Float),0)</f>
        <v>0</v>
      </c>
      <c r="DF473" s="332">
        <f t="shared" si="255"/>
        <v>0</v>
      </c>
      <c r="DG473" s="357">
        <f t="shared" si="256"/>
        <v>0</v>
      </c>
      <c r="DH473" s="527"/>
      <c r="DJ473" s="324">
        <f t="shared" si="226"/>
        <v>0</v>
      </c>
      <c r="DK473" s="529"/>
      <c r="DL473" s="338"/>
    </row>
    <row r="474" spans="15:116">
      <c r="O474" s="121">
        <v>0</v>
      </c>
      <c r="P474" s="755">
        <f t="shared" si="227"/>
        <v>0</v>
      </c>
      <c r="Q474" s="125">
        <v>0</v>
      </c>
      <c r="R474" s="890">
        <f>IF(O475=0,0,         IF(OR(Currency1="AUD",Currency1="NZD",Currency1="GBP"),O474,   _xll.qDateNext(O474,"-2b",,,IF(Currency1="EUR","TGT","LON"))))</f>
        <v>0</v>
      </c>
      <c r="S474" s="879" t="str">
        <v/>
      </c>
      <c r="T474" s="879" t="str">
        <v/>
      </c>
      <c r="U474" s="879" t="str">
        <v/>
      </c>
      <c r="V474" s="879" t="str">
        <v/>
      </c>
      <c r="W474" s="879" t="str">
        <v/>
      </c>
      <c r="X474" s="879" t="str">
        <v/>
      </c>
      <c r="Y474" s="879" t="str">
        <v/>
      </c>
      <c r="Z474" s="879" t="str">
        <v/>
      </c>
      <c r="AA474" s="882">
        <f>IF($O475=0,0,        _xll.qDateNext($O474,AA$17,$AH$16,TRUE,Currency1))</f>
        <v>0</v>
      </c>
      <c r="AB474" s="882">
        <f>IF($O475=0,0,        _xll.qDateNext($O474,AB$17,$AH$16,TRUE,Currency1))</f>
        <v>0</v>
      </c>
      <c r="AC474" s="882">
        <f>IF($O475=0,0,        _xll.qDateNext($O474,AC$17,$AH$16,TRUE,Currency1))</f>
        <v>0</v>
      </c>
      <c r="AD474" s="882">
        <f>IF($O475=0,0,        _xll.qDateNext($O474,AD$17,$AH$16,TRUE,Currency1))</f>
        <v>0</v>
      </c>
      <c r="AE474" s="882">
        <f>IF($O475=0,0,        _xll.qDateNext($O474,AE$17,$AH$16,TRUE,Currency1))</f>
        <v>0</v>
      </c>
      <c r="AF474" s="882">
        <f>IF($O475=0,0,        _xll.qDateNext($O474,AF$17,$AH$16,TRUE,Currency1))</f>
        <v>0</v>
      </c>
      <c r="AG474" s="882">
        <f>IF($O475=0,0,        _xll.qDateNext($O474,AG$17,$AH$16,TRUE,Currency1))</f>
        <v>0</v>
      </c>
      <c r="AH474" s="882">
        <f>IF($O475=0,0,        _xll.qDateNext($O474,AH$17,$AH$16,TRUE,Currency1))</f>
        <v>0</v>
      </c>
      <c r="AI474" s="886">
        <f>IF($O475=0,0,           IF(FRM,_xll.qGetFwdRate(AI$14,$O474,AA474,"T",DCC_Leg1_Float),_xll.qGetFwdRate(AI$14,$O474,$O475,"T",DCC_Leg1_Float)))</f>
        <v>0</v>
      </c>
      <c r="AJ474" s="886">
        <f>IF($O475=0,0,           IF(FRM,_xll.qGetFwdRate(AJ$14,$O474,AB474,"T",DCC_Leg1_Float),_xll.qGetFwdRate(AJ$14,$O474,$O475,"T",DCC_Leg1_Float)))</f>
        <v>0</v>
      </c>
      <c r="AK474" s="886">
        <f t="shared" si="228"/>
        <v>0</v>
      </c>
      <c r="AL474" s="886">
        <f>IF($O475=0,0,           IF(FRM,_xll.qGetFwdRate(AL$14,$O474,AD474,"T",DCC_Leg1_Float),_xll.qGetFwdRate(AL$14,$O474,$O475,"T",DCC_Leg1_Float)))</f>
        <v>0</v>
      </c>
      <c r="AM474" s="886">
        <f t="shared" si="241"/>
        <v>0</v>
      </c>
      <c r="AN474" s="886">
        <f t="shared" si="242"/>
        <v>0</v>
      </c>
      <c r="AO474" s="886">
        <f>IF($O475=0,0,           IF(FRM,_xll.qGetFwdRate(AO$14,$O474,AG474,"T",DCC_Leg1_Float),_xll.qGetFwdRate(AO$14,$O474,$O475,"T",DCC_Leg1_Float)))</f>
        <v>0</v>
      </c>
      <c r="AP474" s="886">
        <f>IF($O475=0,0,           IF(FRM,_xll.qGetFwdRate(AP$14,$O474,AH474,"T",DCC_Leg1_Float),_xll.qGetFwdRate(AP$14,$O474,$O475,"T",DCC_Leg1_Float)))</f>
        <v>0</v>
      </c>
      <c r="AQ474" s="648">
        <f t="shared" si="243"/>
        <v>0</v>
      </c>
      <c r="AR474" s="648">
        <f t="shared" si="244"/>
        <v>0</v>
      </c>
      <c r="AS474" s="648">
        <f t="shared" si="245"/>
        <v>0</v>
      </c>
      <c r="AT474" s="648">
        <f t="shared" si="246"/>
        <v>0</v>
      </c>
      <c r="AU474" s="648">
        <f t="shared" si="247"/>
        <v>0</v>
      </c>
      <c r="AV474" s="648">
        <f t="shared" si="248"/>
        <v>0</v>
      </c>
      <c r="AW474" s="648">
        <f t="shared" si="249"/>
        <v>0</v>
      </c>
      <c r="AX474" s="648">
        <f t="shared" si="250"/>
        <v>0</v>
      </c>
      <c r="AY474" s="634">
        <v>0</v>
      </c>
      <c r="AZ474" s="616"/>
      <c r="BA474" s="619">
        <f>IF(O475=0,0,             IF(ISNUMBER(AZ474),AZ474,             IF(ISTEXT(AZ474),INDEX(AQ474:AX474,MATCH(AZ474,$AQ$17:$AX$17,0)),           IF(AY474="INT",_xll.qInterp(O475,AA474:AH474,AQ474:AX474),       INDEX(AQ474:AX474,MATCH(AY474,$AQ$17:$AX$17,0))))))</f>
        <v>0</v>
      </c>
      <c r="BB474" s="674">
        <v>100</v>
      </c>
      <c r="BC474" s="666">
        <f t="shared" si="229"/>
        <v>0</v>
      </c>
      <c r="BD474" s="268">
        <f>IF($O475=0,0,                IF(LEFT(DCC_Leg1_Fixed,2)="1/",uEvaluate(DCC_Leg1_Fixed),        _xll.qDateYears($O474,$O475,DCC_Leg1_Fixed)))</f>
        <v>0</v>
      </c>
      <c r="BE474" s="268">
        <f>IF($O475,_xll.qDateYears($O474,$O475,DCC_Leg1_Float),0)</f>
        <v>0</v>
      </c>
      <c r="BG474" s="332">
        <f t="shared" si="251"/>
        <v>0</v>
      </c>
      <c r="BH474" s="357">
        <f t="shared" si="252"/>
        <v>0</v>
      </c>
      <c r="BI474" s="527"/>
      <c r="BK474" s="324">
        <f t="shared" si="225"/>
        <v>0</v>
      </c>
      <c r="BM474" s="338"/>
      <c r="BN474" s="121">
        <v>0</v>
      </c>
      <c r="BO474" s="755">
        <f t="shared" si="230"/>
        <v>0</v>
      </c>
      <c r="BP474" s="339">
        <v>0</v>
      </c>
      <c r="BQ474" s="890">
        <f>IF(BN475=0,0,         IF(OR(Currency2="AUD",Currency1="NZD",Currency2="GBP"),BN474,   _xll.qDateNext(BN474,"-2b",,,IF(Currency2="EUR","TGT","LON"))))</f>
        <v>0</v>
      </c>
      <c r="BR474" s="879" t="str">
        <v/>
      </c>
      <c r="BS474" s="879" t="str">
        <v/>
      </c>
      <c r="BT474" s="879" t="str">
        <v/>
      </c>
      <c r="BU474" s="879" t="str">
        <v/>
      </c>
      <c r="BV474" s="879" t="str">
        <v/>
      </c>
      <c r="BW474" s="879" t="str">
        <v/>
      </c>
      <c r="BX474" s="879" t="str">
        <v/>
      </c>
      <c r="BY474" s="879" t="str">
        <v/>
      </c>
      <c r="BZ474" s="882">
        <f>IF($BN475=0,0,        _xll.qDateNext($BN474,BZ$17,$CG$16,TRUE,Currency2))</f>
        <v>0</v>
      </c>
      <c r="CA474" s="882">
        <f>IF($BN475=0,0,        _xll.qDateNext($BN474,CA$17,$CG$16,TRUE,Currency2))</f>
        <v>0</v>
      </c>
      <c r="CB474" s="882">
        <f>IF($BN475=0,0,        _xll.qDateNext($BN474,CB$17,$CG$16,TRUE,Currency2))</f>
        <v>0</v>
      </c>
      <c r="CC474" s="882">
        <f>IF($BN475=0,0,        _xll.qDateNext($BN474,CC$17,$CG$16,TRUE,Currency2))</f>
        <v>0</v>
      </c>
      <c r="CD474" s="882">
        <f>IF($BN475=0,0,        _xll.qDateNext($BN474,CD$17,$CG$16,TRUE,Currency2))</f>
        <v>0</v>
      </c>
      <c r="CE474" s="882">
        <f>IF($BN475=0,0,        _xll.qDateNext($BN474,CE$17,$CG$16,TRUE,Currency2))</f>
        <v>0</v>
      </c>
      <c r="CF474" s="882">
        <f>IF($BN475=0,0,        _xll.qDateNext($BN474,CF$17,$CG$16,TRUE,Currency2))</f>
        <v>0</v>
      </c>
      <c r="CG474" s="882">
        <f>IF($BN475=0,0,        _xll.qDateNext($BN474,CG$17,$CG$16,TRUE,Currency2))</f>
        <v>0</v>
      </c>
      <c r="CH474" s="886">
        <v>0</v>
      </c>
      <c r="CI474" s="886">
        <v>0</v>
      </c>
      <c r="CJ474" s="886">
        <v>0</v>
      </c>
      <c r="CK474" s="886">
        <v>0</v>
      </c>
      <c r="CL474" s="886">
        <f t="shared" si="253"/>
        <v>0</v>
      </c>
      <c r="CM474" s="886">
        <f t="shared" si="254"/>
        <v>0</v>
      </c>
      <c r="CN474" s="886">
        <v>0</v>
      </c>
      <c r="CO474" s="886">
        <v>0</v>
      </c>
      <c r="CP474" s="648">
        <f t="shared" si="231"/>
        <v>0</v>
      </c>
      <c r="CQ474" s="648">
        <f t="shared" si="232"/>
        <v>0</v>
      </c>
      <c r="CR474" s="648">
        <f t="shared" si="233"/>
        <v>0</v>
      </c>
      <c r="CS474" s="648">
        <f t="shared" si="234"/>
        <v>0</v>
      </c>
      <c r="CT474" s="648">
        <f t="shared" si="235"/>
        <v>0</v>
      </c>
      <c r="CU474" s="648">
        <f t="shared" si="236"/>
        <v>0</v>
      </c>
      <c r="CV474" s="648">
        <f t="shared" si="237"/>
        <v>0</v>
      </c>
      <c r="CW474" s="648">
        <f t="shared" si="238"/>
        <v>0</v>
      </c>
      <c r="CX474" s="634">
        <v>0</v>
      </c>
      <c r="CY474" s="616"/>
      <c r="CZ474" s="619">
        <f>IF(BN475=0,0,             IF(ISNUMBER(CY474),CY474,             IF(ISTEXT(CY474),INDEX(CP474:CW474,MATCH(CY474,$CP$17:$CW$17,0)),           IF(CX474="INT",_xll.qInterp(BN475,BZ474:CG474,CP474:CW474),       INDEX(CP474:CW474,MATCH(CX474,$CP$17:$CW$17,0))))))</f>
        <v>0</v>
      </c>
      <c r="DA474" s="755">
        <f t="shared" si="239"/>
        <v>0</v>
      </c>
      <c r="DB474" s="387">
        <f t="shared" si="240"/>
        <v>0</v>
      </c>
      <c r="DC474" s="268">
        <f>IF($BN475=0,0,         IF(LEFT(DCC_Leg2_Fixed,2)="1/",uEvaluate(DCC_Leg2_Fixed),         _xll.qDateYears($BN474,$BN475,DCC_Leg2_Fixed)))</f>
        <v>0</v>
      </c>
      <c r="DD474" s="268">
        <f>IF($BN475,_xll.qDateYears($BN474,$BN475,DCC_Leg2_Float),0)</f>
        <v>0</v>
      </c>
      <c r="DF474" s="332">
        <f t="shared" si="255"/>
        <v>0</v>
      </c>
      <c r="DG474" s="357">
        <f t="shared" si="256"/>
        <v>0</v>
      </c>
      <c r="DH474" s="527"/>
      <c r="DJ474" s="324">
        <f t="shared" si="226"/>
        <v>0</v>
      </c>
      <c r="DK474" s="529"/>
      <c r="DL474" s="338"/>
    </row>
    <row r="475" spans="15:116">
      <c r="O475" s="121">
        <v>0</v>
      </c>
      <c r="P475" s="755">
        <f t="shared" si="227"/>
        <v>0</v>
      </c>
      <c r="Q475" s="125">
        <v>0</v>
      </c>
      <c r="R475" s="890">
        <f>IF(O476=0,0,         IF(OR(Currency1="AUD",Currency1="NZD",Currency1="GBP"),O475,   _xll.qDateNext(O475,"-2b",,,IF(Currency1="EUR","TGT","LON"))))</f>
        <v>0</v>
      </c>
      <c r="S475" s="879" t="str">
        <v/>
      </c>
      <c r="T475" s="879" t="str">
        <v/>
      </c>
      <c r="U475" s="879" t="str">
        <v/>
      </c>
      <c r="V475" s="879" t="str">
        <v/>
      </c>
      <c r="W475" s="879" t="str">
        <v/>
      </c>
      <c r="X475" s="879" t="str">
        <v/>
      </c>
      <c r="Y475" s="879" t="str">
        <v/>
      </c>
      <c r="Z475" s="879" t="str">
        <v/>
      </c>
      <c r="AA475" s="882">
        <f>IF($O476=0,0,        _xll.qDateNext($O475,AA$17,$AH$16,TRUE,Currency1))</f>
        <v>0</v>
      </c>
      <c r="AB475" s="882">
        <f>IF($O476=0,0,        _xll.qDateNext($O475,AB$17,$AH$16,TRUE,Currency1))</f>
        <v>0</v>
      </c>
      <c r="AC475" s="882">
        <f>IF($O476=0,0,        _xll.qDateNext($O475,AC$17,$AH$16,TRUE,Currency1))</f>
        <v>0</v>
      </c>
      <c r="AD475" s="882">
        <f>IF($O476=0,0,        _xll.qDateNext($O475,AD$17,$AH$16,TRUE,Currency1))</f>
        <v>0</v>
      </c>
      <c r="AE475" s="882">
        <f>IF($O476=0,0,        _xll.qDateNext($O475,AE$17,$AH$16,TRUE,Currency1))</f>
        <v>0</v>
      </c>
      <c r="AF475" s="882">
        <f>IF($O476=0,0,        _xll.qDateNext($O475,AF$17,$AH$16,TRUE,Currency1))</f>
        <v>0</v>
      </c>
      <c r="AG475" s="882">
        <f>IF($O476=0,0,        _xll.qDateNext($O475,AG$17,$AH$16,TRUE,Currency1))</f>
        <v>0</v>
      </c>
      <c r="AH475" s="882">
        <f>IF($O476=0,0,        _xll.qDateNext($O475,AH$17,$AH$16,TRUE,Currency1))</f>
        <v>0</v>
      </c>
      <c r="AI475" s="886">
        <f>IF($O476=0,0,           IF(FRM,_xll.qGetFwdRate(AI$14,$O475,AA475,"T",DCC_Leg1_Float),_xll.qGetFwdRate(AI$14,$O475,$O476,"T",DCC_Leg1_Float)))</f>
        <v>0</v>
      </c>
      <c r="AJ475" s="886">
        <f>IF($O476=0,0,           IF(FRM,_xll.qGetFwdRate(AJ$14,$O475,AB475,"T",DCC_Leg1_Float),_xll.qGetFwdRate(AJ$14,$O475,$O476,"T",DCC_Leg1_Float)))</f>
        <v>0</v>
      </c>
      <c r="AK475" s="886">
        <f t="shared" si="228"/>
        <v>0</v>
      </c>
      <c r="AL475" s="886">
        <f>IF($O476=0,0,           IF(FRM,_xll.qGetFwdRate(AL$14,$O475,AD475,"T",DCC_Leg1_Float),_xll.qGetFwdRate(AL$14,$O475,$O476,"T",DCC_Leg1_Float)))</f>
        <v>0</v>
      </c>
      <c r="AM475" s="886">
        <f t="shared" si="241"/>
        <v>0</v>
      </c>
      <c r="AN475" s="886">
        <f t="shared" si="242"/>
        <v>0</v>
      </c>
      <c r="AO475" s="886">
        <f>IF($O476=0,0,           IF(FRM,_xll.qGetFwdRate(AO$14,$O475,AG475,"T",DCC_Leg1_Float),_xll.qGetFwdRate(AO$14,$O475,$O476,"T",DCC_Leg1_Float)))</f>
        <v>0</v>
      </c>
      <c r="AP475" s="886">
        <f>IF($O476=0,0,           IF(FRM,_xll.qGetFwdRate(AP$14,$O475,AH475,"T",DCC_Leg1_Float),_xll.qGetFwdRate(AP$14,$O475,$O476,"T",DCC_Leg1_Float)))</f>
        <v>0</v>
      </c>
      <c r="AQ475" s="648">
        <f t="shared" si="243"/>
        <v>0</v>
      </c>
      <c r="AR475" s="648">
        <f t="shared" si="244"/>
        <v>0</v>
      </c>
      <c r="AS475" s="648">
        <f t="shared" si="245"/>
        <v>0</v>
      </c>
      <c r="AT475" s="648">
        <f t="shared" si="246"/>
        <v>0</v>
      </c>
      <c r="AU475" s="648">
        <f t="shared" si="247"/>
        <v>0</v>
      </c>
      <c r="AV475" s="648">
        <f t="shared" si="248"/>
        <v>0</v>
      </c>
      <c r="AW475" s="648">
        <f t="shared" si="249"/>
        <v>0</v>
      </c>
      <c r="AX475" s="648">
        <f t="shared" si="250"/>
        <v>0</v>
      </c>
      <c r="AY475" s="634">
        <v>0</v>
      </c>
      <c r="AZ475" s="616"/>
      <c r="BA475" s="619">
        <f>IF(O476=0,0,             IF(ISNUMBER(AZ475),AZ475,             IF(ISTEXT(AZ475),INDEX(AQ475:AX475,MATCH(AZ475,$AQ$17:$AX$17,0)),           IF(AY475="INT",_xll.qInterp(O476,AA475:AH475,AQ475:AX475),       INDEX(AQ475:AX475,MATCH(AY475,$AQ$17:$AX$17,0))))))</f>
        <v>0</v>
      </c>
      <c r="BB475" s="674">
        <v>100</v>
      </c>
      <c r="BC475" s="666">
        <f t="shared" si="229"/>
        <v>0</v>
      </c>
      <c r="BD475" s="268">
        <f>IF($O476=0,0,                IF(LEFT(DCC_Leg1_Fixed,2)="1/",uEvaluate(DCC_Leg1_Fixed),        _xll.qDateYears($O475,$O476,DCC_Leg1_Fixed)))</f>
        <v>0</v>
      </c>
      <c r="BE475" s="268">
        <f>IF($O476,_xll.qDateYears($O475,$O476,DCC_Leg1_Float),0)</f>
        <v>0</v>
      </c>
      <c r="BG475" s="332">
        <f t="shared" si="251"/>
        <v>0</v>
      </c>
      <c r="BH475" s="357">
        <f t="shared" si="252"/>
        <v>0</v>
      </c>
      <c r="BI475" s="527"/>
      <c r="BK475" s="324">
        <f t="shared" si="225"/>
        <v>0</v>
      </c>
      <c r="BM475" s="338"/>
      <c r="BN475" s="121">
        <v>0</v>
      </c>
      <c r="BO475" s="755">
        <f t="shared" si="230"/>
        <v>0</v>
      </c>
      <c r="BP475" s="339">
        <v>0</v>
      </c>
      <c r="BQ475" s="890">
        <f>IF(BN476=0,0,         IF(OR(Currency2="AUD",Currency1="NZD",Currency2="GBP"),BN475,   _xll.qDateNext(BN475,"-2b",,,IF(Currency2="EUR","TGT","LON"))))</f>
        <v>0</v>
      </c>
      <c r="BR475" s="879" t="str">
        <v/>
      </c>
      <c r="BS475" s="879" t="str">
        <v/>
      </c>
      <c r="BT475" s="879" t="str">
        <v/>
      </c>
      <c r="BU475" s="879" t="str">
        <v/>
      </c>
      <c r="BV475" s="879" t="str">
        <v/>
      </c>
      <c r="BW475" s="879" t="str">
        <v/>
      </c>
      <c r="BX475" s="879" t="str">
        <v/>
      </c>
      <c r="BY475" s="879" t="str">
        <v/>
      </c>
      <c r="BZ475" s="882">
        <f>IF($BN476=0,0,        _xll.qDateNext($BN475,BZ$17,$CG$16,TRUE,Currency2))</f>
        <v>0</v>
      </c>
      <c r="CA475" s="882">
        <f>IF($BN476=0,0,        _xll.qDateNext($BN475,CA$17,$CG$16,TRUE,Currency2))</f>
        <v>0</v>
      </c>
      <c r="CB475" s="882">
        <f>IF($BN476=0,0,        _xll.qDateNext($BN475,CB$17,$CG$16,TRUE,Currency2))</f>
        <v>0</v>
      </c>
      <c r="CC475" s="882">
        <f>IF($BN476=0,0,        _xll.qDateNext($BN475,CC$17,$CG$16,TRUE,Currency2))</f>
        <v>0</v>
      </c>
      <c r="CD475" s="882">
        <f>IF($BN476=0,0,        _xll.qDateNext($BN475,CD$17,$CG$16,TRUE,Currency2))</f>
        <v>0</v>
      </c>
      <c r="CE475" s="882">
        <f>IF($BN476=0,0,        _xll.qDateNext($BN475,CE$17,$CG$16,TRUE,Currency2))</f>
        <v>0</v>
      </c>
      <c r="CF475" s="882">
        <f>IF($BN476=0,0,        _xll.qDateNext($BN475,CF$17,$CG$16,TRUE,Currency2))</f>
        <v>0</v>
      </c>
      <c r="CG475" s="882">
        <f>IF($BN476=0,0,        _xll.qDateNext($BN475,CG$17,$CG$16,TRUE,Currency2))</f>
        <v>0</v>
      </c>
      <c r="CH475" s="886">
        <v>0</v>
      </c>
      <c r="CI475" s="886">
        <v>0</v>
      </c>
      <c r="CJ475" s="886">
        <v>0</v>
      </c>
      <c r="CK475" s="886">
        <v>0</v>
      </c>
      <c r="CL475" s="886">
        <f t="shared" si="253"/>
        <v>0</v>
      </c>
      <c r="CM475" s="886">
        <f t="shared" si="254"/>
        <v>0</v>
      </c>
      <c r="CN475" s="886">
        <v>0</v>
      </c>
      <c r="CO475" s="886">
        <v>0</v>
      </c>
      <c r="CP475" s="648">
        <f t="shared" si="231"/>
        <v>0</v>
      </c>
      <c r="CQ475" s="648">
        <f t="shared" si="232"/>
        <v>0</v>
      </c>
      <c r="CR475" s="648">
        <f t="shared" si="233"/>
        <v>0</v>
      </c>
      <c r="CS475" s="648">
        <f t="shared" si="234"/>
        <v>0</v>
      </c>
      <c r="CT475" s="648">
        <f t="shared" si="235"/>
        <v>0</v>
      </c>
      <c r="CU475" s="648">
        <f t="shared" si="236"/>
        <v>0</v>
      </c>
      <c r="CV475" s="648">
        <f t="shared" si="237"/>
        <v>0</v>
      </c>
      <c r="CW475" s="648">
        <f t="shared" si="238"/>
        <v>0</v>
      </c>
      <c r="CX475" s="634">
        <v>0</v>
      </c>
      <c r="CY475" s="616"/>
      <c r="CZ475" s="619">
        <f>IF(BN476=0,0,             IF(ISNUMBER(CY475),CY475,             IF(ISTEXT(CY475),INDEX(CP475:CW475,MATCH(CY475,$CP$17:$CW$17,0)),           IF(CX475="INT",_xll.qInterp(BN476,BZ475:CG475,CP475:CW475),       INDEX(CP475:CW475,MATCH(CX475,$CP$17:$CW$17,0))))))</f>
        <v>0</v>
      </c>
      <c r="DA475" s="755">
        <f t="shared" si="239"/>
        <v>0</v>
      </c>
      <c r="DB475" s="387">
        <f t="shared" si="240"/>
        <v>0</v>
      </c>
      <c r="DC475" s="268">
        <f>IF($BN476=0,0,         IF(LEFT(DCC_Leg2_Fixed,2)="1/",uEvaluate(DCC_Leg2_Fixed),         _xll.qDateYears($BN475,$BN476,DCC_Leg2_Fixed)))</f>
        <v>0</v>
      </c>
      <c r="DD475" s="268">
        <f>IF($BN476,_xll.qDateYears($BN475,$BN476,DCC_Leg2_Float),0)</f>
        <v>0</v>
      </c>
      <c r="DF475" s="332">
        <f t="shared" si="255"/>
        <v>0</v>
      </c>
      <c r="DG475" s="357">
        <f t="shared" si="256"/>
        <v>0</v>
      </c>
      <c r="DH475" s="527"/>
      <c r="DJ475" s="324">
        <f t="shared" si="226"/>
        <v>0</v>
      </c>
      <c r="DK475" s="529"/>
      <c r="DL475" s="338"/>
    </row>
    <row r="476" spans="15:116">
      <c r="O476" s="121">
        <v>0</v>
      </c>
      <c r="P476" s="755">
        <f t="shared" si="227"/>
        <v>0</v>
      </c>
      <c r="Q476" s="125">
        <v>0</v>
      </c>
      <c r="R476" s="890">
        <f>IF(O477=0,0,         IF(OR(Currency1="AUD",Currency1="NZD",Currency1="GBP"),O476,   _xll.qDateNext(O476,"-2b",,,IF(Currency1="EUR","TGT","LON"))))</f>
        <v>0</v>
      </c>
      <c r="S476" s="879" t="str">
        <v/>
      </c>
      <c r="T476" s="879" t="str">
        <v/>
      </c>
      <c r="U476" s="879" t="str">
        <v/>
      </c>
      <c r="V476" s="879" t="str">
        <v/>
      </c>
      <c r="W476" s="879" t="str">
        <v/>
      </c>
      <c r="X476" s="879" t="str">
        <v/>
      </c>
      <c r="Y476" s="879" t="str">
        <v/>
      </c>
      <c r="Z476" s="879" t="str">
        <v/>
      </c>
      <c r="AA476" s="882">
        <f>IF($O477=0,0,        _xll.qDateNext($O476,AA$17,$AH$16,TRUE,Currency1))</f>
        <v>0</v>
      </c>
      <c r="AB476" s="882">
        <f>IF($O477=0,0,        _xll.qDateNext($O476,AB$17,$AH$16,TRUE,Currency1))</f>
        <v>0</v>
      </c>
      <c r="AC476" s="882">
        <f>IF($O477=0,0,        _xll.qDateNext($O476,AC$17,$AH$16,TRUE,Currency1))</f>
        <v>0</v>
      </c>
      <c r="AD476" s="882">
        <f>IF($O477=0,0,        _xll.qDateNext($O476,AD$17,$AH$16,TRUE,Currency1))</f>
        <v>0</v>
      </c>
      <c r="AE476" s="882">
        <f>IF($O477=0,0,        _xll.qDateNext($O476,AE$17,$AH$16,TRUE,Currency1))</f>
        <v>0</v>
      </c>
      <c r="AF476" s="882">
        <f>IF($O477=0,0,        _xll.qDateNext($O476,AF$17,$AH$16,TRUE,Currency1))</f>
        <v>0</v>
      </c>
      <c r="AG476" s="882">
        <f>IF($O477=0,0,        _xll.qDateNext($O476,AG$17,$AH$16,TRUE,Currency1))</f>
        <v>0</v>
      </c>
      <c r="AH476" s="882">
        <f>IF($O477=0,0,        _xll.qDateNext($O476,AH$17,$AH$16,TRUE,Currency1))</f>
        <v>0</v>
      </c>
      <c r="AI476" s="886">
        <f>IF($O477=0,0,           IF(FRM,_xll.qGetFwdRate(AI$14,$O476,AA476,"T",DCC_Leg1_Float),_xll.qGetFwdRate(AI$14,$O476,$O477,"T",DCC_Leg1_Float)))</f>
        <v>0</v>
      </c>
      <c r="AJ476" s="886">
        <f>IF($O477=0,0,           IF(FRM,_xll.qGetFwdRate(AJ$14,$O476,AB476,"T",DCC_Leg1_Float),_xll.qGetFwdRate(AJ$14,$O476,$O477,"T",DCC_Leg1_Float)))</f>
        <v>0</v>
      </c>
      <c r="AK476" s="886">
        <f t="shared" si="228"/>
        <v>0</v>
      </c>
      <c r="AL476" s="886">
        <f>IF($O477=0,0,           IF(FRM,_xll.qGetFwdRate(AL$14,$O476,AD476,"T",DCC_Leg1_Float),_xll.qGetFwdRate(AL$14,$O476,$O477,"T",DCC_Leg1_Float)))</f>
        <v>0</v>
      </c>
      <c r="AM476" s="886">
        <f t="shared" si="241"/>
        <v>0</v>
      </c>
      <c r="AN476" s="886">
        <f t="shared" si="242"/>
        <v>0</v>
      </c>
      <c r="AO476" s="886">
        <f>IF($O477=0,0,           IF(FRM,_xll.qGetFwdRate(AO$14,$O476,AG476,"T",DCC_Leg1_Float),_xll.qGetFwdRate(AO$14,$O476,$O477,"T",DCC_Leg1_Float)))</f>
        <v>0</v>
      </c>
      <c r="AP476" s="886">
        <f>IF($O477=0,0,           IF(FRM,_xll.qGetFwdRate(AP$14,$O476,AH476,"T",DCC_Leg1_Float),_xll.qGetFwdRate(AP$14,$O476,$O477,"T",DCC_Leg1_Float)))</f>
        <v>0</v>
      </c>
      <c r="AQ476" s="648">
        <f t="shared" si="243"/>
        <v>0</v>
      </c>
      <c r="AR476" s="648">
        <f t="shared" si="244"/>
        <v>0</v>
      </c>
      <c r="AS476" s="648">
        <f t="shared" si="245"/>
        <v>0</v>
      </c>
      <c r="AT476" s="648">
        <f t="shared" si="246"/>
        <v>0</v>
      </c>
      <c r="AU476" s="648">
        <f t="shared" si="247"/>
        <v>0</v>
      </c>
      <c r="AV476" s="648">
        <f t="shared" si="248"/>
        <v>0</v>
      </c>
      <c r="AW476" s="648">
        <f t="shared" si="249"/>
        <v>0</v>
      </c>
      <c r="AX476" s="648">
        <f t="shared" si="250"/>
        <v>0</v>
      </c>
      <c r="AY476" s="634">
        <v>0</v>
      </c>
      <c r="AZ476" s="616"/>
      <c r="BA476" s="619">
        <f>IF(O477=0,0,             IF(ISNUMBER(AZ476),AZ476,             IF(ISTEXT(AZ476),INDEX(AQ476:AX476,MATCH(AZ476,$AQ$17:$AX$17,0)),           IF(AY476="INT",_xll.qInterp(O477,AA476:AH476,AQ476:AX476),       INDEX(AQ476:AX476,MATCH(AY476,$AQ$17:$AX$17,0))))))</f>
        <v>0</v>
      </c>
      <c r="BB476" s="674">
        <v>100</v>
      </c>
      <c r="BC476" s="666">
        <f t="shared" si="229"/>
        <v>0</v>
      </c>
      <c r="BD476" s="268">
        <f>IF($O477=0,0,                IF(LEFT(DCC_Leg1_Fixed,2)="1/",uEvaluate(DCC_Leg1_Fixed),        _xll.qDateYears($O476,$O477,DCC_Leg1_Fixed)))</f>
        <v>0</v>
      </c>
      <c r="BE476" s="268">
        <f>IF($O477,_xll.qDateYears($O476,$O477,DCC_Leg1_Float),0)</f>
        <v>0</v>
      </c>
      <c r="BG476" s="332">
        <f t="shared" si="251"/>
        <v>0</v>
      </c>
      <c r="BH476" s="357">
        <f t="shared" si="252"/>
        <v>0</v>
      </c>
      <c r="BI476" s="527"/>
      <c r="BK476" s="324">
        <f t="shared" si="225"/>
        <v>0</v>
      </c>
      <c r="BM476" s="338"/>
      <c r="BN476" s="121">
        <v>0</v>
      </c>
      <c r="BO476" s="755">
        <f t="shared" si="230"/>
        <v>0</v>
      </c>
      <c r="BP476" s="339">
        <v>0</v>
      </c>
      <c r="BQ476" s="890">
        <f>IF(BN477=0,0,         IF(OR(Currency2="AUD",Currency1="NZD",Currency2="GBP"),BN476,   _xll.qDateNext(BN476,"-2b",,,IF(Currency2="EUR","TGT","LON"))))</f>
        <v>0</v>
      </c>
      <c r="BR476" s="879" t="str">
        <v/>
      </c>
      <c r="BS476" s="879" t="str">
        <v/>
      </c>
      <c r="BT476" s="879" t="str">
        <v/>
      </c>
      <c r="BU476" s="879" t="str">
        <v/>
      </c>
      <c r="BV476" s="879" t="str">
        <v/>
      </c>
      <c r="BW476" s="879" t="str">
        <v/>
      </c>
      <c r="BX476" s="879" t="str">
        <v/>
      </c>
      <c r="BY476" s="879" t="str">
        <v/>
      </c>
      <c r="BZ476" s="882">
        <f>IF($BN477=0,0,        _xll.qDateNext($BN476,BZ$17,$CG$16,TRUE,Currency2))</f>
        <v>0</v>
      </c>
      <c r="CA476" s="882">
        <f>IF($BN477=0,0,        _xll.qDateNext($BN476,CA$17,$CG$16,TRUE,Currency2))</f>
        <v>0</v>
      </c>
      <c r="CB476" s="882">
        <f>IF($BN477=0,0,        _xll.qDateNext($BN476,CB$17,$CG$16,TRUE,Currency2))</f>
        <v>0</v>
      </c>
      <c r="CC476" s="882">
        <f>IF($BN477=0,0,        _xll.qDateNext($BN476,CC$17,$CG$16,TRUE,Currency2))</f>
        <v>0</v>
      </c>
      <c r="CD476" s="882">
        <f>IF($BN477=0,0,        _xll.qDateNext($BN476,CD$17,$CG$16,TRUE,Currency2))</f>
        <v>0</v>
      </c>
      <c r="CE476" s="882">
        <f>IF($BN477=0,0,        _xll.qDateNext($BN476,CE$17,$CG$16,TRUE,Currency2))</f>
        <v>0</v>
      </c>
      <c r="CF476" s="882">
        <f>IF($BN477=0,0,        _xll.qDateNext($BN476,CF$17,$CG$16,TRUE,Currency2))</f>
        <v>0</v>
      </c>
      <c r="CG476" s="882">
        <f>IF($BN477=0,0,        _xll.qDateNext($BN476,CG$17,$CG$16,TRUE,Currency2))</f>
        <v>0</v>
      </c>
      <c r="CH476" s="886">
        <v>0</v>
      </c>
      <c r="CI476" s="886">
        <v>0</v>
      </c>
      <c r="CJ476" s="886">
        <v>0</v>
      </c>
      <c r="CK476" s="886">
        <v>0</v>
      </c>
      <c r="CL476" s="886">
        <f t="shared" si="253"/>
        <v>0</v>
      </c>
      <c r="CM476" s="886">
        <f t="shared" si="254"/>
        <v>0</v>
      </c>
      <c r="CN476" s="886">
        <v>0</v>
      </c>
      <c r="CO476" s="886">
        <v>0</v>
      </c>
      <c r="CP476" s="648">
        <f t="shared" si="231"/>
        <v>0</v>
      </c>
      <c r="CQ476" s="648">
        <f t="shared" si="232"/>
        <v>0</v>
      </c>
      <c r="CR476" s="648">
        <f t="shared" si="233"/>
        <v>0</v>
      </c>
      <c r="CS476" s="648">
        <f t="shared" si="234"/>
        <v>0</v>
      </c>
      <c r="CT476" s="648">
        <f t="shared" si="235"/>
        <v>0</v>
      </c>
      <c r="CU476" s="648">
        <f t="shared" si="236"/>
        <v>0</v>
      </c>
      <c r="CV476" s="648">
        <f t="shared" si="237"/>
        <v>0</v>
      </c>
      <c r="CW476" s="648">
        <f t="shared" si="238"/>
        <v>0</v>
      </c>
      <c r="CX476" s="634">
        <v>0</v>
      </c>
      <c r="CY476" s="616"/>
      <c r="CZ476" s="619">
        <f>IF(BN477=0,0,             IF(ISNUMBER(CY476),CY476,             IF(ISTEXT(CY476),INDEX(CP476:CW476,MATCH(CY476,$CP$17:$CW$17,0)),           IF(CX476="INT",_xll.qInterp(BN477,BZ476:CG476,CP476:CW476),       INDEX(CP476:CW476,MATCH(CX476,$CP$17:$CW$17,0))))))</f>
        <v>0</v>
      </c>
      <c r="DA476" s="755">
        <f t="shared" si="239"/>
        <v>0</v>
      </c>
      <c r="DB476" s="387">
        <f t="shared" si="240"/>
        <v>0</v>
      </c>
      <c r="DC476" s="268">
        <f>IF($BN477=0,0,         IF(LEFT(DCC_Leg2_Fixed,2)="1/",uEvaluate(DCC_Leg2_Fixed),         _xll.qDateYears($BN476,$BN477,DCC_Leg2_Fixed)))</f>
        <v>0</v>
      </c>
      <c r="DD476" s="268">
        <f>IF($BN477,_xll.qDateYears($BN476,$BN477,DCC_Leg2_Float),0)</f>
        <v>0</v>
      </c>
      <c r="DF476" s="332">
        <f t="shared" si="255"/>
        <v>0</v>
      </c>
      <c r="DG476" s="357">
        <f t="shared" si="256"/>
        <v>0</v>
      </c>
      <c r="DH476" s="527"/>
      <c r="DJ476" s="324">
        <f t="shared" si="226"/>
        <v>0</v>
      </c>
      <c r="DK476" s="529"/>
      <c r="DL476" s="338"/>
    </row>
    <row r="477" spans="15:116">
      <c r="O477" s="121">
        <v>0</v>
      </c>
      <c r="P477" s="755">
        <f t="shared" si="227"/>
        <v>0</v>
      </c>
      <c r="Q477" s="125">
        <v>0</v>
      </c>
      <c r="R477" s="890">
        <f>IF(O478=0,0,         IF(OR(Currency1="AUD",Currency1="NZD",Currency1="GBP"),O477,   _xll.qDateNext(O477,"-2b",,,IF(Currency1="EUR","TGT","LON"))))</f>
        <v>0</v>
      </c>
      <c r="S477" s="879" t="str">
        <v/>
      </c>
      <c r="T477" s="879" t="str">
        <v/>
      </c>
      <c r="U477" s="879" t="str">
        <v/>
      </c>
      <c r="V477" s="879" t="str">
        <v/>
      </c>
      <c r="W477" s="879" t="str">
        <v/>
      </c>
      <c r="X477" s="879" t="str">
        <v/>
      </c>
      <c r="Y477" s="879" t="str">
        <v/>
      </c>
      <c r="Z477" s="879" t="str">
        <v/>
      </c>
      <c r="AA477" s="882">
        <f>IF($O478=0,0,        _xll.qDateNext($O477,AA$17,$AH$16,TRUE,Currency1))</f>
        <v>0</v>
      </c>
      <c r="AB477" s="882">
        <f>IF($O478=0,0,        _xll.qDateNext($O477,AB$17,$AH$16,TRUE,Currency1))</f>
        <v>0</v>
      </c>
      <c r="AC477" s="882">
        <f>IF($O478=0,0,        _xll.qDateNext($O477,AC$17,$AH$16,TRUE,Currency1))</f>
        <v>0</v>
      </c>
      <c r="AD477" s="882">
        <f>IF($O478=0,0,        _xll.qDateNext($O477,AD$17,$AH$16,TRUE,Currency1))</f>
        <v>0</v>
      </c>
      <c r="AE477" s="882">
        <f>IF($O478=0,0,        _xll.qDateNext($O477,AE$17,$AH$16,TRUE,Currency1))</f>
        <v>0</v>
      </c>
      <c r="AF477" s="882">
        <f>IF($O478=0,0,        _xll.qDateNext($O477,AF$17,$AH$16,TRUE,Currency1))</f>
        <v>0</v>
      </c>
      <c r="AG477" s="882">
        <f>IF($O478=0,0,        _xll.qDateNext($O477,AG$17,$AH$16,TRUE,Currency1))</f>
        <v>0</v>
      </c>
      <c r="AH477" s="882">
        <f>IF($O478=0,0,        _xll.qDateNext($O477,AH$17,$AH$16,TRUE,Currency1))</f>
        <v>0</v>
      </c>
      <c r="AI477" s="886">
        <f>IF($O478=0,0,           IF(FRM,_xll.qGetFwdRate(AI$14,$O477,AA477,"T",DCC_Leg1_Float),_xll.qGetFwdRate(AI$14,$O477,$O478,"T",DCC_Leg1_Float)))</f>
        <v>0</v>
      </c>
      <c r="AJ477" s="886">
        <f>IF($O478=0,0,           IF(FRM,_xll.qGetFwdRate(AJ$14,$O477,AB477,"T",DCC_Leg1_Float),_xll.qGetFwdRate(AJ$14,$O477,$O478,"T",DCC_Leg1_Float)))</f>
        <v>0</v>
      </c>
      <c r="AK477" s="886">
        <f t="shared" si="228"/>
        <v>0</v>
      </c>
      <c r="AL477" s="886">
        <f>IF($O478=0,0,           IF(FRM,_xll.qGetFwdRate(AL$14,$O477,AD477,"T",DCC_Leg1_Float),_xll.qGetFwdRate(AL$14,$O477,$O478,"T",DCC_Leg1_Float)))</f>
        <v>0</v>
      </c>
      <c r="AM477" s="886">
        <f t="shared" si="241"/>
        <v>0</v>
      </c>
      <c r="AN477" s="886">
        <f t="shared" si="242"/>
        <v>0</v>
      </c>
      <c r="AO477" s="886">
        <f>IF($O478=0,0,           IF(FRM,_xll.qGetFwdRate(AO$14,$O477,AG477,"T",DCC_Leg1_Float),_xll.qGetFwdRate(AO$14,$O477,$O478,"T",DCC_Leg1_Float)))</f>
        <v>0</v>
      </c>
      <c r="AP477" s="886">
        <f>IF($O478=0,0,           IF(FRM,_xll.qGetFwdRate(AP$14,$O477,AH477,"T",DCC_Leg1_Float),_xll.qGetFwdRate(AP$14,$O477,$O478,"T",DCC_Leg1_Float)))</f>
        <v>0</v>
      </c>
      <c r="AQ477" s="648">
        <f t="shared" si="243"/>
        <v>0</v>
      </c>
      <c r="AR477" s="648">
        <f t="shared" si="244"/>
        <v>0</v>
      </c>
      <c r="AS477" s="648">
        <f t="shared" si="245"/>
        <v>0</v>
      </c>
      <c r="AT477" s="648">
        <f t="shared" si="246"/>
        <v>0</v>
      </c>
      <c r="AU477" s="648">
        <f t="shared" si="247"/>
        <v>0</v>
      </c>
      <c r="AV477" s="648">
        <f t="shared" si="248"/>
        <v>0</v>
      </c>
      <c r="AW477" s="648">
        <f t="shared" si="249"/>
        <v>0</v>
      </c>
      <c r="AX477" s="648">
        <f t="shared" si="250"/>
        <v>0</v>
      </c>
      <c r="AY477" s="634">
        <v>0</v>
      </c>
      <c r="AZ477" s="616"/>
      <c r="BA477" s="619">
        <f>IF(O478=0,0,             IF(ISNUMBER(AZ477),AZ477,             IF(ISTEXT(AZ477),INDEX(AQ477:AX477,MATCH(AZ477,$AQ$17:$AX$17,0)),           IF(AY477="INT",_xll.qInterp(O478,AA477:AH477,AQ477:AX477),       INDEX(AQ477:AX477,MATCH(AY477,$AQ$17:$AX$17,0))))))</f>
        <v>0</v>
      </c>
      <c r="BB477" s="674">
        <v>100</v>
      </c>
      <c r="BC477" s="666">
        <f t="shared" si="229"/>
        <v>0</v>
      </c>
      <c r="BD477" s="268">
        <f>IF($O478=0,0,                IF(LEFT(DCC_Leg1_Fixed,2)="1/",uEvaluate(DCC_Leg1_Fixed),        _xll.qDateYears($O477,$O478,DCC_Leg1_Fixed)))</f>
        <v>0</v>
      </c>
      <c r="BE477" s="268">
        <f>IF($O478,_xll.qDateYears($O477,$O478,DCC_Leg1_Float),0)</f>
        <v>0</v>
      </c>
      <c r="BG477" s="332">
        <f t="shared" si="251"/>
        <v>0</v>
      </c>
      <c r="BH477" s="357">
        <f t="shared" si="252"/>
        <v>0</v>
      </c>
      <c r="BI477" s="527"/>
      <c r="BK477" s="324">
        <f t="shared" si="225"/>
        <v>0</v>
      </c>
      <c r="BM477" s="338"/>
      <c r="BN477" s="121">
        <v>0</v>
      </c>
      <c r="BO477" s="755">
        <f t="shared" si="230"/>
        <v>0</v>
      </c>
      <c r="BP477" s="339">
        <v>0</v>
      </c>
      <c r="BQ477" s="890">
        <f>IF(BN478=0,0,         IF(OR(Currency2="AUD",Currency1="NZD",Currency2="GBP"),BN477,   _xll.qDateNext(BN477,"-2b",,,IF(Currency2="EUR","TGT","LON"))))</f>
        <v>0</v>
      </c>
      <c r="BR477" s="879" t="str">
        <v/>
      </c>
      <c r="BS477" s="879" t="str">
        <v/>
      </c>
      <c r="BT477" s="879" t="str">
        <v/>
      </c>
      <c r="BU477" s="879" t="str">
        <v/>
      </c>
      <c r="BV477" s="879" t="str">
        <v/>
      </c>
      <c r="BW477" s="879" t="str">
        <v/>
      </c>
      <c r="BX477" s="879" t="str">
        <v/>
      </c>
      <c r="BY477" s="879" t="str">
        <v/>
      </c>
      <c r="BZ477" s="882">
        <f>IF($BN478=0,0,        _xll.qDateNext($BN477,BZ$17,$CG$16,TRUE,Currency2))</f>
        <v>0</v>
      </c>
      <c r="CA477" s="882">
        <f>IF($BN478=0,0,        _xll.qDateNext($BN477,CA$17,$CG$16,TRUE,Currency2))</f>
        <v>0</v>
      </c>
      <c r="CB477" s="882">
        <f>IF($BN478=0,0,        _xll.qDateNext($BN477,CB$17,$CG$16,TRUE,Currency2))</f>
        <v>0</v>
      </c>
      <c r="CC477" s="882">
        <f>IF($BN478=0,0,        _xll.qDateNext($BN477,CC$17,$CG$16,TRUE,Currency2))</f>
        <v>0</v>
      </c>
      <c r="CD477" s="882">
        <f>IF($BN478=0,0,        _xll.qDateNext($BN477,CD$17,$CG$16,TRUE,Currency2))</f>
        <v>0</v>
      </c>
      <c r="CE477" s="882">
        <f>IF($BN478=0,0,        _xll.qDateNext($BN477,CE$17,$CG$16,TRUE,Currency2))</f>
        <v>0</v>
      </c>
      <c r="CF477" s="882">
        <f>IF($BN478=0,0,        _xll.qDateNext($BN477,CF$17,$CG$16,TRUE,Currency2))</f>
        <v>0</v>
      </c>
      <c r="CG477" s="882">
        <f>IF($BN478=0,0,        _xll.qDateNext($BN477,CG$17,$CG$16,TRUE,Currency2))</f>
        <v>0</v>
      </c>
      <c r="CH477" s="886">
        <v>0</v>
      </c>
      <c r="CI477" s="886">
        <v>0</v>
      </c>
      <c r="CJ477" s="886">
        <v>0</v>
      </c>
      <c r="CK477" s="886">
        <v>0</v>
      </c>
      <c r="CL477" s="886">
        <f t="shared" si="253"/>
        <v>0</v>
      </c>
      <c r="CM477" s="886">
        <f t="shared" si="254"/>
        <v>0</v>
      </c>
      <c r="CN477" s="886">
        <v>0</v>
      </c>
      <c r="CO477" s="886">
        <v>0</v>
      </c>
      <c r="CP477" s="648">
        <f t="shared" si="231"/>
        <v>0</v>
      </c>
      <c r="CQ477" s="648">
        <f t="shared" si="232"/>
        <v>0</v>
      </c>
      <c r="CR477" s="648">
        <f t="shared" si="233"/>
        <v>0</v>
      </c>
      <c r="CS477" s="648">
        <f t="shared" si="234"/>
        <v>0</v>
      </c>
      <c r="CT477" s="648">
        <f t="shared" si="235"/>
        <v>0</v>
      </c>
      <c r="CU477" s="648">
        <f t="shared" si="236"/>
        <v>0</v>
      </c>
      <c r="CV477" s="648">
        <f t="shared" si="237"/>
        <v>0</v>
      </c>
      <c r="CW477" s="648">
        <f t="shared" si="238"/>
        <v>0</v>
      </c>
      <c r="CX477" s="634">
        <v>0</v>
      </c>
      <c r="CY477" s="616"/>
      <c r="CZ477" s="619">
        <f>IF(BN478=0,0,             IF(ISNUMBER(CY477),CY477,             IF(ISTEXT(CY477),INDEX(CP477:CW477,MATCH(CY477,$CP$17:$CW$17,0)),           IF(CX477="INT",_xll.qInterp(BN478,BZ477:CG477,CP477:CW477),       INDEX(CP477:CW477,MATCH(CX477,$CP$17:$CW$17,0))))))</f>
        <v>0</v>
      </c>
      <c r="DA477" s="755">
        <f t="shared" si="239"/>
        <v>0</v>
      </c>
      <c r="DB477" s="387">
        <f t="shared" si="240"/>
        <v>0</v>
      </c>
      <c r="DC477" s="268">
        <f>IF($BN478=0,0,         IF(LEFT(DCC_Leg2_Fixed,2)="1/",uEvaluate(DCC_Leg2_Fixed),         _xll.qDateYears($BN477,$BN478,DCC_Leg2_Fixed)))</f>
        <v>0</v>
      </c>
      <c r="DD477" s="268">
        <f>IF($BN478,_xll.qDateYears($BN477,$BN478,DCC_Leg2_Float),0)</f>
        <v>0</v>
      </c>
      <c r="DF477" s="332">
        <f t="shared" si="255"/>
        <v>0</v>
      </c>
      <c r="DG477" s="357">
        <f t="shared" si="256"/>
        <v>0</v>
      </c>
      <c r="DH477" s="527"/>
      <c r="DJ477" s="324">
        <f t="shared" si="226"/>
        <v>0</v>
      </c>
      <c r="DK477" s="529"/>
      <c r="DL477" s="338"/>
    </row>
    <row r="478" spans="15:116">
      <c r="O478" s="121">
        <v>0</v>
      </c>
      <c r="P478" s="755">
        <f t="shared" si="227"/>
        <v>0</v>
      </c>
      <c r="Q478" s="125">
        <v>0</v>
      </c>
      <c r="R478" s="890">
        <f>IF(O479=0,0,         IF(OR(Currency1="AUD",Currency1="NZD",Currency1="GBP"),O478,   _xll.qDateNext(O478,"-2b",,,IF(Currency1="EUR","TGT","LON"))))</f>
        <v>0</v>
      </c>
      <c r="S478" s="879" t="str">
        <v/>
      </c>
      <c r="T478" s="879" t="str">
        <v/>
      </c>
      <c r="U478" s="879" t="str">
        <v/>
      </c>
      <c r="V478" s="879" t="str">
        <v/>
      </c>
      <c r="W478" s="879" t="str">
        <v/>
      </c>
      <c r="X478" s="879" t="str">
        <v/>
      </c>
      <c r="Y478" s="879" t="str">
        <v/>
      </c>
      <c r="Z478" s="879" t="str">
        <v/>
      </c>
      <c r="AA478" s="882">
        <f>IF($O479=0,0,        _xll.qDateNext($O478,AA$17,$AH$16,TRUE,Currency1))</f>
        <v>0</v>
      </c>
      <c r="AB478" s="882">
        <f>IF($O479=0,0,        _xll.qDateNext($O478,AB$17,$AH$16,TRUE,Currency1))</f>
        <v>0</v>
      </c>
      <c r="AC478" s="882">
        <f>IF($O479=0,0,        _xll.qDateNext($O478,AC$17,$AH$16,TRUE,Currency1))</f>
        <v>0</v>
      </c>
      <c r="AD478" s="882">
        <f>IF($O479=0,0,        _xll.qDateNext($O478,AD$17,$AH$16,TRUE,Currency1))</f>
        <v>0</v>
      </c>
      <c r="AE478" s="882">
        <f>IF($O479=0,0,        _xll.qDateNext($O478,AE$17,$AH$16,TRUE,Currency1))</f>
        <v>0</v>
      </c>
      <c r="AF478" s="882">
        <f>IF($O479=0,0,        _xll.qDateNext($O478,AF$17,$AH$16,TRUE,Currency1))</f>
        <v>0</v>
      </c>
      <c r="AG478" s="882">
        <f>IF($O479=0,0,        _xll.qDateNext($O478,AG$17,$AH$16,TRUE,Currency1))</f>
        <v>0</v>
      </c>
      <c r="AH478" s="882">
        <f>IF($O479=0,0,        _xll.qDateNext($O478,AH$17,$AH$16,TRUE,Currency1))</f>
        <v>0</v>
      </c>
      <c r="AI478" s="886">
        <f>IF($O479=0,0,           IF(FRM,_xll.qGetFwdRate(AI$14,$O478,AA478,"T",DCC_Leg1_Float),_xll.qGetFwdRate(AI$14,$O478,$O479,"T",DCC_Leg1_Float)))</f>
        <v>0</v>
      </c>
      <c r="AJ478" s="886">
        <f>IF($O479=0,0,           IF(FRM,_xll.qGetFwdRate(AJ$14,$O478,AB478,"T",DCC_Leg1_Float),_xll.qGetFwdRate(AJ$14,$O478,$O479,"T",DCC_Leg1_Float)))</f>
        <v>0</v>
      </c>
      <c r="AK478" s="886">
        <f t="shared" si="228"/>
        <v>0</v>
      </c>
      <c r="AL478" s="886">
        <f>IF($O479=0,0,           IF(FRM,_xll.qGetFwdRate(AL$14,$O478,AD478,"T",DCC_Leg1_Float),_xll.qGetFwdRate(AL$14,$O478,$O479,"T",DCC_Leg1_Float)))</f>
        <v>0</v>
      </c>
      <c r="AM478" s="886">
        <f t="shared" si="241"/>
        <v>0</v>
      </c>
      <c r="AN478" s="886">
        <f t="shared" si="242"/>
        <v>0</v>
      </c>
      <c r="AO478" s="886">
        <f>IF($O479=0,0,           IF(FRM,_xll.qGetFwdRate(AO$14,$O478,AG478,"T",DCC_Leg1_Float),_xll.qGetFwdRate(AO$14,$O478,$O479,"T",DCC_Leg1_Float)))</f>
        <v>0</v>
      </c>
      <c r="AP478" s="886">
        <f>IF($O479=0,0,           IF(FRM,_xll.qGetFwdRate(AP$14,$O478,AH478,"T",DCC_Leg1_Float),_xll.qGetFwdRate(AP$14,$O478,$O479,"T",DCC_Leg1_Float)))</f>
        <v>0</v>
      </c>
      <c r="AQ478" s="648">
        <f t="shared" si="243"/>
        <v>0</v>
      </c>
      <c r="AR478" s="648">
        <f t="shared" si="244"/>
        <v>0</v>
      </c>
      <c r="AS478" s="648">
        <f t="shared" si="245"/>
        <v>0</v>
      </c>
      <c r="AT478" s="648">
        <f t="shared" si="246"/>
        <v>0</v>
      </c>
      <c r="AU478" s="648">
        <f t="shared" si="247"/>
        <v>0</v>
      </c>
      <c r="AV478" s="648">
        <f t="shared" si="248"/>
        <v>0</v>
      </c>
      <c r="AW478" s="648">
        <f t="shared" si="249"/>
        <v>0</v>
      </c>
      <c r="AX478" s="648">
        <f t="shared" si="250"/>
        <v>0</v>
      </c>
      <c r="AY478" s="634">
        <v>0</v>
      </c>
      <c r="AZ478" s="616"/>
      <c r="BA478" s="619">
        <f>IF(O479=0,0,             IF(ISNUMBER(AZ478),AZ478,             IF(ISTEXT(AZ478),INDEX(AQ478:AX478,MATCH(AZ478,$AQ$17:$AX$17,0)),           IF(AY478="INT",_xll.qInterp(O479,AA478:AH478,AQ478:AX478),       INDEX(AQ478:AX478,MATCH(AY478,$AQ$17:$AX$17,0))))))</f>
        <v>0</v>
      </c>
      <c r="BB478" s="674">
        <v>100</v>
      </c>
      <c r="BC478" s="666">
        <f t="shared" si="229"/>
        <v>0</v>
      </c>
      <c r="BD478" s="268">
        <f>IF($O479=0,0,                IF(LEFT(DCC_Leg1_Fixed,2)="1/",uEvaluate(DCC_Leg1_Fixed),        _xll.qDateYears($O478,$O479,DCC_Leg1_Fixed)))</f>
        <v>0</v>
      </c>
      <c r="BE478" s="268">
        <f>IF($O479,_xll.qDateYears($O478,$O479,DCC_Leg1_Float),0)</f>
        <v>0</v>
      </c>
      <c r="BG478" s="332">
        <f t="shared" si="251"/>
        <v>0</v>
      </c>
      <c r="BH478" s="357">
        <f t="shared" si="252"/>
        <v>0</v>
      </c>
      <c r="BI478" s="527"/>
      <c r="BK478" s="324">
        <f t="shared" si="225"/>
        <v>0</v>
      </c>
      <c r="BM478" s="338"/>
      <c r="BN478" s="121">
        <v>0</v>
      </c>
      <c r="BO478" s="755">
        <f t="shared" si="230"/>
        <v>0</v>
      </c>
      <c r="BP478" s="339">
        <v>0</v>
      </c>
      <c r="BQ478" s="890">
        <f>IF(BN479=0,0,         IF(OR(Currency2="AUD",Currency1="NZD",Currency2="GBP"),BN478,   _xll.qDateNext(BN478,"-2b",,,IF(Currency2="EUR","TGT","LON"))))</f>
        <v>0</v>
      </c>
      <c r="BR478" s="879" t="str">
        <v/>
      </c>
      <c r="BS478" s="879" t="str">
        <v/>
      </c>
      <c r="BT478" s="879" t="str">
        <v/>
      </c>
      <c r="BU478" s="879" t="str">
        <v/>
      </c>
      <c r="BV478" s="879" t="str">
        <v/>
      </c>
      <c r="BW478" s="879" t="str">
        <v/>
      </c>
      <c r="BX478" s="879" t="str">
        <v/>
      </c>
      <c r="BY478" s="879" t="str">
        <v/>
      </c>
      <c r="BZ478" s="882">
        <f>IF($BN479=0,0,        _xll.qDateNext($BN478,BZ$17,$CG$16,TRUE,Currency2))</f>
        <v>0</v>
      </c>
      <c r="CA478" s="882">
        <f>IF($BN479=0,0,        _xll.qDateNext($BN478,CA$17,$CG$16,TRUE,Currency2))</f>
        <v>0</v>
      </c>
      <c r="CB478" s="882">
        <f>IF($BN479=0,0,        _xll.qDateNext($BN478,CB$17,$CG$16,TRUE,Currency2))</f>
        <v>0</v>
      </c>
      <c r="CC478" s="882">
        <f>IF($BN479=0,0,        _xll.qDateNext($BN478,CC$17,$CG$16,TRUE,Currency2))</f>
        <v>0</v>
      </c>
      <c r="CD478" s="882">
        <f>IF($BN479=0,0,        _xll.qDateNext($BN478,CD$17,$CG$16,TRUE,Currency2))</f>
        <v>0</v>
      </c>
      <c r="CE478" s="882">
        <f>IF($BN479=0,0,        _xll.qDateNext($BN478,CE$17,$CG$16,TRUE,Currency2))</f>
        <v>0</v>
      </c>
      <c r="CF478" s="882">
        <f>IF($BN479=0,0,        _xll.qDateNext($BN478,CF$17,$CG$16,TRUE,Currency2))</f>
        <v>0</v>
      </c>
      <c r="CG478" s="882">
        <f>IF($BN479=0,0,        _xll.qDateNext($BN478,CG$17,$CG$16,TRUE,Currency2))</f>
        <v>0</v>
      </c>
      <c r="CH478" s="886">
        <v>0</v>
      </c>
      <c r="CI478" s="886">
        <v>0</v>
      </c>
      <c r="CJ478" s="886">
        <v>0</v>
      </c>
      <c r="CK478" s="886">
        <v>0</v>
      </c>
      <c r="CL478" s="886">
        <f t="shared" si="253"/>
        <v>0</v>
      </c>
      <c r="CM478" s="886">
        <f t="shared" si="254"/>
        <v>0</v>
      </c>
      <c r="CN478" s="886">
        <v>0</v>
      </c>
      <c r="CO478" s="886">
        <v>0</v>
      </c>
      <c r="CP478" s="648">
        <f t="shared" si="231"/>
        <v>0</v>
      </c>
      <c r="CQ478" s="648">
        <f t="shared" si="232"/>
        <v>0</v>
      </c>
      <c r="CR478" s="648">
        <f t="shared" si="233"/>
        <v>0</v>
      </c>
      <c r="CS478" s="648">
        <f t="shared" si="234"/>
        <v>0</v>
      </c>
      <c r="CT478" s="648">
        <f t="shared" si="235"/>
        <v>0</v>
      </c>
      <c r="CU478" s="648">
        <f t="shared" si="236"/>
        <v>0</v>
      </c>
      <c r="CV478" s="648">
        <f t="shared" si="237"/>
        <v>0</v>
      </c>
      <c r="CW478" s="648">
        <f t="shared" si="238"/>
        <v>0</v>
      </c>
      <c r="CX478" s="634">
        <v>0</v>
      </c>
      <c r="CY478" s="616"/>
      <c r="CZ478" s="619">
        <f>IF(BN479=0,0,             IF(ISNUMBER(CY478),CY478,             IF(ISTEXT(CY478),INDEX(CP478:CW478,MATCH(CY478,$CP$17:$CW$17,0)),           IF(CX478="INT",_xll.qInterp(BN479,BZ478:CG478,CP478:CW478),       INDEX(CP478:CW478,MATCH(CX478,$CP$17:$CW$17,0))))))</f>
        <v>0</v>
      </c>
      <c r="DA478" s="755">
        <f t="shared" si="239"/>
        <v>0</v>
      </c>
      <c r="DB478" s="387">
        <f t="shared" si="240"/>
        <v>0</v>
      </c>
      <c r="DC478" s="268">
        <f>IF($BN479=0,0,         IF(LEFT(DCC_Leg2_Fixed,2)="1/",uEvaluate(DCC_Leg2_Fixed),         _xll.qDateYears($BN478,$BN479,DCC_Leg2_Fixed)))</f>
        <v>0</v>
      </c>
      <c r="DD478" s="268">
        <f>IF($BN479,_xll.qDateYears($BN478,$BN479,DCC_Leg2_Float),0)</f>
        <v>0</v>
      </c>
      <c r="DF478" s="332">
        <f t="shared" si="255"/>
        <v>0</v>
      </c>
      <c r="DG478" s="357">
        <f t="shared" si="256"/>
        <v>0</v>
      </c>
      <c r="DH478" s="527"/>
      <c r="DJ478" s="324">
        <f t="shared" si="226"/>
        <v>0</v>
      </c>
      <c r="DK478" s="529"/>
      <c r="DL478" s="338"/>
    </row>
    <row r="479" spans="15:116">
      <c r="O479" s="121">
        <v>0</v>
      </c>
      <c r="P479" s="755">
        <f t="shared" si="227"/>
        <v>0</v>
      </c>
      <c r="Q479" s="125">
        <v>0</v>
      </c>
      <c r="R479" s="890">
        <f>IF(O480=0,0,         IF(OR(Currency1="AUD",Currency1="NZD",Currency1="GBP"),O479,   _xll.qDateNext(O479,"-2b",,,IF(Currency1="EUR","TGT","LON"))))</f>
        <v>0</v>
      </c>
      <c r="S479" s="879" t="str">
        <v/>
      </c>
      <c r="T479" s="879" t="str">
        <v/>
      </c>
      <c r="U479" s="879" t="str">
        <v/>
      </c>
      <c r="V479" s="879" t="str">
        <v/>
      </c>
      <c r="W479" s="879" t="str">
        <v/>
      </c>
      <c r="X479" s="879" t="str">
        <v/>
      </c>
      <c r="Y479" s="879" t="str">
        <v/>
      </c>
      <c r="Z479" s="879" t="str">
        <v/>
      </c>
      <c r="AA479" s="882">
        <f>IF($O480=0,0,        _xll.qDateNext($O479,AA$17,$AH$16,TRUE,Currency1))</f>
        <v>0</v>
      </c>
      <c r="AB479" s="882">
        <f>IF($O480=0,0,        _xll.qDateNext($O479,AB$17,$AH$16,TRUE,Currency1))</f>
        <v>0</v>
      </c>
      <c r="AC479" s="882">
        <f>IF($O480=0,0,        _xll.qDateNext($O479,AC$17,$AH$16,TRUE,Currency1))</f>
        <v>0</v>
      </c>
      <c r="AD479" s="882">
        <f>IF($O480=0,0,        _xll.qDateNext($O479,AD$17,$AH$16,TRUE,Currency1))</f>
        <v>0</v>
      </c>
      <c r="AE479" s="882">
        <f>IF($O480=0,0,        _xll.qDateNext($O479,AE$17,$AH$16,TRUE,Currency1))</f>
        <v>0</v>
      </c>
      <c r="AF479" s="882">
        <f>IF($O480=0,0,        _xll.qDateNext($O479,AF$17,$AH$16,TRUE,Currency1))</f>
        <v>0</v>
      </c>
      <c r="AG479" s="882">
        <f>IF($O480=0,0,        _xll.qDateNext($O479,AG$17,$AH$16,TRUE,Currency1))</f>
        <v>0</v>
      </c>
      <c r="AH479" s="882">
        <f>IF($O480=0,0,        _xll.qDateNext($O479,AH$17,$AH$16,TRUE,Currency1))</f>
        <v>0</v>
      </c>
      <c r="AI479" s="886">
        <f>IF($O480=0,0,           IF(FRM,_xll.qGetFwdRate(AI$14,$O479,AA479,"T",DCC_Leg1_Float),_xll.qGetFwdRate(AI$14,$O479,$O480,"T",DCC_Leg1_Float)))</f>
        <v>0</v>
      </c>
      <c r="AJ479" s="886">
        <f>IF($O480=0,0,           IF(FRM,_xll.qGetFwdRate(AJ$14,$O479,AB479,"T",DCC_Leg1_Float),_xll.qGetFwdRate(AJ$14,$O479,$O480,"T",DCC_Leg1_Float)))</f>
        <v>0</v>
      </c>
      <c r="AK479" s="886">
        <f t="shared" si="228"/>
        <v>0</v>
      </c>
      <c r="AL479" s="886">
        <f>IF($O480=0,0,           IF(FRM,_xll.qGetFwdRate(AL$14,$O479,AD479,"T",DCC_Leg1_Float),_xll.qGetFwdRate(AL$14,$O479,$O480,"T",DCC_Leg1_Float)))</f>
        <v>0</v>
      </c>
      <c r="AM479" s="886">
        <f t="shared" si="241"/>
        <v>0</v>
      </c>
      <c r="AN479" s="886">
        <f t="shared" si="242"/>
        <v>0</v>
      </c>
      <c r="AO479" s="886">
        <f>IF($O480=0,0,           IF(FRM,_xll.qGetFwdRate(AO$14,$O479,AG479,"T",DCC_Leg1_Float),_xll.qGetFwdRate(AO$14,$O479,$O480,"T",DCC_Leg1_Float)))</f>
        <v>0</v>
      </c>
      <c r="AP479" s="886">
        <f>IF($O480=0,0,           IF(FRM,_xll.qGetFwdRate(AP$14,$O479,AH479,"T",DCC_Leg1_Float),_xll.qGetFwdRate(AP$14,$O479,$O480,"T",DCC_Leg1_Float)))</f>
        <v>0</v>
      </c>
      <c r="AQ479" s="648">
        <f t="shared" si="243"/>
        <v>0</v>
      </c>
      <c r="AR479" s="648">
        <f t="shared" si="244"/>
        <v>0</v>
      </c>
      <c r="AS479" s="648">
        <f t="shared" si="245"/>
        <v>0</v>
      </c>
      <c r="AT479" s="648">
        <f t="shared" si="246"/>
        <v>0</v>
      </c>
      <c r="AU479" s="648">
        <f t="shared" si="247"/>
        <v>0</v>
      </c>
      <c r="AV479" s="648">
        <f t="shared" si="248"/>
        <v>0</v>
      </c>
      <c r="AW479" s="648">
        <f t="shared" si="249"/>
        <v>0</v>
      </c>
      <c r="AX479" s="648">
        <f t="shared" si="250"/>
        <v>0</v>
      </c>
      <c r="AY479" s="634">
        <v>0</v>
      </c>
      <c r="AZ479" s="616"/>
      <c r="BA479" s="619">
        <f>IF(O480=0,0,             IF(ISNUMBER(AZ479),AZ479,             IF(ISTEXT(AZ479),INDEX(AQ479:AX479,MATCH(AZ479,$AQ$17:$AX$17,0)),           IF(AY479="INT",_xll.qInterp(O480,AA479:AH479,AQ479:AX479),       INDEX(AQ479:AX479,MATCH(AY479,$AQ$17:$AX$17,0))))))</f>
        <v>0</v>
      </c>
      <c r="BB479" s="674">
        <v>100</v>
      </c>
      <c r="BC479" s="666">
        <f t="shared" si="229"/>
        <v>0</v>
      </c>
      <c r="BD479" s="268">
        <f>IF($O480=0,0,                IF(LEFT(DCC_Leg1_Fixed,2)="1/",uEvaluate(DCC_Leg1_Fixed),        _xll.qDateYears($O479,$O480,DCC_Leg1_Fixed)))</f>
        <v>0</v>
      </c>
      <c r="BE479" s="268">
        <f>IF($O480,_xll.qDateYears($O479,$O480,DCC_Leg1_Float),0)</f>
        <v>0</v>
      </c>
      <c r="BG479" s="332">
        <f t="shared" si="251"/>
        <v>0</v>
      </c>
      <c r="BH479" s="357">
        <f t="shared" si="252"/>
        <v>0</v>
      </c>
      <c r="BI479" s="527"/>
      <c r="BK479" s="324">
        <f t="shared" si="225"/>
        <v>0</v>
      </c>
      <c r="BM479" s="338"/>
      <c r="BN479" s="121">
        <v>0</v>
      </c>
      <c r="BO479" s="755">
        <f t="shared" si="230"/>
        <v>0</v>
      </c>
      <c r="BP479" s="339">
        <v>0</v>
      </c>
      <c r="BQ479" s="890">
        <f>IF(BN480=0,0,         IF(OR(Currency2="AUD",Currency1="NZD",Currency2="GBP"),BN479,   _xll.qDateNext(BN479,"-2b",,,IF(Currency2="EUR","TGT","LON"))))</f>
        <v>0</v>
      </c>
      <c r="BR479" s="879" t="str">
        <v/>
      </c>
      <c r="BS479" s="879" t="str">
        <v/>
      </c>
      <c r="BT479" s="879" t="str">
        <v/>
      </c>
      <c r="BU479" s="879" t="str">
        <v/>
      </c>
      <c r="BV479" s="879" t="str">
        <v/>
      </c>
      <c r="BW479" s="879" t="str">
        <v/>
      </c>
      <c r="BX479" s="879" t="str">
        <v/>
      </c>
      <c r="BY479" s="879" t="str">
        <v/>
      </c>
      <c r="BZ479" s="882">
        <f>IF($BN480=0,0,        _xll.qDateNext($BN479,BZ$17,$CG$16,TRUE,Currency2))</f>
        <v>0</v>
      </c>
      <c r="CA479" s="882">
        <f>IF($BN480=0,0,        _xll.qDateNext($BN479,CA$17,$CG$16,TRUE,Currency2))</f>
        <v>0</v>
      </c>
      <c r="CB479" s="882">
        <f>IF($BN480=0,0,        _xll.qDateNext($BN479,CB$17,$CG$16,TRUE,Currency2))</f>
        <v>0</v>
      </c>
      <c r="CC479" s="882">
        <f>IF($BN480=0,0,        _xll.qDateNext($BN479,CC$17,$CG$16,TRUE,Currency2))</f>
        <v>0</v>
      </c>
      <c r="CD479" s="882">
        <f>IF($BN480=0,0,        _xll.qDateNext($BN479,CD$17,$CG$16,TRUE,Currency2))</f>
        <v>0</v>
      </c>
      <c r="CE479" s="882">
        <f>IF($BN480=0,0,        _xll.qDateNext($BN479,CE$17,$CG$16,TRUE,Currency2))</f>
        <v>0</v>
      </c>
      <c r="CF479" s="882">
        <f>IF($BN480=0,0,        _xll.qDateNext($BN479,CF$17,$CG$16,TRUE,Currency2))</f>
        <v>0</v>
      </c>
      <c r="CG479" s="882">
        <f>IF($BN480=0,0,        _xll.qDateNext($BN479,CG$17,$CG$16,TRUE,Currency2))</f>
        <v>0</v>
      </c>
      <c r="CH479" s="886">
        <v>0</v>
      </c>
      <c r="CI479" s="886">
        <v>0</v>
      </c>
      <c r="CJ479" s="886">
        <v>0</v>
      </c>
      <c r="CK479" s="886">
        <v>0</v>
      </c>
      <c r="CL479" s="886">
        <f t="shared" si="253"/>
        <v>0</v>
      </c>
      <c r="CM479" s="886">
        <f t="shared" si="254"/>
        <v>0</v>
      </c>
      <c r="CN479" s="886">
        <v>0</v>
      </c>
      <c r="CO479" s="886">
        <v>0</v>
      </c>
      <c r="CP479" s="648">
        <f t="shared" si="231"/>
        <v>0</v>
      </c>
      <c r="CQ479" s="648">
        <f t="shared" si="232"/>
        <v>0</v>
      </c>
      <c r="CR479" s="648">
        <f t="shared" si="233"/>
        <v>0</v>
      </c>
      <c r="CS479" s="648">
        <f t="shared" si="234"/>
        <v>0</v>
      </c>
      <c r="CT479" s="648">
        <f t="shared" si="235"/>
        <v>0</v>
      </c>
      <c r="CU479" s="648">
        <f t="shared" si="236"/>
        <v>0</v>
      </c>
      <c r="CV479" s="648">
        <f t="shared" si="237"/>
        <v>0</v>
      </c>
      <c r="CW479" s="648">
        <f t="shared" si="238"/>
        <v>0</v>
      </c>
      <c r="CX479" s="634">
        <v>0</v>
      </c>
      <c r="CY479" s="616"/>
      <c r="CZ479" s="619">
        <f>IF(BN480=0,0,             IF(ISNUMBER(CY479),CY479,             IF(ISTEXT(CY479),INDEX(CP479:CW479,MATCH(CY479,$CP$17:$CW$17,0)),           IF(CX479="INT",_xll.qInterp(BN480,BZ479:CG479,CP479:CW479),       INDEX(CP479:CW479,MATCH(CX479,$CP$17:$CW$17,0))))))</f>
        <v>0</v>
      </c>
      <c r="DA479" s="755">
        <f t="shared" si="239"/>
        <v>0</v>
      </c>
      <c r="DB479" s="387">
        <f t="shared" si="240"/>
        <v>0</v>
      </c>
      <c r="DC479" s="268">
        <f>IF($BN480=0,0,         IF(LEFT(DCC_Leg2_Fixed,2)="1/",uEvaluate(DCC_Leg2_Fixed),         _xll.qDateYears($BN479,$BN480,DCC_Leg2_Fixed)))</f>
        <v>0</v>
      </c>
      <c r="DD479" s="268">
        <f>IF($BN480,_xll.qDateYears($BN479,$BN480,DCC_Leg2_Float),0)</f>
        <v>0</v>
      </c>
      <c r="DF479" s="332">
        <f t="shared" si="255"/>
        <v>0</v>
      </c>
      <c r="DG479" s="357">
        <f t="shared" si="256"/>
        <v>0</v>
      </c>
      <c r="DH479" s="527"/>
      <c r="DJ479" s="324">
        <f t="shared" si="226"/>
        <v>0</v>
      </c>
      <c r="DK479" s="529"/>
      <c r="DL479" s="338"/>
    </row>
    <row r="480" spans="15:116">
      <c r="O480" s="121">
        <v>0</v>
      </c>
      <c r="P480" s="755">
        <f t="shared" si="227"/>
        <v>0</v>
      </c>
      <c r="Q480" s="125">
        <v>0</v>
      </c>
      <c r="R480" s="890">
        <f>IF(O481=0,0,         IF(OR(Currency1="AUD",Currency1="NZD",Currency1="GBP"),O480,   _xll.qDateNext(O480,"-2b",,,IF(Currency1="EUR","TGT","LON"))))</f>
        <v>0</v>
      </c>
      <c r="S480" s="879" t="str">
        <v/>
      </c>
      <c r="T480" s="879" t="str">
        <v/>
      </c>
      <c r="U480" s="879" t="str">
        <v/>
      </c>
      <c r="V480" s="879" t="str">
        <v/>
      </c>
      <c r="W480" s="879" t="str">
        <v/>
      </c>
      <c r="X480" s="879" t="str">
        <v/>
      </c>
      <c r="Y480" s="879" t="str">
        <v/>
      </c>
      <c r="Z480" s="879" t="str">
        <v/>
      </c>
      <c r="AA480" s="882">
        <f>IF($O481=0,0,        _xll.qDateNext($O480,AA$17,$AH$16,TRUE,Currency1))</f>
        <v>0</v>
      </c>
      <c r="AB480" s="882">
        <f>IF($O481=0,0,        _xll.qDateNext($O480,AB$17,$AH$16,TRUE,Currency1))</f>
        <v>0</v>
      </c>
      <c r="AC480" s="882">
        <f>IF($O481=0,0,        _xll.qDateNext($O480,AC$17,$AH$16,TRUE,Currency1))</f>
        <v>0</v>
      </c>
      <c r="AD480" s="882">
        <f>IF($O481=0,0,        _xll.qDateNext($O480,AD$17,$AH$16,TRUE,Currency1))</f>
        <v>0</v>
      </c>
      <c r="AE480" s="882">
        <f>IF($O481=0,0,        _xll.qDateNext($O480,AE$17,$AH$16,TRUE,Currency1))</f>
        <v>0</v>
      </c>
      <c r="AF480" s="882">
        <f>IF($O481=0,0,        _xll.qDateNext($O480,AF$17,$AH$16,TRUE,Currency1))</f>
        <v>0</v>
      </c>
      <c r="AG480" s="882">
        <f>IF($O481=0,0,        _xll.qDateNext($O480,AG$17,$AH$16,TRUE,Currency1))</f>
        <v>0</v>
      </c>
      <c r="AH480" s="882">
        <f>IF($O481=0,0,        _xll.qDateNext($O480,AH$17,$AH$16,TRUE,Currency1))</f>
        <v>0</v>
      </c>
      <c r="AI480" s="886">
        <f>IF($O481=0,0,           IF(FRM,_xll.qGetFwdRate(AI$14,$O480,AA480,"T",DCC_Leg1_Float),_xll.qGetFwdRate(AI$14,$O480,$O481,"T",DCC_Leg1_Float)))</f>
        <v>0</v>
      </c>
      <c r="AJ480" s="886">
        <f>IF($O481=0,0,           IF(FRM,_xll.qGetFwdRate(AJ$14,$O480,AB480,"T",DCC_Leg1_Float),_xll.qGetFwdRate(AJ$14,$O480,$O481,"T",DCC_Leg1_Float)))</f>
        <v>0</v>
      </c>
      <c r="AK480" s="886">
        <f t="shared" si="228"/>
        <v>0</v>
      </c>
      <c r="AL480" s="886">
        <f>IF($O481=0,0,           IF(FRM,_xll.qGetFwdRate(AL$14,$O480,AD480,"T",DCC_Leg1_Float),_xll.qGetFwdRate(AL$14,$O480,$O481,"T",DCC_Leg1_Float)))</f>
        <v>0</v>
      </c>
      <c r="AM480" s="886">
        <f t="shared" si="241"/>
        <v>0</v>
      </c>
      <c r="AN480" s="886">
        <f t="shared" si="242"/>
        <v>0</v>
      </c>
      <c r="AO480" s="886">
        <f>IF($O481=0,0,           IF(FRM,_xll.qGetFwdRate(AO$14,$O480,AG480,"T",DCC_Leg1_Float),_xll.qGetFwdRate(AO$14,$O480,$O481,"T",DCC_Leg1_Float)))</f>
        <v>0</v>
      </c>
      <c r="AP480" s="886">
        <f>IF($O481=0,0,           IF(FRM,_xll.qGetFwdRate(AP$14,$O480,AH480,"T",DCC_Leg1_Float),_xll.qGetFwdRate(AP$14,$O480,$O481,"T",DCC_Leg1_Float)))</f>
        <v>0</v>
      </c>
      <c r="AQ480" s="648">
        <f t="shared" si="243"/>
        <v>0</v>
      </c>
      <c r="AR480" s="648">
        <f t="shared" si="244"/>
        <v>0</v>
      </c>
      <c r="AS480" s="648">
        <f t="shared" si="245"/>
        <v>0</v>
      </c>
      <c r="AT480" s="648">
        <f t="shared" si="246"/>
        <v>0</v>
      </c>
      <c r="AU480" s="648">
        <f t="shared" si="247"/>
        <v>0</v>
      </c>
      <c r="AV480" s="648">
        <f t="shared" si="248"/>
        <v>0</v>
      </c>
      <c r="AW480" s="648">
        <f t="shared" si="249"/>
        <v>0</v>
      </c>
      <c r="AX480" s="648">
        <f t="shared" si="250"/>
        <v>0</v>
      </c>
      <c r="AY480" s="634">
        <v>0</v>
      </c>
      <c r="AZ480" s="616"/>
      <c r="BA480" s="619">
        <f>IF(O481=0,0,             IF(ISNUMBER(AZ480),AZ480,             IF(ISTEXT(AZ480),INDEX(AQ480:AX480,MATCH(AZ480,$AQ$17:$AX$17,0)),           IF(AY480="INT",_xll.qInterp(O481,AA480:AH480,AQ480:AX480),       INDEX(AQ480:AX480,MATCH(AY480,$AQ$17:$AX$17,0))))))</f>
        <v>0</v>
      </c>
      <c r="BB480" s="674">
        <v>100</v>
      </c>
      <c r="BC480" s="666">
        <f t="shared" si="229"/>
        <v>0</v>
      </c>
      <c r="BD480" s="268">
        <f>IF($O481=0,0,                IF(LEFT(DCC_Leg1_Fixed,2)="1/",uEvaluate(DCC_Leg1_Fixed),        _xll.qDateYears($O480,$O481,DCC_Leg1_Fixed)))</f>
        <v>0</v>
      </c>
      <c r="BE480" s="268">
        <f>IF($O481,_xll.qDateYears($O480,$O481,DCC_Leg1_Float),0)</f>
        <v>0</v>
      </c>
      <c r="BG480" s="332">
        <f t="shared" si="251"/>
        <v>0</v>
      </c>
      <c r="BH480" s="357">
        <f t="shared" si="252"/>
        <v>0</v>
      </c>
      <c r="BI480" s="527"/>
      <c r="BK480" s="324">
        <f t="shared" si="225"/>
        <v>0</v>
      </c>
      <c r="BM480" s="338"/>
      <c r="BN480" s="121">
        <v>0</v>
      </c>
      <c r="BO480" s="755">
        <f t="shared" si="230"/>
        <v>0</v>
      </c>
      <c r="BP480" s="339">
        <v>0</v>
      </c>
      <c r="BQ480" s="890">
        <f>IF(BN481=0,0,         IF(OR(Currency2="AUD",Currency1="NZD",Currency2="GBP"),BN480,   _xll.qDateNext(BN480,"-2b",,,IF(Currency2="EUR","TGT","LON"))))</f>
        <v>0</v>
      </c>
      <c r="BR480" s="879" t="str">
        <v/>
      </c>
      <c r="BS480" s="879" t="str">
        <v/>
      </c>
      <c r="BT480" s="879" t="str">
        <v/>
      </c>
      <c r="BU480" s="879" t="str">
        <v/>
      </c>
      <c r="BV480" s="879" t="str">
        <v/>
      </c>
      <c r="BW480" s="879" t="str">
        <v/>
      </c>
      <c r="BX480" s="879" t="str">
        <v/>
      </c>
      <c r="BY480" s="879" t="str">
        <v/>
      </c>
      <c r="BZ480" s="882">
        <f>IF($BN481=0,0,        _xll.qDateNext($BN480,BZ$17,$CG$16,TRUE,Currency2))</f>
        <v>0</v>
      </c>
      <c r="CA480" s="882">
        <f>IF($BN481=0,0,        _xll.qDateNext($BN480,CA$17,$CG$16,TRUE,Currency2))</f>
        <v>0</v>
      </c>
      <c r="CB480" s="882">
        <f>IF($BN481=0,0,        _xll.qDateNext($BN480,CB$17,$CG$16,TRUE,Currency2))</f>
        <v>0</v>
      </c>
      <c r="CC480" s="882">
        <f>IF($BN481=0,0,        _xll.qDateNext($BN480,CC$17,$CG$16,TRUE,Currency2))</f>
        <v>0</v>
      </c>
      <c r="CD480" s="882">
        <f>IF($BN481=0,0,        _xll.qDateNext($BN480,CD$17,$CG$16,TRUE,Currency2))</f>
        <v>0</v>
      </c>
      <c r="CE480" s="882">
        <f>IF($BN481=0,0,        _xll.qDateNext($BN480,CE$17,$CG$16,TRUE,Currency2))</f>
        <v>0</v>
      </c>
      <c r="CF480" s="882">
        <f>IF($BN481=0,0,        _xll.qDateNext($BN480,CF$17,$CG$16,TRUE,Currency2))</f>
        <v>0</v>
      </c>
      <c r="CG480" s="882">
        <f>IF($BN481=0,0,        _xll.qDateNext($BN480,CG$17,$CG$16,TRUE,Currency2))</f>
        <v>0</v>
      </c>
      <c r="CH480" s="886">
        <v>0</v>
      </c>
      <c r="CI480" s="886">
        <v>0</v>
      </c>
      <c r="CJ480" s="886">
        <v>0</v>
      </c>
      <c r="CK480" s="886">
        <v>0</v>
      </c>
      <c r="CL480" s="886">
        <f t="shared" si="253"/>
        <v>0</v>
      </c>
      <c r="CM480" s="886">
        <f t="shared" si="254"/>
        <v>0</v>
      </c>
      <c r="CN480" s="886">
        <v>0</v>
      </c>
      <c r="CO480" s="886">
        <v>0</v>
      </c>
      <c r="CP480" s="648">
        <f t="shared" si="231"/>
        <v>0</v>
      </c>
      <c r="CQ480" s="648">
        <f t="shared" si="232"/>
        <v>0</v>
      </c>
      <c r="CR480" s="648">
        <f t="shared" si="233"/>
        <v>0</v>
      </c>
      <c r="CS480" s="648">
        <f t="shared" si="234"/>
        <v>0</v>
      </c>
      <c r="CT480" s="648">
        <f t="shared" si="235"/>
        <v>0</v>
      </c>
      <c r="CU480" s="648">
        <f t="shared" si="236"/>
        <v>0</v>
      </c>
      <c r="CV480" s="648">
        <f t="shared" si="237"/>
        <v>0</v>
      </c>
      <c r="CW480" s="648">
        <f t="shared" si="238"/>
        <v>0</v>
      </c>
      <c r="CX480" s="634">
        <v>0</v>
      </c>
      <c r="CY480" s="616"/>
      <c r="CZ480" s="619">
        <f>IF(BN481=0,0,             IF(ISNUMBER(CY480),CY480,             IF(ISTEXT(CY480),INDEX(CP480:CW480,MATCH(CY480,$CP$17:$CW$17,0)),           IF(CX480="INT",_xll.qInterp(BN481,BZ480:CG480,CP480:CW480),       INDEX(CP480:CW480,MATCH(CX480,$CP$17:$CW$17,0))))))</f>
        <v>0</v>
      </c>
      <c r="DA480" s="755">
        <f t="shared" si="239"/>
        <v>0</v>
      </c>
      <c r="DB480" s="387">
        <f t="shared" si="240"/>
        <v>0</v>
      </c>
      <c r="DC480" s="268">
        <f>IF($BN481=0,0,         IF(LEFT(DCC_Leg2_Fixed,2)="1/",uEvaluate(DCC_Leg2_Fixed),         _xll.qDateYears($BN480,$BN481,DCC_Leg2_Fixed)))</f>
        <v>0</v>
      </c>
      <c r="DD480" s="268">
        <f>IF($BN481,_xll.qDateYears($BN480,$BN481,DCC_Leg2_Float),0)</f>
        <v>0</v>
      </c>
      <c r="DF480" s="332">
        <f t="shared" si="255"/>
        <v>0</v>
      </c>
      <c r="DG480" s="357">
        <f t="shared" si="256"/>
        <v>0</v>
      </c>
      <c r="DH480" s="527"/>
      <c r="DJ480" s="324">
        <f t="shared" si="226"/>
        <v>0</v>
      </c>
      <c r="DK480" s="529"/>
      <c r="DL480" s="338"/>
    </row>
    <row r="481" spans="15:116">
      <c r="O481" s="121">
        <v>0</v>
      </c>
      <c r="P481" s="755">
        <f t="shared" si="227"/>
        <v>0</v>
      </c>
      <c r="Q481" s="125">
        <v>0</v>
      </c>
      <c r="R481" s="890">
        <f>IF(O482=0,0,         IF(OR(Currency1="AUD",Currency1="NZD",Currency1="GBP"),O481,   _xll.qDateNext(O481,"-2b",,,IF(Currency1="EUR","TGT","LON"))))</f>
        <v>0</v>
      </c>
      <c r="S481" s="879" t="str">
        <v/>
      </c>
      <c r="T481" s="879" t="str">
        <v/>
      </c>
      <c r="U481" s="879" t="str">
        <v/>
      </c>
      <c r="V481" s="879" t="str">
        <v/>
      </c>
      <c r="W481" s="879" t="str">
        <v/>
      </c>
      <c r="X481" s="879" t="str">
        <v/>
      </c>
      <c r="Y481" s="879" t="str">
        <v/>
      </c>
      <c r="Z481" s="879" t="str">
        <v/>
      </c>
      <c r="AA481" s="882">
        <f>IF($O482=0,0,        _xll.qDateNext($O481,AA$17,$AH$16,TRUE,Currency1))</f>
        <v>0</v>
      </c>
      <c r="AB481" s="882">
        <f>IF($O482=0,0,        _xll.qDateNext($O481,AB$17,$AH$16,TRUE,Currency1))</f>
        <v>0</v>
      </c>
      <c r="AC481" s="882">
        <f>IF($O482=0,0,        _xll.qDateNext($O481,AC$17,$AH$16,TRUE,Currency1))</f>
        <v>0</v>
      </c>
      <c r="AD481" s="882">
        <f>IF($O482=0,0,        _xll.qDateNext($O481,AD$17,$AH$16,TRUE,Currency1))</f>
        <v>0</v>
      </c>
      <c r="AE481" s="882">
        <f>IF($O482=0,0,        _xll.qDateNext($O481,AE$17,$AH$16,TRUE,Currency1))</f>
        <v>0</v>
      </c>
      <c r="AF481" s="882">
        <f>IF($O482=0,0,        _xll.qDateNext($O481,AF$17,$AH$16,TRUE,Currency1))</f>
        <v>0</v>
      </c>
      <c r="AG481" s="882">
        <f>IF($O482=0,0,        _xll.qDateNext($O481,AG$17,$AH$16,TRUE,Currency1))</f>
        <v>0</v>
      </c>
      <c r="AH481" s="882">
        <f>IF($O482=0,0,        _xll.qDateNext($O481,AH$17,$AH$16,TRUE,Currency1))</f>
        <v>0</v>
      </c>
      <c r="AI481" s="886">
        <f>IF($O482=0,0,           IF(FRM,_xll.qGetFwdRate(AI$14,$O481,AA481,"T",DCC_Leg1_Float),_xll.qGetFwdRate(AI$14,$O481,$O482,"T",DCC_Leg1_Float)))</f>
        <v>0</v>
      </c>
      <c r="AJ481" s="886">
        <f>IF($O482=0,0,           IF(FRM,_xll.qGetFwdRate(AJ$14,$O481,AB481,"T",DCC_Leg1_Float),_xll.qGetFwdRate(AJ$14,$O481,$O482,"T",DCC_Leg1_Float)))</f>
        <v>0</v>
      </c>
      <c r="AK481" s="886">
        <f t="shared" si="228"/>
        <v>0</v>
      </c>
      <c r="AL481" s="886">
        <f>IF($O482=0,0,           IF(FRM,_xll.qGetFwdRate(AL$14,$O481,AD481,"T",DCC_Leg1_Float),_xll.qGetFwdRate(AL$14,$O481,$O482,"T",DCC_Leg1_Float)))</f>
        <v>0</v>
      </c>
      <c r="AM481" s="886">
        <f t="shared" si="241"/>
        <v>0</v>
      </c>
      <c r="AN481" s="886">
        <f t="shared" si="242"/>
        <v>0</v>
      </c>
      <c r="AO481" s="886">
        <f>IF($O482=0,0,           IF(FRM,_xll.qGetFwdRate(AO$14,$O481,AG481,"T",DCC_Leg1_Float),_xll.qGetFwdRate(AO$14,$O481,$O482,"T",DCC_Leg1_Float)))</f>
        <v>0</v>
      </c>
      <c r="AP481" s="886">
        <f>IF($O482=0,0,           IF(FRM,_xll.qGetFwdRate(AP$14,$O481,AH481,"T",DCC_Leg1_Float),_xll.qGetFwdRate(AP$14,$O481,$O482,"T",DCC_Leg1_Float)))</f>
        <v>0</v>
      </c>
      <c r="AQ481" s="648">
        <f t="shared" si="243"/>
        <v>0</v>
      </c>
      <c r="AR481" s="648">
        <f t="shared" si="244"/>
        <v>0</v>
      </c>
      <c r="AS481" s="648">
        <f t="shared" si="245"/>
        <v>0</v>
      </c>
      <c r="AT481" s="648">
        <f t="shared" si="246"/>
        <v>0</v>
      </c>
      <c r="AU481" s="648">
        <f t="shared" si="247"/>
        <v>0</v>
      </c>
      <c r="AV481" s="648">
        <f t="shared" si="248"/>
        <v>0</v>
      </c>
      <c r="AW481" s="648">
        <f t="shared" si="249"/>
        <v>0</v>
      </c>
      <c r="AX481" s="648">
        <f t="shared" si="250"/>
        <v>0</v>
      </c>
      <c r="AY481" s="634">
        <v>0</v>
      </c>
      <c r="AZ481" s="616"/>
      <c r="BA481" s="619">
        <f>IF(O482=0,0,             IF(ISNUMBER(AZ481),AZ481,             IF(ISTEXT(AZ481),INDEX(AQ481:AX481,MATCH(AZ481,$AQ$17:$AX$17,0)),           IF(AY481="INT",_xll.qInterp(O482,AA481:AH481,AQ481:AX481),       INDEX(AQ481:AX481,MATCH(AY481,$AQ$17:$AX$17,0))))))</f>
        <v>0</v>
      </c>
      <c r="BB481" s="674">
        <v>100</v>
      </c>
      <c r="BC481" s="666">
        <f t="shared" si="229"/>
        <v>0</v>
      </c>
      <c r="BD481" s="268">
        <f>IF($O482=0,0,                IF(LEFT(DCC_Leg1_Fixed,2)="1/",uEvaluate(DCC_Leg1_Fixed),        _xll.qDateYears($O481,$O482,DCC_Leg1_Fixed)))</f>
        <v>0</v>
      </c>
      <c r="BE481" s="268">
        <f>IF($O482,_xll.qDateYears($O481,$O482,DCC_Leg1_Float),0)</f>
        <v>0</v>
      </c>
      <c r="BG481" s="332">
        <f t="shared" si="251"/>
        <v>0</v>
      </c>
      <c r="BH481" s="357">
        <f t="shared" si="252"/>
        <v>0</v>
      </c>
      <c r="BI481" s="527"/>
      <c r="BK481" s="324">
        <f t="shared" si="225"/>
        <v>0</v>
      </c>
      <c r="BM481" s="338"/>
      <c r="BN481" s="121">
        <v>0</v>
      </c>
      <c r="BO481" s="755">
        <f t="shared" si="230"/>
        <v>0</v>
      </c>
      <c r="BP481" s="339">
        <v>0</v>
      </c>
      <c r="BQ481" s="890">
        <f>IF(BN482=0,0,         IF(OR(Currency2="AUD",Currency1="NZD",Currency2="GBP"),BN481,   _xll.qDateNext(BN481,"-2b",,,IF(Currency2="EUR","TGT","LON"))))</f>
        <v>0</v>
      </c>
      <c r="BR481" s="879" t="str">
        <v/>
      </c>
      <c r="BS481" s="879" t="str">
        <v/>
      </c>
      <c r="BT481" s="879" t="str">
        <v/>
      </c>
      <c r="BU481" s="879" t="str">
        <v/>
      </c>
      <c r="BV481" s="879" t="str">
        <v/>
      </c>
      <c r="BW481" s="879" t="str">
        <v/>
      </c>
      <c r="BX481" s="879" t="str">
        <v/>
      </c>
      <c r="BY481" s="879" t="str">
        <v/>
      </c>
      <c r="BZ481" s="882">
        <f>IF($BN482=0,0,        _xll.qDateNext($BN481,BZ$17,$CG$16,TRUE,Currency2))</f>
        <v>0</v>
      </c>
      <c r="CA481" s="882">
        <f>IF($BN482=0,0,        _xll.qDateNext($BN481,CA$17,$CG$16,TRUE,Currency2))</f>
        <v>0</v>
      </c>
      <c r="CB481" s="882">
        <f>IF($BN482=0,0,        _xll.qDateNext($BN481,CB$17,$CG$16,TRUE,Currency2))</f>
        <v>0</v>
      </c>
      <c r="CC481" s="882">
        <f>IF($BN482=0,0,        _xll.qDateNext($BN481,CC$17,$CG$16,TRUE,Currency2))</f>
        <v>0</v>
      </c>
      <c r="CD481" s="882">
        <f>IF($BN482=0,0,        _xll.qDateNext($BN481,CD$17,$CG$16,TRUE,Currency2))</f>
        <v>0</v>
      </c>
      <c r="CE481" s="882">
        <f>IF($BN482=0,0,        _xll.qDateNext($BN481,CE$17,$CG$16,TRUE,Currency2))</f>
        <v>0</v>
      </c>
      <c r="CF481" s="882">
        <f>IF($BN482=0,0,        _xll.qDateNext($BN481,CF$17,$CG$16,TRUE,Currency2))</f>
        <v>0</v>
      </c>
      <c r="CG481" s="882">
        <f>IF($BN482=0,0,        _xll.qDateNext($BN481,CG$17,$CG$16,TRUE,Currency2))</f>
        <v>0</v>
      </c>
      <c r="CH481" s="886">
        <v>0</v>
      </c>
      <c r="CI481" s="886">
        <v>0</v>
      </c>
      <c r="CJ481" s="886">
        <v>0</v>
      </c>
      <c r="CK481" s="886">
        <v>0</v>
      </c>
      <c r="CL481" s="886">
        <f t="shared" si="253"/>
        <v>0</v>
      </c>
      <c r="CM481" s="886">
        <f t="shared" si="254"/>
        <v>0</v>
      </c>
      <c r="CN481" s="886">
        <v>0</v>
      </c>
      <c r="CO481" s="886">
        <v>0</v>
      </c>
      <c r="CP481" s="648">
        <f t="shared" si="231"/>
        <v>0</v>
      </c>
      <c r="CQ481" s="648">
        <f t="shared" si="232"/>
        <v>0</v>
      </c>
      <c r="CR481" s="648">
        <f t="shared" si="233"/>
        <v>0</v>
      </c>
      <c r="CS481" s="648">
        <f t="shared" si="234"/>
        <v>0</v>
      </c>
      <c r="CT481" s="648">
        <f t="shared" si="235"/>
        <v>0</v>
      </c>
      <c r="CU481" s="648">
        <f t="shared" si="236"/>
        <v>0</v>
      </c>
      <c r="CV481" s="648">
        <f t="shared" si="237"/>
        <v>0</v>
      </c>
      <c r="CW481" s="648">
        <f t="shared" si="238"/>
        <v>0</v>
      </c>
      <c r="CX481" s="634">
        <v>0</v>
      </c>
      <c r="CY481" s="616"/>
      <c r="CZ481" s="619">
        <f>IF(BN482=0,0,             IF(ISNUMBER(CY481),CY481,             IF(ISTEXT(CY481),INDEX(CP481:CW481,MATCH(CY481,$CP$17:$CW$17,0)),           IF(CX481="INT",_xll.qInterp(BN482,BZ481:CG481,CP481:CW481),       INDEX(CP481:CW481,MATCH(CX481,$CP$17:$CW$17,0))))))</f>
        <v>0</v>
      </c>
      <c r="DA481" s="755">
        <f t="shared" si="239"/>
        <v>0</v>
      </c>
      <c r="DB481" s="387">
        <f t="shared" si="240"/>
        <v>0</v>
      </c>
      <c r="DC481" s="268">
        <f>IF($BN482=0,0,         IF(LEFT(DCC_Leg2_Fixed,2)="1/",uEvaluate(DCC_Leg2_Fixed),         _xll.qDateYears($BN481,$BN482,DCC_Leg2_Fixed)))</f>
        <v>0</v>
      </c>
      <c r="DD481" s="268">
        <f>IF($BN482,_xll.qDateYears($BN481,$BN482,DCC_Leg2_Float),0)</f>
        <v>0</v>
      </c>
      <c r="DF481" s="332">
        <f t="shared" si="255"/>
        <v>0</v>
      </c>
      <c r="DG481" s="357">
        <f t="shared" si="256"/>
        <v>0</v>
      </c>
      <c r="DH481" s="527"/>
      <c r="DJ481" s="324">
        <f t="shared" si="226"/>
        <v>0</v>
      </c>
      <c r="DK481" s="529"/>
      <c r="DL481" s="338"/>
    </row>
    <row r="482" spans="15:116">
      <c r="O482" s="121">
        <v>0</v>
      </c>
      <c r="P482" s="755">
        <f t="shared" si="227"/>
        <v>0</v>
      </c>
      <c r="Q482" s="125">
        <v>0</v>
      </c>
      <c r="R482" s="890">
        <f>IF(O483=0,0,         IF(OR(Currency1="AUD",Currency1="NZD",Currency1="GBP"),O482,   _xll.qDateNext(O482,"-2b",,,IF(Currency1="EUR","TGT","LON"))))</f>
        <v>0</v>
      </c>
      <c r="S482" s="879" t="str">
        <v/>
      </c>
      <c r="T482" s="879" t="str">
        <v/>
      </c>
      <c r="U482" s="879" t="str">
        <v/>
      </c>
      <c r="V482" s="879" t="str">
        <v/>
      </c>
      <c r="W482" s="879" t="str">
        <v/>
      </c>
      <c r="X482" s="879" t="str">
        <v/>
      </c>
      <c r="Y482" s="879" t="str">
        <v/>
      </c>
      <c r="Z482" s="879" t="str">
        <v/>
      </c>
      <c r="AA482" s="882">
        <f>IF($O483=0,0,        _xll.qDateNext($O482,AA$17,$AH$16,TRUE,Currency1))</f>
        <v>0</v>
      </c>
      <c r="AB482" s="882">
        <f>IF($O483=0,0,        _xll.qDateNext($O482,AB$17,$AH$16,TRUE,Currency1))</f>
        <v>0</v>
      </c>
      <c r="AC482" s="882">
        <f>IF($O483=0,0,        _xll.qDateNext($O482,AC$17,$AH$16,TRUE,Currency1))</f>
        <v>0</v>
      </c>
      <c r="AD482" s="882">
        <f>IF($O483=0,0,        _xll.qDateNext($O482,AD$17,$AH$16,TRUE,Currency1))</f>
        <v>0</v>
      </c>
      <c r="AE482" s="882">
        <f>IF($O483=0,0,        _xll.qDateNext($O482,AE$17,$AH$16,TRUE,Currency1))</f>
        <v>0</v>
      </c>
      <c r="AF482" s="882">
        <f>IF($O483=0,0,        _xll.qDateNext($O482,AF$17,$AH$16,TRUE,Currency1))</f>
        <v>0</v>
      </c>
      <c r="AG482" s="882">
        <f>IF($O483=0,0,        _xll.qDateNext($O482,AG$17,$AH$16,TRUE,Currency1))</f>
        <v>0</v>
      </c>
      <c r="AH482" s="882">
        <f>IF($O483=0,0,        _xll.qDateNext($O482,AH$17,$AH$16,TRUE,Currency1))</f>
        <v>0</v>
      </c>
      <c r="AI482" s="886">
        <f>IF($O483=0,0,           IF(FRM,_xll.qGetFwdRate(AI$14,$O482,AA482,"T",DCC_Leg1_Float),_xll.qGetFwdRate(AI$14,$O482,$O483,"T",DCC_Leg1_Float)))</f>
        <v>0</v>
      </c>
      <c r="AJ482" s="886">
        <f>IF($O483=0,0,           IF(FRM,_xll.qGetFwdRate(AJ$14,$O482,AB482,"T",DCC_Leg1_Float),_xll.qGetFwdRate(AJ$14,$O482,$O483,"T",DCC_Leg1_Float)))</f>
        <v>0</v>
      </c>
      <c r="AK482" s="886">
        <f t="shared" si="228"/>
        <v>0</v>
      </c>
      <c r="AL482" s="886">
        <f>IF($O483=0,0,           IF(FRM,_xll.qGetFwdRate(AL$14,$O482,AD482,"T",DCC_Leg1_Float),_xll.qGetFwdRate(AL$14,$O482,$O483,"T",DCC_Leg1_Float)))</f>
        <v>0</v>
      </c>
      <c r="AM482" s="886">
        <f t="shared" si="241"/>
        <v>0</v>
      </c>
      <c r="AN482" s="886">
        <f t="shared" si="242"/>
        <v>0</v>
      </c>
      <c r="AO482" s="886">
        <f>IF($O483=0,0,           IF(FRM,_xll.qGetFwdRate(AO$14,$O482,AG482,"T",DCC_Leg1_Float),_xll.qGetFwdRate(AO$14,$O482,$O483,"T",DCC_Leg1_Float)))</f>
        <v>0</v>
      </c>
      <c r="AP482" s="886">
        <f>IF($O483=0,0,           IF(FRM,_xll.qGetFwdRate(AP$14,$O482,AH482,"T",DCC_Leg1_Float),_xll.qGetFwdRate(AP$14,$O482,$O483,"T",DCC_Leg1_Float)))</f>
        <v>0</v>
      </c>
      <c r="AQ482" s="648">
        <f t="shared" si="243"/>
        <v>0</v>
      </c>
      <c r="AR482" s="648">
        <f t="shared" si="244"/>
        <v>0</v>
      </c>
      <c r="AS482" s="648">
        <f t="shared" si="245"/>
        <v>0</v>
      </c>
      <c r="AT482" s="648">
        <f t="shared" si="246"/>
        <v>0</v>
      </c>
      <c r="AU482" s="648">
        <f t="shared" si="247"/>
        <v>0</v>
      </c>
      <c r="AV482" s="648">
        <f t="shared" si="248"/>
        <v>0</v>
      </c>
      <c r="AW482" s="648">
        <f t="shared" si="249"/>
        <v>0</v>
      </c>
      <c r="AX482" s="648">
        <f t="shared" si="250"/>
        <v>0</v>
      </c>
      <c r="AY482" s="634">
        <v>0</v>
      </c>
      <c r="AZ482" s="616"/>
      <c r="BA482" s="619">
        <f>IF(O483=0,0,             IF(ISNUMBER(AZ482),AZ482,             IF(ISTEXT(AZ482),INDEX(AQ482:AX482,MATCH(AZ482,$AQ$17:$AX$17,0)),           IF(AY482="INT",_xll.qInterp(O483,AA482:AH482,AQ482:AX482),       INDEX(AQ482:AX482,MATCH(AY482,$AQ$17:$AX$17,0))))))</f>
        <v>0</v>
      </c>
      <c r="BB482" s="674">
        <v>100</v>
      </c>
      <c r="BC482" s="666">
        <f t="shared" si="229"/>
        <v>0</v>
      </c>
      <c r="BD482" s="268">
        <f>IF($O483=0,0,                IF(LEFT(DCC_Leg1_Fixed,2)="1/",uEvaluate(DCC_Leg1_Fixed),        _xll.qDateYears($O482,$O483,DCC_Leg1_Fixed)))</f>
        <v>0</v>
      </c>
      <c r="BE482" s="268">
        <f>IF($O483,_xll.qDateYears($O482,$O483,DCC_Leg1_Float),0)</f>
        <v>0</v>
      </c>
      <c r="BG482" s="332">
        <f t="shared" si="251"/>
        <v>0</v>
      </c>
      <c r="BH482" s="357">
        <f t="shared" si="252"/>
        <v>0</v>
      </c>
      <c r="BI482" s="527"/>
      <c r="BK482" s="324">
        <f t="shared" si="225"/>
        <v>0</v>
      </c>
      <c r="BM482" s="338"/>
      <c r="BN482" s="121">
        <v>0</v>
      </c>
      <c r="BO482" s="755">
        <f t="shared" si="230"/>
        <v>0</v>
      </c>
      <c r="BP482" s="339">
        <v>0</v>
      </c>
      <c r="BQ482" s="890">
        <f>IF(BN483=0,0,         IF(OR(Currency2="AUD",Currency1="NZD",Currency2="GBP"),BN482,   _xll.qDateNext(BN482,"-2b",,,IF(Currency2="EUR","TGT","LON"))))</f>
        <v>0</v>
      </c>
      <c r="BR482" s="879" t="str">
        <v/>
      </c>
      <c r="BS482" s="879" t="str">
        <v/>
      </c>
      <c r="BT482" s="879" t="str">
        <v/>
      </c>
      <c r="BU482" s="879" t="str">
        <v/>
      </c>
      <c r="BV482" s="879" t="str">
        <v/>
      </c>
      <c r="BW482" s="879" t="str">
        <v/>
      </c>
      <c r="BX482" s="879" t="str">
        <v/>
      </c>
      <c r="BY482" s="879" t="str">
        <v/>
      </c>
      <c r="BZ482" s="882">
        <f>IF($BN483=0,0,        _xll.qDateNext($BN482,BZ$17,$CG$16,TRUE,Currency2))</f>
        <v>0</v>
      </c>
      <c r="CA482" s="882">
        <f>IF($BN483=0,0,        _xll.qDateNext($BN482,CA$17,$CG$16,TRUE,Currency2))</f>
        <v>0</v>
      </c>
      <c r="CB482" s="882">
        <f>IF($BN483=0,0,        _xll.qDateNext($BN482,CB$17,$CG$16,TRUE,Currency2))</f>
        <v>0</v>
      </c>
      <c r="CC482" s="882">
        <f>IF($BN483=0,0,        _xll.qDateNext($BN482,CC$17,$CG$16,TRUE,Currency2))</f>
        <v>0</v>
      </c>
      <c r="CD482" s="882">
        <f>IF($BN483=0,0,        _xll.qDateNext($BN482,CD$17,$CG$16,TRUE,Currency2))</f>
        <v>0</v>
      </c>
      <c r="CE482" s="882">
        <f>IF($BN483=0,0,        _xll.qDateNext($BN482,CE$17,$CG$16,TRUE,Currency2))</f>
        <v>0</v>
      </c>
      <c r="CF482" s="882">
        <f>IF($BN483=0,0,        _xll.qDateNext($BN482,CF$17,$CG$16,TRUE,Currency2))</f>
        <v>0</v>
      </c>
      <c r="CG482" s="882">
        <f>IF($BN483=0,0,        _xll.qDateNext($BN482,CG$17,$CG$16,TRUE,Currency2))</f>
        <v>0</v>
      </c>
      <c r="CH482" s="886">
        <v>0</v>
      </c>
      <c r="CI482" s="886">
        <v>0</v>
      </c>
      <c r="CJ482" s="886">
        <v>0</v>
      </c>
      <c r="CK482" s="886">
        <v>0</v>
      </c>
      <c r="CL482" s="886">
        <f t="shared" si="253"/>
        <v>0</v>
      </c>
      <c r="CM482" s="886">
        <f t="shared" si="254"/>
        <v>0</v>
      </c>
      <c r="CN482" s="886">
        <v>0</v>
      </c>
      <c r="CO482" s="886">
        <v>0</v>
      </c>
      <c r="CP482" s="648">
        <f t="shared" si="231"/>
        <v>0</v>
      </c>
      <c r="CQ482" s="648">
        <f t="shared" si="232"/>
        <v>0</v>
      </c>
      <c r="CR482" s="648">
        <f t="shared" si="233"/>
        <v>0</v>
      </c>
      <c r="CS482" s="648">
        <f t="shared" si="234"/>
        <v>0</v>
      </c>
      <c r="CT482" s="648">
        <f t="shared" si="235"/>
        <v>0</v>
      </c>
      <c r="CU482" s="648">
        <f t="shared" si="236"/>
        <v>0</v>
      </c>
      <c r="CV482" s="648">
        <f t="shared" si="237"/>
        <v>0</v>
      </c>
      <c r="CW482" s="648">
        <f t="shared" si="238"/>
        <v>0</v>
      </c>
      <c r="CX482" s="634">
        <v>0</v>
      </c>
      <c r="CY482" s="616"/>
      <c r="CZ482" s="619">
        <f>IF(BN483=0,0,             IF(ISNUMBER(CY482),CY482,             IF(ISTEXT(CY482),INDEX(CP482:CW482,MATCH(CY482,$CP$17:$CW$17,0)),           IF(CX482="INT",_xll.qInterp(BN483,BZ482:CG482,CP482:CW482),       INDEX(CP482:CW482,MATCH(CX482,$CP$17:$CW$17,0))))))</f>
        <v>0</v>
      </c>
      <c r="DA482" s="755">
        <f t="shared" si="239"/>
        <v>0</v>
      </c>
      <c r="DB482" s="387">
        <f t="shared" si="240"/>
        <v>0</v>
      </c>
      <c r="DC482" s="268">
        <f>IF($BN483=0,0,         IF(LEFT(DCC_Leg2_Fixed,2)="1/",uEvaluate(DCC_Leg2_Fixed),         _xll.qDateYears($BN482,$BN483,DCC_Leg2_Fixed)))</f>
        <v>0</v>
      </c>
      <c r="DD482" s="268">
        <f>IF($BN483,_xll.qDateYears($BN482,$BN483,DCC_Leg2_Float),0)</f>
        <v>0</v>
      </c>
      <c r="DF482" s="332">
        <f t="shared" si="255"/>
        <v>0</v>
      </c>
      <c r="DG482" s="357">
        <f t="shared" si="256"/>
        <v>0</v>
      </c>
      <c r="DH482" s="527"/>
      <c r="DJ482" s="324">
        <f t="shared" si="226"/>
        <v>0</v>
      </c>
      <c r="DK482" s="529"/>
      <c r="DL482" s="338"/>
    </row>
    <row r="483" spans="15:116">
      <c r="O483" s="121">
        <v>0</v>
      </c>
      <c r="P483" s="755">
        <f t="shared" si="227"/>
        <v>0</v>
      </c>
      <c r="Q483" s="125">
        <v>0</v>
      </c>
      <c r="R483" s="890">
        <f>IF(O484=0,0,         IF(OR(Currency1="AUD",Currency1="NZD",Currency1="GBP"),O483,   _xll.qDateNext(O483,"-2b",,,IF(Currency1="EUR","TGT","LON"))))</f>
        <v>0</v>
      </c>
      <c r="S483" s="879" t="str">
        <v/>
      </c>
      <c r="T483" s="879" t="str">
        <v/>
      </c>
      <c r="U483" s="879" t="str">
        <v/>
      </c>
      <c r="V483" s="879" t="str">
        <v/>
      </c>
      <c r="W483" s="879" t="str">
        <v/>
      </c>
      <c r="X483" s="879" t="str">
        <v/>
      </c>
      <c r="Y483" s="879" t="str">
        <v/>
      </c>
      <c r="Z483" s="879" t="str">
        <v/>
      </c>
      <c r="AA483" s="882">
        <f>IF($O484=0,0,        _xll.qDateNext($O483,AA$17,$AH$16,TRUE,Currency1))</f>
        <v>0</v>
      </c>
      <c r="AB483" s="882">
        <f>IF($O484=0,0,        _xll.qDateNext($O483,AB$17,$AH$16,TRUE,Currency1))</f>
        <v>0</v>
      </c>
      <c r="AC483" s="882">
        <f>IF($O484=0,0,        _xll.qDateNext($O483,AC$17,$AH$16,TRUE,Currency1))</f>
        <v>0</v>
      </c>
      <c r="AD483" s="882">
        <f>IF($O484=0,0,        _xll.qDateNext($O483,AD$17,$AH$16,TRUE,Currency1))</f>
        <v>0</v>
      </c>
      <c r="AE483" s="882">
        <f>IF($O484=0,0,        _xll.qDateNext($O483,AE$17,$AH$16,TRUE,Currency1))</f>
        <v>0</v>
      </c>
      <c r="AF483" s="882">
        <f>IF($O484=0,0,        _xll.qDateNext($O483,AF$17,$AH$16,TRUE,Currency1))</f>
        <v>0</v>
      </c>
      <c r="AG483" s="882">
        <f>IF($O484=0,0,        _xll.qDateNext($O483,AG$17,$AH$16,TRUE,Currency1))</f>
        <v>0</v>
      </c>
      <c r="AH483" s="882">
        <f>IF($O484=0,0,        _xll.qDateNext($O483,AH$17,$AH$16,TRUE,Currency1))</f>
        <v>0</v>
      </c>
      <c r="AI483" s="886">
        <f>IF($O484=0,0,           IF(FRM,_xll.qGetFwdRate(AI$14,$O483,AA483,"T",DCC_Leg1_Float),_xll.qGetFwdRate(AI$14,$O483,$O484,"T",DCC_Leg1_Float)))</f>
        <v>0</v>
      </c>
      <c r="AJ483" s="886">
        <f>IF($O484=0,0,           IF(FRM,_xll.qGetFwdRate(AJ$14,$O483,AB483,"T",DCC_Leg1_Float),_xll.qGetFwdRate(AJ$14,$O483,$O484,"T",DCC_Leg1_Float)))</f>
        <v>0</v>
      </c>
      <c r="AK483" s="886">
        <f t="shared" si="228"/>
        <v>0</v>
      </c>
      <c r="AL483" s="886">
        <f>IF($O484=0,0,           IF(FRM,_xll.qGetFwdRate(AL$14,$O483,AD483,"T",DCC_Leg1_Float),_xll.qGetFwdRate(AL$14,$O483,$O484,"T",DCC_Leg1_Float)))</f>
        <v>0</v>
      </c>
      <c r="AM483" s="886">
        <f t="shared" si="241"/>
        <v>0</v>
      </c>
      <c r="AN483" s="886">
        <f t="shared" si="242"/>
        <v>0</v>
      </c>
      <c r="AO483" s="886">
        <f>IF($O484=0,0,           IF(FRM,_xll.qGetFwdRate(AO$14,$O483,AG483,"T",DCC_Leg1_Float),_xll.qGetFwdRate(AO$14,$O483,$O484,"T",DCC_Leg1_Float)))</f>
        <v>0</v>
      </c>
      <c r="AP483" s="886">
        <f>IF($O484=0,0,           IF(FRM,_xll.qGetFwdRate(AP$14,$O483,AH483,"T",DCC_Leg1_Float),_xll.qGetFwdRate(AP$14,$O483,$O484,"T",DCC_Leg1_Float)))</f>
        <v>0</v>
      </c>
      <c r="AQ483" s="648">
        <f t="shared" si="243"/>
        <v>0</v>
      </c>
      <c r="AR483" s="648">
        <f t="shared" si="244"/>
        <v>0</v>
      </c>
      <c r="AS483" s="648">
        <f t="shared" si="245"/>
        <v>0</v>
      </c>
      <c r="AT483" s="648">
        <f t="shared" si="246"/>
        <v>0</v>
      </c>
      <c r="AU483" s="648">
        <f t="shared" si="247"/>
        <v>0</v>
      </c>
      <c r="AV483" s="648">
        <f t="shared" si="248"/>
        <v>0</v>
      </c>
      <c r="AW483" s="648">
        <f t="shared" si="249"/>
        <v>0</v>
      </c>
      <c r="AX483" s="648">
        <f t="shared" si="250"/>
        <v>0</v>
      </c>
      <c r="AY483" s="634">
        <v>0</v>
      </c>
      <c r="AZ483" s="616"/>
      <c r="BA483" s="619">
        <f>IF(O484=0,0,             IF(ISNUMBER(AZ483),AZ483,             IF(ISTEXT(AZ483),INDEX(AQ483:AX483,MATCH(AZ483,$AQ$17:$AX$17,0)),           IF(AY483="INT",_xll.qInterp(O484,AA483:AH483,AQ483:AX483),       INDEX(AQ483:AX483,MATCH(AY483,$AQ$17:$AX$17,0))))))</f>
        <v>0</v>
      </c>
      <c r="BB483" s="674">
        <v>100</v>
      </c>
      <c r="BC483" s="666">
        <f t="shared" si="229"/>
        <v>0</v>
      </c>
      <c r="BD483" s="268">
        <f>IF($O484=0,0,                IF(LEFT(DCC_Leg1_Fixed,2)="1/",uEvaluate(DCC_Leg1_Fixed),        _xll.qDateYears($O483,$O484,DCC_Leg1_Fixed)))</f>
        <v>0</v>
      </c>
      <c r="BE483" s="268">
        <f>IF($O484,_xll.qDateYears($O483,$O484,DCC_Leg1_Float),0)</f>
        <v>0</v>
      </c>
      <c r="BG483" s="332">
        <f t="shared" si="251"/>
        <v>0</v>
      </c>
      <c r="BH483" s="357">
        <f t="shared" si="252"/>
        <v>0</v>
      </c>
      <c r="BI483" s="527"/>
      <c r="BK483" s="324">
        <f t="shared" si="225"/>
        <v>0</v>
      </c>
      <c r="BM483" s="338"/>
      <c r="BN483" s="121">
        <v>0</v>
      </c>
      <c r="BO483" s="755">
        <f t="shared" si="230"/>
        <v>0</v>
      </c>
      <c r="BP483" s="339">
        <v>0</v>
      </c>
      <c r="BQ483" s="890">
        <f>IF(BN484=0,0,         IF(OR(Currency2="AUD",Currency1="NZD",Currency2="GBP"),BN483,   _xll.qDateNext(BN483,"-2b",,,IF(Currency2="EUR","TGT","LON"))))</f>
        <v>0</v>
      </c>
      <c r="BR483" s="879" t="str">
        <v/>
      </c>
      <c r="BS483" s="879" t="str">
        <v/>
      </c>
      <c r="BT483" s="879" t="str">
        <v/>
      </c>
      <c r="BU483" s="879" t="str">
        <v/>
      </c>
      <c r="BV483" s="879" t="str">
        <v/>
      </c>
      <c r="BW483" s="879" t="str">
        <v/>
      </c>
      <c r="BX483" s="879" t="str">
        <v/>
      </c>
      <c r="BY483" s="879" t="str">
        <v/>
      </c>
      <c r="BZ483" s="882">
        <f>IF($BN484=0,0,        _xll.qDateNext($BN483,BZ$17,$CG$16,TRUE,Currency2))</f>
        <v>0</v>
      </c>
      <c r="CA483" s="882">
        <f>IF($BN484=0,0,        _xll.qDateNext($BN483,CA$17,$CG$16,TRUE,Currency2))</f>
        <v>0</v>
      </c>
      <c r="CB483" s="882">
        <f>IF($BN484=0,0,        _xll.qDateNext($BN483,CB$17,$CG$16,TRUE,Currency2))</f>
        <v>0</v>
      </c>
      <c r="CC483" s="882">
        <f>IF($BN484=0,0,        _xll.qDateNext($BN483,CC$17,$CG$16,TRUE,Currency2))</f>
        <v>0</v>
      </c>
      <c r="CD483" s="882">
        <f>IF($BN484=0,0,        _xll.qDateNext($BN483,CD$17,$CG$16,TRUE,Currency2))</f>
        <v>0</v>
      </c>
      <c r="CE483" s="882">
        <f>IF($BN484=0,0,        _xll.qDateNext($BN483,CE$17,$CG$16,TRUE,Currency2))</f>
        <v>0</v>
      </c>
      <c r="CF483" s="882">
        <f>IF($BN484=0,0,        _xll.qDateNext($BN483,CF$17,$CG$16,TRUE,Currency2))</f>
        <v>0</v>
      </c>
      <c r="CG483" s="882">
        <f>IF($BN484=0,0,        _xll.qDateNext($BN483,CG$17,$CG$16,TRUE,Currency2))</f>
        <v>0</v>
      </c>
      <c r="CH483" s="886">
        <v>0</v>
      </c>
      <c r="CI483" s="886">
        <v>0</v>
      </c>
      <c r="CJ483" s="886">
        <v>0</v>
      </c>
      <c r="CK483" s="886">
        <v>0</v>
      </c>
      <c r="CL483" s="886">
        <f t="shared" si="253"/>
        <v>0</v>
      </c>
      <c r="CM483" s="886">
        <f t="shared" si="254"/>
        <v>0</v>
      </c>
      <c r="CN483" s="886">
        <v>0</v>
      </c>
      <c r="CO483" s="886">
        <v>0</v>
      </c>
      <c r="CP483" s="648">
        <f t="shared" si="231"/>
        <v>0</v>
      </c>
      <c r="CQ483" s="648">
        <f t="shared" si="232"/>
        <v>0</v>
      </c>
      <c r="CR483" s="648">
        <f t="shared" si="233"/>
        <v>0</v>
      </c>
      <c r="CS483" s="648">
        <f t="shared" si="234"/>
        <v>0</v>
      </c>
      <c r="CT483" s="648">
        <f t="shared" si="235"/>
        <v>0</v>
      </c>
      <c r="CU483" s="648">
        <f t="shared" si="236"/>
        <v>0</v>
      </c>
      <c r="CV483" s="648">
        <f t="shared" si="237"/>
        <v>0</v>
      </c>
      <c r="CW483" s="648">
        <f t="shared" si="238"/>
        <v>0</v>
      </c>
      <c r="CX483" s="634">
        <v>0</v>
      </c>
      <c r="CY483" s="616"/>
      <c r="CZ483" s="619">
        <f>IF(BN484=0,0,             IF(ISNUMBER(CY483),CY483,             IF(ISTEXT(CY483),INDEX(CP483:CW483,MATCH(CY483,$CP$17:$CW$17,0)),           IF(CX483="INT",_xll.qInterp(BN484,BZ483:CG483,CP483:CW483),       INDEX(CP483:CW483,MATCH(CX483,$CP$17:$CW$17,0))))))</f>
        <v>0</v>
      </c>
      <c r="DA483" s="755">
        <f t="shared" si="239"/>
        <v>0</v>
      </c>
      <c r="DB483" s="387">
        <f t="shared" si="240"/>
        <v>0</v>
      </c>
      <c r="DC483" s="268">
        <f>IF($BN484=0,0,         IF(LEFT(DCC_Leg2_Fixed,2)="1/",uEvaluate(DCC_Leg2_Fixed),         _xll.qDateYears($BN483,$BN484,DCC_Leg2_Fixed)))</f>
        <v>0</v>
      </c>
      <c r="DD483" s="268">
        <f>IF($BN484,_xll.qDateYears($BN483,$BN484,DCC_Leg2_Float),0)</f>
        <v>0</v>
      </c>
      <c r="DF483" s="332">
        <f t="shared" si="255"/>
        <v>0</v>
      </c>
      <c r="DG483" s="357">
        <f t="shared" si="256"/>
        <v>0</v>
      </c>
      <c r="DH483" s="527"/>
      <c r="DJ483" s="324">
        <f t="shared" si="226"/>
        <v>0</v>
      </c>
      <c r="DK483" s="529"/>
      <c r="DL483" s="338"/>
    </row>
    <row r="484" spans="15:116">
      <c r="O484" s="121">
        <v>0</v>
      </c>
      <c r="P484" s="755">
        <f t="shared" si="227"/>
        <v>0</v>
      </c>
      <c r="Q484" s="125">
        <v>0</v>
      </c>
      <c r="R484" s="890">
        <f>IF(O485=0,0,         IF(OR(Currency1="AUD",Currency1="NZD",Currency1="GBP"),O484,   _xll.qDateNext(O484,"-2b",,,IF(Currency1="EUR","TGT","LON"))))</f>
        <v>0</v>
      </c>
      <c r="S484" s="879" t="str">
        <v/>
      </c>
      <c r="T484" s="879" t="str">
        <v/>
      </c>
      <c r="U484" s="879" t="str">
        <v/>
      </c>
      <c r="V484" s="879" t="str">
        <v/>
      </c>
      <c r="W484" s="879" t="str">
        <v/>
      </c>
      <c r="X484" s="879" t="str">
        <v/>
      </c>
      <c r="Y484" s="879" t="str">
        <v/>
      </c>
      <c r="Z484" s="879" t="str">
        <v/>
      </c>
      <c r="AA484" s="882">
        <f>IF($O485=0,0,        _xll.qDateNext($O484,AA$17,$AH$16,TRUE,Currency1))</f>
        <v>0</v>
      </c>
      <c r="AB484" s="882">
        <f>IF($O485=0,0,        _xll.qDateNext($O484,AB$17,$AH$16,TRUE,Currency1))</f>
        <v>0</v>
      </c>
      <c r="AC484" s="882">
        <f>IF($O485=0,0,        _xll.qDateNext($O484,AC$17,$AH$16,TRUE,Currency1))</f>
        <v>0</v>
      </c>
      <c r="AD484" s="882">
        <f>IF($O485=0,0,        _xll.qDateNext($O484,AD$17,$AH$16,TRUE,Currency1))</f>
        <v>0</v>
      </c>
      <c r="AE484" s="882">
        <f>IF($O485=0,0,        _xll.qDateNext($O484,AE$17,$AH$16,TRUE,Currency1))</f>
        <v>0</v>
      </c>
      <c r="AF484" s="882">
        <f>IF($O485=0,0,        _xll.qDateNext($O484,AF$17,$AH$16,TRUE,Currency1))</f>
        <v>0</v>
      </c>
      <c r="AG484" s="882">
        <f>IF($O485=0,0,        _xll.qDateNext($O484,AG$17,$AH$16,TRUE,Currency1))</f>
        <v>0</v>
      </c>
      <c r="AH484" s="882">
        <f>IF($O485=0,0,        _xll.qDateNext($O484,AH$17,$AH$16,TRUE,Currency1))</f>
        <v>0</v>
      </c>
      <c r="AI484" s="886">
        <f>IF($O485=0,0,           IF(FRM,_xll.qGetFwdRate(AI$14,$O484,AA484,"T",DCC_Leg1_Float),_xll.qGetFwdRate(AI$14,$O484,$O485,"T",DCC_Leg1_Float)))</f>
        <v>0</v>
      </c>
      <c r="AJ484" s="886">
        <f>IF($O485=0,0,           IF(FRM,_xll.qGetFwdRate(AJ$14,$O484,AB484,"T",DCC_Leg1_Float),_xll.qGetFwdRate(AJ$14,$O484,$O485,"T",DCC_Leg1_Float)))</f>
        <v>0</v>
      </c>
      <c r="AK484" s="886">
        <f t="shared" si="228"/>
        <v>0</v>
      </c>
      <c r="AL484" s="886">
        <f>IF($O485=0,0,           IF(FRM,_xll.qGetFwdRate(AL$14,$O484,AD484,"T",DCC_Leg1_Float),_xll.qGetFwdRate(AL$14,$O484,$O485,"T",DCC_Leg1_Float)))</f>
        <v>0</v>
      </c>
      <c r="AM484" s="886">
        <f t="shared" si="241"/>
        <v>0</v>
      </c>
      <c r="AN484" s="886">
        <f t="shared" si="242"/>
        <v>0</v>
      </c>
      <c r="AO484" s="886">
        <f>IF($O485=0,0,           IF(FRM,_xll.qGetFwdRate(AO$14,$O484,AG484,"T",DCC_Leg1_Float),_xll.qGetFwdRate(AO$14,$O484,$O485,"T",DCC_Leg1_Float)))</f>
        <v>0</v>
      </c>
      <c r="AP484" s="886">
        <f>IF($O485=0,0,           IF(FRM,_xll.qGetFwdRate(AP$14,$O484,AH484,"T",DCC_Leg1_Float),_xll.qGetFwdRate(AP$14,$O484,$O485,"T",DCC_Leg1_Float)))</f>
        <v>0</v>
      </c>
      <c r="AQ484" s="648">
        <f t="shared" si="243"/>
        <v>0</v>
      </c>
      <c r="AR484" s="648">
        <f t="shared" si="244"/>
        <v>0</v>
      </c>
      <c r="AS484" s="648">
        <f t="shared" si="245"/>
        <v>0</v>
      </c>
      <c r="AT484" s="648">
        <f t="shared" si="246"/>
        <v>0</v>
      </c>
      <c r="AU484" s="648">
        <f t="shared" si="247"/>
        <v>0</v>
      </c>
      <c r="AV484" s="648">
        <f t="shared" si="248"/>
        <v>0</v>
      </c>
      <c r="AW484" s="648">
        <f t="shared" si="249"/>
        <v>0</v>
      </c>
      <c r="AX484" s="648">
        <f t="shared" si="250"/>
        <v>0</v>
      </c>
      <c r="AY484" s="634">
        <v>0</v>
      </c>
      <c r="AZ484" s="616"/>
      <c r="BA484" s="619">
        <f>IF(O485=0,0,             IF(ISNUMBER(AZ484),AZ484,             IF(ISTEXT(AZ484),INDEX(AQ484:AX484,MATCH(AZ484,$AQ$17:$AX$17,0)),           IF(AY484="INT",_xll.qInterp(O485,AA484:AH484,AQ484:AX484),       INDEX(AQ484:AX484,MATCH(AY484,$AQ$17:$AX$17,0))))))</f>
        <v>0</v>
      </c>
      <c r="BB484" s="674">
        <v>100</v>
      </c>
      <c r="BC484" s="666">
        <f t="shared" si="229"/>
        <v>0</v>
      </c>
      <c r="BD484" s="268">
        <f>IF($O485=0,0,                IF(LEFT(DCC_Leg1_Fixed,2)="1/",uEvaluate(DCC_Leg1_Fixed),        _xll.qDateYears($O484,$O485,DCC_Leg1_Fixed)))</f>
        <v>0</v>
      </c>
      <c r="BE484" s="268">
        <f>IF($O485,_xll.qDateYears($O484,$O485,DCC_Leg1_Float),0)</f>
        <v>0</v>
      </c>
      <c r="BG484" s="332">
        <f t="shared" si="251"/>
        <v>0</v>
      </c>
      <c r="BH484" s="357">
        <f t="shared" si="252"/>
        <v>0</v>
      </c>
      <c r="BI484" s="527"/>
      <c r="BK484" s="324">
        <f t="shared" si="225"/>
        <v>0</v>
      </c>
      <c r="BM484" s="338"/>
      <c r="BN484" s="121">
        <v>0</v>
      </c>
      <c r="BO484" s="755">
        <f t="shared" si="230"/>
        <v>0</v>
      </c>
      <c r="BP484" s="339">
        <v>0</v>
      </c>
      <c r="BQ484" s="890">
        <f>IF(BN485=0,0,         IF(OR(Currency2="AUD",Currency1="NZD",Currency2="GBP"),BN484,   _xll.qDateNext(BN484,"-2b",,,IF(Currency2="EUR","TGT","LON"))))</f>
        <v>0</v>
      </c>
      <c r="BR484" s="879" t="str">
        <v/>
      </c>
      <c r="BS484" s="879" t="str">
        <v/>
      </c>
      <c r="BT484" s="879" t="str">
        <v/>
      </c>
      <c r="BU484" s="879" t="str">
        <v/>
      </c>
      <c r="BV484" s="879" t="str">
        <v/>
      </c>
      <c r="BW484" s="879" t="str">
        <v/>
      </c>
      <c r="BX484" s="879" t="str">
        <v/>
      </c>
      <c r="BY484" s="879" t="str">
        <v/>
      </c>
      <c r="BZ484" s="882">
        <f>IF($BN485=0,0,        _xll.qDateNext($BN484,BZ$17,$CG$16,TRUE,Currency2))</f>
        <v>0</v>
      </c>
      <c r="CA484" s="882">
        <f>IF($BN485=0,0,        _xll.qDateNext($BN484,CA$17,$CG$16,TRUE,Currency2))</f>
        <v>0</v>
      </c>
      <c r="CB484" s="882">
        <f>IF($BN485=0,0,        _xll.qDateNext($BN484,CB$17,$CG$16,TRUE,Currency2))</f>
        <v>0</v>
      </c>
      <c r="CC484" s="882">
        <f>IF($BN485=0,0,        _xll.qDateNext($BN484,CC$17,$CG$16,TRUE,Currency2))</f>
        <v>0</v>
      </c>
      <c r="CD484" s="882">
        <f>IF($BN485=0,0,        _xll.qDateNext($BN484,CD$17,$CG$16,TRUE,Currency2))</f>
        <v>0</v>
      </c>
      <c r="CE484" s="882">
        <f>IF($BN485=0,0,        _xll.qDateNext($BN484,CE$17,$CG$16,TRUE,Currency2))</f>
        <v>0</v>
      </c>
      <c r="CF484" s="882">
        <f>IF($BN485=0,0,        _xll.qDateNext($BN484,CF$17,$CG$16,TRUE,Currency2))</f>
        <v>0</v>
      </c>
      <c r="CG484" s="882">
        <f>IF($BN485=0,0,        _xll.qDateNext($BN484,CG$17,$CG$16,TRUE,Currency2))</f>
        <v>0</v>
      </c>
      <c r="CH484" s="886">
        <v>0</v>
      </c>
      <c r="CI484" s="886">
        <v>0</v>
      </c>
      <c r="CJ484" s="886">
        <v>0</v>
      </c>
      <c r="CK484" s="886">
        <v>0</v>
      </c>
      <c r="CL484" s="886">
        <f t="shared" si="253"/>
        <v>0</v>
      </c>
      <c r="CM484" s="886">
        <f t="shared" si="254"/>
        <v>0</v>
      </c>
      <c r="CN484" s="886">
        <v>0</v>
      </c>
      <c r="CO484" s="886">
        <v>0</v>
      </c>
      <c r="CP484" s="648">
        <f t="shared" si="231"/>
        <v>0</v>
      </c>
      <c r="CQ484" s="648">
        <f t="shared" si="232"/>
        <v>0</v>
      </c>
      <c r="CR484" s="648">
        <f t="shared" si="233"/>
        <v>0</v>
      </c>
      <c r="CS484" s="648">
        <f t="shared" si="234"/>
        <v>0</v>
      </c>
      <c r="CT484" s="648">
        <f t="shared" si="235"/>
        <v>0</v>
      </c>
      <c r="CU484" s="648">
        <f t="shared" si="236"/>
        <v>0</v>
      </c>
      <c r="CV484" s="648">
        <f t="shared" si="237"/>
        <v>0</v>
      </c>
      <c r="CW484" s="648">
        <f t="shared" si="238"/>
        <v>0</v>
      </c>
      <c r="CX484" s="634">
        <v>0</v>
      </c>
      <c r="CY484" s="616"/>
      <c r="CZ484" s="619">
        <f>IF(BN485=0,0,             IF(ISNUMBER(CY484),CY484,             IF(ISTEXT(CY484),INDEX(CP484:CW484,MATCH(CY484,$CP$17:$CW$17,0)),           IF(CX484="INT",_xll.qInterp(BN485,BZ484:CG484,CP484:CW484),       INDEX(CP484:CW484,MATCH(CX484,$CP$17:$CW$17,0))))))</f>
        <v>0</v>
      </c>
      <c r="DA484" s="755">
        <f t="shared" si="239"/>
        <v>0</v>
      </c>
      <c r="DB484" s="387">
        <f t="shared" si="240"/>
        <v>0</v>
      </c>
      <c r="DC484" s="268">
        <f>IF($BN485=0,0,         IF(LEFT(DCC_Leg2_Fixed,2)="1/",uEvaluate(DCC_Leg2_Fixed),         _xll.qDateYears($BN484,$BN485,DCC_Leg2_Fixed)))</f>
        <v>0</v>
      </c>
      <c r="DD484" s="268">
        <f>IF($BN485,_xll.qDateYears($BN484,$BN485,DCC_Leg2_Float),0)</f>
        <v>0</v>
      </c>
      <c r="DF484" s="332">
        <f t="shared" si="255"/>
        <v>0</v>
      </c>
      <c r="DG484" s="357">
        <f t="shared" si="256"/>
        <v>0</v>
      </c>
      <c r="DH484" s="527"/>
      <c r="DJ484" s="324">
        <f t="shared" si="226"/>
        <v>0</v>
      </c>
      <c r="DK484" s="529"/>
      <c r="DL484" s="338"/>
    </row>
    <row r="485" spans="15:116">
      <c r="O485" s="121">
        <v>0</v>
      </c>
      <c r="P485" s="755">
        <f t="shared" si="227"/>
        <v>0</v>
      </c>
      <c r="Q485" s="125">
        <v>0</v>
      </c>
      <c r="R485" s="890">
        <f>IF(O486=0,0,         IF(OR(Currency1="AUD",Currency1="NZD",Currency1="GBP"),O485,   _xll.qDateNext(O485,"-2b",,,IF(Currency1="EUR","TGT","LON"))))</f>
        <v>0</v>
      </c>
      <c r="S485" s="879" t="str">
        <v/>
      </c>
      <c r="T485" s="879" t="str">
        <v/>
      </c>
      <c r="U485" s="879" t="str">
        <v/>
      </c>
      <c r="V485" s="879" t="str">
        <v/>
      </c>
      <c r="W485" s="879" t="str">
        <v/>
      </c>
      <c r="X485" s="879" t="str">
        <v/>
      </c>
      <c r="Y485" s="879" t="str">
        <v/>
      </c>
      <c r="Z485" s="879" t="str">
        <v/>
      </c>
      <c r="AA485" s="882">
        <f>IF($O486=0,0,        _xll.qDateNext($O485,AA$17,$AH$16,TRUE,Currency1))</f>
        <v>0</v>
      </c>
      <c r="AB485" s="882">
        <f>IF($O486=0,0,        _xll.qDateNext($O485,AB$17,$AH$16,TRUE,Currency1))</f>
        <v>0</v>
      </c>
      <c r="AC485" s="882">
        <f>IF($O486=0,0,        _xll.qDateNext($O485,AC$17,$AH$16,TRUE,Currency1))</f>
        <v>0</v>
      </c>
      <c r="AD485" s="882">
        <f>IF($O486=0,0,        _xll.qDateNext($O485,AD$17,$AH$16,TRUE,Currency1))</f>
        <v>0</v>
      </c>
      <c r="AE485" s="882">
        <f>IF($O486=0,0,        _xll.qDateNext($O485,AE$17,$AH$16,TRUE,Currency1))</f>
        <v>0</v>
      </c>
      <c r="AF485" s="882">
        <f>IF($O486=0,0,        _xll.qDateNext($O485,AF$17,$AH$16,TRUE,Currency1))</f>
        <v>0</v>
      </c>
      <c r="AG485" s="882">
        <f>IF($O486=0,0,        _xll.qDateNext($O485,AG$17,$AH$16,TRUE,Currency1))</f>
        <v>0</v>
      </c>
      <c r="AH485" s="882">
        <f>IF($O486=0,0,        _xll.qDateNext($O485,AH$17,$AH$16,TRUE,Currency1))</f>
        <v>0</v>
      </c>
      <c r="AI485" s="886">
        <f>IF($O486=0,0,           IF(FRM,_xll.qGetFwdRate(AI$14,$O485,AA485,"T",DCC_Leg1_Float),_xll.qGetFwdRate(AI$14,$O485,$O486,"T",DCC_Leg1_Float)))</f>
        <v>0</v>
      </c>
      <c r="AJ485" s="886">
        <f>IF($O486=0,0,           IF(FRM,_xll.qGetFwdRate(AJ$14,$O485,AB485,"T",DCC_Leg1_Float),_xll.qGetFwdRate(AJ$14,$O485,$O486,"T",DCC_Leg1_Float)))</f>
        <v>0</v>
      </c>
      <c r="AK485" s="886">
        <f t="shared" si="228"/>
        <v>0</v>
      </c>
      <c r="AL485" s="886">
        <f>IF($O486=0,0,           IF(FRM,_xll.qGetFwdRate(AL$14,$O485,AD485,"T",DCC_Leg1_Float),_xll.qGetFwdRate(AL$14,$O485,$O486,"T",DCC_Leg1_Float)))</f>
        <v>0</v>
      </c>
      <c r="AM485" s="886">
        <f t="shared" si="241"/>
        <v>0</v>
      </c>
      <c r="AN485" s="886">
        <f t="shared" si="242"/>
        <v>0</v>
      </c>
      <c r="AO485" s="886">
        <f>IF($O486=0,0,           IF(FRM,_xll.qGetFwdRate(AO$14,$O485,AG485,"T",DCC_Leg1_Float),_xll.qGetFwdRate(AO$14,$O485,$O486,"T",DCC_Leg1_Float)))</f>
        <v>0</v>
      </c>
      <c r="AP485" s="886">
        <f>IF($O486=0,0,           IF(FRM,_xll.qGetFwdRate(AP$14,$O485,AH485,"T",DCC_Leg1_Float),_xll.qGetFwdRate(AP$14,$O485,$O486,"T",DCC_Leg1_Float)))</f>
        <v>0</v>
      </c>
      <c r="AQ485" s="648">
        <f t="shared" si="243"/>
        <v>0</v>
      </c>
      <c r="AR485" s="648">
        <f t="shared" si="244"/>
        <v>0</v>
      </c>
      <c r="AS485" s="648">
        <f t="shared" si="245"/>
        <v>0</v>
      </c>
      <c r="AT485" s="648">
        <f t="shared" si="246"/>
        <v>0</v>
      </c>
      <c r="AU485" s="648">
        <f t="shared" si="247"/>
        <v>0</v>
      </c>
      <c r="AV485" s="648">
        <f t="shared" si="248"/>
        <v>0</v>
      </c>
      <c r="AW485" s="648">
        <f t="shared" si="249"/>
        <v>0</v>
      </c>
      <c r="AX485" s="648">
        <f t="shared" si="250"/>
        <v>0</v>
      </c>
      <c r="AY485" s="634">
        <v>0</v>
      </c>
      <c r="AZ485" s="616"/>
      <c r="BA485" s="619">
        <f>IF(O486=0,0,             IF(ISNUMBER(AZ485),AZ485,             IF(ISTEXT(AZ485),INDEX(AQ485:AX485,MATCH(AZ485,$AQ$17:$AX$17,0)),           IF(AY485="INT",_xll.qInterp(O486,AA485:AH485,AQ485:AX485),       INDEX(AQ485:AX485,MATCH(AY485,$AQ$17:$AX$17,0))))))</f>
        <v>0</v>
      </c>
      <c r="BB485" s="674">
        <v>100</v>
      </c>
      <c r="BC485" s="666">
        <f t="shared" si="229"/>
        <v>0</v>
      </c>
      <c r="BD485" s="268">
        <f>IF($O486=0,0,                IF(LEFT(DCC_Leg1_Fixed,2)="1/",uEvaluate(DCC_Leg1_Fixed),        _xll.qDateYears($O485,$O486,DCC_Leg1_Fixed)))</f>
        <v>0</v>
      </c>
      <c r="BE485" s="268">
        <f>IF($O486,_xll.qDateYears($O485,$O486,DCC_Leg1_Float),0)</f>
        <v>0</v>
      </c>
      <c r="BG485" s="332">
        <f t="shared" si="251"/>
        <v>0</v>
      </c>
      <c r="BH485" s="357">
        <f t="shared" si="252"/>
        <v>0</v>
      </c>
      <c r="BI485" s="527"/>
      <c r="BK485" s="324">
        <f t="shared" si="225"/>
        <v>0</v>
      </c>
      <c r="BM485" s="338"/>
      <c r="BN485" s="121">
        <v>0</v>
      </c>
      <c r="BO485" s="755">
        <f t="shared" si="230"/>
        <v>0</v>
      </c>
      <c r="BP485" s="339">
        <v>0</v>
      </c>
      <c r="BQ485" s="890">
        <f>IF(BN486=0,0,         IF(OR(Currency2="AUD",Currency1="NZD",Currency2="GBP"),BN485,   _xll.qDateNext(BN485,"-2b",,,IF(Currency2="EUR","TGT","LON"))))</f>
        <v>0</v>
      </c>
      <c r="BR485" s="879" t="str">
        <v/>
      </c>
      <c r="BS485" s="879" t="str">
        <v/>
      </c>
      <c r="BT485" s="879" t="str">
        <v/>
      </c>
      <c r="BU485" s="879" t="str">
        <v/>
      </c>
      <c r="BV485" s="879" t="str">
        <v/>
      </c>
      <c r="BW485" s="879" t="str">
        <v/>
      </c>
      <c r="BX485" s="879" t="str">
        <v/>
      </c>
      <c r="BY485" s="879" t="str">
        <v/>
      </c>
      <c r="BZ485" s="882">
        <f>IF($BN486=0,0,        _xll.qDateNext($BN485,BZ$17,$CG$16,TRUE,Currency2))</f>
        <v>0</v>
      </c>
      <c r="CA485" s="882">
        <f>IF($BN486=0,0,        _xll.qDateNext($BN485,CA$17,$CG$16,TRUE,Currency2))</f>
        <v>0</v>
      </c>
      <c r="CB485" s="882">
        <f>IF($BN486=0,0,        _xll.qDateNext($BN485,CB$17,$CG$16,TRUE,Currency2))</f>
        <v>0</v>
      </c>
      <c r="CC485" s="882">
        <f>IF($BN486=0,0,        _xll.qDateNext($BN485,CC$17,$CG$16,TRUE,Currency2))</f>
        <v>0</v>
      </c>
      <c r="CD485" s="882">
        <f>IF($BN486=0,0,        _xll.qDateNext($BN485,CD$17,$CG$16,TRUE,Currency2))</f>
        <v>0</v>
      </c>
      <c r="CE485" s="882">
        <f>IF($BN486=0,0,        _xll.qDateNext($BN485,CE$17,$CG$16,TRUE,Currency2))</f>
        <v>0</v>
      </c>
      <c r="CF485" s="882">
        <f>IF($BN486=0,0,        _xll.qDateNext($BN485,CF$17,$CG$16,TRUE,Currency2))</f>
        <v>0</v>
      </c>
      <c r="CG485" s="882">
        <f>IF($BN486=0,0,        _xll.qDateNext($BN485,CG$17,$CG$16,TRUE,Currency2))</f>
        <v>0</v>
      </c>
      <c r="CH485" s="886">
        <v>0</v>
      </c>
      <c r="CI485" s="886">
        <v>0</v>
      </c>
      <c r="CJ485" s="886">
        <v>0</v>
      </c>
      <c r="CK485" s="886">
        <v>0</v>
      </c>
      <c r="CL485" s="886">
        <f t="shared" si="253"/>
        <v>0</v>
      </c>
      <c r="CM485" s="886">
        <f t="shared" si="254"/>
        <v>0</v>
      </c>
      <c r="CN485" s="886">
        <v>0</v>
      </c>
      <c r="CO485" s="886">
        <v>0</v>
      </c>
      <c r="CP485" s="648">
        <f t="shared" si="231"/>
        <v>0</v>
      </c>
      <c r="CQ485" s="648">
        <f t="shared" si="232"/>
        <v>0</v>
      </c>
      <c r="CR485" s="648">
        <f t="shared" si="233"/>
        <v>0</v>
      </c>
      <c r="CS485" s="648">
        <f t="shared" si="234"/>
        <v>0</v>
      </c>
      <c r="CT485" s="648">
        <f t="shared" si="235"/>
        <v>0</v>
      </c>
      <c r="CU485" s="648">
        <f t="shared" si="236"/>
        <v>0</v>
      </c>
      <c r="CV485" s="648">
        <f t="shared" si="237"/>
        <v>0</v>
      </c>
      <c r="CW485" s="648">
        <f t="shared" si="238"/>
        <v>0</v>
      </c>
      <c r="CX485" s="634">
        <v>0</v>
      </c>
      <c r="CY485" s="616"/>
      <c r="CZ485" s="619">
        <f>IF(BN486=0,0,             IF(ISNUMBER(CY485),CY485,             IF(ISTEXT(CY485),INDEX(CP485:CW485,MATCH(CY485,$CP$17:$CW$17,0)),           IF(CX485="INT",_xll.qInterp(BN486,BZ485:CG485,CP485:CW485),       INDEX(CP485:CW485,MATCH(CX485,$CP$17:$CW$17,0))))))</f>
        <v>0</v>
      </c>
      <c r="DA485" s="755">
        <f t="shared" si="239"/>
        <v>0</v>
      </c>
      <c r="DB485" s="387">
        <f t="shared" si="240"/>
        <v>0</v>
      </c>
      <c r="DC485" s="268">
        <f>IF($BN486=0,0,         IF(LEFT(DCC_Leg2_Fixed,2)="1/",uEvaluate(DCC_Leg2_Fixed),         _xll.qDateYears($BN485,$BN486,DCC_Leg2_Fixed)))</f>
        <v>0</v>
      </c>
      <c r="DD485" s="268">
        <f>IF($BN486,_xll.qDateYears($BN485,$BN486,DCC_Leg2_Float),0)</f>
        <v>0</v>
      </c>
      <c r="DF485" s="332">
        <f t="shared" si="255"/>
        <v>0</v>
      </c>
      <c r="DG485" s="357">
        <f t="shared" si="256"/>
        <v>0</v>
      </c>
      <c r="DH485" s="527"/>
      <c r="DJ485" s="324">
        <f t="shared" si="226"/>
        <v>0</v>
      </c>
      <c r="DK485" s="529"/>
      <c r="DL485" s="338"/>
    </row>
    <row r="486" spans="15:116">
      <c r="O486" s="121">
        <v>0</v>
      </c>
      <c r="P486" s="755">
        <f t="shared" si="227"/>
        <v>0</v>
      </c>
      <c r="Q486" s="125">
        <v>0</v>
      </c>
      <c r="R486" s="890">
        <f>IF(O487=0,0,         IF(OR(Currency1="AUD",Currency1="NZD",Currency1="GBP"),O486,   _xll.qDateNext(O486,"-2b",,,IF(Currency1="EUR","TGT","LON"))))</f>
        <v>0</v>
      </c>
      <c r="S486" s="879" t="str">
        <v/>
      </c>
      <c r="T486" s="879" t="str">
        <v/>
      </c>
      <c r="U486" s="879" t="str">
        <v/>
      </c>
      <c r="V486" s="879" t="str">
        <v/>
      </c>
      <c r="W486" s="879" t="str">
        <v/>
      </c>
      <c r="X486" s="879" t="str">
        <v/>
      </c>
      <c r="Y486" s="879" t="str">
        <v/>
      </c>
      <c r="Z486" s="879" t="str">
        <v/>
      </c>
      <c r="AA486" s="882">
        <f>IF($O487=0,0,        _xll.qDateNext($O486,AA$17,$AH$16,TRUE,Currency1))</f>
        <v>0</v>
      </c>
      <c r="AB486" s="882">
        <f>IF($O487=0,0,        _xll.qDateNext($O486,AB$17,$AH$16,TRUE,Currency1))</f>
        <v>0</v>
      </c>
      <c r="AC486" s="882">
        <f>IF($O487=0,0,        _xll.qDateNext($O486,AC$17,$AH$16,TRUE,Currency1))</f>
        <v>0</v>
      </c>
      <c r="AD486" s="882">
        <f>IF($O487=0,0,        _xll.qDateNext($O486,AD$17,$AH$16,TRUE,Currency1))</f>
        <v>0</v>
      </c>
      <c r="AE486" s="882">
        <f>IF($O487=0,0,        _xll.qDateNext($O486,AE$17,$AH$16,TRUE,Currency1))</f>
        <v>0</v>
      </c>
      <c r="AF486" s="882">
        <f>IF($O487=0,0,        _xll.qDateNext($O486,AF$17,$AH$16,TRUE,Currency1))</f>
        <v>0</v>
      </c>
      <c r="AG486" s="882">
        <f>IF($O487=0,0,        _xll.qDateNext($O486,AG$17,$AH$16,TRUE,Currency1))</f>
        <v>0</v>
      </c>
      <c r="AH486" s="882">
        <f>IF($O487=0,0,        _xll.qDateNext($O486,AH$17,$AH$16,TRUE,Currency1))</f>
        <v>0</v>
      </c>
      <c r="AI486" s="886">
        <f>IF($O487=0,0,           IF(FRM,_xll.qGetFwdRate(AI$14,$O486,AA486,"T",DCC_Leg1_Float),_xll.qGetFwdRate(AI$14,$O486,$O487,"T",DCC_Leg1_Float)))</f>
        <v>0</v>
      </c>
      <c r="AJ486" s="886">
        <f>IF($O487=0,0,           IF(FRM,_xll.qGetFwdRate(AJ$14,$O486,AB486,"T",DCC_Leg1_Float),_xll.qGetFwdRate(AJ$14,$O486,$O487,"T",DCC_Leg1_Float)))</f>
        <v>0</v>
      </c>
      <c r="AK486" s="886">
        <f t="shared" si="228"/>
        <v>0</v>
      </c>
      <c r="AL486" s="886">
        <f>IF($O487=0,0,           IF(FRM,_xll.qGetFwdRate(AL$14,$O486,AD486,"T",DCC_Leg1_Float),_xll.qGetFwdRate(AL$14,$O486,$O487,"T",DCC_Leg1_Float)))</f>
        <v>0</v>
      </c>
      <c r="AM486" s="886">
        <f t="shared" si="241"/>
        <v>0</v>
      </c>
      <c r="AN486" s="886">
        <f t="shared" si="242"/>
        <v>0</v>
      </c>
      <c r="AO486" s="886">
        <f>IF($O487=0,0,           IF(FRM,_xll.qGetFwdRate(AO$14,$O486,AG486,"T",DCC_Leg1_Float),_xll.qGetFwdRate(AO$14,$O486,$O487,"T",DCC_Leg1_Float)))</f>
        <v>0</v>
      </c>
      <c r="AP486" s="886">
        <f>IF($O487=0,0,           IF(FRM,_xll.qGetFwdRate(AP$14,$O486,AH486,"T",DCC_Leg1_Float),_xll.qGetFwdRate(AP$14,$O486,$O487,"T",DCC_Leg1_Float)))</f>
        <v>0</v>
      </c>
      <c r="AQ486" s="648">
        <f t="shared" si="243"/>
        <v>0</v>
      </c>
      <c r="AR486" s="648">
        <f t="shared" si="244"/>
        <v>0</v>
      </c>
      <c r="AS486" s="648">
        <f t="shared" si="245"/>
        <v>0</v>
      </c>
      <c r="AT486" s="648">
        <f t="shared" si="246"/>
        <v>0</v>
      </c>
      <c r="AU486" s="648">
        <f t="shared" si="247"/>
        <v>0</v>
      </c>
      <c r="AV486" s="648">
        <f t="shared" si="248"/>
        <v>0</v>
      </c>
      <c r="AW486" s="648">
        <f t="shared" si="249"/>
        <v>0</v>
      </c>
      <c r="AX486" s="648">
        <f t="shared" si="250"/>
        <v>0</v>
      </c>
      <c r="AY486" s="634">
        <v>0</v>
      </c>
      <c r="AZ486" s="616"/>
      <c r="BA486" s="619">
        <f>IF(O487=0,0,             IF(ISNUMBER(AZ486),AZ486,             IF(ISTEXT(AZ486),INDEX(AQ486:AX486,MATCH(AZ486,$AQ$17:$AX$17,0)),           IF(AY486="INT",_xll.qInterp(O487,AA486:AH486,AQ486:AX486),       INDEX(AQ486:AX486,MATCH(AY486,$AQ$17:$AX$17,0))))))</f>
        <v>0</v>
      </c>
      <c r="BB486" s="674">
        <v>100</v>
      </c>
      <c r="BC486" s="666">
        <f t="shared" si="229"/>
        <v>0</v>
      </c>
      <c r="BD486" s="268">
        <f>IF($O487=0,0,                IF(LEFT(DCC_Leg1_Fixed,2)="1/",uEvaluate(DCC_Leg1_Fixed),        _xll.qDateYears($O486,$O487,DCC_Leg1_Fixed)))</f>
        <v>0</v>
      </c>
      <c r="BE486" s="268">
        <f>IF($O487,_xll.qDateYears($O486,$O487,DCC_Leg1_Float),0)</f>
        <v>0</v>
      </c>
      <c r="BG486" s="332">
        <f t="shared" si="251"/>
        <v>0</v>
      </c>
      <c r="BH486" s="357">
        <f t="shared" si="252"/>
        <v>0</v>
      </c>
      <c r="BI486" s="527"/>
      <c r="BK486" s="324">
        <f t="shared" si="225"/>
        <v>0</v>
      </c>
      <c r="BM486" s="338"/>
      <c r="BN486" s="121">
        <v>0</v>
      </c>
      <c r="BO486" s="755">
        <f t="shared" si="230"/>
        <v>0</v>
      </c>
      <c r="BP486" s="339">
        <v>0</v>
      </c>
      <c r="BQ486" s="890">
        <f>IF(BN487=0,0,         IF(OR(Currency2="AUD",Currency1="NZD",Currency2="GBP"),BN486,   _xll.qDateNext(BN486,"-2b",,,IF(Currency2="EUR","TGT","LON"))))</f>
        <v>0</v>
      </c>
      <c r="BR486" s="879" t="str">
        <v/>
      </c>
      <c r="BS486" s="879" t="str">
        <v/>
      </c>
      <c r="BT486" s="879" t="str">
        <v/>
      </c>
      <c r="BU486" s="879" t="str">
        <v/>
      </c>
      <c r="BV486" s="879" t="str">
        <v/>
      </c>
      <c r="BW486" s="879" t="str">
        <v/>
      </c>
      <c r="BX486" s="879" t="str">
        <v/>
      </c>
      <c r="BY486" s="879" t="str">
        <v/>
      </c>
      <c r="BZ486" s="882">
        <f>IF($BN487=0,0,        _xll.qDateNext($BN486,BZ$17,$CG$16,TRUE,Currency2))</f>
        <v>0</v>
      </c>
      <c r="CA486" s="882">
        <f>IF($BN487=0,0,        _xll.qDateNext($BN486,CA$17,$CG$16,TRUE,Currency2))</f>
        <v>0</v>
      </c>
      <c r="CB486" s="882">
        <f>IF($BN487=0,0,        _xll.qDateNext($BN486,CB$17,$CG$16,TRUE,Currency2))</f>
        <v>0</v>
      </c>
      <c r="CC486" s="882">
        <f>IF($BN487=0,0,        _xll.qDateNext($BN486,CC$17,$CG$16,TRUE,Currency2))</f>
        <v>0</v>
      </c>
      <c r="CD486" s="882">
        <f>IF($BN487=0,0,        _xll.qDateNext($BN486,CD$17,$CG$16,TRUE,Currency2))</f>
        <v>0</v>
      </c>
      <c r="CE486" s="882">
        <f>IF($BN487=0,0,        _xll.qDateNext($BN486,CE$17,$CG$16,TRUE,Currency2))</f>
        <v>0</v>
      </c>
      <c r="CF486" s="882">
        <f>IF($BN487=0,0,        _xll.qDateNext($BN486,CF$17,$CG$16,TRUE,Currency2))</f>
        <v>0</v>
      </c>
      <c r="CG486" s="882">
        <f>IF($BN487=0,0,        _xll.qDateNext($BN486,CG$17,$CG$16,TRUE,Currency2))</f>
        <v>0</v>
      </c>
      <c r="CH486" s="886">
        <v>0</v>
      </c>
      <c r="CI486" s="886">
        <v>0</v>
      </c>
      <c r="CJ486" s="886">
        <v>0</v>
      </c>
      <c r="CK486" s="886">
        <v>0</v>
      </c>
      <c r="CL486" s="886">
        <f t="shared" si="253"/>
        <v>0</v>
      </c>
      <c r="CM486" s="886">
        <f t="shared" si="254"/>
        <v>0</v>
      </c>
      <c r="CN486" s="886">
        <v>0</v>
      </c>
      <c r="CO486" s="886">
        <v>0</v>
      </c>
      <c r="CP486" s="648">
        <f t="shared" si="231"/>
        <v>0</v>
      </c>
      <c r="CQ486" s="648">
        <f t="shared" si="232"/>
        <v>0</v>
      </c>
      <c r="CR486" s="648">
        <f t="shared" si="233"/>
        <v>0</v>
      </c>
      <c r="CS486" s="648">
        <f t="shared" si="234"/>
        <v>0</v>
      </c>
      <c r="CT486" s="648">
        <f t="shared" si="235"/>
        <v>0</v>
      </c>
      <c r="CU486" s="648">
        <f t="shared" si="236"/>
        <v>0</v>
      </c>
      <c r="CV486" s="648">
        <f t="shared" si="237"/>
        <v>0</v>
      </c>
      <c r="CW486" s="648">
        <f t="shared" si="238"/>
        <v>0</v>
      </c>
      <c r="CX486" s="634">
        <v>0</v>
      </c>
      <c r="CY486" s="616"/>
      <c r="CZ486" s="619">
        <f>IF(BN487=0,0,             IF(ISNUMBER(CY486),CY486,             IF(ISTEXT(CY486),INDEX(CP486:CW486,MATCH(CY486,$CP$17:$CW$17,0)),           IF(CX486="INT",_xll.qInterp(BN487,BZ486:CG486,CP486:CW486),       INDEX(CP486:CW486,MATCH(CX486,$CP$17:$CW$17,0))))))</f>
        <v>0</v>
      </c>
      <c r="DA486" s="755">
        <f t="shared" si="239"/>
        <v>0</v>
      </c>
      <c r="DB486" s="387">
        <f t="shared" si="240"/>
        <v>0</v>
      </c>
      <c r="DC486" s="268">
        <f>IF($BN487=0,0,         IF(LEFT(DCC_Leg2_Fixed,2)="1/",uEvaluate(DCC_Leg2_Fixed),         _xll.qDateYears($BN486,$BN487,DCC_Leg2_Fixed)))</f>
        <v>0</v>
      </c>
      <c r="DD486" s="268">
        <f>IF($BN487,_xll.qDateYears($BN486,$BN487,DCC_Leg2_Float),0)</f>
        <v>0</v>
      </c>
      <c r="DF486" s="332">
        <f t="shared" si="255"/>
        <v>0</v>
      </c>
      <c r="DG486" s="357">
        <f t="shared" si="256"/>
        <v>0</v>
      </c>
      <c r="DH486" s="527"/>
      <c r="DJ486" s="324">
        <f t="shared" si="226"/>
        <v>0</v>
      </c>
      <c r="DK486" s="529"/>
      <c r="DL486" s="338"/>
    </row>
    <row r="487" spans="15:116">
      <c r="O487" s="121">
        <v>0</v>
      </c>
      <c r="P487" s="755">
        <f t="shared" si="227"/>
        <v>0</v>
      </c>
      <c r="Q487" s="125">
        <v>0</v>
      </c>
      <c r="R487" s="890">
        <f>IF(O488=0,0,         IF(OR(Currency1="AUD",Currency1="NZD",Currency1="GBP"),O487,   _xll.qDateNext(O487,"-2b",,,IF(Currency1="EUR","TGT","LON"))))</f>
        <v>0</v>
      </c>
      <c r="S487" s="879" t="str">
        <v/>
      </c>
      <c r="T487" s="879" t="str">
        <v/>
      </c>
      <c r="U487" s="879" t="str">
        <v/>
      </c>
      <c r="V487" s="879" t="str">
        <v/>
      </c>
      <c r="W487" s="879" t="str">
        <v/>
      </c>
      <c r="X487" s="879" t="str">
        <v/>
      </c>
      <c r="Y487" s="879" t="str">
        <v/>
      </c>
      <c r="Z487" s="879" t="str">
        <v/>
      </c>
      <c r="AA487" s="882">
        <f>IF($O488=0,0,        _xll.qDateNext($O487,AA$17,$AH$16,TRUE,Currency1))</f>
        <v>0</v>
      </c>
      <c r="AB487" s="882">
        <f>IF($O488=0,0,        _xll.qDateNext($O487,AB$17,$AH$16,TRUE,Currency1))</f>
        <v>0</v>
      </c>
      <c r="AC487" s="882">
        <f>IF($O488=0,0,        _xll.qDateNext($O487,AC$17,$AH$16,TRUE,Currency1))</f>
        <v>0</v>
      </c>
      <c r="AD487" s="882">
        <f>IF($O488=0,0,        _xll.qDateNext($O487,AD$17,$AH$16,TRUE,Currency1))</f>
        <v>0</v>
      </c>
      <c r="AE487" s="882">
        <f>IF($O488=0,0,        _xll.qDateNext($O487,AE$17,$AH$16,TRUE,Currency1))</f>
        <v>0</v>
      </c>
      <c r="AF487" s="882">
        <f>IF($O488=0,0,        _xll.qDateNext($O487,AF$17,$AH$16,TRUE,Currency1))</f>
        <v>0</v>
      </c>
      <c r="AG487" s="882">
        <f>IF($O488=0,0,        _xll.qDateNext($O487,AG$17,$AH$16,TRUE,Currency1))</f>
        <v>0</v>
      </c>
      <c r="AH487" s="882">
        <f>IF($O488=0,0,        _xll.qDateNext($O487,AH$17,$AH$16,TRUE,Currency1))</f>
        <v>0</v>
      </c>
      <c r="AI487" s="886">
        <f>IF($O488=0,0,           IF(FRM,_xll.qGetFwdRate(AI$14,$O487,AA487,"T",DCC_Leg1_Float),_xll.qGetFwdRate(AI$14,$O487,$O488,"T",DCC_Leg1_Float)))</f>
        <v>0</v>
      </c>
      <c r="AJ487" s="886">
        <f>IF($O488=0,0,           IF(FRM,_xll.qGetFwdRate(AJ$14,$O487,AB487,"T",DCC_Leg1_Float),_xll.qGetFwdRate(AJ$14,$O487,$O488,"T",DCC_Leg1_Float)))</f>
        <v>0</v>
      </c>
      <c r="AK487" s="886">
        <f t="shared" si="228"/>
        <v>0</v>
      </c>
      <c r="AL487" s="886">
        <f>IF($O488=0,0,           IF(FRM,_xll.qGetFwdRate(AL$14,$O487,AD487,"T",DCC_Leg1_Float),_xll.qGetFwdRate(AL$14,$O487,$O488,"T",DCC_Leg1_Float)))</f>
        <v>0</v>
      </c>
      <c r="AM487" s="886">
        <f t="shared" si="241"/>
        <v>0</v>
      </c>
      <c r="AN487" s="886">
        <f t="shared" si="242"/>
        <v>0</v>
      </c>
      <c r="AO487" s="886">
        <f>IF($O488=0,0,           IF(FRM,_xll.qGetFwdRate(AO$14,$O487,AG487,"T",DCC_Leg1_Float),_xll.qGetFwdRate(AO$14,$O487,$O488,"T",DCC_Leg1_Float)))</f>
        <v>0</v>
      </c>
      <c r="AP487" s="886">
        <f>IF($O488=0,0,           IF(FRM,_xll.qGetFwdRate(AP$14,$O487,AH487,"T",DCC_Leg1_Float),_xll.qGetFwdRate(AP$14,$O487,$O488,"T",DCC_Leg1_Float)))</f>
        <v>0</v>
      </c>
      <c r="AQ487" s="648">
        <f t="shared" si="243"/>
        <v>0</v>
      </c>
      <c r="AR487" s="648">
        <f t="shared" si="244"/>
        <v>0</v>
      </c>
      <c r="AS487" s="648">
        <f t="shared" si="245"/>
        <v>0</v>
      </c>
      <c r="AT487" s="648">
        <f t="shared" si="246"/>
        <v>0</v>
      </c>
      <c r="AU487" s="648">
        <f t="shared" si="247"/>
        <v>0</v>
      </c>
      <c r="AV487" s="648">
        <f t="shared" si="248"/>
        <v>0</v>
      </c>
      <c r="AW487" s="648">
        <f t="shared" si="249"/>
        <v>0</v>
      </c>
      <c r="AX487" s="648">
        <f t="shared" si="250"/>
        <v>0</v>
      </c>
      <c r="AY487" s="634">
        <v>0</v>
      </c>
      <c r="AZ487" s="616"/>
      <c r="BA487" s="619">
        <f>IF(O488=0,0,             IF(ISNUMBER(AZ487),AZ487,             IF(ISTEXT(AZ487),INDEX(AQ487:AX487,MATCH(AZ487,$AQ$17:$AX$17,0)),           IF(AY487="INT",_xll.qInterp(O488,AA487:AH487,AQ487:AX487),       INDEX(AQ487:AX487,MATCH(AY487,$AQ$17:$AX$17,0))))))</f>
        <v>0</v>
      </c>
      <c r="BB487" s="674">
        <v>100</v>
      </c>
      <c r="BC487" s="666">
        <f t="shared" si="229"/>
        <v>0</v>
      </c>
      <c r="BD487" s="268">
        <f>IF($O488=0,0,                IF(LEFT(DCC_Leg1_Fixed,2)="1/",uEvaluate(DCC_Leg1_Fixed),        _xll.qDateYears($O487,$O488,DCC_Leg1_Fixed)))</f>
        <v>0</v>
      </c>
      <c r="BE487" s="268">
        <f>IF($O488,_xll.qDateYears($O487,$O488,DCC_Leg1_Float),0)</f>
        <v>0</v>
      </c>
      <c r="BG487" s="332">
        <f t="shared" si="251"/>
        <v>0</v>
      </c>
      <c r="BH487" s="357">
        <f t="shared" si="252"/>
        <v>0</v>
      </c>
      <c r="BI487" s="527"/>
      <c r="BK487" s="324">
        <f t="shared" si="225"/>
        <v>0</v>
      </c>
      <c r="BM487" s="338"/>
      <c r="BN487" s="121">
        <v>0</v>
      </c>
      <c r="BO487" s="755">
        <f t="shared" si="230"/>
        <v>0</v>
      </c>
      <c r="BP487" s="339">
        <v>0</v>
      </c>
      <c r="BQ487" s="890">
        <f>IF(BN488=0,0,         IF(OR(Currency2="AUD",Currency1="NZD",Currency2="GBP"),BN487,   _xll.qDateNext(BN487,"-2b",,,IF(Currency2="EUR","TGT","LON"))))</f>
        <v>0</v>
      </c>
      <c r="BR487" s="879" t="str">
        <v/>
      </c>
      <c r="BS487" s="879" t="str">
        <v/>
      </c>
      <c r="BT487" s="879" t="str">
        <v/>
      </c>
      <c r="BU487" s="879" t="str">
        <v/>
      </c>
      <c r="BV487" s="879" t="str">
        <v/>
      </c>
      <c r="BW487" s="879" t="str">
        <v/>
      </c>
      <c r="BX487" s="879" t="str">
        <v/>
      </c>
      <c r="BY487" s="879" t="str">
        <v/>
      </c>
      <c r="BZ487" s="882">
        <f>IF($BN488=0,0,        _xll.qDateNext($BN487,BZ$17,$CG$16,TRUE,Currency2))</f>
        <v>0</v>
      </c>
      <c r="CA487" s="882">
        <f>IF($BN488=0,0,        _xll.qDateNext($BN487,CA$17,$CG$16,TRUE,Currency2))</f>
        <v>0</v>
      </c>
      <c r="CB487" s="882">
        <f>IF($BN488=0,0,        _xll.qDateNext($BN487,CB$17,$CG$16,TRUE,Currency2))</f>
        <v>0</v>
      </c>
      <c r="CC487" s="882">
        <f>IF($BN488=0,0,        _xll.qDateNext($BN487,CC$17,$CG$16,TRUE,Currency2))</f>
        <v>0</v>
      </c>
      <c r="CD487" s="882">
        <f>IF($BN488=0,0,        _xll.qDateNext($BN487,CD$17,$CG$16,TRUE,Currency2))</f>
        <v>0</v>
      </c>
      <c r="CE487" s="882">
        <f>IF($BN488=0,0,        _xll.qDateNext($BN487,CE$17,$CG$16,TRUE,Currency2))</f>
        <v>0</v>
      </c>
      <c r="CF487" s="882">
        <f>IF($BN488=0,0,        _xll.qDateNext($BN487,CF$17,$CG$16,TRUE,Currency2))</f>
        <v>0</v>
      </c>
      <c r="CG487" s="882">
        <f>IF($BN488=0,0,        _xll.qDateNext($BN487,CG$17,$CG$16,TRUE,Currency2))</f>
        <v>0</v>
      </c>
      <c r="CH487" s="886">
        <v>0</v>
      </c>
      <c r="CI487" s="886">
        <v>0</v>
      </c>
      <c r="CJ487" s="886">
        <v>0</v>
      </c>
      <c r="CK487" s="886">
        <v>0</v>
      </c>
      <c r="CL487" s="886">
        <f t="shared" si="253"/>
        <v>0</v>
      </c>
      <c r="CM487" s="886">
        <f t="shared" si="254"/>
        <v>0</v>
      </c>
      <c r="CN487" s="886">
        <v>0</v>
      </c>
      <c r="CO487" s="886">
        <v>0</v>
      </c>
      <c r="CP487" s="648">
        <f t="shared" si="231"/>
        <v>0</v>
      </c>
      <c r="CQ487" s="648">
        <f t="shared" si="232"/>
        <v>0</v>
      </c>
      <c r="CR487" s="648">
        <f t="shared" si="233"/>
        <v>0</v>
      </c>
      <c r="CS487" s="648">
        <f t="shared" si="234"/>
        <v>0</v>
      </c>
      <c r="CT487" s="648">
        <f t="shared" si="235"/>
        <v>0</v>
      </c>
      <c r="CU487" s="648">
        <f t="shared" si="236"/>
        <v>0</v>
      </c>
      <c r="CV487" s="648">
        <f t="shared" si="237"/>
        <v>0</v>
      </c>
      <c r="CW487" s="648">
        <f t="shared" si="238"/>
        <v>0</v>
      </c>
      <c r="CX487" s="634">
        <v>0</v>
      </c>
      <c r="CY487" s="616"/>
      <c r="CZ487" s="619">
        <f>IF(BN488=0,0,             IF(ISNUMBER(CY487),CY487,             IF(ISTEXT(CY487),INDEX(CP487:CW487,MATCH(CY487,$CP$17:$CW$17,0)),           IF(CX487="INT",_xll.qInterp(BN488,BZ487:CG487,CP487:CW487),       INDEX(CP487:CW487,MATCH(CX487,$CP$17:$CW$17,0))))))</f>
        <v>0</v>
      </c>
      <c r="DA487" s="755">
        <f t="shared" si="239"/>
        <v>0</v>
      </c>
      <c r="DB487" s="387">
        <f t="shared" si="240"/>
        <v>0</v>
      </c>
      <c r="DC487" s="268">
        <f>IF($BN488=0,0,         IF(LEFT(DCC_Leg2_Fixed,2)="1/",uEvaluate(DCC_Leg2_Fixed),         _xll.qDateYears($BN487,$BN488,DCC_Leg2_Fixed)))</f>
        <v>0</v>
      </c>
      <c r="DD487" s="268">
        <f>IF($BN488,_xll.qDateYears($BN487,$BN488,DCC_Leg2_Float),0)</f>
        <v>0</v>
      </c>
      <c r="DF487" s="332">
        <f t="shared" si="255"/>
        <v>0</v>
      </c>
      <c r="DG487" s="357">
        <f t="shared" si="256"/>
        <v>0</v>
      </c>
      <c r="DH487" s="527"/>
      <c r="DJ487" s="324">
        <f t="shared" si="226"/>
        <v>0</v>
      </c>
      <c r="DK487" s="529"/>
      <c r="DL487" s="338"/>
    </row>
    <row r="488" spans="15:116">
      <c r="O488" s="121">
        <v>0</v>
      </c>
      <c r="P488" s="755">
        <f t="shared" si="227"/>
        <v>0</v>
      </c>
      <c r="Q488" s="125">
        <v>0</v>
      </c>
      <c r="R488" s="890">
        <f>IF(O489=0,0,         IF(OR(Currency1="AUD",Currency1="NZD",Currency1="GBP"),O488,   _xll.qDateNext(O488,"-2b",,,IF(Currency1="EUR","TGT","LON"))))</f>
        <v>0</v>
      </c>
      <c r="S488" s="879" t="str">
        <v/>
      </c>
      <c r="T488" s="879" t="str">
        <v/>
      </c>
      <c r="U488" s="879" t="str">
        <v/>
      </c>
      <c r="V488" s="879" t="str">
        <v/>
      </c>
      <c r="W488" s="879" t="str">
        <v/>
      </c>
      <c r="X488" s="879" t="str">
        <v/>
      </c>
      <c r="Y488" s="879" t="str">
        <v/>
      </c>
      <c r="Z488" s="879" t="str">
        <v/>
      </c>
      <c r="AA488" s="882">
        <f>IF($O489=0,0,        _xll.qDateNext($O488,AA$17,$AH$16,TRUE,Currency1))</f>
        <v>0</v>
      </c>
      <c r="AB488" s="882">
        <f>IF($O489=0,0,        _xll.qDateNext($O488,AB$17,$AH$16,TRUE,Currency1))</f>
        <v>0</v>
      </c>
      <c r="AC488" s="882">
        <f>IF($O489=0,0,        _xll.qDateNext($O488,AC$17,$AH$16,TRUE,Currency1))</f>
        <v>0</v>
      </c>
      <c r="AD488" s="882">
        <f>IF($O489=0,0,        _xll.qDateNext($O488,AD$17,$AH$16,TRUE,Currency1))</f>
        <v>0</v>
      </c>
      <c r="AE488" s="882">
        <f>IF($O489=0,0,        _xll.qDateNext($O488,AE$17,$AH$16,TRUE,Currency1))</f>
        <v>0</v>
      </c>
      <c r="AF488" s="882">
        <f>IF($O489=0,0,        _xll.qDateNext($O488,AF$17,$AH$16,TRUE,Currency1))</f>
        <v>0</v>
      </c>
      <c r="AG488" s="882">
        <f>IF($O489=0,0,        _xll.qDateNext($O488,AG$17,$AH$16,TRUE,Currency1))</f>
        <v>0</v>
      </c>
      <c r="AH488" s="882">
        <f>IF($O489=0,0,        _xll.qDateNext($O488,AH$17,$AH$16,TRUE,Currency1))</f>
        <v>0</v>
      </c>
      <c r="AI488" s="886">
        <f>IF($O489=0,0,           IF(FRM,_xll.qGetFwdRate(AI$14,$O488,AA488,"T",DCC_Leg1_Float),_xll.qGetFwdRate(AI$14,$O488,$O489,"T",DCC_Leg1_Float)))</f>
        <v>0</v>
      </c>
      <c r="AJ488" s="886">
        <f>IF($O489=0,0,           IF(FRM,_xll.qGetFwdRate(AJ$14,$O488,AB488,"T",DCC_Leg1_Float),_xll.qGetFwdRate(AJ$14,$O488,$O489,"T",DCC_Leg1_Float)))</f>
        <v>0</v>
      </c>
      <c r="AK488" s="886">
        <f t="shared" si="228"/>
        <v>0</v>
      </c>
      <c r="AL488" s="886">
        <f>IF($O489=0,0,           IF(FRM,_xll.qGetFwdRate(AL$14,$O488,AD488,"T",DCC_Leg1_Float),_xll.qGetFwdRate(AL$14,$O488,$O489,"T",DCC_Leg1_Float)))</f>
        <v>0</v>
      </c>
      <c r="AM488" s="886">
        <f t="shared" si="241"/>
        <v>0</v>
      </c>
      <c r="AN488" s="886">
        <f t="shared" si="242"/>
        <v>0</v>
      </c>
      <c r="AO488" s="886">
        <f>IF($O489=0,0,           IF(FRM,_xll.qGetFwdRate(AO$14,$O488,AG488,"T",DCC_Leg1_Float),_xll.qGetFwdRate(AO$14,$O488,$O489,"T",DCC_Leg1_Float)))</f>
        <v>0</v>
      </c>
      <c r="AP488" s="886">
        <f>IF($O489=0,0,           IF(FRM,_xll.qGetFwdRate(AP$14,$O488,AH488,"T",DCC_Leg1_Float),_xll.qGetFwdRate(AP$14,$O488,$O489,"T",DCC_Leg1_Float)))</f>
        <v>0</v>
      </c>
      <c r="AQ488" s="648">
        <f t="shared" si="243"/>
        <v>0</v>
      </c>
      <c r="AR488" s="648">
        <f t="shared" si="244"/>
        <v>0</v>
      </c>
      <c r="AS488" s="648">
        <f t="shared" si="245"/>
        <v>0</v>
      </c>
      <c r="AT488" s="648">
        <f t="shared" si="246"/>
        <v>0</v>
      </c>
      <c r="AU488" s="648">
        <f t="shared" si="247"/>
        <v>0</v>
      </c>
      <c r="AV488" s="648">
        <f t="shared" si="248"/>
        <v>0</v>
      </c>
      <c r="AW488" s="648">
        <f t="shared" si="249"/>
        <v>0</v>
      </c>
      <c r="AX488" s="648">
        <f t="shared" si="250"/>
        <v>0</v>
      </c>
      <c r="AY488" s="634">
        <v>0</v>
      </c>
      <c r="AZ488" s="616"/>
      <c r="BA488" s="619">
        <f>IF(O489=0,0,             IF(ISNUMBER(AZ488),AZ488,             IF(ISTEXT(AZ488),INDEX(AQ488:AX488,MATCH(AZ488,$AQ$17:$AX$17,0)),           IF(AY488="INT",_xll.qInterp(O489,AA488:AH488,AQ488:AX488),       INDEX(AQ488:AX488,MATCH(AY488,$AQ$17:$AX$17,0))))))</f>
        <v>0</v>
      </c>
      <c r="BB488" s="674">
        <v>100</v>
      </c>
      <c r="BC488" s="666">
        <f t="shared" si="229"/>
        <v>0</v>
      </c>
      <c r="BD488" s="268">
        <f>IF($O489=0,0,                IF(LEFT(DCC_Leg1_Fixed,2)="1/",uEvaluate(DCC_Leg1_Fixed),        _xll.qDateYears($O488,$O489,DCC_Leg1_Fixed)))</f>
        <v>0</v>
      </c>
      <c r="BE488" s="268">
        <f>IF($O489,_xll.qDateYears($O488,$O489,DCC_Leg1_Float),0)</f>
        <v>0</v>
      </c>
      <c r="BG488" s="332">
        <f t="shared" si="251"/>
        <v>0</v>
      </c>
      <c r="BH488" s="357">
        <f t="shared" si="252"/>
        <v>0</v>
      </c>
      <c r="BI488" s="527"/>
      <c r="BK488" s="324">
        <f t="shared" ref="BK488:BK517" si="257">SUM(BG488:BI488)</f>
        <v>0</v>
      </c>
      <c r="BM488" s="338"/>
      <c r="BN488" s="121">
        <v>0</v>
      </c>
      <c r="BO488" s="755">
        <f t="shared" si="230"/>
        <v>0</v>
      </c>
      <c r="BP488" s="339">
        <v>0</v>
      </c>
      <c r="BQ488" s="890">
        <f>IF(BN489=0,0,         IF(OR(Currency2="AUD",Currency1="NZD",Currency2="GBP"),BN488,   _xll.qDateNext(BN488,"-2b",,,IF(Currency2="EUR","TGT","LON"))))</f>
        <v>0</v>
      </c>
      <c r="BR488" s="879" t="str">
        <v/>
      </c>
      <c r="BS488" s="879" t="str">
        <v/>
      </c>
      <c r="BT488" s="879" t="str">
        <v/>
      </c>
      <c r="BU488" s="879" t="str">
        <v/>
      </c>
      <c r="BV488" s="879" t="str">
        <v/>
      </c>
      <c r="BW488" s="879" t="str">
        <v/>
      </c>
      <c r="BX488" s="879" t="str">
        <v/>
      </c>
      <c r="BY488" s="879" t="str">
        <v/>
      </c>
      <c r="BZ488" s="882">
        <f>IF($BN489=0,0,        _xll.qDateNext($BN488,BZ$17,$CG$16,TRUE,Currency2))</f>
        <v>0</v>
      </c>
      <c r="CA488" s="882">
        <f>IF($BN489=0,0,        _xll.qDateNext($BN488,CA$17,$CG$16,TRUE,Currency2))</f>
        <v>0</v>
      </c>
      <c r="CB488" s="882">
        <f>IF($BN489=0,0,        _xll.qDateNext($BN488,CB$17,$CG$16,TRUE,Currency2))</f>
        <v>0</v>
      </c>
      <c r="CC488" s="882">
        <f>IF($BN489=0,0,        _xll.qDateNext($BN488,CC$17,$CG$16,TRUE,Currency2))</f>
        <v>0</v>
      </c>
      <c r="CD488" s="882">
        <f>IF($BN489=0,0,        _xll.qDateNext($BN488,CD$17,$CG$16,TRUE,Currency2))</f>
        <v>0</v>
      </c>
      <c r="CE488" s="882">
        <f>IF($BN489=0,0,        _xll.qDateNext($BN488,CE$17,$CG$16,TRUE,Currency2))</f>
        <v>0</v>
      </c>
      <c r="CF488" s="882">
        <f>IF($BN489=0,0,        _xll.qDateNext($BN488,CF$17,$CG$16,TRUE,Currency2))</f>
        <v>0</v>
      </c>
      <c r="CG488" s="882">
        <f>IF($BN489=0,0,        _xll.qDateNext($BN488,CG$17,$CG$16,TRUE,Currency2))</f>
        <v>0</v>
      </c>
      <c r="CH488" s="886">
        <v>0</v>
      </c>
      <c r="CI488" s="886">
        <v>0</v>
      </c>
      <c r="CJ488" s="886">
        <v>0</v>
      </c>
      <c r="CK488" s="886">
        <v>0</v>
      </c>
      <c r="CL488" s="886">
        <f t="shared" si="253"/>
        <v>0</v>
      </c>
      <c r="CM488" s="886">
        <f t="shared" si="254"/>
        <v>0</v>
      </c>
      <c r="CN488" s="886">
        <v>0</v>
      </c>
      <c r="CO488" s="886">
        <v>0</v>
      </c>
      <c r="CP488" s="648">
        <f t="shared" si="231"/>
        <v>0</v>
      </c>
      <c r="CQ488" s="648">
        <f t="shared" si="232"/>
        <v>0</v>
      </c>
      <c r="CR488" s="648">
        <f t="shared" si="233"/>
        <v>0</v>
      </c>
      <c r="CS488" s="648">
        <f t="shared" si="234"/>
        <v>0</v>
      </c>
      <c r="CT488" s="648">
        <f t="shared" si="235"/>
        <v>0</v>
      </c>
      <c r="CU488" s="648">
        <f t="shared" si="236"/>
        <v>0</v>
      </c>
      <c r="CV488" s="648">
        <f t="shared" si="237"/>
        <v>0</v>
      </c>
      <c r="CW488" s="648">
        <f t="shared" si="238"/>
        <v>0</v>
      </c>
      <c r="CX488" s="634">
        <v>0</v>
      </c>
      <c r="CY488" s="616"/>
      <c r="CZ488" s="619">
        <f>IF(BN489=0,0,             IF(ISNUMBER(CY488),CY488,             IF(ISTEXT(CY488),INDEX(CP488:CW488,MATCH(CY488,$CP$17:$CW$17,0)),           IF(CX488="INT",_xll.qInterp(BN489,BZ488:CG488,CP488:CW488),       INDEX(CP488:CW488,MATCH(CX488,$CP$17:$CW$17,0))))))</f>
        <v>0</v>
      </c>
      <c r="DA488" s="755">
        <f t="shared" si="239"/>
        <v>0</v>
      </c>
      <c r="DB488" s="387">
        <f t="shared" si="240"/>
        <v>0</v>
      </c>
      <c r="DC488" s="268">
        <f>IF($BN489=0,0,         IF(LEFT(DCC_Leg2_Fixed,2)="1/",uEvaluate(DCC_Leg2_Fixed),         _xll.qDateYears($BN488,$BN489,DCC_Leg2_Fixed)))</f>
        <v>0</v>
      </c>
      <c r="DD488" s="268">
        <f>IF($BN489,_xll.qDateYears($BN488,$BN489,DCC_Leg2_Float),0)</f>
        <v>0</v>
      </c>
      <c r="DF488" s="332">
        <f t="shared" si="255"/>
        <v>0</v>
      </c>
      <c r="DG488" s="357">
        <f t="shared" si="256"/>
        <v>0</v>
      </c>
      <c r="DH488" s="527"/>
      <c r="DJ488" s="324">
        <f t="shared" si="226"/>
        <v>0</v>
      </c>
      <c r="DK488" s="529"/>
      <c r="DL488" s="338"/>
    </row>
    <row r="489" spans="15:116">
      <c r="O489" s="121">
        <v>0</v>
      </c>
      <c r="P489" s="755">
        <f t="shared" si="227"/>
        <v>0</v>
      </c>
      <c r="Q489" s="125">
        <v>0</v>
      </c>
      <c r="R489" s="890">
        <f>IF(O490=0,0,         IF(OR(Currency1="AUD",Currency1="NZD",Currency1="GBP"),O489,   _xll.qDateNext(O489,"-2b",,,IF(Currency1="EUR","TGT","LON"))))</f>
        <v>0</v>
      </c>
      <c r="S489" s="879" t="str">
        <v/>
      </c>
      <c r="T489" s="879" t="str">
        <v/>
      </c>
      <c r="U489" s="879" t="str">
        <v/>
      </c>
      <c r="V489" s="879" t="str">
        <v/>
      </c>
      <c r="W489" s="879" t="str">
        <v/>
      </c>
      <c r="X489" s="879" t="str">
        <v/>
      </c>
      <c r="Y489" s="879" t="str">
        <v/>
      </c>
      <c r="Z489" s="879" t="str">
        <v/>
      </c>
      <c r="AA489" s="882">
        <f>IF($O490=0,0,        _xll.qDateNext($O489,AA$17,$AH$16,TRUE,Currency1))</f>
        <v>0</v>
      </c>
      <c r="AB489" s="882">
        <f>IF($O490=0,0,        _xll.qDateNext($O489,AB$17,$AH$16,TRUE,Currency1))</f>
        <v>0</v>
      </c>
      <c r="AC489" s="882">
        <f>IF($O490=0,0,        _xll.qDateNext($O489,AC$17,$AH$16,TRUE,Currency1))</f>
        <v>0</v>
      </c>
      <c r="AD489" s="882">
        <f>IF($O490=0,0,        _xll.qDateNext($O489,AD$17,$AH$16,TRUE,Currency1))</f>
        <v>0</v>
      </c>
      <c r="AE489" s="882">
        <f>IF($O490=0,0,        _xll.qDateNext($O489,AE$17,$AH$16,TRUE,Currency1))</f>
        <v>0</v>
      </c>
      <c r="AF489" s="882">
        <f>IF($O490=0,0,        _xll.qDateNext($O489,AF$17,$AH$16,TRUE,Currency1))</f>
        <v>0</v>
      </c>
      <c r="AG489" s="882">
        <f>IF($O490=0,0,        _xll.qDateNext($O489,AG$17,$AH$16,TRUE,Currency1))</f>
        <v>0</v>
      </c>
      <c r="AH489" s="882">
        <f>IF($O490=0,0,        _xll.qDateNext($O489,AH$17,$AH$16,TRUE,Currency1))</f>
        <v>0</v>
      </c>
      <c r="AI489" s="886">
        <f>IF($O490=0,0,           IF(FRM,_xll.qGetFwdRate(AI$14,$O489,AA489,"T",DCC_Leg1_Float),_xll.qGetFwdRate(AI$14,$O489,$O490,"T",DCC_Leg1_Float)))</f>
        <v>0</v>
      </c>
      <c r="AJ489" s="886">
        <f>IF($O490=0,0,           IF(FRM,_xll.qGetFwdRate(AJ$14,$O489,AB489,"T",DCC_Leg1_Float),_xll.qGetFwdRate(AJ$14,$O489,$O490,"T",DCC_Leg1_Float)))</f>
        <v>0</v>
      </c>
      <c r="AK489" s="886">
        <f t="shared" si="228"/>
        <v>0</v>
      </c>
      <c r="AL489" s="886">
        <f>IF($O490=0,0,           IF(FRM,_xll.qGetFwdRate(AL$14,$O489,AD489,"T",DCC_Leg1_Float),_xll.qGetFwdRate(AL$14,$O489,$O490,"T",DCC_Leg1_Float)))</f>
        <v>0</v>
      </c>
      <c r="AM489" s="886">
        <f t="shared" si="241"/>
        <v>0</v>
      </c>
      <c r="AN489" s="886">
        <f t="shared" si="242"/>
        <v>0</v>
      </c>
      <c r="AO489" s="886">
        <f>IF($O490=0,0,           IF(FRM,_xll.qGetFwdRate(AO$14,$O489,AG489,"T",DCC_Leg1_Float),_xll.qGetFwdRate(AO$14,$O489,$O490,"T",DCC_Leg1_Float)))</f>
        <v>0</v>
      </c>
      <c r="AP489" s="886">
        <f>IF($O490=0,0,           IF(FRM,_xll.qGetFwdRate(AP$14,$O489,AH489,"T",DCC_Leg1_Float),_xll.qGetFwdRate(AP$14,$O489,$O490,"T",DCC_Leg1_Float)))</f>
        <v>0</v>
      </c>
      <c r="AQ489" s="648">
        <f t="shared" si="243"/>
        <v>0</v>
      </c>
      <c r="AR489" s="648">
        <f t="shared" si="244"/>
        <v>0</v>
      </c>
      <c r="AS489" s="648">
        <f t="shared" si="245"/>
        <v>0</v>
      </c>
      <c r="AT489" s="648">
        <f t="shared" si="246"/>
        <v>0</v>
      </c>
      <c r="AU489" s="648">
        <f t="shared" si="247"/>
        <v>0</v>
      </c>
      <c r="AV489" s="648">
        <f t="shared" si="248"/>
        <v>0</v>
      </c>
      <c r="AW489" s="648">
        <f t="shared" si="249"/>
        <v>0</v>
      </c>
      <c r="AX489" s="648">
        <f t="shared" si="250"/>
        <v>0</v>
      </c>
      <c r="AY489" s="634">
        <v>0</v>
      </c>
      <c r="AZ489" s="616"/>
      <c r="BA489" s="619">
        <f>IF(O490=0,0,             IF(ISNUMBER(AZ489),AZ489,             IF(ISTEXT(AZ489),INDEX(AQ489:AX489,MATCH(AZ489,$AQ$17:$AX$17,0)),           IF(AY489="INT",_xll.qInterp(O490,AA489:AH489,AQ489:AX489),       INDEX(AQ489:AX489,MATCH(AY489,$AQ$17:$AX$17,0))))))</f>
        <v>0</v>
      </c>
      <c r="BB489" s="674">
        <v>100</v>
      </c>
      <c r="BC489" s="666">
        <f t="shared" si="229"/>
        <v>0</v>
      </c>
      <c r="BD489" s="268">
        <f>IF($O490=0,0,                IF(LEFT(DCC_Leg1_Fixed,2)="1/",uEvaluate(DCC_Leg1_Fixed),        _xll.qDateYears($O489,$O490,DCC_Leg1_Fixed)))</f>
        <v>0</v>
      </c>
      <c r="BE489" s="268">
        <f>IF($O490,_xll.qDateYears($O489,$O490,DCC_Leg1_Float),0)</f>
        <v>0</v>
      </c>
      <c r="BG489" s="332">
        <f t="shared" si="251"/>
        <v>0</v>
      </c>
      <c r="BH489" s="357">
        <f t="shared" si="252"/>
        <v>0</v>
      </c>
      <c r="BI489" s="527"/>
      <c r="BK489" s="324">
        <f t="shared" si="257"/>
        <v>0</v>
      </c>
      <c r="BM489" s="338"/>
      <c r="BN489" s="121">
        <v>0</v>
      </c>
      <c r="BO489" s="755">
        <f t="shared" si="230"/>
        <v>0</v>
      </c>
      <c r="BP489" s="339">
        <v>0</v>
      </c>
      <c r="BQ489" s="890">
        <f>IF(BN490=0,0,         IF(OR(Currency2="AUD",Currency1="NZD",Currency2="GBP"),BN489,   _xll.qDateNext(BN489,"-2b",,,IF(Currency2="EUR","TGT","LON"))))</f>
        <v>0</v>
      </c>
      <c r="BR489" s="879" t="str">
        <v/>
      </c>
      <c r="BS489" s="879" t="str">
        <v/>
      </c>
      <c r="BT489" s="879" t="str">
        <v/>
      </c>
      <c r="BU489" s="879" t="str">
        <v/>
      </c>
      <c r="BV489" s="879" t="str">
        <v/>
      </c>
      <c r="BW489" s="879" t="str">
        <v/>
      </c>
      <c r="BX489" s="879" t="str">
        <v/>
      </c>
      <c r="BY489" s="879" t="str">
        <v/>
      </c>
      <c r="BZ489" s="882">
        <f>IF($BN490=0,0,        _xll.qDateNext($BN489,BZ$17,$CG$16,TRUE,Currency2))</f>
        <v>0</v>
      </c>
      <c r="CA489" s="882">
        <f>IF($BN490=0,0,        _xll.qDateNext($BN489,CA$17,$CG$16,TRUE,Currency2))</f>
        <v>0</v>
      </c>
      <c r="CB489" s="882">
        <f>IF($BN490=0,0,        _xll.qDateNext($BN489,CB$17,$CG$16,TRUE,Currency2))</f>
        <v>0</v>
      </c>
      <c r="CC489" s="882">
        <f>IF($BN490=0,0,        _xll.qDateNext($BN489,CC$17,$CG$16,TRUE,Currency2))</f>
        <v>0</v>
      </c>
      <c r="CD489" s="882">
        <f>IF($BN490=0,0,        _xll.qDateNext($BN489,CD$17,$CG$16,TRUE,Currency2))</f>
        <v>0</v>
      </c>
      <c r="CE489" s="882">
        <f>IF($BN490=0,0,        _xll.qDateNext($BN489,CE$17,$CG$16,TRUE,Currency2))</f>
        <v>0</v>
      </c>
      <c r="CF489" s="882">
        <f>IF($BN490=0,0,        _xll.qDateNext($BN489,CF$17,$CG$16,TRUE,Currency2))</f>
        <v>0</v>
      </c>
      <c r="CG489" s="882">
        <f>IF($BN490=0,0,        _xll.qDateNext($BN489,CG$17,$CG$16,TRUE,Currency2))</f>
        <v>0</v>
      </c>
      <c r="CH489" s="886">
        <v>0</v>
      </c>
      <c r="CI489" s="886">
        <v>0</v>
      </c>
      <c r="CJ489" s="886">
        <v>0</v>
      </c>
      <c r="CK489" s="886">
        <v>0</v>
      </c>
      <c r="CL489" s="886">
        <f t="shared" si="253"/>
        <v>0</v>
      </c>
      <c r="CM489" s="886">
        <f t="shared" si="254"/>
        <v>0</v>
      </c>
      <c r="CN489" s="886">
        <v>0</v>
      </c>
      <c r="CO489" s="886">
        <v>0</v>
      </c>
      <c r="CP489" s="648">
        <f t="shared" si="231"/>
        <v>0</v>
      </c>
      <c r="CQ489" s="648">
        <f t="shared" si="232"/>
        <v>0</v>
      </c>
      <c r="CR489" s="648">
        <f t="shared" si="233"/>
        <v>0</v>
      </c>
      <c r="CS489" s="648">
        <f t="shared" si="234"/>
        <v>0</v>
      </c>
      <c r="CT489" s="648">
        <f t="shared" si="235"/>
        <v>0</v>
      </c>
      <c r="CU489" s="648">
        <f t="shared" si="236"/>
        <v>0</v>
      </c>
      <c r="CV489" s="648">
        <f t="shared" si="237"/>
        <v>0</v>
      </c>
      <c r="CW489" s="648">
        <f t="shared" si="238"/>
        <v>0</v>
      </c>
      <c r="CX489" s="634">
        <v>0</v>
      </c>
      <c r="CY489" s="616"/>
      <c r="CZ489" s="619">
        <f>IF(BN490=0,0,             IF(ISNUMBER(CY489),CY489,             IF(ISTEXT(CY489),INDEX(CP489:CW489,MATCH(CY489,$CP$17:$CW$17,0)),           IF(CX489="INT",_xll.qInterp(BN490,BZ489:CG489,CP489:CW489),       INDEX(CP489:CW489,MATCH(CX489,$CP$17:$CW$17,0))))))</f>
        <v>0</v>
      </c>
      <c r="DA489" s="755">
        <f t="shared" si="239"/>
        <v>0</v>
      </c>
      <c r="DB489" s="387">
        <f t="shared" si="240"/>
        <v>0</v>
      </c>
      <c r="DC489" s="268">
        <f>IF($BN490=0,0,         IF(LEFT(DCC_Leg2_Fixed,2)="1/",uEvaluate(DCC_Leg2_Fixed),         _xll.qDateYears($BN489,$BN490,DCC_Leg2_Fixed)))</f>
        <v>0</v>
      </c>
      <c r="DD489" s="268">
        <f>IF($BN490,_xll.qDateYears($BN489,$BN490,DCC_Leg2_Float),0)</f>
        <v>0</v>
      </c>
      <c r="DF489" s="332">
        <f t="shared" si="255"/>
        <v>0</v>
      </c>
      <c r="DG489" s="357">
        <f t="shared" si="256"/>
        <v>0</v>
      </c>
      <c r="DH489" s="527"/>
      <c r="DJ489" s="324">
        <f t="shared" ref="DJ489:DJ517" si="258">SUM(DF489:DH489)</f>
        <v>0</v>
      </c>
      <c r="DK489" s="529"/>
      <c r="DL489" s="338"/>
    </row>
    <row r="490" spans="15:116">
      <c r="O490" s="121">
        <v>0</v>
      </c>
      <c r="P490" s="755">
        <f t="shared" si="227"/>
        <v>0</v>
      </c>
      <c r="Q490" s="125">
        <v>0</v>
      </c>
      <c r="R490" s="890">
        <f>IF(O491=0,0,         IF(OR(Currency1="AUD",Currency1="NZD",Currency1="GBP"),O490,   _xll.qDateNext(O490,"-2b",,,IF(Currency1="EUR","TGT","LON"))))</f>
        <v>0</v>
      </c>
      <c r="S490" s="879" t="str">
        <v/>
      </c>
      <c r="T490" s="879" t="str">
        <v/>
      </c>
      <c r="U490" s="879" t="str">
        <v/>
      </c>
      <c r="V490" s="879" t="str">
        <v/>
      </c>
      <c r="W490" s="879" t="str">
        <v/>
      </c>
      <c r="X490" s="879" t="str">
        <v/>
      </c>
      <c r="Y490" s="879" t="str">
        <v/>
      </c>
      <c r="Z490" s="879" t="str">
        <v/>
      </c>
      <c r="AA490" s="882">
        <f>IF($O491=0,0,        _xll.qDateNext($O490,AA$17,$AH$16,TRUE,Currency1))</f>
        <v>0</v>
      </c>
      <c r="AB490" s="882">
        <f>IF($O491=0,0,        _xll.qDateNext($O490,AB$17,$AH$16,TRUE,Currency1))</f>
        <v>0</v>
      </c>
      <c r="AC490" s="882">
        <f>IF($O491=0,0,        _xll.qDateNext($O490,AC$17,$AH$16,TRUE,Currency1))</f>
        <v>0</v>
      </c>
      <c r="AD490" s="882">
        <f>IF($O491=0,0,        _xll.qDateNext($O490,AD$17,$AH$16,TRUE,Currency1))</f>
        <v>0</v>
      </c>
      <c r="AE490" s="882">
        <f>IF($O491=0,0,        _xll.qDateNext($O490,AE$17,$AH$16,TRUE,Currency1))</f>
        <v>0</v>
      </c>
      <c r="AF490" s="882">
        <f>IF($O491=0,0,        _xll.qDateNext($O490,AF$17,$AH$16,TRUE,Currency1))</f>
        <v>0</v>
      </c>
      <c r="AG490" s="882">
        <f>IF($O491=0,0,        _xll.qDateNext($O490,AG$17,$AH$16,TRUE,Currency1))</f>
        <v>0</v>
      </c>
      <c r="AH490" s="882">
        <f>IF($O491=0,0,        _xll.qDateNext($O490,AH$17,$AH$16,TRUE,Currency1))</f>
        <v>0</v>
      </c>
      <c r="AI490" s="886">
        <f>IF($O491=0,0,           IF(FRM,_xll.qGetFwdRate(AI$14,$O490,AA490,"T",DCC_Leg1_Float),_xll.qGetFwdRate(AI$14,$O490,$O491,"T",DCC_Leg1_Float)))</f>
        <v>0</v>
      </c>
      <c r="AJ490" s="886">
        <f>IF($O491=0,0,           IF(FRM,_xll.qGetFwdRate(AJ$14,$O490,AB490,"T",DCC_Leg1_Float),_xll.qGetFwdRate(AJ$14,$O490,$O491,"T",DCC_Leg1_Float)))</f>
        <v>0</v>
      </c>
      <c r="AK490" s="886">
        <f t="shared" si="228"/>
        <v>0</v>
      </c>
      <c r="AL490" s="886">
        <f>IF($O491=0,0,           IF(FRM,_xll.qGetFwdRate(AL$14,$O490,AD490,"T",DCC_Leg1_Float),_xll.qGetFwdRate(AL$14,$O490,$O491,"T",DCC_Leg1_Float)))</f>
        <v>0</v>
      </c>
      <c r="AM490" s="886">
        <f t="shared" si="241"/>
        <v>0</v>
      </c>
      <c r="AN490" s="886">
        <f t="shared" si="242"/>
        <v>0</v>
      </c>
      <c r="AO490" s="886">
        <f>IF($O491=0,0,           IF(FRM,_xll.qGetFwdRate(AO$14,$O490,AG490,"T",DCC_Leg1_Float),_xll.qGetFwdRate(AO$14,$O490,$O491,"T",DCC_Leg1_Float)))</f>
        <v>0</v>
      </c>
      <c r="AP490" s="886">
        <f>IF($O491=0,0,           IF(FRM,_xll.qGetFwdRate(AP$14,$O490,AH490,"T",DCC_Leg1_Float),_xll.qGetFwdRate(AP$14,$O490,$O491,"T",DCC_Leg1_Float)))</f>
        <v>0</v>
      </c>
      <c r="AQ490" s="648">
        <f t="shared" si="243"/>
        <v>0</v>
      </c>
      <c r="AR490" s="648">
        <f t="shared" si="244"/>
        <v>0</v>
      </c>
      <c r="AS490" s="648">
        <f t="shared" si="245"/>
        <v>0</v>
      </c>
      <c r="AT490" s="648">
        <f t="shared" si="246"/>
        <v>0</v>
      </c>
      <c r="AU490" s="648">
        <f t="shared" si="247"/>
        <v>0</v>
      </c>
      <c r="AV490" s="648">
        <f t="shared" si="248"/>
        <v>0</v>
      </c>
      <c r="AW490" s="648">
        <f t="shared" si="249"/>
        <v>0</v>
      </c>
      <c r="AX490" s="648">
        <f t="shared" si="250"/>
        <v>0</v>
      </c>
      <c r="AY490" s="634">
        <v>0</v>
      </c>
      <c r="AZ490" s="616"/>
      <c r="BA490" s="619">
        <f>IF(O491=0,0,             IF(ISNUMBER(AZ490),AZ490,             IF(ISTEXT(AZ490),INDEX(AQ490:AX490,MATCH(AZ490,$AQ$17:$AX$17,0)),           IF(AY490="INT",_xll.qInterp(O491,AA490:AH490,AQ490:AX490),       INDEX(AQ490:AX490,MATCH(AY490,$AQ$17:$AX$17,0))))))</f>
        <v>0</v>
      </c>
      <c r="BB490" s="674">
        <v>100</v>
      </c>
      <c r="BC490" s="666">
        <f t="shared" si="229"/>
        <v>0</v>
      </c>
      <c r="BD490" s="268">
        <f>IF($O491=0,0,                IF(LEFT(DCC_Leg1_Fixed,2)="1/",uEvaluate(DCC_Leg1_Fixed),        _xll.qDateYears($O490,$O491,DCC_Leg1_Fixed)))</f>
        <v>0</v>
      </c>
      <c r="BE490" s="268">
        <f>IF($O491,_xll.qDateYears($O490,$O491,DCC_Leg1_Float),0)</f>
        <v>0</v>
      </c>
      <c r="BG490" s="332">
        <f t="shared" si="251"/>
        <v>0</v>
      </c>
      <c r="BH490" s="357">
        <f t="shared" si="252"/>
        <v>0</v>
      </c>
      <c r="BI490" s="527"/>
      <c r="BK490" s="324">
        <f t="shared" si="257"/>
        <v>0</v>
      </c>
      <c r="BM490" s="338"/>
      <c r="BN490" s="121">
        <v>0</v>
      </c>
      <c r="BO490" s="755">
        <f t="shared" si="230"/>
        <v>0</v>
      </c>
      <c r="BP490" s="339">
        <v>0</v>
      </c>
      <c r="BQ490" s="890">
        <f>IF(BN491=0,0,         IF(OR(Currency2="AUD",Currency1="NZD",Currency2="GBP"),BN490,   _xll.qDateNext(BN490,"-2b",,,IF(Currency2="EUR","TGT","LON"))))</f>
        <v>0</v>
      </c>
      <c r="BR490" s="879" t="str">
        <v/>
      </c>
      <c r="BS490" s="879" t="str">
        <v/>
      </c>
      <c r="BT490" s="879" t="str">
        <v/>
      </c>
      <c r="BU490" s="879" t="str">
        <v/>
      </c>
      <c r="BV490" s="879" t="str">
        <v/>
      </c>
      <c r="BW490" s="879" t="str">
        <v/>
      </c>
      <c r="BX490" s="879" t="str">
        <v/>
      </c>
      <c r="BY490" s="879" t="str">
        <v/>
      </c>
      <c r="BZ490" s="882">
        <f>IF($BN491=0,0,        _xll.qDateNext($BN490,BZ$17,$CG$16,TRUE,Currency2))</f>
        <v>0</v>
      </c>
      <c r="CA490" s="882">
        <f>IF($BN491=0,0,        _xll.qDateNext($BN490,CA$17,$CG$16,TRUE,Currency2))</f>
        <v>0</v>
      </c>
      <c r="CB490" s="882">
        <f>IF($BN491=0,0,        _xll.qDateNext($BN490,CB$17,$CG$16,TRUE,Currency2))</f>
        <v>0</v>
      </c>
      <c r="CC490" s="882">
        <f>IF($BN491=0,0,        _xll.qDateNext($BN490,CC$17,$CG$16,TRUE,Currency2))</f>
        <v>0</v>
      </c>
      <c r="CD490" s="882">
        <f>IF($BN491=0,0,        _xll.qDateNext($BN490,CD$17,$CG$16,TRUE,Currency2))</f>
        <v>0</v>
      </c>
      <c r="CE490" s="882">
        <f>IF($BN491=0,0,        _xll.qDateNext($BN490,CE$17,$CG$16,TRUE,Currency2))</f>
        <v>0</v>
      </c>
      <c r="CF490" s="882">
        <f>IF($BN491=0,0,        _xll.qDateNext($BN490,CF$17,$CG$16,TRUE,Currency2))</f>
        <v>0</v>
      </c>
      <c r="CG490" s="882">
        <f>IF($BN491=0,0,        _xll.qDateNext($BN490,CG$17,$CG$16,TRUE,Currency2))</f>
        <v>0</v>
      </c>
      <c r="CH490" s="886">
        <v>0</v>
      </c>
      <c r="CI490" s="886">
        <v>0</v>
      </c>
      <c r="CJ490" s="886">
        <v>0</v>
      </c>
      <c r="CK490" s="886">
        <v>0</v>
      </c>
      <c r="CL490" s="886">
        <f t="shared" si="253"/>
        <v>0</v>
      </c>
      <c r="CM490" s="886">
        <f t="shared" si="254"/>
        <v>0</v>
      </c>
      <c r="CN490" s="886">
        <v>0</v>
      </c>
      <c r="CO490" s="886">
        <v>0</v>
      </c>
      <c r="CP490" s="648">
        <f t="shared" si="231"/>
        <v>0</v>
      </c>
      <c r="CQ490" s="648">
        <f t="shared" si="232"/>
        <v>0</v>
      </c>
      <c r="CR490" s="648">
        <f t="shared" si="233"/>
        <v>0</v>
      </c>
      <c r="CS490" s="648">
        <f t="shared" si="234"/>
        <v>0</v>
      </c>
      <c r="CT490" s="648">
        <f t="shared" si="235"/>
        <v>0</v>
      </c>
      <c r="CU490" s="648">
        <f t="shared" si="236"/>
        <v>0</v>
      </c>
      <c r="CV490" s="648">
        <f t="shared" si="237"/>
        <v>0</v>
      </c>
      <c r="CW490" s="648">
        <f t="shared" si="238"/>
        <v>0</v>
      </c>
      <c r="CX490" s="634">
        <v>0</v>
      </c>
      <c r="CY490" s="616"/>
      <c r="CZ490" s="619">
        <f>IF(BN491=0,0,             IF(ISNUMBER(CY490),CY490,             IF(ISTEXT(CY490),INDEX(CP490:CW490,MATCH(CY490,$CP$17:$CW$17,0)),           IF(CX490="INT",_xll.qInterp(BN491,BZ490:CG490,CP490:CW490),       INDEX(CP490:CW490,MATCH(CX490,$CP$17:$CW$17,0))))))</f>
        <v>0</v>
      </c>
      <c r="DA490" s="755">
        <f t="shared" si="239"/>
        <v>0</v>
      </c>
      <c r="DB490" s="387">
        <f t="shared" si="240"/>
        <v>0</v>
      </c>
      <c r="DC490" s="268">
        <f>IF($BN491=0,0,         IF(LEFT(DCC_Leg2_Fixed,2)="1/",uEvaluate(DCC_Leg2_Fixed),         _xll.qDateYears($BN490,$BN491,DCC_Leg2_Fixed)))</f>
        <v>0</v>
      </c>
      <c r="DD490" s="268">
        <f>IF($BN491,_xll.qDateYears($BN490,$BN491,DCC_Leg2_Float),0)</f>
        <v>0</v>
      </c>
      <c r="DF490" s="332">
        <f t="shared" si="255"/>
        <v>0</v>
      </c>
      <c r="DG490" s="357">
        <f t="shared" si="256"/>
        <v>0</v>
      </c>
      <c r="DH490" s="527"/>
      <c r="DJ490" s="324">
        <f t="shared" si="258"/>
        <v>0</v>
      </c>
      <c r="DK490" s="529"/>
      <c r="DL490" s="338"/>
    </row>
    <row r="491" spans="15:116">
      <c r="O491" s="121">
        <v>0</v>
      </c>
      <c r="P491" s="755">
        <f t="shared" si="227"/>
        <v>0</v>
      </c>
      <c r="Q491" s="125">
        <v>0</v>
      </c>
      <c r="R491" s="890">
        <f>IF(O492=0,0,         IF(OR(Currency1="AUD",Currency1="NZD",Currency1="GBP"),O491,   _xll.qDateNext(O491,"-2b",,,IF(Currency1="EUR","TGT","LON"))))</f>
        <v>0</v>
      </c>
      <c r="S491" s="879" t="str">
        <v/>
      </c>
      <c r="T491" s="879" t="str">
        <v/>
      </c>
      <c r="U491" s="879" t="str">
        <v/>
      </c>
      <c r="V491" s="879" t="str">
        <v/>
      </c>
      <c r="W491" s="879" t="str">
        <v/>
      </c>
      <c r="X491" s="879" t="str">
        <v/>
      </c>
      <c r="Y491" s="879" t="str">
        <v/>
      </c>
      <c r="Z491" s="879" t="str">
        <v/>
      </c>
      <c r="AA491" s="882">
        <f>IF($O492=0,0,        _xll.qDateNext($O491,AA$17,$AH$16,TRUE,Currency1))</f>
        <v>0</v>
      </c>
      <c r="AB491" s="882">
        <f>IF($O492=0,0,        _xll.qDateNext($O491,AB$17,$AH$16,TRUE,Currency1))</f>
        <v>0</v>
      </c>
      <c r="AC491" s="882">
        <f>IF($O492=0,0,        _xll.qDateNext($O491,AC$17,$AH$16,TRUE,Currency1))</f>
        <v>0</v>
      </c>
      <c r="AD491" s="882">
        <f>IF($O492=0,0,        _xll.qDateNext($O491,AD$17,$AH$16,TRUE,Currency1))</f>
        <v>0</v>
      </c>
      <c r="AE491" s="882">
        <f>IF($O492=0,0,        _xll.qDateNext($O491,AE$17,$AH$16,TRUE,Currency1))</f>
        <v>0</v>
      </c>
      <c r="AF491" s="882">
        <f>IF($O492=0,0,        _xll.qDateNext($O491,AF$17,$AH$16,TRUE,Currency1))</f>
        <v>0</v>
      </c>
      <c r="AG491" s="882">
        <f>IF($O492=0,0,        _xll.qDateNext($O491,AG$17,$AH$16,TRUE,Currency1))</f>
        <v>0</v>
      </c>
      <c r="AH491" s="882">
        <f>IF($O492=0,0,        _xll.qDateNext($O491,AH$17,$AH$16,TRUE,Currency1))</f>
        <v>0</v>
      </c>
      <c r="AI491" s="886">
        <f>IF($O492=0,0,           IF(FRM,_xll.qGetFwdRate(AI$14,$O491,AA491,"T",DCC_Leg1_Float),_xll.qGetFwdRate(AI$14,$O491,$O492,"T",DCC_Leg1_Float)))</f>
        <v>0</v>
      </c>
      <c r="AJ491" s="886">
        <f>IF($O492=0,0,           IF(FRM,_xll.qGetFwdRate(AJ$14,$O491,AB491,"T",DCC_Leg1_Float),_xll.qGetFwdRate(AJ$14,$O491,$O492,"T",DCC_Leg1_Float)))</f>
        <v>0</v>
      </c>
      <c r="AK491" s="886">
        <f t="shared" si="228"/>
        <v>0</v>
      </c>
      <c r="AL491" s="886">
        <f>IF($O492=0,0,           IF(FRM,_xll.qGetFwdRate(AL$14,$O491,AD491,"T",DCC_Leg1_Float),_xll.qGetFwdRate(AL$14,$O491,$O492,"T",DCC_Leg1_Float)))</f>
        <v>0</v>
      </c>
      <c r="AM491" s="886">
        <f t="shared" si="241"/>
        <v>0</v>
      </c>
      <c r="AN491" s="886">
        <f t="shared" si="242"/>
        <v>0</v>
      </c>
      <c r="AO491" s="886">
        <f>IF($O492=0,0,           IF(FRM,_xll.qGetFwdRate(AO$14,$O491,AG491,"T",DCC_Leg1_Float),_xll.qGetFwdRate(AO$14,$O491,$O492,"T",DCC_Leg1_Float)))</f>
        <v>0</v>
      </c>
      <c r="AP491" s="886">
        <f>IF($O492=0,0,           IF(FRM,_xll.qGetFwdRate(AP$14,$O491,AH491,"T",DCC_Leg1_Float),_xll.qGetFwdRate(AP$14,$O491,$O492,"T",DCC_Leg1_Float)))</f>
        <v>0</v>
      </c>
      <c r="AQ491" s="648">
        <f t="shared" si="243"/>
        <v>0</v>
      </c>
      <c r="AR491" s="648">
        <f t="shared" si="244"/>
        <v>0</v>
      </c>
      <c r="AS491" s="648">
        <f t="shared" si="245"/>
        <v>0</v>
      </c>
      <c r="AT491" s="648">
        <f t="shared" si="246"/>
        <v>0</v>
      </c>
      <c r="AU491" s="648">
        <f t="shared" si="247"/>
        <v>0</v>
      </c>
      <c r="AV491" s="648">
        <f t="shared" si="248"/>
        <v>0</v>
      </c>
      <c r="AW491" s="648">
        <f t="shared" si="249"/>
        <v>0</v>
      </c>
      <c r="AX491" s="648">
        <f t="shared" si="250"/>
        <v>0</v>
      </c>
      <c r="AY491" s="634">
        <v>0</v>
      </c>
      <c r="AZ491" s="616"/>
      <c r="BA491" s="619">
        <f>IF(O492=0,0,             IF(ISNUMBER(AZ491),AZ491,             IF(ISTEXT(AZ491),INDEX(AQ491:AX491,MATCH(AZ491,$AQ$17:$AX$17,0)),           IF(AY491="INT",_xll.qInterp(O492,AA491:AH491,AQ491:AX491),       INDEX(AQ491:AX491,MATCH(AY491,$AQ$17:$AX$17,0))))))</f>
        <v>0</v>
      </c>
      <c r="BB491" s="674">
        <v>100</v>
      </c>
      <c r="BC491" s="666">
        <f t="shared" si="229"/>
        <v>0</v>
      </c>
      <c r="BD491" s="268">
        <f>IF($O492=0,0,                IF(LEFT(DCC_Leg1_Fixed,2)="1/",uEvaluate(DCC_Leg1_Fixed),        _xll.qDateYears($O491,$O492,DCC_Leg1_Fixed)))</f>
        <v>0</v>
      </c>
      <c r="BE491" s="268">
        <f>IF($O492,_xll.qDateYears($O491,$O492,DCC_Leg1_Float),0)</f>
        <v>0</v>
      </c>
      <c r="BG491" s="332">
        <f t="shared" si="251"/>
        <v>0</v>
      </c>
      <c r="BH491" s="357">
        <f t="shared" si="252"/>
        <v>0</v>
      </c>
      <c r="BI491" s="527"/>
      <c r="BK491" s="324">
        <f t="shared" si="257"/>
        <v>0</v>
      </c>
      <c r="BM491" s="338"/>
      <c r="BN491" s="121">
        <v>0</v>
      </c>
      <c r="BO491" s="755">
        <f t="shared" si="230"/>
        <v>0</v>
      </c>
      <c r="BP491" s="339">
        <v>0</v>
      </c>
      <c r="BQ491" s="890">
        <f>IF(BN492=0,0,         IF(OR(Currency2="AUD",Currency1="NZD",Currency2="GBP"),BN491,   _xll.qDateNext(BN491,"-2b",,,IF(Currency2="EUR","TGT","LON"))))</f>
        <v>0</v>
      </c>
      <c r="BR491" s="879" t="str">
        <v/>
      </c>
      <c r="BS491" s="879" t="str">
        <v/>
      </c>
      <c r="BT491" s="879" t="str">
        <v/>
      </c>
      <c r="BU491" s="879" t="str">
        <v/>
      </c>
      <c r="BV491" s="879" t="str">
        <v/>
      </c>
      <c r="BW491" s="879" t="str">
        <v/>
      </c>
      <c r="BX491" s="879" t="str">
        <v/>
      </c>
      <c r="BY491" s="879" t="str">
        <v/>
      </c>
      <c r="BZ491" s="882">
        <f>IF($BN492=0,0,        _xll.qDateNext($BN491,BZ$17,$CG$16,TRUE,Currency2))</f>
        <v>0</v>
      </c>
      <c r="CA491" s="882">
        <f>IF($BN492=0,0,        _xll.qDateNext($BN491,CA$17,$CG$16,TRUE,Currency2))</f>
        <v>0</v>
      </c>
      <c r="CB491" s="882">
        <f>IF($BN492=0,0,        _xll.qDateNext($BN491,CB$17,$CG$16,TRUE,Currency2))</f>
        <v>0</v>
      </c>
      <c r="CC491" s="882">
        <f>IF($BN492=0,0,        _xll.qDateNext($BN491,CC$17,$CG$16,TRUE,Currency2))</f>
        <v>0</v>
      </c>
      <c r="CD491" s="882">
        <f>IF($BN492=0,0,        _xll.qDateNext($BN491,CD$17,$CG$16,TRUE,Currency2))</f>
        <v>0</v>
      </c>
      <c r="CE491" s="882">
        <f>IF($BN492=0,0,        _xll.qDateNext($BN491,CE$17,$CG$16,TRUE,Currency2))</f>
        <v>0</v>
      </c>
      <c r="CF491" s="882">
        <f>IF($BN492=0,0,        _xll.qDateNext($BN491,CF$17,$CG$16,TRUE,Currency2))</f>
        <v>0</v>
      </c>
      <c r="CG491" s="882">
        <f>IF($BN492=0,0,        _xll.qDateNext($BN491,CG$17,$CG$16,TRUE,Currency2))</f>
        <v>0</v>
      </c>
      <c r="CH491" s="886">
        <v>0</v>
      </c>
      <c r="CI491" s="886">
        <v>0</v>
      </c>
      <c r="CJ491" s="886">
        <v>0</v>
      </c>
      <c r="CK491" s="886">
        <v>0</v>
      </c>
      <c r="CL491" s="886">
        <f t="shared" si="253"/>
        <v>0</v>
      </c>
      <c r="CM491" s="886">
        <f t="shared" si="254"/>
        <v>0</v>
      </c>
      <c r="CN491" s="886">
        <v>0</v>
      </c>
      <c r="CO491" s="886">
        <v>0</v>
      </c>
      <c r="CP491" s="648">
        <f t="shared" si="231"/>
        <v>0</v>
      </c>
      <c r="CQ491" s="648">
        <f t="shared" si="232"/>
        <v>0</v>
      </c>
      <c r="CR491" s="648">
        <f t="shared" si="233"/>
        <v>0</v>
      </c>
      <c r="CS491" s="648">
        <f t="shared" si="234"/>
        <v>0</v>
      </c>
      <c r="CT491" s="648">
        <f t="shared" si="235"/>
        <v>0</v>
      </c>
      <c r="CU491" s="648">
        <f t="shared" si="236"/>
        <v>0</v>
      </c>
      <c r="CV491" s="648">
        <f t="shared" si="237"/>
        <v>0</v>
      </c>
      <c r="CW491" s="648">
        <f t="shared" si="238"/>
        <v>0</v>
      </c>
      <c r="CX491" s="634">
        <v>0</v>
      </c>
      <c r="CY491" s="616"/>
      <c r="CZ491" s="619">
        <f>IF(BN492=0,0,             IF(ISNUMBER(CY491),CY491,             IF(ISTEXT(CY491),INDEX(CP491:CW491,MATCH(CY491,$CP$17:$CW$17,0)),           IF(CX491="INT",_xll.qInterp(BN492,BZ491:CG491,CP491:CW491),       INDEX(CP491:CW491,MATCH(CX491,$CP$17:$CW$17,0))))))</f>
        <v>0</v>
      </c>
      <c r="DA491" s="755">
        <f t="shared" si="239"/>
        <v>0</v>
      </c>
      <c r="DB491" s="387">
        <f t="shared" si="240"/>
        <v>0</v>
      </c>
      <c r="DC491" s="268">
        <f>IF($BN492=0,0,         IF(LEFT(DCC_Leg2_Fixed,2)="1/",uEvaluate(DCC_Leg2_Fixed),         _xll.qDateYears($BN491,$BN492,DCC_Leg2_Fixed)))</f>
        <v>0</v>
      </c>
      <c r="DD491" s="268">
        <f>IF($BN492,_xll.qDateYears($BN491,$BN492,DCC_Leg2_Float),0)</f>
        <v>0</v>
      </c>
      <c r="DF491" s="332">
        <f t="shared" si="255"/>
        <v>0</v>
      </c>
      <c r="DG491" s="357">
        <f t="shared" si="256"/>
        <v>0</v>
      </c>
      <c r="DH491" s="527"/>
      <c r="DJ491" s="324">
        <f t="shared" si="258"/>
        <v>0</v>
      </c>
      <c r="DK491" s="529"/>
      <c r="DL491" s="338"/>
    </row>
    <row r="492" spans="15:116">
      <c r="O492" s="121">
        <v>0</v>
      </c>
      <c r="P492" s="755">
        <f t="shared" si="227"/>
        <v>0</v>
      </c>
      <c r="Q492" s="125">
        <v>0</v>
      </c>
      <c r="R492" s="890">
        <f>IF(O493=0,0,         IF(OR(Currency1="AUD",Currency1="NZD",Currency1="GBP"),O492,   _xll.qDateNext(O492,"-2b",,,IF(Currency1="EUR","TGT","LON"))))</f>
        <v>0</v>
      </c>
      <c r="S492" s="879" t="str">
        <v/>
      </c>
      <c r="T492" s="879" t="str">
        <v/>
      </c>
      <c r="U492" s="879" t="str">
        <v/>
      </c>
      <c r="V492" s="879" t="str">
        <v/>
      </c>
      <c r="W492" s="879" t="str">
        <v/>
      </c>
      <c r="X492" s="879" t="str">
        <v/>
      </c>
      <c r="Y492" s="879" t="str">
        <v/>
      </c>
      <c r="Z492" s="879" t="str">
        <v/>
      </c>
      <c r="AA492" s="882">
        <f>IF($O493=0,0,        _xll.qDateNext($O492,AA$17,$AH$16,TRUE,Currency1))</f>
        <v>0</v>
      </c>
      <c r="AB492" s="882">
        <f>IF($O493=0,0,        _xll.qDateNext($O492,AB$17,$AH$16,TRUE,Currency1))</f>
        <v>0</v>
      </c>
      <c r="AC492" s="882">
        <f>IF($O493=0,0,        _xll.qDateNext($O492,AC$17,$AH$16,TRUE,Currency1))</f>
        <v>0</v>
      </c>
      <c r="AD492" s="882">
        <f>IF($O493=0,0,        _xll.qDateNext($O492,AD$17,$AH$16,TRUE,Currency1))</f>
        <v>0</v>
      </c>
      <c r="AE492" s="882">
        <f>IF($O493=0,0,        _xll.qDateNext($O492,AE$17,$AH$16,TRUE,Currency1))</f>
        <v>0</v>
      </c>
      <c r="AF492" s="882">
        <f>IF($O493=0,0,        _xll.qDateNext($O492,AF$17,$AH$16,TRUE,Currency1))</f>
        <v>0</v>
      </c>
      <c r="AG492" s="882">
        <f>IF($O493=0,0,        _xll.qDateNext($O492,AG$17,$AH$16,TRUE,Currency1))</f>
        <v>0</v>
      </c>
      <c r="AH492" s="882">
        <f>IF($O493=0,0,        _xll.qDateNext($O492,AH$17,$AH$16,TRUE,Currency1))</f>
        <v>0</v>
      </c>
      <c r="AI492" s="886">
        <f>IF($O493=0,0,           IF(FRM,_xll.qGetFwdRate(AI$14,$O492,AA492,"T",DCC_Leg1_Float),_xll.qGetFwdRate(AI$14,$O492,$O493,"T",DCC_Leg1_Float)))</f>
        <v>0</v>
      </c>
      <c r="AJ492" s="886">
        <f>IF($O493=0,0,           IF(FRM,_xll.qGetFwdRate(AJ$14,$O492,AB492,"T",DCC_Leg1_Float),_xll.qGetFwdRate(AJ$14,$O492,$O493,"T",DCC_Leg1_Float)))</f>
        <v>0</v>
      </c>
      <c r="AK492" s="886">
        <f t="shared" si="228"/>
        <v>0</v>
      </c>
      <c r="AL492" s="886">
        <f>IF($O493=0,0,           IF(FRM,_xll.qGetFwdRate(AL$14,$O492,AD492,"T",DCC_Leg1_Float),_xll.qGetFwdRate(AL$14,$O492,$O493,"T",DCC_Leg1_Float)))</f>
        <v>0</v>
      </c>
      <c r="AM492" s="886">
        <f t="shared" si="241"/>
        <v>0</v>
      </c>
      <c r="AN492" s="886">
        <f t="shared" si="242"/>
        <v>0</v>
      </c>
      <c r="AO492" s="886">
        <f>IF($O493=0,0,           IF(FRM,_xll.qGetFwdRate(AO$14,$O492,AG492,"T",DCC_Leg1_Float),_xll.qGetFwdRate(AO$14,$O492,$O493,"T",DCC_Leg1_Float)))</f>
        <v>0</v>
      </c>
      <c r="AP492" s="886">
        <f>IF($O493=0,0,           IF(FRM,_xll.qGetFwdRate(AP$14,$O492,AH492,"T",DCC_Leg1_Float),_xll.qGetFwdRate(AP$14,$O492,$O493,"T",DCC_Leg1_Float)))</f>
        <v>0</v>
      </c>
      <c r="AQ492" s="648">
        <f t="shared" si="243"/>
        <v>0</v>
      </c>
      <c r="AR492" s="648">
        <f t="shared" si="244"/>
        <v>0</v>
      </c>
      <c r="AS492" s="648">
        <f t="shared" si="245"/>
        <v>0</v>
      </c>
      <c r="AT492" s="648">
        <f t="shared" si="246"/>
        <v>0</v>
      </c>
      <c r="AU492" s="648">
        <f t="shared" si="247"/>
        <v>0</v>
      </c>
      <c r="AV492" s="648">
        <f t="shared" si="248"/>
        <v>0</v>
      </c>
      <c r="AW492" s="648">
        <f t="shared" si="249"/>
        <v>0</v>
      </c>
      <c r="AX492" s="648">
        <f t="shared" si="250"/>
        <v>0</v>
      </c>
      <c r="AY492" s="634">
        <v>0</v>
      </c>
      <c r="AZ492" s="616"/>
      <c r="BA492" s="619">
        <f>IF(O493=0,0,             IF(ISNUMBER(AZ492),AZ492,             IF(ISTEXT(AZ492),INDEX(AQ492:AX492,MATCH(AZ492,$AQ$17:$AX$17,0)),           IF(AY492="INT",_xll.qInterp(O493,AA492:AH492,AQ492:AX492),       INDEX(AQ492:AX492,MATCH(AY492,$AQ$17:$AX$17,0))))))</f>
        <v>0</v>
      </c>
      <c r="BB492" s="674">
        <v>100</v>
      </c>
      <c r="BC492" s="666">
        <f t="shared" si="229"/>
        <v>0</v>
      </c>
      <c r="BD492" s="268">
        <f>IF($O493=0,0,                IF(LEFT(DCC_Leg1_Fixed,2)="1/",uEvaluate(DCC_Leg1_Fixed),        _xll.qDateYears($O492,$O493,DCC_Leg1_Fixed)))</f>
        <v>0</v>
      </c>
      <c r="BE492" s="268">
        <f>IF($O493,_xll.qDateYears($O492,$O493,DCC_Leg1_Float),0)</f>
        <v>0</v>
      </c>
      <c r="BG492" s="332">
        <f t="shared" si="251"/>
        <v>0</v>
      </c>
      <c r="BH492" s="357">
        <f t="shared" si="252"/>
        <v>0</v>
      </c>
      <c r="BI492" s="527"/>
      <c r="BK492" s="324">
        <f t="shared" si="257"/>
        <v>0</v>
      </c>
      <c r="BM492" s="338"/>
      <c r="BN492" s="121">
        <v>0</v>
      </c>
      <c r="BO492" s="755">
        <f t="shared" si="230"/>
        <v>0</v>
      </c>
      <c r="BP492" s="339">
        <v>0</v>
      </c>
      <c r="BQ492" s="890">
        <f>IF(BN493=0,0,         IF(OR(Currency2="AUD",Currency1="NZD",Currency2="GBP"),BN492,   _xll.qDateNext(BN492,"-2b",,,IF(Currency2="EUR","TGT","LON"))))</f>
        <v>0</v>
      </c>
      <c r="BR492" s="879" t="str">
        <v/>
      </c>
      <c r="BS492" s="879" t="str">
        <v/>
      </c>
      <c r="BT492" s="879" t="str">
        <v/>
      </c>
      <c r="BU492" s="879" t="str">
        <v/>
      </c>
      <c r="BV492" s="879" t="str">
        <v/>
      </c>
      <c r="BW492" s="879" t="str">
        <v/>
      </c>
      <c r="BX492" s="879" t="str">
        <v/>
      </c>
      <c r="BY492" s="879" t="str">
        <v/>
      </c>
      <c r="BZ492" s="882">
        <f>IF($BN493=0,0,        _xll.qDateNext($BN492,BZ$17,$CG$16,TRUE,Currency2))</f>
        <v>0</v>
      </c>
      <c r="CA492" s="882">
        <f>IF($BN493=0,0,        _xll.qDateNext($BN492,CA$17,$CG$16,TRUE,Currency2))</f>
        <v>0</v>
      </c>
      <c r="CB492" s="882">
        <f>IF($BN493=0,0,        _xll.qDateNext($BN492,CB$17,$CG$16,TRUE,Currency2))</f>
        <v>0</v>
      </c>
      <c r="CC492" s="882">
        <f>IF($BN493=0,0,        _xll.qDateNext($BN492,CC$17,$CG$16,TRUE,Currency2))</f>
        <v>0</v>
      </c>
      <c r="CD492" s="882">
        <f>IF($BN493=0,0,        _xll.qDateNext($BN492,CD$17,$CG$16,TRUE,Currency2))</f>
        <v>0</v>
      </c>
      <c r="CE492" s="882">
        <f>IF($BN493=0,0,        _xll.qDateNext($BN492,CE$17,$CG$16,TRUE,Currency2))</f>
        <v>0</v>
      </c>
      <c r="CF492" s="882">
        <f>IF($BN493=0,0,        _xll.qDateNext($BN492,CF$17,$CG$16,TRUE,Currency2))</f>
        <v>0</v>
      </c>
      <c r="CG492" s="882">
        <f>IF($BN493=0,0,        _xll.qDateNext($BN492,CG$17,$CG$16,TRUE,Currency2))</f>
        <v>0</v>
      </c>
      <c r="CH492" s="886">
        <v>0</v>
      </c>
      <c r="CI492" s="886">
        <v>0</v>
      </c>
      <c r="CJ492" s="886">
        <v>0</v>
      </c>
      <c r="CK492" s="886">
        <v>0</v>
      </c>
      <c r="CL492" s="886">
        <f t="shared" si="253"/>
        <v>0</v>
      </c>
      <c r="CM492" s="886">
        <f t="shared" si="254"/>
        <v>0</v>
      </c>
      <c r="CN492" s="886">
        <v>0</v>
      </c>
      <c r="CO492" s="886">
        <v>0</v>
      </c>
      <c r="CP492" s="648">
        <f t="shared" si="231"/>
        <v>0</v>
      </c>
      <c r="CQ492" s="648">
        <f t="shared" si="232"/>
        <v>0</v>
      </c>
      <c r="CR492" s="648">
        <f t="shared" si="233"/>
        <v>0</v>
      </c>
      <c r="CS492" s="648">
        <f t="shared" si="234"/>
        <v>0</v>
      </c>
      <c r="CT492" s="648">
        <f t="shared" si="235"/>
        <v>0</v>
      </c>
      <c r="CU492" s="648">
        <f t="shared" si="236"/>
        <v>0</v>
      </c>
      <c r="CV492" s="648">
        <f t="shared" si="237"/>
        <v>0</v>
      </c>
      <c r="CW492" s="648">
        <f t="shared" si="238"/>
        <v>0</v>
      </c>
      <c r="CX492" s="634">
        <v>0</v>
      </c>
      <c r="CY492" s="616"/>
      <c r="CZ492" s="619">
        <f>IF(BN493=0,0,             IF(ISNUMBER(CY492),CY492,             IF(ISTEXT(CY492),INDEX(CP492:CW492,MATCH(CY492,$CP$17:$CW$17,0)),           IF(CX492="INT",_xll.qInterp(BN493,BZ492:CG492,CP492:CW492),       INDEX(CP492:CW492,MATCH(CX492,$CP$17:$CW$17,0))))))</f>
        <v>0</v>
      </c>
      <c r="DA492" s="755">
        <f t="shared" si="239"/>
        <v>0</v>
      </c>
      <c r="DB492" s="387">
        <f t="shared" si="240"/>
        <v>0</v>
      </c>
      <c r="DC492" s="268">
        <f>IF($BN493=0,0,         IF(LEFT(DCC_Leg2_Fixed,2)="1/",uEvaluate(DCC_Leg2_Fixed),         _xll.qDateYears($BN492,$BN493,DCC_Leg2_Fixed)))</f>
        <v>0</v>
      </c>
      <c r="DD492" s="268">
        <f>IF($BN493,_xll.qDateYears($BN492,$BN493,DCC_Leg2_Float),0)</f>
        <v>0</v>
      </c>
      <c r="DF492" s="332">
        <f t="shared" si="255"/>
        <v>0</v>
      </c>
      <c r="DG492" s="357">
        <f t="shared" si="256"/>
        <v>0</v>
      </c>
      <c r="DH492" s="527"/>
      <c r="DJ492" s="324">
        <f t="shared" si="258"/>
        <v>0</v>
      </c>
      <c r="DK492" s="529"/>
      <c r="DL492" s="338"/>
    </row>
    <row r="493" spans="15:116">
      <c r="O493" s="121">
        <v>0</v>
      </c>
      <c r="P493" s="755">
        <f t="shared" si="227"/>
        <v>0</v>
      </c>
      <c r="Q493" s="125">
        <v>0</v>
      </c>
      <c r="R493" s="890">
        <f>IF(O494=0,0,         IF(OR(Currency1="AUD",Currency1="NZD",Currency1="GBP"),O493,   _xll.qDateNext(O493,"-2b",,,IF(Currency1="EUR","TGT","LON"))))</f>
        <v>0</v>
      </c>
      <c r="S493" s="879" t="str">
        <v/>
      </c>
      <c r="T493" s="879" t="str">
        <v/>
      </c>
      <c r="U493" s="879" t="str">
        <v/>
      </c>
      <c r="V493" s="879" t="str">
        <v/>
      </c>
      <c r="W493" s="879" t="str">
        <v/>
      </c>
      <c r="X493" s="879" t="str">
        <v/>
      </c>
      <c r="Y493" s="879" t="str">
        <v/>
      </c>
      <c r="Z493" s="879" t="str">
        <v/>
      </c>
      <c r="AA493" s="882">
        <f>IF($O494=0,0,        _xll.qDateNext($O493,AA$17,$AH$16,TRUE,Currency1))</f>
        <v>0</v>
      </c>
      <c r="AB493" s="882">
        <f>IF($O494=0,0,        _xll.qDateNext($O493,AB$17,$AH$16,TRUE,Currency1))</f>
        <v>0</v>
      </c>
      <c r="AC493" s="882">
        <f>IF($O494=0,0,        _xll.qDateNext($O493,AC$17,$AH$16,TRUE,Currency1))</f>
        <v>0</v>
      </c>
      <c r="AD493" s="882">
        <f>IF($O494=0,0,        _xll.qDateNext($O493,AD$17,$AH$16,TRUE,Currency1))</f>
        <v>0</v>
      </c>
      <c r="AE493" s="882">
        <f>IF($O494=0,0,        _xll.qDateNext($O493,AE$17,$AH$16,TRUE,Currency1))</f>
        <v>0</v>
      </c>
      <c r="AF493" s="882">
        <f>IF($O494=0,0,        _xll.qDateNext($O493,AF$17,$AH$16,TRUE,Currency1))</f>
        <v>0</v>
      </c>
      <c r="AG493" s="882">
        <f>IF($O494=0,0,        _xll.qDateNext($O493,AG$17,$AH$16,TRUE,Currency1))</f>
        <v>0</v>
      </c>
      <c r="AH493" s="882">
        <f>IF($O494=0,0,        _xll.qDateNext($O493,AH$17,$AH$16,TRUE,Currency1))</f>
        <v>0</v>
      </c>
      <c r="AI493" s="886">
        <f>IF($O494=0,0,           IF(FRM,_xll.qGetFwdRate(AI$14,$O493,AA493,"T",DCC_Leg1_Float),_xll.qGetFwdRate(AI$14,$O493,$O494,"T",DCC_Leg1_Float)))</f>
        <v>0</v>
      </c>
      <c r="AJ493" s="886">
        <f>IF($O494=0,0,           IF(FRM,_xll.qGetFwdRate(AJ$14,$O493,AB493,"T",DCC_Leg1_Float),_xll.qGetFwdRate(AJ$14,$O493,$O494,"T",DCC_Leg1_Float)))</f>
        <v>0</v>
      </c>
      <c r="AK493" s="886">
        <f t="shared" si="228"/>
        <v>0</v>
      </c>
      <c r="AL493" s="886">
        <f>IF($O494=0,0,           IF(FRM,_xll.qGetFwdRate(AL$14,$O493,AD493,"T",DCC_Leg1_Float),_xll.qGetFwdRate(AL$14,$O493,$O494,"T",DCC_Leg1_Float)))</f>
        <v>0</v>
      </c>
      <c r="AM493" s="886">
        <f t="shared" si="241"/>
        <v>0</v>
      </c>
      <c r="AN493" s="886">
        <f t="shared" si="242"/>
        <v>0</v>
      </c>
      <c r="AO493" s="886">
        <f>IF($O494=0,0,           IF(FRM,_xll.qGetFwdRate(AO$14,$O493,AG493,"T",DCC_Leg1_Float),_xll.qGetFwdRate(AO$14,$O493,$O494,"T",DCC_Leg1_Float)))</f>
        <v>0</v>
      </c>
      <c r="AP493" s="886">
        <f>IF($O494=0,0,           IF(FRM,_xll.qGetFwdRate(AP$14,$O493,AH493,"T",DCC_Leg1_Float),_xll.qGetFwdRate(AP$14,$O493,$O494,"T",DCC_Leg1_Float)))</f>
        <v>0</v>
      </c>
      <c r="AQ493" s="648">
        <f t="shared" si="243"/>
        <v>0</v>
      </c>
      <c r="AR493" s="648">
        <f t="shared" si="244"/>
        <v>0</v>
      </c>
      <c r="AS493" s="648">
        <f t="shared" si="245"/>
        <v>0</v>
      </c>
      <c r="AT493" s="648">
        <f t="shared" si="246"/>
        <v>0</v>
      </c>
      <c r="AU493" s="648">
        <f t="shared" si="247"/>
        <v>0</v>
      </c>
      <c r="AV493" s="648">
        <f t="shared" si="248"/>
        <v>0</v>
      </c>
      <c r="AW493" s="648">
        <f t="shared" si="249"/>
        <v>0</v>
      </c>
      <c r="AX493" s="648">
        <f t="shared" si="250"/>
        <v>0</v>
      </c>
      <c r="AY493" s="634">
        <v>0</v>
      </c>
      <c r="AZ493" s="616"/>
      <c r="BA493" s="619">
        <f>IF(O494=0,0,             IF(ISNUMBER(AZ493),AZ493,             IF(ISTEXT(AZ493),INDEX(AQ493:AX493,MATCH(AZ493,$AQ$17:$AX$17,0)),           IF(AY493="INT",_xll.qInterp(O494,AA493:AH493,AQ493:AX493),       INDEX(AQ493:AX493,MATCH(AY493,$AQ$17:$AX$17,0))))))</f>
        <v>0</v>
      </c>
      <c r="BB493" s="674">
        <v>100</v>
      </c>
      <c r="BC493" s="666">
        <f t="shared" si="229"/>
        <v>0</v>
      </c>
      <c r="BD493" s="268">
        <f>IF($O494=0,0,                IF(LEFT(DCC_Leg1_Fixed,2)="1/",uEvaluate(DCC_Leg1_Fixed),        _xll.qDateYears($O493,$O494,DCC_Leg1_Fixed)))</f>
        <v>0</v>
      </c>
      <c r="BE493" s="268">
        <f>IF($O494,_xll.qDateYears($O493,$O494,DCC_Leg1_Float),0)</f>
        <v>0</v>
      </c>
      <c r="BG493" s="332">
        <f t="shared" si="251"/>
        <v>0</v>
      </c>
      <c r="BH493" s="357">
        <f t="shared" si="252"/>
        <v>0</v>
      </c>
      <c r="BI493" s="527"/>
      <c r="BK493" s="324">
        <f t="shared" si="257"/>
        <v>0</v>
      </c>
      <c r="BM493" s="338"/>
      <c r="BN493" s="121">
        <v>0</v>
      </c>
      <c r="BO493" s="755">
        <f t="shared" si="230"/>
        <v>0</v>
      </c>
      <c r="BP493" s="339">
        <v>0</v>
      </c>
      <c r="BQ493" s="890">
        <f>IF(BN494=0,0,         IF(OR(Currency2="AUD",Currency1="NZD",Currency2="GBP"),BN493,   _xll.qDateNext(BN493,"-2b",,,IF(Currency2="EUR","TGT","LON"))))</f>
        <v>0</v>
      </c>
      <c r="BR493" s="879" t="str">
        <v/>
      </c>
      <c r="BS493" s="879" t="str">
        <v/>
      </c>
      <c r="BT493" s="879" t="str">
        <v/>
      </c>
      <c r="BU493" s="879" t="str">
        <v/>
      </c>
      <c r="BV493" s="879" t="str">
        <v/>
      </c>
      <c r="BW493" s="879" t="str">
        <v/>
      </c>
      <c r="BX493" s="879" t="str">
        <v/>
      </c>
      <c r="BY493" s="879" t="str">
        <v/>
      </c>
      <c r="BZ493" s="882">
        <f>IF($BN494=0,0,        _xll.qDateNext($BN493,BZ$17,$CG$16,TRUE,Currency2))</f>
        <v>0</v>
      </c>
      <c r="CA493" s="882">
        <f>IF($BN494=0,0,        _xll.qDateNext($BN493,CA$17,$CG$16,TRUE,Currency2))</f>
        <v>0</v>
      </c>
      <c r="CB493" s="882">
        <f>IF($BN494=0,0,        _xll.qDateNext($BN493,CB$17,$CG$16,TRUE,Currency2))</f>
        <v>0</v>
      </c>
      <c r="CC493" s="882">
        <f>IF($BN494=0,0,        _xll.qDateNext($BN493,CC$17,$CG$16,TRUE,Currency2))</f>
        <v>0</v>
      </c>
      <c r="CD493" s="882">
        <f>IF($BN494=0,0,        _xll.qDateNext($BN493,CD$17,$CG$16,TRUE,Currency2))</f>
        <v>0</v>
      </c>
      <c r="CE493" s="882">
        <f>IF($BN494=0,0,        _xll.qDateNext($BN493,CE$17,$CG$16,TRUE,Currency2))</f>
        <v>0</v>
      </c>
      <c r="CF493" s="882">
        <f>IF($BN494=0,0,        _xll.qDateNext($BN493,CF$17,$CG$16,TRUE,Currency2))</f>
        <v>0</v>
      </c>
      <c r="CG493" s="882">
        <f>IF($BN494=0,0,        _xll.qDateNext($BN493,CG$17,$CG$16,TRUE,Currency2))</f>
        <v>0</v>
      </c>
      <c r="CH493" s="886">
        <v>0</v>
      </c>
      <c r="CI493" s="886">
        <v>0</v>
      </c>
      <c r="CJ493" s="886">
        <v>0</v>
      </c>
      <c r="CK493" s="886">
        <v>0</v>
      </c>
      <c r="CL493" s="886">
        <f t="shared" si="253"/>
        <v>0</v>
      </c>
      <c r="CM493" s="886">
        <f t="shared" si="254"/>
        <v>0</v>
      </c>
      <c r="CN493" s="886">
        <v>0</v>
      </c>
      <c r="CO493" s="886">
        <v>0</v>
      </c>
      <c r="CP493" s="648">
        <f t="shared" si="231"/>
        <v>0</v>
      </c>
      <c r="CQ493" s="648">
        <f t="shared" si="232"/>
        <v>0</v>
      </c>
      <c r="CR493" s="648">
        <f t="shared" si="233"/>
        <v>0</v>
      </c>
      <c r="CS493" s="648">
        <f t="shared" si="234"/>
        <v>0</v>
      </c>
      <c r="CT493" s="648">
        <f t="shared" si="235"/>
        <v>0</v>
      </c>
      <c r="CU493" s="648">
        <f t="shared" si="236"/>
        <v>0</v>
      </c>
      <c r="CV493" s="648">
        <f t="shared" si="237"/>
        <v>0</v>
      </c>
      <c r="CW493" s="648">
        <f t="shared" si="238"/>
        <v>0</v>
      </c>
      <c r="CX493" s="634">
        <v>0</v>
      </c>
      <c r="CY493" s="616"/>
      <c r="CZ493" s="619">
        <f>IF(BN494=0,0,             IF(ISNUMBER(CY493),CY493,             IF(ISTEXT(CY493),INDEX(CP493:CW493,MATCH(CY493,$CP$17:$CW$17,0)),           IF(CX493="INT",_xll.qInterp(BN494,BZ493:CG493,CP493:CW493),       INDEX(CP493:CW493,MATCH(CX493,$CP$17:$CW$17,0))))))</f>
        <v>0</v>
      </c>
      <c r="DA493" s="755">
        <f t="shared" si="239"/>
        <v>0</v>
      </c>
      <c r="DB493" s="387">
        <f t="shared" si="240"/>
        <v>0</v>
      </c>
      <c r="DC493" s="268">
        <f>IF($BN494=0,0,         IF(LEFT(DCC_Leg2_Fixed,2)="1/",uEvaluate(DCC_Leg2_Fixed),         _xll.qDateYears($BN493,$BN494,DCC_Leg2_Fixed)))</f>
        <v>0</v>
      </c>
      <c r="DD493" s="268">
        <f>IF($BN494,_xll.qDateYears($BN493,$BN494,DCC_Leg2_Float),0)</f>
        <v>0</v>
      </c>
      <c r="DF493" s="332">
        <f t="shared" si="255"/>
        <v>0</v>
      </c>
      <c r="DG493" s="357">
        <f t="shared" si="256"/>
        <v>0</v>
      </c>
      <c r="DH493" s="527"/>
      <c r="DJ493" s="324">
        <f t="shared" si="258"/>
        <v>0</v>
      </c>
      <c r="DK493" s="529"/>
      <c r="DL493" s="338"/>
    </row>
    <row r="494" spans="15:116">
      <c r="O494" s="121">
        <v>0</v>
      </c>
      <c r="P494" s="755">
        <f t="shared" si="227"/>
        <v>0</v>
      </c>
      <c r="Q494" s="125">
        <v>0</v>
      </c>
      <c r="R494" s="890">
        <f>IF(O495=0,0,         IF(OR(Currency1="AUD",Currency1="NZD",Currency1="GBP"),O494,   _xll.qDateNext(O494,"-2b",,,IF(Currency1="EUR","TGT","LON"))))</f>
        <v>0</v>
      </c>
      <c r="S494" s="879" t="str">
        <v/>
      </c>
      <c r="T494" s="879" t="str">
        <v/>
      </c>
      <c r="U494" s="879" t="str">
        <v/>
      </c>
      <c r="V494" s="879" t="str">
        <v/>
      </c>
      <c r="W494" s="879" t="str">
        <v/>
      </c>
      <c r="X494" s="879" t="str">
        <v/>
      </c>
      <c r="Y494" s="879" t="str">
        <v/>
      </c>
      <c r="Z494" s="879" t="str">
        <v/>
      </c>
      <c r="AA494" s="882">
        <f>IF($O495=0,0,        _xll.qDateNext($O494,AA$17,$AH$16,TRUE,Currency1))</f>
        <v>0</v>
      </c>
      <c r="AB494" s="882">
        <f>IF($O495=0,0,        _xll.qDateNext($O494,AB$17,$AH$16,TRUE,Currency1))</f>
        <v>0</v>
      </c>
      <c r="AC494" s="882">
        <f>IF($O495=0,0,        _xll.qDateNext($O494,AC$17,$AH$16,TRUE,Currency1))</f>
        <v>0</v>
      </c>
      <c r="AD494" s="882">
        <f>IF($O495=0,0,        _xll.qDateNext($O494,AD$17,$AH$16,TRUE,Currency1))</f>
        <v>0</v>
      </c>
      <c r="AE494" s="882">
        <f>IF($O495=0,0,        _xll.qDateNext($O494,AE$17,$AH$16,TRUE,Currency1))</f>
        <v>0</v>
      </c>
      <c r="AF494" s="882">
        <f>IF($O495=0,0,        _xll.qDateNext($O494,AF$17,$AH$16,TRUE,Currency1))</f>
        <v>0</v>
      </c>
      <c r="AG494" s="882">
        <f>IF($O495=0,0,        _xll.qDateNext($O494,AG$17,$AH$16,TRUE,Currency1))</f>
        <v>0</v>
      </c>
      <c r="AH494" s="882">
        <f>IF($O495=0,0,        _xll.qDateNext($O494,AH$17,$AH$16,TRUE,Currency1))</f>
        <v>0</v>
      </c>
      <c r="AI494" s="886">
        <f>IF($O495=0,0,           IF(FRM,_xll.qGetFwdRate(AI$14,$O494,AA494,"T",DCC_Leg1_Float),_xll.qGetFwdRate(AI$14,$O494,$O495,"T",DCC_Leg1_Float)))</f>
        <v>0</v>
      </c>
      <c r="AJ494" s="886">
        <f>IF($O495=0,0,           IF(FRM,_xll.qGetFwdRate(AJ$14,$O494,AB494,"T",DCC_Leg1_Float),_xll.qGetFwdRate(AJ$14,$O494,$O495,"T",DCC_Leg1_Float)))</f>
        <v>0</v>
      </c>
      <c r="AK494" s="886">
        <f t="shared" si="228"/>
        <v>0</v>
      </c>
      <c r="AL494" s="886">
        <f>IF($O495=0,0,           IF(FRM,_xll.qGetFwdRate(AL$14,$O494,AD494,"T",DCC_Leg1_Float),_xll.qGetFwdRate(AL$14,$O494,$O495,"T",DCC_Leg1_Float)))</f>
        <v>0</v>
      </c>
      <c r="AM494" s="886">
        <f t="shared" si="241"/>
        <v>0</v>
      </c>
      <c r="AN494" s="886">
        <f t="shared" si="242"/>
        <v>0</v>
      </c>
      <c r="AO494" s="886">
        <f>IF($O495=0,0,           IF(FRM,_xll.qGetFwdRate(AO$14,$O494,AG494,"T",DCC_Leg1_Float),_xll.qGetFwdRate(AO$14,$O494,$O495,"T",DCC_Leg1_Float)))</f>
        <v>0</v>
      </c>
      <c r="AP494" s="886">
        <f>IF($O495=0,0,           IF(FRM,_xll.qGetFwdRate(AP$14,$O494,AH494,"T",DCC_Leg1_Float),_xll.qGetFwdRate(AP$14,$O494,$O495,"T",DCC_Leg1_Float)))</f>
        <v>0</v>
      </c>
      <c r="AQ494" s="648">
        <f t="shared" si="243"/>
        <v>0</v>
      </c>
      <c r="AR494" s="648">
        <f t="shared" si="244"/>
        <v>0</v>
      </c>
      <c r="AS494" s="648">
        <f t="shared" si="245"/>
        <v>0</v>
      </c>
      <c r="AT494" s="648">
        <f t="shared" si="246"/>
        <v>0</v>
      </c>
      <c r="AU494" s="648">
        <f t="shared" si="247"/>
        <v>0</v>
      </c>
      <c r="AV494" s="648">
        <f t="shared" si="248"/>
        <v>0</v>
      </c>
      <c r="AW494" s="648">
        <f t="shared" si="249"/>
        <v>0</v>
      </c>
      <c r="AX494" s="648">
        <f t="shared" si="250"/>
        <v>0</v>
      </c>
      <c r="AY494" s="634">
        <v>0</v>
      </c>
      <c r="AZ494" s="616"/>
      <c r="BA494" s="619">
        <f>IF(O495=0,0,             IF(ISNUMBER(AZ494),AZ494,             IF(ISTEXT(AZ494),INDEX(AQ494:AX494,MATCH(AZ494,$AQ$17:$AX$17,0)),           IF(AY494="INT",_xll.qInterp(O495,AA494:AH494,AQ494:AX494),       INDEX(AQ494:AX494,MATCH(AY494,$AQ$17:$AX$17,0))))))</f>
        <v>0</v>
      </c>
      <c r="BB494" s="674">
        <v>100</v>
      </c>
      <c r="BC494" s="666">
        <f t="shared" si="229"/>
        <v>0</v>
      </c>
      <c r="BD494" s="268">
        <f>IF($O495=0,0,                IF(LEFT(DCC_Leg1_Fixed,2)="1/",uEvaluate(DCC_Leg1_Fixed),        _xll.qDateYears($O494,$O495,DCC_Leg1_Fixed)))</f>
        <v>0</v>
      </c>
      <c r="BE494" s="268">
        <f>IF($O495,_xll.qDateYears($O494,$O495,DCC_Leg1_Float),0)</f>
        <v>0</v>
      </c>
      <c r="BG494" s="332">
        <f t="shared" si="251"/>
        <v>0</v>
      </c>
      <c r="BH494" s="357">
        <f t="shared" si="252"/>
        <v>0</v>
      </c>
      <c r="BI494" s="527"/>
      <c r="BK494" s="324">
        <f t="shared" si="257"/>
        <v>0</v>
      </c>
      <c r="BM494" s="338"/>
      <c r="BN494" s="121">
        <v>0</v>
      </c>
      <c r="BO494" s="755">
        <f t="shared" si="230"/>
        <v>0</v>
      </c>
      <c r="BP494" s="339">
        <v>0</v>
      </c>
      <c r="BQ494" s="890">
        <f>IF(BN495=0,0,         IF(OR(Currency2="AUD",Currency1="NZD",Currency2="GBP"),BN494,   _xll.qDateNext(BN494,"-2b",,,IF(Currency2="EUR","TGT","LON"))))</f>
        <v>0</v>
      </c>
      <c r="BR494" s="879" t="str">
        <v/>
      </c>
      <c r="BS494" s="879" t="str">
        <v/>
      </c>
      <c r="BT494" s="879" t="str">
        <v/>
      </c>
      <c r="BU494" s="879" t="str">
        <v/>
      </c>
      <c r="BV494" s="879" t="str">
        <v/>
      </c>
      <c r="BW494" s="879" t="str">
        <v/>
      </c>
      <c r="BX494" s="879" t="str">
        <v/>
      </c>
      <c r="BY494" s="879" t="str">
        <v/>
      </c>
      <c r="BZ494" s="882">
        <f>IF($BN495=0,0,        _xll.qDateNext($BN494,BZ$17,$CG$16,TRUE,Currency2))</f>
        <v>0</v>
      </c>
      <c r="CA494" s="882">
        <f>IF($BN495=0,0,        _xll.qDateNext($BN494,CA$17,$CG$16,TRUE,Currency2))</f>
        <v>0</v>
      </c>
      <c r="CB494" s="882">
        <f>IF($BN495=0,0,        _xll.qDateNext($BN494,CB$17,$CG$16,TRUE,Currency2))</f>
        <v>0</v>
      </c>
      <c r="CC494" s="882">
        <f>IF($BN495=0,0,        _xll.qDateNext($BN494,CC$17,$CG$16,TRUE,Currency2))</f>
        <v>0</v>
      </c>
      <c r="CD494" s="882">
        <f>IF($BN495=0,0,        _xll.qDateNext($BN494,CD$17,$CG$16,TRUE,Currency2))</f>
        <v>0</v>
      </c>
      <c r="CE494" s="882">
        <f>IF($BN495=0,0,        _xll.qDateNext($BN494,CE$17,$CG$16,TRUE,Currency2))</f>
        <v>0</v>
      </c>
      <c r="CF494" s="882">
        <f>IF($BN495=0,0,        _xll.qDateNext($BN494,CF$17,$CG$16,TRUE,Currency2))</f>
        <v>0</v>
      </c>
      <c r="CG494" s="882">
        <f>IF($BN495=0,0,        _xll.qDateNext($BN494,CG$17,$CG$16,TRUE,Currency2))</f>
        <v>0</v>
      </c>
      <c r="CH494" s="886">
        <v>0</v>
      </c>
      <c r="CI494" s="886">
        <v>0</v>
      </c>
      <c r="CJ494" s="886">
        <v>0</v>
      </c>
      <c r="CK494" s="886">
        <v>0</v>
      </c>
      <c r="CL494" s="886">
        <f t="shared" si="253"/>
        <v>0</v>
      </c>
      <c r="CM494" s="886">
        <f t="shared" si="254"/>
        <v>0</v>
      </c>
      <c r="CN494" s="886">
        <v>0</v>
      </c>
      <c r="CO494" s="886">
        <v>0</v>
      </c>
      <c r="CP494" s="648">
        <f t="shared" si="231"/>
        <v>0</v>
      </c>
      <c r="CQ494" s="648">
        <f t="shared" si="232"/>
        <v>0</v>
      </c>
      <c r="CR494" s="648">
        <f t="shared" si="233"/>
        <v>0</v>
      </c>
      <c r="CS494" s="648">
        <f t="shared" si="234"/>
        <v>0</v>
      </c>
      <c r="CT494" s="648">
        <f t="shared" si="235"/>
        <v>0</v>
      </c>
      <c r="CU494" s="648">
        <f t="shared" si="236"/>
        <v>0</v>
      </c>
      <c r="CV494" s="648">
        <f t="shared" si="237"/>
        <v>0</v>
      </c>
      <c r="CW494" s="648">
        <f t="shared" si="238"/>
        <v>0</v>
      </c>
      <c r="CX494" s="634">
        <v>0</v>
      </c>
      <c r="CY494" s="616"/>
      <c r="CZ494" s="619">
        <f>IF(BN495=0,0,             IF(ISNUMBER(CY494),CY494,             IF(ISTEXT(CY494),INDEX(CP494:CW494,MATCH(CY494,$CP$17:$CW$17,0)),           IF(CX494="INT",_xll.qInterp(BN495,BZ494:CG494,CP494:CW494),       INDEX(CP494:CW494,MATCH(CX494,$CP$17:$CW$17,0))))))</f>
        <v>0</v>
      </c>
      <c r="DA494" s="755">
        <f t="shared" si="239"/>
        <v>0</v>
      </c>
      <c r="DB494" s="387">
        <f t="shared" si="240"/>
        <v>0</v>
      </c>
      <c r="DC494" s="268">
        <f>IF($BN495=0,0,         IF(LEFT(DCC_Leg2_Fixed,2)="1/",uEvaluate(DCC_Leg2_Fixed),         _xll.qDateYears($BN494,$BN495,DCC_Leg2_Fixed)))</f>
        <v>0</v>
      </c>
      <c r="DD494" s="268">
        <f>IF($BN495,_xll.qDateYears($BN494,$BN495,DCC_Leg2_Float),0)</f>
        <v>0</v>
      </c>
      <c r="DF494" s="332">
        <f t="shared" si="255"/>
        <v>0</v>
      </c>
      <c r="DG494" s="357">
        <f t="shared" si="256"/>
        <v>0</v>
      </c>
      <c r="DH494" s="527"/>
      <c r="DJ494" s="324">
        <f t="shared" si="258"/>
        <v>0</v>
      </c>
      <c r="DK494" s="529"/>
      <c r="DL494" s="338"/>
    </row>
    <row r="495" spans="15:116">
      <c r="O495" s="121">
        <v>0</v>
      </c>
      <c r="P495" s="755">
        <f t="shared" si="227"/>
        <v>0</v>
      </c>
      <c r="Q495" s="125">
        <v>0</v>
      </c>
      <c r="R495" s="890">
        <f>IF(O496=0,0,         IF(OR(Currency1="AUD",Currency1="NZD",Currency1="GBP"),O495,   _xll.qDateNext(O495,"-2b",,,IF(Currency1="EUR","TGT","LON"))))</f>
        <v>0</v>
      </c>
      <c r="S495" s="879" t="str">
        <v/>
      </c>
      <c r="T495" s="879" t="str">
        <v/>
      </c>
      <c r="U495" s="879" t="str">
        <v/>
      </c>
      <c r="V495" s="879" t="str">
        <v/>
      </c>
      <c r="W495" s="879" t="str">
        <v/>
      </c>
      <c r="X495" s="879" t="str">
        <v/>
      </c>
      <c r="Y495" s="879" t="str">
        <v/>
      </c>
      <c r="Z495" s="879" t="str">
        <v/>
      </c>
      <c r="AA495" s="882">
        <f>IF($O496=0,0,        _xll.qDateNext($O495,AA$17,$AH$16,TRUE,Currency1))</f>
        <v>0</v>
      </c>
      <c r="AB495" s="882">
        <f>IF($O496=0,0,        _xll.qDateNext($O495,AB$17,$AH$16,TRUE,Currency1))</f>
        <v>0</v>
      </c>
      <c r="AC495" s="882">
        <f>IF($O496=0,0,        _xll.qDateNext($O495,AC$17,$AH$16,TRUE,Currency1))</f>
        <v>0</v>
      </c>
      <c r="AD495" s="882">
        <f>IF($O496=0,0,        _xll.qDateNext($O495,AD$17,$AH$16,TRUE,Currency1))</f>
        <v>0</v>
      </c>
      <c r="AE495" s="882">
        <f>IF($O496=0,0,        _xll.qDateNext($O495,AE$17,$AH$16,TRUE,Currency1))</f>
        <v>0</v>
      </c>
      <c r="AF495" s="882">
        <f>IF($O496=0,0,        _xll.qDateNext($O495,AF$17,$AH$16,TRUE,Currency1))</f>
        <v>0</v>
      </c>
      <c r="AG495" s="882">
        <f>IF($O496=0,0,        _xll.qDateNext($O495,AG$17,$AH$16,TRUE,Currency1))</f>
        <v>0</v>
      </c>
      <c r="AH495" s="882">
        <f>IF($O496=0,0,        _xll.qDateNext($O495,AH$17,$AH$16,TRUE,Currency1))</f>
        <v>0</v>
      </c>
      <c r="AI495" s="886">
        <f>IF($O496=0,0,           IF(FRM,_xll.qGetFwdRate(AI$14,$O495,AA495,"T",DCC_Leg1_Float),_xll.qGetFwdRate(AI$14,$O495,$O496,"T",DCC_Leg1_Float)))</f>
        <v>0</v>
      </c>
      <c r="AJ495" s="886">
        <f>IF($O496=0,0,           IF(FRM,_xll.qGetFwdRate(AJ$14,$O495,AB495,"T",DCC_Leg1_Float),_xll.qGetFwdRate(AJ$14,$O495,$O496,"T",DCC_Leg1_Float)))</f>
        <v>0</v>
      </c>
      <c r="AK495" s="886">
        <f t="shared" si="228"/>
        <v>0</v>
      </c>
      <c r="AL495" s="886">
        <f>IF($O496=0,0,           IF(FRM,_xll.qGetFwdRate(AL$14,$O495,AD495,"T",DCC_Leg1_Float),_xll.qGetFwdRate(AL$14,$O495,$O496,"T",DCC_Leg1_Float)))</f>
        <v>0</v>
      </c>
      <c r="AM495" s="886">
        <f t="shared" si="241"/>
        <v>0</v>
      </c>
      <c r="AN495" s="886">
        <f t="shared" si="242"/>
        <v>0</v>
      </c>
      <c r="AO495" s="886">
        <f>IF($O496=0,0,           IF(FRM,_xll.qGetFwdRate(AO$14,$O495,AG495,"T",DCC_Leg1_Float),_xll.qGetFwdRate(AO$14,$O495,$O496,"T",DCC_Leg1_Float)))</f>
        <v>0</v>
      </c>
      <c r="AP495" s="886">
        <f>IF($O496=0,0,           IF(FRM,_xll.qGetFwdRate(AP$14,$O495,AH495,"T",DCC_Leg1_Float),_xll.qGetFwdRate(AP$14,$O495,$O496,"T",DCC_Leg1_Float)))</f>
        <v>0</v>
      </c>
      <c r="AQ495" s="648">
        <f t="shared" si="243"/>
        <v>0</v>
      </c>
      <c r="AR495" s="648">
        <f t="shared" si="244"/>
        <v>0</v>
      </c>
      <c r="AS495" s="648">
        <f t="shared" si="245"/>
        <v>0</v>
      </c>
      <c r="AT495" s="648">
        <f t="shared" si="246"/>
        <v>0</v>
      </c>
      <c r="AU495" s="648">
        <f t="shared" si="247"/>
        <v>0</v>
      </c>
      <c r="AV495" s="648">
        <f t="shared" si="248"/>
        <v>0</v>
      </c>
      <c r="AW495" s="648">
        <f t="shared" si="249"/>
        <v>0</v>
      </c>
      <c r="AX495" s="648">
        <f t="shared" si="250"/>
        <v>0</v>
      </c>
      <c r="AY495" s="634">
        <v>0</v>
      </c>
      <c r="AZ495" s="616"/>
      <c r="BA495" s="619">
        <f>IF(O496=0,0,             IF(ISNUMBER(AZ495),AZ495,             IF(ISTEXT(AZ495),INDEX(AQ495:AX495,MATCH(AZ495,$AQ$17:$AX$17,0)),           IF(AY495="INT",_xll.qInterp(O496,AA495:AH495,AQ495:AX495),       INDEX(AQ495:AX495,MATCH(AY495,$AQ$17:$AX$17,0))))))</f>
        <v>0</v>
      </c>
      <c r="BB495" s="674">
        <v>100</v>
      </c>
      <c r="BC495" s="666">
        <f t="shared" si="229"/>
        <v>0</v>
      </c>
      <c r="BD495" s="268">
        <f>IF($O496=0,0,                IF(LEFT(DCC_Leg1_Fixed,2)="1/",uEvaluate(DCC_Leg1_Fixed),        _xll.qDateYears($O495,$O496,DCC_Leg1_Fixed)))</f>
        <v>0</v>
      </c>
      <c r="BE495" s="268">
        <f>IF($O496,_xll.qDateYears($O495,$O496,DCC_Leg1_Float),0)</f>
        <v>0</v>
      </c>
      <c r="BG495" s="332">
        <f t="shared" si="251"/>
        <v>0</v>
      </c>
      <c r="BH495" s="357">
        <f t="shared" si="252"/>
        <v>0</v>
      </c>
      <c r="BI495" s="527"/>
      <c r="BK495" s="324">
        <f t="shared" si="257"/>
        <v>0</v>
      </c>
      <c r="BM495" s="338"/>
      <c r="BN495" s="121">
        <v>0</v>
      </c>
      <c r="BO495" s="755">
        <f t="shared" si="230"/>
        <v>0</v>
      </c>
      <c r="BP495" s="339">
        <v>0</v>
      </c>
      <c r="BQ495" s="890">
        <f>IF(BN496=0,0,         IF(OR(Currency2="AUD",Currency1="NZD",Currency2="GBP"),BN495,   _xll.qDateNext(BN495,"-2b",,,IF(Currency2="EUR","TGT","LON"))))</f>
        <v>0</v>
      </c>
      <c r="BR495" s="879" t="str">
        <v/>
      </c>
      <c r="BS495" s="879" t="str">
        <v/>
      </c>
      <c r="BT495" s="879" t="str">
        <v/>
      </c>
      <c r="BU495" s="879" t="str">
        <v/>
      </c>
      <c r="BV495" s="879" t="str">
        <v/>
      </c>
      <c r="BW495" s="879" t="str">
        <v/>
      </c>
      <c r="BX495" s="879" t="str">
        <v/>
      </c>
      <c r="BY495" s="879" t="str">
        <v/>
      </c>
      <c r="BZ495" s="882">
        <f>IF($BN496=0,0,        _xll.qDateNext($BN495,BZ$17,$CG$16,TRUE,Currency2))</f>
        <v>0</v>
      </c>
      <c r="CA495" s="882">
        <f>IF($BN496=0,0,        _xll.qDateNext($BN495,CA$17,$CG$16,TRUE,Currency2))</f>
        <v>0</v>
      </c>
      <c r="CB495" s="882">
        <f>IF($BN496=0,0,        _xll.qDateNext($BN495,CB$17,$CG$16,TRUE,Currency2))</f>
        <v>0</v>
      </c>
      <c r="CC495" s="882">
        <f>IF($BN496=0,0,        _xll.qDateNext($BN495,CC$17,$CG$16,TRUE,Currency2))</f>
        <v>0</v>
      </c>
      <c r="CD495" s="882">
        <f>IF($BN496=0,0,        _xll.qDateNext($BN495,CD$17,$CG$16,TRUE,Currency2))</f>
        <v>0</v>
      </c>
      <c r="CE495" s="882">
        <f>IF($BN496=0,0,        _xll.qDateNext($BN495,CE$17,$CG$16,TRUE,Currency2))</f>
        <v>0</v>
      </c>
      <c r="CF495" s="882">
        <f>IF($BN496=0,0,        _xll.qDateNext($BN495,CF$17,$CG$16,TRUE,Currency2))</f>
        <v>0</v>
      </c>
      <c r="CG495" s="882">
        <f>IF($BN496=0,0,        _xll.qDateNext($BN495,CG$17,$CG$16,TRUE,Currency2))</f>
        <v>0</v>
      </c>
      <c r="CH495" s="886">
        <v>0</v>
      </c>
      <c r="CI495" s="886">
        <v>0</v>
      </c>
      <c r="CJ495" s="886">
        <v>0</v>
      </c>
      <c r="CK495" s="886">
        <v>0</v>
      </c>
      <c r="CL495" s="886">
        <f t="shared" si="253"/>
        <v>0</v>
      </c>
      <c r="CM495" s="886">
        <f t="shared" si="254"/>
        <v>0</v>
      </c>
      <c r="CN495" s="886">
        <v>0</v>
      </c>
      <c r="CO495" s="886">
        <v>0</v>
      </c>
      <c r="CP495" s="648">
        <f t="shared" si="231"/>
        <v>0</v>
      </c>
      <c r="CQ495" s="648">
        <f t="shared" si="232"/>
        <v>0</v>
      </c>
      <c r="CR495" s="648">
        <f t="shared" si="233"/>
        <v>0</v>
      </c>
      <c r="CS495" s="648">
        <f t="shared" si="234"/>
        <v>0</v>
      </c>
      <c r="CT495" s="648">
        <f t="shared" si="235"/>
        <v>0</v>
      </c>
      <c r="CU495" s="648">
        <f t="shared" si="236"/>
        <v>0</v>
      </c>
      <c r="CV495" s="648">
        <f t="shared" si="237"/>
        <v>0</v>
      </c>
      <c r="CW495" s="648">
        <f t="shared" si="238"/>
        <v>0</v>
      </c>
      <c r="CX495" s="634">
        <v>0</v>
      </c>
      <c r="CY495" s="616"/>
      <c r="CZ495" s="619">
        <f>IF(BN496=0,0,             IF(ISNUMBER(CY495),CY495,             IF(ISTEXT(CY495),INDEX(CP495:CW495,MATCH(CY495,$CP$17:$CW$17,0)),           IF(CX495="INT",_xll.qInterp(BN496,BZ495:CG495,CP495:CW495),       INDEX(CP495:CW495,MATCH(CX495,$CP$17:$CW$17,0))))))</f>
        <v>0</v>
      </c>
      <c r="DA495" s="755">
        <f t="shared" si="239"/>
        <v>0</v>
      </c>
      <c r="DB495" s="387">
        <f t="shared" si="240"/>
        <v>0</v>
      </c>
      <c r="DC495" s="268">
        <f>IF($BN496=0,0,         IF(LEFT(DCC_Leg2_Fixed,2)="1/",uEvaluate(DCC_Leg2_Fixed),         _xll.qDateYears($BN495,$BN496,DCC_Leg2_Fixed)))</f>
        <v>0</v>
      </c>
      <c r="DD495" s="268">
        <f>IF($BN496,_xll.qDateYears($BN495,$BN496,DCC_Leg2_Float),0)</f>
        <v>0</v>
      </c>
      <c r="DF495" s="332">
        <f t="shared" si="255"/>
        <v>0</v>
      </c>
      <c r="DG495" s="357">
        <f t="shared" si="256"/>
        <v>0</v>
      </c>
      <c r="DH495" s="527"/>
      <c r="DJ495" s="324">
        <f t="shared" si="258"/>
        <v>0</v>
      </c>
      <c r="DK495" s="529"/>
      <c r="DL495" s="338"/>
    </row>
    <row r="496" spans="15:116">
      <c r="O496" s="121">
        <v>0</v>
      </c>
      <c r="P496" s="755">
        <f t="shared" si="227"/>
        <v>0</v>
      </c>
      <c r="Q496" s="125">
        <v>0</v>
      </c>
      <c r="R496" s="890">
        <f>IF(O497=0,0,         IF(OR(Currency1="AUD",Currency1="NZD",Currency1="GBP"),O496,   _xll.qDateNext(O496,"-2b",,,IF(Currency1="EUR","TGT","LON"))))</f>
        <v>0</v>
      </c>
      <c r="S496" s="879" t="str">
        <v/>
      </c>
      <c r="T496" s="879" t="str">
        <v/>
      </c>
      <c r="U496" s="879" t="str">
        <v/>
      </c>
      <c r="V496" s="879" t="str">
        <v/>
      </c>
      <c r="W496" s="879" t="str">
        <v/>
      </c>
      <c r="X496" s="879" t="str">
        <v/>
      </c>
      <c r="Y496" s="879" t="str">
        <v/>
      </c>
      <c r="Z496" s="879" t="str">
        <v/>
      </c>
      <c r="AA496" s="882">
        <f>IF($O497=0,0,        _xll.qDateNext($O496,AA$17,$AH$16,TRUE,Currency1))</f>
        <v>0</v>
      </c>
      <c r="AB496" s="882">
        <f>IF($O497=0,0,        _xll.qDateNext($O496,AB$17,$AH$16,TRUE,Currency1))</f>
        <v>0</v>
      </c>
      <c r="AC496" s="882">
        <f>IF($O497=0,0,        _xll.qDateNext($O496,AC$17,$AH$16,TRUE,Currency1))</f>
        <v>0</v>
      </c>
      <c r="AD496" s="882">
        <f>IF($O497=0,0,        _xll.qDateNext($O496,AD$17,$AH$16,TRUE,Currency1))</f>
        <v>0</v>
      </c>
      <c r="AE496" s="882">
        <f>IF($O497=0,0,        _xll.qDateNext($O496,AE$17,$AH$16,TRUE,Currency1))</f>
        <v>0</v>
      </c>
      <c r="AF496" s="882">
        <f>IF($O497=0,0,        _xll.qDateNext($O496,AF$17,$AH$16,TRUE,Currency1))</f>
        <v>0</v>
      </c>
      <c r="AG496" s="882">
        <f>IF($O497=0,0,        _xll.qDateNext($O496,AG$17,$AH$16,TRUE,Currency1))</f>
        <v>0</v>
      </c>
      <c r="AH496" s="882">
        <f>IF($O497=0,0,        _xll.qDateNext($O496,AH$17,$AH$16,TRUE,Currency1))</f>
        <v>0</v>
      </c>
      <c r="AI496" s="886">
        <f>IF($O497=0,0,           IF(FRM,_xll.qGetFwdRate(AI$14,$O496,AA496,"T",DCC_Leg1_Float),_xll.qGetFwdRate(AI$14,$O496,$O497,"T",DCC_Leg1_Float)))</f>
        <v>0</v>
      </c>
      <c r="AJ496" s="886">
        <f>IF($O497=0,0,           IF(FRM,_xll.qGetFwdRate(AJ$14,$O496,AB496,"T",DCC_Leg1_Float),_xll.qGetFwdRate(AJ$14,$O496,$O497,"T",DCC_Leg1_Float)))</f>
        <v>0</v>
      </c>
      <c r="AK496" s="886">
        <f t="shared" si="228"/>
        <v>0</v>
      </c>
      <c r="AL496" s="886">
        <f>IF($O497=0,0,           IF(FRM,_xll.qGetFwdRate(AL$14,$O496,AD496,"T",DCC_Leg1_Float),_xll.qGetFwdRate(AL$14,$O496,$O497,"T",DCC_Leg1_Float)))</f>
        <v>0</v>
      </c>
      <c r="AM496" s="886">
        <f t="shared" si="241"/>
        <v>0</v>
      </c>
      <c r="AN496" s="886">
        <f t="shared" si="242"/>
        <v>0</v>
      </c>
      <c r="AO496" s="886">
        <f>IF($O497=0,0,           IF(FRM,_xll.qGetFwdRate(AO$14,$O496,AG496,"T",DCC_Leg1_Float),_xll.qGetFwdRate(AO$14,$O496,$O497,"T",DCC_Leg1_Float)))</f>
        <v>0</v>
      </c>
      <c r="AP496" s="886">
        <f>IF($O497=0,0,           IF(FRM,_xll.qGetFwdRate(AP$14,$O496,AH496,"T",DCC_Leg1_Float),_xll.qGetFwdRate(AP$14,$O496,$O497,"T",DCC_Leg1_Float)))</f>
        <v>0</v>
      </c>
      <c r="AQ496" s="648">
        <f t="shared" si="243"/>
        <v>0</v>
      </c>
      <c r="AR496" s="648">
        <f t="shared" si="244"/>
        <v>0</v>
      </c>
      <c r="AS496" s="648">
        <f t="shared" si="245"/>
        <v>0</v>
      </c>
      <c r="AT496" s="648">
        <f t="shared" si="246"/>
        <v>0</v>
      </c>
      <c r="AU496" s="648">
        <f t="shared" si="247"/>
        <v>0</v>
      </c>
      <c r="AV496" s="648">
        <f t="shared" si="248"/>
        <v>0</v>
      </c>
      <c r="AW496" s="648">
        <f t="shared" si="249"/>
        <v>0</v>
      </c>
      <c r="AX496" s="648">
        <f t="shared" si="250"/>
        <v>0</v>
      </c>
      <c r="AY496" s="634">
        <v>0</v>
      </c>
      <c r="AZ496" s="616"/>
      <c r="BA496" s="619">
        <f>IF(O497=0,0,             IF(ISNUMBER(AZ496),AZ496,             IF(ISTEXT(AZ496),INDEX(AQ496:AX496,MATCH(AZ496,$AQ$17:$AX$17,0)),           IF(AY496="INT",_xll.qInterp(O497,AA496:AH496,AQ496:AX496),       INDEX(AQ496:AX496,MATCH(AY496,$AQ$17:$AX$17,0))))))</f>
        <v>0</v>
      </c>
      <c r="BB496" s="674">
        <v>100</v>
      </c>
      <c r="BC496" s="666">
        <f t="shared" si="229"/>
        <v>0</v>
      </c>
      <c r="BD496" s="268">
        <f>IF($O497=0,0,                IF(LEFT(DCC_Leg1_Fixed,2)="1/",uEvaluate(DCC_Leg1_Fixed),        _xll.qDateYears($O496,$O497,DCC_Leg1_Fixed)))</f>
        <v>0</v>
      </c>
      <c r="BE496" s="268">
        <f>IF($O497,_xll.qDateYears($O496,$O497,DCC_Leg1_Float),0)</f>
        <v>0</v>
      </c>
      <c r="BG496" s="332">
        <f t="shared" si="251"/>
        <v>0</v>
      </c>
      <c r="BH496" s="357">
        <f t="shared" si="252"/>
        <v>0</v>
      </c>
      <c r="BI496" s="527"/>
      <c r="BK496" s="324">
        <f t="shared" si="257"/>
        <v>0</v>
      </c>
      <c r="BM496" s="338"/>
      <c r="BN496" s="121">
        <v>0</v>
      </c>
      <c r="BO496" s="755">
        <f t="shared" si="230"/>
        <v>0</v>
      </c>
      <c r="BP496" s="339">
        <v>0</v>
      </c>
      <c r="BQ496" s="890">
        <f>IF(BN497=0,0,         IF(OR(Currency2="AUD",Currency1="NZD",Currency2="GBP"),BN496,   _xll.qDateNext(BN496,"-2b",,,IF(Currency2="EUR","TGT","LON"))))</f>
        <v>0</v>
      </c>
      <c r="BR496" s="879" t="str">
        <v/>
      </c>
      <c r="BS496" s="879" t="str">
        <v/>
      </c>
      <c r="BT496" s="879" t="str">
        <v/>
      </c>
      <c r="BU496" s="879" t="str">
        <v/>
      </c>
      <c r="BV496" s="879" t="str">
        <v/>
      </c>
      <c r="BW496" s="879" t="str">
        <v/>
      </c>
      <c r="BX496" s="879" t="str">
        <v/>
      </c>
      <c r="BY496" s="879" t="str">
        <v/>
      </c>
      <c r="BZ496" s="882">
        <f>IF($BN497=0,0,        _xll.qDateNext($BN496,BZ$17,$CG$16,TRUE,Currency2))</f>
        <v>0</v>
      </c>
      <c r="CA496" s="882">
        <f>IF($BN497=0,0,        _xll.qDateNext($BN496,CA$17,$CG$16,TRUE,Currency2))</f>
        <v>0</v>
      </c>
      <c r="CB496" s="882">
        <f>IF($BN497=0,0,        _xll.qDateNext($BN496,CB$17,$CG$16,TRUE,Currency2))</f>
        <v>0</v>
      </c>
      <c r="CC496" s="882">
        <f>IF($BN497=0,0,        _xll.qDateNext($BN496,CC$17,$CG$16,TRUE,Currency2))</f>
        <v>0</v>
      </c>
      <c r="CD496" s="882">
        <f>IF($BN497=0,0,        _xll.qDateNext($BN496,CD$17,$CG$16,TRUE,Currency2))</f>
        <v>0</v>
      </c>
      <c r="CE496" s="882">
        <f>IF($BN497=0,0,        _xll.qDateNext($BN496,CE$17,$CG$16,TRUE,Currency2))</f>
        <v>0</v>
      </c>
      <c r="CF496" s="882">
        <f>IF($BN497=0,0,        _xll.qDateNext($BN496,CF$17,$CG$16,TRUE,Currency2))</f>
        <v>0</v>
      </c>
      <c r="CG496" s="882">
        <f>IF($BN497=0,0,        _xll.qDateNext($BN496,CG$17,$CG$16,TRUE,Currency2))</f>
        <v>0</v>
      </c>
      <c r="CH496" s="886">
        <v>0</v>
      </c>
      <c r="CI496" s="886">
        <v>0</v>
      </c>
      <c r="CJ496" s="886">
        <v>0</v>
      </c>
      <c r="CK496" s="886">
        <v>0</v>
      </c>
      <c r="CL496" s="886">
        <f t="shared" si="253"/>
        <v>0</v>
      </c>
      <c r="CM496" s="886">
        <f t="shared" si="254"/>
        <v>0</v>
      </c>
      <c r="CN496" s="886">
        <v>0</v>
      </c>
      <c r="CO496" s="886">
        <v>0</v>
      </c>
      <c r="CP496" s="648">
        <f t="shared" si="231"/>
        <v>0</v>
      </c>
      <c r="CQ496" s="648">
        <f t="shared" si="232"/>
        <v>0</v>
      </c>
      <c r="CR496" s="648">
        <f t="shared" si="233"/>
        <v>0</v>
      </c>
      <c r="CS496" s="648">
        <f t="shared" si="234"/>
        <v>0</v>
      </c>
      <c r="CT496" s="648">
        <f t="shared" si="235"/>
        <v>0</v>
      </c>
      <c r="CU496" s="648">
        <f t="shared" si="236"/>
        <v>0</v>
      </c>
      <c r="CV496" s="648">
        <f t="shared" si="237"/>
        <v>0</v>
      </c>
      <c r="CW496" s="648">
        <f t="shared" si="238"/>
        <v>0</v>
      </c>
      <c r="CX496" s="634">
        <v>0</v>
      </c>
      <c r="CY496" s="616"/>
      <c r="CZ496" s="619">
        <f>IF(BN497=0,0,             IF(ISNUMBER(CY496),CY496,             IF(ISTEXT(CY496),INDEX(CP496:CW496,MATCH(CY496,$CP$17:$CW$17,0)),           IF(CX496="INT",_xll.qInterp(BN497,BZ496:CG496,CP496:CW496),       INDEX(CP496:CW496,MATCH(CX496,$CP$17:$CW$17,0))))))</f>
        <v>0</v>
      </c>
      <c r="DA496" s="755">
        <f t="shared" si="239"/>
        <v>0</v>
      </c>
      <c r="DB496" s="387">
        <f t="shared" si="240"/>
        <v>0</v>
      </c>
      <c r="DC496" s="268">
        <f>IF($BN497=0,0,         IF(LEFT(DCC_Leg2_Fixed,2)="1/",uEvaluate(DCC_Leg2_Fixed),         _xll.qDateYears($BN496,$BN497,DCC_Leg2_Fixed)))</f>
        <v>0</v>
      </c>
      <c r="DD496" s="268">
        <f>IF($BN497,_xll.qDateYears($BN496,$BN497,DCC_Leg2_Float),0)</f>
        <v>0</v>
      </c>
      <c r="DF496" s="332">
        <f t="shared" si="255"/>
        <v>0</v>
      </c>
      <c r="DG496" s="357">
        <f t="shared" si="256"/>
        <v>0</v>
      </c>
      <c r="DH496" s="527"/>
      <c r="DJ496" s="324">
        <f t="shared" si="258"/>
        <v>0</v>
      </c>
      <c r="DK496" s="529"/>
      <c r="DL496" s="338"/>
    </row>
    <row r="497" spans="15:116">
      <c r="O497" s="121">
        <v>0</v>
      </c>
      <c r="P497" s="755">
        <f t="shared" si="227"/>
        <v>0</v>
      </c>
      <c r="Q497" s="125">
        <v>0</v>
      </c>
      <c r="R497" s="890">
        <f>IF(O498=0,0,         IF(OR(Currency1="AUD",Currency1="NZD",Currency1="GBP"),O497,   _xll.qDateNext(O497,"-2b",,,IF(Currency1="EUR","TGT","LON"))))</f>
        <v>0</v>
      </c>
      <c r="S497" s="879" t="str">
        <v/>
      </c>
      <c r="T497" s="879" t="str">
        <v/>
      </c>
      <c r="U497" s="879" t="str">
        <v/>
      </c>
      <c r="V497" s="879" t="str">
        <v/>
      </c>
      <c r="W497" s="879" t="str">
        <v/>
      </c>
      <c r="X497" s="879" t="str">
        <v/>
      </c>
      <c r="Y497" s="879" t="str">
        <v/>
      </c>
      <c r="Z497" s="879" t="str">
        <v/>
      </c>
      <c r="AA497" s="882">
        <f>IF($O498=0,0,        _xll.qDateNext($O497,AA$17,$AH$16,TRUE,Currency1))</f>
        <v>0</v>
      </c>
      <c r="AB497" s="882">
        <f>IF($O498=0,0,        _xll.qDateNext($O497,AB$17,$AH$16,TRUE,Currency1))</f>
        <v>0</v>
      </c>
      <c r="AC497" s="882">
        <f>IF($O498=0,0,        _xll.qDateNext($O497,AC$17,$AH$16,TRUE,Currency1))</f>
        <v>0</v>
      </c>
      <c r="AD497" s="882">
        <f>IF($O498=0,0,        _xll.qDateNext($O497,AD$17,$AH$16,TRUE,Currency1))</f>
        <v>0</v>
      </c>
      <c r="AE497" s="882">
        <f>IF($O498=0,0,        _xll.qDateNext($O497,AE$17,$AH$16,TRUE,Currency1))</f>
        <v>0</v>
      </c>
      <c r="AF497" s="882">
        <f>IF($O498=0,0,        _xll.qDateNext($O497,AF$17,$AH$16,TRUE,Currency1))</f>
        <v>0</v>
      </c>
      <c r="AG497" s="882">
        <f>IF($O498=0,0,        _xll.qDateNext($O497,AG$17,$AH$16,TRUE,Currency1))</f>
        <v>0</v>
      </c>
      <c r="AH497" s="882">
        <f>IF($O498=0,0,        _xll.qDateNext($O497,AH$17,$AH$16,TRUE,Currency1))</f>
        <v>0</v>
      </c>
      <c r="AI497" s="886">
        <f>IF($O498=0,0,           IF(FRM,_xll.qGetFwdRate(AI$14,$O497,AA497,"T",DCC_Leg1_Float),_xll.qGetFwdRate(AI$14,$O497,$O498,"T",DCC_Leg1_Float)))</f>
        <v>0</v>
      </c>
      <c r="AJ497" s="886">
        <f>IF($O498=0,0,           IF(FRM,_xll.qGetFwdRate(AJ$14,$O497,AB497,"T",DCC_Leg1_Float),_xll.qGetFwdRate(AJ$14,$O497,$O498,"T",DCC_Leg1_Float)))</f>
        <v>0</v>
      </c>
      <c r="AK497" s="886">
        <f t="shared" si="228"/>
        <v>0</v>
      </c>
      <c r="AL497" s="886">
        <f>IF($O498=0,0,           IF(FRM,_xll.qGetFwdRate(AL$14,$O497,AD497,"T",DCC_Leg1_Float),_xll.qGetFwdRate(AL$14,$O497,$O498,"T",DCC_Leg1_Float)))</f>
        <v>0</v>
      </c>
      <c r="AM497" s="886">
        <f t="shared" si="241"/>
        <v>0</v>
      </c>
      <c r="AN497" s="886">
        <f t="shared" si="242"/>
        <v>0</v>
      </c>
      <c r="AO497" s="886">
        <f>IF($O498=0,0,           IF(FRM,_xll.qGetFwdRate(AO$14,$O497,AG497,"T",DCC_Leg1_Float),_xll.qGetFwdRate(AO$14,$O497,$O498,"T",DCC_Leg1_Float)))</f>
        <v>0</v>
      </c>
      <c r="AP497" s="886">
        <f>IF($O498=0,0,           IF(FRM,_xll.qGetFwdRate(AP$14,$O497,AH497,"T",DCC_Leg1_Float),_xll.qGetFwdRate(AP$14,$O497,$O498,"T",DCC_Leg1_Float)))</f>
        <v>0</v>
      </c>
      <c r="AQ497" s="648">
        <f t="shared" si="243"/>
        <v>0</v>
      </c>
      <c r="AR497" s="648">
        <f t="shared" si="244"/>
        <v>0</v>
      </c>
      <c r="AS497" s="648">
        <f t="shared" si="245"/>
        <v>0</v>
      </c>
      <c r="AT497" s="648">
        <f t="shared" si="246"/>
        <v>0</v>
      </c>
      <c r="AU497" s="648">
        <f t="shared" si="247"/>
        <v>0</v>
      </c>
      <c r="AV497" s="648">
        <f t="shared" si="248"/>
        <v>0</v>
      </c>
      <c r="AW497" s="648">
        <f t="shared" si="249"/>
        <v>0</v>
      </c>
      <c r="AX497" s="648">
        <f t="shared" si="250"/>
        <v>0</v>
      </c>
      <c r="AY497" s="634">
        <v>0</v>
      </c>
      <c r="AZ497" s="616"/>
      <c r="BA497" s="619">
        <f>IF(O498=0,0,             IF(ISNUMBER(AZ497),AZ497,             IF(ISTEXT(AZ497),INDEX(AQ497:AX497,MATCH(AZ497,$AQ$17:$AX$17,0)),           IF(AY497="INT",_xll.qInterp(O498,AA497:AH497,AQ497:AX497),       INDEX(AQ497:AX497,MATCH(AY497,$AQ$17:$AX$17,0))))))</f>
        <v>0</v>
      </c>
      <c r="BB497" s="674">
        <v>100</v>
      </c>
      <c r="BC497" s="666">
        <f t="shared" si="229"/>
        <v>0</v>
      </c>
      <c r="BD497" s="268">
        <f>IF($O498=0,0,                IF(LEFT(DCC_Leg1_Fixed,2)="1/",uEvaluate(DCC_Leg1_Fixed),        _xll.qDateYears($O497,$O498,DCC_Leg1_Fixed)))</f>
        <v>0</v>
      </c>
      <c r="BE497" s="268">
        <f>IF($O498,_xll.qDateYears($O497,$O498,DCC_Leg1_Float),0)</f>
        <v>0</v>
      </c>
      <c r="BG497" s="332">
        <f t="shared" si="251"/>
        <v>0</v>
      </c>
      <c r="BH497" s="357">
        <f t="shared" si="252"/>
        <v>0</v>
      </c>
      <c r="BI497" s="527"/>
      <c r="BK497" s="324">
        <f t="shared" si="257"/>
        <v>0</v>
      </c>
      <c r="BM497" s="338"/>
      <c r="BN497" s="121">
        <v>0</v>
      </c>
      <c r="BO497" s="755">
        <f t="shared" si="230"/>
        <v>0</v>
      </c>
      <c r="BP497" s="339">
        <v>0</v>
      </c>
      <c r="BQ497" s="890">
        <f>IF(BN498=0,0,         IF(OR(Currency2="AUD",Currency1="NZD",Currency2="GBP"),BN497,   _xll.qDateNext(BN497,"-2b",,,IF(Currency2="EUR","TGT","LON"))))</f>
        <v>0</v>
      </c>
      <c r="BR497" s="879" t="str">
        <v/>
      </c>
      <c r="BS497" s="879" t="str">
        <v/>
      </c>
      <c r="BT497" s="879" t="str">
        <v/>
      </c>
      <c r="BU497" s="879" t="str">
        <v/>
      </c>
      <c r="BV497" s="879" t="str">
        <v/>
      </c>
      <c r="BW497" s="879" t="str">
        <v/>
      </c>
      <c r="BX497" s="879" t="str">
        <v/>
      </c>
      <c r="BY497" s="879" t="str">
        <v/>
      </c>
      <c r="BZ497" s="882">
        <f>IF($BN498=0,0,        _xll.qDateNext($BN497,BZ$17,$CG$16,TRUE,Currency2))</f>
        <v>0</v>
      </c>
      <c r="CA497" s="882">
        <f>IF($BN498=0,0,        _xll.qDateNext($BN497,CA$17,$CG$16,TRUE,Currency2))</f>
        <v>0</v>
      </c>
      <c r="CB497" s="882">
        <f>IF($BN498=0,0,        _xll.qDateNext($BN497,CB$17,$CG$16,TRUE,Currency2))</f>
        <v>0</v>
      </c>
      <c r="CC497" s="882">
        <f>IF($BN498=0,0,        _xll.qDateNext($BN497,CC$17,$CG$16,TRUE,Currency2))</f>
        <v>0</v>
      </c>
      <c r="CD497" s="882">
        <f>IF($BN498=0,0,        _xll.qDateNext($BN497,CD$17,$CG$16,TRUE,Currency2))</f>
        <v>0</v>
      </c>
      <c r="CE497" s="882">
        <f>IF($BN498=0,0,        _xll.qDateNext($BN497,CE$17,$CG$16,TRUE,Currency2))</f>
        <v>0</v>
      </c>
      <c r="CF497" s="882">
        <f>IF($BN498=0,0,        _xll.qDateNext($BN497,CF$17,$CG$16,TRUE,Currency2))</f>
        <v>0</v>
      </c>
      <c r="CG497" s="882">
        <f>IF($BN498=0,0,        _xll.qDateNext($BN497,CG$17,$CG$16,TRUE,Currency2))</f>
        <v>0</v>
      </c>
      <c r="CH497" s="886">
        <v>0</v>
      </c>
      <c r="CI497" s="886">
        <v>0</v>
      </c>
      <c r="CJ497" s="886">
        <v>0</v>
      </c>
      <c r="CK497" s="886">
        <v>0</v>
      </c>
      <c r="CL497" s="886">
        <f t="shared" si="253"/>
        <v>0</v>
      </c>
      <c r="CM497" s="886">
        <f t="shared" si="254"/>
        <v>0</v>
      </c>
      <c r="CN497" s="886">
        <v>0</v>
      </c>
      <c r="CO497" s="886">
        <v>0</v>
      </c>
      <c r="CP497" s="648">
        <f t="shared" si="231"/>
        <v>0</v>
      </c>
      <c r="CQ497" s="648">
        <f t="shared" si="232"/>
        <v>0</v>
      </c>
      <c r="CR497" s="648">
        <f t="shared" si="233"/>
        <v>0</v>
      </c>
      <c r="CS497" s="648">
        <f t="shared" si="234"/>
        <v>0</v>
      </c>
      <c r="CT497" s="648">
        <f t="shared" si="235"/>
        <v>0</v>
      </c>
      <c r="CU497" s="648">
        <f t="shared" si="236"/>
        <v>0</v>
      </c>
      <c r="CV497" s="648">
        <f t="shared" si="237"/>
        <v>0</v>
      </c>
      <c r="CW497" s="648">
        <f t="shared" si="238"/>
        <v>0</v>
      </c>
      <c r="CX497" s="634">
        <v>0</v>
      </c>
      <c r="CY497" s="616"/>
      <c r="CZ497" s="619">
        <f>IF(BN498=0,0,             IF(ISNUMBER(CY497),CY497,             IF(ISTEXT(CY497),INDEX(CP497:CW497,MATCH(CY497,$CP$17:$CW$17,0)),           IF(CX497="INT",_xll.qInterp(BN498,BZ497:CG497,CP497:CW497),       INDEX(CP497:CW497,MATCH(CX497,$CP$17:$CW$17,0))))))</f>
        <v>0</v>
      </c>
      <c r="DA497" s="755">
        <f t="shared" si="239"/>
        <v>0</v>
      </c>
      <c r="DB497" s="387">
        <f t="shared" si="240"/>
        <v>0</v>
      </c>
      <c r="DC497" s="268">
        <f>IF($BN498=0,0,         IF(LEFT(DCC_Leg2_Fixed,2)="1/",uEvaluate(DCC_Leg2_Fixed),         _xll.qDateYears($BN497,$BN498,DCC_Leg2_Fixed)))</f>
        <v>0</v>
      </c>
      <c r="DD497" s="268">
        <f>IF($BN498,_xll.qDateYears($BN497,$BN498,DCC_Leg2_Float),0)</f>
        <v>0</v>
      </c>
      <c r="DF497" s="332">
        <f t="shared" si="255"/>
        <v>0</v>
      </c>
      <c r="DG497" s="357">
        <f t="shared" si="256"/>
        <v>0</v>
      </c>
      <c r="DH497" s="527"/>
      <c r="DJ497" s="324">
        <f t="shared" si="258"/>
        <v>0</v>
      </c>
      <c r="DK497" s="529"/>
      <c r="DL497" s="338"/>
    </row>
    <row r="498" spans="15:116">
      <c r="O498" s="121">
        <v>0</v>
      </c>
      <c r="P498" s="755">
        <f t="shared" si="227"/>
        <v>0</v>
      </c>
      <c r="Q498" s="125">
        <v>0</v>
      </c>
      <c r="R498" s="890">
        <f>IF(O499=0,0,         IF(OR(Currency1="AUD",Currency1="NZD",Currency1="GBP"),O498,   _xll.qDateNext(O498,"-2b",,,IF(Currency1="EUR","TGT","LON"))))</f>
        <v>0</v>
      </c>
      <c r="S498" s="879" t="str">
        <v/>
      </c>
      <c r="T498" s="879" t="str">
        <v/>
      </c>
      <c r="U498" s="879" t="str">
        <v/>
      </c>
      <c r="V498" s="879" t="str">
        <v/>
      </c>
      <c r="W498" s="879" t="str">
        <v/>
      </c>
      <c r="X498" s="879" t="str">
        <v/>
      </c>
      <c r="Y498" s="879" t="str">
        <v/>
      </c>
      <c r="Z498" s="879" t="str">
        <v/>
      </c>
      <c r="AA498" s="882">
        <f>IF($O499=0,0,        _xll.qDateNext($O498,AA$17,$AH$16,TRUE,Currency1))</f>
        <v>0</v>
      </c>
      <c r="AB498" s="882">
        <f>IF($O499=0,0,        _xll.qDateNext($O498,AB$17,$AH$16,TRUE,Currency1))</f>
        <v>0</v>
      </c>
      <c r="AC498" s="882">
        <f>IF($O499=0,0,        _xll.qDateNext($O498,AC$17,$AH$16,TRUE,Currency1))</f>
        <v>0</v>
      </c>
      <c r="AD498" s="882">
        <f>IF($O499=0,0,        _xll.qDateNext($O498,AD$17,$AH$16,TRUE,Currency1))</f>
        <v>0</v>
      </c>
      <c r="AE498" s="882">
        <f>IF($O499=0,0,        _xll.qDateNext($O498,AE$17,$AH$16,TRUE,Currency1))</f>
        <v>0</v>
      </c>
      <c r="AF498" s="882">
        <f>IF($O499=0,0,        _xll.qDateNext($O498,AF$17,$AH$16,TRUE,Currency1))</f>
        <v>0</v>
      </c>
      <c r="AG498" s="882">
        <f>IF($O499=0,0,        _xll.qDateNext($O498,AG$17,$AH$16,TRUE,Currency1))</f>
        <v>0</v>
      </c>
      <c r="AH498" s="882">
        <f>IF($O499=0,0,        _xll.qDateNext($O498,AH$17,$AH$16,TRUE,Currency1))</f>
        <v>0</v>
      </c>
      <c r="AI498" s="886">
        <f>IF($O499=0,0,           IF(FRM,_xll.qGetFwdRate(AI$14,$O498,AA498,"T",DCC_Leg1_Float),_xll.qGetFwdRate(AI$14,$O498,$O499,"T",DCC_Leg1_Float)))</f>
        <v>0</v>
      </c>
      <c r="AJ498" s="886">
        <f>IF($O499=0,0,           IF(FRM,_xll.qGetFwdRate(AJ$14,$O498,AB498,"T",DCC_Leg1_Float),_xll.qGetFwdRate(AJ$14,$O498,$O499,"T",DCC_Leg1_Float)))</f>
        <v>0</v>
      </c>
      <c r="AK498" s="886">
        <f t="shared" si="228"/>
        <v>0</v>
      </c>
      <c r="AL498" s="886">
        <f>IF($O499=0,0,           IF(FRM,_xll.qGetFwdRate(AL$14,$O498,AD498,"T",DCC_Leg1_Float),_xll.qGetFwdRate(AL$14,$O498,$O499,"T",DCC_Leg1_Float)))</f>
        <v>0</v>
      </c>
      <c r="AM498" s="886">
        <f t="shared" si="241"/>
        <v>0</v>
      </c>
      <c r="AN498" s="886">
        <f t="shared" si="242"/>
        <v>0</v>
      </c>
      <c r="AO498" s="886">
        <f>IF($O499=0,0,           IF(FRM,_xll.qGetFwdRate(AO$14,$O498,AG498,"T",DCC_Leg1_Float),_xll.qGetFwdRate(AO$14,$O498,$O499,"T",DCC_Leg1_Float)))</f>
        <v>0</v>
      </c>
      <c r="AP498" s="886">
        <f>IF($O499=0,0,           IF(FRM,_xll.qGetFwdRate(AP$14,$O498,AH498,"T",DCC_Leg1_Float),_xll.qGetFwdRate(AP$14,$O498,$O499,"T",DCC_Leg1_Float)))</f>
        <v>0</v>
      </c>
      <c r="AQ498" s="648">
        <f t="shared" si="243"/>
        <v>0</v>
      </c>
      <c r="AR498" s="648">
        <f t="shared" si="244"/>
        <v>0</v>
      </c>
      <c r="AS498" s="648">
        <f t="shared" si="245"/>
        <v>0</v>
      </c>
      <c r="AT498" s="648">
        <f t="shared" si="246"/>
        <v>0</v>
      </c>
      <c r="AU498" s="648">
        <f t="shared" si="247"/>
        <v>0</v>
      </c>
      <c r="AV498" s="648">
        <f t="shared" si="248"/>
        <v>0</v>
      </c>
      <c r="AW498" s="648">
        <f t="shared" si="249"/>
        <v>0</v>
      </c>
      <c r="AX498" s="648">
        <f t="shared" si="250"/>
        <v>0</v>
      </c>
      <c r="AY498" s="634">
        <v>0</v>
      </c>
      <c r="AZ498" s="616"/>
      <c r="BA498" s="619">
        <f>IF(O499=0,0,             IF(ISNUMBER(AZ498),AZ498,             IF(ISTEXT(AZ498),INDEX(AQ498:AX498,MATCH(AZ498,$AQ$17:$AX$17,0)),           IF(AY498="INT",_xll.qInterp(O499,AA498:AH498,AQ498:AX498),       INDEX(AQ498:AX498,MATCH(AY498,$AQ$17:$AX$17,0))))))</f>
        <v>0</v>
      </c>
      <c r="BB498" s="674">
        <v>100</v>
      </c>
      <c r="BC498" s="666">
        <f t="shared" si="229"/>
        <v>0</v>
      </c>
      <c r="BD498" s="268">
        <f>IF($O499=0,0,                IF(LEFT(DCC_Leg1_Fixed,2)="1/",uEvaluate(DCC_Leg1_Fixed),        _xll.qDateYears($O498,$O499,DCC_Leg1_Fixed)))</f>
        <v>0</v>
      </c>
      <c r="BE498" s="268">
        <f>IF($O499,_xll.qDateYears($O498,$O499,DCC_Leg1_Float),0)</f>
        <v>0</v>
      </c>
      <c r="BG498" s="332">
        <f t="shared" si="251"/>
        <v>0</v>
      </c>
      <c r="BH498" s="357">
        <f t="shared" si="252"/>
        <v>0</v>
      </c>
      <c r="BI498" s="527"/>
      <c r="BK498" s="324">
        <f t="shared" si="257"/>
        <v>0</v>
      </c>
      <c r="BM498" s="338"/>
      <c r="BN498" s="121">
        <v>0</v>
      </c>
      <c r="BO498" s="755">
        <f t="shared" si="230"/>
        <v>0</v>
      </c>
      <c r="BP498" s="339">
        <v>0</v>
      </c>
      <c r="BQ498" s="890">
        <f>IF(BN499=0,0,         IF(OR(Currency2="AUD",Currency1="NZD",Currency2="GBP"),BN498,   _xll.qDateNext(BN498,"-2b",,,IF(Currency2="EUR","TGT","LON"))))</f>
        <v>0</v>
      </c>
      <c r="BR498" s="879" t="str">
        <v/>
      </c>
      <c r="BS498" s="879" t="str">
        <v/>
      </c>
      <c r="BT498" s="879" t="str">
        <v/>
      </c>
      <c r="BU498" s="879" t="str">
        <v/>
      </c>
      <c r="BV498" s="879" t="str">
        <v/>
      </c>
      <c r="BW498" s="879" t="str">
        <v/>
      </c>
      <c r="BX498" s="879" t="str">
        <v/>
      </c>
      <c r="BY498" s="879" t="str">
        <v/>
      </c>
      <c r="BZ498" s="882">
        <f>IF($BN499=0,0,        _xll.qDateNext($BN498,BZ$17,$CG$16,TRUE,Currency2))</f>
        <v>0</v>
      </c>
      <c r="CA498" s="882">
        <f>IF($BN499=0,0,        _xll.qDateNext($BN498,CA$17,$CG$16,TRUE,Currency2))</f>
        <v>0</v>
      </c>
      <c r="CB498" s="882">
        <f>IF($BN499=0,0,        _xll.qDateNext($BN498,CB$17,$CG$16,TRUE,Currency2))</f>
        <v>0</v>
      </c>
      <c r="CC498" s="882">
        <f>IF($BN499=0,0,        _xll.qDateNext($BN498,CC$17,$CG$16,TRUE,Currency2))</f>
        <v>0</v>
      </c>
      <c r="CD498" s="882">
        <f>IF($BN499=0,0,        _xll.qDateNext($BN498,CD$17,$CG$16,TRUE,Currency2))</f>
        <v>0</v>
      </c>
      <c r="CE498" s="882">
        <f>IF($BN499=0,0,        _xll.qDateNext($BN498,CE$17,$CG$16,TRUE,Currency2))</f>
        <v>0</v>
      </c>
      <c r="CF498" s="882">
        <f>IF($BN499=0,0,        _xll.qDateNext($BN498,CF$17,$CG$16,TRUE,Currency2))</f>
        <v>0</v>
      </c>
      <c r="CG498" s="882">
        <f>IF($BN499=0,0,        _xll.qDateNext($BN498,CG$17,$CG$16,TRUE,Currency2))</f>
        <v>0</v>
      </c>
      <c r="CH498" s="886">
        <v>0</v>
      </c>
      <c r="CI498" s="886">
        <v>0</v>
      </c>
      <c r="CJ498" s="886">
        <v>0</v>
      </c>
      <c r="CK498" s="886">
        <v>0</v>
      </c>
      <c r="CL498" s="886">
        <f t="shared" si="253"/>
        <v>0</v>
      </c>
      <c r="CM498" s="886">
        <f t="shared" si="254"/>
        <v>0</v>
      </c>
      <c r="CN498" s="886">
        <v>0</v>
      </c>
      <c r="CO498" s="886">
        <v>0</v>
      </c>
      <c r="CP498" s="648">
        <f t="shared" si="231"/>
        <v>0</v>
      </c>
      <c r="CQ498" s="648">
        <f t="shared" si="232"/>
        <v>0</v>
      </c>
      <c r="CR498" s="648">
        <f t="shared" si="233"/>
        <v>0</v>
      </c>
      <c r="CS498" s="648">
        <f t="shared" si="234"/>
        <v>0</v>
      </c>
      <c r="CT498" s="648">
        <f t="shared" si="235"/>
        <v>0</v>
      </c>
      <c r="CU498" s="648">
        <f t="shared" si="236"/>
        <v>0</v>
      </c>
      <c r="CV498" s="648">
        <f t="shared" si="237"/>
        <v>0</v>
      </c>
      <c r="CW498" s="648">
        <f t="shared" si="238"/>
        <v>0</v>
      </c>
      <c r="CX498" s="634">
        <v>0</v>
      </c>
      <c r="CY498" s="616"/>
      <c r="CZ498" s="619">
        <f>IF(BN499=0,0,             IF(ISNUMBER(CY498),CY498,             IF(ISTEXT(CY498),INDEX(CP498:CW498,MATCH(CY498,$CP$17:$CW$17,0)),           IF(CX498="INT",_xll.qInterp(BN499,BZ498:CG498,CP498:CW498),       INDEX(CP498:CW498,MATCH(CX498,$CP$17:$CW$17,0))))))</f>
        <v>0</v>
      </c>
      <c r="DA498" s="755">
        <f t="shared" si="239"/>
        <v>0</v>
      </c>
      <c r="DB498" s="387">
        <f t="shared" si="240"/>
        <v>0</v>
      </c>
      <c r="DC498" s="268">
        <f>IF($BN499=0,0,         IF(LEFT(DCC_Leg2_Fixed,2)="1/",uEvaluate(DCC_Leg2_Fixed),         _xll.qDateYears($BN498,$BN499,DCC_Leg2_Fixed)))</f>
        <v>0</v>
      </c>
      <c r="DD498" s="268">
        <f>IF($BN499,_xll.qDateYears($BN498,$BN499,DCC_Leg2_Float),0)</f>
        <v>0</v>
      </c>
      <c r="DF498" s="332">
        <f t="shared" si="255"/>
        <v>0</v>
      </c>
      <c r="DG498" s="357">
        <f t="shared" si="256"/>
        <v>0</v>
      </c>
      <c r="DH498" s="527"/>
      <c r="DJ498" s="324">
        <f t="shared" si="258"/>
        <v>0</v>
      </c>
      <c r="DK498" s="529"/>
      <c r="DL498" s="338"/>
    </row>
    <row r="499" spans="15:116">
      <c r="O499" s="121">
        <v>0</v>
      </c>
      <c r="P499" s="755">
        <f t="shared" si="227"/>
        <v>0</v>
      </c>
      <c r="Q499" s="125">
        <v>0</v>
      </c>
      <c r="R499" s="890">
        <f>IF(O500=0,0,         IF(OR(Currency1="AUD",Currency1="NZD",Currency1="GBP"),O499,   _xll.qDateNext(O499,"-2b",,,IF(Currency1="EUR","TGT","LON"))))</f>
        <v>0</v>
      </c>
      <c r="S499" s="879" t="str">
        <v/>
      </c>
      <c r="T499" s="879" t="str">
        <v/>
      </c>
      <c r="U499" s="879" t="str">
        <v/>
      </c>
      <c r="V499" s="879" t="str">
        <v/>
      </c>
      <c r="W499" s="879" t="str">
        <v/>
      </c>
      <c r="X499" s="879" t="str">
        <v/>
      </c>
      <c r="Y499" s="879" t="str">
        <v/>
      </c>
      <c r="Z499" s="879" t="str">
        <v/>
      </c>
      <c r="AA499" s="882">
        <f>IF($O500=0,0,        _xll.qDateNext($O499,AA$17,$AH$16,TRUE,Currency1))</f>
        <v>0</v>
      </c>
      <c r="AB499" s="882">
        <f>IF($O500=0,0,        _xll.qDateNext($O499,AB$17,$AH$16,TRUE,Currency1))</f>
        <v>0</v>
      </c>
      <c r="AC499" s="882">
        <f>IF($O500=0,0,        _xll.qDateNext($O499,AC$17,$AH$16,TRUE,Currency1))</f>
        <v>0</v>
      </c>
      <c r="AD499" s="882">
        <f>IF($O500=0,0,        _xll.qDateNext($O499,AD$17,$AH$16,TRUE,Currency1))</f>
        <v>0</v>
      </c>
      <c r="AE499" s="882">
        <f>IF($O500=0,0,        _xll.qDateNext($O499,AE$17,$AH$16,TRUE,Currency1))</f>
        <v>0</v>
      </c>
      <c r="AF499" s="882">
        <f>IF($O500=0,0,        _xll.qDateNext($O499,AF$17,$AH$16,TRUE,Currency1))</f>
        <v>0</v>
      </c>
      <c r="AG499" s="882">
        <f>IF($O500=0,0,        _xll.qDateNext($O499,AG$17,$AH$16,TRUE,Currency1))</f>
        <v>0</v>
      </c>
      <c r="AH499" s="882">
        <f>IF($O500=0,0,        _xll.qDateNext($O499,AH$17,$AH$16,TRUE,Currency1))</f>
        <v>0</v>
      </c>
      <c r="AI499" s="886">
        <f>IF($O500=0,0,           IF(FRM,_xll.qGetFwdRate(AI$14,$O499,AA499,"T",DCC_Leg1_Float),_xll.qGetFwdRate(AI$14,$O499,$O500,"T",DCC_Leg1_Float)))</f>
        <v>0</v>
      </c>
      <c r="AJ499" s="886">
        <f>IF($O500=0,0,           IF(FRM,_xll.qGetFwdRate(AJ$14,$O499,AB499,"T",DCC_Leg1_Float),_xll.qGetFwdRate(AJ$14,$O499,$O500,"T",DCC_Leg1_Float)))</f>
        <v>0</v>
      </c>
      <c r="AK499" s="886">
        <f t="shared" si="228"/>
        <v>0</v>
      </c>
      <c r="AL499" s="886">
        <f>IF($O500=0,0,           IF(FRM,_xll.qGetFwdRate(AL$14,$O499,AD499,"T",DCC_Leg1_Float),_xll.qGetFwdRate(AL$14,$O499,$O500,"T",DCC_Leg1_Float)))</f>
        <v>0</v>
      </c>
      <c r="AM499" s="886">
        <f t="shared" si="241"/>
        <v>0</v>
      </c>
      <c r="AN499" s="886">
        <f t="shared" si="242"/>
        <v>0</v>
      </c>
      <c r="AO499" s="886">
        <f>IF($O500=0,0,           IF(FRM,_xll.qGetFwdRate(AO$14,$O499,AG499,"T",DCC_Leg1_Float),_xll.qGetFwdRate(AO$14,$O499,$O500,"T",DCC_Leg1_Float)))</f>
        <v>0</v>
      </c>
      <c r="AP499" s="886">
        <f>IF($O500=0,0,           IF(FRM,_xll.qGetFwdRate(AP$14,$O499,AH499,"T",DCC_Leg1_Float),_xll.qGetFwdRate(AP$14,$O499,$O500,"T",DCC_Leg1_Float)))</f>
        <v>0</v>
      </c>
      <c r="AQ499" s="648">
        <f t="shared" si="243"/>
        <v>0</v>
      </c>
      <c r="AR499" s="648">
        <f t="shared" si="244"/>
        <v>0</v>
      </c>
      <c r="AS499" s="648">
        <f t="shared" si="245"/>
        <v>0</v>
      </c>
      <c r="AT499" s="648">
        <f t="shared" si="246"/>
        <v>0</v>
      </c>
      <c r="AU499" s="648">
        <f t="shared" si="247"/>
        <v>0</v>
      </c>
      <c r="AV499" s="648">
        <f t="shared" si="248"/>
        <v>0</v>
      </c>
      <c r="AW499" s="648">
        <f t="shared" si="249"/>
        <v>0</v>
      </c>
      <c r="AX499" s="648">
        <f t="shared" si="250"/>
        <v>0</v>
      </c>
      <c r="AY499" s="634">
        <v>0</v>
      </c>
      <c r="AZ499" s="616"/>
      <c r="BA499" s="619">
        <f>IF(O500=0,0,             IF(ISNUMBER(AZ499),AZ499,             IF(ISTEXT(AZ499),INDEX(AQ499:AX499,MATCH(AZ499,$AQ$17:$AX$17,0)),           IF(AY499="INT",_xll.qInterp(O500,AA499:AH499,AQ499:AX499),       INDEX(AQ499:AX499,MATCH(AY499,$AQ$17:$AX$17,0))))))</f>
        <v>0</v>
      </c>
      <c r="BB499" s="674">
        <v>100</v>
      </c>
      <c r="BC499" s="666">
        <f t="shared" si="229"/>
        <v>0</v>
      </c>
      <c r="BD499" s="268">
        <f>IF($O500=0,0,                IF(LEFT(DCC_Leg1_Fixed,2)="1/",uEvaluate(DCC_Leg1_Fixed),        _xll.qDateYears($O499,$O500,DCC_Leg1_Fixed)))</f>
        <v>0</v>
      </c>
      <c r="BE499" s="268">
        <f>IF($O500,_xll.qDateYears($O499,$O500,DCC_Leg1_Float),0)</f>
        <v>0</v>
      </c>
      <c r="BG499" s="332">
        <f t="shared" si="251"/>
        <v>0</v>
      </c>
      <c r="BH499" s="357">
        <f t="shared" si="252"/>
        <v>0</v>
      </c>
      <c r="BI499" s="527"/>
      <c r="BK499" s="324">
        <f t="shared" si="257"/>
        <v>0</v>
      </c>
      <c r="BM499" s="338"/>
      <c r="BN499" s="121">
        <v>0</v>
      </c>
      <c r="BO499" s="755">
        <f t="shared" si="230"/>
        <v>0</v>
      </c>
      <c r="BP499" s="339">
        <v>0</v>
      </c>
      <c r="BQ499" s="890">
        <f>IF(BN500=0,0,         IF(OR(Currency2="AUD",Currency1="NZD",Currency2="GBP"),BN499,   _xll.qDateNext(BN499,"-2b",,,IF(Currency2="EUR","TGT","LON"))))</f>
        <v>0</v>
      </c>
      <c r="BR499" s="879" t="str">
        <v/>
      </c>
      <c r="BS499" s="879" t="str">
        <v/>
      </c>
      <c r="BT499" s="879" t="str">
        <v/>
      </c>
      <c r="BU499" s="879" t="str">
        <v/>
      </c>
      <c r="BV499" s="879" t="str">
        <v/>
      </c>
      <c r="BW499" s="879" t="str">
        <v/>
      </c>
      <c r="BX499" s="879" t="str">
        <v/>
      </c>
      <c r="BY499" s="879" t="str">
        <v/>
      </c>
      <c r="BZ499" s="882">
        <f>IF($BN500=0,0,        _xll.qDateNext($BN499,BZ$17,$CG$16,TRUE,Currency2))</f>
        <v>0</v>
      </c>
      <c r="CA499" s="882">
        <f>IF($BN500=0,0,        _xll.qDateNext($BN499,CA$17,$CG$16,TRUE,Currency2))</f>
        <v>0</v>
      </c>
      <c r="CB499" s="882">
        <f>IF($BN500=0,0,        _xll.qDateNext($BN499,CB$17,$CG$16,TRUE,Currency2))</f>
        <v>0</v>
      </c>
      <c r="CC499" s="882">
        <f>IF($BN500=0,0,        _xll.qDateNext($BN499,CC$17,$CG$16,TRUE,Currency2))</f>
        <v>0</v>
      </c>
      <c r="CD499" s="882">
        <f>IF($BN500=0,0,        _xll.qDateNext($BN499,CD$17,$CG$16,TRUE,Currency2))</f>
        <v>0</v>
      </c>
      <c r="CE499" s="882">
        <f>IF($BN500=0,0,        _xll.qDateNext($BN499,CE$17,$CG$16,TRUE,Currency2))</f>
        <v>0</v>
      </c>
      <c r="CF499" s="882">
        <f>IF($BN500=0,0,        _xll.qDateNext($BN499,CF$17,$CG$16,TRUE,Currency2))</f>
        <v>0</v>
      </c>
      <c r="CG499" s="882">
        <f>IF($BN500=0,0,        _xll.qDateNext($BN499,CG$17,$CG$16,TRUE,Currency2))</f>
        <v>0</v>
      </c>
      <c r="CH499" s="886">
        <v>0</v>
      </c>
      <c r="CI499" s="886">
        <v>0</v>
      </c>
      <c r="CJ499" s="886">
        <v>0</v>
      </c>
      <c r="CK499" s="886">
        <v>0</v>
      </c>
      <c r="CL499" s="886">
        <f t="shared" si="253"/>
        <v>0</v>
      </c>
      <c r="CM499" s="886">
        <f t="shared" si="254"/>
        <v>0</v>
      </c>
      <c r="CN499" s="886">
        <v>0</v>
      </c>
      <c r="CO499" s="886">
        <v>0</v>
      </c>
      <c r="CP499" s="648">
        <f t="shared" si="231"/>
        <v>0</v>
      </c>
      <c r="CQ499" s="648">
        <f t="shared" si="232"/>
        <v>0</v>
      </c>
      <c r="CR499" s="648">
        <f t="shared" si="233"/>
        <v>0</v>
      </c>
      <c r="CS499" s="648">
        <f t="shared" si="234"/>
        <v>0</v>
      </c>
      <c r="CT499" s="648">
        <f t="shared" si="235"/>
        <v>0</v>
      </c>
      <c r="CU499" s="648">
        <f t="shared" si="236"/>
        <v>0</v>
      </c>
      <c r="CV499" s="648">
        <f t="shared" si="237"/>
        <v>0</v>
      </c>
      <c r="CW499" s="648">
        <f t="shared" si="238"/>
        <v>0</v>
      </c>
      <c r="CX499" s="634">
        <v>0</v>
      </c>
      <c r="CY499" s="616"/>
      <c r="CZ499" s="619">
        <f>IF(BN500=0,0,             IF(ISNUMBER(CY499),CY499,             IF(ISTEXT(CY499),INDEX(CP499:CW499,MATCH(CY499,$CP$17:$CW$17,0)),           IF(CX499="INT",_xll.qInterp(BN500,BZ499:CG499,CP499:CW499),       INDEX(CP499:CW499,MATCH(CX499,$CP$17:$CW$17,0))))))</f>
        <v>0</v>
      </c>
      <c r="DA499" s="755">
        <f t="shared" si="239"/>
        <v>0</v>
      </c>
      <c r="DB499" s="387">
        <f t="shared" si="240"/>
        <v>0</v>
      </c>
      <c r="DC499" s="268">
        <f>IF($BN500=0,0,         IF(LEFT(DCC_Leg2_Fixed,2)="1/",uEvaluate(DCC_Leg2_Fixed),         _xll.qDateYears($BN499,$BN500,DCC_Leg2_Fixed)))</f>
        <v>0</v>
      </c>
      <c r="DD499" s="268">
        <f>IF($BN500,_xll.qDateYears($BN499,$BN500,DCC_Leg2_Float),0)</f>
        <v>0</v>
      </c>
      <c r="DF499" s="332">
        <f t="shared" si="255"/>
        <v>0</v>
      </c>
      <c r="DG499" s="357">
        <f t="shared" si="256"/>
        <v>0</v>
      </c>
      <c r="DH499" s="527"/>
      <c r="DJ499" s="324">
        <f t="shared" si="258"/>
        <v>0</v>
      </c>
      <c r="DK499" s="529"/>
      <c r="DL499" s="338"/>
    </row>
    <row r="500" spans="15:116">
      <c r="O500" s="121">
        <v>0</v>
      </c>
      <c r="P500" s="755">
        <f t="shared" si="227"/>
        <v>0</v>
      </c>
      <c r="Q500" s="125">
        <v>0</v>
      </c>
      <c r="R500" s="890">
        <f>IF(O501=0,0,         IF(OR(Currency1="AUD",Currency1="NZD",Currency1="GBP"),O500,   _xll.qDateNext(O500,"-2b",,,IF(Currency1="EUR","TGT","LON"))))</f>
        <v>0</v>
      </c>
      <c r="S500" s="879" t="str">
        <v/>
      </c>
      <c r="T500" s="879" t="str">
        <v/>
      </c>
      <c r="U500" s="879" t="str">
        <v/>
      </c>
      <c r="V500" s="879" t="str">
        <v/>
      </c>
      <c r="W500" s="879" t="str">
        <v/>
      </c>
      <c r="X500" s="879" t="str">
        <v/>
      </c>
      <c r="Y500" s="879" t="str">
        <v/>
      </c>
      <c r="Z500" s="879" t="str">
        <v/>
      </c>
      <c r="AA500" s="882">
        <f>IF($O501=0,0,        _xll.qDateNext($O500,AA$17,$AH$16,TRUE,Currency1))</f>
        <v>0</v>
      </c>
      <c r="AB500" s="882">
        <f>IF($O501=0,0,        _xll.qDateNext($O500,AB$17,$AH$16,TRUE,Currency1))</f>
        <v>0</v>
      </c>
      <c r="AC500" s="882">
        <f>IF($O501=0,0,        _xll.qDateNext($O500,AC$17,$AH$16,TRUE,Currency1))</f>
        <v>0</v>
      </c>
      <c r="AD500" s="882">
        <f>IF($O501=0,0,        _xll.qDateNext($O500,AD$17,$AH$16,TRUE,Currency1))</f>
        <v>0</v>
      </c>
      <c r="AE500" s="882">
        <f>IF($O501=0,0,        _xll.qDateNext($O500,AE$17,$AH$16,TRUE,Currency1))</f>
        <v>0</v>
      </c>
      <c r="AF500" s="882">
        <f>IF($O501=0,0,        _xll.qDateNext($O500,AF$17,$AH$16,TRUE,Currency1))</f>
        <v>0</v>
      </c>
      <c r="AG500" s="882">
        <f>IF($O501=0,0,        _xll.qDateNext($O500,AG$17,$AH$16,TRUE,Currency1))</f>
        <v>0</v>
      </c>
      <c r="AH500" s="882">
        <f>IF($O501=0,0,        _xll.qDateNext($O500,AH$17,$AH$16,TRUE,Currency1))</f>
        <v>0</v>
      </c>
      <c r="AI500" s="886">
        <f>IF($O501=0,0,           IF(FRM,_xll.qGetFwdRate(AI$14,$O500,AA500,"T",DCC_Leg1_Float),_xll.qGetFwdRate(AI$14,$O500,$O501,"T",DCC_Leg1_Float)))</f>
        <v>0</v>
      </c>
      <c r="AJ500" s="886">
        <f>IF($O501=0,0,           IF(FRM,_xll.qGetFwdRate(AJ$14,$O500,AB500,"T",DCC_Leg1_Float),_xll.qGetFwdRate(AJ$14,$O500,$O501,"T",DCC_Leg1_Float)))</f>
        <v>0</v>
      </c>
      <c r="AK500" s="886">
        <f t="shared" si="228"/>
        <v>0</v>
      </c>
      <c r="AL500" s="886">
        <f>IF($O501=0,0,           IF(FRM,_xll.qGetFwdRate(AL$14,$O500,AD500,"T",DCC_Leg1_Float),_xll.qGetFwdRate(AL$14,$O500,$O501,"T",DCC_Leg1_Float)))</f>
        <v>0</v>
      </c>
      <c r="AM500" s="886">
        <f t="shared" si="241"/>
        <v>0</v>
      </c>
      <c r="AN500" s="886">
        <f t="shared" si="242"/>
        <v>0</v>
      </c>
      <c r="AO500" s="886">
        <f>IF($O501=0,0,           IF(FRM,_xll.qGetFwdRate(AO$14,$O500,AG500,"T",DCC_Leg1_Float),_xll.qGetFwdRate(AO$14,$O500,$O501,"T",DCC_Leg1_Float)))</f>
        <v>0</v>
      </c>
      <c r="AP500" s="886">
        <f>IF($O501=0,0,           IF(FRM,_xll.qGetFwdRate(AP$14,$O500,AH500,"T",DCC_Leg1_Float),_xll.qGetFwdRate(AP$14,$O500,$O501,"T",DCC_Leg1_Float)))</f>
        <v>0</v>
      </c>
      <c r="AQ500" s="648">
        <f t="shared" si="243"/>
        <v>0</v>
      </c>
      <c r="AR500" s="648">
        <f t="shared" si="244"/>
        <v>0</v>
      </c>
      <c r="AS500" s="648">
        <f t="shared" si="245"/>
        <v>0</v>
      </c>
      <c r="AT500" s="648">
        <f t="shared" si="246"/>
        <v>0</v>
      </c>
      <c r="AU500" s="648">
        <f t="shared" si="247"/>
        <v>0</v>
      </c>
      <c r="AV500" s="648">
        <f t="shared" si="248"/>
        <v>0</v>
      </c>
      <c r="AW500" s="648">
        <f t="shared" si="249"/>
        <v>0</v>
      </c>
      <c r="AX500" s="648">
        <f t="shared" si="250"/>
        <v>0</v>
      </c>
      <c r="AY500" s="634">
        <v>0</v>
      </c>
      <c r="AZ500" s="616"/>
      <c r="BA500" s="619">
        <f>IF(O501=0,0,             IF(ISNUMBER(AZ500),AZ500,             IF(ISTEXT(AZ500),INDEX(AQ500:AX500,MATCH(AZ500,$AQ$17:$AX$17,0)),           IF(AY500="INT",_xll.qInterp(O501,AA500:AH500,AQ500:AX500),       INDEX(AQ500:AX500,MATCH(AY500,$AQ$17:$AX$17,0))))))</f>
        <v>0</v>
      </c>
      <c r="BB500" s="674">
        <v>100</v>
      </c>
      <c r="BC500" s="666">
        <f t="shared" si="229"/>
        <v>0</v>
      </c>
      <c r="BD500" s="268">
        <f>IF($O501=0,0,                IF(LEFT(DCC_Leg1_Fixed,2)="1/",uEvaluate(DCC_Leg1_Fixed),        _xll.qDateYears($O500,$O501,DCC_Leg1_Fixed)))</f>
        <v>0</v>
      </c>
      <c r="BE500" s="268">
        <f>IF($O501,_xll.qDateYears($O500,$O501,DCC_Leg1_Float),0)</f>
        <v>0</v>
      </c>
      <c r="BG500" s="332">
        <f t="shared" si="251"/>
        <v>0</v>
      </c>
      <c r="BH500" s="357">
        <f t="shared" si="252"/>
        <v>0</v>
      </c>
      <c r="BI500" s="527"/>
      <c r="BK500" s="324">
        <f t="shared" si="257"/>
        <v>0</v>
      </c>
      <c r="BM500" s="338"/>
      <c r="BN500" s="121">
        <v>0</v>
      </c>
      <c r="BO500" s="755">
        <f t="shared" si="230"/>
        <v>0</v>
      </c>
      <c r="BP500" s="339">
        <v>0</v>
      </c>
      <c r="BQ500" s="890">
        <f>IF(BN501=0,0,         IF(OR(Currency2="AUD",Currency1="NZD",Currency2="GBP"),BN500,   _xll.qDateNext(BN500,"-2b",,,IF(Currency2="EUR","TGT","LON"))))</f>
        <v>0</v>
      </c>
      <c r="BR500" s="879" t="str">
        <v/>
      </c>
      <c r="BS500" s="879" t="str">
        <v/>
      </c>
      <c r="BT500" s="879" t="str">
        <v/>
      </c>
      <c r="BU500" s="879" t="str">
        <v/>
      </c>
      <c r="BV500" s="879" t="str">
        <v/>
      </c>
      <c r="BW500" s="879" t="str">
        <v/>
      </c>
      <c r="BX500" s="879" t="str">
        <v/>
      </c>
      <c r="BY500" s="879" t="str">
        <v/>
      </c>
      <c r="BZ500" s="882">
        <f>IF($BN501=0,0,        _xll.qDateNext($BN500,BZ$17,$CG$16,TRUE,Currency2))</f>
        <v>0</v>
      </c>
      <c r="CA500" s="882">
        <f>IF($BN501=0,0,        _xll.qDateNext($BN500,CA$17,$CG$16,TRUE,Currency2))</f>
        <v>0</v>
      </c>
      <c r="CB500" s="882">
        <f>IF($BN501=0,0,        _xll.qDateNext($BN500,CB$17,$CG$16,TRUE,Currency2))</f>
        <v>0</v>
      </c>
      <c r="CC500" s="882">
        <f>IF($BN501=0,0,        _xll.qDateNext($BN500,CC$17,$CG$16,TRUE,Currency2))</f>
        <v>0</v>
      </c>
      <c r="CD500" s="882">
        <f>IF($BN501=0,0,        _xll.qDateNext($BN500,CD$17,$CG$16,TRUE,Currency2))</f>
        <v>0</v>
      </c>
      <c r="CE500" s="882">
        <f>IF($BN501=0,0,        _xll.qDateNext($BN500,CE$17,$CG$16,TRUE,Currency2))</f>
        <v>0</v>
      </c>
      <c r="CF500" s="882">
        <f>IF($BN501=0,0,        _xll.qDateNext($BN500,CF$17,$CG$16,TRUE,Currency2))</f>
        <v>0</v>
      </c>
      <c r="CG500" s="882">
        <f>IF($BN501=0,0,        _xll.qDateNext($BN500,CG$17,$CG$16,TRUE,Currency2))</f>
        <v>0</v>
      </c>
      <c r="CH500" s="886">
        <v>0</v>
      </c>
      <c r="CI500" s="886">
        <v>0</v>
      </c>
      <c r="CJ500" s="886">
        <v>0</v>
      </c>
      <c r="CK500" s="886">
        <v>0</v>
      </c>
      <c r="CL500" s="886">
        <f t="shared" si="253"/>
        <v>0</v>
      </c>
      <c r="CM500" s="886">
        <f t="shared" si="254"/>
        <v>0</v>
      </c>
      <c r="CN500" s="886">
        <v>0</v>
      </c>
      <c r="CO500" s="886">
        <v>0</v>
      </c>
      <c r="CP500" s="648">
        <f t="shared" si="231"/>
        <v>0</v>
      </c>
      <c r="CQ500" s="648">
        <f t="shared" si="232"/>
        <v>0</v>
      </c>
      <c r="CR500" s="648">
        <f t="shared" si="233"/>
        <v>0</v>
      </c>
      <c r="CS500" s="648">
        <f t="shared" si="234"/>
        <v>0</v>
      </c>
      <c r="CT500" s="648">
        <f t="shared" si="235"/>
        <v>0</v>
      </c>
      <c r="CU500" s="648">
        <f t="shared" si="236"/>
        <v>0</v>
      </c>
      <c r="CV500" s="648">
        <f t="shared" si="237"/>
        <v>0</v>
      </c>
      <c r="CW500" s="648">
        <f t="shared" si="238"/>
        <v>0</v>
      </c>
      <c r="CX500" s="634">
        <v>0</v>
      </c>
      <c r="CY500" s="616"/>
      <c r="CZ500" s="619">
        <f>IF(BN501=0,0,             IF(ISNUMBER(CY500),CY500,             IF(ISTEXT(CY500),INDEX(CP500:CW500,MATCH(CY500,$CP$17:$CW$17,0)),           IF(CX500="INT",_xll.qInterp(BN501,BZ500:CG500,CP500:CW500),       INDEX(CP500:CW500,MATCH(CX500,$CP$17:$CW$17,0))))))</f>
        <v>0</v>
      </c>
      <c r="DA500" s="755">
        <f t="shared" si="239"/>
        <v>0</v>
      </c>
      <c r="DB500" s="387">
        <f t="shared" si="240"/>
        <v>0</v>
      </c>
      <c r="DC500" s="268">
        <f>IF($BN501=0,0,         IF(LEFT(DCC_Leg2_Fixed,2)="1/",uEvaluate(DCC_Leg2_Fixed),         _xll.qDateYears($BN500,$BN501,DCC_Leg2_Fixed)))</f>
        <v>0</v>
      </c>
      <c r="DD500" s="268">
        <f>IF($BN501,_xll.qDateYears($BN500,$BN501,DCC_Leg2_Float),0)</f>
        <v>0</v>
      </c>
      <c r="DF500" s="332">
        <f t="shared" si="255"/>
        <v>0</v>
      </c>
      <c r="DG500" s="357">
        <f t="shared" si="256"/>
        <v>0</v>
      </c>
      <c r="DH500" s="527"/>
      <c r="DJ500" s="324">
        <f t="shared" si="258"/>
        <v>0</v>
      </c>
      <c r="DK500" s="529"/>
      <c r="DL500" s="338"/>
    </row>
    <row r="501" spans="15:116">
      <c r="O501" s="121">
        <v>0</v>
      </c>
      <c r="P501" s="755">
        <f t="shared" si="227"/>
        <v>0</v>
      </c>
      <c r="Q501" s="125">
        <v>0</v>
      </c>
      <c r="R501" s="890">
        <f>IF(O502=0,0,         IF(OR(Currency1="AUD",Currency1="NZD",Currency1="GBP"),O501,   _xll.qDateNext(O501,"-2b",,,IF(Currency1="EUR","TGT","LON"))))</f>
        <v>0</v>
      </c>
      <c r="S501" s="879" t="str">
        <v/>
      </c>
      <c r="T501" s="879" t="str">
        <v/>
      </c>
      <c r="U501" s="879" t="str">
        <v/>
      </c>
      <c r="V501" s="879" t="str">
        <v/>
      </c>
      <c r="W501" s="879" t="str">
        <v/>
      </c>
      <c r="X501" s="879" t="str">
        <v/>
      </c>
      <c r="Y501" s="879" t="str">
        <v/>
      </c>
      <c r="Z501" s="879" t="str">
        <v/>
      </c>
      <c r="AA501" s="882">
        <f>IF($O502=0,0,        _xll.qDateNext($O501,AA$17,$AH$16,TRUE,Currency1))</f>
        <v>0</v>
      </c>
      <c r="AB501" s="882">
        <f>IF($O502=0,0,        _xll.qDateNext($O501,AB$17,$AH$16,TRUE,Currency1))</f>
        <v>0</v>
      </c>
      <c r="AC501" s="882">
        <f>IF($O502=0,0,        _xll.qDateNext($O501,AC$17,$AH$16,TRUE,Currency1))</f>
        <v>0</v>
      </c>
      <c r="AD501" s="882">
        <f>IF($O502=0,0,        _xll.qDateNext($O501,AD$17,$AH$16,TRUE,Currency1))</f>
        <v>0</v>
      </c>
      <c r="AE501" s="882">
        <f>IF($O502=0,0,        _xll.qDateNext($O501,AE$17,$AH$16,TRUE,Currency1))</f>
        <v>0</v>
      </c>
      <c r="AF501" s="882">
        <f>IF($O502=0,0,        _xll.qDateNext($O501,AF$17,$AH$16,TRUE,Currency1))</f>
        <v>0</v>
      </c>
      <c r="AG501" s="882">
        <f>IF($O502=0,0,        _xll.qDateNext($O501,AG$17,$AH$16,TRUE,Currency1))</f>
        <v>0</v>
      </c>
      <c r="AH501" s="882">
        <f>IF($O502=0,0,        _xll.qDateNext($O501,AH$17,$AH$16,TRUE,Currency1))</f>
        <v>0</v>
      </c>
      <c r="AI501" s="886">
        <f>IF($O502=0,0,           IF(FRM,_xll.qGetFwdRate(AI$14,$O501,AA501,"T",DCC_Leg1_Float),_xll.qGetFwdRate(AI$14,$O501,$O502,"T",DCC_Leg1_Float)))</f>
        <v>0</v>
      </c>
      <c r="AJ501" s="886">
        <f>IF($O502=0,0,           IF(FRM,_xll.qGetFwdRate(AJ$14,$O501,AB501,"T",DCC_Leg1_Float),_xll.qGetFwdRate(AJ$14,$O501,$O502,"T",DCC_Leg1_Float)))</f>
        <v>0</v>
      </c>
      <c r="AK501" s="886">
        <f t="shared" si="228"/>
        <v>0</v>
      </c>
      <c r="AL501" s="886">
        <f>IF($O502=0,0,           IF(FRM,_xll.qGetFwdRate(AL$14,$O501,AD501,"T",DCC_Leg1_Float),_xll.qGetFwdRate(AL$14,$O501,$O502,"T",DCC_Leg1_Float)))</f>
        <v>0</v>
      </c>
      <c r="AM501" s="886">
        <f t="shared" si="241"/>
        <v>0</v>
      </c>
      <c r="AN501" s="886">
        <f t="shared" si="242"/>
        <v>0</v>
      </c>
      <c r="AO501" s="886">
        <f>IF($O502=0,0,           IF(FRM,_xll.qGetFwdRate(AO$14,$O501,AG501,"T",DCC_Leg1_Float),_xll.qGetFwdRate(AO$14,$O501,$O502,"T",DCC_Leg1_Float)))</f>
        <v>0</v>
      </c>
      <c r="AP501" s="886">
        <f>IF($O502=0,0,           IF(FRM,_xll.qGetFwdRate(AP$14,$O501,AH501,"T",DCC_Leg1_Float),_xll.qGetFwdRate(AP$14,$O501,$O502,"T",DCC_Leg1_Float)))</f>
        <v>0</v>
      </c>
      <c r="AQ501" s="648">
        <f t="shared" si="243"/>
        <v>0</v>
      </c>
      <c r="AR501" s="648">
        <f t="shared" si="244"/>
        <v>0</v>
      </c>
      <c r="AS501" s="648">
        <f t="shared" si="245"/>
        <v>0</v>
      </c>
      <c r="AT501" s="648">
        <f t="shared" si="246"/>
        <v>0</v>
      </c>
      <c r="AU501" s="648">
        <f t="shared" si="247"/>
        <v>0</v>
      </c>
      <c r="AV501" s="648">
        <f t="shared" si="248"/>
        <v>0</v>
      </c>
      <c r="AW501" s="648">
        <f t="shared" si="249"/>
        <v>0</v>
      </c>
      <c r="AX501" s="648">
        <f t="shared" si="250"/>
        <v>0</v>
      </c>
      <c r="AY501" s="634">
        <v>0</v>
      </c>
      <c r="AZ501" s="616"/>
      <c r="BA501" s="619">
        <f>IF(O502=0,0,             IF(ISNUMBER(AZ501),AZ501,             IF(ISTEXT(AZ501),INDEX(AQ501:AX501,MATCH(AZ501,$AQ$17:$AX$17,0)),           IF(AY501="INT",_xll.qInterp(O502,AA501:AH501,AQ501:AX501),       INDEX(AQ501:AX501,MATCH(AY501,$AQ$17:$AX$17,0))))))</f>
        <v>0</v>
      </c>
      <c r="BB501" s="674">
        <v>100</v>
      </c>
      <c r="BC501" s="666">
        <f t="shared" si="229"/>
        <v>0</v>
      </c>
      <c r="BD501" s="268">
        <f>IF($O502=0,0,                IF(LEFT(DCC_Leg1_Fixed,2)="1/",uEvaluate(DCC_Leg1_Fixed),        _xll.qDateYears($O501,$O502,DCC_Leg1_Fixed)))</f>
        <v>0</v>
      </c>
      <c r="BE501" s="268">
        <f>IF($O502,_xll.qDateYears($O501,$O502,DCC_Leg1_Float),0)</f>
        <v>0</v>
      </c>
      <c r="BG501" s="332">
        <f t="shared" si="251"/>
        <v>0</v>
      </c>
      <c r="BH501" s="357">
        <f t="shared" si="252"/>
        <v>0</v>
      </c>
      <c r="BI501" s="527"/>
      <c r="BK501" s="324">
        <f t="shared" si="257"/>
        <v>0</v>
      </c>
      <c r="BM501" s="338"/>
      <c r="BN501" s="121">
        <v>0</v>
      </c>
      <c r="BO501" s="755">
        <f t="shared" si="230"/>
        <v>0</v>
      </c>
      <c r="BP501" s="339">
        <v>0</v>
      </c>
      <c r="BQ501" s="890">
        <f>IF(BN502=0,0,         IF(OR(Currency2="AUD",Currency1="NZD",Currency2="GBP"),BN501,   _xll.qDateNext(BN501,"-2b",,,IF(Currency2="EUR","TGT","LON"))))</f>
        <v>0</v>
      </c>
      <c r="BR501" s="879" t="str">
        <v/>
      </c>
      <c r="BS501" s="879" t="str">
        <v/>
      </c>
      <c r="BT501" s="879" t="str">
        <v/>
      </c>
      <c r="BU501" s="879" t="str">
        <v/>
      </c>
      <c r="BV501" s="879" t="str">
        <v/>
      </c>
      <c r="BW501" s="879" t="str">
        <v/>
      </c>
      <c r="BX501" s="879" t="str">
        <v/>
      </c>
      <c r="BY501" s="879" t="str">
        <v/>
      </c>
      <c r="BZ501" s="882">
        <f>IF($BN502=0,0,        _xll.qDateNext($BN501,BZ$17,$CG$16,TRUE,Currency2))</f>
        <v>0</v>
      </c>
      <c r="CA501" s="882">
        <f>IF($BN502=0,0,        _xll.qDateNext($BN501,CA$17,$CG$16,TRUE,Currency2))</f>
        <v>0</v>
      </c>
      <c r="CB501" s="882">
        <f>IF($BN502=0,0,        _xll.qDateNext($BN501,CB$17,$CG$16,TRUE,Currency2))</f>
        <v>0</v>
      </c>
      <c r="CC501" s="882">
        <f>IF($BN502=0,0,        _xll.qDateNext($BN501,CC$17,$CG$16,TRUE,Currency2))</f>
        <v>0</v>
      </c>
      <c r="CD501" s="882">
        <f>IF($BN502=0,0,        _xll.qDateNext($BN501,CD$17,$CG$16,TRUE,Currency2))</f>
        <v>0</v>
      </c>
      <c r="CE501" s="882">
        <f>IF($BN502=0,0,        _xll.qDateNext($BN501,CE$17,$CG$16,TRUE,Currency2))</f>
        <v>0</v>
      </c>
      <c r="CF501" s="882">
        <f>IF($BN502=0,0,        _xll.qDateNext($BN501,CF$17,$CG$16,TRUE,Currency2))</f>
        <v>0</v>
      </c>
      <c r="CG501" s="882">
        <f>IF($BN502=0,0,        _xll.qDateNext($BN501,CG$17,$CG$16,TRUE,Currency2))</f>
        <v>0</v>
      </c>
      <c r="CH501" s="886">
        <v>0</v>
      </c>
      <c r="CI501" s="886">
        <v>0</v>
      </c>
      <c r="CJ501" s="886">
        <v>0</v>
      </c>
      <c r="CK501" s="886">
        <v>0</v>
      </c>
      <c r="CL501" s="886">
        <f t="shared" si="253"/>
        <v>0</v>
      </c>
      <c r="CM501" s="886">
        <f t="shared" si="254"/>
        <v>0</v>
      </c>
      <c r="CN501" s="886">
        <v>0</v>
      </c>
      <c r="CO501" s="886">
        <v>0</v>
      </c>
      <c r="CP501" s="648">
        <f t="shared" si="231"/>
        <v>0</v>
      </c>
      <c r="CQ501" s="648">
        <f t="shared" si="232"/>
        <v>0</v>
      </c>
      <c r="CR501" s="648">
        <f t="shared" si="233"/>
        <v>0</v>
      </c>
      <c r="CS501" s="648">
        <f t="shared" si="234"/>
        <v>0</v>
      </c>
      <c r="CT501" s="648">
        <f t="shared" si="235"/>
        <v>0</v>
      </c>
      <c r="CU501" s="648">
        <f t="shared" si="236"/>
        <v>0</v>
      </c>
      <c r="CV501" s="648">
        <f t="shared" si="237"/>
        <v>0</v>
      </c>
      <c r="CW501" s="648">
        <f t="shared" si="238"/>
        <v>0</v>
      </c>
      <c r="CX501" s="634">
        <v>0</v>
      </c>
      <c r="CY501" s="616"/>
      <c r="CZ501" s="619">
        <f>IF(BN502=0,0,             IF(ISNUMBER(CY501),CY501,             IF(ISTEXT(CY501),INDEX(CP501:CW501,MATCH(CY501,$CP$17:$CW$17,0)),           IF(CX501="INT",_xll.qInterp(BN502,BZ501:CG501,CP501:CW501),       INDEX(CP501:CW501,MATCH(CX501,$CP$17:$CW$17,0))))))</f>
        <v>0</v>
      </c>
      <c r="DA501" s="755">
        <f t="shared" si="239"/>
        <v>0</v>
      </c>
      <c r="DB501" s="387">
        <f t="shared" si="240"/>
        <v>0</v>
      </c>
      <c r="DC501" s="268">
        <f>IF($BN502=0,0,         IF(LEFT(DCC_Leg2_Fixed,2)="1/",uEvaluate(DCC_Leg2_Fixed),         _xll.qDateYears($BN501,$BN502,DCC_Leg2_Fixed)))</f>
        <v>0</v>
      </c>
      <c r="DD501" s="268">
        <f>IF($BN502,_xll.qDateYears($BN501,$BN502,DCC_Leg2_Float),0)</f>
        <v>0</v>
      </c>
      <c r="DF501" s="332">
        <f t="shared" si="255"/>
        <v>0</v>
      </c>
      <c r="DG501" s="357">
        <f t="shared" si="256"/>
        <v>0</v>
      </c>
      <c r="DH501" s="527"/>
      <c r="DJ501" s="324">
        <f t="shared" si="258"/>
        <v>0</v>
      </c>
      <c r="DK501" s="529"/>
      <c r="DL501" s="338"/>
    </row>
    <row r="502" spans="15:116">
      <c r="O502" s="121">
        <v>0</v>
      </c>
      <c r="P502" s="755">
        <f t="shared" si="227"/>
        <v>0</v>
      </c>
      <c r="Q502" s="125">
        <v>0</v>
      </c>
      <c r="R502" s="890">
        <f>IF(O503=0,0,         IF(OR(Currency1="AUD",Currency1="NZD",Currency1="GBP"),O502,   _xll.qDateNext(O502,"-2b",,,IF(Currency1="EUR","TGT","LON"))))</f>
        <v>0</v>
      </c>
      <c r="S502" s="879" t="str">
        <v/>
      </c>
      <c r="T502" s="879" t="str">
        <v/>
      </c>
      <c r="U502" s="879" t="str">
        <v/>
      </c>
      <c r="V502" s="879" t="str">
        <v/>
      </c>
      <c r="W502" s="879" t="str">
        <v/>
      </c>
      <c r="X502" s="879" t="str">
        <v/>
      </c>
      <c r="Y502" s="879" t="str">
        <v/>
      </c>
      <c r="Z502" s="879" t="str">
        <v/>
      </c>
      <c r="AA502" s="882">
        <f>IF($O503=0,0,        _xll.qDateNext($O502,AA$17,$AH$16,TRUE,Currency1))</f>
        <v>0</v>
      </c>
      <c r="AB502" s="882">
        <f>IF($O503=0,0,        _xll.qDateNext($O502,AB$17,$AH$16,TRUE,Currency1))</f>
        <v>0</v>
      </c>
      <c r="AC502" s="882">
        <f>IF($O503=0,0,        _xll.qDateNext($O502,AC$17,$AH$16,TRUE,Currency1))</f>
        <v>0</v>
      </c>
      <c r="AD502" s="882">
        <f>IF($O503=0,0,        _xll.qDateNext($O502,AD$17,$AH$16,TRUE,Currency1))</f>
        <v>0</v>
      </c>
      <c r="AE502" s="882">
        <f>IF($O503=0,0,        _xll.qDateNext($O502,AE$17,$AH$16,TRUE,Currency1))</f>
        <v>0</v>
      </c>
      <c r="AF502" s="882">
        <f>IF($O503=0,0,        _xll.qDateNext($O502,AF$17,$AH$16,TRUE,Currency1))</f>
        <v>0</v>
      </c>
      <c r="AG502" s="882">
        <f>IF($O503=0,0,        _xll.qDateNext($O502,AG$17,$AH$16,TRUE,Currency1))</f>
        <v>0</v>
      </c>
      <c r="AH502" s="882">
        <f>IF($O503=0,0,        _xll.qDateNext($O502,AH$17,$AH$16,TRUE,Currency1))</f>
        <v>0</v>
      </c>
      <c r="AI502" s="886">
        <f>IF($O503=0,0,           IF(FRM,_xll.qGetFwdRate(AI$14,$O502,AA502,"T",DCC_Leg1_Float),_xll.qGetFwdRate(AI$14,$O502,$O503,"T",DCC_Leg1_Float)))</f>
        <v>0</v>
      </c>
      <c r="AJ502" s="886">
        <f>IF($O503=0,0,           IF(FRM,_xll.qGetFwdRate(AJ$14,$O502,AB502,"T",DCC_Leg1_Float),_xll.qGetFwdRate(AJ$14,$O502,$O503,"T",DCC_Leg1_Float)))</f>
        <v>0</v>
      </c>
      <c r="AK502" s="886">
        <f t="shared" si="228"/>
        <v>0</v>
      </c>
      <c r="AL502" s="886">
        <f>IF($O503=0,0,           IF(FRM,_xll.qGetFwdRate(AL$14,$O502,AD502,"T",DCC_Leg1_Float),_xll.qGetFwdRate(AL$14,$O502,$O503,"T",DCC_Leg1_Float)))</f>
        <v>0</v>
      </c>
      <c r="AM502" s="886">
        <f t="shared" si="241"/>
        <v>0</v>
      </c>
      <c r="AN502" s="886">
        <f t="shared" si="242"/>
        <v>0</v>
      </c>
      <c r="AO502" s="886">
        <f>IF($O503=0,0,           IF(FRM,_xll.qGetFwdRate(AO$14,$O502,AG502,"T",DCC_Leg1_Float),_xll.qGetFwdRate(AO$14,$O502,$O503,"T",DCC_Leg1_Float)))</f>
        <v>0</v>
      </c>
      <c r="AP502" s="886">
        <f>IF($O503=0,0,           IF(FRM,_xll.qGetFwdRate(AP$14,$O502,AH502,"T",DCC_Leg1_Float),_xll.qGetFwdRate(AP$14,$O502,$O503,"T",DCC_Leg1_Float)))</f>
        <v>0</v>
      </c>
      <c r="AQ502" s="648">
        <f t="shared" si="243"/>
        <v>0</v>
      </c>
      <c r="AR502" s="648">
        <f t="shared" si="244"/>
        <v>0</v>
      </c>
      <c r="AS502" s="648">
        <f t="shared" si="245"/>
        <v>0</v>
      </c>
      <c r="AT502" s="648">
        <f t="shared" si="246"/>
        <v>0</v>
      </c>
      <c r="AU502" s="648">
        <f t="shared" si="247"/>
        <v>0</v>
      </c>
      <c r="AV502" s="648">
        <f t="shared" si="248"/>
        <v>0</v>
      </c>
      <c r="AW502" s="648">
        <f t="shared" si="249"/>
        <v>0</v>
      </c>
      <c r="AX502" s="648">
        <f t="shared" si="250"/>
        <v>0</v>
      </c>
      <c r="AY502" s="634">
        <v>0</v>
      </c>
      <c r="AZ502" s="616"/>
      <c r="BA502" s="619">
        <f>IF(O503=0,0,             IF(ISNUMBER(AZ502),AZ502,             IF(ISTEXT(AZ502),INDEX(AQ502:AX502,MATCH(AZ502,$AQ$17:$AX$17,0)),           IF(AY502="INT",_xll.qInterp(O503,AA502:AH502,AQ502:AX502),       INDEX(AQ502:AX502,MATCH(AY502,$AQ$17:$AX$17,0))))))</f>
        <v>0</v>
      </c>
      <c r="BB502" s="674">
        <v>100</v>
      </c>
      <c r="BC502" s="666">
        <f t="shared" si="229"/>
        <v>0</v>
      </c>
      <c r="BD502" s="268">
        <f>IF($O503=0,0,                IF(LEFT(DCC_Leg1_Fixed,2)="1/",uEvaluate(DCC_Leg1_Fixed),        _xll.qDateYears($O502,$O503,DCC_Leg1_Fixed)))</f>
        <v>0</v>
      </c>
      <c r="BE502" s="268">
        <f>IF($O503,_xll.qDateYears($O502,$O503,DCC_Leg1_Float),0)</f>
        <v>0</v>
      </c>
      <c r="BG502" s="332">
        <f t="shared" si="251"/>
        <v>0</v>
      </c>
      <c r="BH502" s="357">
        <f t="shared" si="252"/>
        <v>0</v>
      </c>
      <c r="BI502" s="527"/>
      <c r="BK502" s="324">
        <f t="shared" si="257"/>
        <v>0</v>
      </c>
      <c r="BM502" s="338"/>
      <c r="BN502" s="121">
        <v>0</v>
      </c>
      <c r="BO502" s="755">
        <f t="shared" si="230"/>
        <v>0</v>
      </c>
      <c r="BP502" s="339">
        <v>0</v>
      </c>
      <c r="BQ502" s="890">
        <f>IF(BN503=0,0,         IF(OR(Currency2="AUD",Currency1="NZD",Currency2="GBP"),BN502,   _xll.qDateNext(BN502,"-2b",,,IF(Currency2="EUR","TGT","LON"))))</f>
        <v>0</v>
      </c>
      <c r="BR502" s="879" t="str">
        <v/>
      </c>
      <c r="BS502" s="879" t="str">
        <v/>
      </c>
      <c r="BT502" s="879" t="str">
        <v/>
      </c>
      <c r="BU502" s="879" t="str">
        <v/>
      </c>
      <c r="BV502" s="879" t="str">
        <v/>
      </c>
      <c r="BW502" s="879" t="str">
        <v/>
      </c>
      <c r="BX502" s="879" t="str">
        <v/>
      </c>
      <c r="BY502" s="879" t="str">
        <v/>
      </c>
      <c r="BZ502" s="882">
        <f>IF($BN503=0,0,        _xll.qDateNext($BN502,BZ$17,$CG$16,TRUE,Currency2))</f>
        <v>0</v>
      </c>
      <c r="CA502" s="882">
        <f>IF($BN503=0,0,        _xll.qDateNext($BN502,CA$17,$CG$16,TRUE,Currency2))</f>
        <v>0</v>
      </c>
      <c r="CB502" s="882">
        <f>IF($BN503=0,0,        _xll.qDateNext($BN502,CB$17,$CG$16,TRUE,Currency2))</f>
        <v>0</v>
      </c>
      <c r="CC502" s="882">
        <f>IF($BN503=0,0,        _xll.qDateNext($BN502,CC$17,$CG$16,TRUE,Currency2))</f>
        <v>0</v>
      </c>
      <c r="CD502" s="882">
        <f>IF($BN503=0,0,        _xll.qDateNext($BN502,CD$17,$CG$16,TRUE,Currency2))</f>
        <v>0</v>
      </c>
      <c r="CE502" s="882">
        <f>IF($BN503=0,0,        _xll.qDateNext($BN502,CE$17,$CG$16,TRUE,Currency2))</f>
        <v>0</v>
      </c>
      <c r="CF502" s="882">
        <f>IF($BN503=0,0,        _xll.qDateNext($BN502,CF$17,$CG$16,TRUE,Currency2))</f>
        <v>0</v>
      </c>
      <c r="CG502" s="882">
        <f>IF($BN503=0,0,        _xll.qDateNext($BN502,CG$17,$CG$16,TRUE,Currency2))</f>
        <v>0</v>
      </c>
      <c r="CH502" s="886">
        <v>0</v>
      </c>
      <c r="CI502" s="886">
        <v>0</v>
      </c>
      <c r="CJ502" s="886">
        <v>0</v>
      </c>
      <c r="CK502" s="886">
        <v>0</v>
      </c>
      <c r="CL502" s="886">
        <f t="shared" si="253"/>
        <v>0</v>
      </c>
      <c r="CM502" s="886">
        <f t="shared" si="254"/>
        <v>0</v>
      </c>
      <c r="CN502" s="886">
        <v>0</v>
      </c>
      <c r="CO502" s="886">
        <v>0</v>
      </c>
      <c r="CP502" s="648">
        <f t="shared" si="231"/>
        <v>0</v>
      </c>
      <c r="CQ502" s="648">
        <f t="shared" si="232"/>
        <v>0</v>
      </c>
      <c r="CR502" s="648">
        <f t="shared" si="233"/>
        <v>0</v>
      </c>
      <c r="CS502" s="648">
        <f t="shared" si="234"/>
        <v>0</v>
      </c>
      <c r="CT502" s="648">
        <f t="shared" si="235"/>
        <v>0</v>
      </c>
      <c r="CU502" s="648">
        <f t="shared" si="236"/>
        <v>0</v>
      </c>
      <c r="CV502" s="648">
        <f t="shared" si="237"/>
        <v>0</v>
      </c>
      <c r="CW502" s="648">
        <f t="shared" si="238"/>
        <v>0</v>
      </c>
      <c r="CX502" s="634">
        <v>0</v>
      </c>
      <c r="CY502" s="616"/>
      <c r="CZ502" s="619">
        <f>IF(BN503=0,0,             IF(ISNUMBER(CY502),CY502,             IF(ISTEXT(CY502),INDEX(CP502:CW502,MATCH(CY502,$CP$17:$CW$17,0)),           IF(CX502="INT",_xll.qInterp(BN503,BZ502:CG502,CP502:CW502),       INDEX(CP502:CW502,MATCH(CX502,$CP$17:$CW$17,0))))))</f>
        <v>0</v>
      </c>
      <c r="DA502" s="755">
        <f t="shared" si="239"/>
        <v>0</v>
      </c>
      <c r="DB502" s="387">
        <f t="shared" si="240"/>
        <v>0</v>
      </c>
      <c r="DC502" s="268">
        <f>IF($BN503=0,0,         IF(LEFT(DCC_Leg2_Fixed,2)="1/",uEvaluate(DCC_Leg2_Fixed),         _xll.qDateYears($BN502,$BN503,DCC_Leg2_Fixed)))</f>
        <v>0</v>
      </c>
      <c r="DD502" s="268">
        <f>IF($BN503,_xll.qDateYears($BN502,$BN503,DCC_Leg2_Float),0)</f>
        <v>0</v>
      </c>
      <c r="DF502" s="332">
        <f t="shared" si="255"/>
        <v>0</v>
      </c>
      <c r="DG502" s="357">
        <f t="shared" si="256"/>
        <v>0</v>
      </c>
      <c r="DH502" s="527"/>
      <c r="DJ502" s="324">
        <f t="shared" si="258"/>
        <v>0</v>
      </c>
      <c r="DK502" s="529"/>
      <c r="DL502" s="338"/>
    </row>
    <row r="503" spans="15:116">
      <c r="O503" s="121">
        <v>0</v>
      </c>
      <c r="P503" s="755">
        <f t="shared" si="227"/>
        <v>0</v>
      </c>
      <c r="Q503" s="125">
        <v>0</v>
      </c>
      <c r="R503" s="890">
        <f>IF(O504=0,0,         IF(OR(Currency1="AUD",Currency1="NZD",Currency1="GBP"),O503,   _xll.qDateNext(O503,"-2b",,,IF(Currency1="EUR","TGT","LON"))))</f>
        <v>0</v>
      </c>
      <c r="S503" s="879" t="str">
        <v/>
      </c>
      <c r="T503" s="879" t="str">
        <v/>
      </c>
      <c r="U503" s="879" t="str">
        <v/>
      </c>
      <c r="V503" s="879" t="str">
        <v/>
      </c>
      <c r="W503" s="879" t="str">
        <v/>
      </c>
      <c r="X503" s="879" t="str">
        <v/>
      </c>
      <c r="Y503" s="879" t="str">
        <v/>
      </c>
      <c r="Z503" s="879" t="str">
        <v/>
      </c>
      <c r="AA503" s="882">
        <f>IF($O504=0,0,        _xll.qDateNext($O503,AA$17,$AH$16,TRUE,Currency1))</f>
        <v>0</v>
      </c>
      <c r="AB503" s="882">
        <f>IF($O504=0,0,        _xll.qDateNext($O503,AB$17,$AH$16,TRUE,Currency1))</f>
        <v>0</v>
      </c>
      <c r="AC503" s="882">
        <f>IF($O504=0,0,        _xll.qDateNext($O503,AC$17,$AH$16,TRUE,Currency1))</f>
        <v>0</v>
      </c>
      <c r="AD503" s="882">
        <f>IF($O504=0,0,        _xll.qDateNext($O503,AD$17,$AH$16,TRUE,Currency1))</f>
        <v>0</v>
      </c>
      <c r="AE503" s="882">
        <f>IF($O504=0,0,        _xll.qDateNext($O503,AE$17,$AH$16,TRUE,Currency1))</f>
        <v>0</v>
      </c>
      <c r="AF503" s="882">
        <f>IF($O504=0,0,        _xll.qDateNext($O503,AF$17,$AH$16,TRUE,Currency1))</f>
        <v>0</v>
      </c>
      <c r="AG503" s="882">
        <f>IF($O504=0,0,        _xll.qDateNext($O503,AG$17,$AH$16,TRUE,Currency1))</f>
        <v>0</v>
      </c>
      <c r="AH503" s="882">
        <f>IF($O504=0,0,        _xll.qDateNext($O503,AH$17,$AH$16,TRUE,Currency1))</f>
        <v>0</v>
      </c>
      <c r="AI503" s="886">
        <f>IF($O504=0,0,           IF(FRM,_xll.qGetFwdRate(AI$14,$O503,AA503,"T",DCC_Leg1_Float),_xll.qGetFwdRate(AI$14,$O503,$O504,"T",DCC_Leg1_Float)))</f>
        <v>0</v>
      </c>
      <c r="AJ503" s="886">
        <f>IF($O504=0,0,           IF(FRM,_xll.qGetFwdRate(AJ$14,$O503,AB503,"T",DCC_Leg1_Float),_xll.qGetFwdRate(AJ$14,$O503,$O504,"T",DCC_Leg1_Float)))</f>
        <v>0</v>
      </c>
      <c r="AK503" s="886">
        <f t="shared" si="228"/>
        <v>0</v>
      </c>
      <c r="AL503" s="886">
        <f>IF($O504=0,0,           IF(FRM,_xll.qGetFwdRate(AL$14,$O503,AD503,"T",DCC_Leg1_Float),_xll.qGetFwdRate(AL$14,$O503,$O504,"T",DCC_Leg1_Float)))</f>
        <v>0</v>
      </c>
      <c r="AM503" s="886">
        <f t="shared" si="241"/>
        <v>0</v>
      </c>
      <c r="AN503" s="886">
        <f t="shared" si="242"/>
        <v>0</v>
      </c>
      <c r="AO503" s="886">
        <f>IF($O504=0,0,           IF(FRM,_xll.qGetFwdRate(AO$14,$O503,AG503,"T",DCC_Leg1_Float),_xll.qGetFwdRate(AO$14,$O503,$O504,"T",DCC_Leg1_Float)))</f>
        <v>0</v>
      </c>
      <c r="AP503" s="886">
        <f>IF($O504=0,0,           IF(FRM,_xll.qGetFwdRate(AP$14,$O503,AH503,"T",DCC_Leg1_Float),_xll.qGetFwdRate(AP$14,$O503,$O504,"T",DCC_Leg1_Float)))</f>
        <v>0</v>
      </c>
      <c r="AQ503" s="648">
        <f t="shared" si="243"/>
        <v>0</v>
      </c>
      <c r="AR503" s="648">
        <f t="shared" si="244"/>
        <v>0</v>
      </c>
      <c r="AS503" s="648">
        <f t="shared" si="245"/>
        <v>0</v>
      </c>
      <c r="AT503" s="648">
        <f t="shared" si="246"/>
        <v>0</v>
      </c>
      <c r="AU503" s="648">
        <f t="shared" si="247"/>
        <v>0</v>
      </c>
      <c r="AV503" s="648">
        <f t="shared" si="248"/>
        <v>0</v>
      </c>
      <c r="AW503" s="648">
        <f t="shared" si="249"/>
        <v>0</v>
      </c>
      <c r="AX503" s="648">
        <f t="shared" si="250"/>
        <v>0</v>
      </c>
      <c r="AY503" s="634">
        <v>0</v>
      </c>
      <c r="AZ503" s="616"/>
      <c r="BA503" s="619">
        <f>IF(O504=0,0,             IF(ISNUMBER(AZ503),AZ503,             IF(ISTEXT(AZ503),INDEX(AQ503:AX503,MATCH(AZ503,$AQ$17:$AX$17,0)),           IF(AY503="INT",_xll.qInterp(O504,AA503:AH503,AQ503:AX503),       INDEX(AQ503:AX503,MATCH(AY503,$AQ$17:$AX$17,0))))))</f>
        <v>0</v>
      </c>
      <c r="BB503" s="674">
        <v>100</v>
      </c>
      <c r="BC503" s="666">
        <f t="shared" si="229"/>
        <v>0</v>
      </c>
      <c r="BD503" s="268">
        <f>IF($O504=0,0,                IF(LEFT(DCC_Leg1_Fixed,2)="1/",uEvaluate(DCC_Leg1_Fixed),        _xll.qDateYears($O503,$O504,DCC_Leg1_Fixed)))</f>
        <v>0</v>
      </c>
      <c r="BE503" s="268">
        <f>IF($O504,_xll.qDateYears($O503,$O504,DCC_Leg1_Float),0)</f>
        <v>0</v>
      </c>
      <c r="BG503" s="332">
        <f t="shared" si="251"/>
        <v>0</v>
      </c>
      <c r="BH503" s="357">
        <f t="shared" si="252"/>
        <v>0</v>
      </c>
      <c r="BI503" s="527"/>
      <c r="BK503" s="324">
        <f t="shared" si="257"/>
        <v>0</v>
      </c>
      <c r="BM503" s="338"/>
      <c r="BN503" s="121">
        <v>0</v>
      </c>
      <c r="BO503" s="755">
        <f t="shared" si="230"/>
        <v>0</v>
      </c>
      <c r="BP503" s="339">
        <v>0</v>
      </c>
      <c r="BQ503" s="890">
        <f>IF(BN504=0,0,         IF(OR(Currency2="AUD",Currency1="NZD",Currency2="GBP"),BN503,   _xll.qDateNext(BN503,"-2b",,,IF(Currency2="EUR","TGT","LON"))))</f>
        <v>0</v>
      </c>
      <c r="BR503" s="879" t="str">
        <v/>
      </c>
      <c r="BS503" s="879" t="str">
        <v/>
      </c>
      <c r="BT503" s="879" t="str">
        <v/>
      </c>
      <c r="BU503" s="879" t="str">
        <v/>
      </c>
      <c r="BV503" s="879" t="str">
        <v/>
      </c>
      <c r="BW503" s="879" t="str">
        <v/>
      </c>
      <c r="BX503" s="879" t="str">
        <v/>
      </c>
      <c r="BY503" s="879" t="str">
        <v/>
      </c>
      <c r="BZ503" s="882">
        <f>IF($BN504=0,0,        _xll.qDateNext($BN503,BZ$17,$CG$16,TRUE,Currency2))</f>
        <v>0</v>
      </c>
      <c r="CA503" s="882">
        <f>IF($BN504=0,0,        _xll.qDateNext($BN503,CA$17,$CG$16,TRUE,Currency2))</f>
        <v>0</v>
      </c>
      <c r="CB503" s="882">
        <f>IF($BN504=0,0,        _xll.qDateNext($BN503,CB$17,$CG$16,TRUE,Currency2))</f>
        <v>0</v>
      </c>
      <c r="CC503" s="882">
        <f>IF($BN504=0,0,        _xll.qDateNext($BN503,CC$17,$CG$16,TRUE,Currency2))</f>
        <v>0</v>
      </c>
      <c r="CD503" s="882">
        <f>IF($BN504=0,0,        _xll.qDateNext($BN503,CD$17,$CG$16,TRUE,Currency2))</f>
        <v>0</v>
      </c>
      <c r="CE503" s="882">
        <f>IF($BN504=0,0,        _xll.qDateNext($BN503,CE$17,$CG$16,TRUE,Currency2))</f>
        <v>0</v>
      </c>
      <c r="CF503" s="882">
        <f>IF($BN504=0,0,        _xll.qDateNext($BN503,CF$17,$CG$16,TRUE,Currency2))</f>
        <v>0</v>
      </c>
      <c r="CG503" s="882">
        <f>IF($BN504=0,0,        _xll.qDateNext($BN503,CG$17,$CG$16,TRUE,Currency2))</f>
        <v>0</v>
      </c>
      <c r="CH503" s="886">
        <v>0</v>
      </c>
      <c r="CI503" s="886">
        <v>0</v>
      </c>
      <c r="CJ503" s="886">
        <v>0</v>
      </c>
      <c r="CK503" s="886">
        <v>0</v>
      </c>
      <c r="CL503" s="886">
        <f t="shared" si="253"/>
        <v>0</v>
      </c>
      <c r="CM503" s="886">
        <f t="shared" si="254"/>
        <v>0</v>
      </c>
      <c r="CN503" s="886">
        <v>0</v>
      </c>
      <c r="CO503" s="886">
        <v>0</v>
      </c>
      <c r="CP503" s="648">
        <f t="shared" si="231"/>
        <v>0</v>
      </c>
      <c r="CQ503" s="648">
        <f t="shared" si="232"/>
        <v>0</v>
      </c>
      <c r="CR503" s="648">
        <f t="shared" si="233"/>
        <v>0</v>
      </c>
      <c r="CS503" s="648">
        <f t="shared" si="234"/>
        <v>0</v>
      </c>
      <c r="CT503" s="648">
        <f t="shared" si="235"/>
        <v>0</v>
      </c>
      <c r="CU503" s="648">
        <f t="shared" si="236"/>
        <v>0</v>
      </c>
      <c r="CV503" s="648">
        <f t="shared" si="237"/>
        <v>0</v>
      </c>
      <c r="CW503" s="648">
        <f t="shared" si="238"/>
        <v>0</v>
      </c>
      <c r="CX503" s="634">
        <v>0</v>
      </c>
      <c r="CY503" s="616"/>
      <c r="CZ503" s="619">
        <f>IF(BN504=0,0,             IF(ISNUMBER(CY503),CY503,             IF(ISTEXT(CY503),INDEX(CP503:CW503,MATCH(CY503,$CP$17:$CW$17,0)),           IF(CX503="INT",_xll.qInterp(BN504,BZ503:CG503,CP503:CW503),       INDEX(CP503:CW503,MATCH(CX503,$CP$17:$CW$17,0))))))</f>
        <v>0</v>
      </c>
      <c r="DA503" s="755">
        <f t="shared" si="239"/>
        <v>0</v>
      </c>
      <c r="DB503" s="387">
        <f t="shared" si="240"/>
        <v>0</v>
      </c>
      <c r="DC503" s="268">
        <f>IF($BN504=0,0,         IF(LEFT(DCC_Leg2_Fixed,2)="1/",uEvaluate(DCC_Leg2_Fixed),         _xll.qDateYears($BN503,$BN504,DCC_Leg2_Fixed)))</f>
        <v>0</v>
      </c>
      <c r="DD503" s="268">
        <f>IF($BN504,_xll.qDateYears($BN503,$BN504,DCC_Leg2_Float),0)</f>
        <v>0</v>
      </c>
      <c r="DF503" s="332">
        <f t="shared" si="255"/>
        <v>0</v>
      </c>
      <c r="DG503" s="357">
        <f t="shared" si="256"/>
        <v>0</v>
      </c>
      <c r="DH503" s="527"/>
      <c r="DJ503" s="324">
        <f t="shared" si="258"/>
        <v>0</v>
      </c>
      <c r="DK503" s="529"/>
      <c r="DL503" s="338"/>
    </row>
    <row r="504" spans="15:116">
      <c r="O504" s="121">
        <v>0</v>
      </c>
      <c r="P504" s="755">
        <f t="shared" si="227"/>
        <v>0</v>
      </c>
      <c r="Q504" s="125">
        <v>0</v>
      </c>
      <c r="R504" s="890">
        <f>IF(O505=0,0,         IF(OR(Currency1="AUD",Currency1="NZD",Currency1="GBP"),O504,   _xll.qDateNext(O504,"-2b",,,IF(Currency1="EUR","TGT","LON"))))</f>
        <v>0</v>
      </c>
      <c r="S504" s="879" t="str">
        <v/>
      </c>
      <c r="T504" s="879" t="str">
        <v/>
      </c>
      <c r="U504" s="879" t="str">
        <v/>
      </c>
      <c r="V504" s="879" t="str">
        <v/>
      </c>
      <c r="W504" s="879" t="str">
        <v/>
      </c>
      <c r="X504" s="879" t="str">
        <v/>
      </c>
      <c r="Y504" s="879" t="str">
        <v/>
      </c>
      <c r="Z504" s="879" t="str">
        <v/>
      </c>
      <c r="AA504" s="882">
        <f>IF($O505=0,0,        _xll.qDateNext($O504,AA$17,$AH$16,TRUE,Currency1))</f>
        <v>0</v>
      </c>
      <c r="AB504" s="882">
        <f>IF($O505=0,0,        _xll.qDateNext($O504,AB$17,$AH$16,TRUE,Currency1))</f>
        <v>0</v>
      </c>
      <c r="AC504" s="882">
        <f>IF($O505=0,0,        _xll.qDateNext($O504,AC$17,$AH$16,TRUE,Currency1))</f>
        <v>0</v>
      </c>
      <c r="AD504" s="882">
        <f>IF($O505=0,0,        _xll.qDateNext($O504,AD$17,$AH$16,TRUE,Currency1))</f>
        <v>0</v>
      </c>
      <c r="AE504" s="882">
        <f>IF($O505=0,0,        _xll.qDateNext($O504,AE$17,$AH$16,TRUE,Currency1))</f>
        <v>0</v>
      </c>
      <c r="AF504" s="882">
        <f>IF($O505=0,0,        _xll.qDateNext($O504,AF$17,$AH$16,TRUE,Currency1))</f>
        <v>0</v>
      </c>
      <c r="AG504" s="882">
        <f>IF($O505=0,0,        _xll.qDateNext($O504,AG$17,$AH$16,TRUE,Currency1))</f>
        <v>0</v>
      </c>
      <c r="AH504" s="882">
        <f>IF($O505=0,0,        _xll.qDateNext($O504,AH$17,$AH$16,TRUE,Currency1))</f>
        <v>0</v>
      </c>
      <c r="AI504" s="886">
        <f>IF($O505=0,0,           IF(FRM,_xll.qGetFwdRate(AI$14,$O504,AA504,"T",DCC_Leg1_Float),_xll.qGetFwdRate(AI$14,$O504,$O505,"T",DCC_Leg1_Float)))</f>
        <v>0</v>
      </c>
      <c r="AJ504" s="886">
        <f>IF($O505=0,0,           IF(FRM,_xll.qGetFwdRate(AJ$14,$O504,AB504,"T",DCC_Leg1_Float),_xll.qGetFwdRate(AJ$14,$O504,$O505,"T",DCC_Leg1_Float)))</f>
        <v>0</v>
      </c>
      <c r="AK504" s="886">
        <f t="shared" si="228"/>
        <v>0</v>
      </c>
      <c r="AL504" s="886">
        <f>IF($O505=0,0,           IF(FRM,_xll.qGetFwdRate(AL$14,$O504,AD504,"T",DCC_Leg1_Float),_xll.qGetFwdRate(AL$14,$O504,$O505,"T",DCC_Leg1_Float)))</f>
        <v>0</v>
      </c>
      <c r="AM504" s="886">
        <f t="shared" si="241"/>
        <v>0</v>
      </c>
      <c r="AN504" s="886">
        <f t="shared" si="242"/>
        <v>0</v>
      </c>
      <c r="AO504" s="886">
        <f>IF($O505=0,0,           IF(FRM,_xll.qGetFwdRate(AO$14,$O504,AG504,"T",DCC_Leg1_Float),_xll.qGetFwdRate(AO$14,$O504,$O505,"T",DCC_Leg1_Float)))</f>
        <v>0</v>
      </c>
      <c r="AP504" s="886">
        <f>IF($O505=0,0,           IF(FRM,_xll.qGetFwdRate(AP$14,$O504,AH504,"T",DCC_Leg1_Float),_xll.qGetFwdRate(AP$14,$O504,$O505,"T",DCC_Leg1_Float)))</f>
        <v>0</v>
      </c>
      <c r="AQ504" s="648">
        <f t="shared" si="243"/>
        <v>0</v>
      </c>
      <c r="AR504" s="648">
        <f t="shared" si="244"/>
        <v>0</v>
      </c>
      <c r="AS504" s="648">
        <f t="shared" si="245"/>
        <v>0</v>
      </c>
      <c r="AT504" s="648">
        <f t="shared" si="246"/>
        <v>0</v>
      </c>
      <c r="AU504" s="648">
        <f t="shared" si="247"/>
        <v>0</v>
      </c>
      <c r="AV504" s="648">
        <f t="shared" si="248"/>
        <v>0</v>
      </c>
      <c r="AW504" s="648">
        <f t="shared" si="249"/>
        <v>0</v>
      </c>
      <c r="AX504" s="648">
        <f t="shared" si="250"/>
        <v>0</v>
      </c>
      <c r="AY504" s="634">
        <v>0</v>
      </c>
      <c r="AZ504" s="616"/>
      <c r="BA504" s="619">
        <f>IF(O505=0,0,             IF(ISNUMBER(AZ504),AZ504,             IF(ISTEXT(AZ504),INDEX(AQ504:AX504,MATCH(AZ504,$AQ$17:$AX$17,0)),           IF(AY504="INT",_xll.qInterp(O505,AA504:AH504,AQ504:AX504),       INDEX(AQ504:AX504,MATCH(AY504,$AQ$17:$AX$17,0))))))</f>
        <v>0</v>
      </c>
      <c r="BB504" s="674">
        <v>100</v>
      </c>
      <c r="BC504" s="666">
        <f t="shared" si="229"/>
        <v>0</v>
      </c>
      <c r="BD504" s="268">
        <f>IF($O505=0,0,                IF(LEFT(DCC_Leg1_Fixed,2)="1/",uEvaluate(DCC_Leg1_Fixed),        _xll.qDateYears($O504,$O505,DCC_Leg1_Fixed)))</f>
        <v>0</v>
      </c>
      <c r="BE504" s="268">
        <f>IF($O505,_xll.qDateYears($O504,$O505,DCC_Leg1_Float),0)</f>
        <v>0</v>
      </c>
      <c r="BG504" s="332">
        <f t="shared" si="251"/>
        <v>0</v>
      </c>
      <c r="BH504" s="357">
        <f t="shared" si="252"/>
        <v>0</v>
      </c>
      <c r="BI504" s="527"/>
      <c r="BK504" s="324">
        <f t="shared" si="257"/>
        <v>0</v>
      </c>
      <c r="BM504" s="338"/>
      <c r="BN504" s="121">
        <v>0</v>
      </c>
      <c r="BO504" s="755">
        <f t="shared" si="230"/>
        <v>0</v>
      </c>
      <c r="BP504" s="339">
        <v>0</v>
      </c>
      <c r="BQ504" s="890">
        <f>IF(BN505=0,0,         IF(OR(Currency2="AUD",Currency1="NZD",Currency2="GBP"),BN504,   _xll.qDateNext(BN504,"-2b",,,IF(Currency2="EUR","TGT","LON"))))</f>
        <v>0</v>
      </c>
      <c r="BR504" s="879" t="str">
        <v/>
      </c>
      <c r="BS504" s="879" t="str">
        <v/>
      </c>
      <c r="BT504" s="879" t="str">
        <v/>
      </c>
      <c r="BU504" s="879" t="str">
        <v/>
      </c>
      <c r="BV504" s="879" t="str">
        <v/>
      </c>
      <c r="BW504" s="879" t="str">
        <v/>
      </c>
      <c r="BX504" s="879" t="str">
        <v/>
      </c>
      <c r="BY504" s="879" t="str">
        <v/>
      </c>
      <c r="BZ504" s="882">
        <f>IF($BN505=0,0,        _xll.qDateNext($BN504,BZ$17,$CG$16,TRUE,Currency2))</f>
        <v>0</v>
      </c>
      <c r="CA504" s="882">
        <f>IF($BN505=0,0,        _xll.qDateNext($BN504,CA$17,$CG$16,TRUE,Currency2))</f>
        <v>0</v>
      </c>
      <c r="CB504" s="882">
        <f>IF($BN505=0,0,        _xll.qDateNext($BN504,CB$17,$CG$16,TRUE,Currency2))</f>
        <v>0</v>
      </c>
      <c r="CC504" s="882">
        <f>IF($BN505=0,0,        _xll.qDateNext($BN504,CC$17,$CG$16,TRUE,Currency2))</f>
        <v>0</v>
      </c>
      <c r="CD504" s="882">
        <f>IF($BN505=0,0,        _xll.qDateNext($BN504,CD$17,$CG$16,TRUE,Currency2))</f>
        <v>0</v>
      </c>
      <c r="CE504" s="882">
        <f>IF($BN505=0,0,        _xll.qDateNext($BN504,CE$17,$CG$16,TRUE,Currency2))</f>
        <v>0</v>
      </c>
      <c r="CF504" s="882">
        <f>IF($BN505=0,0,        _xll.qDateNext($BN504,CF$17,$CG$16,TRUE,Currency2))</f>
        <v>0</v>
      </c>
      <c r="CG504" s="882">
        <f>IF($BN505=0,0,        _xll.qDateNext($BN504,CG$17,$CG$16,TRUE,Currency2))</f>
        <v>0</v>
      </c>
      <c r="CH504" s="886">
        <v>0</v>
      </c>
      <c r="CI504" s="886">
        <v>0</v>
      </c>
      <c r="CJ504" s="886">
        <v>0</v>
      </c>
      <c r="CK504" s="886">
        <v>0</v>
      </c>
      <c r="CL504" s="886">
        <f t="shared" si="253"/>
        <v>0</v>
      </c>
      <c r="CM504" s="886">
        <f t="shared" si="254"/>
        <v>0</v>
      </c>
      <c r="CN504" s="886">
        <v>0</v>
      </c>
      <c r="CO504" s="886">
        <v>0</v>
      </c>
      <c r="CP504" s="648">
        <f t="shared" si="231"/>
        <v>0</v>
      </c>
      <c r="CQ504" s="648">
        <f t="shared" si="232"/>
        <v>0</v>
      </c>
      <c r="CR504" s="648">
        <f t="shared" si="233"/>
        <v>0</v>
      </c>
      <c r="CS504" s="648">
        <f t="shared" si="234"/>
        <v>0</v>
      </c>
      <c r="CT504" s="648">
        <f t="shared" si="235"/>
        <v>0</v>
      </c>
      <c r="CU504" s="648">
        <f t="shared" si="236"/>
        <v>0</v>
      </c>
      <c r="CV504" s="648">
        <f t="shared" si="237"/>
        <v>0</v>
      </c>
      <c r="CW504" s="648">
        <f t="shared" si="238"/>
        <v>0</v>
      </c>
      <c r="CX504" s="634">
        <v>0</v>
      </c>
      <c r="CY504" s="616"/>
      <c r="CZ504" s="619">
        <f>IF(BN505=0,0,             IF(ISNUMBER(CY504),CY504,             IF(ISTEXT(CY504),INDEX(CP504:CW504,MATCH(CY504,$CP$17:$CW$17,0)),           IF(CX504="INT",_xll.qInterp(BN505,BZ504:CG504,CP504:CW504),       INDEX(CP504:CW504,MATCH(CX504,$CP$17:$CW$17,0))))))</f>
        <v>0</v>
      </c>
      <c r="DA504" s="755">
        <f t="shared" si="239"/>
        <v>0</v>
      </c>
      <c r="DB504" s="387">
        <f t="shared" si="240"/>
        <v>0</v>
      </c>
      <c r="DC504" s="268">
        <f>IF($BN505=0,0,         IF(LEFT(DCC_Leg2_Fixed,2)="1/",uEvaluate(DCC_Leg2_Fixed),         _xll.qDateYears($BN504,$BN505,DCC_Leg2_Fixed)))</f>
        <v>0</v>
      </c>
      <c r="DD504" s="268">
        <f>IF($BN505,_xll.qDateYears($BN504,$BN505,DCC_Leg2_Float),0)</f>
        <v>0</v>
      </c>
      <c r="DF504" s="332">
        <f t="shared" si="255"/>
        <v>0</v>
      </c>
      <c r="DG504" s="357">
        <f t="shared" si="256"/>
        <v>0</v>
      </c>
      <c r="DH504" s="527"/>
      <c r="DJ504" s="324">
        <f t="shared" si="258"/>
        <v>0</v>
      </c>
      <c r="DK504" s="529"/>
      <c r="DL504" s="338"/>
    </row>
    <row r="505" spans="15:116">
      <c r="O505" s="121">
        <v>0</v>
      </c>
      <c r="P505" s="755">
        <f t="shared" si="227"/>
        <v>0</v>
      </c>
      <c r="Q505" s="125">
        <v>0</v>
      </c>
      <c r="R505" s="890">
        <f>IF(O506=0,0,         IF(OR(Currency1="AUD",Currency1="NZD",Currency1="GBP"),O505,   _xll.qDateNext(O505,"-2b",,,IF(Currency1="EUR","TGT","LON"))))</f>
        <v>0</v>
      </c>
      <c r="S505" s="879" t="str">
        <v/>
      </c>
      <c r="T505" s="879" t="str">
        <v/>
      </c>
      <c r="U505" s="879" t="str">
        <v/>
      </c>
      <c r="V505" s="879" t="str">
        <v/>
      </c>
      <c r="W505" s="879" t="str">
        <v/>
      </c>
      <c r="X505" s="879" t="str">
        <v/>
      </c>
      <c r="Y505" s="879" t="str">
        <v/>
      </c>
      <c r="Z505" s="879" t="str">
        <v/>
      </c>
      <c r="AA505" s="882">
        <f>IF($O506=0,0,        _xll.qDateNext($O505,AA$17,$AH$16,TRUE,Currency1))</f>
        <v>0</v>
      </c>
      <c r="AB505" s="882">
        <f>IF($O506=0,0,        _xll.qDateNext($O505,AB$17,$AH$16,TRUE,Currency1))</f>
        <v>0</v>
      </c>
      <c r="AC505" s="882">
        <f>IF($O506=0,0,        _xll.qDateNext($O505,AC$17,$AH$16,TRUE,Currency1))</f>
        <v>0</v>
      </c>
      <c r="AD505" s="882">
        <f>IF($O506=0,0,        _xll.qDateNext($O505,AD$17,$AH$16,TRUE,Currency1))</f>
        <v>0</v>
      </c>
      <c r="AE505" s="882">
        <f>IF($O506=0,0,        _xll.qDateNext($O505,AE$17,$AH$16,TRUE,Currency1))</f>
        <v>0</v>
      </c>
      <c r="AF505" s="882">
        <f>IF($O506=0,0,        _xll.qDateNext($O505,AF$17,$AH$16,TRUE,Currency1))</f>
        <v>0</v>
      </c>
      <c r="AG505" s="882">
        <f>IF($O506=0,0,        _xll.qDateNext($O505,AG$17,$AH$16,TRUE,Currency1))</f>
        <v>0</v>
      </c>
      <c r="AH505" s="882">
        <f>IF($O506=0,0,        _xll.qDateNext($O505,AH$17,$AH$16,TRUE,Currency1))</f>
        <v>0</v>
      </c>
      <c r="AI505" s="886">
        <f>IF($O506=0,0,           IF(FRM,_xll.qGetFwdRate(AI$14,$O505,AA505,"T",DCC_Leg1_Float),_xll.qGetFwdRate(AI$14,$O505,$O506,"T",DCC_Leg1_Float)))</f>
        <v>0</v>
      </c>
      <c r="AJ505" s="886">
        <f>IF($O506=0,0,           IF(FRM,_xll.qGetFwdRate(AJ$14,$O505,AB505,"T",DCC_Leg1_Float),_xll.qGetFwdRate(AJ$14,$O505,$O506,"T",DCC_Leg1_Float)))</f>
        <v>0</v>
      </c>
      <c r="AK505" s="886">
        <f t="shared" si="228"/>
        <v>0</v>
      </c>
      <c r="AL505" s="886">
        <f>IF($O506=0,0,           IF(FRM,_xll.qGetFwdRate(AL$14,$O505,AD505,"T",DCC_Leg1_Float),_xll.qGetFwdRate(AL$14,$O505,$O506,"T",DCC_Leg1_Float)))</f>
        <v>0</v>
      </c>
      <c r="AM505" s="886">
        <f t="shared" si="241"/>
        <v>0</v>
      </c>
      <c r="AN505" s="886">
        <f t="shared" si="242"/>
        <v>0</v>
      </c>
      <c r="AO505" s="886">
        <f>IF($O506=0,0,           IF(FRM,_xll.qGetFwdRate(AO$14,$O505,AG505,"T",DCC_Leg1_Float),_xll.qGetFwdRate(AO$14,$O505,$O506,"T",DCC_Leg1_Float)))</f>
        <v>0</v>
      </c>
      <c r="AP505" s="886">
        <f>IF($O506=0,0,           IF(FRM,_xll.qGetFwdRate(AP$14,$O505,AH505,"T",DCC_Leg1_Float),_xll.qGetFwdRate(AP$14,$O505,$O506,"T",DCC_Leg1_Float)))</f>
        <v>0</v>
      </c>
      <c r="AQ505" s="648">
        <f t="shared" si="243"/>
        <v>0</v>
      </c>
      <c r="AR505" s="648">
        <f t="shared" si="244"/>
        <v>0</v>
      </c>
      <c r="AS505" s="648">
        <f t="shared" si="245"/>
        <v>0</v>
      </c>
      <c r="AT505" s="648">
        <f t="shared" si="246"/>
        <v>0</v>
      </c>
      <c r="AU505" s="648">
        <f t="shared" si="247"/>
        <v>0</v>
      </c>
      <c r="AV505" s="648">
        <f t="shared" si="248"/>
        <v>0</v>
      </c>
      <c r="AW505" s="648">
        <f t="shared" si="249"/>
        <v>0</v>
      </c>
      <c r="AX505" s="648">
        <f t="shared" si="250"/>
        <v>0</v>
      </c>
      <c r="AY505" s="634">
        <v>0</v>
      </c>
      <c r="AZ505" s="616"/>
      <c r="BA505" s="619">
        <f>IF(O506=0,0,             IF(ISNUMBER(AZ505),AZ505,             IF(ISTEXT(AZ505),INDEX(AQ505:AX505,MATCH(AZ505,$AQ$17:$AX$17,0)),           IF(AY505="INT",_xll.qInterp(O506,AA505:AH505,AQ505:AX505),       INDEX(AQ505:AX505,MATCH(AY505,$AQ$17:$AX$17,0))))))</f>
        <v>0</v>
      </c>
      <c r="BB505" s="674">
        <v>100</v>
      </c>
      <c r="BC505" s="666">
        <f t="shared" si="229"/>
        <v>0</v>
      </c>
      <c r="BD505" s="268">
        <f>IF($O506=0,0,                IF(LEFT(DCC_Leg1_Fixed,2)="1/",uEvaluate(DCC_Leg1_Fixed),        _xll.qDateYears($O505,$O506,DCC_Leg1_Fixed)))</f>
        <v>0</v>
      </c>
      <c r="BE505" s="268">
        <f>IF($O506,_xll.qDateYears($O505,$O506,DCC_Leg1_Float),0)</f>
        <v>0</v>
      </c>
      <c r="BG505" s="332">
        <f t="shared" si="251"/>
        <v>0</v>
      </c>
      <c r="BH505" s="357">
        <f t="shared" si="252"/>
        <v>0</v>
      </c>
      <c r="BI505" s="527"/>
      <c r="BK505" s="324">
        <f t="shared" si="257"/>
        <v>0</v>
      </c>
      <c r="BM505" s="338"/>
      <c r="BN505" s="121">
        <v>0</v>
      </c>
      <c r="BO505" s="755">
        <f t="shared" si="230"/>
        <v>0</v>
      </c>
      <c r="BP505" s="339">
        <v>0</v>
      </c>
      <c r="BQ505" s="890">
        <f>IF(BN506=0,0,         IF(OR(Currency2="AUD",Currency1="NZD",Currency2="GBP"),BN505,   _xll.qDateNext(BN505,"-2b",,,IF(Currency2="EUR","TGT","LON"))))</f>
        <v>0</v>
      </c>
      <c r="BR505" s="879" t="str">
        <v/>
      </c>
      <c r="BS505" s="879" t="str">
        <v/>
      </c>
      <c r="BT505" s="879" t="str">
        <v/>
      </c>
      <c r="BU505" s="879" t="str">
        <v/>
      </c>
      <c r="BV505" s="879" t="str">
        <v/>
      </c>
      <c r="BW505" s="879" t="str">
        <v/>
      </c>
      <c r="BX505" s="879" t="str">
        <v/>
      </c>
      <c r="BY505" s="879" t="str">
        <v/>
      </c>
      <c r="BZ505" s="882">
        <f>IF($BN506=0,0,        _xll.qDateNext($BN505,BZ$17,$CG$16,TRUE,Currency2))</f>
        <v>0</v>
      </c>
      <c r="CA505" s="882">
        <f>IF($BN506=0,0,        _xll.qDateNext($BN505,CA$17,$CG$16,TRUE,Currency2))</f>
        <v>0</v>
      </c>
      <c r="CB505" s="882">
        <f>IF($BN506=0,0,        _xll.qDateNext($BN505,CB$17,$CG$16,TRUE,Currency2))</f>
        <v>0</v>
      </c>
      <c r="CC505" s="882">
        <f>IF($BN506=0,0,        _xll.qDateNext($BN505,CC$17,$CG$16,TRUE,Currency2))</f>
        <v>0</v>
      </c>
      <c r="CD505" s="882">
        <f>IF($BN506=0,0,        _xll.qDateNext($BN505,CD$17,$CG$16,TRUE,Currency2))</f>
        <v>0</v>
      </c>
      <c r="CE505" s="882">
        <f>IF($BN506=0,0,        _xll.qDateNext($BN505,CE$17,$CG$16,TRUE,Currency2))</f>
        <v>0</v>
      </c>
      <c r="CF505" s="882">
        <f>IF($BN506=0,0,        _xll.qDateNext($BN505,CF$17,$CG$16,TRUE,Currency2))</f>
        <v>0</v>
      </c>
      <c r="CG505" s="882">
        <f>IF($BN506=0,0,        _xll.qDateNext($BN505,CG$17,$CG$16,TRUE,Currency2))</f>
        <v>0</v>
      </c>
      <c r="CH505" s="886">
        <v>0</v>
      </c>
      <c r="CI505" s="886">
        <v>0</v>
      </c>
      <c r="CJ505" s="886">
        <v>0</v>
      </c>
      <c r="CK505" s="886">
        <v>0</v>
      </c>
      <c r="CL505" s="886">
        <f t="shared" si="253"/>
        <v>0</v>
      </c>
      <c r="CM505" s="886">
        <f t="shared" si="254"/>
        <v>0</v>
      </c>
      <c r="CN505" s="886">
        <v>0</v>
      </c>
      <c r="CO505" s="886">
        <v>0</v>
      </c>
      <c r="CP505" s="648">
        <f t="shared" si="231"/>
        <v>0</v>
      </c>
      <c r="CQ505" s="648">
        <f t="shared" si="232"/>
        <v>0</v>
      </c>
      <c r="CR505" s="648">
        <f t="shared" si="233"/>
        <v>0</v>
      </c>
      <c r="CS505" s="648">
        <f t="shared" si="234"/>
        <v>0</v>
      </c>
      <c r="CT505" s="648">
        <f t="shared" si="235"/>
        <v>0</v>
      </c>
      <c r="CU505" s="648">
        <f t="shared" si="236"/>
        <v>0</v>
      </c>
      <c r="CV505" s="648">
        <f t="shared" si="237"/>
        <v>0</v>
      </c>
      <c r="CW505" s="648">
        <f t="shared" si="238"/>
        <v>0</v>
      </c>
      <c r="CX505" s="634">
        <v>0</v>
      </c>
      <c r="CY505" s="616"/>
      <c r="CZ505" s="619">
        <f>IF(BN506=0,0,             IF(ISNUMBER(CY505),CY505,             IF(ISTEXT(CY505),INDEX(CP505:CW505,MATCH(CY505,$CP$17:$CW$17,0)),           IF(CX505="INT",_xll.qInterp(BN506,BZ505:CG505,CP505:CW505),       INDEX(CP505:CW505,MATCH(CX505,$CP$17:$CW$17,0))))))</f>
        <v>0</v>
      </c>
      <c r="DA505" s="755">
        <f t="shared" si="239"/>
        <v>0</v>
      </c>
      <c r="DB505" s="387">
        <f t="shared" si="240"/>
        <v>0</v>
      </c>
      <c r="DC505" s="268">
        <f>IF($BN506=0,0,         IF(LEFT(DCC_Leg2_Fixed,2)="1/",uEvaluate(DCC_Leg2_Fixed),         _xll.qDateYears($BN505,$BN506,DCC_Leg2_Fixed)))</f>
        <v>0</v>
      </c>
      <c r="DD505" s="268">
        <f>IF($BN506,_xll.qDateYears($BN505,$BN506,DCC_Leg2_Float),0)</f>
        <v>0</v>
      </c>
      <c r="DF505" s="332">
        <f t="shared" si="255"/>
        <v>0</v>
      </c>
      <c r="DG505" s="357">
        <f t="shared" si="256"/>
        <v>0</v>
      </c>
      <c r="DH505" s="527"/>
      <c r="DJ505" s="324">
        <f t="shared" si="258"/>
        <v>0</v>
      </c>
      <c r="DK505" s="529"/>
      <c r="DL505" s="338"/>
    </row>
    <row r="506" spans="15:116">
      <c r="O506" s="121">
        <v>0</v>
      </c>
      <c r="P506" s="755">
        <f t="shared" si="227"/>
        <v>0</v>
      </c>
      <c r="Q506" s="125">
        <v>0</v>
      </c>
      <c r="R506" s="890">
        <f>IF(O507=0,0,         IF(OR(Currency1="AUD",Currency1="NZD",Currency1="GBP"),O506,   _xll.qDateNext(O506,"-2b",,,IF(Currency1="EUR","TGT","LON"))))</f>
        <v>0</v>
      </c>
      <c r="S506" s="879" t="str">
        <v/>
      </c>
      <c r="T506" s="879" t="str">
        <v/>
      </c>
      <c r="U506" s="879" t="str">
        <v/>
      </c>
      <c r="V506" s="879" t="str">
        <v/>
      </c>
      <c r="W506" s="879" t="str">
        <v/>
      </c>
      <c r="X506" s="879" t="str">
        <v/>
      </c>
      <c r="Y506" s="879" t="str">
        <v/>
      </c>
      <c r="Z506" s="879" t="str">
        <v/>
      </c>
      <c r="AA506" s="882">
        <f>IF($O507=0,0,        _xll.qDateNext($O506,AA$17,$AH$16,TRUE,Currency1))</f>
        <v>0</v>
      </c>
      <c r="AB506" s="882">
        <f>IF($O507=0,0,        _xll.qDateNext($O506,AB$17,$AH$16,TRUE,Currency1))</f>
        <v>0</v>
      </c>
      <c r="AC506" s="882">
        <f>IF($O507=0,0,        _xll.qDateNext($O506,AC$17,$AH$16,TRUE,Currency1))</f>
        <v>0</v>
      </c>
      <c r="AD506" s="882">
        <f>IF($O507=0,0,        _xll.qDateNext($O506,AD$17,$AH$16,TRUE,Currency1))</f>
        <v>0</v>
      </c>
      <c r="AE506" s="882">
        <f>IF($O507=0,0,        _xll.qDateNext($O506,AE$17,$AH$16,TRUE,Currency1))</f>
        <v>0</v>
      </c>
      <c r="AF506" s="882">
        <f>IF($O507=0,0,        _xll.qDateNext($O506,AF$17,$AH$16,TRUE,Currency1))</f>
        <v>0</v>
      </c>
      <c r="AG506" s="882">
        <f>IF($O507=0,0,        _xll.qDateNext($O506,AG$17,$AH$16,TRUE,Currency1))</f>
        <v>0</v>
      </c>
      <c r="AH506" s="882">
        <f>IF($O507=0,0,        _xll.qDateNext($O506,AH$17,$AH$16,TRUE,Currency1))</f>
        <v>0</v>
      </c>
      <c r="AI506" s="886">
        <f>IF($O507=0,0,           IF(FRM,_xll.qGetFwdRate(AI$14,$O506,AA506,"T",DCC_Leg1_Float),_xll.qGetFwdRate(AI$14,$O506,$O507,"T",DCC_Leg1_Float)))</f>
        <v>0</v>
      </c>
      <c r="AJ506" s="886">
        <f>IF($O507=0,0,           IF(FRM,_xll.qGetFwdRate(AJ$14,$O506,AB506,"T",DCC_Leg1_Float),_xll.qGetFwdRate(AJ$14,$O506,$O507,"T",DCC_Leg1_Float)))</f>
        <v>0</v>
      </c>
      <c r="AK506" s="886">
        <f t="shared" si="228"/>
        <v>0</v>
      </c>
      <c r="AL506" s="886">
        <f>IF($O507=0,0,           IF(FRM,_xll.qGetFwdRate(AL$14,$O506,AD506,"T",DCC_Leg1_Float),_xll.qGetFwdRate(AL$14,$O506,$O507,"T",DCC_Leg1_Float)))</f>
        <v>0</v>
      </c>
      <c r="AM506" s="886">
        <f t="shared" si="241"/>
        <v>0</v>
      </c>
      <c r="AN506" s="886">
        <f t="shared" si="242"/>
        <v>0</v>
      </c>
      <c r="AO506" s="886">
        <f>IF($O507=0,0,           IF(FRM,_xll.qGetFwdRate(AO$14,$O506,AG506,"T",DCC_Leg1_Float),_xll.qGetFwdRate(AO$14,$O506,$O507,"T",DCC_Leg1_Float)))</f>
        <v>0</v>
      </c>
      <c r="AP506" s="886">
        <f>IF($O507=0,0,           IF(FRM,_xll.qGetFwdRate(AP$14,$O506,AH506,"T",DCC_Leg1_Float),_xll.qGetFwdRate(AP$14,$O506,$O507,"T",DCC_Leg1_Float)))</f>
        <v>0</v>
      </c>
      <c r="AQ506" s="648">
        <f t="shared" si="243"/>
        <v>0</v>
      </c>
      <c r="AR506" s="648">
        <f t="shared" si="244"/>
        <v>0</v>
      </c>
      <c r="AS506" s="648">
        <f t="shared" si="245"/>
        <v>0</v>
      </c>
      <c r="AT506" s="648">
        <f t="shared" si="246"/>
        <v>0</v>
      </c>
      <c r="AU506" s="648">
        <f t="shared" si="247"/>
        <v>0</v>
      </c>
      <c r="AV506" s="648">
        <f t="shared" si="248"/>
        <v>0</v>
      </c>
      <c r="AW506" s="648">
        <f t="shared" si="249"/>
        <v>0</v>
      </c>
      <c r="AX506" s="648">
        <f t="shared" si="250"/>
        <v>0</v>
      </c>
      <c r="AY506" s="634">
        <v>0</v>
      </c>
      <c r="AZ506" s="616"/>
      <c r="BA506" s="619">
        <f>IF(O507=0,0,             IF(ISNUMBER(AZ506),AZ506,             IF(ISTEXT(AZ506),INDEX(AQ506:AX506,MATCH(AZ506,$AQ$17:$AX$17,0)),           IF(AY506="INT",_xll.qInterp(O507,AA506:AH506,AQ506:AX506),       INDEX(AQ506:AX506,MATCH(AY506,$AQ$17:$AX$17,0))))))</f>
        <v>0</v>
      </c>
      <c r="BB506" s="674">
        <v>100</v>
      </c>
      <c r="BC506" s="666">
        <f t="shared" si="229"/>
        <v>0</v>
      </c>
      <c r="BD506" s="268">
        <f>IF($O507=0,0,                IF(LEFT(DCC_Leg1_Fixed,2)="1/",uEvaluate(DCC_Leg1_Fixed),        _xll.qDateYears($O506,$O507,DCC_Leg1_Fixed)))</f>
        <v>0</v>
      </c>
      <c r="BE506" s="268">
        <f>IF($O507,_xll.qDateYears($O506,$O507,DCC_Leg1_Float),0)</f>
        <v>0</v>
      </c>
      <c r="BG506" s="332">
        <f t="shared" si="251"/>
        <v>0</v>
      </c>
      <c r="BH506" s="357">
        <f t="shared" si="252"/>
        <v>0</v>
      </c>
      <c r="BI506" s="527"/>
      <c r="BK506" s="324">
        <f t="shared" si="257"/>
        <v>0</v>
      </c>
      <c r="BM506" s="338"/>
      <c r="BN506" s="121">
        <v>0</v>
      </c>
      <c r="BO506" s="755">
        <f t="shared" si="230"/>
        <v>0</v>
      </c>
      <c r="BP506" s="339">
        <v>0</v>
      </c>
      <c r="BQ506" s="890">
        <f>IF(BN507=0,0,         IF(OR(Currency2="AUD",Currency1="NZD",Currency2="GBP"),BN506,   _xll.qDateNext(BN506,"-2b",,,IF(Currency2="EUR","TGT","LON"))))</f>
        <v>0</v>
      </c>
      <c r="BR506" s="879" t="str">
        <v/>
      </c>
      <c r="BS506" s="879" t="str">
        <v/>
      </c>
      <c r="BT506" s="879" t="str">
        <v/>
      </c>
      <c r="BU506" s="879" t="str">
        <v/>
      </c>
      <c r="BV506" s="879" t="str">
        <v/>
      </c>
      <c r="BW506" s="879" t="str">
        <v/>
      </c>
      <c r="BX506" s="879" t="str">
        <v/>
      </c>
      <c r="BY506" s="879" t="str">
        <v/>
      </c>
      <c r="BZ506" s="882">
        <f>IF($BN507=0,0,        _xll.qDateNext($BN506,BZ$17,$CG$16,TRUE,Currency2))</f>
        <v>0</v>
      </c>
      <c r="CA506" s="882">
        <f>IF($BN507=0,0,        _xll.qDateNext($BN506,CA$17,$CG$16,TRUE,Currency2))</f>
        <v>0</v>
      </c>
      <c r="CB506" s="882">
        <f>IF($BN507=0,0,        _xll.qDateNext($BN506,CB$17,$CG$16,TRUE,Currency2))</f>
        <v>0</v>
      </c>
      <c r="CC506" s="882">
        <f>IF($BN507=0,0,        _xll.qDateNext($BN506,CC$17,$CG$16,TRUE,Currency2))</f>
        <v>0</v>
      </c>
      <c r="CD506" s="882">
        <f>IF($BN507=0,0,        _xll.qDateNext($BN506,CD$17,$CG$16,TRUE,Currency2))</f>
        <v>0</v>
      </c>
      <c r="CE506" s="882">
        <f>IF($BN507=0,0,        _xll.qDateNext($BN506,CE$17,$CG$16,TRUE,Currency2))</f>
        <v>0</v>
      </c>
      <c r="CF506" s="882">
        <f>IF($BN507=0,0,        _xll.qDateNext($BN506,CF$17,$CG$16,TRUE,Currency2))</f>
        <v>0</v>
      </c>
      <c r="CG506" s="882">
        <f>IF($BN507=0,0,        _xll.qDateNext($BN506,CG$17,$CG$16,TRUE,Currency2))</f>
        <v>0</v>
      </c>
      <c r="CH506" s="886">
        <v>0</v>
      </c>
      <c r="CI506" s="886">
        <v>0</v>
      </c>
      <c r="CJ506" s="886">
        <v>0</v>
      </c>
      <c r="CK506" s="886">
        <v>0</v>
      </c>
      <c r="CL506" s="886">
        <f t="shared" si="253"/>
        <v>0</v>
      </c>
      <c r="CM506" s="886">
        <f t="shared" si="254"/>
        <v>0</v>
      </c>
      <c r="CN506" s="886">
        <v>0</v>
      </c>
      <c r="CO506" s="886">
        <v>0</v>
      </c>
      <c r="CP506" s="648">
        <f t="shared" si="231"/>
        <v>0</v>
      </c>
      <c r="CQ506" s="648">
        <f t="shared" si="232"/>
        <v>0</v>
      </c>
      <c r="CR506" s="648">
        <f t="shared" si="233"/>
        <v>0</v>
      </c>
      <c r="CS506" s="648">
        <f t="shared" si="234"/>
        <v>0</v>
      </c>
      <c r="CT506" s="648">
        <f t="shared" si="235"/>
        <v>0</v>
      </c>
      <c r="CU506" s="648">
        <f t="shared" si="236"/>
        <v>0</v>
      </c>
      <c r="CV506" s="648">
        <f t="shared" si="237"/>
        <v>0</v>
      </c>
      <c r="CW506" s="648">
        <f t="shared" si="238"/>
        <v>0</v>
      </c>
      <c r="CX506" s="634">
        <v>0</v>
      </c>
      <c r="CY506" s="616"/>
      <c r="CZ506" s="619">
        <f>IF(BN507=0,0,             IF(ISNUMBER(CY506),CY506,             IF(ISTEXT(CY506),INDEX(CP506:CW506,MATCH(CY506,$CP$17:$CW$17,0)),           IF(CX506="INT",_xll.qInterp(BN507,BZ506:CG506,CP506:CW506),       INDEX(CP506:CW506,MATCH(CX506,$CP$17:$CW$17,0))))))</f>
        <v>0</v>
      </c>
      <c r="DA506" s="755">
        <f t="shared" si="239"/>
        <v>0</v>
      </c>
      <c r="DB506" s="387">
        <f t="shared" si="240"/>
        <v>0</v>
      </c>
      <c r="DC506" s="268">
        <f>IF($BN507=0,0,         IF(LEFT(DCC_Leg2_Fixed,2)="1/",uEvaluate(DCC_Leg2_Fixed),         _xll.qDateYears($BN506,$BN507,DCC_Leg2_Fixed)))</f>
        <v>0</v>
      </c>
      <c r="DD506" s="268">
        <f>IF($BN507,_xll.qDateYears($BN506,$BN507,DCC_Leg2_Float),0)</f>
        <v>0</v>
      </c>
      <c r="DF506" s="332">
        <f t="shared" si="255"/>
        <v>0</v>
      </c>
      <c r="DG506" s="357">
        <f t="shared" si="256"/>
        <v>0</v>
      </c>
      <c r="DH506" s="527"/>
      <c r="DJ506" s="324">
        <f t="shared" si="258"/>
        <v>0</v>
      </c>
      <c r="DK506" s="529"/>
      <c r="DL506" s="338"/>
    </row>
    <row r="507" spans="15:116">
      <c r="O507" s="121">
        <v>0</v>
      </c>
      <c r="P507" s="755">
        <f t="shared" si="227"/>
        <v>0</v>
      </c>
      <c r="Q507" s="125">
        <v>0</v>
      </c>
      <c r="R507" s="890">
        <f>IF(O508=0,0,         IF(OR(Currency1="AUD",Currency1="NZD",Currency1="GBP"),O507,   _xll.qDateNext(O507,"-2b",,,IF(Currency1="EUR","TGT","LON"))))</f>
        <v>0</v>
      </c>
      <c r="S507" s="879" t="str">
        <v/>
      </c>
      <c r="T507" s="879" t="str">
        <v/>
      </c>
      <c r="U507" s="879" t="str">
        <v/>
      </c>
      <c r="V507" s="879" t="str">
        <v/>
      </c>
      <c r="W507" s="879" t="str">
        <v/>
      </c>
      <c r="X507" s="879" t="str">
        <v/>
      </c>
      <c r="Y507" s="879" t="str">
        <v/>
      </c>
      <c r="Z507" s="879" t="str">
        <v/>
      </c>
      <c r="AA507" s="882">
        <f>IF($O508=0,0,        _xll.qDateNext($O507,AA$17,$AH$16,TRUE,Currency1))</f>
        <v>0</v>
      </c>
      <c r="AB507" s="882">
        <f>IF($O508=0,0,        _xll.qDateNext($O507,AB$17,$AH$16,TRUE,Currency1))</f>
        <v>0</v>
      </c>
      <c r="AC507" s="882">
        <f>IF($O508=0,0,        _xll.qDateNext($O507,AC$17,$AH$16,TRUE,Currency1))</f>
        <v>0</v>
      </c>
      <c r="AD507" s="882">
        <f>IF($O508=0,0,        _xll.qDateNext($O507,AD$17,$AH$16,TRUE,Currency1))</f>
        <v>0</v>
      </c>
      <c r="AE507" s="882">
        <f>IF($O508=0,0,        _xll.qDateNext($O507,AE$17,$AH$16,TRUE,Currency1))</f>
        <v>0</v>
      </c>
      <c r="AF507" s="882">
        <f>IF($O508=0,0,        _xll.qDateNext($O507,AF$17,$AH$16,TRUE,Currency1))</f>
        <v>0</v>
      </c>
      <c r="AG507" s="882">
        <f>IF($O508=0,0,        _xll.qDateNext($O507,AG$17,$AH$16,TRUE,Currency1))</f>
        <v>0</v>
      </c>
      <c r="AH507" s="882">
        <f>IF($O508=0,0,        _xll.qDateNext($O507,AH$17,$AH$16,TRUE,Currency1))</f>
        <v>0</v>
      </c>
      <c r="AI507" s="886">
        <f>IF($O508=0,0,           IF(FRM,_xll.qGetFwdRate(AI$14,$O507,AA507,"T",DCC_Leg1_Float),_xll.qGetFwdRate(AI$14,$O507,$O508,"T",DCC_Leg1_Float)))</f>
        <v>0</v>
      </c>
      <c r="AJ507" s="886">
        <f>IF($O508=0,0,           IF(FRM,_xll.qGetFwdRate(AJ$14,$O507,AB507,"T",DCC_Leg1_Float),_xll.qGetFwdRate(AJ$14,$O507,$O508,"T",DCC_Leg1_Float)))</f>
        <v>0</v>
      </c>
      <c r="AK507" s="886">
        <f t="shared" si="228"/>
        <v>0</v>
      </c>
      <c r="AL507" s="886">
        <f>IF($O508=0,0,           IF(FRM,_xll.qGetFwdRate(AL$14,$O507,AD507,"T",DCC_Leg1_Float),_xll.qGetFwdRate(AL$14,$O507,$O508,"T",DCC_Leg1_Float)))</f>
        <v>0</v>
      </c>
      <c r="AM507" s="886">
        <f t="shared" si="241"/>
        <v>0</v>
      </c>
      <c r="AN507" s="886">
        <f t="shared" si="242"/>
        <v>0</v>
      </c>
      <c r="AO507" s="886">
        <f>IF($O508=0,0,           IF(FRM,_xll.qGetFwdRate(AO$14,$O507,AG507,"T",DCC_Leg1_Float),_xll.qGetFwdRate(AO$14,$O507,$O508,"T",DCC_Leg1_Float)))</f>
        <v>0</v>
      </c>
      <c r="AP507" s="886">
        <f>IF($O508=0,0,           IF(FRM,_xll.qGetFwdRate(AP$14,$O507,AH507,"T",DCC_Leg1_Float),_xll.qGetFwdRate(AP$14,$O507,$O508,"T",DCC_Leg1_Float)))</f>
        <v>0</v>
      </c>
      <c r="AQ507" s="648">
        <f t="shared" si="243"/>
        <v>0</v>
      </c>
      <c r="AR507" s="648">
        <f t="shared" si="244"/>
        <v>0</v>
      </c>
      <c r="AS507" s="648">
        <f t="shared" si="245"/>
        <v>0</v>
      </c>
      <c r="AT507" s="648">
        <f t="shared" si="246"/>
        <v>0</v>
      </c>
      <c r="AU507" s="648">
        <f t="shared" si="247"/>
        <v>0</v>
      </c>
      <c r="AV507" s="648">
        <f t="shared" si="248"/>
        <v>0</v>
      </c>
      <c r="AW507" s="648">
        <f t="shared" si="249"/>
        <v>0</v>
      </c>
      <c r="AX507" s="648">
        <f t="shared" si="250"/>
        <v>0</v>
      </c>
      <c r="AY507" s="634">
        <v>0</v>
      </c>
      <c r="AZ507" s="616"/>
      <c r="BA507" s="619">
        <f>IF(O508=0,0,             IF(ISNUMBER(AZ507),AZ507,             IF(ISTEXT(AZ507),INDEX(AQ507:AX507,MATCH(AZ507,$AQ$17:$AX$17,0)),           IF(AY507="INT",_xll.qInterp(O508,AA507:AH507,AQ507:AX507),       INDEX(AQ507:AX507,MATCH(AY507,$AQ$17:$AX$17,0))))))</f>
        <v>0</v>
      </c>
      <c r="BB507" s="674">
        <v>100</v>
      </c>
      <c r="BC507" s="666">
        <f t="shared" si="229"/>
        <v>0</v>
      </c>
      <c r="BD507" s="268">
        <f>IF($O508=0,0,                IF(LEFT(DCC_Leg1_Fixed,2)="1/",uEvaluate(DCC_Leg1_Fixed),        _xll.qDateYears($O507,$O508,DCC_Leg1_Fixed)))</f>
        <v>0</v>
      </c>
      <c r="BE507" s="268">
        <f>IF($O508,_xll.qDateYears($O507,$O508,DCC_Leg1_Float),0)</f>
        <v>0</v>
      </c>
      <c r="BG507" s="332">
        <f t="shared" si="251"/>
        <v>0</v>
      </c>
      <c r="BH507" s="357">
        <f t="shared" si="252"/>
        <v>0</v>
      </c>
      <c r="BI507" s="527"/>
      <c r="BK507" s="324">
        <f t="shared" si="257"/>
        <v>0</v>
      </c>
      <c r="BM507" s="338"/>
      <c r="BN507" s="121">
        <v>0</v>
      </c>
      <c r="BO507" s="755">
        <f t="shared" si="230"/>
        <v>0</v>
      </c>
      <c r="BP507" s="339">
        <v>0</v>
      </c>
      <c r="BQ507" s="890">
        <f>IF(BN508=0,0,         IF(OR(Currency2="AUD",Currency1="NZD",Currency2="GBP"),BN507,   _xll.qDateNext(BN507,"-2b",,,IF(Currency2="EUR","TGT","LON"))))</f>
        <v>0</v>
      </c>
      <c r="BR507" s="879" t="str">
        <v/>
      </c>
      <c r="BS507" s="879" t="str">
        <v/>
      </c>
      <c r="BT507" s="879" t="str">
        <v/>
      </c>
      <c r="BU507" s="879" t="str">
        <v/>
      </c>
      <c r="BV507" s="879" t="str">
        <v/>
      </c>
      <c r="BW507" s="879" t="str">
        <v/>
      </c>
      <c r="BX507" s="879" t="str">
        <v/>
      </c>
      <c r="BY507" s="879" t="str">
        <v/>
      </c>
      <c r="BZ507" s="882">
        <f>IF($BN508=0,0,        _xll.qDateNext($BN507,BZ$17,$CG$16,TRUE,Currency2))</f>
        <v>0</v>
      </c>
      <c r="CA507" s="882">
        <f>IF($BN508=0,0,        _xll.qDateNext($BN507,CA$17,$CG$16,TRUE,Currency2))</f>
        <v>0</v>
      </c>
      <c r="CB507" s="882">
        <f>IF($BN508=0,0,        _xll.qDateNext($BN507,CB$17,$CG$16,TRUE,Currency2))</f>
        <v>0</v>
      </c>
      <c r="CC507" s="882">
        <f>IF($BN508=0,0,        _xll.qDateNext($BN507,CC$17,$CG$16,TRUE,Currency2))</f>
        <v>0</v>
      </c>
      <c r="CD507" s="882">
        <f>IF($BN508=0,0,        _xll.qDateNext($BN507,CD$17,$CG$16,TRUE,Currency2))</f>
        <v>0</v>
      </c>
      <c r="CE507" s="882">
        <f>IF($BN508=0,0,        _xll.qDateNext($BN507,CE$17,$CG$16,TRUE,Currency2))</f>
        <v>0</v>
      </c>
      <c r="CF507" s="882">
        <f>IF($BN508=0,0,        _xll.qDateNext($BN507,CF$17,$CG$16,TRUE,Currency2))</f>
        <v>0</v>
      </c>
      <c r="CG507" s="882">
        <f>IF($BN508=0,0,        _xll.qDateNext($BN507,CG$17,$CG$16,TRUE,Currency2))</f>
        <v>0</v>
      </c>
      <c r="CH507" s="886">
        <v>0</v>
      </c>
      <c r="CI507" s="886">
        <v>0</v>
      </c>
      <c r="CJ507" s="886">
        <v>0</v>
      </c>
      <c r="CK507" s="886">
        <v>0</v>
      </c>
      <c r="CL507" s="886">
        <f t="shared" si="253"/>
        <v>0</v>
      </c>
      <c r="CM507" s="886">
        <f t="shared" si="254"/>
        <v>0</v>
      </c>
      <c r="CN507" s="886">
        <v>0</v>
      </c>
      <c r="CO507" s="886">
        <v>0</v>
      </c>
      <c r="CP507" s="648">
        <f t="shared" si="231"/>
        <v>0</v>
      </c>
      <c r="CQ507" s="648">
        <f t="shared" si="232"/>
        <v>0</v>
      </c>
      <c r="CR507" s="648">
        <f t="shared" si="233"/>
        <v>0</v>
      </c>
      <c r="CS507" s="648">
        <f t="shared" si="234"/>
        <v>0</v>
      </c>
      <c r="CT507" s="648">
        <f t="shared" si="235"/>
        <v>0</v>
      </c>
      <c r="CU507" s="648">
        <f t="shared" si="236"/>
        <v>0</v>
      </c>
      <c r="CV507" s="648">
        <f t="shared" si="237"/>
        <v>0</v>
      </c>
      <c r="CW507" s="648">
        <f t="shared" si="238"/>
        <v>0</v>
      </c>
      <c r="CX507" s="634">
        <v>0</v>
      </c>
      <c r="CY507" s="616"/>
      <c r="CZ507" s="619">
        <f>IF(BN508=0,0,             IF(ISNUMBER(CY507),CY507,             IF(ISTEXT(CY507),INDEX(CP507:CW507,MATCH(CY507,$CP$17:$CW$17,0)),           IF(CX507="INT",_xll.qInterp(BN508,BZ507:CG507,CP507:CW507),       INDEX(CP507:CW507,MATCH(CX507,$CP$17:$CW$17,0))))))</f>
        <v>0</v>
      </c>
      <c r="DA507" s="755">
        <f t="shared" si="239"/>
        <v>0</v>
      </c>
      <c r="DB507" s="387">
        <f t="shared" si="240"/>
        <v>0</v>
      </c>
      <c r="DC507" s="268">
        <f>IF($BN508=0,0,         IF(LEFT(DCC_Leg2_Fixed,2)="1/",uEvaluate(DCC_Leg2_Fixed),         _xll.qDateYears($BN507,$BN508,DCC_Leg2_Fixed)))</f>
        <v>0</v>
      </c>
      <c r="DD507" s="268">
        <f>IF($BN508,_xll.qDateYears($BN507,$BN508,DCC_Leg2_Float),0)</f>
        <v>0</v>
      </c>
      <c r="DF507" s="332">
        <f t="shared" si="255"/>
        <v>0</v>
      </c>
      <c r="DG507" s="357">
        <f t="shared" si="256"/>
        <v>0</v>
      </c>
      <c r="DH507" s="527"/>
      <c r="DJ507" s="324">
        <f t="shared" si="258"/>
        <v>0</v>
      </c>
      <c r="DK507" s="529"/>
      <c r="DL507" s="338"/>
    </row>
    <row r="508" spans="15:116">
      <c r="O508" s="121">
        <v>0</v>
      </c>
      <c r="P508" s="755">
        <f t="shared" si="227"/>
        <v>0</v>
      </c>
      <c r="Q508" s="125">
        <v>0</v>
      </c>
      <c r="R508" s="890">
        <f>IF(O509=0,0,         IF(OR(Currency1="AUD",Currency1="NZD",Currency1="GBP"),O508,   _xll.qDateNext(O508,"-2b",,,IF(Currency1="EUR","TGT","LON"))))</f>
        <v>0</v>
      </c>
      <c r="S508" s="879" t="str">
        <v/>
      </c>
      <c r="T508" s="879" t="str">
        <v/>
      </c>
      <c r="U508" s="879" t="str">
        <v/>
      </c>
      <c r="V508" s="879" t="str">
        <v/>
      </c>
      <c r="W508" s="879" t="str">
        <v/>
      </c>
      <c r="X508" s="879" t="str">
        <v/>
      </c>
      <c r="Y508" s="879" t="str">
        <v/>
      </c>
      <c r="Z508" s="879" t="str">
        <v/>
      </c>
      <c r="AA508" s="882">
        <f>IF($O509=0,0,        _xll.qDateNext($O508,AA$17,$AH$16,TRUE,Currency1))</f>
        <v>0</v>
      </c>
      <c r="AB508" s="882">
        <f>IF($O509=0,0,        _xll.qDateNext($O508,AB$17,$AH$16,TRUE,Currency1))</f>
        <v>0</v>
      </c>
      <c r="AC508" s="882">
        <f>IF($O509=0,0,        _xll.qDateNext($O508,AC$17,$AH$16,TRUE,Currency1))</f>
        <v>0</v>
      </c>
      <c r="AD508" s="882">
        <f>IF($O509=0,0,        _xll.qDateNext($O508,AD$17,$AH$16,TRUE,Currency1))</f>
        <v>0</v>
      </c>
      <c r="AE508" s="882">
        <f>IF($O509=0,0,        _xll.qDateNext($O508,AE$17,$AH$16,TRUE,Currency1))</f>
        <v>0</v>
      </c>
      <c r="AF508" s="882">
        <f>IF($O509=0,0,        _xll.qDateNext($O508,AF$17,$AH$16,TRUE,Currency1))</f>
        <v>0</v>
      </c>
      <c r="AG508" s="882">
        <f>IF($O509=0,0,        _xll.qDateNext($O508,AG$17,$AH$16,TRUE,Currency1))</f>
        <v>0</v>
      </c>
      <c r="AH508" s="882">
        <f>IF($O509=0,0,        _xll.qDateNext($O508,AH$17,$AH$16,TRUE,Currency1))</f>
        <v>0</v>
      </c>
      <c r="AI508" s="886">
        <f>IF($O509=0,0,           IF(FRM,_xll.qGetFwdRate(AI$14,$O508,AA508,"T",DCC_Leg1_Float),_xll.qGetFwdRate(AI$14,$O508,$O509,"T",DCC_Leg1_Float)))</f>
        <v>0</v>
      </c>
      <c r="AJ508" s="886">
        <f>IF($O509=0,0,           IF(FRM,_xll.qGetFwdRate(AJ$14,$O508,AB508,"T",DCC_Leg1_Float),_xll.qGetFwdRate(AJ$14,$O508,$O509,"T",DCC_Leg1_Float)))</f>
        <v>0</v>
      </c>
      <c r="AK508" s="886">
        <f t="shared" si="228"/>
        <v>0</v>
      </c>
      <c r="AL508" s="886">
        <f>IF($O509=0,0,           IF(FRM,_xll.qGetFwdRate(AL$14,$O508,AD508,"T",DCC_Leg1_Float),_xll.qGetFwdRate(AL$14,$O508,$O509,"T",DCC_Leg1_Float)))</f>
        <v>0</v>
      </c>
      <c r="AM508" s="886">
        <f t="shared" si="241"/>
        <v>0</v>
      </c>
      <c r="AN508" s="886">
        <f t="shared" si="242"/>
        <v>0</v>
      </c>
      <c r="AO508" s="886">
        <f>IF($O509=0,0,           IF(FRM,_xll.qGetFwdRate(AO$14,$O508,AG508,"T",DCC_Leg1_Float),_xll.qGetFwdRate(AO$14,$O508,$O509,"T",DCC_Leg1_Float)))</f>
        <v>0</v>
      </c>
      <c r="AP508" s="886">
        <f>IF($O509=0,0,           IF(FRM,_xll.qGetFwdRate(AP$14,$O508,AH508,"T",DCC_Leg1_Float),_xll.qGetFwdRate(AP$14,$O508,$O509,"T",DCC_Leg1_Float)))</f>
        <v>0</v>
      </c>
      <c r="AQ508" s="648">
        <f t="shared" si="243"/>
        <v>0</v>
      </c>
      <c r="AR508" s="648">
        <f t="shared" si="244"/>
        <v>0</v>
      </c>
      <c r="AS508" s="648">
        <f t="shared" si="245"/>
        <v>0</v>
      </c>
      <c r="AT508" s="648">
        <f t="shared" si="246"/>
        <v>0</v>
      </c>
      <c r="AU508" s="648">
        <f t="shared" si="247"/>
        <v>0</v>
      </c>
      <c r="AV508" s="648">
        <f t="shared" si="248"/>
        <v>0</v>
      </c>
      <c r="AW508" s="648">
        <f t="shared" si="249"/>
        <v>0</v>
      </c>
      <c r="AX508" s="648">
        <f t="shared" si="250"/>
        <v>0</v>
      </c>
      <c r="AY508" s="634">
        <v>0</v>
      </c>
      <c r="AZ508" s="616"/>
      <c r="BA508" s="619">
        <f>IF(O509=0,0,             IF(ISNUMBER(AZ508),AZ508,             IF(ISTEXT(AZ508),INDEX(AQ508:AX508,MATCH(AZ508,$AQ$17:$AX$17,0)),           IF(AY508="INT",_xll.qInterp(O509,AA508:AH508,AQ508:AX508),       INDEX(AQ508:AX508,MATCH(AY508,$AQ$17:$AX$17,0))))))</f>
        <v>0</v>
      </c>
      <c r="BB508" s="674">
        <v>100</v>
      </c>
      <c r="BC508" s="666">
        <f t="shared" si="229"/>
        <v>0</v>
      </c>
      <c r="BD508" s="268">
        <f>IF($O509=0,0,                IF(LEFT(DCC_Leg1_Fixed,2)="1/",uEvaluate(DCC_Leg1_Fixed),        _xll.qDateYears($O508,$O509,DCC_Leg1_Fixed)))</f>
        <v>0</v>
      </c>
      <c r="BE508" s="268">
        <f>IF($O509,_xll.qDateYears($O508,$O509,DCC_Leg1_Float),0)</f>
        <v>0</v>
      </c>
      <c r="BG508" s="332">
        <f t="shared" si="251"/>
        <v>0</v>
      </c>
      <c r="BH508" s="357">
        <f t="shared" si="252"/>
        <v>0</v>
      </c>
      <c r="BI508" s="527"/>
      <c r="BK508" s="324">
        <f t="shared" si="257"/>
        <v>0</v>
      </c>
      <c r="BM508" s="338"/>
      <c r="BN508" s="121">
        <v>0</v>
      </c>
      <c r="BO508" s="755">
        <f t="shared" si="230"/>
        <v>0</v>
      </c>
      <c r="BP508" s="339">
        <v>0</v>
      </c>
      <c r="BQ508" s="890">
        <f>IF(BN509=0,0,         IF(OR(Currency2="AUD",Currency1="NZD",Currency2="GBP"),BN508,   _xll.qDateNext(BN508,"-2b",,,IF(Currency2="EUR","TGT","LON"))))</f>
        <v>0</v>
      </c>
      <c r="BR508" s="879" t="str">
        <v/>
      </c>
      <c r="BS508" s="879" t="str">
        <v/>
      </c>
      <c r="BT508" s="879" t="str">
        <v/>
      </c>
      <c r="BU508" s="879" t="str">
        <v/>
      </c>
      <c r="BV508" s="879" t="str">
        <v/>
      </c>
      <c r="BW508" s="879" t="str">
        <v/>
      </c>
      <c r="BX508" s="879" t="str">
        <v/>
      </c>
      <c r="BY508" s="879" t="str">
        <v/>
      </c>
      <c r="BZ508" s="882">
        <f>IF($BN509=0,0,        _xll.qDateNext($BN508,BZ$17,$CG$16,TRUE,Currency2))</f>
        <v>0</v>
      </c>
      <c r="CA508" s="882">
        <f>IF($BN509=0,0,        _xll.qDateNext($BN508,CA$17,$CG$16,TRUE,Currency2))</f>
        <v>0</v>
      </c>
      <c r="CB508" s="882">
        <f>IF($BN509=0,0,        _xll.qDateNext($BN508,CB$17,$CG$16,TRUE,Currency2))</f>
        <v>0</v>
      </c>
      <c r="CC508" s="882">
        <f>IF($BN509=0,0,        _xll.qDateNext($BN508,CC$17,$CG$16,TRUE,Currency2))</f>
        <v>0</v>
      </c>
      <c r="CD508" s="882">
        <f>IF($BN509=0,0,        _xll.qDateNext($BN508,CD$17,$CG$16,TRUE,Currency2))</f>
        <v>0</v>
      </c>
      <c r="CE508" s="882">
        <f>IF($BN509=0,0,        _xll.qDateNext($BN508,CE$17,$CG$16,TRUE,Currency2))</f>
        <v>0</v>
      </c>
      <c r="CF508" s="882">
        <f>IF($BN509=0,0,        _xll.qDateNext($BN508,CF$17,$CG$16,TRUE,Currency2))</f>
        <v>0</v>
      </c>
      <c r="CG508" s="882">
        <f>IF($BN509=0,0,        _xll.qDateNext($BN508,CG$17,$CG$16,TRUE,Currency2))</f>
        <v>0</v>
      </c>
      <c r="CH508" s="886">
        <v>0</v>
      </c>
      <c r="CI508" s="886">
        <v>0</v>
      </c>
      <c r="CJ508" s="886">
        <v>0</v>
      </c>
      <c r="CK508" s="886">
        <v>0</v>
      </c>
      <c r="CL508" s="886">
        <f t="shared" si="253"/>
        <v>0</v>
      </c>
      <c r="CM508" s="886">
        <f t="shared" si="254"/>
        <v>0</v>
      </c>
      <c r="CN508" s="886">
        <v>0</v>
      </c>
      <c r="CO508" s="886">
        <v>0</v>
      </c>
      <c r="CP508" s="648">
        <f t="shared" si="231"/>
        <v>0</v>
      </c>
      <c r="CQ508" s="648">
        <f t="shared" si="232"/>
        <v>0</v>
      </c>
      <c r="CR508" s="648">
        <f t="shared" si="233"/>
        <v>0</v>
      </c>
      <c r="CS508" s="648">
        <f t="shared" si="234"/>
        <v>0</v>
      </c>
      <c r="CT508" s="648">
        <f t="shared" si="235"/>
        <v>0</v>
      </c>
      <c r="CU508" s="648">
        <f t="shared" si="236"/>
        <v>0</v>
      </c>
      <c r="CV508" s="648">
        <f t="shared" si="237"/>
        <v>0</v>
      </c>
      <c r="CW508" s="648">
        <f t="shared" si="238"/>
        <v>0</v>
      </c>
      <c r="CX508" s="634">
        <v>0</v>
      </c>
      <c r="CY508" s="616"/>
      <c r="CZ508" s="619">
        <f>IF(BN509=0,0,             IF(ISNUMBER(CY508),CY508,             IF(ISTEXT(CY508),INDEX(CP508:CW508,MATCH(CY508,$CP$17:$CW$17,0)),           IF(CX508="INT",_xll.qInterp(BN509,BZ508:CG508,CP508:CW508),       INDEX(CP508:CW508,MATCH(CX508,$CP$17:$CW$17,0))))))</f>
        <v>0</v>
      </c>
      <c r="DA508" s="755">
        <f t="shared" si="239"/>
        <v>0</v>
      </c>
      <c r="DB508" s="387">
        <f t="shared" si="240"/>
        <v>0</v>
      </c>
      <c r="DC508" s="268">
        <f>IF($BN509=0,0,         IF(LEFT(DCC_Leg2_Fixed,2)="1/",uEvaluate(DCC_Leg2_Fixed),         _xll.qDateYears($BN508,$BN509,DCC_Leg2_Fixed)))</f>
        <v>0</v>
      </c>
      <c r="DD508" s="268">
        <f>IF($BN509,_xll.qDateYears($BN508,$BN509,DCC_Leg2_Float),0)</f>
        <v>0</v>
      </c>
      <c r="DF508" s="332">
        <f t="shared" si="255"/>
        <v>0</v>
      </c>
      <c r="DG508" s="357">
        <f t="shared" si="256"/>
        <v>0</v>
      </c>
      <c r="DH508" s="527"/>
      <c r="DJ508" s="324">
        <f t="shared" si="258"/>
        <v>0</v>
      </c>
      <c r="DK508" s="529"/>
      <c r="DL508" s="338"/>
    </row>
    <row r="509" spans="15:116">
      <c r="O509" s="121">
        <v>0</v>
      </c>
      <c r="P509" s="755">
        <f t="shared" si="227"/>
        <v>0</v>
      </c>
      <c r="Q509" s="125">
        <v>0</v>
      </c>
      <c r="R509" s="890">
        <f>IF(O510=0,0,         IF(OR(Currency1="AUD",Currency1="NZD",Currency1="GBP"),O509,   _xll.qDateNext(O509,"-2b",,,IF(Currency1="EUR","TGT","LON"))))</f>
        <v>0</v>
      </c>
      <c r="S509" s="879" t="str">
        <v/>
      </c>
      <c r="T509" s="879" t="str">
        <v/>
      </c>
      <c r="U509" s="879" t="str">
        <v/>
      </c>
      <c r="V509" s="879" t="str">
        <v/>
      </c>
      <c r="W509" s="879" t="str">
        <v/>
      </c>
      <c r="X509" s="879" t="str">
        <v/>
      </c>
      <c r="Y509" s="879" t="str">
        <v/>
      </c>
      <c r="Z509" s="879" t="str">
        <v/>
      </c>
      <c r="AA509" s="882">
        <f>IF($O510=0,0,        _xll.qDateNext($O509,AA$17,$AH$16,TRUE,Currency1))</f>
        <v>0</v>
      </c>
      <c r="AB509" s="882">
        <f>IF($O510=0,0,        _xll.qDateNext($O509,AB$17,$AH$16,TRUE,Currency1))</f>
        <v>0</v>
      </c>
      <c r="AC509" s="882">
        <f>IF($O510=0,0,        _xll.qDateNext($O509,AC$17,$AH$16,TRUE,Currency1))</f>
        <v>0</v>
      </c>
      <c r="AD509" s="882">
        <f>IF($O510=0,0,        _xll.qDateNext($O509,AD$17,$AH$16,TRUE,Currency1))</f>
        <v>0</v>
      </c>
      <c r="AE509" s="882">
        <f>IF($O510=0,0,        _xll.qDateNext($O509,AE$17,$AH$16,TRUE,Currency1))</f>
        <v>0</v>
      </c>
      <c r="AF509" s="882">
        <f>IF($O510=0,0,        _xll.qDateNext($O509,AF$17,$AH$16,TRUE,Currency1))</f>
        <v>0</v>
      </c>
      <c r="AG509" s="882">
        <f>IF($O510=0,0,        _xll.qDateNext($O509,AG$17,$AH$16,TRUE,Currency1))</f>
        <v>0</v>
      </c>
      <c r="AH509" s="882">
        <f>IF($O510=0,0,        _xll.qDateNext($O509,AH$17,$AH$16,TRUE,Currency1))</f>
        <v>0</v>
      </c>
      <c r="AI509" s="886">
        <f>IF($O510=0,0,           IF(FRM,_xll.qGetFwdRate(AI$14,$O509,AA509,"T",DCC_Leg1_Float),_xll.qGetFwdRate(AI$14,$O509,$O510,"T",DCC_Leg1_Float)))</f>
        <v>0</v>
      </c>
      <c r="AJ509" s="886">
        <f>IF($O510=0,0,           IF(FRM,_xll.qGetFwdRate(AJ$14,$O509,AB509,"T",DCC_Leg1_Float),_xll.qGetFwdRate(AJ$14,$O509,$O510,"T",DCC_Leg1_Float)))</f>
        <v>0</v>
      </c>
      <c r="AK509" s="886">
        <f t="shared" si="228"/>
        <v>0</v>
      </c>
      <c r="AL509" s="886">
        <f>IF($O510=0,0,           IF(FRM,_xll.qGetFwdRate(AL$14,$O509,AD509,"T",DCC_Leg1_Float),_xll.qGetFwdRate(AL$14,$O509,$O510,"T",DCC_Leg1_Float)))</f>
        <v>0</v>
      </c>
      <c r="AM509" s="886">
        <f t="shared" si="241"/>
        <v>0</v>
      </c>
      <c r="AN509" s="886">
        <f t="shared" si="242"/>
        <v>0</v>
      </c>
      <c r="AO509" s="886">
        <f>IF($O510=0,0,           IF(FRM,_xll.qGetFwdRate(AO$14,$O509,AG509,"T",DCC_Leg1_Float),_xll.qGetFwdRate(AO$14,$O509,$O510,"T",DCC_Leg1_Float)))</f>
        <v>0</v>
      </c>
      <c r="AP509" s="886">
        <f>IF($O510=0,0,           IF(FRM,_xll.qGetFwdRate(AP$14,$O509,AH509,"T",DCC_Leg1_Float),_xll.qGetFwdRate(AP$14,$O509,$O510,"T",DCC_Leg1_Float)))</f>
        <v>0</v>
      </c>
      <c r="AQ509" s="648">
        <f t="shared" si="243"/>
        <v>0</v>
      </c>
      <c r="AR509" s="648">
        <f t="shared" si="244"/>
        <v>0</v>
      </c>
      <c r="AS509" s="648">
        <f t="shared" si="245"/>
        <v>0</v>
      </c>
      <c r="AT509" s="648">
        <f t="shared" si="246"/>
        <v>0</v>
      </c>
      <c r="AU509" s="648">
        <f t="shared" si="247"/>
        <v>0</v>
      </c>
      <c r="AV509" s="648">
        <f t="shared" si="248"/>
        <v>0</v>
      </c>
      <c r="AW509" s="648">
        <f t="shared" si="249"/>
        <v>0</v>
      </c>
      <c r="AX509" s="648">
        <f t="shared" si="250"/>
        <v>0</v>
      </c>
      <c r="AY509" s="634">
        <v>0</v>
      </c>
      <c r="AZ509" s="616"/>
      <c r="BA509" s="619">
        <f>IF(O510=0,0,             IF(ISNUMBER(AZ509),AZ509,             IF(ISTEXT(AZ509),INDEX(AQ509:AX509,MATCH(AZ509,$AQ$17:$AX$17,0)),           IF(AY509="INT",_xll.qInterp(O510,AA509:AH509,AQ509:AX509),       INDEX(AQ509:AX509,MATCH(AY509,$AQ$17:$AX$17,0))))))</f>
        <v>0</v>
      </c>
      <c r="BB509" s="674">
        <v>100</v>
      </c>
      <c r="BC509" s="666">
        <f t="shared" si="229"/>
        <v>0</v>
      </c>
      <c r="BD509" s="268">
        <f>IF($O510=0,0,                IF(LEFT(DCC_Leg1_Fixed,2)="1/",uEvaluate(DCC_Leg1_Fixed),        _xll.qDateYears($O509,$O510,DCC_Leg1_Fixed)))</f>
        <v>0</v>
      </c>
      <c r="BE509" s="268">
        <f>IF($O510,_xll.qDateYears($O509,$O510,DCC_Leg1_Float),0)</f>
        <v>0</v>
      </c>
      <c r="BG509" s="332">
        <f t="shared" si="251"/>
        <v>0</v>
      </c>
      <c r="BH509" s="357">
        <f t="shared" si="252"/>
        <v>0</v>
      </c>
      <c r="BI509" s="527"/>
      <c r="BK509" s="324">
        <f t="shared" si="257"/>
        <v>0</v>
      </c>
      <c r="BM509" s="338"/>
      <c r="BN509" s="121">
        <v>0</v>
      </c>
      <c r="BO509" s="755">
        <f t="shared" si="230"/>
        <v>0</v>
      </c>
      <c r="BP509" s="339">
        <v>0</v>
      </c>
      <c r="BQ509" s="890">
        <f>IF(BN510=0,0,         IF(OR(Currency2="AUD",Currency1="NZD",Currency2="GBP"),BN509,   _xll.qDateNext(BN509,"-2b",,,IF(Currency2="EUR","TGT","LON"))))</f>
        <v>0</v>
      </c>
      <c r="BR509" s="879" t="str">
        <v/>
      </c>
      <c r="BS509" s="879" t="str">
        <v/>
      </c>
      <c r="BT509" s="879" t="str">
        <v/>
      </c>
      <c r="BU509" s="879" t="str">
        <v/>
      </c>
      <c r="BV509" s="879" t="str">
        <v/>
      </c>
      <c r="BW509" s="879" t="str">
        <v/>
      </c>
      <c r="BX509" s="879" t="str">
        <v/>
      </c>
      <c r="BY509" s="879" t="str">
        <v/>
      </c>
      <c r="BZ509" s="882">
        <f>IF($BN510=0,0,        _xll.qDateNext($BN509,BZ$17,$CG$16,TRUE,Currency2))</f>
        <v>0</v>
      </c>
      <c r="CA509" s="882">
        <f>IF($BN510=0,0,        _xll.qDateNext($BN509,CA$17,$CG$16,TRUE,Currency2))</f>
        <v>0</v>
      </c>
      <c r="CB509" s="882">
        <f>IF($BN510=0,0,        _xll.qDateNext($BN509,CB$17,$CG$16,TRUE,Currency2))</f>
        <v>0</v>
      </c>
      <c r="CC509" s="882">
        <f>IF($BN510=0,0,        _xll.qDateNext($BN509,CC$17,$CG$16,TRUE,Currency2))</f>
        <v>0</v>
      </c>
      <c r="CD509" s="882">
        <f>IF($BN510=0,0,        _xll.qDateNext($BN509,CD$17,$CG$16,TRUE,Currency2))</f>
        <v>0</v>
      </c>
      <c r="CE509" s="882">
        <f>IF($BN510=0,0,        _xll.qDateNext($BN509,CE$17,$CG$16,TRUE,Currency2))</f>
        <v>0</v>
      </c>
      <c r="CF509" s="882">
        <f>IF($BN510=0,0,        _xll.qDateNext($BN509,CF$17,$CG$16,TRUE,Currency2))</f>
        <v>0</v>
      </c>
      <c r="CG509" s="882">
        <f>IF($BN510=0,0,        _xll.qDateNext($BN509,CG$17,$CG$16,TRUE,Currency2))</f>
        <v>0</v>
      </c>
      <c r="CH509" s="886">
        <v>0</v>
      </c>
      <c r="CI509" s="886">
        <v>0</v>
      </c>
      <c r="CJ509" s="886">
        <v>0</v>
      </c>
      <c r="CK509" s="886">
        <v>0</v>
      </c>
      <c r="CL509" s="886">
        <f t="shared" si="253"/>
        <v>0</v>
      </c>
      <c r="CM509" s="886">
        <f t="shared" si="254"/>
        <v>0</v>
      </c>
      <c r="CN509" s="886">
        <v>0</v>
      </c>
      <c r="CO509" s="886">
        <v>0</v>
      </c>
      <c r="CP509" s="648">
        <f t="shared" si="231"/>
        <v>0</v>
      </c>
      <c r="CQ509" s="648">
        <f t="shared" si="232"/>
        <v>0</v>
      </c>
      <c r="CR509" s="648">
        <f t="shared" si="233"/>
        <v>0</v>
      </c>
      <c r="CS509" s="648">
        <f t="shared" si="234"/>
        <v>0</v>
      </c>
      <c r="CT509" s="648">
        <f t="shared" si="235"/>
        <v>0</v>
      </c>
      <c r="CU509" s="648">
        <f t="shared" si="236"/>
        <v>0</v>
      </c>
      <c r="CV509" s="648">
        <f t="shared" si="237"/>
        <v>0</v>
      </c>
      <c r="CW509" s="648">
        <f t="shared" si="238"/>
        <v>0</v>
      </c>
      <c r="CX509" s="634">
        <v>0</v>
      </c>
      <c r="CY509" s="616"/>
      <c r="CZ509" s="619">
        <f>IF(BN510=0,0,             IF(ISNUMBER(CY509),CY509,             IF(ISTEXT(CY509),INDEX(CP509:CW509,MATCH(CY509,$CP$17:$CW$17,0)),           IF(CX509="INT",_xll.qInterp(BN510,BZ509:CG509,CP509:CW509),       INDEX(CP509:CW509,MATCH(CX509,$CP$17:$CW$17,0))))))</f>
        <v>0</v>
      </c>
      <c r="DA509" s="755">
        <f t="shared" si="239"/>
        <v>0</v>
      </c>
      <c r="DB509" s="387">
        <f t="shared" si="240"/>
        <v>0</v>
      </c>
      <c r="DC509" s="268">
        <f>IF($BN510=0,0,         IF(LEFT(DCC_Leg2_Fixed,2)="1/",uEvaluate(DCC_Leg2_Fixed),         _xll.qDateYears($BN509,$BN510,DCC_Leg2_Fixed)))</f>
        <v>0</v>
      </c>
      <c r="DD509" s="268">
        <f>IF($BN510,_xll.qDateYears($BN509,$BN510,DCC_Leg2_Float),0)</f>
        <v>0</v>
      </c>
      <c r="DF509" s="332">
        <f t="shared" si="255"/>
        <v>0</v>
      </c>
      <c r="DG509" s="357">
        <f t="shared" si="256"/>
        <v>0</v>
      </c>
      <c r="DH509" s="527"/>
      <c r="DJ509" s="324">
        <f t="shared" si="258"/>
        <v>0</v>
      </c>
      <c r="DK509" s="529"/>
      <c r="DL509" s="338"/>
    </row>
    <row r="510" spans="15:116">
      <c r="O510" s="121">
        <v>0</v>
      </c>
      <c r="P510" s="755">
        <f t="shared" si="227"/>
        <v>0</v>
      </c>
      <c r="Q510" s="125">
        <v>0</v>
      </c>
      <c r="R510" s="890">
        <f>IF(O511=0,0,         IF(OR(Currency1="AUD",Currency1="NZD",Currency1="GBP"),O510,   _xll.qDateNext(O510,"-2b",,,IF(Currency1="EUR","TGT","LON"))))</f>
        <v>0</v>
      </c>
      <c r="S510" s="879" t="str">
        <v/>
      </c>
      <c r="T510" s="879" t="str">
        <v/>
      </c>
      <c r="U510" s="879" t="str">
        <v/>
      </c>
      <c r="V510" s="879" t="str">
        <v/>
      </c>
      <c r="W510" s="879" t="str">
        <v/>
      </c>
      <c r="X510" s="879" t="str">
        <v/>
      </c>
      <c r="Y510" s="879" t="str">
        <v/>
      </c>
      <c r="Z510" s="879" t="str">
        <v/>
      </c>
      <c r="AA510" s="882">
        <f>IF($O511=0,0,        _xll.qDateNext($O510,AA$17,$AH$16,TRUE,Currency1))</f>
        <v>0</v>
      </c>
      <c r="AB510" s="882">
        <f>IF($O511=0,0,        _xll.qDateNext($O510,AB$17,$AH$16,TRUE,Currency1))</f>
        <v>0</v>
      </c>
      <c r="AC510" s="882">
        <f>IF($O511=0,0,        _xll.qDateNext($O510,AC$17,$AH$16,TRUE,Currency1))</f>
        <v>0</v>
      </c>
      <c r="AD510" s="882">
        <f>IF($O511=0,0,        _xll.qDateNext($O510,AD$17,$AH$16,TRUE,Currency1))</f>
        <v>0</v>
      </c>
      <c r="AE510" s="882">
        <f>IF($O511=0,0,        _xll.qDateNext($O510,AE$17,$AH$16,TRUE,Currency1))</f>
        <v>0</v>
      </c>
      <c r="AF510" s="882">
        <f>IF($O511=0,0,        _xll.qDateNext($O510,AF$17,$AH$16,TRUE,Currency1))</f>
        <v>0</v>
      </c>
      <c r="AG510" s="882">
        <f>IF($O511=0,0,        _xll.qDateNext($O510,AG$17,$AH$16,TRUE,Currency1))</f>
        <v>0</v>
      </c>
      <c r="AH510" s="882">
        <f>IF($O511=0,0,        _xll.qDateNext($O510,AH$17,$AH$16,TRUE,Currency1))</f>
        <v>0</v>
      </c>
      <c r="AI510" s="886">
        <f>IF($O511=0,0,           IF(FRM,_xll.qGetFwdRate(AI$14,$O510,AA510,"T",DCC_Leg1_Float),_xll.qGetFwdRate(AI$14,$O510,$O511,"T",DCC_Leg1_Float)))</f>
        <v>0</v>
      </c>
      <c r="AJ510" s="886">
        <f>IF($O511=0,0,           IF(FRM,_xll.qGetFwdRate(AJ$14,$O510,AB510,"T",DCC_Leg1_Float),_xll.qGetFwdRate(AJ$14,$O510,$O511,"T",DCC_Leg1_Float)))</f>
        <v>0</v>
      </c>
      <c r="AK510" s="886">
        <f t="shared" si="228"/>
        <v>0</v>
      </c>
      <c r="AL510" s="886">
        <f>IF($O511=0,0,           IF(FRM,_xll.qGetFwdRate(AL$14,$O510,AD510,"T",DCC_Leg1_Float),_xll.qGetFwdRate(AL$14,$O510,$O511,"T",DCC_Leg1_Float)))</f>
        <v>0</v>
      </c>
      <c r="AM510" s="886">
        <f t="shared" si="241"/>
        <v>0</v>
      </c>
      <c r="AN510" s="886">
        <f t="shared" si="242"/>
        <v>0</v>
      </c>
      <c r="AO510" s="886">
        <f>IF($O511=0,0,           IF(FRM,_xll.qGetFwdRate(AO$14,$O510,AG510,"T",DCC_Leg1_Float),_xll.qGetFwdRate(AO$14,$O510,$O511,"T",DCC_Leg1_Float)))</f>
        <v>0</v>
      </c>
      <c r="AP510" s="886">
        <f>IF($O511=0,0,           IF(FRM,_xll.qGetFwdRate(AP$14,$O510,AH510,"T",DCC_Leg1_Float),_xll.qGetFwdRate(AP$14,$O510,$O511,"T",DCC_Leg1_Float)))</f>
        <v>0</v>
      </c>
      <c r="AQ510" s="648">
        <f t="shared" si="243"/>
        <v>0</v>
      </c>
      <c r="AR510" s="648">
        <f t="shared" si="244"/>
        <v>0</v>
      </c>
      <c r="AS510" s="648">
        <f t="shared" si="245"/>
        <v>0</v>
      </c>
      <c r="AT510" s="648">
        <f t="shared" si="246"/>
        <v>0</v>
      </c>
      <c r="AU510" s="648">
        <f t="shared" si="247"/>
        <v>0</v>
      </c>
      <c r="AV510" s="648">
        <f t="shared" si="248"/>
        <v>0</v>
      </c>
      <c r="AW510" s="648">
        <f t="shared" si="249"/>
        <v>0</v>
      </c>
      <c r="AX510" s="648">
        <f t="shared" si="250"/>
        <v>0</v>
      </c>
      <c r="AY510" s="634">
        <v>0</v>
      </c>
      <c r="AZ510" s="616"/>
      <c r="BA510" s="619">
        <f>IF(O511=0,0,             IF(ISNUMBER(AZ510),AZ510,             IF(ISTEXT(AZ510),INDEX(AQ510:AX510,MATCH(AZ510,$AQ$17:$AX$17,0)),           IF(AY510="INT",_xll.qInterp(O511,AA510:AH510,AQ510:AX510),       INDEX(AQ510:AX510,MATCH(AY510,$AQ$17:$AX$17,0))))))</f>
        <v>0</v>
      </c>
      <c r="BB510" s="674">
        <v>100</v>
      </c>
      <c r="BC510" s="666">
        <f t="shared" si="229"/>
        <v>0</v>
      </c>
      <c r="BD510" s="268">
        <f>IF($O511=0,0,                IF(LEFT(DCC_Leg1_Fixed,2)="1/",uEvaluate(DCC_Leg1_Fixed),        _xll.qDateYears($O510,$O511,DCC_Leg1_Fixed)))</f>
        <v>0</v>
      </c>
      <c r="BE510" s="268">
        <f>IF($O511,_xll.qDateYears($O510,$O511,DCC_Leg1_Float),0)</f>
        <v>0</v>
      </c>
      <c r="BG510" s="332">
        <f t="shared" si="251"/>
        <v>0</v>
      </c>
      <c r="BH510" s="357">
        <f t="shared" si="252"/>
        <v>0</v>
      </c>
      <c r="BI510" s="527"/>
      <c r="BK510" s="324">
        <f t="shared" si="257"/>
        <v>0</v>
      </c>
      <c r="BM510" s="338"/>
      <c r="BN510" s="121">
        <v>0</v>
      </c>
      <c r="BO510" s="755">
        <f t="shared" si="230"/>
        <v>0</v>
      </c>
      <c r="BP510" s="339">
        <v>0</v>
      </c>
      <c r="BQ510" s="890">
        <f>IF(BN511=0,0,         IF(OR(Currency2="AUD",Currency1="NZD",Currency2="GBP"),BN510,   _xll.qDateNext(BN510,"-2b",,,IF(Currency2="EUR","TGT","LON"))))</f>
        <v>0</v>
      </c>
      <c r="BR510" s="879" t="str">
        <v/>
      </c>
      <c r="BS510" s="879" t="str">
        <v/>
      </c>
      <c r="BT510" s="879" t="str">
        <v/>
      </c>
      <c r="BU510" s="879" t="str">
        <v/>
      </c>
      <c r="BV510" s="879" t="str">
        <v/>
      </c>
      <c r="BW510" s="879" t="str">
        <v/>
      </c>
      <c r="BX510" s="879" t="str">
        <v/>
      </c>
      <c r="BY510" s="879" t="str">
        <v/>
      </c>
      <c r="BZ510" s="882">
        <f>IF($BN511=0,0,        _xll.qDateNext($BN510,BZ$17,$CG$16,TRUE,Currency2))</f>
        <v>0</v>
      </c>
      <c r="CA510" s="882">
        <f>IF($BN511=0,0,        _xll.qDateNext($BN510,CA$17,$CG$16,TRUE,Currency2))</f>
        <v>0</v>
      </c>
      <c r="CB510" s="882">
        <f>IF($BN511=0,0,        _xll.qDateNext($BN510,CB$17,$CG$16,TRUE,Currency2))</f>
        <v>0</v>
      </c>
      <c r="CC510" s="882">
        <f>IF($BN511=0,0,        _xll.qDateNext($BN510,CC$17,$CG$16,TRUE,Currency2))</f>
        <v>0</v>
      </c>
      <c r="CD510" s="882">
        <f>IF($BN511=0,0,        _xll.qDateNext($BN510,CD$17,$CG$16,TRUE,Currency2))</f>
        <v>0</v>
      </c>
      <c r="CE510" s="882">
        <f>IF($BN511=0,0,        _xll.qDateNext($BN510,CE$17,$CG$16,TRUE,Currency2))</f>
        <v>0</v>
      </c>
      <c r="CF510" s="882">
        <f>IF($BN511=0,0,        _xll.qDateNext($BN510,CF$17,$CG$16,TRUE,Currency2))</f>
        <v>0</v>
      </c>
      <c r="CG510" s="882">
        <f>IF($BN511=0,0,        _xll.qDateNext($BN510,CG$17,$CG$16,TRUE,Currency2))</f>
        <v>0</v>
      </c>
      <c r="CH510" s="886">
        <v>0</v>
      </c>
      <c r="CI510" s="886">
        <v>0</v>
      </c>
      <c r="CJ510" s="886">
        <v>0</v>
      </c>
      <c r="CK510" s="886">
        <v>0</v>
      </c>
      <c r="CL510" s="886">
        <f t="shared" si="253"/>
        <v>0</v>
      </c>
      <c r="CM510" s="886">
        <f t="shared" si="254"/>
        <v>0</v>
      </c>
      <c r="CN510" s="886">
        <v>0</v>
      </c>
      <c r="CO510" s="886">
        <v>0</v>
      </c>
      <c r="CP510" s="648">
        <f t="shared" si="231"/>
        <v>0</v>
      </c>
      <c r="CQ510" s="648">
        <f t="shared" si="232"/>
        <v>0</v>
      </c>
      <c r="CR510" s="648">
        <f t="shared" si="233"/>
        <v>0</v>
      </c>
      <c r="CS510" s="648">
        <f t="shared" si="234"/>
        <v>0</v>
      </c>
      <c r="CT510" s="648">
        <f t="shared" si="235"/>
        <v>0</v>
      </c>
      <c r="CU510" s="648">
        <f t="shared" si="236"/>
        <v>0</v>
      </c>
      <c r="CV510" s="648">
        <f t="shared" si="237"/>
        <v>0</v>
      </c>
      <c r="CW510" s="648">
        <f t="shared" si="238"/>
        <v>0</v>
      </c>
      <c r="CX510" s="634">
        <v>0</v>
      </c>
      <c r="CY510" s="616"/>
      <c r="CZ510" s="619">
        <f>IF(BN511=0,0,             IF(ISNUMBER(CY510),CY510,             IF(ISTEXT(CY510),INDEX(CP510:CW510,MATCH(CY510,$CP$17:$CW$17,0)),           IF(CX510="INT",_xll.qInterp(BN511,BZ510:CG510,CP510:CW510),       INDEX(CP510:CW510,MATCH(CX510,$CP$17:$CW$17,0))))))</f>
        <v>0</v>
      </c>
      <c r="DA510" s="755">
        <f t="shared" si="239"/>
        <v>0</v>
      </c>
      <c r="DB510" s="387">
        <f t="shared" si="240"/>
        <v>0</v>
      </c>
      <c r="DC510" s="268">
        <f>IF($BN511=0,0,         IF(LEFT(DCC_Leg2_Fixed,2)="1/",uEvaluate(DCC_Leg2_Fixed),         _xll.qDateYears($BN510,$BN511,DCC_Leg2_Fixed)))</f>
        <v>0</v>
      </c>
      <c r="DD510" s="268">
        <f>IF($BN511,_xll.qDateYears($BN510,$BN511,DCC_Leg2_Float),0)</f>
        <v>0</v>
      </c>
      <c r="DF510" s="332">
        <f t="shared" si="255"/>
        <v>0</v>
      </c>
      <c r="DG510" s="357">
        <f t="shared" si="256"/>
        <v>0</v>
      </c>
      <c r="DH510" s="527"/>
      <c r="DJ510" s="324">
        <f t="shared" si="258"/>
        <v>0</v>
      </c>
      <c r="DK510" s="529"/>
      <c r="DL510" s="338"/>
    </row>
    <row r="511" spans="15:116">
      <c r="O511" s="121">
        <v>0</v>
      </c>
      <c r="P511" s="755">
        <f t="shared" si="227"/>
        <v>0</v>
      </c>
      <c r="Q511" s="125">
        <v>0</v>
      </c>
      <c r="R511" s="890">
        <f>IF(O512=0,0,         IF(OR(Currency1="AUD",Currency1="NZD",Currency1="GBP"),O511,   _xll.qDateNext(O511,"-2b",,,IF(Currency1="EUR","TGT","LON"))))</f>
        <v>0</v>
      </c>
      <c r="S511" s="879" t="str">
        <v/>
      </c>
      <c r="T511" s="879" t="str">
        <v/>
      </c>
      <c r="U511" s="879" t="str">
        <v/>
      </c>
      <c r="V511" s="879" t="str">
        <v/>
      </c>
      <c r="W511" s="879" t="str">
        <v/>
      </c>
      <c r="X511" s="879" t="str">
        <v/>
      </c>
      <c r="Y511" s="879" t="str">
        <v/>
      </c>
      <c r="Z511" s="879" t="str">
        <v/>
      </c>
      <c r="AA511" s="882">
        <f>IF($O512=0,0,        _xll.qDateNext($O511,AA$17,$AH$16,TRUE,Currency1))</f>
        <v>0</v>
      </c>
      <c r="AB511" s="882">
        <f>IF($O512=0,0,        _xll.qDateNext($O511,AB$17,$AH$16,TRUE,Currency1))</f>
        <v>0</v>
      </c>
      <c r="AC511" s="882">
        <f>IF($O512=0,0,        _xll.qDateNext($O511,AC$17,$AH$16,TRUE,Currency1))</f>
        <v>0</v>
      </c>
      <c r="AD511" s="882">
        <f>IF($O512=0,0,        _xll.qDateNext($O511,AD$17,$AH$16,TRUE,Currency1))</f>
        <v>0</v>
      </c>
      <c r="AE511" s="882">
        <f>IF($O512=0,0,        _xll.qDateNext($O511,AE$17,$AH$16,TRUE,Currency1))</f>
        <v>0</v>
      </c>
      <c r="AF511" s="882">
        <f>IF($O512=0,0,        _xll.qDateNext($O511,AF$17,$AH$16,TRUE,Currency1))</f>
        <v>0</v>
      </c>
      <c r="AG511" s="882">
        <f>IF($O512=0,0,        _xll.qDateNext($O511,AG$17,$AH$16,TRUE,Currency1))</f>
        <v>0</v>
      </c>
      <c r="AH511" s="882">
        <f>IF($O512=0,0,        _xll.qDateNext($O511,AH$17,$AH$16,TRUE,Currency1))</f>
        <v>0</v>
      </c>
      <c r="AI511" s="886">
        <f>IF($O512=0,0,           IF(FRM,_xll.qGetFwdRate(AI$14,$O511,AA511,"T",DCC_Leg1_Float),_xll.qGetFwdRate(AI$14,$O511,$O512,"T",DCC_Leg1_Float)))</f>
        <v>0</v>
      </c>
      <c r="AJ511" s="886">
        <f>IF($O512=0,0,           IF(FRM,_xll.qGetFwdRate(AJ$14,$O511,AB511,"T",DCC_Leg1_Float),_xll.qGetFwdRate(AJ$14,$O511,$O512,"T",DCC_Leg1_Float)))</f>
        <v>0</v>
      </c>
      <c r="AK511" s="886">
        <f t="shared" si="228"/>
        <v>0</v>
      </c>
      <c r="AL511" s="886">
        <f>IF($O512=0,0,           IF(FRM,_xll.qGetFwdRate(AL$14,$O511,AD511,"T",DCC_Leg1_Float),_xll.qGetFwdRate(AL$14,$O511,$O512,"T",DCC_Leg1_Float)))</f>
        <v>0</v>
      </c>
      <c r="AM511" s="886">
        <f t="shared" si="241"/>
        <v>0</v>
      </c>
      <c r="AN511" s="886">
        <f t="shared" si="242"/>
        <v>0</v>
      </c>
      <c r="AO511" s="886">
        <f>IF($O512=0,0,           IF(FRM,_xll.qGetFwdRate(AO$14,$O511,AG511,"T",DCC_Leg1_Float),_xll.qGetFwdRate(AO$14,$O511,$O512,"T",DCC_Leg1_Float)))</f>
        <v>0</v>
      </c>
      <c r="AP511" s="886">
        <f>IF($O512=0,0,           IF(FRM,_xll.qGetFwdRate(AP$14,$O511,AH511,"T",DCC_Leg1_Float),_xll.qGetFwdRate(AP$14,$O511,$O512,"T",DCC_Leg1_Float)))</f>
        <v>0</v>
      </c>
      <c r="AQ511" s="648">
        <f t="shared" si="243"/>
        <v>0</v>
      </c>
      <c r="AR511" s="648">
        <f t="shared" si="244"/>
        <v>0</v>
      </c>
      <c r="AS511" s="648">
        <f t="shared" si="245"/>
        <v>0</v>
      </c>
      <c r="AT511" s="648">
        <f t="shared" si="246"/>
        <v>0</v>
      </c>
      <c r="AU511" s="648">
        <f t="shared" si="247"/>
        <v>0</v>
      </c>
      <c r="AV511" s="648">
        <f t="shared" si="248"/>
        <v>0</v>
      </c>
      <c r="AW511" s="648">
        <f t="shared" si="249"/>
        <v>0</v>
      </c>
      <c r="AX511" s="648">
        <f t="shared" si="250"/>
        <v>0</v>
      </c>
      <c r="AY511" s="634">
        <v>0</v>
      </c>
      <c r="AZ511" s="616"/>
      <c r="BA511" s="619">
        <f>IF(O512=0,0,             IF(ISNUMBER(AZ511),AZ511,             IF(ISTEXT(AZ511),INDEX(AQ511:AX511,MATCH(AZ511,$AQ$17:$AX$17,0)),           IF(AY511="INT",_xll.qInterp(O512,AA511:AH511,AQ511:AX511),       INDEX(AQ511:AX511,MATCH(AY511,$AQ$17:$AX$17,0))))))</f>
        <v>0</v>
      </c>
      <c r="BB511" s="674">
        <v>100</v>
      </c>
      <c r="BC511" s="666">
        <f t="shared" si="229"/>
        <v>0</v>
      </c>
      <c r="BD511" s="268">
        <f>IF($O512=0,0,                IF(LEFT(DCC_Leg1_Fixed,2)="1/",uEvaluate(DCC_Leg1_Fixed),        _xll.qDateYears($O511,$O512,DCC_Leg1_Fixed)))</f>
        <v>0</v>
      </c>
      <c r="BE511" s="268">
        <f>IF($O512,_xll.qDateYears($O511,$O512,DCC_Leg1_Float),0)</f>
        <v>0</v>
      </c>
      <c r="BG511" s="332">
        <f t="shared" si="251"/>
        <v>0</v>
      </c>
      <c r="BH511" s="357">
        <f t="shared" si="252"/>
        <v>0</v>
      </c>
      <c r="BI511" s="527"/>
      <c r="BK511" s="324">
        <f t="shared" si="257"/>
        <v>0</v>
      </c>
      <c r="BM511" s="338"/>
      <c r="BN511" s="121">
        <v>0</v>
      </c>
      <c r="BO511" s="755">
        <f t="shared" si="230"/>
        <v>0</v>
      </c>
      <c r="BP511" s="339">
        <v>0</v>
      </c>
      <c r="BQ511" s="890">
        <f>IF(BN512=0,0,         IF(OR(Currency2="AUD",Currency1="NZD",Currency2="GBP"),BN511,   _xll.qDateNext(BN511,"-2b",,,IF(Currency2="EUR","TGT","LON"))))</f>
        <v>0</v>
      </c>
      <c r="BR511" s="879" t="str">
        <v/>
      </c>
      <c r="BS511" s="879" t="str">
        <v/>
      </c>
      <c r="BT511" s="879" t="str">
        <v/>
      </c>
      <c r="BU511" s="879" t="str">
        <v/>
      </c>
      <c r="BV511" s="879" t="str">
        <v/>
      </c>
      <c r="BW511" s="879" t="str">
        <v/>
      </c>
      <c r="BX511" s="879" t="str">
        <v/>
      </c>
      <c r="BY511" s="879" t="str">
        <v/>
      </c>
      <c r="BZ511" s="882">
        <f>IF($BN512=0,0,        _xll.qDateNext($BN511,BZ$17,$CG$16,TRUE,Currency2))</f>
        <v>0</v>
      </c>
      <c r="CA511" s="882">
        <f>IF($BN512=0,0,        _xll.qDateNext($BN511,CA$17,$CG$16,TRUE,Currency2))</f>
        <v>0</v>
      </c>
      <c r="CB511" s="882">
        <f>IF($BN512=0,0,        _xll.qDateNext($BN511,CB$17,$CG$16,TRUE,Currency2))</f>
        <v>0</v>
      </c>
      <c r="CC511" s="882">
        <f>IF($BN512=0,0,        _xll.qDateNext($BN511,CC$17,$CG$16,TRUE,Currency2))</f>
        <v>0</v>
      </c>
      <c r="CD511" s="882">
        <f>IF($BN512=0,0,        _xll.qDateNext($BN511,CD$17,$CG$16,TRUE,Currency2))</f>
        <v>0</v>
      </c>
      <c r="CE511" s="882">
        <f>IF($BN512=0,0,        _xll.qDateNext($BN511,CE$17,$CG$16,TRUE,Currency2))</f>
        <v>0</v>
      </c>
      <c r="CF511" s="882">
        <f>IF($BN512=0,0,        _xll.qDateNext($BN511,CF$17,$CG$16,TRUE,Currency2))</f>
        <v>0</v>
      </c>
      <c r="CG511" s="882">
        <f>IF($BN512=0,0,        _xll.qDateNext($BN511,CG$17,$CG$16,TRUE,Currency2))</f>
        <v>0</v>
      </c>
      <c r="CH511" s="886">
        <v>0</v>
      </c>
      <c r="CI511" s="886">
        <v>0</v>
      </c>
      <c r="CJ511" s="886">
        <v>0</v>
      </c>
      <c r="CK511" s="886">
        <v>0</v>
      </c>
      <c r="CL511" s="886">
        <f t="shared" si="253"/>
        <v>0</v>
      </c>
      <c r="CM511" s="886">
        <f t="shared" si="254"/>
        <v>0</v>
      </c>
      <c r="CN511" s="886">
        <v>0</v>
      </c>
      <c r="CO511" s="886">
        <v>0</v>
      </c>
      <c r="CP511" s="648">
        <f t="shared" si="231"/>
        <v>0</v>
      </c>
      <c r="CQ511" s="648">
        <f t="shared" si="232"/>
        <v>0</v>
      </c>
      <c r="CR511" s="648">
        <f t="shared" si="233"/>
        <v>0</v>
      </c>
      <c r="CS511" s="648">
        <f t="shared" si="234"/>
        <v>0</v>
      </c>
      <c r="CT511" s="648">
        <f t="shared" si="235"/>
        <v>0</v>
      </c>
      <c r="CU511" s="648">
        <f t="shared" si="236"/>
        <v>0</v>
      </c>
      <c r="CV511" s="648">
        <f t="shared" si="237"/>
        <v>0</v>
      </c>
      <c r="CW511" s="648">
        <f t="shared" si="238"/>
        <v>0</v>
      </c>
      <c r="CX511" s="634">
        <v>0</v>
      </c>
      <c r="CY511" s="616"/>
      <c r="CZ511" s="619">
        <f>IF(BN512=0,0,             IF(ISNUMBER(CY511),CY511,             IF(ISTEXT(CY511),INDEX(CP511:CW511,MATCH(CY511,$CP$17:$CW$17,0)),           IF(CX511="INT",_xll.qInterp(BN512,BZ511:CG511,CP511:CW511),       INDEX(CP511:CW511,MATCH(CX511,$CP$17:$CW$17,0))))))</f>
        <v>0</v>
      </c>
      <c r="DA511" s="755">
        <f t="shared" si="239"/>
        <v>0</v>
      </c>
      <c r="DB511" s="387">
        <f t="shared" si="240"/>
        <v>0</v>
      </c>
      <c r="DC511" s="268">
        <f>IF($BN512=0,0,         IF(LEFT(DCC_Leg2_Fixed,2)="1/",uEvaluate(DCC_Leg2_Fixed),         _xll.qDateYears($BN511,$BN512,DCC_Leg2_Fixed)))</f>
        <v>0</v>
      </c>
      <c r="DD511" s="268">
        <f>IF($BN512,_xll.qDateYears($BN511,$BN512,DCC_Leg2_Float),0)</f>
        <v>0</v>
      </c>
      <c r="DF511" s="332">
        <f t="shared" si="255"/>
        <v>0</v>
      </c>
      <c r="DG511" s="357">
        <f t="shared" si="256"/>
        <v>0</v>
      </c>
      <c r="DH511" s="527"/>
      <c r="DJ511" s="324">
        <f t="shared" si="258"/>
        <v>0</v>
      </c>
      <c r="DK511" s="529"/>
      <c r="DL511" s="338"/>
    </row>
    <row r="512" spans="15:116">
      <c r="O512" s="121">
        <v>0</v>
      </c>
      <c r="P512" s="755">
        <f t="shared" si="227"/>
        <v>0</v>
      </c>
      <c r="Q512" s="125">
        <v>0</v>
      </c>
      <c r="R512" s="890">
        <f>IF(O513=0,0,         IF(OR(Currency1="AUD",Currency1="NZD",Currency1="GBP"),O512,   _xll.qDateNext(O512,"-2b",,,IF(Currency1="EUR","TGT","LON"))))</f>
        <v>0</v>
      </c>
      <c r="S512" s="879" t="str">
        <v/>
      </c>
      <c r="T512" s="879" t="str">
        <v/>
      </c>
      <c r="U512" s="879" t="str">
        <v/>
      </c>
      <c r="V512" s="879" t="str">
        <v/>
      </c>
      <c r="W512" s="879" t="str">
        <v/>
      </c>
      <c r="X512" s="879" t="str">
        <v/>
      </c>
      <c r="Y512" s="879" t="str">
        <v/>
      </c>
      <c r="Z512" s="879" t="str">
        <v/>
      </c>
      <c r="AA512" s="882">
        <f>IF($O513=0,0,        _xll.qDateNext($O512,AA$17,$AH$16,TRUE,Currency1))</f>
        <v>0</v>
      </c>
      <c r="AB512" s="882">
        <f>IF($O513=0,0,        _xll.qDateNext($O512,AB$17,$AH$16,TRUE,Currency1))</f>
        <v>0</v>
      </c>
      <c r="AC512" s="882">
        <f>IF($O513=0,0,        _xll.qDateNext($O512,AC$17,$AH$16,TRUE,Currency1))</f>
        <v>0</v>
      </c>
      <c r="AD512" s="882">
        <f>IF($O513=0,0,        _xll.qDateNext($O512,AD$17,$AH$16,TRUE,Currency1))</f>
        <v>0</v>
      </c>
      <c r="AE512" s="882">
        <f>IF($O513=0,0,        _xll.qDateNext($O512,AE$17,$AH$16,TRUE,Currency1))</f>
        <v>0</v>
      </c>
      <c r="AF512" s="882">
        <f>IF($O513=0,0,        _xll.qDateNext($O512,AF$17,$AH$16,TRUE,Currency1))</f>
        <v>0</v>
      </c>
      <c r="AG512" s="882">
        <f>IF($O513=0,0,        _xll.qDateNext($O512,AG$17,$AH$16,TRUE,Currency1))</f>
        <v>0</v>
      </c>
      <c r="AH512" s="882">
        <f>IF($O513=0,0,        _xll.qDateNext($O512,AH$17,$AH$16,TRUE,Currency1))</f>
        <v>0</v>
      </c>
      <c r="AI512" s="886">
        <f>IF($O513=0,0,           IF(FRM,_xll.qGetFwdRate(AI$14,$O512,AA512,"T",DCC_Leg1_Float),_xll.qGetFwdRate(AI$14,$O512,$O513,"T",DCC_Leg1_Float)))</f>
        <v>0</v>
      </c>
      <c r="AJ512" s="886">
        <f>IF($O513=0,0,           IF(FRM,_xll.qGetFwdRate(AJ$14,$O512,AB512,"T",DCC_Leg1_Float),_xll.qGetFwdRate(AJ$14,$O512,$O513,"T",DCC_Leg1_Float)))</f>
        <v>0</v>
      </c>
      <c r="AK512" s="886">
        <f t="shared" si="228"/>
        <v>0</v>
      </c>
      <c r="AL512" s="886">
        <f>IF($O513=0,0,           IF(FRM,_xll.qGetFwdRate(AL$14,$O512,AD512,"T",DCC_Leg1_Float),_xll.qGetFwdRate(AL$14,$O512,$O513,"T",DCC_Leg1_Float)))</f>
        <v>0</v>
      </c>
      <c r="AM512" s="886">
        <f t="shared" si="241"/>
        <v>0</v>
      </c>
      <c r="AN512" s="886">
        <f t="shared" si="242"/>
        <v>0</v>
      </c>
      <c r="AO512" s="886">
        <f>IF($O513=0,0,           IF(FRM,_xll.qGetFwdRate(AO$14,$O512,AG512,"T",DCC_Leg1_Float),_xll.qGetFwdRate(AO$14,$O512,$O513,"T",DCC_Leg1_Float)))</f>
        <v>0</v>
      </c>
      <c r="AP512" s="886">
        <f>IF($O513=0,0,           IF(FRM,_xll.qGetFwdRate(AP$14,$O512,AH512,"T",DCC_Leg1_Float),_xll.qGetFwdRate(AP$14,$O512,$O513,"T",DCC_Leg1_Float)))</f>
        <v>0</v>
      </c>
      <c r="AQ512" s="648">
        <f t="shared" si="243"/>
        <v>0</v>
      </c>
      <c r="AR512" s="648">
        <f t="shared" si="244"/>
        <v>0</v>
      </c>
      <c r="AS512" s="648">
        <f t="shared" si="245"/>
        <v>0</v>
      </c>
      <c r="AT512" s="648">
        <f t="shared" si="246"/>
        <v>0</v>
      </c>
      <c r="AU512" s="648">
        <f t="shared" si="247"/>
        <v>0</v>
      </c>
      <c r="AV512" s="648">
        <f t="shared" si="248"/>
        <v>0</v>
      </c>
      <c r="AW512" s="648">
        <f t="shared" si="249"/>
        <v>0</v>
      </c>
      <c r="AX512" s="648">
        <f t="shared" si="250"/>
        <v>0</v>
      </c>
      <c r="AY512" s="634">
        <v>0</v>
      </c>
      <c r="AZ512" s="616"/>
      <c r="BA512" s="619">
        <f>IF(O513=0,0,             IF(ISNUMBER(AZ512),AZ512,             IF(ISTEXT(AZ512),INDEX(AQ512:AX512,MATCH(AZ512,$AQ$17:$AX$17,0)),           IF(AY512="INT",_xll.qInterp(O513,AA512:AH512,AQ512:AX512),       INDEX(AQ512:AX512,MATCH(AY512,$AQ$17:$AX$17,0))))))</f>
        <v>0</v>
      </c>
      <c r="BB512" s="674">
        <v>100</v>
      </c>
      <c r="BC512" s="666">
        <f t="shared" si="229"/>
        <v>0</v>
      </c>
      <c r="BD512" s="268">
        <f>IF($O513=0,0,                IF(LEFT(DCC_Leg1_Fixed,2)="1/",uEvaluate(DCC_Leg1_Fixed),        _xll.qDateYears($O512,$O513,DCC_Leg1_Fixed)))</f>
        <v>0</v>
      </c>
      <c r="BE512" s="268">
        <f>IF($O513,_xll.qDateYears($O512,$O513,DCC_Leg1_Float),0)</f>
        <v>0</v>
      </c>
      <c r="BG512" s="332">
        <f t="shared" si="251"/>
        <v>0</v>
      </c>
      <c r="BH512" s="357">
        <f t="shared" si="252"/>
        <v>0</v>
      </c>
      <c r="BI512" s="527"/>
      <c r="BK512" s="324">
        <f t="shared" si="257"/>
        <v>0</v>
      </c>
      <c r="BM512" s="338"/>
      <c r="BN512" s="121">
        <v>0</v>
      </c>
      <c r="BO512" s="755">
        <f t="shared" si="230"/>
        <v>0</v>
      </c>
      <c r="BP512" s="339">
        <v>0</v>
      </c>
      <c r="BQ512" s="890">
        <f>IF(BN513=0,0,         IF(OR(Currency2="AUD",Currency1="NZD",Currency2="GBP"),BN512,   _xll.qDateNext(BN512,"-2b",,,IF(Currency2="EUR","TGT","LON"))))</f>
        <v>0</v>
      </c>
      <c r="BR512" s="879" t="str">
        <v/>
      </c>
      <c r="BS512" s="879" t="str">
        <v/>
      </c>
      <c r="BT512" s="879" t="str">
        <v/>
      </c>
      <c r="BU512" s="879" t="str">
        <v/>
      </c>
      <c r="BV512" s="879" t="str">
        <v/>
      </c>
      <c r="BW512" s="879" t="str">
        <v/>
      </c>
      <c r="BX512" s="879" t="str">
        <v/>
      </c>
      <c r="BY512" s="879" t="str">
        <v/>
      </c>
      <c r="BZ512" s="882">
        <f>IF($BN513=0,0,        _xll.qDateNext($BN512,BZ$17,$CG$16,TRUE,Currency2))</f>
        <v>0</v>
      </c>
      <c r="CA512" s="882">
        <f>IF($BN513=0,0,        _xll.qDateNext($BN512,CA$17,$CG$16,TRUE,Currency2))</f>
        <v>0</v>
      </c>
      <c r="CB512" s="882">
        <f>IF($BN513=0,0,        _xll.qDateNext($BN512,CB$17,$CG$16,TRUE,Currency2))</f>
        <v>0</v>
      </c>
      <c r="CC512" s="882">
        <f>IF($BN513=0,0,        _xll.qDateNext($BN512,CC$17,$CG$16,TRUE,Currency2))</f>
        <v>0</v>
      </c>
      <c r="CD512" s="882">
        <f>IF($BN513=0,0,        _xll.qDateNext($BN512,CD$17,$CG$16,TRUE,Currency2))</f>
        <v>0</v>
      </c>
      <c r="CE512" s="882">
        <f>IF($BN513=0,0,        _xll.qDateNext($BN512,CE$17,$CG$16,TRUE,Currency2))</f>
        <v>0</v>
      </c>
      <c r="CF512" s="882">
        <f>IF($BN513=0,0,        _xll.qDateNext($BN512,CF$17,$CG$16,TRUE,Currency2))</f>
        <v>0</v>
      </c>
      <c r="CG512" s="882">
        <f>IF($BN513=0,0,        _xll.qDateNext($BN512,CG$17,$CG$16,TRUE,Currency2))</f>
        <v>0</v>
      </c>
      <c r="CH512" s="886">
        <v>0</v>
      </c>
      <c r="CI512" s="886">
        <v>0</v>
      </c>
      <c r="CJ512" s="886">
        <v>0</v>
      </c>
      <c r="CK512" s="886">
        <v>0</v>
      </c>
      <c r="CL512" s="886">
        <f t="shared" si="253"/>
        <v>0</v>
      </c>
      <c r="CM512" s="886">
        <f t="shared" si="254"/>
        <v>0</v>
      </c>
      <c r="CN512" s="886">
        <v>0</v>
      </c>
      <c r="CO512" s="886">
        <v>0</v>
      </c>
      <c r="CP512" s="648">
        <f t="shared" si="231"/>
        <v>0</v>
      </c>
      <c r="CQ512" s="648">
        <f t="shared" si="232"/>
        <v>0</v>
      </c>
      <c r="CR512" s="648">
        <f t="shared" si="233"/>
        <v>0</v>
      </c>
      <c r="CS512" s="648">
        <f t="shared" si="234"/>
        <v>0</v>
      </c>
      <c r="CT512" s="648">
        <f t="shared" si="235"/>
        <v>0</v>
      </c>
      <c r="CU512" s="648">
        <f t="shared" si="236"/>
        <v>0</v>
      </c>
      <c r="CV512" s="648">
        <f t="shared" si="237"/>
        <v>0</v>
      </c>
      <c r="CW512" s="648">
        <f t="shared" si="238"/>
        <v>0</v>
      </c>
      <c r="CX512" s="634">
        <v>0</v>
      </c>
      <c r="CY512" s="616"/>
      <c r="CZ512" s="619">
        <f>IF(BN513=0,0,             IF(ISNUMBER(CY512),CY512,             IF(ISTEXT(CY512),INDEX(CP512:CW512,MATCH(CY512,$CP$17:$CW$17,0)),           IF(CX512="INT",_xll.qInterp(BN513,BZ512:CG512,CP512:CW512),       INDEX(CP512:CW512,MATCH(CX512,$CP$17:$CW$17,0))))))</f>
        <v>0</v>
      </c>
      <c r="DA512" s="755">
        <f t="shared" si="239"/>
        <v>0</v>
      </c>
      <c r="DB512" s="387">
        <f t="shared" si="240"/>
        <v>0</v>
      </c>
      <c r="DC512" s="268">
        <f>IF($BN513=0,0,         IF(LEFT(DCC_Leg2_Fixed,2)="1/",uEvaluate(DCC_Leg2_Fixed),         _xll.qDateYears($BN512,$BN513,DCC_Leg2_Fixed)))</f>
        <v>0</v>
      </c>
      <c r="DD512" s="268">
        <f>IF($BN513,_xll.qDateYears($BN512,$BN513,DCC_Leg2_Float),0)</f>
        <v>0</v>
      </c>
      <c r="DF512" s="332">
        <f t="shared" si="255"/>
        <v>0</v>
      </c>
      <c r="DG512" s="357">
        <f t="shared" si="256"/>
        <v>0</v>
      </c>
      <c r="DH512" s="527"/>
      <c r="DJ512" s="324">
        <f t="shared" si="258"/>
        <v>0</v>
      </c>
      <c r="DK512" s="529"/>
      <c r="DL512" s="338"/>
    </row>
    <row r="513" spans="15:116">
      <c r="O513" s="121">
        <v>0</v>
      </c>
      <c r="P513" s="755">
        <f t="shared" si="227"/>
        <v>0</v>
      </c>
      <c r="Q513" s="125">
        <v>0</v>
      </c>
      <c r="R513" s="890">
        <f>IF(O514=0,0,         IF(OR(Currency1="AUD",Currency1="NZD",Currency1="GBP"),O513,   _xll.qDateNext(O513,"-2b",,,IF(Currency1="EUR","TGT","LON"))))</f>
        <v>0</v>
      </c>
      <c r="S513" s="879" t="str">
        <v/>
      </c>
      <c r="T513" s="879" t="str">
        <v/>
      </c>
      <c r="U513" s="879" t="str">
        <v/>
      </c>
      <c r="V513" s="879" t="str">
        <v/>
      </c>
      <c r="W513" s="879" t="str">
        <v/>
      </c>
      <c r="X513" s="879" t="str">
        <v/>
      </c>
      <c r="Y513" s="879" t="str">
        <v/>
      </c>
      <c r="Z513" s="879" t="str">
        <v/>
      </c>
      <c r="AA513" s="882">
        <f>IF($O514=0,0,        _xll.qDateNext($O513,AA$17,$AH$16,TRUE,Currency1))</f>
        <v>0</v>
      </c>
      <c r="AB513" s="882">
        <f>IF($O514=0,0,        _xll.qDateNext($O513,AB$17,$AH$16,TRUE,Currency1))</f>
        <v>0</v>
      </c>
      <c r="AC513" s="882">
        <f>IF($O514=0,0,        _xll.qDateNext($O513,AC$17,$AH$16,TRUE,Currency1))</f>
        <v>0</v>
      </c>
      <c r="AD513" s="882">
        <f>IF($O514=0,0,        _xll.qDateNext($O513,AD$17,$AH$16,TRUE,Currency1))</f>
        <v>0</v>
      </c>
      <c r="AE513" s="882">
        <f>IF($O514=0,0,        _xll.qDateNext($O513,AE$17,$AH$16,TRUE,Currency1))</f>
        <v>0</v>
      </c>
      <c r="AF513" s="882">
        <f>IF($O514=0,0,        _xll.qDateNext($O513,AF$17,$AH$16,TRUE,Currency1))</f>
        <v>0</v>
      </c>
      <c r="AG513" s="882">
        <f>IF($O514=0,0,        _xll.qDateNext($O513,AG$17,$AH$16,TRUE,Currency1))</f>
        <v>0</v>
      </c>
      <c r="AH513" s="882">
        <f>IF($O514=0,0,        _xll.qDateNext($O513,AH$17,$AH$16,TRUE,Currency1))</f>
        <v>0</v>
      </c>
      <c r="AI513" s="886">
        <f>IF($O514=0,0,           IF(FRM,_xll.qGetFwdRate(AI$14,$O513,AA513,"T",DCC_Leg1_Float),_xll.qGetFwdRate(AI$14,$O513,$O514,"T",DCC_Leg1_Float)))</f>
        <v>0</v>
      </c>
      <c r="AJ513" s="886">
        <f>IF($O514=0,0,           IF(FRM,_xll.qGetFwdRate(AJ$14,$O513,AB513,"T",DCC_Leg1_Float),_xll.qGetFwdRate(AJ$14,$O513,$O514,"T",DCC_Leg1_Float)))</f>
        <v>0</v>
      </c>
      <c r="AK513" s="886">
        <f t="shared" si="228"/>
        <v>0</v>
      </c>
      <c r="AL513" s="886">
        <f>IF($O514=0,0,           IF(FRM,_xll.qGetFwdRate(AL$14,$O513,AD513,"T",DCC_Leg1_Float),_xll.qGetFwdRate(AL$14,$O513,$O514,"T",DCC_Leg1_Float)))</f>
        <v>0</v>
      </c>
      <c r="AM513" s="886">
        <f t="shared" si="241"/>
        <v>0</v>
      </c>
      <c r="AN513" s="886">
        <f t="shared" si="242"/>
        <v>0</v>
      </c>
      <c r="AO513" s="886">
        <f>IF($O514=0,0,           IF(FRM,_xll.qGetFwdRate(AO$14,$O513,AG513,"T",DCC_Leg1_Float),_xll.qGetFwdRate(AO$14,$O513,$O514,"T",DCC_Leg1_Float)))</f>
        <v>0</v>
      </c>
      <c r="AP513" s="886">
        <f>IF($O514=0,0,           IF(FRM,_xll.qGetFwdRate(AP$14,$O513,AH513,"T",DCC_Leg1_Float),_xll.qGetFwdRate(AP$14,$O513,$O514,"T",DCC_Leg1_Float)))</f>
        <v>0</v>
      </c>
      <c r="AQ513" s="648">
        <f t="shared" si="243"/>
        <v>0</v>
      </c>
      <c r="AR513" s="648">
        <f t="shared" si="244"/>
        <v>0</v>
      </c>
      <c r="AS513" s="648">
        <f t="shared" si="245"/>
        <v>0</v>
      </c>
      <c r="AT513" s="648">
        <f t="shared" si="246"/>
        <v>0</v>
      </c>
      <c r="AU513" s="648">
        <f t="shared" si="247"/>
        <v>0</v>
      </c>
      <c r="AV513" s="648">
        <f t="shared" si="248"/>
        <v>0</v>
      </c>
      <c r="AW513" s="648">
        <f t="shared" si="249"/>
        <v>0</v>
      </c>
      <c r="AX513" s="648">
        <f t="shared" si="250"/>
        <v>0</v>
      </c>
      <c r="AY513" s="634">
        <v>0</v>
      </c>
      <c r="AZ513" s="616"/>
      <c r="BA513" s="619">
        <f>IF(O514=0,0,             IF(ISNUMBER(AZ513),AZ513,             IF(ISTEXT(AZ513),INDEX(AQ513:AX513,MATCH(AZ513,$AQ$17:$AX$17,0)),           IF(AY513="INT",_xll.qInterp(O514,AA513:AH513,AQ513:AX513),       INDEX(AQ513:AX513,MATCH(AY513,$AQ$17:$AX$17,0))))))</f>
        <v>0</v>
      </c>
      <c r="BB513" s="674">
        <v>100</v>
      </c>
      <c r="BC513" s="666">
        <f t="shared" si="229"/>
        <v>0</v>
      </c>
      <c r="BD513" s="268">
        <f>IF($O514=0,0,                IF(LEFT(DCC_Leg1_Fixed,2)="1/",uEvaluate(DCC_Leg1_Fixed),        _xll.qDateYears($O513,$O514,DCC_Leg1_Fixed)))</f>
        <v>0</v>
      </c>
      <c r="BE513" s="268">
        <f>IF($O514,_xll.qDateYears($O513,$O514,DCC_Leg1_Float),0)</f>
        <v>0</v>
      </c>
      <c r="BG513" s="332">
        <f t="shared" si="251"/>
        <v>0</v>
      </c>
      <c r="BH513" s="357">
        <f t="shared" si="252"/>
        <v>0</v>
      </c>
      <c r="BI513" s="527"/>
      <c r="BK513" s="324">
        <f t="shared" si="257"/>
        <v>0</v>
      </c>
      <c r="BM513" s="338"/>
      <c r="BN513" s="121">
        <v>0</v>
      </c>
      <c r="BO513" s="755">
        <f t="shared" si="230"/>
        <v>0</v>
      </c>
      <c r="BP513" s="339">
        <v>0</v>
      </c>
      <c r="BQ513" s="890">
        <f>IF(BN514=0,0,         IF(OR(Currency2="AUD",Currency1="NZD",Currency2="GBP"),BN513,   _xll.qDateNext(BN513,"-2b",,,IF(Currency2="EUR","TGT","LON"))))</f>
        <v>0</v>
      </c>
      <c r="BR513" s="879" t="str">
        <v/>
      </c>
      <c r="BS513" s="879" t="str">
        <v/>
      </c>
      <c r="BT513" s="879" t="str">
        <v/>
      </c>
      <c r="BU513" s="879" t="str">
        <v/>
      </c>
      <c r="BV513" s="879" t="str">
        <v/>
      </c>
      <c r="BW513" s="879" t="str">
        <v/>
      </c>
      <c r="BX513" s="879" t="str">
        <v/>
      </c>
      <c r="BY513" s="879" t="str">
        <v/>
      </c>
      <c r="BZ513" s="882">
        <f>IF($BN514=0,0,        _xll.qDateNext($BN513,BZ$17,$CG$16,TRUE,Currency2))</f>
        <v>0</v>
      </c>
      <c r="CA513" s="882">
        <f>IF($BN514=0,0,        _xll.qDateNext($BN513,CA$17,$CG$16,TRUE,Currency2))</f>
        <v>0</v>
      </c>
      <c r="CB513" s="882">
        <f>IF($BN514=0,0,        _xll.qDateNext($BN513,CB$17,$CG$16,TRUE,Currency2))</f>
        <v>0</v>
      </c>
      <c r="CC513" s="882">
        <f>IF($BN514=0,0,        _xll.qDateNext($BN513,CC$17,$CG$16,TRUE,Currency2))</f>
        <v>0</v>
      </c>
      <c r="CD513" s="882">
        <f>IF($BN514=0,0,        _xll.qDateNext($BN513,CD$17,$CG$16,TRUE,Currency2))</f>
        <v>0</v>
      </c>
      <c r="CE513" s="882">
        <f>IF($BN514=0,0,        _xll.qDateNext($BN513,CE$17,$CG$16,TRUE,Currency2))</f>
        <v>0</v>
      </c>
      <c r="CF513" s="882">
        <f>IF($BN514=0,0,        _xll.qDateNext($BN513,CF$17,$CG$16,TRUE,Currency2))</f>
        <v>0</v>
      </c>
      <c r="CG513" s="882">
        <f>IF($BN514=0,0,        _xll.qDateNext($BN513,CG$17,$CG$16,TRUE,Currency2))</f>
        <v>0</v>
      </c>
      <c r="CH513" s="886">
        <v>0</v>
      </c>
      <c r="CI513" s="886">
        <v>0</v>
      </c>
      <c r="CJ513" s="886">
        <v>0</v>
      </c>
      <c r="CK513" s="886">
        <v>0</v>
      </c>
      <c r="CL513" s="886">
        <f t="shared" si="253"/>
        <v>0</v>
      </c>
      <c r="CM513" s="886">
        <f t="shared" si="254"/>
        <v>0</v>
      </c>
      <c r="CN513" s="886">
        <v>0</v>
      </c>
      <c r="CO513" s="886">
        <v>0</v>
      </c>
      <c r="CP513" s="648">
        <f t="shared" si="231"/>
        <v>0</v>
      </c>
      <c r="CQ513" s="648">
        <f t="shared" si="232"/>
        <v>0</v>
      </c>
      <c r="CR513" s="648">
        <f t="shared" si="233"/>
        <v>0</v>
      </c>
      <c r="CS513" s="648">
        <f t="shared" si="234"/>
        <v>0</v>
      </c>
      <c r="CT513" s="648">
        <f t="shared" si="235"/>
        <v>0</v>
      </c>
      <c r="CU513" s="648">
        <f t="shared" si="236"/>
        <v>0</v>
      </c>
      <c r="CV513" s="648">
        <f t="shared" si="237"/>
        <v>0</v>
      </c>
      <c r="CW513" s="648">
        <f t="shared" si="238"/>
        <v>0</v>
      </c>
      <c r="CX513" s="634">
        <v>0</v>
      </c>
      <c r="CY513" s="616"/>
      <c r="CZ513" s="619">
        <f>IF(BN514=0,0,             IF(ISNUMBER(CY513),CY513,             IF(ISTEXT(CY513),INDEX(CP513:CW513,MATCH(CY513,$CP$17:$CW$17,0)),           IF(CX513="INT",_xll.qInterp(BN514,BZ513:CG513,CP513:CW513),       INDEX(CP513:CW513,MATCH(CX513,$CP$17:$CW$17,0))))))</f>
        <v>0</v>
      </c>
      <c r="DA513" s="755">
        <f t="shared" si="239"/>
        <v>0</v>
      </c>
      <c r="DB513" s="387">
        <f t="shared" si="240"/>
        <v>0</v>
      </c>
      <c r="DC513" s="268">
        <f>IF($BN514=0,0,         IF(LEFT(DCC_Leg2_Fixed,2)="1/",uEvaluate(DCC_Leg2_Fixed),         _xll.qDateYears($BN513,$BN514,DCC_Leg2_Fixed)))</f>
        <v>0</v>
      </c>
      <c r="DD513" s="268">
        <f>IF($BN514,_xll.qDateYears($BN513,$BN514,DCC_Leg2_Float),0)</f>
        <v>0</v>
      </c>
      <c r="DF513" s="332">
        <f t="shared" si="255"/>
        <v>0</v>
      </c>
      <c r="DG513" s="357">
        <f t="shared" si="256"/>
        <v>0</v>
      </c>
      <c r="DH513" s="527"/>
      <c r="DJ513" s="324">
        <f t="shared" si="258"/>
        <v>0</v>
      </c>
      <c r="DK513" s="529"/>
      <c r="DL513" s="338"/>
    </row>
    <row r="514" spans="15:116">
      <c r="O514" s="121">
        <v>0</v>
      </c>
      <c r="P514" s="755">
        <f t="shared" si="227"/>
        <v>0</v>
      </c>
      <c r="Q514" s="125">
        <v>0</v>
      </c>
      <c r="R514" s="890">
        <f>IF(O515=0,0,         IF(OR(Currency1="AUD",Currency1="NZD",Currency1="GBP"),O514,   _xll.qDateNext(O514,"-2b",,,IF(Currency1="EUR","TGT","LON"))))</f>
        <v>0</v>
      </c>
      <c r="S514" s="879" t="str">
        <v/>
      </c>
      <c r="T514" s="879" t="str">
        <v/>
      </c>
      <c r="U514" s="879" t="str">
        <v/>
      </c>
      <c r="V514" s="879" t="str">
        <v/>
      </c>
      <c r="W514" s="879" t="str">
        <v/>
      </c>
      <c r="X514" s="879" t="str">
        <v/>
      </c>
      <c r="Y514" s="879" t="str">
        <v/>
      </c>
      <c r="Z514" s="879" t="str">
        <v/>
      </c>
      <c r="AA514" s="882">
        <f>IF($O515=0,0,        _xll.qDateNext($O514,AA$17,$AH$16,TRUE,Currency1))</f>
        <v>0</v>
      </c>
      <c r="AB514" s="882">
        <f>IF($O515=0,0,        _xll.qDateNext($O514,AB$17,$AH$16,TRUE,Currency1))</f>
        <v>0</v>
      </c>
      <c r="AC514" s="882">
        <f>IF($O515=0,0,        _xll.qDateNext($O514,AC$17,$AH$16,TRUE,Currency1))</f>
        <v>0</v>
      </c>
      <c r="AD514" s="882">
        <f>IF($O515=0,0,        _xll.qDateNext($O514,AD$17,$AH$16,TRUE,Currency1))</f>
        <v>0</v>
      </c>
      <c r="AE514" s="882">
        <f>IF($O515=0,0,        _xll.qDateNext($O514,AE$17,$AH$16,TRUE,Currency1))</f>
        <v>0</v>
      </c>
      <c r="AF514" s="882">
        <f>IF($O515=0,0,        _xll.qDateNext($O514,AF$17,$AH$16,TRUE,Currency1))</f>
        <v>0</v>
      </c>
      <c r="AG514" s="882">
        <f>IF($O515=0,0,        _xll.qDateNext($O514,AG$17,$AH$16,TRUE,Currency1))</f>
        <v>0</v>
      </c>
      <c r="AH514" s="882">
        <f>IF($O515=0,0,        _xll.qDateNext($O514,AH$17,$AH$16,TRUE,Currency1))</f>
        <v>0</v>
      </c>
      <c r="AI514" s="886">
        <f>IF($O515=0,0,           IF(FRM,_xll.qGetFwdRate(AI$14,$O514,AA514,"T",DCC_Leg1_Float),_xll.qGetFwdRate(AI$14,$O514,$O515,"T",DCC_Leg1_Float)))</f>
        <v>0</v>
      </c>
      <c r="AJ514" s="886">
        <f>IF($O515=0,0,           IF(FRM,_xll.qGetFwdRate(AJ$14,$O514,AB514,"T",DCC_Leg1_Float),_xll.qGetFwdRate(AJ$14,$O514,$O515,"T",DCC_Leg1_Float)))</f>
        <v>0</v>
      </c>
      <c r="AK514" s="886">
        <f t="shared" si="228"/>
        <v>0</v>
      </c>
      <c r="AL514" s="886">
        <f>IF($O515=0,0,           IF(FRM,_xll.qGetFwdRate(AL$14,$O514,AD514,"T",DCC_Leg1_Float),_xll.qGetFwdRate(AL$14,$O514,$O515,"T",DCC_Leg1_Float)))</f>
        <v>0</v>
      </c>
      <c r="AM514" s="886">
        <f t="shared" si="241"/>
        <v>0</v>
      </c>
      <c r="AN514" s="886">
        <f t="shared" si="242"/>
        <v>0</v>
      </c>
      <c r="AO514" s="886">
        <f>IF($O515=0,0,           IF(FRM,_xll.qGetFwdRate(AO$14,$O514,AG514,"T",DCC_Leg1_Float),_xll.qGetFwdRate(AO$14,$O514,$O515,"T",DCC_Leg1_Float)))</f>
        <v>0</v>
      </c>
      <c r="AP514" s="886">
        <f>IF($O515=0,0,           IF(FRM,_xll.qGetFwdRate(AP$14,$O514,AH514,"T",DCC_Leg1_Float),_xll.qGetFwdRate(AP$14,$O514,$O515,"T",DCC_Leg1_Float)))</f>
        <v>0</v>
      </c>
      <c r="AQ514" s="648">
        <f t="shared" si="243"/>
        <v>0</v>
      </c>
      <c r="AR514" s="648">
        <f t="shared" si="244"/>
        <v>0</v>
      </c>
      <c r="AS514" s="648">
        <f t="shared" si="245"/>
        <v>0</v>
      </c>
      <c r="AT514" s="648">
        <f t="shared" si="246"/>
        <v>0</v>
      </c>
      <c r="AU514" s="648">
        <f t="shared" si="247"/>
        <v>0</v>
      </c>
      <c r="AV514" s="648">
        <f t="shared" si="248"/>
        <v>0</v>
      </c>
      <c r="AW514" s="648">
        <f t="shared" si="249"/>
        <v>0</v>
      </c>
      <c r="AX514" s="648">
        <f t="shared" si="250"/>
        <v>0</v>
      </c>
      <c r="AY514" s="634">
        <v>0</v>
      </c>
      <c r="AZ514" s="616"/>
      <c r="BA514" s="619">
        <f>IF(O515=0,0,             IF(ISNUMBER(AZ514),AZ514,             IF(ISTEXT(AZ514),INDEX(AQ514:AX514,MATCH(AZ514,$AQ$17:$AX$17,0)),           IF(AY514="INT",_xll.qInterp(O515,AA514:AH514,AQ514:AX514),       INDEX(AQ514:AX514,MATCH(AY514,$AQ$17:$AX$17,0))))))</f>
        <v>0</v>
      </c>
      <c r="BB514" s="674">
        <v>100</v>
      </c>
      <c r="BC514" s="666">
        <f t="shared" si="229"/>
        <v>0</v>
      </c>
      <c r="BD514" s="268">
        <f>IF($O515=0,0,                IF(LEFT(DCC_Leg1_Fixed,2)="1/",uEvaluate(DCC_Leg1_Fixed),        _xll.qDateYears($O514,$O515,DCC_Leg1_Fixed)))</f>
        <v>0</v>
      </c>
      <c r="BE514" s="268">
        <f>IF($O515,_xll.qDateYears($O514,$O515,DCC_Leg1_Float),0)</f>
        <v>0</v>
      </c>
      <c r="BG514" s="332">
        <f t="shared" si="251"/>
        <v>0</v>
      </c>
      <c r="BH514" s="357">
        <f t="shared" si="252"/>
        <v>0</v>
      </c>
      <c r="BI514" s="527"/>
      <c r="BK514" s="324">
        <f t="shared" si="257"/>
        <v>0</v>
      </c>
      <c r="BM514" s="338"/>
      <c r="BN514" s="121">
        <v>0</v>
      </c>
      <c r="BO514" s="755">
        <f t="shared" si="230"/>
        <v>0</v>
      </c>
      <c r="BP514" s="339">
        <v>0</v>
      </c>
      <c r="BQ514" s="890">
        <f>IF(BN515=0,0,         IF(OR(Currency2="AUD",Currency1="NZD",Currency2="GBP"),BN514,   _xll.qDateNext(BN514,"-2b",,,IF(Currency2="EUR","TGT","LON"))))</f>
        <v>0</v>
      </c>
      <c r="BR514" s="879" t="str">
        <v/>
      </c>
      <c r="BS514" s="879" t="str">
        <v/>
      </c>
      <c r="BT514" s="879" t="str">
        <v/>
      </c>
      <c r="BU514" s="879" t="str">
        <v/>
      </c>
      <c r="BV514" s="879" t="str">
        <v/>
      </c>
      <c r="BW514" s="879" t="str">
        <v/>
      </c>
      <c r="BX514" s="879" t="str">
        <v/>
      </c>
      <c r="BY514" s="879" t="str">
        <v/>
      </c>
      <c r="BZ514" s="882">
        <f>IF($BN515=0,0,        _xll.qDateNext($BN514,BZ$17,$CG$16,TRUE,Currency2))</f>
        <v>0</v>
      </c>
      <c r="CA514" s="882">
        <f>IF($BN515=0,0,        _xll.qDateNext($BN514,CA$17,$CG$16,TRUE,Currency2))</f>
        <v>0</v>
      </c>
      <c r="CB514" s="882">
        <f>IF($BN515=0,0,        _xll.qDateNext($BN514,CB$17,$CG$16,TRUE,Currency2))</f>
        <v>0</v>
      </c>
      <c r="CC514" s="882">
        <f>IF($BN515=0,0,        _xll.qDateNext($BN514,CC$17,$CG$16,TRUE,Currency2))</f>
        <v>0</v>
      </c>
      <c r="CD514" s="882">
        <f>IF($BN515=0,0,        _xll.qDateNext($BN514,CD$17,$CG$16,TRUE,Currency2))</f>
        <v>0</v>
      </c>
      <c r="CE514" s="882">
        <f>IF($BN515=0,0,        _xll.qDateNext($BN514,CE$17,$CG$16,TRUE,Currency2))</f>
        <v>0</v>
      </c>
      <c r="CF514" s="882">
        <f>IF($BN515=0,0,        _xll.qDateNext($BN514,CF$17,$CG$16,TRUE,Currency2))</f>
        <v>0</v>
      </c>
      <c r="CG514" s="882">
        <f>IF($BN515=0,0,        _xll.qDateNext($BN514,CG$17,$CG$16,TRUE,Currency2))</f>
        <v>0</v>
      </c>
      <c r="CH514" s="886">
        <v>0</v>
      </c>
      <c r="CI514" s="886">
        <v>0</v>
      </c>
      <c r="CJ514" s="886">
        <v>0</v>
      </c>
      <c r="CK514" s="886">
        <v>0</v>
      </c>
      <c r="CL514" s="886">
        <f t="shared" si="253"/>
        <v>0</v>
      </c>
      <c r="CM514" s="886">
        <f t="shared" si="254"/>
        <v>0</v>
      </c>
      <c r="CN514" s="886">
        <v>0</v>
      </c>
      <c r="CO514" s="886">
        <v>0</v>
      </c>
      <c r="CP514" s="648">
        <f t="shared" si="231"/>
        <v>0</v>
      </c>
      <c r="CQ514" s="648">
        <f t="shared" si="232"/>
        <v>0</v>
      </c>
      <c r="CR514" s="648">
        <f t="shared" si="233"/>
        <v>0</v>
      </c>
      <c r="CS514" s="648">
        <f t="shared" si="234"/>
        <v>0</v>
      </c>
      <c r="CT514" s="648">
        <f t="shared" si="235"/>
        <v>0</v>
      </c>
      <c r="CU514" s="648">
        <f t="shared" si="236"/>
        <v>0</v>
      </c>
      <c r="CV514" s="648">
        <f t="shared" si="237"/>
        <v>0</v>
      </c>
      <c r="CW514" s="648">
        <f t="shared" si="238"/>
        <v>0</v>
      </c>
      <c r="CX514" s="634">
        <v>0</v>
      </c>
      <c r="CY514" s="616"/>
      <c r="CZ514" s="619">
        <f>IF(BN515=0,0,             IF(ISNUMBER(CY514),CY514,             IF(ISTEXT(CY514),INDEX(CP514:CW514,MATCH(CY514,$CP$17:$CW$17,0)),           IF(CX514="INT",_xll.qInterp(BN515,BZ514:CG514,CP514:CW514),       INDEX(CP514:CW514,MATCH(CX514,$CP$17:$CW$17,0))))))</f>
        <v>0</v>
      </c>
      <c r="DA514" s="755">
        <f t="shared" si="239"/>
        <v>0</v>
      </c>
      <c r="DB514" s="387">
        <f t="shared" si="240"/>
        <v>0</v>
      </c>
      <c r="DC514" s="268">
        <f>IF($BN515=0,0,         IF(LEFT(DCC_Leg2_Fixed,2)="1/",uEvaluate(DCC_Leg2_Fixed),         _xll.qDateYears($BN514,$BN515,DCC_Leg2_Fixed)))</f>
        <v>0</v>
      </c>
      <c r="DD514" s="268">
        <f>IF($BN515,_xll.qDateYears($BN514,$BN515,DCC_Leg2_Float),0)</f>
        <v>0</v>
      </c>
      <c r="DF514" s="332">
        <f t="shared" si="255"/>
        <v>0</v>
      </c>
      <c r="DG514" s="357">
        <f t="shared" si="256"/>
        <v>0</v>
      </c>
      <c r="DH514" s="527"/>
      <c r="DJ514" s="324">
        <f t="shared" si="258"/>
        <v>0</v>
      </c>
      <c r="DK514" s="529"/>
      <c r="DL514" s="338"/>
    </row>
    <row r="515" spans="15:116">
      <c r="O515" s="121">
        <v>0</v>
      </c>
      <c r="P515" s="755">
        <f t="shared" si="227"/>
        <v>0</v>
      </c>
      <c r="Q515" s="125">
        <v>0</v>
      </c>
      <c r="R515" s="890">
        <f>IF(O516=0,0,         IF(OR(Currency1="AUD",Currency1="NZD",Currency1="GBP"),O515,   _xll.qDateNext(O515,"-2b",,,IF(Currency1="EUR","TGT","LON"))))</f>
        <v>0</v>
      </c>
      <c r="S515" s="879" t="str">
        <v/>
      </c>
      <c r="T515" s="879" t="str">
        <v/>
      </c>
      <c r="U515" s="879" t="str">
        <v/>
      </c>
      <c r="V515" s="879" t="str">
        <v/>
      </c>
      <c r="W515" s="879" t="str">
        <v/>
      </c>
      <c r="X515" s="879" t="str">
        <v/>
      </c>
      <c r="Y515" s="879" t="str">
        <v/>
      </c>
      <c r="Z515" s="879" t="str">
        <v/>
      </c>
      <c r="AA515" s="882">
        <f>IF($O516=0,0,        _xll.qDateNext($O515,AA$17,$AH$16,TRUE,Currency1))</f>
        <v>0</v>
      </c>
      <c r="AB515" s="882">
        <f>IF($O516=0,0,        _xll.qDateNext($O515,AB$17,$AH$16,TRUE,Currency1))</f>
        <v>0</v>
      </c>
      <c r="AC515" s="882">
        <f>IF($O516=0,0,        _xll.qDateNext($O515,AC$17,$AH$16,TRUE,Currency1))</f>
        <v>0</v>
      </c>
      <c r="AD515" s="882">
        <f>IF($O516=0,0,        _xll.qDateNext($O515,AD$17,$AH$16,TRUE,Currency1))</f>
        <v>0</v>
      </c>
      <c r="AE515" s="882">
        <f>IF($O516=0,0,        _xll.qDateNext($O515,AE$17,$AH$16,TRUE,Currency1))</f>
        <v>0</v>
      </c>
      <c r="AF515" s="882">
        <f>IF($O516=0,0,        _xll.qDateNext($O515,AF$17,$AH$16,TRUE,Currency1))</f>
        <v>0</v>
      </c>
      <c r="AG515" s="882">
        <f>IF($O516=0,0,        _xll.qDateNext($O515,AG$17,$AH$16,TRUE,Currency1))</f>
        <v>0</v>
      </c>
      <c r="AH515" s="882">
        <f>IF($O516=0,0,        _xll.qDateNext($O515,AH$17,$AH$16,TRUE,Currency1))</f>
        <v>0</v>
      </c>
      <c r="AI515" s="886">
        <f>IF($O516=0,0,           IF(FRM,_xll.qGetFwdRate(AI$14,$O515,AA515,"T",DCC_Leg1_Float),_xll.qGetFwdRate(AI$14,$O515,$O516,"T",DCC_Leg1_Float)))</f>
        <v>0</v>
      </c>
      <c r="AJ515" s="886">
        <f>IF($O516=0,0,           IF(FRM,_xll.qGetFwdRate(AJ$14,$O515,AB515,"T",DCC_Leg1_Float),_xll.qGetFwdRate(AJ$14,$O515,$O516,"T",DCC_Leg1_Float)))</f>
        <v>0</v>
      </c>
      <c r="AK515" s="886">
        <f t="shared" si="228"/>
        <v>0</v>
      </c>
      <c r="AL515" s="886">
        <f>IF($O516=0,0,           IF(FRM,_xll.qGetFwdRate(AL$14,$O515,AD515,"T",DCC_Leg1_Float),_xll.qGetFwdRate(AL$14,$O515,$O516,"T",DCC_Leg1_Float)))</f>
        <v>0</v>
      </c>
      <c r="AM515" s="886">
        <f t="shared" si="241"/>
        <v>0</v>
      </c>
      <c r="AN515" s="886">
        <f t="shared" si="242"/>
        <v>0</v>
      </c>
      <c r="AO515" s="886">
        <f>IF($O516=0,0,           IF(FRM,_xll.qGetFwdRate(AO$14,$O515,AG515,"T",DCC_Leg1_Float),_xll.qGetFwdRate(AO$14,$O515,$O516,"T",DCC_Leg1_Float)))</f>
        <v>0</v>
      </c>
      <c r="AP515" s="886">
        <f>IF($O516=0,0,           IF(FRM,_xll.qGetFwdRate(AP$14,$O515,AH515,"T",DCC_Leg1_Float),_xll.qGetFwdRate(AP$14,$O515,$O516,"T",DCC_Leg1_Float)))</f>
        <v>0</v>
      </c>
      <c r="AQ515" s="648">
        <f t="shared" si="243"/>
        <v>0</v>
      </c>
      <c r="AR515" s="648">
        <f t="shared" si="244"/>
        <v>0</v>
      </c>
      <c r="AS515" s="648">
        <f t="shared" si="245"/>
        <v>0</v>
      </c>
      <c r="AT515" s="648">
        <f t="shared" si="246"/>
        <v>0</v>
      </c>
      <c r="AU515" s="648">
        <f t="shared" si="247"/>
        <v>0</v>
      </c>
      <c r="AV515" s="648">
        <f t="shared" si="248"/>
        <v>0</v>
      </c>
      <c r="AW515" s="648">
        <f t="shared" si="249"/>
        <v>0</v>
      </c>
      <c r="AX515" s="648">
        <f t="shared" si="250"/>
        <v>0</v>
      </c>
      <c r="AY515" s="634">
        <v>0</v>
      </c>
      <c r="AZ515" s="616"/>
      <c r="BA515" s="619">
        <f>IF(O516=0,0,             IF(ISNUMBER(AZ515),AZ515,             IF(ISTEXT(AZ515),INDEX(AQ515:AX515,MATCH(AZ515,$AQ$17:$AX$17,0)),           IF(AY515="INT",_xll.qInterp(O516,AA515:AH515,AQ515:AX515),       INDEX(AQ515:AX515,MATCH(AY515,$AQ$17:$AX$17,0))))))</f>
        <v>0</v>
      </c>
      <c r="BB515" s="674">
        <v>100</v>
      </c>
      <c r="BC515" s="666">
        <f t="shared" si="229"/>
        <v>0</v>
      </c>
      <c r="BD515" s="268">
        <f>IF($O516=0,0,                IF(LEFT(DCC_Leg1_Fixed,2)="1/",uEvaluate(DCC_Leg1_Fixed),        _xll.qDateYears($O515,$O516,DCC_Leg1_Fixed)))</f>
        <v>0</v>
      </c>
      <c r="BE515" s="268">
        <f>IF($O516,_xll.qDateYears($O515,$O516,DCC_Leg1_Float),0)</f>
        <v>0</v>
      </c>
      <c r="BG515" s="332">
        <f t="shared" si="251"/>
        <v>0</v>
      </c>
      <c r="BH515" s="357">
        <f t="shared" si="252"/>
        <v>0</v>
      </c>
      <c r="BI515" s="527"/>
      <c r="BK515" s="324">
        <f t="shared" si="257"/>
        <v>0</v>
      </c>
      <c r="BM515" s="338"/>
      <c r="BN515" s="121">
        <v>0</v>
      </c>
      <c r="BO515" s="755">
        <f t="shared" si="230"/>
        <v>0</v>
      </c>
      <c r="BP515" s="339">
        <v>0</v>
      </c>
      <c r="BQ515" s="890">
        <f>IF(BN516=0,0,         IF(OR(Currency2="AUD",Currency1="NZD",Currency2="GBP"),BN515,   _xll.qDateNext(BN515,"-2b",,,IF(Currency2="EUR","TGT","LON"))))</f>
        <v>0</v>
      </c>
      <c r="BR515" s="879" t="str">
        <v/>
      </c>
      <c r="BS515" s="879" t="str">
        <v/>
      </c>
      <c r="BT515" s="879" t="str">
        <v/>
      </c>
      <c r="BU515" s="879" t="str">
        <v/>
      </c>
      <c r="BV515" s="879" t="str">
        <v/>
      </c>
      <c r="BW515" s="879" t="str">
        <v/>
      </c>
      <c r="BX515" s="879" t="str">
        <v/>
      </c>
      <c r="BY515" s="879" t="str">
        <v/>
      </c>
      <c r="BZ515" s="882">
        <f>IF($BN516=0,0,        _xll.qDateNext($BN515,BZ$17,$CG$16,TRUE,Currency2))</f>
        <v>0</v>
      </c>
      <c r="CA515" s="882">
        <f>IF($BN516=0,0,        _xll.qDateNext($BN515,CA$17,$CG$16,TRUE,Currency2))</f>
        <v>0</v>
      </c>
      <c r="CB515" s="882">
        <f>IF($BN516=0,0,        _xll.qDateNext($BN515,CB$17,$CG$16,TRUE,Currency2))</f>
        <v>0</v>
      </c>
      <c r="CC515" s="882">
        <f>IF($BN516=0,0,        _xll.qDateNext($BN515,CC$17,$CG$16,TRUE,Currency2))</f>
        <v>0</v>
      </c>
      <c r="CD515" s="882">
        <f>IF($BN516=0,0,        _xll.qDateNext($BN515,CD$17,$CG$16,TRUE,Currency2))</f>
        <v>0</v>
      </c>
      <c r="CE515" s="882">
        <f>IF($BN516=0,0,        _xll.qDateNext($BN515,CE$17,$CG$16,TRUE,Currency2))</f>
        <v>0</v>
      </c>
      <c r="CF515" s="882">
        <f>IF($BN516=0,0,        _xll.qDateNext($BN515,CF$17,$CG$16,TRUE,Currency2))</f>
        <v>0</v>
      </c>
      <c r="CG515" s="882">
        <f>IF($BN516=0,0,        _xll.qDateNext($BN515,CG$17,$CG$16,TRUE,Currency2))</f>
        <v>0</v>
      </c>
      <c r="CH515" s="886">
        <v>0</v>
      </c>
      <c r="CI515" s="886">
        <v>0</v>
      </c>
      <c r="CJ515" s="886">
        <v>0</v>
      </c>
      <c r="CK515" s="886">
        <v>0</v>
      </c>
      <c r="CL515" s="886">
        <f t="shared" si="253"/>
        <v>0</v>
      </c>
      <c r="CM515" s="886">
        <f t="shared" si="254"/>
        <v>0</v>
      </c>
      <c r="CN515" s="886">
        <v>0</v>
      </c>
      <c r="CO515" s="886">
        <v>0</v>
      </c>
      <c r="CP515" s="648">
        <f t="shared" si="231"/>
        <v>0</v>
      </c>
      <c r="CQ515" s="648">
        <f t="shared" si="232"/>
        <v>0</v>
      </c>
      <c r="CR515" s="648">
        <f t="shared" si="233"/>
        <v>0</v>
      </c>
      <c r="CS515" s="648">
        <f t="shared" si="234"/>
        <v>0</v>
      </c>
      <c r="CT515" s="648">
        <f t="shared" si="235"/>
        <v>0</v>
      </c>
      <c r="CU515" s="648">
        <f t="shared" si="236"/>
        <v>0</v>
      </c>
      <c r="CV515" s="648">
        <f t="shared" si="237"/>
        <v>0</v>
      </c>
      <c r="CW515" s="648">
        <f t="shared" si="238"/>
        <v>0</v>
      </c>
      <c r="CX515" s="634">
        <v>0</v>
      </c>
      <c r="CY515" s="616"/>
      <c r="CZ515" s="619">
        <f>IF(BN516=0,0,             IF(ISNUMBER(CY515),CY515,             IF(ISTEXT(CY515),INDEX(CP515:CW515,MATCH(CY515,$CP$17:$CW$17,0)),           IF(CX515="INT",_xll.qInterp(BN516,BZ515:CG515,CP515:CW515),       INDEX(CP515:CW515,MATCH(CX515,$CP$17:$CW$17,0))))))</f>
        <v>0</v>
      </c>
      <c r="DA515" s="755">
        <f t="shared" si="239"/>
        <v>0</v>
      </c>
      <c r="DB515" s="387">
        <f t="shared" si="240"/>
        <v>0</v>
      </c>
      <c r="DC515" s="268">
        <f>IF($BN516=0,0,         IF(LEFT(DCC_Leg2_Fixed,2)="1/",uEvaluate(DCC_Leg2_Fixed),         _xll.qDateYears($BN515,$BN516,DCC_Leg2_Fixed)))</f>
        <v>0</v>
      </c>
      <c r="DD515" s="268">
        <f>IF($BN516,_xll.qDateYears($BN515,$BN516,DCC_Leg2_Float),0)</f>
        <v>0</v>
      </c>
      <c r="DF515" s="332">
        <f t="shared" si="255"/>
        <v>0</v>
      </c>
      <c r="DG515" s="357">
        <f t="shared" si="256"/>
        <v>0</v>
      </c>
      <c r="DH515" s="527"/>
      <c r="DJ515" s="324">
        <f t="shared" si="258"/>
        <v>0</v>
      </c>
      <c r="DK515" s="529"/>
      <c r="DL515" s="338"/>
    </row>
    <row r="516" spans="15:116">
      <c r="O516" s="121">
        <v>0</v>
      </c>
      <c r="P516" s="755">
        <f t="shared" si="227"/>
        <v>0</v>
      </c>
      <c r="Q516" s="125">
        <v>0</v>
      </c>
      <c r="R516" s="890">
        <f>IF(O517=0,0,         IF(OR(Currency1="AUD",Currency1="NZD",Currency1="GBP"),O516,   _xll.qDateNext(O516,"-2b",,,IF(Currency1="EUR","TGT","LON"))))</f>
        <v>0</v>
      </c>
      <c r="S516" s="879" t="str">
        <v/>
      </c>
      <c r="T516" s="879" t="str">
        <v/>
      </c>
      <c r="U516" s="879" t="str">
        <v/>
      </c>
      <c r="V516" s="879" t="str">
        <v/>
      </c>
      <c r="W516" s="879" t="str">
        <v/>
      </c>
      <c r="X516" s="879" t="str">
        <v/>
      </c>
      <c r="Y516" s="879" t="str">
        <v/>
      </c>
      <c r="Z516" s="879" t="str">
        <v/>
      </c>
      <c r="AA516" s="882">
        <f>IF($O517=0,0,        _xll.qDateNext($O516,AA$17,$AH$16,TRUE,Currency1))</f>
        <v>0</v>
      </c>
      <c r="AB516" s="882">
        <f>IF($O517=0,0,        _xll.qDateNext($O516,AB$17,$AH$16,TRUE,Currency1))</f>
        <v>0</v>
      </c>
      <c r="AC516" s="882">
        <f>IF($O517=0,0,        _xll.qDateNext($O516,AC$17,$AH$16,TRUE,Currency1))</f>
        <v>0</v>
      </c>
      <c r="AD516" s="882">
        <f>IF($O517=0,0,        _xll.qDateNext($O516,AD$17,$AH$16,TRUE,Currency1))</f>
        <v>0</v>
      </c>
      <c r="AE516" s="882">
        <f>IF($O517=0,0,        _xll.qDateNext($O516,AE$17,$AH$16,TRUE,Currency1))</f>
        <v>0</v>
      </c>
      <c r="AF516" s="882">
        <f>IF($O517=0,0,        _xll.qDateNext($O516,AF$17,$AH$16,TRUE,Currency1))</f>
        <v>0</v>
      </c>
      <c r="AG516" s="882">
        <f>IF($O517=0,0,        _xll.qDateNext($O516,AG$17,$AH$16,TRUE,Currency1))</f>
        <v>0</v>
      </c>
      <c r="AH516" s="882">
        <f>IF($O517=0,0,        _xll.qDateNext($O516,AH$17,$AH$16,TRUE,Currency1))</f>
        <v>0</v>
      </c>
      <c r="AI516" s="886">
        <f>IF($O517=0,0,           IF(FRM,_xll.qGetFwdRate(AI$14,$O516,AA516,"T",DCC_Leg1_Float),_xll.qGetFwdRate(AI$14,$O516,$O517,"T",DCC_Leg1_Float)))</f>
        <v>0</v>
      </c>
      <c r="AJ516" s="886">
        <f>IF($O517=0,0,           IF(FRM,_xll.qGetFwdRate(AJ$14,$O516,AB516,"T",DCC_Leg1_Float),_xll.qGetFwdRate(AJ$14,$O516,$O517,"T",DCC_Leg1_Float)))</f>
        <v>0</v>
      </c>
      <c r="AK516" s="886">
        <f t="shared" si="228"/>
        <v>0</v>
      </c>
      <c r="AL516" s="886">
        <f>IF($O517=0,0,           IF(FRM,_xll.qGetFwdRate(AL$14,$O516,AD516,"T",DCC_Leg1_Float),_xll.qGetFwdRate(AL$14,$O516,$O517,"T",DCC_Leg1_Float)))</f>
        <v>0</v>
      </c>
      <c r="AM516" s="886">
        <f t="shared" si="241"/>
        <v>0</v>
      </c>
      <c r="AN516" s="886">
        <f t="shared" si="242"/>
        <v>0</v>
      </c>
      <c r="AO516" s="886">
        <f>IF($O517=0,0,           IF(FRM,_xll.qGetFwdRate(AO$14,$O516,AG516,"T",DCC_Leg1_Float),_xll.qGetFwdRate(AO$14,$O516,$O517,"T",DCC_Leg1_Float)))</f>
        <v>0</v>
      </c>
      <c r="AP516" s="886">
        <f>IF($O517=0,0,           IF(FRM,_xll.qGetFwdRate(AP$14,$O516,AH516,"T",DCC_Leg1_Float),_xll.qGetFwdRate(AP$14,$O516,$O517,"T",DCC_Leg1_Float)))</f>
        <v>0</v>
      </c>
      <c r="AQ516" s="648">
        <f t="shared" si="243"/>
        <v>0</v>
      </c>
      <c r="AR516" s="648">
        <f t="shared" si="244"/>
        <v>0</v>
      </c>
      <c r="AS516" s="648">
        <f t="shared" si="245"/>
        <v>0</v>
      </c>
      <c r="AT516" s="648">
        <f t="shared" si="246"/>
        <v>0</v>
      </c>
      <c r="AU516" s="648">
        <f t="shared" si="247"/>
        <v>0</v>
      </c>
      <c r="AV516" s="648">
        <f t="shared" si="248"/>
        <v>0</v>
      </c>
      <c r="AW516" s="648">
        <f t="shared" si="249"/>
        <v>0</v>
      </c>
      <c r="AX516" s="648">
        <f t="shared" si="250"/>
        <v>0</v>
      </c>
      <c r="AY516" s="634">
        <v>0</v>
      </c>
      <c r="AZ516" s="616"/>
      <c r="BA516" s="619">
        <f>IF(O517=0,0,             IF(ISNUMBER(AZ516),AZ516,             IF(ISTEXT(AZ516),INDEX(AQ516:AX516,MATCH(AZ516,$AQ$17:$AX$17,0)),           IF(AY516="INT",_xll.qInterp(O517,AA516:AH516,AQ516:AX516),       INDEX(AQ516:AX516,MATCH(AY516,$AQ$17:$AX$17,0))))))</f>
        <v>0</v>
      </c>
      <c r="BB516" s="674">
        <v>100</v>
      </c>
      <c r="BC516" s="666">
        <f t="shared" si="229"/>
        <v>0</v>
      </c>
      <c r="BD516" s="268">
        <f>IF($O517=0,0,                IF(LEFT(DCC_Leg1_Fixed,2)="1/",uEvaluate(DCC_Leg1_Fixed),        _xll.qDateYears($O516,$O517,DCC_Leg1_Fixed)))</f>
        <v>0</v>
      </c>
      <c r="BE516" s="268">
        <f>IF($O517,_xll.qDateYears($O516,$O517,DCC_Leg1_Float),0)</f>
        <v>0</v>
      </c>
      <c r="BG516" s="332">
        <f t="shared" si="251"/>
        <v>0</v>
      </c>
      <c r="BH516" s="357">
        <f t="shared" si="252"/>
        <v>0</v>
      </c>
      <c r="BI516" s="527"/>
      <c r="BK516" s="324">
        <f t="shared" si="257"/>
        <v>0</v>
      </c>
      <c r="BM516" s="338"/>
      <c r="BN516" s="121">
        <v>0</v>
      </c>
      <c r="BO516" s="755">
        <f t="shared" si="230"/>
        <v>0</v>
      </c>
      <c r="BP516" s="339">
        <v>0</v>
      </c>
      <c r="BQ516" s="890">
        <f>IF(BN517=0,0,         IF(OR(Currency2="AUD",Currency1="NZD",Currency2="GBP"),BN516,   _xll.qDateNext(BN516,"-2b",,,IF(Currency2="EUR","TGT","LON"))))</f>
        <v>0</v>
      </c>
      <c r="BR516" s="879" t="str">
        <v/>
      </c>
      <c r="BS516" s="879" t="str">
        <v/>
      </c>
      <c r="BT516" s="879" t="str">
        <v/>
      </c>
      <c r="BU516" s="879" t="str">
        <v/>
      </c>
      <c r="BV516" s="879" t="str">
        <v/>
      </c>
      <c r="BW516" s="879" t="str">
        <v/>
      </c>
      <c r="BX516" s="879" t="str">
        <v/>
      </c>
      <c r="BY516" s="879" t="str">
        <v/>
      </c>
      <c r="BZ516" s="882">
        <f>IF($BN517=0,0,        _xll.qDateNext($BN516,BZ$17,$CG$16,TRUE,Currency2))</f>
        <v>0</v>
      </c>
      <c r="CA516" s="882">
        <f>IF($BN517=0,0,        _xll.qDateNext($BN516,CA$17,$CG$16,TRUE,Currency2))</f>
        <v>0</v>
      </c>
      <c r="CB516" s="882">
        <f>IF($BN517=0,0,        _xll.qDateNext($BN516,CB$17,$CG$16,TRUE,Currency2))</f>
        <v>0</v>
      </c>
      <c r="CC516" s="882">
        <f>IF($BN517=0,0,        _xll.qDateNext($BN516,CC$17,$CG$16,TRUE,Currency2))</f>
        <v>0</v>
      </c>
      <c r="CD516" s="882">
        <f>IF($BN517=0,0,        _xll.qDateNext($BN516,CD$17,$CG$16,TRUE,Currency2))</f>
        <v>0</v>
      </c>
      <c r="CE516" s="882">
        <f>IF($BN517=0,0,        _xll.qDateNext($BN516,CE$17,$CG$16,TRUE,Currency2))</f>
        <v>0</v>
      </c>
      <c r="CF516" s="882">
        <f>IF($BN517=0,0,        _xll.qDateNext($BN516,CF$17,$CG$16,TRUE,Currency2))</f>
        <v>0</v>
      </c>
      <c r="CG516" s="882">
        <f>IF($BN517=0,0,        _xll.qDateNext($BN516,CG$17,$CG$16,TRUE,Currency2))</f>
        <v>0</v>
      </c>
      <c r="CH516" s="886">
        <v>0</v>
      </c>
      <c r="CI516" s="886">
        <v>0</v>
      </c>
      <c r="CJ516" s="886">
        <v>0</v>
      </c>
      <c r="CK516" s="886">
        <v>0</v>
      </c>
      <c r="CL516" s="886">
        <f t="shared" si="253"/>
        <v>0</v>
      </c>
      <c r="CM516" s="886">
        <f t="shared" si="254"/>
        <v>0</v>
      </c>
      <c r="CN516" s="886">
        <v>0</v>
      </c>
      <c r="CO516" s="886">
        <v>0</v>
      </c>
      <c r="CP516" s="648">
        <f t="shared" si="231"/>
        <v>0</v>
      </c>
      <c r="CQ516" s="648">
        <f t="shared" si="232"/>
        <v>0</v>
      </c>
      <c r="CR516" s="648">
        <f t="shared" si="233"/>
        <v>0</v>
      </c>
      <c r="CS516" s="648">
        <f t="shared" si="234"/>
        <v>0</v>
      </c>
      <c r="CT516" s="648">
        <f t="shared" si="235"/>
        <v>0</v>
      </c>
      <c r="CU516" s="648">
        <f t="shared" si="236"/>
        <v>0</v>
      </c>
      <c r="CV516" s="648">
        <f t="shared" si="237"/>
        <v>0</v>
      </c>
      <c r="CW516" s="648">
        <f t="shared" si="238"/>
        <v>0</v>
      </c>
      <c r="CX516" s="634">
        <v>0</v>
      </c>
      <c r="CY516" s="616"/>
      <c r="CZ516" s="619">
        <f>IF(BN517=0,0,             IF(ISNUMBER(CY516),CY516,             IF(ISTEXT(CY516),INDEX(CP516:CW516,MATCH(CY516,$CP$17:$CW$17,0)),           IF(CX516="INT",_xll.qInterp(BN517,BZ516:CG516,CP516:CW516),       INDEX(CP516:CW516,MATCH(CX516,$CP$17:$CW$17,0))))))</f>
        <v>0</v>
      </c>
      <c r="DA516" s="755">
        <f t="shared" si="239"/>
        <v>0</v>
      </c>
      <c r="DB516" s="387">
        <f t="shared" si="240"/>
        <v>0</v>
      </c>
      <c r="DC516" s="268">
        <f>IF($BN517=0,0,         IF(LEFT(DCC_Leg2_Fixed,2)="1/",uEvaluate(DCC_Leg2_Fixed),         _xll.qDateYears($BN516,$BN517,DCC_Leg2_Fixed)))</f>
        <v>0</v>
      </c>
      <c r="DD516" s="268">
        <f>IF($BN517,_xll.qDateYears($BN516,$BN517,DCC_Leg2_Float),0)</f>
        <v>0</v>
      </c>
      <c r="DF516" s="332">
        <f t="shared" si="255"/>
        <v>0</v>
      </c>
      <c r="DG516" s="357">
        <f t="shared" si="256"/>
        <v>0</v>
      </c>
      <c r="DH516" s="527"/>
      <c r="DJ516" s="324">
        <f t="shared" si="258"/>
        <v>0</v>
      </c>
      <c r="DK516" s="529"/>
      <c r="DL516" s="338"/>
    </row>
    <row r="517" spans="15:116">
      <c r="O517" s="121">
        <v>0</v>
      </c>
      <c r="Q517" s="125">
        <v>0</v>
      </c>
      <c r="BG517" s="332">
        <f t="shared" si="251"/>
        <v>0</v>
      </c>
      <c r="BH517" s="357">
        <f t="shared" si="252"/>
        <v>0</v>
      </c>
      <c r="BI517" s="527"/>
      <c r="BK517" s="324">
        <f t="shared" si="257"/>
        <v>0</v>
      </c>
      <c r="BM517" s="338"/>
      <c r="BN517" s="121">
        <v>0</v>
      </c>
      <c r="BP517" s="339">
        <v>0</v>
      </c>
      <c r="DF517" s="332">
        <f t="shared" si="255"/>
        <v>0</v>
      </c>
      <c r="DG517" s="357">
        <f t="shared" si="256"/>
        <v>0</v>
      </c>
      <c r="DH517" s="527"/>
      <c r="DJ517" s="324">
        <f t="shared" si="258"/>
        <v>0</v>
      </c>
      <c r="DK517" s="529"/>
      <c r="DL517" s="338"/>
    </row>
  </sheetData>
  <sheetProtection sheet="1" objects="1" scenarios="1" autoFilter="0" pivotTables="0"/>
  <mergeCells count="8">
    <mergeCell ref="AZ17:BA17"/>
    <mergeCell ref="CY17:CZ17"/>
    <mergeCell ref="BL5:BM5"/>
    <mergeCell ref="BL6:BM6"/>
    <mergeCell ref="BL7:BM7"/>
    <mergeCell ref="DV8:DX8"/>
    <mergeCell ref="O11:O12"/>
    <mergeCell ref="BN11:BN12"/>
  </mergeCells>
  <conditionalFormatting sqref="CY18:CY516 AZ18:AZ516 DA15">
    <cfRule type="cellIs" dxfId="30" priority="3" stopIfTrue="1" operator="notEqual">
      <formula>""</formula>
    </cfRule>
  </conditionalFormatting>
  <conditionalFormatting sqref="CZ18:CZ516">
    <cfRule type="expression" dxfId="29" priority="13" stopIfTrue="1">
      <formula>CX18="INT"</formula>
    </cfRule>
  </conditionalFormatting>
  <conditionalFormatting sqref="DA14:DA16">
    <cfRule type="expression" dxfId="28" priority="11" stopIfTrue="1">
      <formula>IRS?</formula>
    </cfRule>
  </conditionalFormatting>
  <conditionalFormatting sqref="DV11">
    <cfRule type="cellIs" dxfId="27" priority="10" operator="notEqual">
      <formula>"AUTO"</formula>
    </cfRule>
  </conditionalFormatting>
  <conditionalFormatting sqref="DV15">
    <cfRule type="cellIs" dxfId="26" priority="9" operator="notEqual">
      <formula>"SHEET"</formula>
    </cfRule>
  </conditionalFormatting>
  <conditionalFormatting sqref="CP18:CW516">
    <cfRule type="expression" dxfId="25" priority="8" stopIfTrue="1">
      <formula>ISNUMBER(BR18)</formula>
    </cfRule>
  </conditionalFormatting>
  <conditionalFormatting sqref="AQ18:AX516">
    <cfRule type="expression" dxfId="24" priority="6" stopIfTrue="1">
      <formula>ISNUMBER(S18)</formula>
    </cfRule>
  </conditionalFormatting>
  <conditionalFormatting sqref="O18:Q517 BG18:BK517">
    <cfRule type="expression" dxfId="23" priority="16">
      <formula>AND($O18&lt;Today,$P18&lt;&gt;0)</formula>
    </cfRule>
  </conditionalFormatting>
  <conditionalFormatting sqref="BA18:BA516">
    <cfRule type="expression" dxfId="22" priority="4">
      <formula>AY18="INT"</formula>
    </cfRule>
  </conditionalFormatting>
  <conditionalFormatting sqref="BN18:BP517 DF18:DJ517">
    <cfRule type="expression" dxfId="21" priority="17">
      <formula>AND($BN18&lt;Today,$BO18&lt;&gt;0)</formula>
    </cfRule>
  </conditionalFormatting>
  <conditionalFormatting sqref="BO18:DJ517">
    <cfRule type="expression" dxfId="20" priority="15" stopIfTrue="1">
      <formula>$BN18=0</formula>
    </cfRule>
  </conditionalFormatting>
  <conditionalFormatting sqref="P18:BK516">
    <cfRule type="expression" dxfId="19" priority="1" stopIfTrue="1">
      <formula>$O18=0</formula>
    </cfRule>
  </conditionalFormatting>
  <dataValidations count="11">
    <dataValidation type="list" allowBlank="1" showInputMessage="1" showErrorMessage="1" sqref="DA12 BB12">
      <formula1>"M,F,P,N,MS"</formula1>
    </dataValidation>
    <dataValidation type="list" allowBlank="1" showInputMessage="1" showErrorMessage="1" sqref="DG11 BH11">
      <formula1>"S/S,L/S,S/L,L/L"</formula1>
    </dataValidation>
    <dataValidation type="list" allowBlank="1" showInputMessage="1" showErrorMessage="1" sqref="DG12 BH12 DV4">
      <formula1>"TRUE,FALSE"</formula1>
    </dataValidation>
    <dataValidation type="list" allowBlank="1" showInputMessage="1" showErrorMessage="1" sqref="DJ12 BK12">
      <formula1>"Act/365,Act/360,30/360"</formula1>
    </dataValidation>
    <dataValidation type="list" allowBlank="1" showInputMessage="1" showErrorMessage="1" sqref="DG14 BH14">
      <formula1>"Fixed,Float,bp (Fixed),bp (Float),None"</formula1>
    </dataValidation>
    <dataValidation type="list" allowBlank="1" showInputMessage="1" showErrorMessage="1" sqref="DJ11 BK11">
      <formula1>"Act/365,Act/360,30/360,1/1,1/2,1/4,1/12"</formula1>
    </dataValidation>
    <dataValidation type="list" allowBlank="1" showInputMessage="1" showErrorMessage="1" sqref="DV11">
      <formula1>"AUTO,ON"</formula1>
    </dataValidation>
    <dataValidation type="list" allowBlank="1" showInputMessage="1" showErrorMessage="1" sqref="DV15">
      <formula1>"SHEET,BOOK"</formula1>
    </dataValidation>
    <dataValidation type="list" allowBlank="1" showInputMessage="1" showErrorMessage="1" sqref="Q12:AZ12">
      <formula1>"AUD,USD,EUR"</formula1>
    </dataValidation>
    <dataValidation type="list" allowBlank="1" showInputMessage="1" showErrorMessage="1" sqref="P11:AZ11">
      <formula1>"REC,PAY"</formula1>
    </dataValidation>
    <dataValidation type="list" allowBlank="1" showInputMessage="1" showErrorMessage="1" promptTitle="PV01" prompt="PV01 is expressed in currency of the leg" sqref="DF4">
      <formula1>"PV01 (Float),PV01 (Fixed)"</formula1>
    </dataValidation>
  </dataValidations>
  <pageMargins left="0.7" right="0.7" top="0.75" bottom="0.75" header="0.3" footer="0.3"/>
  <pageSetup paperSize="9"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sheetPr codeName="shtTBL">
    <tabColor rgb="FF000000"/>
    <outlinePr showOutlineSymbols="0"/>
  </sheetPr>
  <dimension ref="A1:GG514"/>
  <sheetViews>
    <sheetView showGridLines="0" showRowColHeaders="0" showZeros="0" showOutlineSymbols="0" workbookViewId="0">
      <pane xSplit="3" topLeftCell="D1" activePane="topRight" state="frozen"/>
      <selection pane="topRight" activeCell="F20" sqref="F20"/>
    </sheetView>
  </sheetViews>
  <sheetFormatPr defaultRowHeight="12.75" outlineLevelCol="2"/>
  <cols>
    <col min="1" max="1" width="1.7109375" style="206" customWidth="1"/>
    <col min="2" max="2" width="7.7109375" style="206" customWidth="1"/>
    <col min="3" max="3" width="1.7109375" style="206" customWidth="1"/>
    <col min="4" max="4" width="3.7109375" customWidth="1"/>
    <col min="5" max="5" width="12.7109375" customWidth="1"/>
    <col min="6" max="6" width="8.7109375" customWidth="1"/>
    <col min="7" max="7" width="2" customWidth="1"/>
    <col min="8" max="8" width="8.7109375" customWidth="1"/>
    <col min="9" max="9" width="2.7109375" customWidth="1"/>
    <col min="10" max="10" width="3.7109375" style="149" hidden="1" customWidth="1" outlineLevel="2"/>
    <col min="11" max="11" width="5.28515625" style="449" hidden="1" customWidth="1" outlineLevel="2"/>
    <col min="12" max="17" width="5.7109375" style="149" hidden="1" customWidth="1" outlineLevel="2"/>
    <col min="18" max="18" width="5.28515625" style="151" hidden="1" customWidth="1" outlineLevel="2"/>
    <col min="19" max="19" width="4.140625" style="151" hidden="1" customWidth="1" outlineLevel="2"/>
    <col min="20" max="27" width="5.7109375" style="149" hidden="1" customWidth="1" outlineLevel="2"/>
    <col min="28" max="28" width="19.28515625" style="150" hidden="1" customWidth="1" outlineLevel="2"/>
    <col min="29" max="29" width="3.7109375" style="149" hidden="1" customWidth="1" outlineLevel="2"/>
    <col min="30" max="30" width="2.85546875" customWidth="1" collapsed="1"/>
    <col min="31" max="31" width="3.85546875" style="120" customWidth="1"/>
    <col min="32" max="32" width="3.5703125" style="442" bestFit="1" customWidth="1"/>
    <col min="33" max="33" width="5.85546875" style="442" bestFit="1" customWidth="1"/>
    <col min="34" max="34" width="1.7109375" style="442" customWidth="1"/>
    <col min="35" max="46" width="6.5703125" style="127" customWidth="1"/>
    <col min="47" max="47" width="1.7109375" style="127" customWidth="1"/>
    <col min="48" max="49" width="9.7109375" style="127" customWidth="1"/>
    <col min="56" max="56" width="3.7109375" customWidth="1"/>
    <col min="57" max="57" width="10" style="120" customWidth="1"/>
    <col min="58" max="58" width="1.7109375" style="149" hidden="1" customWidth="1" outlineLevel="2"/>
    <col min="59" max="59" width="11.140625" style="526" hidden="1" customWidth="1" outlineLevel="2"/>
    <col min="60" max="60" width="10.5703125" style="150" hidden="1" customWidth="1" outlineLevel="2"/>
    <col min="61" max="61" width="7.7109375" style="386" hidden="1" customWidth="1" outlineLevel="2"/>
    <col min="62" max="63" width="7.7109375" style="268" hidden="1" customWidth="1" outlineLevel="2"/>
    <col min="64" max="64" width="2.7109375" style="268" hidden="1" customWidth="1" outlineLevel="2"/>
    <col min="65" max="65" width="7.7109375" style="473" customWidth="1" collapsed="1"/>
    <col min="66" max="67" width="3.7109375" style="460" customWidth="1"/>
    <col min="68" max="68" width="2.7109375" style="268" hidden="1" customWidth="1" outlineLevel="2"/>
    <col min="69" max="69" width="10.42578125" style="526" hidden="1" customWidth="1" outlineLevel="2"/>
    <col min="70" max="70" width="8.5703125" style="406" hidden="1" customWidth="1" outlineLevel="2"/>
    <col min="71" max="71" width="7.7109375" style="386" hidden="1" customWidth="1" outlineLevel="2"/>
    <col min="72" max="73" width="7.7109375" style="151" hidden="1" customWidth="1" outlineLevel="2"/>
    <col min="74" max="74" width="1.7109375" style="151" hidden="1" customWidth="1" outlineLevel="2"/>
    <col min="75" max="75" width="7.7109375" style="127" customWidth="1" collapsed="1"/>
    <col min="76" max="76" width="2.7109375" style="127" customWidth="1"/>
    <col min="77" max="77" width="7.7109375" style="127" customWidth="1"/>
    <col min="78" max="79" width="3.7109375" style="127" customWidth="1"/>
    <col min="80" max="80" width="2.7109375" style="268" hidden="1" customWidth="1" outlineLevel="2"/>
    <col min="81" max="81" width="10.28515625" style="526" hidden="1" customWidth="1" outlineLevel="2"/>
    <col min="82" max="82" width="8.5703125" style="406" hidden="1" customWidth="1" outlineLevel="2"/>
    <col min="83" max="83" width="7.7109375" style="386" hidden="1" customWidth="1" outlineLevel="2"/>
    <col min="84" max="85" width="7.7109375" style="151" hidden="1" customWidth="1" outlineLevel="2"/>
    <col min="86" max="86" width="1.7109375" style="151" hidden="1" customWidth="1" outlineLevel="2"/>
    <col min="87" max="87" width="7.7109375" style="127" customWidth="1" collapsed="1"/>
    <col min="88" max="88" width="2.7109375" style="127" customWidth="1"/>
    <col min="89" max="89" width="7.7109375" style="127" customWidth="1"/>
    <col min="90" max="91" width="3.7109375" customWidth="1"/>
    <col min="92" max="92" width="2.7109375" style="268" hidden="1" customWidth="1" outlineLevel="2"/>
    <col min="93" max="93" width="10.5703125" style="526" hidden="1" customWidth="1" outlineLevel="2"/>
    <col min="94" max="94" width="8.5703125" style="406" hidden="1" customWidth="1" outlineLevel="2"/>
    <col min="95" max="95" width="7.7109375" style="386" hidden="1" customWidth="1" outlineLevel="2"/>
    <col min="96" max="97" width="7.7109375" style="151" hidden="1" customWidth="1" outlineLevel="2"/>
    <col min="98" max="98" width="1.7109375" style="151" hidden="1" customWidth="1" outlineLevel="2"/>
    <col min="99" max="99" width="7.7109375" style="127" customWidth="1" collapsed="1"/>
    <col min="100" max="100" width="2.7109375" style="127" customWidth="1"/>
    <col min="101" max="101" width="7.7109375" style="127" customWidth="1"/>
    <col min="102" max="102" width="3.7109375" style="127" customWidth="1"/>
    <col min="103" max="103" width="3.7109375" customWidth="1"/>
    <col min="104" max="104" width="2.7109375" style="268" hidden="1" customWidth="1" outlineLevel="2"/>
    <col min="105" max="105" width="10.85546875" style="526" hidden="1" customWidth="1" outlineLevel="2"/>
    <col min="106" max="106" width="8.5703125" style="406" hidden="1" customWidth="1" outlineLevel="2"/>
    <col min="107" max="107" width="7.7109375" style="386" hidden="1" customWidth="1" outlineLevel="2"/>
    <col min="108" max="109" width="7.7109375" style="151" hidden="1" customWidth="1" outlineLevel="2"/>
    <col min="110" max="110" width="1.7109375" style="151" hidden="1" customWidth="1" outlineLevel="2"/>
    <col min="111" max="111" width="7.7109375" style="127" customWidth="1" collapsed="1"/>
    <col min="112" max="112" width="2.7109375" style="127" customWidth="1"/>
    <col min="113" max="113" width="7.7109375" style="127" customWidth="1"/>
    <col min="114" max="114" width="3.7109375" style="127" customWidth="1"/>
    <col min="115" max="115" width="3.7109375" customWidth="1"/>
    <col min="116" max="116" width="2.7109375" style="268" hidden="1" customWidth="1" outlineLevel="2"/>
    <col min="117" max="117" width="10.7109375" style="526" hidden="1" customWidth="1" outlineLevel="2"/>
    <col min="118" max="118" width="8.5703125" style="406" hidden="1" customWidth="1" outlineLevel="2"/>
    <col min="119" max="119" width="7.7109375" style="386" hidden="1" customWidth="1" outlineLevel="2"/>
    <col min="120" max="121" width="7.7109375" style="151" hidden="1" customWidth="1" outlineLevel="2"/>
    <col min="122" max="122" width="1.7109375" style="151" hidden="1" customWidth="1" outlineLevel="2"/>
    <col min="123" max="123" width="7.7109375" style="127" customWidth="1" collapsed="1"/>
    <col min="124" max="124" width="2.7109375" style="127" customWidth="1"/>
    <col min="125" max="125" width="7.7109375" style="127" customWidth="1"/>
    <col min="128" max="128" width="3.7109375" customWidth="1"/>
    <col min="129" max="129" width="9.85546875" customWidth="1"/>
    <col min="130" max="130" width="6.28515625" customWidth="1"/>
    <col min="131" max="131" width="3.7109375" customWidth="1"/>
    <col min="132" max="132" width="10.28515625" customWidth="1"/>
    <col min="133" max="133" width="3.7109375" customWidth="1"/>
    <col min="134" max="134" width="9.7109375" style="121" customWidth="1"/>
    <col min="135" max="135" width="2.85546875" customWidth="1"/>
    <col min="136" max="136" width="9.7109375" style="732" customWidth="1"/>
    <col min="137" max="137" width="11.28515625" style="725" hidden="1" customWidth="1" outlineLevel="2"/>
    <col min="138" max="138" width="9.140625" style="386" hidden="1" customWidth="1" outlineLevel="2" collapsed="1"/>
    <col min="139" max="139" width="8.42578125" style="386" hidden="1" customWidth="1" outlineLevel="2"/>
    <col min="140" max="140" width="1.7109375" style="722" hidden="1" customWidth="1" outlineLevel="2"/>
    <col min="141" max="141" width="9.140625" style="386" hidden="1" customWidth="1" outlineLevel="2"/>
    <col min="142" max="142" width="8.5703125" style="386" hidden="1" customWidth="1" outlineLevel="2"/>
    <col min="143" max="143" width="2.7109375" style="149" hidden="1" customWidth="1" outlineLevel="2"/>
    <col min="144" max="144" width="5.7109375" customWidth="1" collapsed="1"/>
    <col min="145" max="146" width="8.7109375" style="460" customWidth="1"/>
    <col min="147" max="147" width="7.5703125" style="460" customWidth="1"/>
    <col min="148" max="148" width="5.7109375" customWidth="1"/>
    <col min="149" max="149" width="9.140625" style="635"/>
    <col min="150" max="150" width="12.140625" style="635" customWidth="1"/>
    <col min="154" max="155" width="9.140625" style="635"/>
    <col min="162" max="162" width="3.7109375" customWidth="1"/>
    <col min="167" max="167" width="1.7109375" style="207" hidden="1" customWidth="1" outlineLevel="2"/>
    <col min="168" max="168" width="13.85546875" style="207" hidden="1" customWidth="1" outlineLevel="2"/>
    <col min="169" max="170" width="12.28515625" style="207" hidden="1" customWidth="1" outlineLevel="2"/>
    <col min="171" max="171" width="9.140625" style="207" hidden="1" customWidth="1" outlineLevel="2"/>
    <col min="172" max="172" width="9.140625" customWidth="1" collapsed="1"/>
    <col min="173" max="173" width="3.85546875" style="129" customWidth="1"/>
    <col min="174" max="174" width="5.7109375" style="129" customWidth="1"/>
    <col min="175" max="189" width="5.7109375" style="127" customWidth="1"/>
  </cols>
  <sheetData>
    <row r="1" spans="5:189" ht="0.95" customHeight="1"/>
    <row r="2" spans="5:189" ht="24.95" customHeight="1">
      <c r="E2" s="46" t="s">
        <v>661</v>
      </c>
      <c r="F2" s="46"/>
      <c r="G2" s="46"/>
      <c r="H2" s="46"/>
      <c r="I2" s="46"/>
      <c r="J2" s="191" t="s">
        <v>100</v>
      </c>
      <c r="K2" s="450"/>
      <c r="L2" s="191"/>
      <c r="M2" s="191"/>
      <c r="N2" s="191"/>
      <c r="O2" s="191"/>
      <c r="P2" s="191"/>
      <c r="Q2" s="191"/>
      <c r="R2" s="320"/>
      <c r="S2" s="320"/>
      <c r="T2" s="191"/>
      <c r="U2" s="191"/>
      <c r="V2" s="191"/>
      <c r="W2" s="191"/>
      <c r="X2" s="191"/>
      <c r="Y2" s="191"/>
      <c r="Z2" s="191"/>
      <c r="AA2" s="191"/>
      <c r="AB2" s="314"/>
      <c r="AC2" s="191"/>
      <c r="AD2" s="46"/>
      <c r="AE2" s="436"/>
      <c r="AF2" s="444"/>
      <c r="AG2" s="444"/>
      <c r="AH2" s="444"/>
      <c r="AI2" s="47"/>
      <c r="AJ2" s="47"/>
      <c r="AK2" s="47"/>
      <c r="AL2" s="47"/>
      <c r="AM2" s="47"/>
      <c r="AN2" s="47"/>
      <c r="AO2" s="47"/>
      <c r="AP2" s="47"/>
      <c r="AQ2" s="47"/>
      <c r="AR2" s="47"/>
      <c r="AS2" s="47"/>
      <c r="AT2" s="47"/>
      <c r="AU2" s="47"/>
      <c r="AV2" s="47"/>
      <c r="AW2" s="47"/>
      <c r="BE2" s="485" t="s">
        <v>660</v>
      </c>
      <c r="BF2" s="191"/>
      <c r="BG2" s="536"/>
      <c r="BH2" s="314"/>
      <c r="BI2" s="453"/>
      <c r="BJ2" s="321"/>
      <c r="BK2" s="321"/>
      <c r="BL2" s="321"/>
      <c r="BM2" s="474"/>
      <c r="BN2" s="461"/>
      <c r="BO2" s="461"/>
      <c r="BP2" s="321"/>
      <c r="BQ2" s="536"/>
      <c r="BR2" s="457"/>
      <c r="BS2" s="453"/>
      <c r="BT2" s="320"/>
      <c r="BU2" s="320"/>
      <c r="BV2" s="320"/>
      <c r="BW2" s="47"/>
      <c r="BX2" s="47"/>
      <c r="BY2" s="47"/>
      <c r="BZ2" s="47"/>
      <c r="CA2" s="47"/>
      <c r="CB2" s="321"/>
      <c r="CC2" s="536"/>
      <c r="CD2" s="457"/>
      <c r="CE2" s="453"/>
      <c r="CF2" s="320"/>
      <c r="CG2" s="320"/>
      <c r="CH2" s="320"/>
      <c r="CI2" s="47"/>
      <c r="CJ2" s="47"/>
      <c r="CK2" s="47"/>
      <c r="CL2" s="46"/>
      <c r="CM2" s="46"/>
      <c r="CN2" s="321"/>
      <c r="CO2" s="536"/>
      <c r="CP2" s="457"/>
      <c r="CQ2" s="453"/>
      <c r="CR2" s="320"/>
      <c r="CS2" s="320"/>
      <c r="CT2" s="320"/>
      <c r="CU2" s="47"/>
      <c r="CV2" s="47"/>
      <c r="CW2" s="47"/>
      <c r="CX2" s="47"/>
      <c r="CY2" s="46"/>
      <c r="CZ2" s="321"/>
      <c r="DA2" s="536"/>
      <c r="DB2" s="457"/>
      <c r="DC2" s="453"/>
      <c r="DD2" s="320"/>
      <c r="DE2" s="320"/>
      <c r="DF2" s="320"/>
      <c r="DG2" s="47"/>
      <c r="DH2" s="47"/>
      <c r="DI2" s="47"/>
      <c r="DJ2" s="47"/>
      <c r="DK2" s="46"/>
      <c r="DL2" s="321"/>
      <c r="DM2" s="536"/>
      <c r="DN2" s="457"/>
      <c r="DO2" s="453"/>
      <c r="DP2" s="320"/>
      <c r="DQ2" s="320"/>
      <c r="DR2" s="320"/>
      <c r="DS2" s="47"/>
      <c r="DT2" s="47"/>
      <c r="DU2" s="47"/>
      <c r="DY2" s="133" t="s">
        <v>659</v>
      </c>
      <c r="DZ2" s="133"/>
      <c r="EA2" s="133"/>
      <c r="EB2" s="133"/>
      <c r="EC2" s="133"/>
      <c r="ED2" s="133"/>
      <c r="EE2" s="46"/>
      <c r="EF2" s="733"/>
      <c r="EG2" s="726"/>
      <c r="EH2" s="453"/>
      <c r="EI2" s="453"/>
      <c r="EJ2" s="723"/>
      <c r="EK2" s="453"/>
      <c r="EL2" s="453"/>
      <c r="EM2" s="191"/>
      <c r="EN2" s="46"/>
      <c r="EO2" s="461"/>
      <c r="EP2" s="461"/>
      <c r="EQ2" s="461"/>
      <c r="ER2" s="46"/>
      <c r="ES2" s="724"/>
      <c r="ET2" s="724"/>
      <c r="EU2" s="46"/>
      <c r="EV2" s="46"/>
      <c r="EW2" s="46"/>
      <c r="EX2" s="724"/>
      <c r="FG2" s="46" t="s">
        <v>753</v>
      </c>
      <c r="FH2" s="46"/>
      <c r="FI2" s="46"/>
      <c r="FJ2" s="46"/>
      <c r="FK2" s="194"/>
      <c r="FL2" s="194"/>
      <c r="FM2" s="194"/>
      <c r="FN2" s="194"/>
      <c r="FO2" s="194"/>
      <c r="FP2" s="46"/>
      <c r="FQ2" s="777"/>
      <c r="FR2" s="777"/>
      <c r="FS2" s="47"/>
      <c r="FT2" s="47"/>
      <c r="FU2" s="47"/>
      <c r="FV2" s="47"/>
      <c r="FW2" s="47"/>
      <c r="FX2" s="47"/>
      <c r="FY2" s="47"/>
      <c r="FZ2" s="47"/>
      <c r="GA2" s="47"/>
      <c r="GB2" s="47"/>
      <c r="GC2" s="47"/>
      <c r="GD2" s="47"/>
      <c r="GE2" s="47"/>
      <c r="GF2" s="47"/>
      <c r="GG2" s="47"/>
    </row>
    <row r="4" spans="5:189">
      <c r="E4" t="s">
        <v>351</v>
      </c>
      <c r="J4" s="149" t="s">
        <v>78</v>
      </c>
      <c r="K4" s="449" t="s">
        <v>843</v>
      </c>
      <c r="N4" s="206" t="b">
        <v>1</v>
      </c>
      <c r="BE4" s="486" t="s">
        <v>352</v>
      </c>
      <c r="DY4" t="s">
        <v>665</v>
      </c>
      <c r="FG4" t="s">
        <v>126</v>
      </c>
      <c r="FH4" s="313" t="s">
        <v>128</v>
      </c>
      <c r="FI4" s="352" t="str">
        <f>uFloatDCC(FH4)</f>
        <v>Act/365</v>
      </c>
      <c r="FL4" s="207" t="s">
        <v>754</v>
      </c>
      <c r="FM4" s="207" t="str">
        <f>FH4&amp;"+GBP+USD"</f>
        <v>AUD+GBP+USD</v>
      </c>
      <c r="FQ4" s="747"/>
      <c r="FR4" s="747" t="s">
        <v>776</v>
      </c>
      <c r="FS4" s="456" t="s">
        <v>675</v>
      </c>
      <c r="FT4" s="456" t="s">
        <v>0</v>
      </c>
      <c r="FU4" s="456" t="s">
        <v>1</v>
      </c>
      <c r="FV4" s="456" t="s">
        <v>2</v>
      </c>
      <c r="FW4" s="456" t="s">
        <v>5</v>
      </c>
      <c r="FX4" s="456" t="s">
        <v>25</v>
      </c>
      <c r="FY4" s="456" t="s">
        <v>26</v>
      </c>
      <c r="FZ4" s="456" t="s">
        <v>7</v>
      </c>
      <c r="GA4" s="456" t="s">
        <v>8</v>
      </c>
      <c r="GB4" s="456" t="s">
        <v>9</v>
      </c>
      <c r="GC4" s="456" t="s">
        <v>769</v>
      </c>
      <c r="GD4" s="456" t="s">
        <v>11</v>
      </c>
      <c r="GE4" s="456" t="s">
        <v>12</v>
      </c>
      <c r="GF4" s="456" t="s">
        <v>13</v>
      </c>
      <c r="GG4" s="456" t="s">
        <v>14</v>
      </c>
    </row>
    <row r="5" spans="5:189">
      <c r="BE5" s="486" t="s">
        <v>353</v>
      </c>
      <c r="EY5" s="125"/>
      <c r="FI5" s="127"/>
      <c r="FQ5" s="954" t="s">
        <v>774</v>
      </c>
      <c r="FR5" s="954"/>
      <c r="FS5" s="776">
        <f>_xll.qDateNext(Today,"2b",,,"AUD/USD")</f>
        <v>40731</v>
      </c>
      <c r="FT5" s="776">
        <f>_xll.qDateNext(Today,FT4,"N",TRUE)</f>
        <v>40760</v>
      </c>
      <c r="FU5" s="776">
        <f>_xll.qDateNext(Today,FU4,"N",TRUE)</f>
        <v>40791</v>
      </c>
      <c r="FV5" s="776">
        <f>_xll.qDateNext(Today,FV4,"N",TRUE)</f>
        <v>40821</v>
      </c>
      <c r="FW5" s="776">
        <f>_xll.qDateNext(Today,FW4,"N",TRUE)</f>
        <v>40913</v>
      </c>
      <c r="FX5" s="776">
        <f>_xll.qDateNext(Today,FX4,"N",TRUE)</f>
        <v>41095</v>
      </c>
      <c r="FY5" s="776">
        <f>_xll.qDateNext(Today,FY4,"N",TRUE)</f>
        <v>41460</v>
      </c>
      <c r="FZ5" s="776">
        <f>_xll.qDateNext(Today,FZ4,"N",TRUE)</f>
        <v>41825</v>
      </c>
      <c r="GA5" s="776">
        <f>_xll.qDateNext(Today,GA4,"N",TRUE)</f>
        <v>42190</v>
      </c>
      <c r="GB5" s="776">
        <f>_xll.qDateNext(Today,GB4,"N",TRUE)</f>
        <v>42556</v>
      </c>
      <c r="GC5" s="776">
        <f>_xll.qDateNext(Today,GC4,"N",TRUE)</f>
        <v>42921</v>
      </c>
      <c r="GD5" s="776">
        <f>_xll.qDateNext(Today,GD4,"N",TRUE)</f>
        <v>43286</v>
      </c>
      <c r="GE5" s="776">
        <f>_xll.qDateNext(Today,GE4,"N",TRUE)</f>
        <v>43651</v>
      </c>
      <c r="GF5" s="776">
        <f>_xll.qDateNext(Today,GF4,"N",TRUE)</f>
        <v>44017</v>
      </c>
      <c r="GG5" s="776">
        <f>_xll.qDateNext(Today,GG4,"N",TRUE)</f>
        <v>44382</v>
      </c>
    </row>
    <row r="6" spans="5:189">
      <c r="K6" s="449" t="s">
        <v>244</v>
      </c>
      <c r="AI6" s="452" t="s">
        <v>339</v>
      </c>
      <c r="AV6" s="452" t="s">
        <v>361</v>
      </c>
      <c r="FG6" t="s">
        <v>777</v>
      </c>
      <c r="FH6" t="s">
        <v>775</v>
      </c>
      <c r="FI6" s="127"/>
      <c r="FL6" s="207" t="s">
        <v>767</v>
      </c>
      <c r="FM6" s="207" t="str">
        <f>FH4&amp;".ZBX.DISC"</f>
        <v>AUD.ZBX.DISC</v>
      </c>
      <c r="FN6" s="207" t="str">
        <f t="shared" ref="FN6" si="0">INDIRECT(FM6)</f>
        <v>AUD.ZBX.DISC|[Swap Pricer 1w.xlsm]AU!$BG$59#1142</v>
      </c>
      <c r="FO6" s="207" t="s">
        <v>78</v>
      </c>
      <c r="FQ6" s="130" t="s">
        <v>25</v>
      </c>
      <c r="FR6" s="456" t="s">
        <v>770</v>
      </c>
      <c r="FS6" s="775">
        <f>(_xll.qGetSwapRate($FN$6,FS$5,$FQ6,"3M",$FI$4,$FH$4,,,,,TRUE,$FN$6,"3M",,$FI$4,FALSE) - _xll.qGetSwapRate($FN$6,FS$5,$FQ6,"3M",$FI$4,$FH$4,,,,,TRUE,$FN$7,"3M",,$FI$4,FALSE))*100</f>
        <v>3.2500000000062812</v>
      </c>
      <c r="FT6" s="775">
        <f>(_xll.qGetSwapRate($FN$6,FT$5,$FQ6,"3M",$FI$4,$FH$4,,,,,TRUE,$FN$6,"3M",,$FI$4,FALSE) - _xll.qGetSwapRate($FN$6,FT$5,$FQ6,"3M",$FI$4,$FH$4,,,,,TRUE,$FN$7,"3M",,$FI$4,FALSE))*100</f>
        <v>4.0712266433275524</v>
      </c>
      <c r="FU6" s="775">
        <f>(_xll.qGetSwapRate($FN$6,FU$5,$FQ6,"3M",$FI$4,$FH$4,,,,,TRUE,$FN$6,"3M",,$FI$4,FALSE) - _xll.qGetSwapRate($FN$6,FU$5,$FQ6,"3M",$FI$4,$FH$4,,,,,TRUE,$FN$7,"3M",,$FI$4,FALSE))*100</f>
        <v>4.6635289016732528</v>
      </c>
      <c r="FV6" s="775">
        <f>(_xll.qGetSwapRate($FN$6,FV$5,$FQ6,"3M",$FI$4,$FH$4,,,,,TRUE,$FN$6,"3M",,$FI$4,FALSE) - _xll.qGetSwapRate($FN$6,FV$5,$FQ6,"3M",$FI$4,$FH$4,,,,,TRUE,$FN$7,"3M",,$FI$4,FALSE))*100</f>
        <v>7.3561874916437731</v>
      </c>
      <c r="FW6" s="775">
        <f>(_xll.qGetSwapRate($FN$6,FW$5,$FQ6,"3M",$FI$4,$FH$4,,,,,TRUE,$FN$6,"3M",,$FI$4,FALSE) - _xll.qGetSwapRate($FN$6,FW$5,$FQ6,"3M",$FI$4,$FH$4,,,,,TRUE,$FN$7,"3M",,$FI$4,FALSE))*100</f>
        <v>8.5802434780756442</v>
      </c>
      <c r="FX6" s="775">
        <f>(_xll.qGetSwapRate($FN$6,FX$5,$FQ6,"3M",$FI$4,$FH$4,,,,,TRUE,$FN$6,"3M",,$FI$4,FALSE) - _xll.qGetSwapRate($FN$6,FX$5,$FQ6,"3M",$FI$4,$FH$4,,,,,TRUE,$FN$7,"3M",,$FI$4,FALSE))*100</f>
        <v>12.230623542814811</v>
      </c>
      <c r="FY6" s="775">
        <f>(_xll.qGetSwapRate($FN$6,FY$5,$FQ6,"3M",$FI$4,$FH$4,,,,,TRUE,$FN$6,"3M",,$FI$4,FALSE) - _xll.qGetSwapRate($FN$6,FY$5,$FQ6,"3M",$FI$4,$FH$4,,,,,TRUE,$FN$7,"3M",,$FI$4,FALSE))*100</f>
        <v>19.042447794251682</v>
      </c>
      <c r="FZ6" s="775">
        <f>(_xll.qGetSwapRate($FN$6,FZ$5,$FQ6,"3M",$FI$4,$FH$4,,,,,TRUE,$FN$6,"3M",,$FI$4,FALSE) - _xll.qGetSwapRate($FN$6,FZ$5,$FQ6,"3M",$FI$4,$FH$4,,,,,TRUE,$FN$7,"3M",,$FI$4,FALSE))*100</f>
        <v>22.865464466286411</v>
      </c>
      <c r="GA6" s="775">
        <f>(_xll.qGetSwapRate($FN$6,GA$5,$FQ6,"3M",$FI$4,$FH$4,,,,,TRUE,$FN$6,"3M",,$FI$4,FALSE) - _xll.qGetSwapRate($FN$6,GA$5,$FQ6,"3M",$FI$4,$FH$4,,,,,TRUE,$FN$7,"3M",,$FI$4,FALSE))*100</f>
        <v>27.010144806652114</v>
      </c>
      <c r="GB6" s="775">
        <f>(_xll.qGetSwapRate($FN$6,GB$5,$FQ6,"3M",$FI$4,$FH$4,,,,,TRUE,$FN$6,"3M",,$FI$4,FALSE) - _xll.qGetSwapRate($FN$6,GB$5,$FQ6,"3M",$FI$4,$FH$4,,,,,TRUE,$FN$7,"3M",,$FI$4,FALSE))*100</f>
        <v>29.234778266435768</v>
      </c>
      <c r="GC6" s="775">
        <f>(_xll.qGetSwapRate($FN$6,GC$5,$FQ6,"3M",$FI$4,$FH$4,,,,,TRUE,$FN$6,"3M",,$FI$4,FALSE) - _xll.qGetSwapRate($FN$6,GC$5,$FQ6,"3M",$FI$4,$FH$4,,,,,TRUE,$FN$7,"3M",,$FI$4,FALSE))*100</f>
        <v>33.332031380077524</v>
      </c>
      <c r="GD6" s="775">
        <f>(_xll.qGetSwapRate($FN$6,GD$5,$FQ6,"3M",$FI$4,$FH$4,,,,,TRUE,$FN$6,"3M",,$FI$4,FALSE) - _xll.qGetSwapRate($FN$6,GD$5,$FQ6,"3M",$FI$4,$FH$4,,,,,TRUE,$FN$7,"3M",,$FI$4,FALSE))*100</f>
        <v>27.019328551706767</v>
      </c>
      <c r="GE6" s="775">
        <f>(_xll.qGetSwapRate($FN$6,GE$5,$FQ6,"3M",$FI$4,$FH$4,,,,,TRUE,$FN$6,"3M",,$FI$4,FALSE) - _xll.qGetSwapRate($FN$6,GE$5,$FQ6,"3M",$FI$4,$FH$4,,,,,TRUE,$FN$7,"3M",,$FI$4,FALSE))*100</f>
        <v>28.396761152508176</v>
      </c>
      <c r="GF6" s="775">
        <f>(_xll.qGetSwapRate($FN$6,GF$5,$FQ6,"3M",$FI$4,$FH$4,,,,,TRUE,$FN$6,"3M",,$FI$4,FALSE) - _xll.qGetSwapRate($FN$6,GF$5,$FQ6,"3M",$FI$4,$FH$4,,,,,TRUE,$FN$7,"3M",,$FI$4,FALSE))*100</f>
        <v>29.870113996527703</v>
      </c>
      <c r="GG6" s="775">
        <f>(_xll.qGetSwapRate($FN$6,GG$5,$FQ6,"3M",$FI$4,$FH$4,,,,,TRUE,$FN$6,"3M",,$FI$4,FALSE) - _xll.qGetSwapRate($FN$6,GG$5,$FQ6,"3M",$FI$4,$FH$4,,,,,TRUE,$FN$7,"3M",,$FI$4,FALSE))*100</f>
        <v>4.72802854536436</v>
      </c>
    </row>
    <row r="7" spans="5:189">
      <c r="E7" t="s">
        <v>126</v>
      </c>
      <c r="F7" s="313" t="s">
        <v>128</v>
      </c>
      <c r="K7" s="449" t="s">
        <v>245</v>
      </c>
      <c r="O7" s="149" t="str">
        <f t="array" ref="O7:O12">INDIRECT(F7&amp;".ZB")</f>
        <v>AUD.ZB.DISC|[Swap Pricer 1w.xlsm]AU!$BG$52#1130</v>
      </c>
      <c r="AE7" s="452" t="s">
        <v>338</v>
      </c>
      <c r="AI7" s="383" t="str">
        <f>INDEX(L37:Q37,MATCH(F7,L17:Q17,0))</f>
        <v>1b</v>
      </c>
      <c r="AJ7" s="383" t="s">
        <v>0</v>
      </c>
      <c r="AK7" s="383" t="s">
        <v>1</v>
      </c>
      <c r="AL7" s="383" t="s">
        <v>2</v>
      </c>
      <c r="AM7" s="383" t="s">
        <v>5</v>
      </c>
      <c r="AN7" s="383" t="s">
        <v>25</v>
      </c>
      <c r="AO7" s="383" t="s">
        <v>26</v>
      </c>
      <c r="AP7" s="383" t="s">
        <v>7</v>
      </c>
      <c r="AQ7" s="383" t="s">
        <v>8</v>
      </c>
      <c r="AR7" s="383" t="s">
        <v>9</v>
      </c>
      <c r="AS7" s="383" t="s">
        <v>11</v>
      </c>
      <c r="AT7" s="383" t="s">
        <v>14</v>
      </c>
      <c r="AV7" s="503" t="s">
        <v>360</v>
      </c>
      <c r="AW7" s="503">
        <v>42260</v>
      </c>
      <c r="BE7" s="452" t="s">
        <v>356</v>
      </c>
      <c r="BF7" s="271"/>
      <c r="BG7" s="537"/>
      <c r="BH7" s="476"/>
      <c r="BI7" s="272" t="s">
        <v>349</v>
      </c>
      <c r="BJ7" s="488" t="str">
        <f t="array" ref="BJ7:BJ11">_xll.qArrayPad(TRANSPOSE(_xll.qVectorRemoveDuplicates(_xll.qVectorMake(BM9,BW9,CI9,CU9,DG9,DS9))),"")</f>
        <v>USD</v>
      </c>
      <c r="BK7" s="489" t="str">
        <f>BJ7</f>
        <v>USD</v>
      </c>
      <c r="BL7" s="478"/>
      <c r="BM7" s="479"/>
      <c r="BN7" s="480"/>
      <c r="BO7" s="482"/>
      <c r="BP7" s="272"/>
      <c r="BQ7" s="537"/>
      <c r="BR7" s="481"/>
      <c r="BS7" s="477"/>
      <c r="BT7" s="478"/>
      <c r="BU7" s="478"/>
      <c r="BV7" s="478"/>
      <c r="BW7" s="483" t="s">
        <v>357</v>
      </c>
      <c r="BX7" s="383"/>
      <c r="BY7" s="383"/>
      <c r="CA7" s="475"/>
      <c r="CB7" s="272"/>
      <c r="CC7" s="537"/>
      <c r="CD7" s="481"/>
      <c r="CE7" s="477"/>
      <c r="CF7" s="478"/>
      <c r="CG7" s="478"/>
      <c r="CH7" s="478"/>
      <c r="CI7" s="483" t="s">
        <v>357</v>
      </c>
      <c r="CJ7" s="383"/>
      <c r="CK7" s="383"/>
      <c r="CM7" s="136"/>
      <c r="CN7" s="272"/>
      <c r="CO7" s="537"/>
      <c r="CP7" s="481"/>
      <c r="CQ7" s="477"/>
      <c r="CR7" s="478"/>
      <c r="CS7" s="478"/>
      <c r="CT7" s="478"/>
      <c r="CU7" s="483" t="s">
        <v>357</v>
      </c>
      <c r="CV7" s="383"/>
      <c r="CW7" s="383"/>
      <c r="CX7" s="383"/>
      <c r="CY7" s="136"/>
      <c r="CZ7" s="272"/>
      <c r="DA7" s="537"/>
      <c r="DB7" s="481"/>
      <c r="DC7" s="477"/>
      <c r="DD7" s="478"/>
      <c r="DE7" s="478"/>
      <c r="DF7" s="478"/>
      <c r="DG7" s="483" t="s">
        <v>357</v>
      </c>
      <c r="DH7" s="383"/>
      <c r="DI7" s="383"/>
      <c r="DJ7" s="383"/>
      <c r="DK7" s="136"/>
      <c r="DL7" s="272"/>
      <c r="DM7" s="537"/>
      <c r="DN7" s="481"/>
      <c r="DO7" s="477"/>
      <c r="DP7" s="478"/>
      <c r="DQ7" s="478"/>
      <c r="DR7" s="478"/>
      <c r="DS7" s="483" t="s">
        <v>357</v>
      </c>
      <c r="DT7" s="383"/>
      <c r="DU7" s="383"/>
      <c r="DY7" t="s">
        <v>654</v>
      </c>
      <c r="DZ7" s="676" t="s">
        <v>128</v>
      </c>
      <c r="ED7" s="121" t="str">
        <f>"1 " &amp; DZ7 &amp; " = " &amp; TEXT(ES14,"0.0000") &amp; " " &amp; DZ9</f>
        <v>1 AUD = 1.0725 USD</v>
      </c>
      <c r="EG7" s="727" t="s">
        <v>653</v>
      </c>
      <c r="EH7" s="508">
        <f>INDIRECT("Spot_"&amp;DZ7)</f>
        <v>1.0724499999999999</v>
      </c>
      <c r="EJ7" s="722" t="s">
        <v>78</v>
      </c>
      <c r="EK7" s="508">
        <f>INDIRECT("Spot_"&amp;DZ9)</f>
        <v>1</v>
      </c>
      <c r="EM7" s="149" t="s">
        <v>78</v>
      </c>
      <c r="EO7" s="955" t="str">
        <f>ES7</f>
        <v>AUD/USD</v>
      </c>
      <c r="EP7" s="955"/>
      <c r="EQ7" s="955"/>
      <c r="ES7" s="956" t="str">
        <f>DZ7&amp;"/"&amp;DZ9</f>
        <v>AUD/USD</v>
      </c>
      <c r="ET7" s="956"/>
      <c r="FM7" s="207" t="str">
        <f>FH4&amp;".ZBX.3M"</f>
        <v>AUD.ZBX.3M</v>
      </c>
      <c r="FN7" s="207" t="str">
        <f>INDIRECT(FM7)</f>
        <v>AUD.ZB.DISC|[Swap Pricer 1w.xlsm]AU!$BG$52#1138</v>
      </c>
      <c r="FO7" s="207" t="s">
        <v>78</v>
      </c>
      <c r="FQ7" s="130" t="s">
        <v>26</v>
      </c>
      <c r="FR7" s="456" t="s">
        <v>770</v>
      </c>
      <c r="FS7" s="775">
        <f>(_xll.qGetSwapRate($FN$6,FS$5,$FQ7,"3M",$FI$4,$FH$4,,,,,TRUE,$FN$6,"3M",,$FI$4,FALSE) - _xll.qGetSwapRate($FN$6,FS$5,$FQ7,"3M",$FI$4,$FH$4,,,,,TRUE,$FN$7,"3M",,$FI$4,FALSE))*100</f>
        <v>7.6666822108720112</v>
      </c>
      <c r="FT7" s="775">
        <f>(_xll.qGetSwapRate($FN$6,FT$5,$FQ7,"3M",$FI$4,$FH$4,,,,,TRUE,$FN$6,"3M",,$FI$4,FALSE) - _xll.qGetSwapRate($FN$6,FT$5,$FQ7,"3M",$FI$4,$FH$4,,,,,TRUE,$FN$7,"3M",,$FI$4,FALSE))*100</f>
        <v>8.3765839535065112</v>
      </c>
      <c r="FU7" s="775">
        <f>(_xll.qGetSwapRate($FN$6,FU$5,$FQ7,"3M",$FI$4,$FH$4,,,,,TRUE,$FN$6,"3M",,$FI$4,FALSE) - _xll.qGetSwapRate($FN$6,FU$5,$FQ7,"3M",$FI$4,$FH$4,,,,,TRUE,$FN$7,"3M",,$FI$4,FALSE))*100</f>
        <v>8.9860550402404371</v>
      </c>
      <c r="FV7" s="775">
        <f>(_xll.qGetSwapRate($FN$6,FV$5,$FQ7,"3M",$FI$4,$FH$4,,,,,TRUE,$FN$6,"3M",,$FI$4,FALSE) - _xll.qGetSwapRate($FN$6,FV$5,$FQ7,"3M",$FI$4,$FH$4,,,,,TRUE,$FN$7,"3M",,$FI$4,FALSE))*100</f>
        <v>10.683015431002563</v>
      </c>
      <c r="FW7" s="775">
        <f>(_xll.qGetSwapRate($FN$6,FW$5,$FQ7,"3M",$FI$4,$FH$4,,,,,TRUE,$FN$6,"3M",,$FI$4,FALSE) - _xll.qGetSwapRate($FN$6,FW$5,$FQ7,"3M",$FI$4,$FH$4,,,,,TRUE,$FN$7,"3M",,$FI$4,FALSE))*100</f>
        <v>12.132648762170284</v>
      </c>
      <c r="FX7" s="775">
        <f>(_xll.qGetSwapRate($FN$6,FX$5,$FQ7,"3M",$FI$4,$FH$4,,,,,TRUE,$FN$6,"3M",,$FI$4,FALSE) - _xll.qGetSwapRate($FN$6,FX$5,$FQ7,"3M",$FI$4,$FH$4,,,,,TRUE,$FN$7,"3M",,$FI$4,FALSE))*100</f>
        <v>15.552848659958318</v>
      </c>
      <c r="FY7" s="775">
        <f>(_xll.qGetSwapRate($FN$6,FY$5,$FQ7,"3M",$FI$4,$FH$4,,,,,TRUE,$FN$6,"3M",,$FI$4,FALSE) - _xll.qGetSwapRate($FN$6,FY$5,$FQ7,"3M",$FI$4,$FH$4,,,,,TRUE,$FN$7,"3M",,$FI$4,FALSE))*100</f>
        <v>20.890851465444094</v>
      </c>
      <c r="FZ7" s="775">
        <f>(_xll.qGetSwapRate($FN$6,FZ$5,$FQ7,"3M",$FI$4,$FH$4,,,,,TRUE,$FN$6,"3M",,$FI$4,FALSE) - _xll.qGetSwapRate($FN$6,FZ$5,$FQ7,"3M",$FI$4,$FH$4,,,,,TRUE,$FN$7,"3M",,$FI$4,FALSE))*100</f>
        <v>24.877896032717839</v>
      </c>
      <c r="GA7" s="775">
        <f>(_xll.qGetSwapRate($FN$6,GA$5,$FQ7,"3M",$FI$4,$FH$4,,,,,TRUE,$FN$6,"3M",,$FI$4,FALSE) - _xll.qGetSwapRate($FN$6,GA$5,$FQ7,"3M",$FI$4,$FH$4,,,,,TRUE,$FN$7,"3M",,$FI$4,FALSE))*100</f>
        <v>28.087527846366722</v>
      </c>
      <c r="GB7" s="775">
        <f>(_xll.qGetSwapRate($FN$6,GB$5,$FQ7,"3M",$FI$4,$FH$4,,,,,TRUE,$FN$6,"3M",,$FI$4,FALSE) - _xll.qGetSwapRate($FN$6,GB$5,$FQ7,"3M",$FI$4,$FH$4,,,,,TRUE,$FN$7,"3M",,$FI$4,FALSE))*100</f>
        <v>31.217111795832064</v>
      </c>
      <c r="GC7" s="775">
        <f>(_xll.qGetSwapRate($FN$6,GC$5,$FQ7,"3M",$FI$4,$FH$4,,,,,TRUE,$FN$6,"3M",,$FI$4,FALSE) - _xll.qGetSwapRate($FN$6,GC$5,$FQ7,"3M",$FI$4,$FH$4,,,,,TRUE,$FN$7,"3M",,$FI$4,FALSE))*100</f>
        <v>30.277493823050339</v>
      </c>
      <c r="GD7" s="775">
        <f>(_xll.qGetSwapRate($FN$6,GD$5,$FQ7,"3M",$FI$4,$FH$4,,,,,TRUE,$FN$6,"3M",,$FI$4,FALSE) - _xll.qGetSwapRate($FN$6,GD$5,$FQ7,"3M",$FI$4,$FH$4,,,,,TRUE,$FN$7,"3M",,$FI$4,FALSE))*100</f>
        <v>27.687805989614844</v>
      </c>
      <c r="GE7" s="775">
        <f>(_xll.qGetSwapRate($FN$6,GE$5,$FQ7,"3M",$FI$4,$FH$4,,,,,TRUE,$FN$6,"3M",,$FI$4,FALSE) - _xll.qGetSwapRate($FN$6,GE$5,$FQ7,"3M",$FI$4,$FH$4,,,,,TRUE,$FN$7,"3M",,$FI$4,FALSE))*100</f>
        <v>29.106631167485197</v>
      </c>
      <c r="GF7" s="775">
        <f>(_xll.qGetSwapRate($FN$6,GF$5,$FQ7,"3M",$FI$4,$FH$4,,,,,TRUE,$FN$6,"3M",,$FI$4,FALSE) - _xll.qGetSwapRate($FN$6,GF$5,$FQ7,"3M",$FI$4,$FH$4,,,,,TRUE,$FN$7,"3M",,$FI$4,FALSE))*100</f>
        <v>17.682149173165307</v>
      </c>
      <c r="GG7" s="775">
        <f>(_xll.qGetSwapRate($FN$6,GG$5,$FQ7,"3M",$FI$4,$FH$4,,,,,TRUE,$FN$6,"3M",,$FI$4,FALSE) - _xll.qGetSwapRate($FN$6,GG$5,$FQ7,"3M",$FI$4,$FH$4,,,,,TRUE,$FN$7,"3M",,$FI$4,FALSE))*100</f>
        <v>3.0198162397152117</v>
      </c>
    </row>
    <row r="8" spans="5:189">
      <c r="K8" s="449" t="s">
        <v>6</v>
      </c>
      <c r="L8" s="149" t="s">
        <v>336</v>
      </c>
      <c r="N8" s="149" t="s">
        <v>329</v>
      </c>
      <c r="O8" s="149" t="str">
        <v>AUD.ZB.ON|[Swap Pricer 1w.xlsm]AU!$BG$53#1132</v>
      </c>
      <c r="AE8" s="130" t="s">
        <v>25</v>
      </c>
      <c r="AF8" s="446" t="str">
        <f t="array" ref="AF8:AF22">R18:R33&amp;"/"&amp;Z18:Z33</f>
        <v>Q/Q</v>
      </c>
      <c r="AG8" s="447" t="str">
        <f t="array" ref="AG8:AG22">IF(F14="Market",INDEX(L35:Q35,MATCH(F7,L17:Q17,0)),F14)</f>
        <v>Act/365</v>
      </c>
      <c r="AH8" s="447"/>
      <c r="AI8" s="448">
        <f>_xll.qGetSwapRate($O$7,AI$7,$AE8,$R18,$AG8,$F$7,,,,,TRUE,$AB18,$Z18,,$H$14)</f>
        <v>4.9150293343354807</v>
      </c>
      <c r="AJ8" s="448">
        <f>_xll.qGetSwapRate($O$7,AJ$7,$AE8,$R18,$AG8,$F$7,,,,,TRUE,$AB18,$Z18,,$H$14)</f>
        <v>4.9302323394202467</v>
      </c>
      <c r="AK8" s="448">
        <f>_xll.qGetSwapRate($O$7,AK$7,$AE8,$R18,$AG8,$F$7,,,,,TRUE,$AB18,$Z18,,$H$14)</f>
        <v>4.9313784538614245</v>
      </c>
      <c r="AL8" s="448">
        <f>_xll.qGetSwapRate($O$7,AL$7,$AE8,$R18,$AG8,$F$7,,,,,TRUE,$AB18,$Z18,,$H$14)</f>
        <v>4.9364894503995158</v>
      </c>
      <c r="AM8" s="448">
        <f>_xll.qGetSwapRate($O$7,AM$7,$AE8,$R18,$AG8,$F$7,,,,,TRUE,$AB18,$Z18,,$H$14)</f>
        <v>5.0062255300206431</v>
      </c>
      <c r="AN8" s="448">
        <f>_xll.qGetSwapRate($O$7,AN$7,$AE8,$R18,$AG8,$F$7,,,,,TRUE,$AB18,$Z18,,$H$14)</f>
        <v>5.1338755719809077</v>
      </c>
      <c r="AO8" s="448">
        <f>_xll.qGetSwapRate($O$7,AO$7,$AE8,$R18,$AG8,$F$7,,,,,TRUE,$AB18,$Z18,,$H$14)</f>
        <v>5.4368892788297227</v>
      </c>
      <c r="AP8" s="448">
        <f>_xll.qGetSwapRate($O$7,AP$7,$AE8,$R18,$AG8,$F$7,,,,,TRUE,$AB18,$Z18,,$H$14)</f>
        <v>5.7018565094213312</v>
      </c>
      <c r="AQ8" s="448">
        <f>_xll.qGetSwapRate($O$7,AQ$7,$AE8,$R18,$AG8,$F$7,,,,,TRUE,$AB18,$Z18,,$H$14)</f>
        <v>5.9456676406182591</v>
      </c>
      <c r="AR8" s="448">
        <f>_xll.qGetSwapRate($O$7,AR$7,$AE8,$R18,$AG8,$F$7,,,,,TRUE,$AB18,$Z18,,$H$14)</f>
        <v>6.1044173483129471</v>
      </c>
      <c r="AS8" s="448">
        <f>_xll.qGetSwapRate($O$7,AS$7,$AE8,$R18,$AG8,$F$7,,,,,TRUE,$AB18,$Z18,,$H$14)</f>
        <v>6.1599721104204699</v>
      </c>
      <c r="AT8" s="448">
        <f>_xll.qGetSwapRate($O$7,AT$7,$AE8,$R18,$AG8,$F$7,,,,,TRUE,$AB18,$Z18,,$H$14)</f>
        <v>6.3082561895849336</v>
      </c>
      <c r="AV8" s="448">
        <f>_xll.qGetSwapRate($O$7,AV$7,$AE8,$R18,$AG8,$F$7,,,,,TRUE,$AB18,$Z18,,$H$14)</f>
        <v>5.2736992322985659</v>
      </c>
      <c r="AW8" s="448">
        <f>_xll.qGetSwapRate($O$7,AW$7,$AE8,$R18,$AG8,$F$7,,,,,TRUE,$AB18,$Z18,,$H$14)</f>
        <v>5.9792478014124786</v>
      </c>
      <c r="BI8" s="268"/>
      <c r="BJ8" s="268" t="str">
        <v>AUD</v>
      </c>
      <c r="BK8" s="484" t="str">
        <f>IF(BJ8&lt;&gt;"",BK7&amp;"+GBP+"&amp;BJ8,BK7)</f>
        <v>USD+GBP+AUD</v>
      </c>
      <c r="BL8" s="151"/>
      <c r="BM8" s="472"/>
      <c r="BN8" s="462"/>
      <c r="BO8" s="468"/>
      <c r="BW8" s="383"/>
      <c r="CA8" s="475"/>
      <c r="CI8" s="383"/>
      <c r="CM8" s="136"/>
      <c r="CU8" s="383"/>
      <c r="CY8" s="136"/>
      <c r="DG8" s="383"/>
      <c r="DK8" s="136"/>
      <c r="DS8" s="383"/>
      <c r="DZ8" s="121"/>
      <c r="EG8" s="727" t="s">
        <v>293</v>
      </c>
      <c r="EH8" s="508" t="str">
        <f>INDIRECT("Fxcurve"&amp;DZ7)</f>
        <v>FXcurveAUD|[Swap Pricer 1w.xlsm]FX!$AB$68#1100</v>
      </c>
      <c r="EJ8" s="722" t="s">
        <v>78</v>
      </c>
      <c r="EK8" s="508" t="e">
        <f>INDIRECT("Fxcurve"&amp;DZ9)</f>
        <v>#REF!</v>
      </c>
      <c r="EM8" s="149" t="s">
        <v>78</v>
      </c>
      <c r="EO8" s="955" t="s">
        <v>657</v>
      </c>
      <c r="EP8" s="955"/>
      <c r="EQ8" s="955"/>
      <c r="ES8" s="956" t="s">
        <v>880</v>
      </c>
      <c r="ET8" s="956"/>
      <c r="EV8" s="125"/>
      <c r="EW8" s="125"/>
      <c r="EX8" s="339"/>
      <c r="FQ8" s="130" t="s">
        <v>7</v>
      </c>
      <c r="FR8" s="456" t="s">
        <v>770</v>
      </c>
      <c r="FS8" s="775">
        <f>(_xll.qGetSwapRate($FN$6,FS$5,$FQ8,"3M",$FI$4,$FH$4,,,,,TRUE,$FN$6,"3M",,$FI$4,FALSE) - _xll.qGetSwapRate($FN$6,FS$5,$FQ8,"3M",$FI$4,$FH$4,,,,,TRUE,$FN$7,"3M",,$FI$4,FALSE))*100</f>
        <v>11.250010227816709</v>
      </c>
      <c r="FT8" s="775">
        <f>(_xll.qGetSwapRate($FN$6,FT$5,$FQ8,"3M",$FI$4,$FH$4,,,,,TRUE,$FN$6,"3M",,$FI$4,FALSE) - _xll.qGetSwapRate($FN$6,FT$5,$FQ8,"3M",$FI$4,$FH$4,,,,,TRUE,$FN$7,"3M",,$FI$4,FALSE))*100</f>
        <v>11.853478323392164</v>
      </c>
      <c r="FU8" s="775">
        <f>(_xll.qGetSwapRate($FN$6,FU$5,$FQ8,"3M",$FI$4,$FH$4,,,,,TRUE,$FN$6,"3M",,$FI$4,FALSE) - _xll.qGetSwapRate($FN$6,FU$5,$FQ8,"3M",$FI$4,$FH$4,,,,,TRUE,$FN$7,"3M",,$FI$4,FALSE))*100</f>
        <v>12.399144636133919</v>
      </c>
      <c r="FV8" s="775">
        <f>(_xll.qGetSwapRate($FN$6,FV$5,$FQ8,"3M",$FI$4,$FH$4,,,,,TRUE,$FN$6,"3M",,$FI$4,FALSE) - _xll.qGetSwapRate($FN$6,FV$5,$FQ8,"3M",$FI$4,$FH$4,,,,,TRUE,$FN$7,"3M",,$FI$4,FALSE))*100</f>
        <v>13.670540764915629</v>
      </c>
      <c r="FW8" s="775">
        <f>(_xll.qGetSwapRate($FN$6,FW$5,$FQ8,"3M",$FI$4,$FH$4,,,,,TRUE,$FN$6,"3M",,$FI$4,FALSE) - _xll.qGetSwapRate($FN$6,FW$5,$FQ8,"3M",$FI$4,$FH$4,,,,,TRUE,$FN$7,"3M",,$FI$4,FALSE))*100</f>
        <v>14.983154685320965</v>
      </c>
      <c r="FX8" s="775">
        <f>(_xll.qGetSwapRate($FN$6,FX$5,$FQ8,"3M",$FI$4,$FH$4,,,,,TRUE,$FN$6,"3M",,$FI$4,FALSE) - _xll.qGetSwapRate($FN$6,FX$5,$FQ8,"3M",$FI$4,$FH$4,,,,,TRUE,$FN$7,"3M",,$FI$4,FALSE))*100</f>
        <v>17.844931378977691</v>
      </c>
      <c r="FY8" s="775">
        <f>(_xll.qGetSwapRate($FN$6,FY$5,$FQ8,"3M",$FI$4,$FH$4,,,,,TRUE,$FN$6,"3M",,$FI$4,FALSE) - _xll.qGetSwapRate($FN$6,FY$5,$FQ8,"3M",$FI$4,$FH$4,,,,,TRUE,$FN$7,"3M",,$FI$4,FALSE))*100</f>
        <v>22.808270198607694</v>
      </c>
      <c r="FZ8" s="775">
        <f>(_xll.qGetSwapRate($FN$6,FZ$5,$FQ8,"3M",$FI$4,$FH$4,,,,,TRUE,$FN$6,"3M",,$FI$4,FALSE) - _xll.qGetSwapRate($FN$6,FZ$5,$FQ8,"3M",$FI$4,$FH$4,,,,,TRUE,$FN$7,"3M",,$FI$4,FALSE))*100</f>
        <v>26.242364779227234</v>
      </c>
      <c r="GA8" s="775">
        <f>(_xll.qGetSwapRate($FN$6,GA$5,$FQ8,"3M",$FI$4,$FH$4,,,,,TRUE,$FN$6,"3M",,$FI$4,FALSE) - _xll.qGetSwapRate($FN$6,GA$5,$FQ8,"3M",$FI$4,$FH$4,,,,,TRUE,$FN$7,"3M",,$FI$4,FALSE))*100</f>
        <v>29.724923592014552</v>
      </c>
      <c r="GB8" s="775">
        <f>(_xll.qGetSwapRate($FN$6,GB$5,$FQ8,"3M",$FI$4,$FH$4,,,,,TRUE,$FN$6,"3M",,$FI$4,FALSE) - _xll.qGetSwapRate($FN$6,GB$5,$FQ8,"3M",$FI$4,$FH$4,,,,,TRUE,$FN$7,"3M",,$FI$4,FALSE))*100</f>
        <v>29.907216400848835</v>
      </c>
      <c r="GC8" s="775">
        <f>(_xll.qGetSwapRate($FN$6,GC$5,$FQ8,"3M",$FI$4,$FH$4,,,,,TRUE,$FN$6,"3M",,$FI$4,FALSE) - _xll.qGetSwapRate($FN$6,GC$5,$FQ8,"3M",$FI$4,$FH$4,,,,,TRUE,$FN$7,"3M",,$FI$4,FALSE))*100</f>
        <v>29.688255841815625</v>
      </c>
      <c r="GD8" s="775">
        <f>(_xll.qGetSwapRate($FN$6,GD$5,$FQ8,"3M",$FI$4,$FH$4,,,,,TRUE,$FN$6,"3M",,$FI$4,FALSE) - _xll.qGetSwapRate($FN$6,GD$5,$FQ8,"3M",$FI$4,$FH$4,,,,,TRUE,$FN$7,"3M",,$FI$4,FALSE))*100</f>
        <v>28.366347432701922</v>
      </c>
      <c r="GE8" s="775">
        <f>(_xll.qGetSwapRate($FN$6,GE$5,$FQ8,"3M",$FI$4,$FH$4,,,,,TRUE,$FN$6,"3M",,$FI$4,FALSE) - _xll.qGetSwapRate($FN$6,GE$5,$FQ8,"3M",$FI$4,$FH$4,,,,,TRUE,$FN$7,"3M",,$FI$4,FALSE))*100</f>
        <v>21.502565459142797</v>
      </c>
      <c r="GF8" s="775">
        <f>(_xll.qGetSwapRate($FN$6,GF$5,$FQ8,"3M",$FI$4,$FH$4,,,,,TRUE,$FN$6,"3M",,$FI$4,FALSE) - _xll.qGetSwapRate($FN$6,GF$5,$FQ8,"3M",$FI$4,$FH$4,,,,,TRUE,$FN$7,"3M",,$FI$4,FALSE))*100</f>
        <v>12.527977614500241</v>
      </c>
      <c r="GG8" s="775">
        <f>(_xll.qGetSwapRate($FN$6,GG$5,$FQ8,"3M",$FI$4,$FH$4,,,,,TRUE,$FN$6,"3M",,$FI$4,FALSE) - _xll.qGetSwapRate($FN$6,GG$5,$FQ8,"3M",$FI$4,$FH$4,,,,,TRUE,$FN$7,"3M",,$FI$4,FALSE))*100</f>
        <v>1.3893045636034884</v>
      </c>
    </row>
    <row r="9" spans="5:189">
      <c r="E9" t="s">
        <v>201</v>
      </c>
      <c r="F9" s="119" t="s">
        <v>322</v>
      </c>
      <c r="K9" s="449" t="s">
        <v>0</v>
      </c>
      <c r="L9" s="149" t="s">
        <v>334</v>
      </c>
      <c r="N9" s="149" t="s">
        <v>136</v>
      </c>
      <c r="O9" s="149" t="str">
        <v>AUD.ZB.1M|[Swap Pricer 1w.xlsm]AU!$BG$54#1133</v>
      </c>
      <c r="AE9" s="130" t="s">
        <v>26</v>
      </c>
      <c r="AF9" s="446" t="str">
        <v>Q/Q</v>
      </c>
      <c r="AG9" s="447" t="str">
        <v>Act/365</v>
      </c>
      <c r="AH9" s="447"/>
      <c r="AI9" s="712">
        <f>_xll.qGetSwapRate($O$7,AI$7,$AE9,$R19,$AG9,$F$7,,,,,TRUE,$AB19,$Z19,,$H$14)</f>
        <v>5.0225350931000907</v>
      </c>
      <c r="AJ9" s="712">
        <f>_xll.qGetSwapRate($O$7,AJ$7,$AE9,$R19,$AG9,$F$7,,,,,TRUE,$AB19,$Z19,,$H$14)</f>
        <v>5.0387108428370704</v>
      </c>
      <c r="AK9" s="712">
        <f>_xll.qGetSwapRate($O$7,AK$7,$AE9,$R19,$AG9,$F$7,,,,,TRUE,$AB19,$Z19,,$H$14)</f>
        <v>5.0487742182253807</v>
      </c>
      <c r="AL9" s="712">
        <f>_xll.qGetSwapRate($O$7,AL$7,$AE9,$R19,$AG9,$F$7,,,,,TRUE,$AB19,$Z19,,$H$14)</f>
        <v>5.0639196332185987</v>
      </c>
      <c r="AM9" s="712">
        <f>_xll.qGetSwapRate($O$7,AM$7,$AE9,$R19,$AG9,$F$7,,,,,TRUE,$AB19,$Z19,,$H$14)</f>
        <v>5.1357932223365319</v>
      </c>
      <c r="AN9" s="712">
        <f>_xll.qGetSwapRate($O$7,AN$7,$AE9,$R19,$AG9,$F$7,,,,,TRUE,$AB19,$Z19,,$H$14)</f>
        <v>5.2817844324631222</v>
      </c>
      <c r="AO9" s="712">
        <f>_xll.qGetSwapRate($O$7,AO$7,$AE9,$R19,$AG9,$F$7,,,,,TRUE,$AB19,$Z19,,$H$14)</f>
        <v>5.5651400657945409</v>
      </c>
      <c r="AP9" s="712">
        <f>_xll.qGetSwapRate($O$7,AP$7,$AE9,$R19,$AG9,$F$7,,,,,TRUE,$AB19,$Z19,,$H$14)</f>
        <v>5.8203908374802129</v>
      </c>
      <c r="AQ9" s="712">
        <f>_xll.qGetSwapRate($O$7,AQ$7,$AE9,$R19,$AG9,$F$7,,,,,TRUE,$AB19,$Z19,,$H$14)</f>
        <v>6.022660856552978</v>
      </c>
      <c r="AR9" s="712">
        <f>_xll.qGetSwapRate($O$7,AR$7,$AE9,$R19,$AG9,$F$7,,,,,TRUE,$AB19,$Z19,,$H$14)</f>
        <v>6.1843017329900878</v>
      </c>
      <c r="AS9" s="712">
        <f>_xll.qGetSwapRate($O$7,AS$7,$AE9,$R19,$AG9,$F$7,,,,,TRUE,$AB19,$Z19,,$H$14)</f>
        <v>6.1715311498838838</v>
      </c>
      <c r="AT9" s="712">
        <f>_xll.qGetSwapRate($O$7,AT$7,$AE9,$R19,$AG9,$F$7,,,,,TRUE,$AB19,$Z19,,$H$14)</f>
        <v>6.3521968475807684</v>
      </c>
      <c r="AU9" s="352"/>
      <c r="AV9" s="712">
        <f>_xll.qGetSwapRate($O$7,AV$7,$AE9,$R19,$AG9,$F$7,,,,,TRUE,$AB19,$Z19,,$H$14)</f>
        <v>5.4218583403636442</v>
      </c>
      <c r="AW9" s="712">
        <f>_xll.qGetSwapRate($O$7,AW$7,$AE9,$R19,$AG9,$F$7,,,,,TRUE,$AB19,$Z19,,$H$14)</f>
        <v>6.0559959569652992</v>
      </c>
      <c r="BE9" s="130" t="s">
        <v>292</v>
      </c>
      <c r="BG9" s="537" t="s">
        <v>346</v>
      </c>
      <c r="BH9" s="476" t="str">
        <f>IF(BM9&lt;&gt;BW9,"XCS","IRS")</f>
        <v>XCS</v>
      </c>
      <c r="BI9" s="268"/>
      <c r="BJ9" s="268" t="str">
        <v>EUR</v>
      </c>
      <c r="BK9" s="484" t="str">
        <f t="shared" ref="BK9:BK11" si="1">IF(BJ9&lt;&gt;"",BK8&amp;"+"&amp;BJ9,BK8)</f>
        <v>USD+GBP+AUD+EUR</v>
      </c>
      <c r="BL9" s="151"/>
      <c r="BM9" s="498" t="s">
        <v>242</v>
      </c>
      <c r="BO9" s="469"/>
      <c r="BQ9" s="526" t="s">
        <v>350</v>
      </c>
      <c r="BR9" s="437" t="b">
        <f>BW9&lt;&gt;""</f>
        <v>1</v>
      </c>
      <c r="BW9" s="498" t="s">
        <v>128</v>
      </c>
      <c r="CA9" s="475"/>
      <c r="CC9" s="526" t="s">
        <v>350</v>
      </c>
      <c r="CD9" s="437" t="b">
        <f>CI9&lt;&gt;""</f>
        <v>1</v>
      </c>
      <c r="CI9" s="498" t="s">
        <v>241</v>
      </c>
      <c r="CM9" s="136"/>
      <c r="CO9" s="526" t="s">
        <v>350</v>
      </c>
      <c r="CP9" s="437" t="b">
        <f>CU9&lt;&gt;""</f>
        <v>1</v>
      </c>
      <c r="CU9" s="498" t="s">
        <v>239</v>
      </c>
      <c r="CY9" s="136"/>
      <c r="DA9" s="526" t="s">
        <v>350</v>
      </c>
      <c r="DB9" s="437" t="b">
        <f>DG9&lt;&gt;""</f>
        <v>1</v>
      </c>
      <c r="DG9" s="498" t="s">
        <v>240</v>
      </c>
      <c r="DK9" s="136"/>
      <c r="DM9" s="526" t="s">
        <v>350</v>
      </c>
      <c r="DN9" s="437" t="b">
        <f>DS9&lt;&gt;""</f>
        <v>1</v>
      </c>
      <c r="DS9" s="498" t="s">
        <v>242</v>
      </c>
      <c r="DY9" t="s">
        <v>655</v>
      </c>
      <c r="DZ9" s="676" t="s">
        <v>242</v>
      </c>
      <c r="EE9" s="721"/>
      <c r="EG9" s="727" t="s">
        <v>664</v>
      </c>
      <c r="EH9" s="508" t="str">
        <f>INDIRECT(DZ7&amp;".ZBX.DISC")</f>
        <v>AUD.ZBX.DISC|[Swap Pricer 1w.xlsm]AU!$BG$59#1142</v>
      </c>
      <c r="EJ9" s="722" t="s">
        <v>78</v>
      </c>
      <c r="EK9" s="508" t="str">
        <f>INDIRECT(DZ9&amp;".ZBX.DISC")</f>
        <v>USD.ZB.DISC|[Swap Pricer 1w.xlsm]US!$BC$48#1120</v>
      </c>
      <c r="EM9" s="149" t="s">
        <v>78</v>
      </c>
      <c r="EW9" s="125"/>
      <c r="EX9" s="729"/>
      <c r="FL9" s="207" t="s">
        <v>768</v>
      </c>
      <c r="FQ9" s="130" t="s">
        <v>8</v>
      </c>
      <c r="FR9" s="456" t="s">
        <v>770</v>
      </c>
      <c r="FS9" s="775">
        <f>(_xll.qGetSwapRate($FN$6,FS$5,$FQ9,"3M",$FI$4,$FH$4,,,,,TRUE,$FN$6,"3M",,$FI$4,FALSE) - _xll.qGetSwapRate($FN$6,FS$5,$FQ9,"3M",$FI$4,$FH$4,,,,,TRUE,$FN$7,"3M",,$FI$4,FALSE))*100</f>
        <v>13.916674303231069</v>
      </c>
      <c r="FT9" s="775">
        <f>(_xll.qGetSwapRate($FN$6,FT$5,$FQ9,"3M",$FI$4,$FH$4,,,,,TRUE,$FN$6,"3M",,$FI$4,FALSE) - _xll.qGetSwapRate($FN$6,FT$5,$FQ9,"3M",$FI$4,$FH$4,,,,,TRUE,$FN$7,"3M",,$FI$4,FALSE))*100</f>
        <v>14.461786256272191</v>
      </c>
      <c r="FU9" s="775">
        <f>(_xll.qGetSwapRate($FN$6,FU$5,$FQ9,"3M",$FI$4,$FH$4,,,,,TRUE,$FN$6,"3M",,$FI$4,FALSE) - _xll.qGetSwapRate($FN$6,FU$5,$FQ9,"3M",$FI$4,$FH$4,,,,,TRUE,$FN$7,"3M",,$FI$4,FALSE))*100</f>
        <v>14.979984179180761</v>
      </c>
      <c r="FV9" s="775">
        <f>(_xll.qGetSwapRate($FN$6,FV$5,$FQ9,"3M",$FI$4,$FH$4,,,,,TRUE,$FN$6,"3M",,$FI$4,FALSE) - _xll.qGetSwapRate($FN$6,FV$5,$FQ9,"3M",$FI$4,$FH$4,,,,,TRUE,$FN$7,"3M",,$FI$4,FALSE))*100</f>
        <v>16.023655121725167</v>
      </c>
      <c r="FW9" s="775">
        <f>(_xll.qGetSwapRate($FN$6,FW$5,$FQ9,"3M",$FI$4,$FH$4,,,,,TRUE,$FN$6,"3M",,$FI$4,FALSE) - _xll.qGetSwapRate($FN$6,FW$5,$FQ9,"3M",$FI$4,$FH$4,,,,,TRUE,$FN$7,"3M",,$FI$4,FALSE))*100</f>
        <v>17.281530711669557</v>
      </c>
      <c r="FX9" s="775">
        <f>(_xll.qGetSwapRate($FN$6,FX$5,$FQ9,"3M",$FI$4,$FH$4,,,,,TRUE,$FN$6,"3M",,$FI$4,FALSE) - _xll.qGetSwapRate($FN$6,FX$5,$FQ9,"3M",$FI$4,$FH$4,,,,,TRUE,$FN$7,"3M",,$FI$4,FALSE))*100</f>
        <v>19.937287760648026</v>
      </c>
      <c r="FY9" s="775">
        <f>(_xll.qGetSwapRate($FN$6,FY$5,$FQ9,"3M",$FI$4,$FH$4,,,,,TRUE,$FN$6,"3M",,$FI$4,FALSE) - _xll.qGetSwapRate($FN$6,FY$5,$FQ9,"3M",$FI$4,$FH$4,,,,,TRUE,$FN$7,"3M",,$FI$4,FALSE))*100</f>
        <v>24.269376976722157</v>
      </c>
      <c r="FZ9" s="775">
        <f>(_xll.qGetSwapRate($FN$6,FZ$5,$FQ9,"3M",$FI$4,$FH$4,,,,,TRUE,$FN$6,"3M",,$FI$4,FALSE) - _xll.qGetSwapRate($FN$6,FZ$5,$FQ9,"3M",$FI$4,$FH$4,,,,,TRUE,$FN$7,"3M",,$FI$4,FALSE))*100</f>
        <v>27.851215794132056</v>
      </c>
      <c r="GA9" s="775">
        <f>(_xll.qGetSwapRate($FN$6,GA$5,$FQ9,"3M",$FI$4,$FH$4,,,,,TRUE,$FN$6,"3M",,$FI$4,FALSE) - _xll.qGetSwapRate($FN$6,GA$5,$FQ9,"3M",$FI$4,$FH$4,,,,,TRUE,$FN$7,"3M",,$FI$4,FALSE))*100</f>
        <v>29.112309579850582</v>
      </c>
      <c r="GB9" s="775">
        <f>(_xll.qGetSwapRate($FN$6,GB$5,$FQ9,"3M",$FI$4,$FH$4,,,,,TRUE,$FN$6,"3M",,$FI$4,FALSE) - _xll.qGetSwapRate($FN$6,GB$5,$FQ9,"3M",$FI$4,$FH$4,,,,,TRUE,$FN$7,"3M",,$FI$4,FALSE))*100</f>
        <v>29.563831237294735</v>
      </c>
      <c r="GC9" s="775">
        <f>(_xll.qGetSwapRate($FN$6,GC$5,$FQ9,"3M",$FI$4,$FH$4,,,,,TRUE,$FN$6,"3M",,$FI$4,FALSE) - _xll.qGetSwapRate($FN$6,GC$5,$FQ9,"3M",$FI$4,$FH$4,,,,,TRUE,$FN$7,"3M",,$FI$4,FALSE))*100</f>
        <v>29.729280808158709</v>
      </c>
      <c r="GD9" s="775">
        <f>(_xll.qGetSwapRate($FN$6,GD$5,$FQ9,"3M",$FI$4,$FH$4,,,,,TRUE,$FN$6,"3M",,$FI$4,FALSE) - _xll.qGetSwapRate($FN$6,GD$5,$FQ9,"3M",$FI$4,$FH$4,,,,,TRUE,$FN$7,"3M",,$FI$4,FALSE))*100</f>
        <v>23.0163132078963</v>
      </c>
      <c r="GE9" s="775">
        <f>(_xll.qGetSwapRate($FN$6,GE$5,$FQ9,"3M",$FI$4,$FH$4,,,,,TRUE,$FN$6,"3M",,$FI$4,FALSE) - _xll.qGetSwapRate($FN$6,GE$5,$FQ9,"3M",$FI$4,$FH$4,,,,,TRUE,$FN$7,"3M",,$FI$4,FALSE))*100</f>
        <v>16.904822671062991</v>
      </c>
      <c r="GF9" s="775">
        <f>(_xll.qGetSwapRate($FN$6,GF$5,$FQ9,"3M",$FI$4,$FH$4,,,,,TRUE,$FN$6,"3M",,$FI$4,FALSE) - _xll.qGetSwapRate($FN$6,GF$5,$FQ9,"3M",$FI$4,$FH$4,,,,,TRUE,$FN$7,"3M",,$FI$4,FALSE))*100</f>
        <v>9.1805659541425833</v>
      </c>
      <c r="GG9" s="775">
        <f>(_xll.qGetSwapRate($FN$6,GG$5,$FQ9,"3M",$FI$4,$FH$4,,,,,TRUE,$FN$6,"3M",,$FI$4,FALSE) - _xll.qGetSwapRate($FN$6,GG$5,$FQ9,"3M",$FI$4,$FH$4,,,,,TRUE,$FN$7,"3M",,$FI$4,FALSE))*100</f>
        <v>-0.20080639648556442</v>
      </c>
    </row>
    <row r="10" spans="5:189">
      <c r="K10" s="449" t="s">
        <v>2</v>
      </c>
      <c r="L10" s="149" t="s">
        <v>332</v>
      </c>
      <c r="N10" s="149" t="s">
        <v>323</v>
      </c>
      <c r="O10" s="149" t="str">
        <v>AUD.ZB.DISC|[Swap Pricer 1w.xlsm]AU!$BG$52#1130</v>
      </c>
      <c r="AE10" s="130" t="s">
        <v>7</v>
      </c>
      <c r="AF10" s="446" t="str">
        <v>Q/Q</v>
      </c>
      <c r="AG10" s="447" t="str">
        <v>Act/365</v>
      </c>
      <c r="AH10" s="447"/>
      <c r="AI10" s="448">
        <f>_xll.qGetSwapRate($O$7,AI$7,$AE10,$R20,$AG10,$F$7,,,,,TRUE,$AB20,$Z20,,$H$14)</f>
        <v>5.1533333333332942</v>
      </c>
      <c r="AJ10" s="448">
        <f>_xll.qGetSwapRate($O$7,AJ$7,$AE10,$R20,$AG10,$F$7,,,,,TRUE,$AB20,$Z20,,$H$14)</f>
        <v>5.1726001682997254</v>
      </c>
      <c r="AK10" s="448">
        <f>_xll.qGetSwapRate($O$7,AK$7,$AE10,$R20,$AG10,$F$7,,,,,TRUE,$AB20,$Z20,,$H$14)</f>
        <v>5.1884498815324784</v>
      </c>
      <c r="AL10" s="448">
        <f>_xll.qGetSwapRate($O$7,AL$7,$AE10,$R20,$AG10,$F$7,,,,,TRUE,$AB20,$Z20,,$H$14)</f>
        <v>5.2057612917869767</v>
      </c>
      <c r="AM10" s="448">
        <f>_xll.qGetSwapRate($O$7,AM$7,$AE10,$R20,$AG10,$F$7,,,,,TRUE,$AB20,$Z20,,$H$14)</f>
        <v>5.2749664411076962</v>
      </c>
      <c r="AN10" s="448">
        <f>_xll.qGetSwapRate($O$7,AN$7,$AE10,$R20,$AG10,$F$7,,,,,TRUE,$AB20,$Z20,,$H$14)</f>
        <v>5.4137215845192976</v>
      </c>
      <c r="AO10" s="448">
        <f>_xll.qGetSwapRate($O$7,AO$7,$AE10,$R20,$AG10,$F$7,,,,,TRUE,$AB20,$Z20,,$H$14)</f>
        <v>5.6846702365046262</v>
      </c>
      <c r="AP10" s="448">
        <f>_xll.qGetSwapRate($O$7,AP$7,$AE10,$R20,$AG10,$F$7,,,,,TRUE,$AB20,$Z20,,$H$14)</f>
        <v>5.9095914043980526</v>
      </c>
      <c r="AQ10" s="448">
        <f>_xll.qGetSwapRate($O$7,AQ$7,$AE10,$R20,$AG10,$F$7,,,,,TRUE,$AB20,$Z20,,$H$14)</f>
        <v>6.0998953491913834</v>
      </c>
      <c r="AR10" s="448">
        <f>_xll.qGetSwapRate($O$7,AR$7,$AE10,$R20,$AG10,$F$7,,,,,TRUE,$AB20,$Z20,,$H$14)</f>
        <v>6.1766860988079726</v>
      </c>
      <c r="AS10" s="448">
        <f>_xll.qGetSwapRate($O$7,AS$7,$AE10,$R20,$AG10,$F$7,,,,,TRUE,$AB20,$Z20,,$H$14)</f>
        <v>6.1916763651346702</v>
      </c>
      <c r="AT10" s="448">
        <f>_xll.qGetSwapRate($O$7,AT$7,$AE10,$R20,$AG10,$F$7,,,,,TRUE,$AB20,$Z20,,$H$14)</f>
        <v>6.3311484141531302</v>
      </c>
      <c r="AV10" s="448">
        <f>_xll.qGetSwapRate($O$7,AV$7,$AE10,$R20,$AG10,$F$7,,,,,TRUE,$AB20,$Z20,,$H$14)</f>
        <v>5.5491579350086688</v>
      </c>
      <c r="AW10" s="448">
        <f>_xll.qGetSwapRate($O$7,AW$7,$AE10,$R20,$AG10,$F$7,,,,,TRUE,$AB20,$Z20,,$H$14)</f>
        <v>6.1186628784699257</v>
      </c>
      <c r="BE10" s="130" t="s">
        <v>246</v>
      </c>
      <c r="BI10" s="268"/>
      <c r="BJ10" s="268" t="str">
        <v>GBP</v>
      </c>
      <c r="BK10" s="484" t="str">
        <f t="shared" si="1"/>
        <v>USD+GBP+AUD+EUR+GBP</v>
      </c>
      <c r="BL10" s="151"/>
      <c r="BM10" s="498" t="s">
        <v>340</v>
      </c>
      <c r="BO10" s="469"/>
      <c r="BQ10" s="526" t="s">
        <v>355</v>
      </c>
      <c r="BR10" s="437" t="str">
        <f>IF(BW9&lt;&gt;$BM$9,BW9&amp;".ZBX.DISC",BW9&amp;".ZB.DISC")</f>
        <v>AUD.ZBX.DISC</v>
      </c>
      <c r="BW10" s="498" t="s">
        <v>340</v>
      </c>
      <c r="CA10" s="475"/>
      <c r="CC10" s="526" t="s">
        <v>355</v>
      </c>
      <c r="CD10" s="437" t="str">
        <f>IF(CI9&lt;&gt;$BM$9,CI9&amp;".ZBX.DISC",CI9&amp;".ZB.DISC")</f>
        <v>EUR.ZBX.DISC</v>
      </c>
      <c r="CI10" s="498" t="s">
        <v>340</v>
      </c>
      <c r="CM10" s="136"/>
      <c r="CO10" s="526" t="s">
        <v>355</v>
      </c>
      <c r="CP10" s="437" t="str">
        <f>IF(CU9&lt;&gt;$BM$9,CU9&amp;".ZBX.DISC",CU9&amp;".ZB.DISC")</f>
        <v>GBP.ZBX.DISC</v>
      </c>
      <c r="CU10" s="498" t="s">
        <v>340</v>
      </c>
      <c r="CY10" s="136"/>
      <c r="DA10" s="526" t="s">
        <v>355</v>
      </c>
      <c r="DB10" s="437" t="str">
        <f>IF(DG9&lt;&gt;$BM$9,DG9&amp;".ZBX.DISC",DG9&amp;".ZB.DISC")</f>
        <v>NZD.ZBX.DISC</v>
      </c>
      <c r="DG10" s="498" t="s">
        <v>340</v>
      </c>
      <c r="DK10" s="136"/>
      <c r="DM10" s="526" t="s">
        <v>355</v>
      </c>
      <c r="DN10" s="437" t="str">
        <f>IF(DS9&lt;&gt;$BM$9,DS9&amp;".ZBX.DISC",DS9&amp;".ZB.DISC")</f>
        <v>USD.ZB.DISC</v>
      </c>
      <c r="DS10" s="498" t="s">
        <v>340</v>
      </c>
      <c r="ED10" s="121" t="s">
        <v>349</v>
      </c>
      <c r="EO10" s="460" t="s">
        <v>636</v>
      </c>
      <c r="EP10" s="460" t="s">
        <v>656</v>
      </c>
      <c r="ES10" s="188" t="s">
        <v>636</v>
      </c>
      <c r="ET10" s="188" t="s">
        <v>656</v>
      </c>
      <c r="FQ10" s="130" t="s">
        <v>9</v>
      </c>
      <c r="FR10" s="456" t="s">
        <v>770</v>
      </c>
      <c r="FS10" s="775">
        <f>(_xll.qGetSwapRate($FN$6,FS$5,$FQ10,"3M",$FI$4,$FH$4,,,,,TRUE,$FN$6,"3M",,$FI$4,FALSE) - _xll.qGetSwapRate($FN$6,FS$5,$FQ10,"3M",$FI$4,$FH$4,,,,,TRUE,$FN$7,"3M",,$FI$4,FALSE))*100</f>
        <v>16.25000610133478</v>
      </c>
      <c r="FT10" s="775">
        <f>(_xll.qGetSwapRate($FN$6,FT$5,$FQ10,"3M",$FI$4,$FH$4,,,,,TRUE,$FN$6,"3M",,$FI$4,FALSE) - _xll.qGetSwapRate($FN$6,FT$5,$FQ10,"3M",$FI$4,$FH$4,,,,,TRUE,$FN$7,"3M",,$FI$4,FALSE))*100</f>
        <v>16.735215631277889</v>
      </c>
      <c r="FU10" s="775">
        <f>(_xll.qGetSwapRate($FN$6,FU$5,$FQ10,"3M",$FI$4,$FH$4,,,,,TRUE,$FN$6,"3M",,$FI$4,FALSE) - _xll.qGetSwapRate($FN$6,FU$5,$FQ10,"3M",$FI$4,$FH$4,,,,,TRUE,$FN$7,"3M",,$FI$4,FALSE))*100</f>
        <v>17.189053443098157</v>
      </c>
      <c r="FV10" s="775">
        <f>(_xll.qGetSwapRate($FN$6,FV$5,$FQ10,"3M",$FI$4,$FH$4,,,,,TRUE,$FN$6,"3M",,$FI$4,FALSE) - _xll.qGetSwapRate($FN$6,FV$5,$FQ10,"3M",$FI$4,$FH$4,,,,,TRUE,$FN$7,"3M",,$FI$4,FALSE))*100</f>
        <v>18.089089918060708</v>
      </c>
      <c r="FW10" s="775">
        <f>(_xll.qGetSwapRate($FN$6,FW$5,$FQ10,"3M",$FI$4,$FH$4,,,,,TRUE,$FN$6,"3M",,$FI$4,FALSE) - _xll.qGetSwapRate($FN$6,FW$5,$FQ10,"3M",$FI$4,$FH$4,,,,,TRUE,$FN$7,"3M",,$FI$4,FALSE))*100</f>
        <v>19.231235414660652</v>
      </c>
      <c r="FX10" s="775">
        <f>(_xll.qGetSwapRate($FN$6,FX$5,$FQ10,"3M",$FI$4,$FH$4,,,,,TRUE,$FN$6,"3M",,$FI$4,FALSE) - _xll.qGetSwapRate($FN$6,FX$5,$FQ10,"3M",$FI$4,$FH$4,,,,,TRUE,$FN$7,"3M",,$FI$4,FALSE))*100</f>
        <v>21.578680335104128</v>
      </c>
      <c r="FY10" s="775">
        <f>(_xll.qGetSwapRate($FN$6,FY$5,$FQ10,"3M",$FI$4,$FH$4,,,,,TRUE,$FN$6,"3M",,$FI$4,FALSE) - _xll.qGetSwapRate($FN$6,FY$5,$FQ10,"3M",$FI$4,$FH$4,,,,,TRUE,$FN$7,"3M",,$FI$4,FALSE))*100</f>
        <v>25.861393140441535</v>
      </c>
      <c r="FZ10" s="775">
        <f>(_xll.qGetSwapRate($FN$6,FZ$5,$FQ10,"3M",$FI$4,$FH$4,,,,,TRUE,$FN$6,"3M",,$FI$4,FALSE) - _xll.qGetSwapRate($FN$6,FZ$5,$FQ10,"3M",$FI$4,$FH$4,,,,,TRUE,$FN$7,"3M",,$FI$4,FALSE))*100</f>
        <v>27.705281682679672</v>
      </c>
      <c r="GA10" s="775">
        <f>(_xll.qGetSwapRate($FN$6,GA$5,$FQ10,"3M",$FI$4,$FH$4,,,,,TRUE,$FN$6,"3M",,$FI$4,FALSE) - _xll.qGetSwapRate($FN$6,GA$5,$FQ10,"3M",$FI$4,$FH$4,,,,,TRUE,$FN$7,"3M",,$FI$4,FALSE))*100</f>
        <v>28.986419247235151</v>
      </c>
      <c r="GB10" s="775">
        <f>(_xll.qGetSwapRate($FN$6,GB$5,$FQ10,"3M",$FI$4,$FH$4,,,,,TRUE,$FN$6,"3M",,$FI$4,FALSE) - _xll.qGetSwapRate($FN$6,GB$5,$FQ10,"3M",$FI$4,$FH$4,,,,,TRUE,$FN$7,"3M",,$FI$4,FALSE))*100</f>
        <v>29.617275025718026</v>
      </c>
      <c r="GC10" s="775">
        <f>(_xll.qGetSwapRate($FN$6,GC$5,$FQ10,"3M",$FI$4,$FH$4,,,,,TRUE,$FN$6,"3M",,$FI$4,FALSE) - _xll.qGetSwapRate($FN$6,GC$5,$FQ10,"3M",$FI$4,$FH$4,,,,,TRUE,$FN$7,"3M",,$FI$4,FALSE))*100</f>
        <v>25.351945129041464</v>
      </c>
      <c r="GD10" s="775">
        <f>(_xll.qGetSwapRate($FN$6,GD$5,$FQ10,"3M",$FI$4,$FH$4,,,,,TRUE,$FN$6,"3M",,$FI$4,FALSE) - _xll.qGetSwapRate($FN$6,GD$5,$FQ10,"3M",$FI$4,$FH$4,,,,,TRUE,$FN$7,"3M",,$FI$4,FALSE))*100</f>
        <v>19.193888658079494</v>
      </c>
      <c r="GE10" s="775">
        <f>(_xll.qGetSwapRate($FN$6,GE$5,$FQ10,"3M",$FI$4,$FH$4,,,,,TRUE,$FN$6,"3M",,$FI$4,FALSE) - _xll.qGetSwapRate($FN$6,GE$5,$FQ10,"3M",$FI$4,$FH$4,,,,,TRUE,$FN$7,"3M",,$FI$4,FALSE))*100</f>
        <v>13.549086104073638</v>
      </c>
      <c r="GF10" s="775">
        <f>(_xll.qGetSwapRate($FN$6,GF$5,$FQ10,"3M",$FI$4,$FH$4,,,,,TRUE,$FN$6,"3M",,$FI$4,FALSE) - _xll.qGetSwapRate($FN$6,GF$5,$FQ10,"3M",$FI$4,$FH$4,,,,,TRUE,$FN$7,"3M",,$FI$4,FALSE))*100</f>
        <v>6.5738549152714043</v>
      </c>
      <c r="GG10" s="775">
        <f>(_xll.qGetSwapRate($FN$6,GG$5,$FQ10,"3M",$FI$4,$FH$4,,,,,TRUE,$FN$6,"3M",,$FI$4,FALSE) - _xll.qGetSwapRate($FN$6,GG$5,$FQ10,"3M",$FI$4,$FH$4,,,,,TRUE,$FN$7,"3M",,$FI$4,FALSE))*100</f>
        <v>-1.7388643213342547</v>
      </c>
    </row>
    <row r="11" spans="5:189">
      <c r="F11" s="187" t="s">
        <v>131</v>
      </c>
      <c r="G11" s="187"/>
      <c r="H11" s="187" t="s">
        <v>330</v>
      </c>
      <c r="K11" s="449" t="s">
        <v>5</v>
      </c>
      <c r="L11" s="149" t="s">
        <v>333</v>
      </c>
      <c r="N11" s="149" t="s">
        <v>325</v>
      </c>
      <c r="O11" s="149" t="str">
        <v>AUD.ZB.6M|[Swap Pricer 1w.xlsm]AU!$BG$56#1131</v>
      </c>
      <c r="AE11" s="130" t="s">
        <v>8</v>
      </c>
      <c r="AF11" s="446" t="str">
        <v>S/S</v>
      </c>
      <c r="AG11" s="447" t="str">
        <v>Act/365</v>
      </c>
      <c r="AH11" s="447"/>
      <c r="AI11" s="712">
        <f>_xll.qGetSwapRate($O$7,AI$7,$AE11,$R21,$AG11,$F$7,,,,,TRUE,$AB21,$Z21,,$H$14)</f>
        <v>5.3997302095293378</v>
      </c>
      <c r="AJ11" s="712">
        <f>_xll.qGetSwapRate($O$7,AJ$7,$AE11,$R21,$AG11,$F$7,,,,,TRUE,$AB21,$Z21,,$H$14)</f>
        <v>5.4195840973041243</v>
      </c>
      <c r="AK11" s="712">
        <f>_xll.qGetSwapRate($O$7,AK$7,$AE11,$R21,$AG11,$F$7,,,,,TRUE,$AB21,$Z21,,$H$14)</f>
        <v>5.4374145872763338</v>
      </c>
      <c r="AL11" s="712">
        <f>_xll.qGetSwapRate($O$7,AL$7,$AE11,$R21,$AG11,$F$7,,,,,TRUE,$AB21,$Z21,,$H$14)</f>
        <v>5.4544486973410296</v>
      </c>
      <c r="AM11" s="712">
        <f>_xll.qGetSwapRate($O$7,AM$7,$AE11,$R21,$AG11,$F$7,,,,,TRUE,$AB21,$Z21,,$H$14)</f>
        <v>5.5224569480309595</v>
      </c>
      <c r="AN11" s="712">
        <f>_xll.qGetSwapRate($O$7,AN$7,$AE11,$R21,$AG11,$F$7,,,,,TRUE,$AB21,$Z21,,$H$14)</f>
        <v>5.6536855379945337</v>
      </c>
      <c r="AO11" s="712">
        <f>_xll.qGetSwapRate($O$7,AO$7,$AE11,$R21,$AG11,$F$7,,,,,TRUE,$AB21,$Z21,,$H$14)</f>
        <v>5.889754434573204</v>
      </c>
      <c r="AP11" s="712">
        <f>_xll.qGetSwapRate($O$7,AP$7,$AE11,$R21,$AG11,$F$7,,,,,TRUE,$AB21,$Z21,,$H$14)</f>
        <v>6.0910986665857232</v>
      </c>
      <c r="AQ11" s="712">
        <f>_xll.qGetSwapRate($O$7,AQ$7,$AE11,$R21,$AG11,$F$7,,,,,TRUE,$AB21,$Z21,,$H$14)</f>
        <v>6.2082313844045975</v>
      </c>
      <c r="AR11" s="712">
        <f>_xll.qGetSwapRate($O$7,AR$7,$AE11,$R21,$AG11,$F$7,,,,,TRUE,$AB21,$Z21,,$H$14)</f>
        <v>6.2674600186750959</v>
      </c>
      <c r="AS11" s="712">
        <f>_xll.qGetSwapRate($O$7,AS$7,$AE11,$R21,$AG11,$F$7,,,,,TRUE,$AB21,$Z21,,$H$14)</f>
        <v>6.3075450120641268</v>
      </c>
      <c r="AT11" s="712">
        <f>_xll.qGetSwapRate($O$7,AT$7,$AE11,$R21,$AG11,$F$7,,,,,TRUE,$AB21,$Z21,,$H$14)</f>
        <v>6.3806651633515177</v>
      </c>
      <c r="AU11" s="352"/>
      <c r="AV11" s="712">
        <f>_xll.qGetSwapRate($O$7,AV$7,$AE11,$R21,$AG11,$F$7,,,,,TRUE,$AB21,$Z21,,$H$14)</f>
        <v>5.7735508060761287</v>
      </c>
      <c r="AW11" s="712">
        <f>_xll.qGetSwapRate($O$7,AW$7,$AE11,$R21,$AG11,$F$7,,,,,TRUE,$AB21,$Z21,,$H$14)</f>
        <v>6.2230156177229006</v>
      </c>
      <c r="BE11" s="130" t="s">
        <v>343</v>
      </c>
      <c r="BG11" s="150"/>
      <c r="BH11" s="437"/>
      <c r="BI11" s="268"/>
      <c r="BJ11" s="268" t="str">
        <v>NZD</v>
      </c>
      <c r="BK11" s="484" t="str">
        <f t="shared" si="1"/>
        <v>USD+GBP+AUD+EUR+GBP+NZD</v>
      </c>
      <c r="BL11" s="151"/>
      <c r="BM11" s="498" t="s">
        <v>2</v>
      </c>
      <c r="BO11" s="469"/>
      <c r="BW11" s="498" t="s">
        <v>2</v>
      </c>
      <c r="CA11" s="475"/>
      <c r="CI11" s="498" t="s">
        <v>2</v>
      </c>
      <c r="CM11" s="136"/>
      <c r="CU11" s="498" t="s">
        <v>2</v>
      </c>
      <c r="CY11" s="136"/>
      <c r="DG11" s="498" t="s">
        <v>2</v>
      </c>
      <c r="DK11" s="136"/>
      <c r="DS11" s="498" t="s">
        <v>2</v>
      </c>
      <c r="ED11" s="121" t="str">
        <f>IF(AND(DZ7&lt;&gt;"USD",DZ9&lt;&gt;"USD"),DZ7&amp;"+"&amp;DZ9&amp;"/NYC",IF(DZ7&lt;&gt;"USD",DZ7,IF(DZ9&lt;&gt;"USD",DZ9,"USD"))&amp;"/NYC")</f>
        <v>AUD/NYC</v>
      </c>
      <c r="EH11" s="953" t="str">
        <f>DZ7&amp;" FX Rate"</f>
        <v>AUD FX Rate</v>
      </c>
      <c r="EI11" s="953"/>
      <c r="EK11" s="953" t="str">
        <f>DZ9&amp;" FX Rate"</f>
        <v>USD FX Rate</v>
      </c>
      <c r="EL11" s="953"/>
      <c r="EO11" s="460" t="s">
        <v>662</v>
      </c>
      <c r="EP11" s="460" t="s">
        <v>663</v>
      </c>
      <c r="EQ11" s="460" t="s">
        <v>658</v>
      </c>
      <c r="ES11" s="188" t="s">
        <v>662</v>
      </c>
      <c r="ET11" s="188" t="s">
        <v>663</v>
      </c>
      <c r="FQ11" s="130" t="s">
        <v>10</v>
      </c>
      <c r="FR11" s="456" t="s">
        <v>770</v>
      </c>
      <c r="FS11" s="775">
        <f>(_xll.qGetSwapRate($FN$6,FS$5,$FQ11,"3M",$FI$4,$FH$4,,,,,TRUE,$FN$6,"3M",,$FI$4,FALSE) - _xll.qGetSwapRate($FN$6,FS$5,$FQ11,"3M",$FI$4,$FH$4,,,,,TRUE,$FN$7,"3M",,$FI$4,FALSE))*100</f>
        <v>18.106147613276402</v>
      </c>
      <c r="FT11" s="775">
        <f>(_xll.qGetSwapRate($FN$6,FT$5,$FQ11,"3M",$FI$4,$FH$4,,,,,TRUE,$FN$6,"3M",,$FI$4,FALSE) - _xll.qGetSwapRate($FN$6,FT$5,$FQ11,"3M",$FI$4,$FH$4,,,,,TRUE,$FN$7,"3M",,$FI$4,FALSE))*100</f>
        <v>18.583008577482829</v>
      </c>
      <c r="FU11" s="775">
        <f>(_xll.qGetSwapRate($FN$6,FU$5,$FQ11,"3M",$FI$4,$FH$4,,,,,TRUE,$FN$6,"3M",,$FI$4,FALSE) - _xll.qGetSwapRate($FN$6,FU$5,$FQ11,"3M",$FI$4,$FH$4,,,,,TRUE,$FN$7,"3M",,$FI$4,FALSE))*100</f>
        <v>19.005471880967573</v>
      </c>
      <c r="FV11" s="775">
        <f>(_xll.qGetSwapRate($FN$6,FV$5,$FQ11,"3M",$FI$4,$FH$4,,,,,TRUE,$FN$6,"3M",,$FI$4,FALSE) - _xll.qGetSwapRate($FN$6,FV$5,$FQ11,"3M",$FI$4,$FH$4,,,,,TRUE,$FN$7,"3M",,$FI$4,FALSE))*100</f>
        <v>19.82432329018966</v>
      </c>
      <c r="FW11" s="775">
        <f>(_xll.qGetSwapRate($FN$6,FW$5,$FQ11,"3M",$FI$4,$FH$4,,,,,TRUE,$FN$6,"3M",,$FI$4,FALSE) - _xll.qGetSwapRate($FN$6,FW$5,$FQ11,"3M",$FI$4,$FH$4,,,,,TRUE,$FN$7,"3M",,$FI$4,FALSE))*100</f>
        <v>20.948430197194323</v>
      </c>
      <c r="FX11" s="775">
        <f>(_xll.qGetSwapRate($FN$6,FX$5,$FQ11,"3M",$FI$4,$FH$4,,,,,TRUE,$FN$6,"3M",,$FI$4,FALSE) - _xll.qGetSwapRate($FN$6,FX$5,$FQ11,"3M",$FI$4,$FH$4,,,,,TRUE,$FN$7,"3M",,$FI$4,FALSE))*100</f>
        <v>23.247420549590547</v>
      </c>
      <c r="FY11" s="775">
        <f>(_xll.qGetSwapRate($FN$6,FY$5,$FQ11,"3M",$FI$4,$FH$4,,,,,TRUE,$FN$6,"3M",,$FI$4,FALSE) - _xll.qGetSwapRate($FN$6,FY$5,$FQ11,"3M",$FI$4,$FH$4,,,,,TRUE,$FN$7,"3M",,$FI$4,FALSE))*100</f>
        <v>26.025127113460922</v>
      </c>
      <c r="FZ11" s="775">
        <f>(_xll.qGetSwapRate($FN$6,FZ$5,$FQ11,"3M",$FI$4,$FH$4,,,,,TRUE,$FN$6,"3M",,$FI$4,FALSE) - _xll.qGetSwapRate($FN$6,FZ$5,$FQ11,"3M",$FI$4,$FH$4,,,,,TRUE,$FN$7,"3M",,$FI$4,FALSE))*100</f>
        <v>27.803425080657629</v>
      </c>
      <c r="GA11" s="775">
        <f>(_xll.qGetSwapRate($FN$6,GA$5,$FQ11,"3M",$FI$4,$FH$4,,,,,TRUE,$FN$6,"3M",,$FI$4,FALSE) - _xll.qGetSwapRate($FN$6,GA$5,$FQ11,"3M",$FI$4,$FH$4,,,,,TRUE,$FN$7,"3M",,$FI$4,FALSE))*100</f>
        <v>29.110652699525108</v>
      </c>
      <c r="GB11" s="775">
        <f>(_xll.qGetSwapRate($FN$6,GB$5,$FQ11,"3M",$FI$4,$FH$4,,,,,TRUE,$FN$6,"3M",,$FI$4,FALSE) - _xll.qGetSwapRate($FN$6,GB$5,$FQ11,"3M",$FI$4,$FH$4,,,,,TRUE,$FN$7,"3M",,$FI$4,FALSE))*100</f>
        <v>26.107391528670032</v>
      </c>
      <c r="GC11" s="775">
        <f>(_xll.qGetSwapRate($FN$6,GC$5,$FQ11,"3M",$FI$4,$FH$4,,,,,TRUE,$FN$6,"3M",,$FI$4,FALSE) - _xll.qGetSwapRate($FN$6,GC$5,$FQ11,"3M",$FI$4,$FH$4,,,,,TRUE,$FN$7,"3M",,$FI$4,FALSE))*100</f>
        <v>21.943182259846061</v>
      </c>
      <c r="GD11" s="775">
        <f>(_xll.qGetSwapRate($FN$6,GD$5,$FQ11,"3M",$FI$4,$FH$4,,,,,TRUE,$FN$6,"3M",,$FI$4,FALSE) - _xll.qGetSwapRate($FN$6,GD$5,$FQ11,"3M",$FI$4,$FH$4,,,,,TRUE,$FN$7,"3M",,$FI$4,FALSE))*100</f>
        <v>16.16586636391677</v>
      </c>
      <c r="GE11" s="775">
        <f>(_xll.qGetSwapRate($FN$6,GE$5,$FQ11,"3M",$FI$4,$FH$4,,,,,TRUE,$FN$6,"3M",,$FI$4,FALSE) - _xll.qGetSwapRate($FN$6,GE$5,$FQ11,"3M",$FI$4,$FH$4,,,,,TRUE,$FN$7,"3M",,$FI$4,FALSE))*100</f>
        <v>10.830288595914883</v>
      </c>
      <c r="GF11" s="775">
        <f>(_xll.qGetSwapRate($FN$6,GF$5,$FQ11,"3M",$FI$4,$FH$4,,,,,TRUE,$FN$6,"3M",,$FI$4,FALSE) - _xll.qGetSwapRate($FN$6,GF$5,$FQ11,"3M",$FI$4,$FH$4,,,,,TRUE,$FN$7,"3M",,$FI$4,FALSE))*100</f>
        <v>4.3768677540062306</v>
      </c>
      <c r="GG11" s="775">
        <f>(_xll.qGetSwapRate($FN$6,GG$5,$FQ11,"3M",$FI$4,$FH$4,,,,,TRUE,$FN$6,"3M",,$FI$4,FALSE) - _xll.qGetSwapRate($FN$6,GG$5,$FQ11,"3M",$FI$4,$FH$4,,,,,TRUE,$FN$7,"3M",,$FI$4,FALSE))*100</f>
        <v>-4.386610067585206</v>
      </c>
    </row>
    <row r="12" spans="5:189">
      <c r="E12" t="s">
        <v>130</v>
      </c>
      <c r="F12" s="313" t="s">
        <v>636</v>
      </c>
      <c r="H12" s="313" t="s">
        <v>636</v>
      </c>
      <c r="K12" s="449" t="s">
        <v>25</v>
      </c>
      <c r="L12" s="149" t="s">
        <v>335</v>
      </c>
      <c r="N12" s="149" t="s">
        <v>324</v>
      </c>
      <c r="O12" s="149" t="str">
        <v>AUD.ZB.6M|[Swap Pricer 1w.xlsm]AU!$BG$56#1131</v>
      </c>
      <c r="AE12" s="130" t="s">
        <v>9</v>
      </c>
      <c r="AF12" s="446" t="str">
        <v>S/S</v>
      </c>
      <c r="AG12" s="447" t="str">
        <v>Act/365</v>
      </c>
      <c r="AH12" s="447"/>
      <c r="AI12" s="448">
        <f>_xll.qGetSwapRate($O$7,AI$7,$AE12,$R22,$AG12,$F$7,,,,,TRUE,$AB22,$Z22,,$H$14)</f>
        <v>5.518059708330596</v>
      </c>
      <c r="AJ12" s="448">
        <f>_xll.qGetSwapRate($O$7,AJ$7,$AE12,$R22,$AG12,$F$7,,,,,TRUE,$AB22,$Z22,,$H$14)</f>
        <v>5.5365219229591336</v>
      </c>
      <c r="AK12" s="448">
        <f>_xll.qGetSwapRate($O$7,AK$7,$AE12,$R22,$AG12,$F$7,,,,,TRUE,$AB22,$Z22,,$H$14)</f>
        <v>5.5527167783539833</v>
      </c>
      <c r="AL12" s="448">
        <f>_xll.qGetSwapRate($O$7,AL$7,$AE12,$R22,$AG12,$F$7,,,,,TRUE,$AB22,$Z22,,$H$14)</f>
        <v>5.5690702519420174</v>
      </c>
      <c r="AM12" s="448">
        <f>_xll.qGetSwapRate($O$7,AM$7,$AE12,$R22,$AG12,$F$7,,,,,TRUE,$AB22,$Z22,,$H$14)</f>
        <v>5.6312357104025343</v>
      </c>
      <c r="AN12" s="448">
        <f>_xll.qGetSwapRate($O$7,AN$7,$AE12,$R22,$AG12,$F$7,,,,,TRUE,$AB22,$Z22,,$H$14)</f>
        <v>5.7489185602088337</v>
      </c>
      <c r="AO12" s="448">
        <f>_xll.qGetSwapRate($O$7,AO$7,$AE12,$R22,$AG12,$F$7,,,,,TRUE,$AB22,$Z22,,$H$14)</f>
        <v>5.9697364777931483</v>
      </c>
      <c r="AP12" s="448">
        <f>_xll.qGetSwapRate($O$7,AP$7,$AE12,$R22,$AG12,$F$7,,,,,TRUE,$AB22,$Z22,,$H$14)</f>
        <v>6.1211513380805869</v>
      </c>
      <c r="AQ12" s="448">
        <f>_xll.qGetSwapRate($O$7,AQ$7,$AE12,$R22,$AG12,$F$7,,,,,TRUE,$AB22,$Z22,,$H$14)</f>
        <v>6.2211675400599047</v>
      </c>
      <c r="AR12" s="448">
        <f>_xll.qGetSwapRate($O$7,AR$7,$AE12,$R22,$AG12,$F$7,,,,,TRUE,$AB22,$Z22,,$H$14)</f>
        <v>6.2783600638915011</v>
      </c>
      <c r="AS12" s="448">
        <f>_xll.qGetSwapRate($O$7,AS$7,$AE12,$R22,$AG12,$F$7,,,,,TRUE,$AB22,$Z22,,$H$14)</f>
        <v>6.3330081593382523</v>
      </c>
      <c r="AT12" s="448">
        <f>_xll.qGetSwapRate($O$7,AT$7,$AE12,$R22,$AG12,$F$7,,,,,TRUE,$AB22,$Z22,,$H$14)</f>
        <v>6.3880905229378779</v>
      </c>
      <c r="AV12" s="448">
        <f>_xll.qGetSwapRate($O$7,AV$7,$AE12,$R22,$AG12,$F$7,,,,,TRUE,$AB22,$Z22,,$H$14)</f>
        <v>5.8614824132012213</v>
      </c>
      <c r="AW12" s="448">
        <f>_xll.qGetSwapRate($O$7,AW$7,$AE12,$R22,$AG12,$F$7,,,,,TRUE,$AB22,$Z22,,$H$14)</f>
        <v>6.2350552350238067</v>
      </c>
      <c r="BE12" s="130"/>
      <c r="BO12" s="469"/>
      <c r="BW12" s="473"/>
      <c r="CA12" s="475"/>
      <c r="CI12" s="473"/>
      <c r="CM12" s="136"/>
      <c r="CU12" s="473"/>
      <c r="CY12" s="136"/>
      <c r="DG12" s="473"/>
      <c r="DK12" s="136"/>
      <c r="DS12" s="473"/>
      <c r="EH12" s="386" t="s">
        <v>636</v>
      </c>
      <c r="EI12" s="386" t="s">
        <v>656</v>
      </c>
      <c r="EK12" s="386" t="s">
        <v>636</v>
      </c>
      <c r="EL12" s="386" t="s">
        <v>656</v>
      </c>
      <c r="FQ12" s="130" t="s">
        <v>11</v>
      </c>
      <c r="FR12" s="456" t="s">
        <v>770</v>
      </c>
      <c r="FS12" s="775">
        <f>(_xll.qGetSwapRate($FN$6,FS$5,$FQ12,"3M",$FI$4,$FH$4,,,,,TRUE,$FN$6,"3M",,$FI$4,FALSE) - _xll.qGetSwapRate($FN$6,FS$5,$FQ12,"3M",$FI$4,$FH$4,,,,,TRUE,$FN$7,"3M",,$FI$4,FALSE))*100</f>
        <v>19.916660723704549</v>
      </c>
      <c r="FT12" s="775">
        <f>(_xll.qGetSwapRate($FN$6,FT$5,$FQ12,"3M",$FI$4,$FH$4,,,,,TRUE,$FN$6,"3M",,$FI$4,FALSE) - _xll.qGetSwapRate($FN$6,FT$5,$FQ12,"3M",$FI$4,$FH$4,,,,,TRUE,$FN$7,"3M",,$FI$4,FALSE))*100</f>
        <v>20.275631718131848</v>
      </c>
      <c r="FU12" s="775">
        <f>(_xll.qGetSwapRate($FN$6,FU$5,$FQ12,"3M",$FI$4,$FH$4,,,,,TRUE,$FN$6,"3M",,$FI$4,FALSE) - _xll.qGetSwapRate($FN$6,FU$5,$FQ12,"3M",$FI$4,$FH$4,,,,,TRUE,$FN$7,"3M",,$FI$4,FALSE))*100</f>
        <v>20.604433528857857</v>
      </c>
      <c r="FV12" s="775">
        <f>(_xll.qGetSwapRate($FN$6,FV$5,$FQ12,"3M",$FI$4,$FH$4,,,,,TRUE,$FN$6,"3M",,$FI$4,FALSE) - _xll.qGetSwapRate($FN$6,FV$5,$FQ12,"3M",$FI$4,$FH$4,,,,,TRUE,$FN$7,"3M",,$FI$4,FALSE))*100</f>
        <v>21.27322063576802</v>
      </c>
      <c r="FW12" s="775">
        <f>(_xll.qGetSwapRate($FN$6,FW$5,$FQ12,"3M",$FI$4,$FH$4,,,,,TRUE,$FN$6,"3M",,$FI$4,FALSE) - _xll.qGetSwapRate($FN$6,FW$5,$FQ12,"3M",$FI$4,$FH$4,,,,,TRUE,$FN$7,"3M",,$FI$4,FALSE))*100</f>
        <v>22.087703464033659</v>
      </c>
      <c r="FX12" s="775">
        <f>(_xll.qGetSwapRate($FN$6,FX$5,$FQ12,"3M",$FI$4,$FH$4,,,,,TRUE,$FN$6,"3M",,$FI$4,FALSE) - _xll.qGetSwapRate($FN$6,FX$5,$FQ12,"3M",$FI$4,$FH$4,,,,,TRUE,$FN$7,"3M",,$FI$4,FALSE))*100</f>
        <v>23.690508286183665</v>
      </c>
      <c r="FY12" s="775">
        <f>(_xll.qGetSwapRate($FN$6,FY$5,$FQ12,"3M",$FI$4,$FH$4,,,,,TRUE,$FN$6,"3M",,$FI$4,FALSE) - _xll.qGetSwapRate($FN$6,FY$5,$FQ12,"3M",$FI$4,$FH$4,,,,,TRUE,$FN$7,"3M",,$FI$4,FALSE))*100</f>
        <v>26.304133649805372</v>
      </c>
      <c r="FZ12" s="775">
        <f>(_xll.qGetSwapRate($FN$6,FZ$5,$FQ12,"3M",$FI$4,$FH$4,,,,,TRUE,$FN$6,"3M",,$FI$4,FALSE) - _xll.qGetSwapRate($FN$6,FZ$5,$FQ12,"3M",$FI$4,$FH$4,,,,,TRUE,$FN$7,"3M",,$FI$4,FALSE))*100</f>
        <v>28.0443618965454</v>
      </c>
      <c r="GA12" s="775">
        <f>(_xll.qGetSwapRate($FN$6,GA$5,$FQ12,"3M",$FI$4,$FH$4,,,,,TRUE,$FN$6,"3M",,$FI$4,FALSE) - _xll.qGetSwapRate($FN$6,GA$5,$FQ12,"3M",$FI$4,$FH$4,,,,,TRUE,$FN$7,"3M",,$FI$4,FALSE))*100</f>
        <v>26.262323443006519</v>
      </c>
      <c r="GB12" s="775">
        <f>(_xll.qGetSwapRate($FN$6,GB$5,$FQ12,"3M",$FI$4,$FH$4,,,,,TRUE,$FN$6,"3M",,$FI$4,FALSE) - _xll.qGetSwapRate($FN$6,GB$5,$FQ12,"3M",$FI$4,$FH$4,,,,,TRUE,$FN$7,"3M",,$FI$4,FALSE))*100</f>
        <v>23.19601691684321</v>
      </c>
      <c r="GC12" s="775">
        <f>(_xll.qGetSwapRate($FN$6,GC$5,$FQ12,"3M",$FI$4,$FH$4,,,,,TRUE,$FN$6,"3M",,$FI$4,FALSE) - _xll.qGetSwapRate($FN$6,GC$5,$FQ12,"3M",$FI$4,$FH$4,,,,,TRUE,$FN$7,"3M",,$FI$4,FALSE))*100</f>
        <v>19.11237987076424</v>
      </c>
      <c r="GD12" s="775">
        <f>(_xll.qGetSwapRate($FN$6,GD$5,$FQ12,"3M",$FI$4,$FH$4,,,,,TRUE,$FN$6,"3M",,$FI$4,FALSE) - _xll.qGetSwapRate($FN$6,GD$5,$FQ12,"3M",$FI$4,$FH$4,,,,,TRUE,$FN$7,"3M",,$FI$4,FALSE))*100</f>
        <v>13.60508692882636</v>
      </c>
      <c r="GE12" s="775">
        <f>(_xll.qGetSwapRate($FN$6,GE$5,$FQ12,"3M",$FI$4,$FH$4,,,,,TRUE,$FN$6,"3M",,$FI$4,FALSE) - _xll.qGetSwapRate($FN$6,GE$5,$FQ12,"3M",$FI$4,$FH$4,,,,,TRUE,$FN$7,"3M",,$FI$4,FALSE))*100</f>
        <v>8.5142817240328128</v>
      </c>
      <c r="GF12" s="775">
        <f>(_xll.qGetSwapRate($FN$6,GF$5,$FQ12,"3M",$FI$4,$FH$4,,,,,TRUE,$FN$6,"3M",,$FI$4,FALSE) - _xll.qGetSwapRate($FN$6,GF$5,$FQ12,"3M",$FI$4,$FH$4,,,,,TRUE,$FN$7,"3M",,$FI$4,FALSE))*100</f>
        <v>1.4620317911857583</v>
      </c>
      <c r="GG12" s="775">
        <f>(_xll.qGetSwapRate($FN$6,GG$5,$FQ12,"3M",$FI$4,$FH$4,,,,,TRUE,$FN$6,"3M",,$FI$4,FALSE) - _xll.qGetSwapRate($FN$6,GG$5,$FQ12,"3M",$FI$4,$FH$4,,,,,TRUE,$FN$7,"3M",,$FI$4,FALSE))*100</f>
        <v>-6.8186571686477571</v>
      </c>
    </row>
    <row r="13" spans="5:189">
      <c r="AE13" s="130" t="s">
        <v>10</v>
      </c>
      <c r="AF13" s="446" t="str">
        <v>S/S</v>
      </c>
      <c r="AG13" s="447" t="str">
        <v>Act/365</v>
      </c>
      <c r="AH13" s="447"/>
      <c r="AI13" s="712">
        <f>_xll.qGetSwapRate($O$7,AI$7,$AE13,$R23,$AG13,$F$7,,,,,TRUE,$AB23,$Z23,,$H$14)</f>
        <v>5.6146936432424299</v>
      </c>
      <c r="AJ13" s="712">
        <f>_xll.qGetSwapRate($O$7,AJ$7,$AE13,$R23,$AG13,$F$7,,,,,TRUE,$AB23,$Z23,,$H$14)</f>
        <v>5.6331814829430824</v>
      </c>
      <c r="AK13" s="712">
        <f>_xll.qGetSwapRate($O$7,AK$7,$AE13,$R23,$AG13,$F$7,,,,,TRUE,$AB23,$Z23,,$H$14)</f>
        <v>5.6481261520459398</v>
      </c>
      <c r="AL13" s="712">
        <f>_xll.qGetSwapRate($O$7,AL$7,$AE13,$R23,$AG13,$F$7,,,,,TRUE,$AB23,$Z23,,$H$14)</f>
        <v>5.6639530021618594</v>
      </c>
      <c r="AM13" s="712">
        <f>_xll.qGetSwapRate($O$7,AM$7,$AE13,$R23,$AG13,$F$7,,,,,TRUE,$AB23,$Z23,,$H$14)</f>
        <v>5.7226808816881052</v>
      </c>
      <c r="AN13" s="712">
        <f>_xll.qGetSwapRate($O$7,AN$7,$AE13,$R23,$AG13,$F$7,,,,,TRUE,$AB23,$Z23,,$H$14)</f>
        <v>5.8337546456541318</v>
      </c>
      <c r="AO13" s="712">
        <f>_xll.qGetSwapRate($O$7,AO$7,$AE13,$R23,$AG13,$F$7,,,,,TRUE,$AB23,$Z23,,$H$14)</f>
        <v>6.0112783267145327</v>
      </c>
      <c r="AP13" s="712">
        <f>_xll.qGetSwapRate($O$7,AP$7,$AE13,$R23,$AG13,$F$7,,,,,TRUE,$AB23,$Z23,,$H$14)</f>
        <v>6.1440544937693691</v>
      </c>
      <c r="AQ13" s="712">
        <f>_xll.qGetSwapRate($O$7,AQ$7,$AE13,$R23,$AG13,$F$7,,,,,TRUE,$AB23,$Z23,,$H$14)</f>
        <v>6.236521265123578</v>
      </c>
      <c r="AR13" s="712">
        <f>_xll.qGetSwapRate($O$7,AR$7,$AE13,$R23,$AG13,$F$7,,,,,TRUE,$AB23,$Z23,,$H$14)</f>
        <v>6.2913127990493241</v>
      </c>
      <c r="AS13" s="712">
        <f>_xll.qGetSwapRate($O$7,AS$7,$AE13,$R23,$AG13,$F$7,,,,,TRUE,$AB23,$Z23,,$H$14)</f>
        <v>6.33165783468929</v>
      </c>
      <c r="AT13" s="712">
        <f>_xll.qGetSwapRate($O$7,AT$7,$AE13,$R23,$AG13,$F$7,,,,,TRUE,$AB23,$Z23,,$H$14)</f>
        <v>6.2993909177792782</v>
      </c>
      <c r="AU13" s="352"/>
      <c r="AV13" s="712">
        <f>_xll.qGetSwapRate($O$7,AV$7,$AE13,$R23,$AG13,$F$7,,,,,TRUE,$AB23,$Z23,,$H$14)</f>
        <v>5.9261904934967813</v>
      </c>
      <c r="AW13" s="712">
        <f>_xll.qGetSwapRate($O$7,AW$7,$AE13,$R23,$AG13,$F$7,,,,,TRUE,$AB23,$Z23,,$H$14)</f>
        <v>6.2496579409332504</v>
      </c>
      <c r="BG13" s="526" t="str">
        <f t="array" ref="BG13:BI13">BM9</f>
        <v>USD</v>
      </c>
      <c r="BH13" s="150" t="str">
        <v>USD</v>
      </c>
      <c r="BI13" s="386" t="str">
        <v>USD</v>
      </c>
      <c r="BJ13" s="268" t="str">
        <f>IF(BM10="Floating",uFloatDCC(BM9),BM10)</f>
        <v>Act/360</v>
      </c>
      <c r="BK13" s="268" t="s">
        <v>344</v>
      </c>
      <c r="BO13" s="469"/>
      <c r="BQ13" s="526" t="str">
        <f t="array" ref="BQ13:BS13">BW9</f>
        <v>AUD</v>
      </c>
      <c r="BR13" s="406" t="str">
        <v>AUD</v>
      </c>
      <c r="BS13" s="386" t="str">
        <v>AUD</v>
      </c>
      <c r="BT13" s="268" t="str">
        <f>IF(BW10="Floating",uFloatDCC(BW9),BW10)</f>
        <v>Act/365</v>
      </c>
      <c r="BU13" s="151" t="s">
        <v>344</v>
      </c>
      <c r="BW13" s="473"/>
      <c r="CA13" s="475"/>
      <c r="CC13" s="526" t="str">
        <f t="array" ref="CC13:CE13">CI9</f>
        <v>EUR</v>
      </c>
      <c r="CD13" s="406" t="str">
        <v>EUR</v>
      </c>
      <c r="CE13" s="386" t="str">
        <v>EUR</v>
      </c>
      <c r="CF13" s="268" t="str">
        <f>IF(CI10="Floating",uFloatDCC(CI9),CI10)</f>
        <v>Act/360</v>
      </c>
      <c r="CG13" s="151" t="s">
        <v>344</v>
      </c>
      <c r="CI13" s="473"/>
      <c r="CM13" s="136"/>
      <c r="CO13" s="526" t="str">
        <f t="array" ref="CO13:CQ13">CU9</f>
        <v>GBP</v>
      </c>
      <c r="CP13" s="406" t="str">
        <v>GBP</v>
      </c>
      <c r="CQ13" s="386" t="str">
        <v>GBP</v>
      </c>
      <c r="CR13" s="268" t="str">
        <f>IF(CU10="Floating",uFloatDCC(CU9),CU10)</f>
        <v>Act/365</v>
      </c>
      <c r="CS13" s="151" t="s">
        <v>344</v>
      </c>
      <c r="CU13" s="473"/>
      <c r="CY13" s="136"/>
      <c r="DA13" s="526" t="str">
        <f t="array" ref="DA13:DC13">DG9</f>
        <v>NZD</v>
      </c>
      <c r="DB13" s="406" t="str">
        <v>NZD</v>
      </c>
      <c r="DC13" s="386" t="str">
        <v>NZD</v>
      </c>
      <c r="DD13" s="268" t="str">
        <f>IF(DG10="Floating",uFloatDCC(DG9),DG10)</f>
        <v>Act/365</v>
      </c>
      <c r="DE13" s="151" t="s">
        <v>344</v>
      </c>
      <c r="DG13" s="473"/>
      <c r="DK13" s="136"/>
      <c r="DM13" s="526" t="str">
        <f t="array" ref="DM13:DO13">DS9</f>
        <v>USD</v>
      </c>
      <c r="DN13" s="406" t="str">
        <v>USD</v>
      </c>
      <c r="DO13" s="386" t="str">
        <v>USD</v>
      </c>
      <c r="DP13" s="268" t="str">
        <f>IF(DS10="Floating",uFloatDCC(DS9),DS10)</f>
        <v>Act/360</v>
      </c>
      <c r="DQ13" s="151" t="s">
        <v>344</v>
      </c>
      <c r="DS13" s="473"/>
      <c r="ED13" s="539" t="s">
        <v>645</v>
      </c>
      <c r="EE13" s="207"/>
      <c r="EF13" s="734">
        <f>Today</f>
        <v>40729</v>
      </c>
      <c r="EG13" s="735"/>
      <c r="EH13" s="491"/>
      <c r="EI13" s="491"/>
      <c r="EJ13" s="730"/>
      <c r="EK13" s="491"/>
      <c r="EL13" s="491"/>
      <c r="EM13" s="207"/>
      <c r="EN13" s="207"/>
      <c r="EO13" s="736"/>
      <c r="EP13" s="736"/>
      <c r="EQ13" s="736"/>
      <c r="ER13" s="207"/>
      <c r="ES13" s="731"/>
      <c r="ET13" s="731"/>
      <c r="FQ13" s="130" t="s">
        <v>12</v>
      </c>
      <c r="FR13" s="456" t="s">
        <v>770</v>
      </c>
      <c r="FS13" s="775">
        <f>(_xll.qGetSwapRate($FN$6,FS$5,$FQ13,"3M",$FI$4,$FH$4,,,,,TRUE,$FN$6,"3M",,$FI$4,FALSE) - _xll.qGetSwapRate($FN$6,FS$5,$FQ13,"3M",$FI$4,$FH$4,,,,,TRUE,$FN$7,"3M",,$FI$4,FALSE))*100</f>
        <v>20.613252060960363</v>
      </c>
      <c r="FT13" s="775">
        <f>(_xll.qGetSwapRate($FN$6,FT$5,$FQ13,"3M",$FI$4,$FH$4,,,,,TRUE,$FN$6,"3M",,$FI$4,FALSE) - _xll.qGetSwapRate($FN$6,FT$5,$FQ13,"3M",$FI$4,$FH$4,,,,,TRUE,$FN$7,"3M",,$FI$4,FALSE))*100</f>
        <v>20.947914683433222</v>
      </c>
      <c r="FU13" s="775">
        <f>(_xll.qGetSwapRate($FN$6,FU$5,$FQ13,"3M",$FI$4,$FH$4,,,,,TRUE,$FN$6,"3M",,$FI$4,FALSE) - _xll.qGetSwapRate($FN$6,FU$5,$FQ13,"3M",$FI$4,$FH$4,,,,,TRUE,$FN$7,"3M",,$FI$4,FALSE))*100</f>
        <v>21.257832806308397</v>
      </c>
      <c r="FV13" s="775">
        <f>(_xll.qGetSwapRate($FN$6,FV$5,$FQ13,"3M",$FI$4,$FH$4,,,,,TRUE,$FN$6,"3M",,$FI$4,FALSE) - _xll.qGetSwapRate($FN$6,FV$5,$FQ13,"3M",$FI$4,$FH$4,,,,,TRUE,$FN$7,"3M",,$FI$4,FALSE))*100</f>
        <v>21.87706470052877</v>
      </c>
      <c r="FW13" s="775">
        <f>(_xll.qGetSwapRate($FN$6,FW$5,$FQ13,"3M",$FI$4,$FH$4,,,,,TRUE,$FN$6,"3M",,$FI$4,FALSE) - _xll.qGetSwapRate($FN$6,FW$5,$FQ13,"3M",$FI$4,$FH$4,,,,,TRUE,$FN$7,"3M",,$FI$4,FALSE))*100</f>
        <v>22.640283778703196</v>
      </c>
      <c r="FX13" s="775">
        <f>(_xll.qGetSwapRate($FN$6,FX$5,$FQ13,"3M",$FI$4,$FH$4,,,,,TRUE,$FN$6,"3M",,$FI$4,FALSE) - _xll.qGetSwapRate($FN$6,FX$5,$FQ13,"3M",$FI$4,$FH$4,,,,,TRUE,$FN$7,"3M",,$FI$4,FALSE))*100</f>
        <v>24.15980799557147</v>
      </c>
      <c r="FY13" s="775">
        <f>(_xll.qGetSwapRate($FN$6,FY$5,$FQ13,"3M",$FI$4,$FH$4,,,,,TRUE,$FN$6,"3M",,$FI$4,FALSE) - _xll.qGetSwapRate($FN$6,FY$5,$FQ13,"3M",$FI$4,$FH$4,,,,,TRUE,$FN$7,"3M",,$FI$4,FALSE))*100</f>
        <v>26.655729751569623</v>
      </c>
      <c r="FZ13" s="775">
        <f>(_xll.qGetSwapRate($FN$6,FZ$5,$FQ13,"3M",$FI$4,$FH$4,,,,,TRUE,$FN$6,"3M",,$FI$4,FALSE) - _xll.qGetSwapRate($FN$6,FZ$5,$FQ13,"3M",$FI$4,$FH$4,,,,,TRUE,$FN$7,"3M",,$FI$4,FALSE))*100</f>
        <v>25.739677564873187</v>
      </c>
      <c r="GA13" s="775">
        <f>(_xll.qGetSwapRate($FN$6,GA$5,$FQ13,"3M",$FI$4,$FH$4,,,,,TRUE,$FN$6,"3M",,$FI$4,FALSE) - _xll.qGetSwapRate($FN$6,GA$5,$FQ13,"3M",$FI$4,$FH$4,,,,,TRUE,$FN$7,"3M",,$FI$4,FALSE))*100</f>
        <v>23.785924478246656</v>
      </c>
      <c r="GB13" s="775">
        <f>(_xll.qGetSwapRate($FN$6,GB$5,$FQ13,"3M",$FI$4,$FH$4,,,,,TRUE,$FN$6,"3M",,$FI$4,FALSE) - _xll.qGetSwapRate($FN$6,GB$5,$FQ13,"3M",$FI$4,$FH$4,,,,,TRUE,$FN$7,"3M",,$FI$4,FALSE))*100</f>
        <v>20.67914667297126</v>
      </c>
      <c r="GC13" s="775">
        <f>(_xll.qGetSwapRate($FN$6,GC$5,$FQ13,"3M",$FI$4,$FH$4,,,,,TRUE,$FN$6,"3M",,$FI$4,FALSE) - _xll.qGetSwapRate($FN$6,GC$5,$FQ13,"3M",$FI$4,$FH$4,,,,,TRUE,$FN$7,"3M",,$FI$4,FALSE))*100</f>
        <v>16.654223859821471</v>
      </c>
      <c r="GD13" s="775">
        <f>(_xll.qGetSwapRate($FN$6,GD$5,$FQ13,"3M",$FI$4,$FH$4,,,,,TRUE,$FN$6,"3M",,$FI$4,FALSE) - _xll.qGetSwapRate($FN$6,GD$5,$FQ13,"3M",$FI$4,$FH$4,,,,,TRUE,$FN$7,"3M",,$FI$4,FALSE))*100</f>
        <v>11.372616019940374</v>
      </c>
      <c r="GE13" s="775">
        <f>(_xll.qGetSwapRate($FN$6,GE$5,$FQ13,"3M",$FI$4,$FH$4,,,,,TRUE,$FN$6,"3M",,$FI$4,FALSE) - _xll.qGetSwapRate($FN$6,GE$5,$FQ13,"3M",$FI$4,$FH$4,,,,,TRUE,$FN$7,"3M",,$FI$4,FALSE))*100</f>
        <v>5.6406093140199509</v>
      </c>
      <c r="GF13" s="775">
        <f>(_xll.qGetSwapRate($FN$6,GF$5,$FQ13,"3M",$FI$4,$FH$4,,,,,TRUE,$FN$6,"3M",,$FI$4,FALSE) - _xll.qGetSwapRate($FN$6,GF$5,$FQ13,"3M",$FI$4,$FH$4,,,,,TRUE,$FN$7,"3M",,$FI$4,FALSE))*100</f>
        <v>-1.1854553992627359</v>
      </c>
      <c r="GG13" s="775">
        <f>(_xll.qGetSwapRate($FN$6,GG$5,$FQ13,"3M",$FI$4,$FH$4,,,,,TRUE,$FN$6,"3M",,$FI$4,FALSE) - _xll.qGetSwapRate($FN$6,GG$5,$FQ13,"3M",$FI$4,$FH$4,,,,,TRUE,$FN$7,"3M",,$FI$4,FALSE))*100</f>
        <v>-9.0838953029532377</v>
      </c>
    </row>
    <row r="14" spans="5:189">
      <c r="E14" t="s">
        <v>331</v>
      </c>
      <c r="F14" s="313" t="s">
        <v>636</v>
      </c>
      <c r="H14" t="str">
        <f>uFloatDCC(F7)</f>
        <v>Act/365</v>
      </c>
      <c r="AE14" s="130" t="s">
        <v>11</v>
      </c>
      <c r="AF14" s="446" t="str">
        <v>S/S</v>
      </c>
      <c r="AG14" s="447" t="str">
        <v>Act/365</v>
      </c>
      <c r="AH14" s="447"/>
      <c r="AI14" s="448">
        <f>_xll.qGetSwapRate($O$7,AI$7,$AE14,$R24,$AG14,$F$7,,,,,TRUE,$AB24,$Z24,,$H$14)</f>
        <v>5.7013251224637189</v>
      </c>
      <c r="AJ14" s="448">
        <f>_xll.qGetSwapRate($O$7,AJ$7,$AE14,$R24,$AG14,$F$7,,,,,TRUE,$AB24,$Z24,,$H$14)</f>
        <v>5.7167633553402712</v>
      </c>
      <c r="AK14" s="448">
        <f>_xll.qGetSwapRate($O$7,AK$7,$AE14,$R24,$AG14,$F$7,,,,,TRUE,$AB24,$Z24,,$H$14)</f>
        <v>5.7297186395580288</v>
      </c>
      <c r="AL14" s="448">
        <f>_xll.qGetSwapRate($O$7,AL$7,$AE14,$R24,$AG14,$F$7,,,,,TRUE,$AB24,$Z24,,$H$14)</f>
        <v>5.7430645764141932</v>
      </c>
      <c r="AM14" s="448">
        <f>_xll.qGetSwapRate($O$7,AM$7,$AE14,$R24,$AG14,$F$7,,,,,TRUE,$AB24,$Z24,,$H$14)</f>
        <v>5.7929979283362476</v>
      </c>
      <c r="AN14" s="448">
        <f>_xll.qGetSwapRate($O$7,AN$7,$AE14,$R24,$AG14,$F$7,,,,,TRUE,$AB24,$Z24,,$H$14)</f>
        <v>5.8844130559989178</v>
      </c>
      <c r="AO14" s="448">
        <f>_xll.qGetSwapRate($O$7,AO$7,$AE14,$R24,$AG14,$F$7,,,,,TRUE,$AB24,$Z24,,$H$14)</f>
        <v>6.0433278297466329</v>
      </c>
      <c r="AP14" s="448">
        <f>_xll.qGetSwapRate($O$7,AP$7,$AE14,$R24,$AG14,$F$7,,,,,TRUE,$AB24,$Z24,,$H$14)</f>
        <v>6.1658781131372971</v>
      </c>
      <c r="AQ14" s="448">
        <f>_xll.qGetSwapRate($O$7,AQ$7,$AE14,$R24,$AG14,$F$7,,,,,TRUE,$AB24,$Z24,,$H$14)</f>
        <v>6.2521942844623899</v>
      </c>
      <c r="AR14" s="448">
        <f>_xll.qGetSwapRate($O$7,AR$7,$AE14,$R24,$AG14,$F$7,,,,,TRUE,$AB24,$Z24,,$H$14)</f>
        <v>6.3102579686612605</v>
      </c>
      <c r="AS14" s="448">
        <f>_xll.qGetSwapRate($O$7,AS$7,$AE14,$R24,$AG14,$F$7,,,,,TRUE,$AB24,$Z24,,$H$14)</f>
        <v>6.3366105371912465</v>
      </c>
      <c r="AT14" s="448">
        <f>_xll.qGetSwapRate($O$7,AT$7,$AE14,$R24,$AG14,$F$7,,,,,TRUE,$AB24,$Z24,,$H$14)</f>
        <v>6.231104325253245</v>
      </c>
      <c r="AV14" s="448">
        <f>_xll.qGetSwapRate($O$7,AV$7,$AE14,$R24,$AG14,$F$7,,,,,TRUE,$AB24,$Z24,,$H$14)</f>
        <v>5.9673038094631137</v>
      </c>
      <c r="AW14" s="448">
        <f>_xll.qGetSwapRate($O$7,AW$7,$AE14,$R24,$AG14,$F$7,,,,,TRUE,$AB24,$Z24,,$H$14)</f>
        <v>6.2656345833907654</v>
      </c>
      <c r="BE14" s="130"/>
      <c r="BG14" s="538" t="s">
        <v>233</v>
      </c>
      <c r="BH14" s="459" t="s">
        <v>157</v>
      </c>
      <c r="BI14" s="454" t="s">
        <v>139</v>
      </c>
      <c r="BJ14" s="455" t="s">
        <v>157</v>
      </c>
      <c r="BK14" s="455" t="s">
        <v>341</v>
      </c>
      <c r="BL14" s="426"/>
      <c r="BM14" s="472"/>
      <c r="BO14" s="469"/>
      <c r="BP14" s="455"/>
      <c r="BQ14" s="538" t="s">
        <v>233</v>
      </c>
      <c r="BR14" s="458" t="s">
        <v>157</v>
      </c>
      <c r="BS14" s="454" t="s">
        <v>139</v>
      </c>
      <c r="BT14" s="443" t="s">
        <v>157</v>
      </c>
      <c r="BU14" s="443" t="s">
        <v>341</v>
      </c>
      <c r="BW14" s="472"/>
      <c r="CA14" s="475"/>
      <c r="CB14" s="455"/>
      <c r="CC14" s="538" t="s">
        <v>233</v>
      </c>
      <c r="CD14" s="458" t="s">
        <v>157</v>
      </c>
      <c r="CE14" s="454" t="s">
        <v>139</v>
      </c>
      <c r="CF14" s="443" t="s">
        <v>157</v>
      </c>
      <c r="CG14" s="443" t="s">
        <v>341</v>
      </c>
      <c r="CI14" s="472"/>
      <c r="CM14" s="136"/>
      <c r="CN14" s="455"/>
      <c r="CO14" s="538" t="s">
        <v>233</v>
      </c>
      <c r="CP14" s="458" t="s">
        <v>157</v>
      </c>
      <c r="CQ14" s="454" t="s">
        <v>139</v>
      </c>
      <c r="CR14" s="443" t="s">
        <v>157</v>
      </c>
      <c r="CS14" s="443" t="s">
        <v>341</v>
      </c>
      <c r="CU14" s="472"/>
      <c r="CY14" s="136"/>
      <c r="CZ14" s="455"/>
      <c r="DA14" s="538" t="s">
        <v>233</v>
      </c>
      <c r="DB14" s="458" t="s">
        <v>157</v>
      </c>
      <c r="DC14" s="454" t="s">
        <v>139</v>
      </c>
      <c r="DD14" s="443" t="s">
        <v>157</v>
      </c>
      <c r="DE14" s="443" t="s">
        <v>341</v>
      </c>
      <c r="DG14" s="472"/>
      <c r="DK14" s="136"/>
      <c r="DL14" s="455"/>
      <c r="DM14" s="538" t="s">
        <v>233</v>
      </c>
      <c r="DN14" s="458" t="s">
        <v>157</v>
      </c>
      <c r="DO14" s="454" t="s">
        <v>139</v>
      </c>
      <c r="DP14" s="443" t="s">
        <v>157</v>
      </c>
      <c r="DQ14" s="443" t="s">
        <v>341</v>
      </c>
      <c r="DS14" s="472"/>
      <c r="ED14" s="121" t="s">
        <v>258</v>
      </c>
      <c r="EF14" s="732">
        <f>_xll.qDateNext(Today,"2b",,,$ED$11)</f>
        <v>40731</v>
      </c>
      <c r="EH14" s="386">
        <f t="array" ref="EH14:EH40">IF(DZ7="USD",1,    _xll.qGetFXFwdRate(EH8,$EF14:$EF40))</f>
        <v>1.0724499999999999</v>
      </c>
      <c r="EI14" s="386">
        <f t="array" ref="EI14:EI40">_xll.qGetFXFwdRateImplied($EF14:$EF40,EH$9,USD.ZB.DISC,EH$7,$EF$14)</f>
        <v>1.0724499999999999</v>
      </c>
      <c r="EK14" s="386">
        <f t="array" ref="EK14:EK40">IF(DZ9="USD",1,    _xll.qGetFXFwdRate(EK8,$EF14:$EF40))</f>
        <v>1</v>
      </c>
      <c r="EL14" s="386">
        <f t="array" ref="EL14:EL40">_xll.qGetFXFwdRateImplied($EF14:$EF40,EK9,USD.ZB.DISC,EK7,$EF$14)</f>
        <v>1</v>
      </c>
      <c r="ES14" s="635">
        <f t="shared" ref="ES14:ES30" si="2">IF(EF14=0,0,        EH14/EK14)</f>
        <v>1.0724499999999999</v>
      </c>
      <c r="ET14" s="635">
        <f t="shared" ref="ET14:ET30" si="3">IF(EF14=0,0,        EI14/EL14)</f>
        <v>1.0724499999999999</v>
      </c>
      <c r="FQ14" s="130" t="s">
        <v>13</v>
      </c>
      <c r="FR14" s="456" t="s">
        <v>770</v>
      </c>
      <c r="FS14" s="775">
        <f>(_xll.qGetSwapRate($FN$6,FS$5,$FQ14,"3M",$FI$4,$FH$4,,,,,TRUE,$FN$6,"3M",,$FI$4,FALSE) - _xll.qGetSwapRate($FN$6,FS$5,$FQ14,"3M",$FI$4,$FH$4,,,,,TRUE,$FN$7,"3M",,$FI$4,FALSE))*100</f>
        <v>21.278890520190696</v>
      </c>
      <c r="FT14" s="775">
        <f>(_xll.qGetSwapRate($FN$6,FT$5,$FQ14,"3M",$FI$4,$FH$4,,,,,TRUE,$FN$6,"3M",,$FI$4,FALSE) - _xll.qGetSwapRate($FN$6,FT$5,$FQ14,"3M",$FI$4,$FH$4,,,,,TRUE,$FN$7,"3M",,$FI$4,FALSE))*100</f>
        <v>21.594694619970856</v>
      </c>
      <c r="FU14" s="775">
        <f>(_xll.qGetSwapRate($FN$6,FU$5,$FQ14,"3M",$FI$4,$FH$4,,,,,TRUE,$FN$6,"3M",,$FI$4,FALSE) - _xll.qGetSwapRate($FN$6,FU$5,$FQ14,"3M",$FI$4,$FH$4,,,,,TRUE,$FN$7,"3M",,$FI$4,FALSE))*100</f>
        <v>21.893841920009738</v>
      </c>
      <c r="FV14" s="775">
        <f>(_xll.qGetSwapRate($FN$6,FV$5,$FQ14,"3M",$FI$4,$FH$4,,,,,TRUE,$FN$6,"3M",,$FI$4,FALSE) - _xll.qGetSwapRate($FN$6,FV$5,$FQ14,"3M",$FI$4,$FH$4,,,,,TRUE,$FN$7,"3M",,$FI$4,FALSE))*100</f>
        <v>22.463552052973856</v>
      </c>
      <c r="FW14" s="775">
        <f>(_xll.qGetSwapRate($FN$6,FW$5,$FQ14,"3M",$FI$4,$FH$4,,,,,TRUE,$FN$6,"3M",,$FI$4,FALSE) - _xll.qGetSwapRate($FN$6,FW$5,$FQ14,"3M",$FI$4,$FH$4,,,,,TRUE,$FN$7,"3M",,$FI$4,FALSE))*100</f>
        <v>23.194150888268705</v>
      </c>
      <c r="FX14" s="775">
        <f>(_xll.qGetSwapRate($FN$6,FX$5,$FQ14,"3M",$FI$4,$FH$4,,,,,TRUE,$FN$6,"3M",,$FI$4,FALSE) - _xll.qGetSwapRate($FN$6,FX$5,$FQ14,"3M",$FI$4,$FH$4,,,,,TRUE,$FN$7,"3M",,$FI$4,FALSE))*100</f>
        <v>24.644322377749539</v>
      </c>
      <c r="FY14" s="775">
        <f>(_xll.qGetSwapRate($FN$6,FY$5,$FQ14,"3M",$FI$4,$FH$4,,,,,TRUE,$FN$6,"3M",,$FI$4,FALSE) - _xll.qGetSwapRate($FN$6,FY$5,$FQ14,"3M",$FI$4,$FH$4,,,,,TRUE,$FN$7,"3M",,$FI$4,FALSE))*100</f>
        <v>24.794267079305854</v>
      </c>
      <c r="FZ14" s="775">
        <f>(_xll.qGetSwapRate($FN$6,FZ$5,$FQ14,"3M",$FI$4,$FH$4,,,,,TRUE,$FN$6,"3M",,$FI$4,FALSE) - _xll.qGetSwapRate($FN$6,FZ$5,$FQ14,"3M",$FI$4,$FH$4,,,,,TRUE,$FN$7,"3M",,$FI$4,FALSE))*100</f>
        <v>23.65632445779644</v>
      </c>
      <c r="GA14" s="775">
        <f>(_xll.qGetSwapRate($FN$6,GA$5,$FQ14,"3M",$FI$4,$FH$4,,,,,TRUE,$FN$6,"3M",,$FI$4,FALSE) - _xll.qGetSwapRate($FN$6,GA$5,$FQ14,"3M",$FI$4,$FH$4,,,,,TRUE,$FN$7,"3M",,$FI$4,FALSE))*100</f>
        <v>21.574970309454233</v>
      </c>
      <c r="GB14" s="775">
        <f>(_xll.qGetSwapRate($FN$6,GB$5,$FQ14,"3M",$FI$4,$FH$4,,,,,TRUE,$FN$6,"3M",,$FI$4,FALSE) - _xll.qGetSwapRate($FN$6,GB$5,$FQ14,"3M",$FI$4,$FH$4,,,,,TRUE,$FN$7,"3M",,$FI$4,FALSE))*100</f>
        <v>18.435139921657484</v>
      </c>
      <c r="GC14" s="775">
        <f>(_xll.qGetSwapRate($FN$6,GC$5,$FQ14,"3M",$FI$4,$FH$4,,,,,TRUE,$FN$6,"3M",,$FI$4,FALSE) - _xll.qGetSwapRate($FN$6,GC$5,$FQ14,"3M",$FI$4,$FH$4,,,,,TRUE,$FN$7,"3M",,$FI$4,FALSE))*100</f>
        <v>14.478855846935357</v>
      </c>
      <c r="GD14" s="775">
        <f>(_xll.qGetSwapRate($FN$6,GD$5,$FQ14,"3M",$FI$4,$FH$4,,,,,TRUE,$FN$6,"3M",,$FI$4,FALSE) - _xll.qGetSwapRate($FN$6,GD$5,$FQ14,"3M",$FI$4,$FH$4,,,,,TRUE,$FN$7,"3M",,$FI$4,FALSE))*100</f>
        <v>8.6611067780602013</v>
      </c>
      <c r="GE14" s="775">
        <f>(_xll.qGetSwapRate($FN$6,GE$5,$FQ14,"3M",$FI$4,$FH$4,,,,,TRUE,$FN$6,"3M",,$FI$4,FALSE) - _xll.qGetSwapRate($FN$6,GE$5,$FQ14,"3M",$FI$4,$FH$4,,,,,TRUE,$FN$7,"3M",,$FI$4,FALSE))*100</f>
        <v>3.0072713326169342</v>
      </c>
      <c r="GF14" s="775">
        <f>(_xll.qGetSwapRate($FN$6,GF$5,$FQ14,"3M",$FI$4,$FH$4,,,,,TRUE,$FN$6,"3M",,$FI$4,FALSE) - _xll.qGetSwapRate($FN$6,GF$5,$FQ14,"3M",$FI$4,$FH$4,,,,,TRUE,$FN$7,"3M",,$FI$4,FALSE))*100</f>
        <v>-3.6225006144776195</v>
      </c>
      <c r="GG14" s="775">
        <f>(_xll.qGetSwapRate($FN$6,GG$5,$FQ14,"3M",$FI$4,$FH$4,,,,,TRUE,$FN$6,"3M",,$FI$4,FALSE) - _xll.qGetSwapRate($FN$6,GG$5,$FQ14,"3M",$FI$4,$FH$4,,,,,TRUE,$FN$7,"3M",,$FI$4,FALSE))*100</f>
        <v>-11.230753641113456</v>
      </c>
    </row>
    <row r="15" spans="5:189">
      <c r="AE15" s="130" t="s">
        <v>12</v>
      </c>
      <c r="AF15" s="446" t="str">
        <v>S/S</v>
      </c>
      <c r="AG15" s="447" t="str">
        <v>Act/365</v>
      </c>
      <c r="AH15" s="447"/>
      <c r="AI15" s="712">
        <f>_xll.qGetSwapRate($O$7,AI$7,$AE15,$R25,$AG15,$F$7,,,,,TRUE,$AB25,$Z25,,$H$14)</f>
        <v>5.7579851708823249</v>
      </c>
      <c r="AJ15" s="712">
        <f>_xll.qGetSwapRate($O$7,AJ$7,$AE15,$R25,$AG15,$F$7,,,,,TRUE,$AB25,$Z25,,$H$14)</f>
        <v>5.7716276728891334</v>
      </c>
      <c r="AK15" s="712">
        <f>_xll.qGetSwapRate($O$7,AK$7,$AE15,$R25,$AG15,$F$7,,,,,TRUE,$AB25,$Z25,,$H$14)</f>
        <v>5.7836896333437968</v>
      </c>
      <c r="AL15" s="712">
        <f>_xll.qGetSwapRate($O$7,AL$7,$AE15,$R25,$AG15,$F$7,,,,,TRUE,$AB25,$Z25,,$H$14)</f>
        <v>5.796343694996926</v>
      </c>
      <c r="AM15" s="712">
        <f>_xll.qGetSwapRate($O$7,AM$7,$AE15,$R25,$AG15,$F$7,,,,,TRUE,$AB25,$Z25,,$H$14)</f>
        <v>5.8411875491349932</v>
      </c>
      <c r="AN15" s="712">
        <f>_xll.qGetSwapRate($O$7,AN$7,$AE15,$R25,$AG15,$F$7,,,,,TRUE,$AB25,$Z25,,$H$14)</f>
        <v>5.9243891717565536</v>
      </c>
      <c r="AO15" s="712">
        <f>_xll.qGetSwapRate($O$7,AO$7,$AE15,$R25,$AG15,$F$7,,,,,TRUE,$AB25,$Z25,,$H$14)</f>
        <v>6.0718473832520274</v>
      </c>
      <c r="AP15" s="712">
        <f>_xll.qGetSwapRate($O$7,AP$7,$AE15,$R25,$AG15,$F$7,,,,,TRUE,$AB25,$Z25,,$H$14)</f>
        <v>6.1862083675938822</v>
      </c>
      <c r="AQ15" s="712">
        <f>_xll.qGetSwapRate($O$7,AQ$7,$AE15,$R25,$AG15,$F$7,,,,,TRUE,$AB25,$Z25,,$H$14)</f>
        <v>6.2721272115006226</v>
      </c>
      <c r="AR15" s="712">
        <f>_xll.qGetSwapRate($O$7,AR$7,$AE15,$R25,$AG15,$F$7,,,,,TRUE,$AB25,$Z25,,$H$14)</f>
        <v>6.3115775376628029</v>
      </c>
      <c r="AS15" s="712">
        <f>_xll.qGetSwapRate($O$7,AS$7,$AE15,$R25,$AG15,$F$7,,,,,TRUE,$AB25,$Z25,,$H$14)</f>
        <v>6.3451665106638018</v>
      </c>
      <c r="AT15" s="712">
        <f>_xll.qGetSwapRate($O$7,AT$7,$AE15,$R25,$AG15,$F$7,,,,,TRUE,$AB25,$Z25,,$H$14)</f>
        <v>6.1761621434727401</v>
      </c>
      <c r="AU15" s="352"/>
      <c r="AV15" s="712">
        <f>_xll.qGetSwapRate($O$7,AV$7,$AE15,$R25,$AG15,$F$7,,,,,TRUE,$AB25,$Z25,,$H$14)</f>
        <v>6.0013057508270204</v>
      </c>
      <c r="AW15" s="712">
        <f>_xll.qGetSwapRate($O$7,AW$7,$AE15,$R25,$AG15,$F$7,,,,,TRUE,$AB25,$Z25,,$H$14)</f>
        <v>6.282106259731707</v>
      </c>
      <c r="BG15" s="526">
        <f t="array" ref="BG15:BG514">_xll.qArrayPad(_xll.qDateSchedule(Today,"2b","50Y",$BM$11,"M",TRUE,BM34),0)</f>
        <v>40731</v>
      </c>
      <c r="BH15" s="150" t="str">
        <f t="shared" ref="BH15:BH78" si="4">IF(BG15,ROUND((BG15-$BG$15)/365/0.25,0)*0.25&amp;"Y","")</f>
        <v>0Y</v>
      </c>
      <c r="BI15" s="386">
        <f t="array" ref="BI15:BI514">_xll.qGetDF(INDIRECT(BM9&amp;".ZB.DISC"),BG15:BG514)</f>
        <v>0.99999302781423649</v>
      </c>
      <c r="BK15" s="268">
        <v>0</v>
      </c>
      <c r="BM15" s="472" t="s">
        <v>341</v>
      </c>
      <c r="BN15" s="462"/>
      <c r="BO15" s="468"/>
      <c r="BQ15" s="526">
        <f t="array" ref="BQ15:BQ514">IF(BR$9,_xll.qArrayPad(_xll.qDateSchedule(Today,"2b","50Y",BW11,"M",TRUE,$BM$34),0),0)</f>
        <v>40731</v>
      </c>
      <c r="BR15" s="151" t="str">
        <f t="shared" ref="BR15:BR78" si="5">IF(BQ15,ROUND((BQ15-$BG$15)/365/0.25,0)*0.25&amp;"Y","")</f>
        <v>0Y</v>
      </c>
      <c r="BS15" s="386">
        <f t="array" ref="BS15:BS514">IF(BR$9,_xll.qGetDF(INDIRECT(BR10),BQ15:BQ514),0)</f>
        <v>0.99974080230705908</v>
      </c>
      <c r="BW15" s="472" t="s">
        <v>341</v>
      </c>
      <c r="BX15" s="456"/>
      <c r="BY15" s="471" t="s">
        <v>348</v>
      </c>
      <c r="CA15" s="475"/>
      <c r="CC15" s="526">
        <f t="array" ref="CC15:CC514">IF(CD$9,_xll.qArrayPad(_xll.qDateSchedule(Today,"2b","50Y",CI11,"M",TRUE,$BM$34),0),0)</f>
        <v>40731</v>
      </c>
      <c r="CD15" s="151" t="str">
        <f t="shared" ref="CD15:CD78" si="6">IF(CC15,ROUND((CC15-$BG$15)/365/0.25,0)*0.25&amp;"Y","")</f>
        <v>0Y</v>
      </c>
      <c r="CE15" s="386">
        <f t="array" ref="CE15:CE514">IF(CD$9,_xll.qGetDF(INDIRECT(CD10),CC15:CC514),0)</f>
        <v>0.99995985000322007</v>
      </c>
      <c r="CI15" s="472" t="s">
        <v>341</v>
      </c>
      <c r="CJ15" s="456"/>
      <c r="CK15" s="471" t="s">
        <v>348</v>
      </c>
      <c r="CM15" s="136"/>
      <c r="CO15" s="526">
        <f t="array" ref="CO15:CO514">IF(CP$9,_xll.qArrayPad(_xll.qDateSchedule(Today,"2b","50Y",CU11,"M",TRUE,$BM$34),0),0)</f>
        <v>40731</v>
      </c>
      <c r="CP15" s="151" t="str">
        <f t="shared" ref="CP15:CP78" si="7">IF(CO15,ROUND((CO15-$BG$15)/365/0.25,0)*0.25&amp;"Y","")</f>
        <v>0Y</v>
      </c>
      <c r="CQ15" s="386">
        <f t="array" ref="CQ15:CQ514">IF(CP$9,_xll.qGetDF(INDIRECT(CP10),CO15:CO514),0)</f>
        <v>0.99996881932921078</v>
      </c>
      <c r="CU15" s="472" t="s">
        <v>341</v>
      </c>
      <c r="CV15" s="456"/>
      <c r="CW15" s="471" t="s">
        <v>348</v>
      </c>
      <c r="CX15" s="471"/>
      <c r="CY15" s="136"/>
      <c r="DA15" s="526">
        <f t="array" ref="DA15:DA514">IF(DB$9,_xll.qArrayPad(_xll.qDateSchedule(Today,"2b","50Y",DG11,"M",TRUE,$BM$34),0),0)</f>
        <v>40731</v>
      </c>
      <c r="DB15" s="151" t="str">
        <f t="shared" ref="DB15:DB78" si="8">IF(DA15,ROUND((DA15-$BG$15)/365/0.25,0)*0.25&amp;"Y","")</f>
        <v>0Y</v>
      </c>
      <c r="DC15" s="386">
        <f t="array" ref="DC15:DC514">IF(DB$9,_xll.qGetDF(INDIRECT(DB10),DA15:DA514),0)</f>
        <v>0.99986414290473014</v>
      </c>
      <c r="DG15" s="472" t="s">
        <v>341</v>
      </c>
      <c r="DH15" s="456"/>
      <c r="DI15" s="471" t="s">
        <v>348</v>
      </c>
      <c r="DJ15" s="471"/>
      <c r="DK15" s="136"/>
      <c r="DM15" s="526">
        <f t="array" ref="DM15:DM514">IF(DN$9,_xll.qArrayPad(_xll.qDateSchedule(Today,"2b","50Y",DS11,"M",TRUE,$BM$34),0),0)</f>
        <v>40731</v>
      </c>
      <c r="DN15" s="151" t="str">
        <f t="shared" ref="DN15:DN78" si="9">IF(DM15,ROUND((DM15-$BG$15)/365/0.25,0)*0.25&amp;"Y","")</f>
        <v>0Y</v>
      </c>
      <c r="DO15" s="386">
        <f t="array" ref="DO15:DO514">IF(DN$9,_xll.qGetDF(INDIRECT(DN10),DM15:DM514),0)</f>
        <v>0.99999302781423649</v>
      </c>
      <c r="DS15" s="472" t="s">
        <v>341</v>
      </c>
      <c r="DT15" s="456"/>
      <c r="DU15" s="471" t="s">
        <v>348</v>
      </c>
      <c r="ED15" s="539" t="s">
        <v>642</v>
      </c>
      <c r="EE15" s="207"/>
      <c r="EF15" s="734">
        <f>_xll.qDateNext(EF14,ED15,"F",FALSE,$ED$11)</f>
        <v>40738</v>
      </c>
      <c r="EG15" s="735"/>
      <c r="EH15" s="491">
        <v>1.0715079999999999</v>
      </c>
      <c r="EI15" s="491">
        <v>1.0715024895108656</v>
      </c>
      <c r="EJ15" s="730"/>
      <c r="EK15" s="491">
        <v>1</v>
      </c>
      <c r="EL15" s="491">
        <v>1</v>
      </c>
      <c r="EM15" s="207"/>
      <c r="EN15" s="207"/>
      <c r="EO15" s="736">
        <f t="shared" ref="EO15:EO30" si="10">IF(ES15=0,0,   10000*(ES15-ES$14))</f>
        <v>-9.4199999999999839</v>
      </c>
      <c r="EP15" s="736">
        <f t="shared" ref="EP15:EP30" si="11">IF(ET15=0,0,   10000*(ET15-ET$14))</f>
        <v>-9.4751048913432889</v>
      </c>
      <c r="EQ15" s="736">
        <f>EP15-EO15</f>
        <v>-5.5104891343304985E-2</v>
      </c>
      <c r="ER15" s="207"/>
      <c r="ES15" s="731">
        <f t="shared" si="2"/>
        <v>1.0715079999999999</v>
      </c>
      <c r="ET15" s="731">
        <f t="shared" si="3"/>
        <v>1.0715024895108656</v>
      </c>
      <c r="FQ15" s="130" t="s">
        <v>14</v>
      </c>
      <c r="FR15" s="456" t="s">
        <v>770</v>
      </c>
      <c r="FS15" s="775">
        <f>(_xll.qGetSwapRate($FN$6,FS$5,$FQ15,"3M",$FI$4,$FH$4,,,,,TRUE,$FN$6,"3M",,$FI$4,FALSE) - _xll.qGetSwapRate($FN$6,FS$5,$FQ15,"3M",$FI$4,$FH$4,,,,,TRUE,$FN$7,"3M",,$FI$4,FALSE))*100</f>
        <v>21.916659442492925</v>
      </c>
      <c r="FT15" s="775">
        <f>(_xll.qGetSwapRate($FN$6,FT$5,$FQ15,"3M",$FI$4,$FH$4,,,,,TRUE,$FN$6,"3M",,$FI$4,FALSE) - _xll.qGetSwapRate($FN$6,FT$5,$FQ15,"3M",$FI$4,$FH$4,,,,,TRUE,$FN$7,"3M",,$FI$4,FALSE))*100</f>
        <v>22.076232358962589</v>
      </c>
      <c r="FU15" s="775">
        <f>(_xll.qGetSwapRate($FN$6,FU$5,$FQ15,"3M",$FI$4,$FH$4,,,,,TRUE,$FN$6,"3M",,$FI$4,FALSE) - _xll.qGetSwapRate($FN$6,FU$5,$FQ15,"3M",$FI$4,$FH$4,,,,,TRUE,$FN$7,"3M",,$FI$4,FALSE))*100</f>
        <v>22.202493369675125</v>
      </c>
      <c r="FV15" s="775">
        <f>(_xll.qGetSwapRate($FN$6,FV$5,$FQ15,"3M",$FI$4,$FH$4,,,,,TRUE,$FN$6,"3M",,$FI$4,FALSE) - _xll.qGetSwapRate($FN$6,FV$5,$FQ15,"3M",$FI$4,$FH$4,,,,,TRUE,$FN$7,"3M",,$FI$4,FALSE))*100</f>
        <v>22.592874314303657</v>
      </c>
      <c r="FW15" s="775">
        <f>(_xll.qGetSwapRate($FN$6,FW$5,$FQ15,"3M",$FI$4,$FH$4,,,,,TRUE,$FN$6,"3M",,$FI$4,FALSE) - _xll.qGetSwapRate($FN$6,FW$5,$FQ15,"3M",$FI$4,$FH$4,,,,,TRUE,$FN$7,"3M",,$FI$4,FALSE))*100</f>
        <v>22.81417779315662</v>
      </c>
      <c r="FX15" s="775">
        <f>(_xll.qGetSwapRate($FN$6,FX$5,$FQ15,"3M",$FI$4,$FH$4,,,,,TRUE,$FN$6,"3M",,$FI$4,FALSE) - _xll.qGetSwapRate($FN$6,FX$5,$FQ15,"3M",$FI$4,$FH$4,,,,,TRUE,$FN$7,"3M",,$FI$4,FALSE))*100</f>
        <v>23.171930693035225</v>
      </c>
      <c r="FY15" s="775">
        <f>(_xll.qGetSwapRate($FN$6,FY$5,$FQ15,"3M",$FI$4,$FH$4,,,,,TRUE,$FN$6,"3M",,$FI$4,FALSE) - _xll.qGetSwapRate($FN$6,FY$5,$FQ15,"3M",$FI$4,$FH$4,,,,,TRUE,$FN$7,"3M",,$FI$4,FALSE))*100</f>
        <v>23.053074192213785</v>
      </c>
      <c r="FZ15" s="775">
        <f>(_xll.qGetSwapRate($FN$6,FZ$5,$FQ15,"3M",$FI$4,$FH$4,,,,,TRUE,$FN$6,"3M",,$FI$4,FALSE) - _xll.qGetSwapRate($FN$6,FZ$5,$FQ15,"3M",$FI$4,$FH$4,,,,,TRUE,$FN$7,"3M",,$FI$4,FALSE))*100</f>
        <v>21.743220095216298</v>
      </c>
      <c r="GA15" s="775">
        <f>(_xll.qGetSwapRate($FN$6,GA$5,$FQ15,"3M",$FI$4,$FH$4,,,,,TRUE,$FN$6,"3M",,$FI$4,FALSE) - _xll.qGetSwapRate($FN$6,GA$5,$FQ15,"3M",$FI$4,$FH$4,,,,,TRUE,$FN$7,"3M",,$FI$4,FALSE))*100</f>
        <v>19.558421152321337</v>
      </c>
      <c r="GB15" s="775">
        <f>(_xll.qGetSwapRate($FN$6,GB$5,$FQ15,"3M",$FI$4,$FH$4,,,,,TRUE,$FN$6,"3M",,$FI$4,FALSE) - _xll.qGetSwapRate($FN$6,GB$5,$FQ15,"3M",$FI$4,$FH$4,,,,,TRUE,$FN$7,"3M",,$FI$4,FALSE))*100</f>
        <v>16.413738339754413</v>
      </c>
      <c r="GC15" s="775">
        <f>(_xll.qGetSwapRate($FN$6,GC$5,$FQ15,"3M",$FI$4,$FH$4,,,,,TRUE,$FN$6,"3M",,$FI$4,FALSE) - _xll.qGetSwapRate($FN$6,GC$5,$FQ15,"3M",$FI$4,$FH$4,,,,,TRUE,$FN$7,"3M",,$FI$4,FALSE))*100</f>
        <v>11.892176140128186</v>
      </c>
      <c r="GD15" s="775">
        <f>(_xll.qGetSwapRate($FN$6,GD$5,$FQ15,"3M",$FI$4,$FH$4,,,,,TRUE,$FN$6,"3M",,$FI$4,FALSE) - _xll.qGetSwapRate($FN$6,GD$5,$FQ15,"3M",$FI$4,$FH$4,,,,,TRUE,$FN$7,"3M",,$FI$4,FALSE))*100</f>
        <v>6.1449685363801798</v>
      </c>
      <c r="GE15" s="775">
        <f>(_xll.qGetSwapRate($FN$6,GE$5,$FQ15,"3M",$FI$4,$FH$4,,,,,TRUE,$FN$6,"3M",,$FI$4,FALSE) - _xll.qGetSwapRate($FN$6,GE$5,$FQ15,"3M",$FI$4,$FH$4,,,,,TRUE,$FN$7,"3M",,$FI$4,FALSE))*100</f>
        <v>0.57303265317649732</v>
      </c>
      <c r="GF15" s="775">
        <f>(_xll.qGetSwapRate($FN$6,GF$5,$FQ15,"3M",$FI$4,$FH$4,,,,,TRUE,$FN$6,"3M",,$FI$4,FALSE) - _xll.qGetSwapRate($FN$6,GF$5,$FQ15,"3M",$FI$4,$FH$4,,,,,TRUE,$FN$7,"3M",,$FI$4,FALSE))*100</f>
        <v>-5.9069759705152158</v>
      </c>
      <c r="GG15" s="775">
        <f>(_xll.qGetSwapRate($FN$6,GG$5,$FQ15,"3M",$FI$4,$FH$4,,,,,TRUE,$FN$6,"3M",,$FI$4,FALSE) - _xll.qGetSwapRate($FN$6,GG$5,$FQ15,"3M",$FI$4,$FH$4,,,,,TRUE,$FN$7,"3M",,$FI$4,FALSE))*100</f>
        <v>-13.295718106097887</v>
      </c>
    </row>
    <row r="16" spans="5:189">
      <c r="L16" s="149" t="s">
        <v>327</v>
      </c>
      <c r="T16" s="149" t="s">
        <v>328</v>
      </c>
      <c r="AE16" s="130" t="s">
        <v>13</v>
      </c>
      <c r="AF16" s="446" t="str">
        <v>S/S</v>
      </c>
      <c r="AG16" s="447" t="str">
        <v>Act/365</v>
      </c>
      <c r="AH16" s="447"/>
      <c r="AI16" s="448">
        <f>_xll.qGetSwapRate($O$7,AI$7,$AE16,$R26,$AG16,$F$7,,,,,TRUE,$AB26,$Z26,,$H$14)</f>
        <v>5.8029769178864061</v>
      </c>
      <c r="AJ16" s="448">
        <f>_xll.qGetSwapRate($O$7,AJ$7,$AE16,$R26,$AG16,$F$7,,,,,TRUE,$AB26,$Z26,,$H$14)</f>
        <v>5.8159532382760437</v>
      </c>
      <c r="AK16" s="448">
        <f>_xll.qGetSwapRate($O$7,AK$7,$AE16,$R26,$AG16,$F$7,,,,,TRUE,$AB26,$Z26,,$H$14)</f>
        <v>5.8277493351807159</v>
      </c>
      <c r="AL16" s="448">
        <f>_xll.qGetSwapRate($O$7,AL$7,$AE16,$R26,$AG16,$F$7,,,,,TRUE,$AB26,$Z26,,$H$14)</f>
        <v>5.8391436901053613</v>
      </c>
      <c r="AM16" s="448">
        <f>_xll.qGetSwapRate($O$7,AM$7,$AE16,$R26,$AG16,$F$7,,,,,TRUE,$AB26,$Z26,,$H$14)</f>
        <v>5.8813391344406938</v>
      </c>
      <c r="AN16" s="448">
        <f>_xll.qGetSwapRate($O$7,AN$7,$AE16,$R26,$AG16,$F$7,,,,,TRUE,$AB26,$Z26,,$H$14)</f>
        <v>5.9591738298375807</v>
      </c>
      <c r="AO16" s="448">
        <f>_xll.qGetSwapRate($O$7,AO$7,$AE16,$R26,$AG16,$F$7,,,,,TRUE,$AB26,$Z26,,$H$14)</f>
        <v>6.0974021467365391</v>
      </c>
      <c r="AP16" s="448">
        <f>_xll.qGetSwapRate($O$7,AP$7,$AE16,$R26,$AG16,$F$7,,,,,TRUE,$AB26,$Z26,,$H$14)</f>
        <v>6.2090113440530823</v>
      </c>
      <c r="AQ16" s="448">
        <f>_xll.qGetSwapRate($O$7,AQ$7,$AE16,$R26,$AG16,$F$7,,,,,TRUE,$AB26,$Z26,,$H$14)</f>
        <v>6.2765293878019905</v>
      </c>
      <c r="AR16" s="448">
        <f>_xll.qGetSwapRate($O$7,AR$7,$AE16,$R26,$AG16,$F$7,,,,,TRUE,$AB26,$Z26,,$H$14)</f>
        <v>6.3169038189636542</v>
      </c>
      <c r="AS16" s="448">
        <f>_xll.qGetSwapRate($O$7,AS$7,$AE16,$R26,$AG16,$F$7,,,,,TRUE,$AB26,$Z26,,$H$14)</f>
        <v>6.2953826970732445</v>
      </c>
      <c r="AT16" s="448">
        <f>_xll.qGetSwapRate($O$7,AT$7,$AE16,$R26,$AG16,$F$7,,,,,TRUE,$AB26,$Z26,,$H$14)</f>
        <v>6.1301420932625463</v>
      </c>
      <c r="AV16" s="448">
        <f>_xll.qGetSwapRate($O$7,AV$7,$AE16,$R26,$AG16,$F$7,,,,,TRUE,$AB26,$Z26,,$H$14)</f>
        <v>6.0314218265147366</v>
      </c>
      <c r="AW16" s="448">
        <f>_xll.qGetSwapRate($O$7,AW$7,$AE16,$R26,$AG16,$F$7,,,,,TRUE,$AB26,$Z26,,$H$14)</f>
        <v>6.2864298128920622</v>
      </c>
      <c r="BE16" s="147" t="s">
        <v>25</v>
      </c>
      <c r="BF16" s="207"/>
      <c r="BG16" s="539">
        <v>40823</v>
      </c>
      <c r="BH16" s="147" t="str">
        <f t="shared" si="4"/>
        <v>0.25Y</v>
      </c>
      <c r="BI16" s="491">
        <v>0.99936539858377593</v>
      </c>
      <c r="BJ16" s="492">
        <f>IF(BG16,_xll.qDateYears(BG15,BG16,$BJ$13),0)</f>
        <v>0.25555555555555554</v>
      </c>
      <c r="BK16" s="492">
        <f>BK15+BJ16*BI16*100</f>
        <v>25.539337963807608</v>
      </c>
      <c r="BL16" s="492"/>
      <c r="BM16" s="493">
        <f t="shared" ref="BM16:BM32" si="12">INDEX($BK$15:$BK$514,MATCH($BE16,$BH$15:$BH$514,0))</f>
        <v>101.99409115066494</v>
      </c>
      <c r="BN16" s="465"/>
      <c r="BO16" s="494"/>
      <c r="BP16" s="492"/>
      <c r="BQ16" s="539">
        <v>40823</v>
      </c>
      <c r="BR16" s="464" t="str">
        <f t="shared" si="5"/>
        <v>0.25Y</v>
      </c>
      <c r="BS16" s="491">
        <v>0.98759481095735013</v>
      </c>
      <c r="BT16" s="492">
        <f>IF(BQ16,_xll.qDateYears(BQ15,BQ16,BT$13),0)</f>
        <v>0.25205479452054796</v>
      </c>
      <c r="BU16" s="492">
        <f>BU15+BT16*BS16*100</f>
        <v>24.89280071454143</v>
      </c>
      <c r="BV16" s="464"/>
      <c r="BW16" s="493">
        <f t="shared" ref="BW16:BW32" si="13">INDEX(BU$15:BU$514,MATCH($BE16,BR$15:BR$514,0))</f>
        <v>97.743258880116002</v>
      </c>
      <c r="BX16" s="495" t="s">
        <v>347</v>
      </c>
      <c r="BY16" s="491">
        <f t="shared" ref="BY16:BY32" si="14">IF(BW16,$BM16/BW16,0)</f>
        <v>1.0434897743256408</v>
      </c>
      <c r="BZ16" s="464"/>
      <c r="CA16" s="496"/>
      <c r="CB16" s="492"/>
      <c r="CC16" s="539">
        <v>40823</v>
      </c>
      <c r="CD16" s="464" t="str">
        <f t="shared" si="6"/>
        <v>0.25Y</v>
      </c>
      <c r="CE16" s="491">
        <v>0.99672485414653744</v>
      </c>
      <c r="CF16" s="492">
        <f>IF(CC16,_xll.qDateYears(CC15,CC16,CF$13),0)</f>
        <v>0.25555555555555554</v>
      </c>
      <c r="CG16" s="492">
        <f>CG15+CF16*CE16*100</f>
        <v>25.471857383744844</v>
      </c>
      <c r="CH16" s="464"/>
      <c r="CI16" s="493">
        <f t="shared" ref="CI16:CI32" si="15">INDEX(CG$15:CG$514,MATCH($BE16,CD$15:CD$514,0))</f>
        <v>101.25597964971571</v>
      </c>
      <c r="CJ16" s="495" t="s">
        <v>347</v>
      </c>
      <c r="CK16" s="491">
        <f t="shared" ref="CK16:CK32" si="16">IF(CI16,$BM16/CI16,0)</f>
        <v>1.0072895596240603</v>
      </c>
      <c r="CL16" s="207"/>
      <c r="CM16" s="497"/>
      <c r="CN16" s="492"/>
      <c r="CO16" s="539">
        <v>40823</v>
      </c>
      <c r="CP16" s="464" t="str">
        <f t="shared" si="7"/>
        <v>0.25Y</v>
      </c>
      <c r="CQ16" s="491">
        <v>0.99821625499612987</v>
      </c>
      <c r="CR16" s="492">
        <f>IF(CO16,_xll.qDateYears(CO15,CO16,CR$13),0)</f>
        <v>0.25205479452054796</v>
      </c>
      <c r="CS16" s="492">
        <f>CS15+CR16*CQ16*100</f>
        <v>25.160519304012041</v>
      </c>
      <c r="CT16" s="464"/>
      <c r="CU16" s="493">
        <f t="shared" ref="CU16:CU32" si="17">INDEX(CS$15:CS$514,MATCH($BE16,CP$15:CP$514,0))</f>
        <v>100.30341077867865</v>
      </c>
      <c r="CV16" s="495" t="s">
        <v>347</v>
      </c>
      <c r="CW16" s="491">
        <f t="shared" ref="CW16:CW32" si="18">IF(CU16,$BM16/CU16,0)</f>
        <v>1.0168556618250679</v>
      </c>
      <c r="CX16" s="491"/>
      <c r="CY16" s="497"/>
      <c r="CZ16" s="492"/>
      <c r="DA16" s="539">
        <v>40823</v>
      </c>
      <c r="DB16" s="464" t="str">
        <f t="shared" si="8"/>
        <v>0.25Y</v>
      </c>
      <c r="DC16" s="491">
        <v>0.99304173666136319</v>
      </c>
      <c r="DD16" s="492">
        <f>IF(DA16,_xll.qDateYears(DA15,DA16,DD$13),0)</f>
        <v>0.25205479452054796</v>
      </c>
      <c r="DE16" s="492">
        <f>DE15+DD16*DC16*100</f>
        <v>25.030093088450801</v>
      </c>
      <c r="DF16" s="464"/>
      <c r="DG16" s="493">
        <f t="shared" ref="DG16:DG32" si="19">INDEX(DE$15:DE$514,MATCH($BE16,DB$15:DB$514,0))</f>
        <v>98.975107271340363</v>
      </c>
      <c r="DH16" s="495" t="s">
        <v>347</v>
      </c>
      <c r="DI16" s="491">
        <f t="shared" ref="DI16:DI32" si="20">IF(DG16,$BM16/DG16,0)</f>
        <v>1.0305024562494085</v>
      </c>
      <c r="DJ16" s="491"/>
      <c r="DK16" s="497"/>
      <c r="DL16" s="492"/>
      <c r="DM16" s="539">
        <v>40823</v>
      </c>
      <c r="DN16" s="464" t="str">
        <f t="shared" si="9"/>
        <v>0.25Y</v>
      </c>
      <c r="DO16" s="491">
        <v>0.99936539858377593</v>
      </c>
      <c r="DP16" s="492">
        <f>IF(DM16,_xll.qDateYears(DM15,DM16,DP$13),0)</f>
        <v>0.25555555555555554</v>
      </c>
      <c r="DQ16" s="492">
        <f>DQ15+DP16*DO16*100</f>
        <v>25.539337963807608</v>
      </c>
      <c r="DR16" s="464"/>
      <c r="DS16" s="493">
        <f t="shared" ref="DS16:DS32" si="21">INDEX(DQ$15:DQ$514,MATCH($BE16,DN$15:DN$514,0))</f>
        <v>101.99409115066494</v>
      </c>
      <c r="DT16" s="495" t="s">
        <v>347</v>
      </c>
      <c r="DU16" s="491">
        <f t="shared" ref="DU16:DU32" si="22">IF(DS16,$BM16/DS16,0)</f>
        <v>1</v>
      </c>
      <c r="ED16" s="121" t="s">
        <v>643</v>
      </c>
      <c r="EF16" s="732">
        <f>_xll.qDateNext(EF15,ED16,"F",FALSE,$ED$11)</f>
        <v>40752</v>
      </c>
      <c r="EH16" s="386">
        <v>1.0696044999999998</v>
      </c>
      <c r="EI16" s="386">
        <v>1.0696050651927282</v>
      </c>
      <c r="EK16" s="386">
        <v>1</v>
      </c>
      <c r="EL16" s="386">
        <v>1</v>
      </c>
      <c r="EO16" s="460">
        <f t="shared" si="10"/>
        <v>-28.455000000000563</v>
      </c>
      <c r="EP16" s="460">
        <f t="shared" si="11"/>
        <v>-28.449348072716596</v>
      </c>
      <c r="EQ16" s="460">
        <f t="shared" ref="EQ16:EQ33" si="23">EP16-EO16</f>
        <v>5.6519272839672396E-3</v>
      </c>
      <c r="ES16" s="635">
        <f t="shared" si="2"/>
        <v>1.0696044999999998</v>
      </c>
      <c r="ET16" s="635">
        <f t="shared" si="3"/>
        <v>1.0696050651927282</v>
      </c>
      <c r="FQ16" s="130" t="s">
        <v>15</v>
      </c>
      <c r="FR16" s="456" t="s">
        <v>770</v>
      </c>
      <c r="FS16" s="775">
        <f>(_xll.qGetSwapRate($FN$6,FS$5,$FQ16,"3M",$FI$4,$FH$4,,,,,TRUE,$FN$6,"3M",,$FI$4,FALSE) - _xll.qGetSwapRate($FN$6,FS$5,$FQ16,"3M",$FI$4,$FH$4,,,,,TRUE,$FN$7,"3M",,$FI$4,FALSE))*100</f>
        <v>19.659845189582548</v>
      </c>
      <c r="FT16" s="775">
        <f>(_xll.qGetSwapRate($FN$6,FT$5,$FQ16,"3M",$FI$4,$FH$4,,,,,TRUE,$FN$6,"3M",,$FI$4,FALSE) - _xll.qGetSwapRate($FN$6,FT$5,$FQ16,"3M",$FI$4,$FH$4,,,,,TRUE,$FN$7,"3M",,$FI$4,FALSE))*100</f>
        <v>19.759744093605214</v>
      </c>
      <c r="FU16" s="775">
        <f>(_xll.qGetSwapRate($FN$6,FU$5,$FQ16,"3M",$FI$4,$FH$4,,,,,TRUE,$FN$6,"3M",,$FI$4,FALSE) - _xll.qGetSwapRate($FN$6,FU$5,$FQ16,"3M",$FI$4,$FH$4,,,,,TRUE,$FN$7,"3M",,$FI$4,FALSE))*100</f>
        <v>19.849625540846549</v>
      </c>
      <c r="FV16" s="775">
        <f>(_xll.qGetSwapRate($FN$6,FV$5,$FQ16,"3M",$FI$4,$FH$4,,,,,TRUE,$FN$6,"3M",,$FI$4,FALSE) - _xll.qGetSwapRate($FN$6,FV$5,$FQ16,"3M",$FI$4,$FH$4,,,,,TRUE,$FN$7,"3M",,$FI$4,FALSE))*100</f>
        <v>20.158348665818959</v>
      </c>
      <c r="FW16" s="775">
        <f>(_xll.qGetSwapRate($FN$6,FW$5,$FQ16,"3M",$FI$4,$FH$4,,,,,TRUE,$FN$6,"3M",,$FI$4,FALSE) - _xll.qGetSwapRate($FN$6,FW$5,$FQ16,"3M",$FI$4,$FH$4,,,,,TRUE,$FN$7,"3M",,$FI$4,FALSE))*100</f>
        <v>20.253771698423773</v>
      </c>
      <c r="FX16" s="775">
        <f>(_xll.qGetSwapRate($FN$6,FX$5,$FQ16,"3M",$FI$4,$FH$4,,,,,TRUE,$FN$6,"3M",,$FI$4,FALSE) - _xll.qGetSwapRate($FN$6,FX$5,$FQ16,"3M",$FI$4,$FH$4,,,,,TRUE,$FN$7,"3M",,$FI$4,FALSE))*100</f>
        <v>20.368108974257293</v>
      </c>
      <c r="FY16" s="775">
        <f>(_xll.qGetSwapRate($FN$6,FY$5,$FQ16,"3M",$FI$4,$FH$4,,,,,TRUE,$FN$6,"3M",,$FI$4,FALSE) - _xll.qGetSwapRate($FN$6,FY$5,$FQ16,"3M",$FI$4,$FH$4,,,,,TRUE,$FN$7,"3M",,$FI$4,FALSE))*100</f>
        <v>19.855604363667556</v>
      </c>
      <c r="FZ16" s="775">
        <f>(_xll.qGetSwapRate($FN$6,FZ$5,$FQ16,"3M",$FI$4,$FH$4,,,,,TRUE,$FN$6,"3M",,$FI$4,FALSE) - _xll.qGetSwapRate($FN$6,FZ$5,$FQ16,"3M",$FI$4,$FH$4,,,,,TRUE,$FN$7,"3M",,$FI$4,FALSE))*100</f>
        <v>18.304159388625507</v>
      </c>
      <c r="GA16" s="775">
        <f>(_xll.qGetSwapRate($FN$6,GA$5,$FQ16,"3M",$FI$4,$FH$4,,,,,TRUE,$FN$6,"3M",,$FI$4,FALSE) - _xll.qGetSwapRate($FN$6,GA$5,$FQ16,"3M",$FI$4,$FH$4,,,,,TRUE,$FN$7,"3M",,$FI$4,FALSE))*100</f>
        <v>15.518509193043606</v>
      </c>
      <c r="GB16" s="775">
        <f>(_xll.qGetSwapRate($FN$6,GB$5,$FQ16,"3M",$FI$4,$FH$4,,,,,TRUE,$FN$6,"3M",,$FI$4,FALSE) - _xll.qGetSwapRate($FN$6,GB$5,$FQ16,"3M",$FI$4,$FH$4,,,,,TRUE,$FN$7,"3M",,$FI$4,FALSE))*100</f>
        <v>11.752493952005416</v>
      </c>
      <c r="GC16" s="775">
        <f>(_xll.qGetSwapRate($FN$6,GC$5,$FQ16,"3M",$FI$4,$FH$4,,,,,TRUE,$FN$6,"3M",,$FI$4,FALSE) - _xll.qGetSwapRate($FN$6,GC$5,$FQ16,"3M",$FI$4,$FH$4,,,,,TRUE,$FN$7,"3M",,$FI$4,FALSE))*100</f>
        <v>7.2006112451155957</v>
      </c>
      <c r="GD16" s="775">
        <f>(_xll.qGetSwapRate($FN$6,GD$5,$FQ16,"3M",$FI$4,$FH$4,,,,,TRUE,$FN$6,"3M",,$FI$4,FALSE) - _xll.qGetSwapRate($FN$6,GD$5,$FQ16,"3M",$FI$4,$FH$4,,,,,TRUE,$FN$7,"3M",,$FI$4,FALSE))*100</f>
        <v>1.5858550104740132</v>
      </c>
      <c r="GE16" s="775">
        <f>(_xll.qGetSwapRate($FN$6,GE$5,$FQ16,"3M",$FI$4,$FH$4,,,,,TRUE,$FN$6,"3M",,$FI$4,FALSE) - _xll.qGetSwapRate($FN$6,GE$5,$FQ16,"3M",$FI$4,$FH$4,,,,,TRUE,$FN$7,"3M",,$FI$4,FALSE))*100</f>
        <v>-3.8896303928540377</v>
      </c>
      <c r="GF16" s="775">
        <f>(_xll.qGetSwapRate($FN$6,GF$5,$FQ16,"3M",$FI$4,$FH$4,,,,,TRUE,$FN$6,"3M",,$FI$4,FALSE) - _xll.qGetSwapRate($FN$6,GF$5,$FQ16,"3M",$FI$4,$FH$4,,,,,TRUE,$FN$7,"3M",,$FI$4,FALSE))*100</f>
        <v>-10.452129633029816</v>
      </c>
      <c r="GG16" s="775">
        <f>(_xll.qGetSwapRate($FN$6,GG$5,$FQ16,"3M",$FI$4,$FH$4,,,,,TRUE,$FN$6,"3M",,$FI$4,FALSE) - _xll.qGetSwapRate($FN$6,GG$5,$FQ16,"3M",$FI$4,$FH$4,,,,,TRUE,$FN$7,"3M",,$FI$4,FALSE))*100</f>
        <v>-17.859555778034508</v>
      </c>
    </row>
    <row r="17" spans="11:189">
      <c r="L17" s="443" t="s">
        <v>128</v>
      </c>
      <c r="M17" s="443" t="s">
        <v>242</v>
      </c>
      <c r="N17" s="443" t="s">
        <v>241</v>
      </c>
      <c r="O17" s="443" t="s">
        <v>239</v>
      </c>
      <c r="P17" s="443" t="s">
        <v>326</v>
      </c>
      <c r="Q17" s="443" t="s">
        <v>240</v>
      </c>
      <c r="T17" s="443" t="s">
        <v>128</v>
      </c>
      <c r="U17" s="443" t="s">
        <v>242</v>
      </c>
      <c r="V17" s="443" t="s">
        <v>241</v>
      </c>
      <c r="W17" s="443" t="s">
        <v>239</v>
      </c>
      <c r="X17" s="443" t="s">
        <v>326</v>
      </c>
      <c r="Y17" s="443" t="s">
        <v>240</v>
      </c>
      <c r="Z17" s="395"/>
      <c r="AA17" s="395"/>
      <c r="AB17" s="435" t="s">
        <v>679</v>
      </c>
      <c r="AE17" s="130" t="s">
        <v>14</v>
      </c>
      <c r="AF17" s="446" t="str">
        <v>S/S</v>
      </c>
      <c r="AG17" s="447" t="str">
        <v>Act/365</v>
      </c>
      <c r="AH17" s="447"/>
      <c r="AI17" s="712">
        <f>_xll.qGetSwapRate($O$7,AI$7,$AE17,$R27,$AG17,$F$7,,,,,TRUE,$AB27,$Z27,,$H$14)</f>
        <v>5.8425682079920298</v>
      </c>
      <c r="AJ17" s="712">
        <f>_xll.qGetSwapRate($O$7,AJ$7,$AE17,$R27,$AG17,$F$7,,,,,TRUE,$AB27,$Z27,,$H$14)</f>
        <v>5.8548314872013432</v>
      </c>
      <c r="AK17" s="712">
        <f>_xll.qGetSwapRate($O$7,AK$7,$AE17,$R27,$AG17,$F$7,,,,,TRUE,$AB27,$Z27,,$H$14)</f>
        <v>5.8658826230605952</v>
      </c>
      <c r="AL17" s="712">
        <f>_xll.qGetSwapRate($O$7,AL$7,$AE17,$R27,$AG17,$F$7,,,,,TRUE,$AB27,$Z27,,$H$14)</f>
        <v>5.8766802839532382</v>
      </c>
      <c r="AM17" s="712">
        <f>_xll.qGetSwapRate($O$7,AM$7,$AE17,$R27,$AG17,$F$7,,,,,TRUE,$AB27,$Z27,,$H$14)</f>
        <v>5.9165770321471536</v>
      </c>
      <c r="AN17" s="712">
        <f>_xll.qGetSwapRate($O$7,AN$7,$AE17,$R27,$AG17,$F$7,,,,,TRUE,$AB27,$Z27,,$H$14)</f>
        <v>5.9898886964168403</v>
      </c>
      <c r="AO17" s="712">
        <f>_xll.qGetSwapRate($O$7,AO$7,$AE17,$R27,$AG17,$F$7,,,,,TRUE,$AB27,$Z27,,$H$14)</f>
        <v>6.1238726129356236</v>
      </c>
      <c r="AP17" s="712">
        <f>_xll.qGetSwapRate($O$7,AP$7,$AE17,$R27,$AG17,$F$7,,,,,TRUE,$AB27,$Z27,,$H$14)</f>
        <v>6.2175555704962031</v>
      </c>
      <c r="AQ17" s="712">
        <f>_xll.qGetSwapRate($O$7,AQ$7,$AE17,$R27,$AG17,$F$7,,,,,TRUE,$AB27,$Z27,,$H$14)</f>
        <v>6.2837809726946592</v>
      </c>
      <c r="AR17" s="712">
        <f>_xll.qGetSwapRate($O$7,AR$7,$AE17,$R27,$AG17,$F$7,,,,,TRUE,$AB27,$Z27,,$H$14)</f>
        <v>6.3247591146861222</v>
      </c>
      <c r="AS17" s="712">
        <f>_xll.qGetSwapRate($O$7,AS$7,$AE17,$R27,$AG17,$F$7,,,,,TRUE,$AB27,$Z27,,$H$14)</f>
        <v>6.2525023631485697</v>
      </c>
      <c r="AT17" s="712">
        <f>_xll.qGetSwapRate($O$7,AT$7,$AE17,$R27,$AG17,$F$7,,,,,TRUE,$AB27,$Z27,,$H$14)</f>
        <v>6.0903084012475661</v>
      </c>
      <c r="AU17" s="352"/>
      <c r="AV17" s="712">
        <f>_xll.qGetSwapRate($O$7,AV$7,$AE17,$R27,$AG17,$F$7,,,,,TRUE,$AB27,$Z27,,$H$14)</f>
        <v>6.0598134198344091</v>
      </c>
      <c r="AW17" s="712">
        <f>_xll.qGetSwapRate($O$7,AW$7,$AE17,$R27,$AG17,$F$7,,,,,TRUE,$AB27,$Z27,,$H$14)</f>
        <v>6.2936580591597791</v>
      </c>
      <c r="BE17" s="120" t="s">
        <v>26</v>
      </c>
      <c r="BG17" s="526">
        <v>40917</v>
      </c>
      <c r="BH17" s="150" t="str">
        <f t="shared" si="4"/>
        <v>0.5Y</v>
      </c>
      <c r="BI17" s="386">
        <v>0.99842302102269698</v>
      </c>
      <c r="BJ17" s="268">
        <f>IF(BG17,_xll.qDateYears(BG16,BG17,$BJ$13),0)</f>
        <v>0.26111111111111113</v>
      </c>
      <c r="BK17" s="268">
        <f t="shared" ref="BK17:BK80" si="24">BK16+BJ17*BI17*100</f>
        <v>51.609272401622476</v>
      </c>
      <c r="BM17" s="473">
        <f t="shared" si="12"/>
        <v>202.1216660856912</v>
      </c>
      <c r="BN17" s="463"/>
      <c r="BO17" s="470"/>
      <c r="BQ17" s="526">
        <v>40917</v>
      </c>
      <c r="BR17" s="151" t="str">
        <f t="shared" si="5"/>
        <v>0.5Y</v>
      </c>
      <c r="BS17" s="386">
        <v>0.97526242797210816</v>
      </c>
      <c r="BT17" s="268">
        <f>IF(BQ17,_xll.qDateYears(BQ16,BQ17,BT$13),0)</f>
        <v>0.25753424657534246</v>
      </c>
      <c r="BU17" s="268">
        <f t="shared" ref="BU17:BU80" si="25">BU16+BT17*BS17*100</f>
        <v>50.009148174645034</v>
      </c>
      <c r="BW17" s="473">
        <f t="shared" si="13"/>
        <v>189.61079045424839</v>
      </c>
      <c r="BX17" s="466" t="s">
        <v>347</v>
      </c>
      <c r="BY17" s="125">
        <f t="shared" si="14"/>
        <v>1.0659818758282198</v>
      </c>
      <c r="CA17" s="475"/>
      <c r="CC17" s="526">
        <v>40917</v>
      </c>
      <c r="CD17" s="151" t="str">
        <f t="shared" si="6"/>
        <v>0.5Y</v>
      </c>
      <c r="CE17" s="386">
        <v>0.99275306929209939</v>
      </c>
      <c r="CF17" s="268">
        <f>IF(CC17,_xll.qDateYears(CC16,CC17,CF$13),0)</f>
        <v>0.26111111111111113</v>
      </c>
      <c r="CG17" s="268">
        <f t="shared" ref="CG17:CG80" si="26">CG16+CF17*CE17*100</f>
        <v>51.39374308192744</v>
      </c>
      <c r="CI17" s="473">
        <f t="shared" si="15"/>
        <v>199.53146733261232</v>
      </c>
      <c r="CJ17" s="466" t="s">
        <v>347</v>
      </c>
      <c r="CK17" s="125">
        <f t="shared" si="16"/>
        <v>1.0129814048265435</v>
      </c>
      <c r="CM17" s="136"/>
      <c r="CO17" s="526">
        <v>40917</v>
      </c>
      <c r="CP17" s="151" t="str">
        <f t="shared" si="7"/>
        <v>0.5Y</v>
      </c>
      <c r="CQ17" s="386">
        <v>0.99614795936892508</v>
      </c>
      <c r="CR17" s="268">
        <f>IF(CO17,_xll.qDateYears(CO16,CO17,CR$13),0)</f>
        <v>0.25753424657534246</v>
      </c>
      <c r="CS17" s="268">
        <f t="shared" ref="CS17:CS80" si="27">CS16+CR17*CQ17*100</f>
        <v>50.81474072337614</v>
      </c>
      <c r="CU17" s="473">
        <f t="shared" si="17"/>
        <v>198.27504842633516</v>
      </c>
      <c r="CV17" s="466" t="s">
        <v>347</v>
      </c>
      <c r="CW17" s="125">
        <f t="shared" si="18"/>
        <v>1.0194004121541556</v>
      </c>
      <c r="CX17" s="125"/>
      <c r="CY17" s="136"/>
      <c r="DA17" s="526">
        <v>40917</v>
      </c>
      <c r="DB17" s="151" t="str">
        <f t="shared" si="8"/>
        <v>0.5Y</v>
      </c>
      <c r="DC17" s="386">
        <v>0.98578136850500331</v>
      </c>
      <c r="DD17" s="268">
        <f>IF(DA17,_xll.qDateYears(DA16,DA17,DD$13),0)</f>
        <v>0.25753424657534246</v>
      </c>
      <c r="DE17" s="268">
        <f t="shared" ref="DE17:DE80" si="28">DE16+DD17*DC17*100</f>
        <v>50.417339291045408</v>
      </c>
      <c r="DG17" s="473">
        <f t="shared" si="19"/>
        <v>193.30844887972626</v>
      </c>
      <c r="DH17" s="466" t="s">
        <v>347</v>
      </c>
      <c r="DI17" s="125">
        <f t="shared" si="20"/>
        <v>1.0455914744391146</v>
      </c>
      <c r="DJ17" s="125"/>
      <c r="DK17" s="136"/>
      <c r="DM17" s="526">
        <v>40917</v>
      </c>
      <c r="DN17" s="151" t="str">
        <f t="shared" si="9"/>
        <v>0.5Y</v>
      </c>
      <c r="DO17" s="386">
        <v>0.99842302102269698</v>
      </c>
      <c r="DP17" s="268">
        <f>IF(DM17,_xll.qDateYears(DM16,DM17,DP$13),0)</f>
        <v>0.26111111111111113</v>
      </c>
      <c r="DQ17" s="268">
        <f t="shared" ref="DQ17:DQ80" si="29">DQ16+DP17*DO17*100</f>
        <v>51.609272401622476</v>
      </c>
      <c r="DS17" s="473">
        <f t="shared" si="21"/>
        <v>202.1216660856912</v>
      </c>
      <c r="DT17" s="466" t="s">
        <v>347</v>
      </c>
      <c r="DU17" s="125">
        <f t="shared" si="22"/>
        <v>1</v>
      </c>
      <c r="ED17" s="539" t="s">
        <v>644</v>
      </c>
      <c r="EE17" s="207"/>
      <c r="EF17" s="734">
        <f>_xll.qDateNext(EF16,ED17,"F",FALSE,$ED$11)</f>
        <v>40773</v>
      </c>
      <c r="EG17" s="735"/>
      <c r="EH17" s="491">
        <v>1.0667178477423742</v>
      </c>
      <c r="EI17" s="491">
        <v>1.0667302249694581</v>
      </c>
      <c r="EJ17" s="730"/>
      <c r="EK17" s="491">
        <v>1</v>
      </c>
      <c r="EL17" s="491">
        <v>1</v>
      </c>
      <c r="EM17" s="207"/>
      <c r="EN17" s="207"/>
      <c r="EO17" s="736">
        <f t="shared" si="10"/>
        <v>-57.321522576256889</v>
      </c>
      <c r="EP17" s="736">
        <f t="shared" si="11"/>
        <v>-57.197750305417742</v>
      </c>
      <c r="EQ17" s="736">
        <f t="shared" si="23"/>
        <v>0.12377227083914732</v>
      </c>
      <c r="ER17" s="207"/>
      <c r="ES17" s="731">
        <f t="shared" si="2"/>
        <v>1.0667178477423742</v>
      </c>
      <c r="ET17" s="731">
        <f t="shared" si="3"/>
        <v>1.0667302249694581</v>
      </c>
      <c r="EX17" s="121"/>
      <c r="FQ17" s="130" t="s">
        <v>16</v>
      </c>
      <c r="FR17" s="456" t="s">
        <v>770</v>
      </c>
      <c r="FS17" s="775">
        <f>(_xll.qGetSwapRate($FN$6,FS$5,$FQ17,"3M",$FI$4,$FH$4,,,,,TRUE,$FN$6,"3M",,$FI$4,FALSE) - _xll.qGetSwapRate($FN$6,FS$5,$FQ17,"3M",$FI$4,$FH$4,,,,,TRUE,$FN$7,"3M",,$FI$4,FALSE))*100</f>
        <v>16.333326727056097</v>
      </c>
      <c r="FT17" s="775">
        <f>(_xll.qGetSwapRate($FN$6,FT$5,$FQ17,"3M",$FI$4,$FH$4,,,,,TRUE,$FN$6,"3M",,$FI$4,FALSE) - _xll.qGetSwapRate($FN$6,FT$5,$FQ17,"3M",$FI$4,$FH$4,,,,,TRUE,$FN$7,"3M",,$FI$4,FALSE))*100</f>
        <v>16.368415814313853</v>
      </c>
      <c r="FU17" s="775">
        <f>(_xll.qGetSwapRate($FN$6,FU$5,$FQ17,"3M",$FI$4,$FH$4,,,,,TRUE,$FN$6,"3M",,$FI$4,FALSE) - _xll.qGetSwapRate($FN$6,FU$5,$FQ17,"3M",$FI$4,$FH$4,,,,,TRUE,$FN$7,"3M",,$FI$4,FALSE))*100</f>
        <v>16.366374339409706</v>
      </c>
      <c r="FV17" s="775">
        <f>(_xll.qGetSwapRate($FN$6,FV$5,$FQ17,"3M",$FI$4,$FH$4,,,,,TRUE,$FN$6,"3M",,$FI$4,FALSE) - _xll.qGetSwapRate($FN$6,FV$5,$FQ17,"3M",$FI$4,$FH$4,,,,,TRUE,$FN$7,"3M",,$FI$4,FALSE))*100</f>
        <v>16.575733667144732</v>
      </c>
      <c r="FW17" s="775">
        <f>(_xll.qGetSwapRate($FN$6,FW$5,$FQ17,"3M",$FI$4,$FH$4,,,,,TRUE,$FN$6,"3M",,$FI$4,FALSE) - _xll.qGetSwapRate($FN$6,FW$5,$FQ17,"3M",$FI$4,$FH$4,,,,,TRUE,$FN$7,"3M",,$FI$4,FALSE))*100</f>
        <v>16.467671734715417</v>
      </c>
      <c r="FX17" s="775">
        <f>(_xll.qGetSwapRate($FN$6,FX$5,$FQ17,"3M",$FI$4,$FH$4,,,,,TRUE,$FN$6,"3M",,$FI$4,FALSE) - _xll.qGetSwapRate($FN$6,FX$5,$FQ17,"3M",$FI$4,$FH$4,,,,,TRUE,$FN$7,"3M",,$FI$4,FALSE))*100</f>
        <v>16.17164832022997</v>
      </c>
      <c r="FY17" s="775">
        <f>(_xll.qGetSwapRate($FN$6,FY$5,$FQ17,"3M",$FI$4,$FH$4,,,,,TRUE,$FN$6,"3M",,$FI$4,FALSE) - _xll.qGetSwapRate($FN$6,FY$5,$FQ17,"3M",$FI$4,$FH$4,,,,,TRUE,$FN$7,"3M",,$FI$4,FALSE))*100</f>
        <v>14.867793580856237</v>
      </c>
      <c r="FZ17" s="775">
        <f>(_xll.qGetSwapRate($FN$6,FZ$5,$FQ17,"3M",$FI$4,$FH$4,,,,,TRUE,$FN$6,"3M",,$FI$4,FALSE) - _xll.qGetSwapRate($FN$6,FZ$5,$FQ17,"3M",$FI$4,$FH$4,,,,,TRUE,$FN$7,"3M",,$FI$4,FALSE))*100</f>
        <v>12.56590962194295</v>
      </c>
      <c r="GA17" s="775">
        <f>(_xll.qGetSwapRate($FN$6,GA$5,$FQ17,"3M",$FI$4,$FH$4,,,,,TRUE,$FN$6,"3M",,$FI$4,FALSE) - _xll.qGetSwapRate($FN$6,GA$5,$FQ17,"3M",$FI$4,$FH$4,,,,,TRUE,$FN$7,"3M",,$FI$4,FALSE))*100</f>
        <v>9.5128916152769527</v>
      </c>
      <c r="GB17" s="775">
        <f>(_xll.qGetSwapRate($FN$6,GB$5,$FQ17,"3M",$FI$4,$FH$4,,,,,TRUE,$FN$6,"3M",,$FI$4,FALSE) - _xll.qGetSwapRate($FN$6,GB$5,$FQ17,"3M",$FI$4,$FH$4,,,,,TRUE,$FN$7,"3M",,$FI$4,FALSE))*100</f>
        <v>5.6049189501299779</v>
      </c>
      <c r="GC17" s="775">
        <f>(_xll.qGetSwapRate($FN$6,GC$5,$FQ17,"3M",$FI$4,$FH$4,,,,,TRUE,$FN$6,"3M",,$FI$4,FALSE) - _xll.qGetSwapRate($FN$6,GC$5,$FQ17,"3M",$FI$4,$FH$4,,,,,TRUE,$FN$7,"3M",,$FI$4,FALSE))*100</f>
        <v>0.80209475091397309</v>
      </c>
      <c r="GD17" s="775">
        <f>(_xll.qGetSwapRate($FN$6,GD$5,$FQ17,"3M",$FI$4,$FH$4,,,,,TRUE,$FN$6,"3M",,$FI$4,FALSE) - _xll.qGetSwapRate($FN$6,GD$5,$FQ17,"3M",$FI$4,$FH$4,,,,,TRUE,$FN$7,"3M",,$FI$4,FALSE))*100</f>
        <v>-4.9722859640397132</v>
      </c>
      <c r="GE17" s="775">
        <f>(_xll.qGetSwapRate($FN$6,GE$5,$FQ17,"3M",$FI$4,$FH$4,,,,,TRUE,$FN$6,"3M",,$FI$4,FALSE) - _xll.qGetSwapRate($FN$6,GE$5,$FQ17,"3M",$FI$4,$FH$4,,,,,TRUE,$FN$7,"3M",,$FI$4,FALSE))*100</f>
        <v>-10.665772469424439</v>
      </c>
      <c r="GF17" s="775">
        <f>(_xll.qGetSwapRate($FN$6,GF$5,$FQ17,"3M",$FI$4,$FH$4,,,,,TRUE,$FN$6,"3M",,$FI$4,FALSE) - _xll.qGetSwapRate($FN$6,GF$5,$FQ17,"3M",$FI$4,$FH$4,,,,,TRUE,$FN$7,"3M",,$FI$4,FALSE))*100</f>
        <v>-17.095969103665087</v>
      </c>
      <c r="GG17" s="775">
        <f>(_xll.qGetSwapRate($FN$6,GG$5,$FQ17,"3M",$FI$4,$FH$4,,,,,TRUE,$FN$6,"3M",,$FI$4,FALSE) - _xll.qGetSwapRate($FN$6,GG$5,$FQ17,"3M",$FI$4,$FH$4,,,,,TRUE,$FN$7,"3M",,$FI$4,FALSE))*100</f>
        <v>-24.247779269135084</v>
      </c>
    </row>
    <row r="18" spans="11:189">
      <c r="K18" s="449" t="s">
        <v>25</v>
      </c>
      <c r="L18" s="445" t="s">
        <v>323</v>
      </c>
      <c r="M18" s="445" t="s">
        <v>325</v>
      </c>
      <c r="N18" s="445" t="s">
        <v>324</v>
      </c>
      <c r="O18" s="445" t="s">
        <v>325</v>
      </c>
      <c r="P18" s="445"/>
      <c r="Q18" s="445" t="s">
        <v>325</v>
      </c>
      <c r="R18" s="151" t="str">
        <f t="array" ref="R18:R33">IF(F12="market",OFFSET(L18:L33,0,MATCH($F$7,$L$17:$Q$17,0)-1),INDEX($N$9:$N$12,MATCH(F12,$L$9:$L$12,0)))</f>
        <v>Q</v>
      </c>
      <c r="T18" s="445" t="s">
        <v>323</v>
      </c>
      <c r="U18" s="445" t="s">
        <v>323</v>
      </c>
      <c r="V18" s="445" t="s">
        <v>325</v>
      </c>
      <c r="W18" s="445" t="s">
        <v>325</v>
      </c>
      <c r="X18" s="445" t="s">
        <v>323</v>
      </c>
      <c r="Y18" s="445" t="s">
        <v>323</v>
      </c>
      <c r="Z18" s="151" t="str">
        <f t="array" ref="Z18:Z33">IF(H12="market",OFFSET(T18:T33,0,MATCH($F$7,$L$17:$Q$17,0)-1),INDEX($N$9:$N$12,MATCH(H12,$L$9:$L$12,0)))</f>
        <v>Q</v>
      </c>
      <c r="AA18" s="151"/>
      <c r="AB18" s="150" t="str">
        <f t="shared" ref="AB18:AB33" si="30">INDEX($O$8:$O$12,MATCH(Z18,$N$8:$N$12,0))</f>
        <v>AUD.ZB.DISC|[Swap Pricer 1w.xlsm]AU!$BG$52#1130</v>
      </c>
      <c r="AC18" s="149" t="s">
        <v>78</v>
      </c>
      <c r="AE18" s="130" t="s">
        <v>15</v>
      </c>
      <c r="AF18" s="446" t="str">
        <v>S/S</v>
      </c>
      <c r="AG18" s="447" t="str">
        <v>Act/365</v>
      </c>
      <c r="AH18" s="447"/>
      <c r="AI18" s="448">
        <f>_xll.qGetSwapRate($O$7,AI$7,$AE18,$R28,$AG18,$F$7,,,,,TRUE,$AB28,$Z28,,$H$14)</f>
        <v>5.9108563755746797</v>
      </c>
      <c r="AJ18" s="448">
        <f>_xll.qGetSwapRate($O$7,AJ$7,$AE18,$R28,$AG18,$F$7,,,,,TRUE,$AB28,$Z28,,$H$14)</f>
        <v>5.921727203071967</v>
      </c>
      <c r="AK18" s="448">
        <f>_xll.qGetSwapRate($O$7,AK$7,$AE18,$R28,$AG18,$F$7,,,,,TRUE,$AB28,$Z28,,$H$14)</f>
        <v>5.930966941387342</v>
      </c>
      <c r="AL18" s="448">
        <f>_xll.qGetSwapRate($O$7,AL$7,$AE18,$R28,$AG18,$F$7,,,,,TRUE,$AB28,$Z28,,$H$14)</f>
        <v>5.9404018678534971</v>
      </c>
      <c r="AM18" s="448">
        <f>_xll.qGetSwapRate($O$7,AM$7,$AE18,$R28,$AG18,$F$7,,,,,TRUE,$AB28,$Z28,,$H$14)</f>
        <v>5.9749304229469216</v>
      </c>
      <c r="AN18" s="448">
        <f>_xll.qGetSwapRate($O$7,AN$7,$AE18,$R28,$AG18,$F$7,,,,,TRUE,$AB28,$Z28,,$H$14)</f>
        <v>6.0379015353415522</v>
      </c>
      <c r="AO18" s="448">
        <f>_xll.qGetSwapRate($O$7,AO$7,$AE18,$R28,$AG18,$F$7,,,,,TRUE,$AB28,$Z28,,$H$14)</f>
        <v>6.1507356174196346</v>
      </c>
      <c r="AP18" s="448">
        <f>_xll.qGetSwapRate($O$7,AP$7,$AE18,$R28,$AG18,$F$7,,,,,TRUE,$AB28,$Z28,,$H$14)</f>
        <v>6.2390530132767337</v>
      </c>
      <c r="AQ18" s="448">
        <f>_xll.qGetSwapRate($O$7,AQ$7,$AE18,$R28,$AG18,$F$7,,,,,TRUE,$AB28,$Z28,,$H$14)</f>
        <v>6.2621616225743759</v>
      </c>
      <c r="AR18" s="448">
        <f>_xll.qGetSwapRate($O$7,AR$7,$AE18,$R28,$AG18,$F$7,,,,,TRUE,$AB28,$Z28,,$H$14)</f>
        <v>6.2551129093237927</v>
      </c>
      <c r="AS18" s="448">
        <f>_xll.qGetSwapRate($O$7,AS$7,$AE18,$R28,$AG18,$F$7,,,,,TRUE,$AB28,$Z28,,$H$14)</f>
        <v>6.1815879680958927</v>
      </c>
      <c r="AT18" s="448">
        <f>_xll.qGetSwapRate($O$7,AT$7,$AE18,$R28,$AG18,$F$7,,,,,TRUE,$AB28,$Z28,,$H$14)</f>
        <v>5.9513769621820787</v>
      </c>
      <c r="AV18" s="448">
        <f>_xll.qGetSwapRate($O$7,AV$7,$AE18,$R28,$AG18,$F$7,,,,,TRUE,$AB28,$Z28,,$H$14)</f>
        <v>6.097228114281303</v>
      </c>
      <c r="AW18" s="448">
        <f>_xll.qGetSwapRate($O$7,AW$7,$AE18,$R28,$AG18,$F$7,,,,,TRUE,$AB28,$Z28,,$H$14)</f>
        <v>6.2631479102455909</v>
      </c>
      <c r="BE18" s="147" t="s">
        <v>7</v>
      </c>
      <c r="BF18" s="207"/>
      <c r="BG18" s="539">
        <v>41009</v>
      </c>
      <c r="BH18" s="147" t="str">
        <f t="shared" si="4"/>
        <v>0.75Y</v>
      </c>
      <c r="BI18" s="491">
        <v>0.99727861955326624</v>
      </c>
      <c r="BJ18" s="492">
        <f>IF(BG18,_xll.qDateYears(BG17,BG18,$BJ$13),0)</f>
        <v>0.25555555555555554</v>
      </c>
      <c r="BK18" s="492">
        <f t="shared" si="24"/>
        <v>77.095281567983719</v>
      </c>
      <c r="BL18" s="492"/>
      <c r="BM18" s="493">
        <f t="shared" si="12"/>
        <v>300.59930244342024</v>
      </c>
      <c r="BN18" s="465"/>
      <c r="BO18" s="494"/>
      <c r="BP18" s="492"/>
      <c r="BQ18" s="539">
        <v>41009</v>
      </c>
      <c r="BR18" s="464" t="str">
        <f t="shared" si="5"/>
        <v>0.75Y</v>
      </c>
      <c r="BS18" s="491">
        <v>0.96311216424813628</v>
      </c>
      <c r="BT18" s="492">
        <f>IF(BQ18,_xll.qDateYears(BQ17,BQ18,BT$13),0)</f>
        <v>0.25205479452054796</v>
      </c>
      <c r="BU18" s="492">
        <f t="shared" si="25"/>
        <v>74.284852040625452</v>
      </c>
      <c r="BV18" s="464"/>
      <c r="BW18" s="493">
        <f t="shared" si="13"/>
        <v>276.6225499292529</v>
      </c>
      <c r="BX18" s="495" t="s">
        <v>347</v>
      </c>
      <c r="BY18" s="491">
        <f t="shared" si="14"/>
        <v>1.0866767822084622</v>
      </c>
      <c r="BZ18" s="464"/>
      <c r="CA18" s="496"/>
      <c r="CB18" s="492"/>
      <c r="CC18" s="539">
        <v>41009</v>
      </c>
      <c r="CD18" s="464" t="str">
        <f t="shared" si="6"/>
        <v>0.75Y</v>
      </c>
      <c r="CE18" s="491">
        <v>0.98845322522716439</v>
      </c>
      <c r="CF18" s="492">
        <f>IF(CC18,_xll.qDateYears(CC17,CC18,CF$13),0)</f>
        <v>0.25555555555555554</v>
      </c>
      <c r="CG18" s="492">
        <f t="shared" si="26"/>
        <v>76.654214393288299</v>
      </c>
      <c r="CH18" s="464"/>
      <c r="CI18" s="493">
        <f t="shared" si="15"/>
        <v>295.53583162321422</v>
      </c>
      <c r="CJ18" s="495" t="s">
        <v>347</v>
      </c>
      <c r="CK18" s="491">
        <f t="shared" si="16"/>
        <v>1.0171331875136602</v>
      </c>
      <c r="CL18" s="207"/>
      <c r="CM18" s="497"/>
      <c r="CN18" s="492"/>
      <c r="CO18" s="539">
        <v>41009</v>
      </c>
      <c r="CP18" s="464" t="str">
        <f t="shared" si="7"/>
        <v>0.75Y</v>
      </c>
      <c r="CQ18" s="491">
        <v>0.99374935086909733</v>
      </c>
      <c r="CR18" s="492">
        <f>IF(CO18,_xll.qDateYears(CO17,CO18,CR$13),0)</f>
        <v>0.25205479452054796</v>
      </c>
      <c r="CS18" s="492">
        <f t="shared" si="27"/>
        <v>75.862669567199958</v>
      </c>
      <c r="CT18" s="464"/>
      <c r="CU18" s="493">
        <f t="shared" si="17"/>
        <v>294.20695484174337</v>
      </c>
      <c r="CV18" s="495" t="s">
        <v>347</v>
      </c>
      <c r="CW18" s="491">
        <f t="shared" si="18"/>
        <v>1.0217273844023007</v>
      </c>
      <c r="CX18" s="491"/>
      <c r="CY18" s="497"/>
      <c r="CZ18" s="492"/>
      <c r="DA18" s="539">
        <v>41009</v>
      </c>
      <c r="DB18" s="464" t="str">
        <f t="shared" si="8"/>
        <v>0.75Y</v>
      </c>
      <c r="DC18" s="491">
        <v>0.97796893074023794</v>
      </c>
      <c r="DD18" s="492">
        <f>IF(DA18,_xll.qDateYears(DA17,DA18,DD$13),0)</f>
        <v>0.25205479452054796</v>
      </c>
      <c r="DE18" s="492">
        <f t="shared" si="28"/>
        <v>75.067515079566476</v>
      </c>
      <c r="DF18" s="464"/>
      <c r="DG18" s="493">
        <f t="shared" si="19"/>
        <v>283.34604557497227</v>
      </c>
      <c r="DH18" s="495" t="s">
        <v>347</v>
      </c>
      <c r="DI18" s="491">
        <f t="shared" si="20"/>
        <v>1.0608911157854251</v>
      </c>
      <c r="DJ18" s="491"/>
      <c r="DK18" s="497"/>
      <c r="DL18" s="492"/>
      <c r="DM18" s="539">
        <v>41009</v>
      </c>
      <c r="DN18" s="464" t="str">
        <f t="shared" si="9"/>
        <v>0.75Y</v>
      </c>
      <c r="DO18" s="491">
        <v>0.99727861955326624</v>
      </c>
      <c r="DP18" s="492">
        <f>IF(DM18,_xll.qDateYears(DM17,DM18,DP$13),0)</f>
        <v>0.25555555555555554</v>
      </c>
      <c r="DQ18" s="492">
        <f t="shared" si="29"/>
        <v>77.095281567983719</v>
      </c>
      <c r="DR18" s="464"/>
      <c r="DS18" s="493">
        <f t="shared" si="21"/>
        <v>300.59930244342024</v>
      </c>
      <c r="DT18" s="495" t="s">
        <v>347</v>
      </c>
      <c r="DU18" s="491">
        <f t="shared" si="22"/>
        <v>1</v>
      </c>
      <c r="ED18" s="121" t="s">
        <v>0</v>
      </c>
      <c r="EF18" s="732">
        <f>_xll.qDateNext($EF$14,ED18,"M",TRUE,$ED$11)</f>
        <v>40763</v>
      </c>
      <c r="EH18" s="386">
        <v>1.068112</v>
      </c>
      <c r="EI18" s="386">
        <v>1.0681120000000002</v>
      </c>
      <c r="EK18" s="386">
        <v>1</v>
      </c>
      <c r="EL18" s="386">
        <v>1</v>
      </c>
      <c r="EO18" s="460">
        <f t="shared" si="10"/>
        <v>-43.379999999999526</v>
      </c>
      <c r="EP18" s="460">
        <f t="shared" si="11"/>
        <v>-43.37999999999731</v>
      </c>
      <c r="EQ18" s="460">
        <f t="shared" si="23"/>
        <v>2.2168933355715126E-12</v>
      </c>
      <c r="ES18" s="635">
        <f t="shared" si="2"/>
        <v>1.068112</v>
      </c>
      <c r="ET18" s="635">
        <f t="shared" si="3"/>
        <v>1.0681120000000002</v>
      </c>
      <c r="FQ18" s="130" t="s">
        <v>17</v>
      </c>
      <c r="FR18" s="456" t="s">
        <v>770</v>
      </c>
      <c r="FS18" s="775">
        <f>(_xll.qGetSwapRate($FN$6,FS$5,$FQ18,"3M",$FI$4,$FH$4,,,,,TRUE,$FN$6,"3M",,$FI$4,FALSE) - _xll.qGetSwapRate($FN$6,FS$5,$FQ18,"3M",$FI$4,$FH$4,,,,,TRUE,$FN$7,"3M",,$FI$4,FALSE))*100</f>
        <v>9.5833298371236886</v>
      </c>
      <c r="FT18" s="775">
        <f>(_xll.qGetSwapRate($FN$6,FT$5,$FQ18,"3M",$FI$4,$FH$4,,,,,TRUE,$FN$6,"3M",,$FI$4,FALSE) - _xll.qGetSwapRate($FN$6,FT$5,$FQ18,"3M",$FI$4,$FH$4,,,,,TRUE,$FN$7,"3M",,$FI$4,FALSE))*100</f>
        <v>9.5476076607917904</v>
      </c>
      <c r="FU18" s="775">
        <f>(_xll.qGetSwapRate($FN$6,FU$5,$FQ18,"3M",$FI$4,$FH$4,,,,,TRUE,$FN$6,"3M",,$FI$4,FALSE) - _xll.qGetSwapRate($FN$6,FU$5,$FQ18,"3M",$FI$4,$FH$4,,,,,TRUE,$FN$7,"3M",,$FI$4,FALSE))*100</f>
        <v>9.4821660106870098</v>
      </c>
      <c r="FV18" s="775">
        <f>(_xll.qGetSwapRate($FN$6,FV$5,$FQ18,"3M",$FI$4,$FH$4,,,,,TRUE,$FN$6,"3M",,$FI$4,FALSE) - _xll.qGetSwapRate($FN$6,FV$5,$FQ18,"3M",$FI$4,$FH$4,,,,,TRUE,$FN$7,"3M",,$FI$4,FALSE))*100</f>
        <v>9.5804846111957609</v>
      </c>
      <c r="FW18" s="775">
        <f>(_xll.qGetSwapRate($FN$6,FW$5,$FQ18,"3M",$FI$4,$FH$4,,,,,TRUE,$FN$6,"3M",,$FI$4,FALSE) - _xll.qGetSwapRate($FN$6,FW$5,$FQ18,"3M",$FI$4,$FH$4,,,,,TRUE,$FN$7,"3M",,$FI$4,FALSE))*100</f>
        <v>9.2814088604321832</v>
      </c>
      <c r="FX18" s="775">
        <f>(_xll.qGetSwapRate($FN$6,FX$5,$FQ18,"3M",$FI$4,$FH$4,,,,,TRUE,$FN$6,"3M",,$FI$4,FALSE) - _xll.qGetSwapRate($FN$6,FX$5,$FQ18,"3M",$FI$4,$FH$4,,,,,TRUE,$FN$7,"3M",,$FI$4,FALSE))*100</f>
        <v>8.5975364373088503</v>
      </c>
      <c r="FY18" s="775">
        <f>(_xll.qGetSwapRate($FN$6,FY$5,$FQ18,"3M",$FI$4,$FH$4,,,,,TRUE,$FN$6,"3M",,$FI$4,FALSE) - _xll.qGetSwapRate($FN$6,FY$5,$FQ18,"3M",$FI$4,$FH$4,,,,,TRUE,$FN$7,"3M",,$FI$4,FALSE))*100</f>
        <v>6.5948808102822554</v>
      </c>
      <c r="FZ18" s="775">
        <f>(_xll.qGetSwapRate($FN$6,FZ$5,$FQ18,"3M",$FI$4,$FH$4,,,,,TRUE,$FN$6,"3M",,$FI$4,FALSE) - _xll.qGetSwapRate($FN$6,FZ$5,$FQ18,"3M",$FI$4,$FH$4,,,,,TRUE,$FN$7,"3M",,$FI$4,FALSE))*100</f>
        <v>3.684969219707579</v>
      </c>
      <c r="GA18" s="775">
        <f>(_xll.qGetSwapRate($FN$6,GA$5,$FQ18,"3M",$FI$4,$FH$4,,,,,TRUE,$FN$6,"3M",,$FI$4,FALSE) - _xll.qGetSwapRate($FN$6,GA$5,$FQ18,"3M",$FI$4,$FH$4,,,,,TRUE,$FN$7,"3M",,$FI$4,FALSE))*100</f>
        <v>9.2734480196199343E-2</v>
      </c>
      <c r="GB18" s="775">
        <f>(_xll.qGetSwapRate($FN$6,GB$5,$FQ18,"3M",$FI$4,$FH$4,,,,,TRUE,$FN$6,"3M",,$FI$4,FALSE) - _xll.qGetSwapRate($FN$6,GB$5,$FQ18,"3M",$FI$4,$FH$4,,,,,TRUE,$FN$7,"3M",,$FI$4,FALSE))*100</f>
        <v>-4.281085451117228</v>
      </c>
      <c r="GC18" s="775">
        <f>(_xll.qGetSwapRate($FN$6,GC$5,$FQ18,"3M",$FI$4,$FH$4,,,,,TRUE,$FN$6,"3M",,$FI$4,FALSE) - _xll.qGetSwapRate($FN$6,GC$5,$FQ18,"3M",$FI$4,$FH$4,,,,,TRUE,$FN$7,"3M",,$FI$4,FALSE))*100</f>
        <v>-9.2627794510987016</v>
      </c>
      <c r="GD18" s="775">
        <f>(_xll.qGetSwapRate($FN$6,GD$5,$FQ18,"3M",$FI$4,$FH$4,,,,,TRUE,$FN$6,"3M",,$FI$4,FALSE) - _xll.qGetSwapRate($FN$6,GD$5,$FQ18,"3M",$FI$4,$FH$4,,,,,TRUE,$FN$7,"3M",,$FI$4,FALSE))*100</f>
        <v>-15.061331293994318</v>
      </c>
      <c r="GE18" s="775">
        <f>(_xll.qGetSwapRate($FN$6,GE$5,$FQ18,"3M",$FI$4,$FH$4,,,,,TRUE,$FN$6,"3M",,$FI$4,FALSE) - _xll.qGetSwapRate($FN$6,GE$5,$FQ18,"3M",$FI$4,$FH$4,,,,,TRUE,$FN$7,"3M",,$FI$4,FALSE))*100</f>
        <v>-20.80106604150469</v>
      </c>
      <c r="GF18" s="775">
        <f>(_xll.qGetSwapRate($FN$6,GF$5,$FQ18,"3M",$FI$4,$FH$4,,,,,TRUE,$FN$6,"3M",,$FI$4,FALSE) - _xll.qGetSwapRate($FN$6,GF$5,$FQ18,"3M",$FI$4,$FH$4,,,,,TRUE,$FN$7,"3M",,$FI$4,FALSE))*100</f>
        <v>-27.165318546292383</v>
      </c>
      <c r="GG18" s="775">
        <f>(_xll.qGetSwapRate($FN$6,GG$5,$FQ18,"3M",$FI$4,$FH$4,,,,,TRUE,$FN$6,"3M",,$FI$4,FALSE) - _xll.qGetSwapRate($FN$6,GG$5,$FQ18,"3M",$FI$4,$FH$4,,,,,TRUE,$FN$7,"3M",,$FI$4,FALSE))*100</f>
        <v>-34.096366934079825</v>
      </c>
    </row>
    <row r="19" spans="11:189">
      <c r="K19" s="449" t="s">
        <v>26</v>
      </c>
      <c r="L19" s="445" t="s">
        <v>323</v>
      </c>
      <c r="M19" s="445" t="s">
        <v>325</v>
      </c>
      <c r="N19" s="445" t="s">
        <v>324</v>
      </c>
      <c r="O19" s="445" t="s">
        <v>325</v>
      </c>
      <c r="P19" s="445"/>
      <c r="Q19" s="445" t="s">
        <v>325</v>
      </c>
      <c r="R19" s="151" t="str">
        <v>Q</v>
      </c>
      <c r="T19" s="445" t="s">
        <v>323</v>
      </c>
      <c r="U19" s="445" t="s">
        <v>323</v>
      </c>
      <c r="V19" s="445" t="s">
        <v>325</v>
      </c>
      <c r="W19" s="445" t="s">
        <v>325</v>
      </c>
      <c r="X19" s="445" t="s">
        <v>323</v>
      </c>
      <c r="Y19" s="445" t="s">
        <v>323</v>
      </c>
      <c r="Z19" s="151" t="str">
        <v>Q</v>
      </c>
      <c r="AA19" s="151"/>
      <c r="AB19" s="150" t="str">
        <f t="shared" si="30"/>
        <v>AUD.ZB.DISC|[Swap Pricer 1w.xlsm]AU!$BG$52#1130</v>
      </c>
      <c r="AC19" s="149" t="s">
        <v>78</v>
      </c>
      <c r="AE19" s="130" t="s">
        <v>16</v>
      </c>
      <c r="AF19" s="446" t="str">
        <v>S/S</v>
      </c>
      <c r="AG19" s="447" t="str">
        <v>Act/365</v>
      </c>
      <c r="AH19" s="447"/>
      <c r="AI19" s="712">
        <f>_xll.qGetSwapRate($O$7,AI$7,$AE19,$R29,$AG19,$F$7,,,,,TRUE,$AB29,$Z29,,$H$14)</f>
        <v>5.9724505991700392</v>
      </c>
      <c r="AJ19" s="712">
        <f>_xll.qGetSwapRate($O$7,AJ$7,$AE19,$R29,$AG19,$F$7,,,,,TRUE,$AB29,$Z29,,$H$14)</f>
        <v>5.9799389602283162</v>
      </c>
      <c r="AK19" s="712">
        <f>_xll.qGetSwapRate($O$7,AK$7,$AE19,$R29,$AG19,$F$7,,,,,TRUE,$AB29,$Z29,,$H$14)</f>
        <v>5.9862806181893582</v>
      </c>
      <c r="AL19" s="712">
        <f>_xll.qGetSwapRate($O$7,AL$7,$AE19,$R29,$AG19,$F$7,,,,,TRUE,$AB29,$Z29,,$H$14)</f>
        <v>5.9926879425414361</v>
      </c>
      <c r="AM19" s="712">
        <f>_xll.qGetSwapRate($O$7,AM$7,$AE19,$R29,$AG19,$F$7,,,,,TRUE,$AB29,$Z29,,$H$14)</f>
        <v>6.0169882570481494</v>
      </c>
      <c r="AN19" s="712">
        <f>_xll.qGetSwapRate($O$7,AN$7,$AE19,$R29,$AG19,$F$7,,,,,TRUE,$AB29,$Z29,,$H$14)</f>
        <v>6.0593596563852383</v>
      </c>
      <c r="AO19" s="712">
        <f>_xll.qGetSwapRate($O$7,AO$7,$AE19,$R29,$AG19,$F$7,,,,,TRUE,$AB29,$Z29,,$H$14)</f>
        <v>6.1283294944592965</v>
      </c>
      <c r="AP19" s="712">
        <f>_xll.qGetSwapRate($O$7,AP$7,$AE19,$R29,$AG19,$F$7,,,,,TRUE,$AB29,$Z29,,$H$14)</f>
        <v>6.1701879471804535</v>
      </c>
      <c r="AQ19" s="712">
        <f>_xll.qGetSwapRate($O$7,AQ$7,$AE19,$R29,$AG19,$F$7,,,,,TRUE,$AB29,$Z29,,$H$14)</f>
        <v>6.1846623558148517</v>
      </c>
      <c r="AR19" s="712">
        <f>_xll.qGetSwapRate($O$7,AR$7,$AE19,$R29,$AG19,$F$7,,,,,TRUE,$AB29,$Z29,,$H$14)</f>
        <v>6.1729326817430135</v>
      </c>
      <c r="AS19" s="712">
        <f>_xll.qGetSwapRate($O$7,AS$7,$AE19,$R29,$AG19,$F$7,,,,,TRUE,$AB29,$Z29,,$H$14)</f>
        <v>6.0456445569468409</v>
      </c>
      <c r="AT19" s="712">
        <f>_xll.qGetSwapRate($O$7,AT$7,$AE19,$R29,$AG19,$F$7,,,,,TRUE,$AB29,$Z29,,$H$14)</f>
        <v>5.7791598816989458</v>
      </c>
      <c r="AU19" s="352"/>
      <c r="AV19" s="712">
        <f>_xll.qGetSwapRate($O$7,AV$7,$AE19,$R29,$AG19,$F$7,,,,,TRUE,$AB29,$Z29,,$H$14)</f>
        <v>6.0969765715367865</v>
      </c>
      <c r="AW19" s="712">
        <f>_xll.qGetSwapRate($O$7,AW$7,$AE19,$R29,$AG19,$F$7,,,,,TRUE,$AB29,$Z29,,$H$14)</f>
        <v>6.1844482517937127</v>
      </c>
      <c r="BE19" s="120" t="s">
        <v>9</v>
      </c>
      <c r="BG19" s="526">
        <v>41099</v>
      </c>
      <c r="BH19" s="150" t="str">
        <f t="shared" si="4"/>
        <v>1Y</v>
      </c>
      <c r="BI19" s="386">
        <v>0.995952383307249</v>
      </c>
      <c r="BJ19" s="268">
        <f>IF(BG19,_xll.qDateYears(BG18,BG19,$BJ$13),0)</f>
        <v>0.25</v>
      </c>
      <c r="BK19" s="268">
        <f t="shared" si="24"/>
        <v>101.99409115066494</v>
      </c>
      <c r="BM19" s="473">
        <f t="shared" si="12"/>
        <v>489.78877220286898</v>
      </c>
      <c r="BN19" s="463"/>
      <c r="BO19" s="470"/>
      <c r="BQ19" s="526">
        <v>41099</v>
      </c>
      <c r="BR19" s="151" t="str">
        <f t="shared" si="5"/>
        <v>1Y</v>
      </c>
      <c r="BS19" s="386">
        <v>0.95136872182378363</v>
      </c>
      <c r="BT19" s="268">
        <f>IF(BQ19,_xll.qDateYears(BQ18,BQ19,BT$13),0)</f>
        <v>0.24657534246575341</v>
      </c>
      <c r="BU19" s="268">
        <f t="shared" si="25"/>
        <v>97.743258880116002</v>
      </c>
      <c r="BW19" s="473">
        <f t="shared" si="13"/>
        <v>436.68673815069985</v>
      </c>
      <c r="BX19" s="466" t="s">
        <v>347</v>
      </c>
      <c r="BY19" s="125">
        <f t="shared" si="14"/>
        <v>1.1216021221002679</v>
      </c>
      <c r="CA19" s="475"/>
      <c r="CC19" s="526">
        <v>41099</v>
      </c>
      <c r="CD19" s="151" t="str">
        <f t="shared" si="6"/>
        <v>1Y</v>
      </c>
      <c r="CE19" s="386">
        <v>0.98407061025709652</v>
      </c>
      <c r="CF19" s="268">
        <f>IF(CC19,_xll.qDateYears(CC18,CC19,CF$13),0)</f>
        <v>0.25</v>
      </c>
      <c r="CG19" s="268">
        <f t="shared" si="26"/>
        <v>101.25597964971571</v>
      </c>
      <c r="CI19" s="473">
        <f t="shared" si="15"/>
        <v>479.84444224855866</v>
      </c>
      <c r="CJ19" s="466" t="s">
        <v>347</v>
      </c>
      <c r="CK19" s="125">
        <f t="shared" si="16"/>
        <v>1.0207240703001812</v>
      </c>
      <c r="CM19" s="136"/>
      <c r="CO19" s="526">
        <v>41099</v>
      </c>
      <c r="CP19" s="151" t="str">
        <f t="shared" si="7"/>
        <v>1Y</v>
      </c>
      <c r="CQ19" s="386">
        <v>0.9912078380210807</v>
      </c>
      <c r="CR19" s="268">
        <f>IF(CO19,_xll.qDateYears(CO18,CO19,CR$13),0)</f>
        <v>0.24657534246575341</v>
      </c>
      <c r="CS19" s="268">
        <f t="shared" si="27"/>
        <v>100.30341077867865</v>
      </c>
      <c r="CU19" s="473">
        <f t="shared" si="17"/>
        <v>478.18531167901466</v>
      </c>
      <c r="CV19" s="466" t="s">
        <v>347</v>
      </c>
      <c r="CW19" s="125">
        <f t="shared" si="18"/>
        <v>1.0242656146904889</v>
      </c>
      <c r="CX19" s="125"/>
      <c r="CY19" s="136"/>
      <c r="DA19" s="526">
        <v>41099</v>
      </c>
      <c r="DB19" s="151" t="str">
        <f t="shared" si="8"/>
        <v>1Y</v>
      </c>
      <c r="DC19" s="386">
        <v>0.96958568333305195</v>
      </c>
      <c r="DD19" s="268">
        <f>IF(DA19,_xll.qDateYears(DA18,DA19,DD$13),0)</f>
        <v>0.24657534246575341</v>
      </c>
      <c r="DE19" s="268">
        <f t="shared" si="28"/>
        <v>98.975107271340363</v>
      </c>
      <c r="DG19" s="473">
        <f t="shared" si="19"/>
        <v>449.59110905908886</v>
      </c>
      <c r="DH19" s="466" t="s">
        <v>347</v>
      </c>
      <c r="DI19" s="125">
        <f t="shared" si="20"/>
        <v>1.0894093818445529</v>
      </c>
      <c r="DJ19" s="125"/>
      <c r="DK19" s="136"/>
      <c r="DM19" s="526">
        <v>41099</v>
      </c>
      <c r="DN19" s="151" t="str">
        <f t="shared" si="9"/>
        <v>1Y</v>
      </c>
      <c r="DO19" s="386">
        <v>0.995952383307249</v>
      </c>
      <c r="DP19" s="268">
        <f>IF(DM19,_xll.qDateYears(DM18,DM19,DP$13),0)</f>
        <v>0.25</v>
      </c>
      <c r="DQ19" s="268">
        <f t="shared" si="29"/>
        <v>101.99409115066494</v>
      </c>
      <c r="DS19" s="473">
        <f t="shared" si="21"/>
        <v>489.78877220286898</v>
      </c>
      <c r="DT19" s="466" t="s">
        <v>347</v>
      </c>
      <c r="DU19" s="125">
        <f t="shared" si="22"/>
        <v>1</v>
      </c>
      <c r="ED19" s="539" t="s">
        <v>1</v>
      </c>
      <c r="EE19" s="207"/>
      <c r="EF19" s="734">
        <f>_xll.qDateNext($EF$14,ED19,"M",TRUE,$ED$11)</f>
        <v>40793</v>
      </c>
      <c r="EG19" s="735"/>
      <c r="EH19" s="491">
        <v>1.0639349999999999</v>
      </c>
      <c r="EI19" s="491">
        <v>1.0639349999999999</v>
      </c>
      <c r="EJ19" s="730"/>
      <c r="EK19" s="491">
        <v>1</v>
      </c>
      <c r="EL19" s="491">
        <v>1</v>
      </c>
      <c r="EM19" s="207"/>
      <c r="EN19" s="207"/>
      <c r="EO19" s="736">
        <f t="shared" si="10"/>
        <v>-85.150000000000503</v>
      </c>
      <c r="EP19" s="736">
        <f t="shared" si="11"/>
        <v>-85.150000000000503</v>
      </c>
      <c r="EQ19" s="736">
        <f t="shared" si="23"/>
        <v>0</v>
      </c>
      <c r="ER19" s="207"/>
      <c r="ES19" s="731">
        <f t="shared" si="2"/>
        <v>1.0639349999999999</v>
      </c>
      <c r="ET19" s="731">
        <f t="shared" si="3"/>
        <v>1.0639349999999999</v>
      </c>
    </row>
    <row r="20" spans="11:189">
      <c r="K20" s="449" t="s">
        <v>7</v>
      </c>
      <c r="L20" s="445" t="s">
        <v>323</v>
      </c>
      <c r="M20" s="445" t="s">
        <v>325</v>
      </c>
      <c r="N20" s="445" t="s">
        <v>324</v>
      </c>
      <c r="O20" s="445" t="s">
        <v>325</v>
      </c>
      <c r="P20" s="445"/>
      <c r="Q20" s="445" t="s">
        <v>325</v>
      </c>
      <c r="R20" s="151" t="str">
        <v>Q</v>
      </c>
      <c r="T20" s="445" t="s">
        <v>323</v>
      </c>
      <c r="U20" s="445" t="s">
        <v>323</v>
      </c>
      <c r="V20" s="445" t="s">
        <v>325</v>
      </c>
      <c r="W20" s="445" t="s">
        <v>325</v>
      </c>
      <c r="X20" s="445" t="s">
        <v>323</v>
      </c>
      <c r="Y20" s="445" t="s">
        <v>323</v>
      </c>
      <c r="Z20" s="151" t="str">
        <v>Q</v>
      </c>
      <c r="AA20" s="151"/>
      <c r="AB20" s="150" t="str">
        <f t="shared" si="30"/>
        <v>AUD.ZB.DISC|[Swap Pricer 1w.xlsm]AU!$BG$52#1130</v>
      </c>
      <c r="AC20" s="149" t="s">
        <v>78</v>
      </c>
      <c r="AE20" s="130" t="s">
        <v>17</v>
      </c>
      <c r="AF20" s="446" t="str">
        <v>S/S</v>
      </c>
      <c r="AG20" s="447" t="str">
        <v>Act/365</v>
      </c>
      <c r="AH20" s="447"/>
      <c r="AI20" s="448">
        <f>_xll.qGetSwapRate($O$7,AI$7,$AE20,$R30,$AG20,$F$7,,,,,TRUE,$AB30,$Z30,,$H$14)</f>
        <v>5.9298569098287537</v>
      </c>
      <c r="AJ20" s="448">
        <f>_xll.qGetSwapRate($O$7,AJ$7,$AE20,$R30,$AG20,$F$7,,,,,TRUE,$AB30,$Z30,,$H$14)</f>
        <v>5.9346273628761619</v>
      </c>
      <c r="AK20" s="448">
        <f>_xll.qGetSwapRate($O$7,AK$7,$AE20,$R30,$AG20,$F$7,,,,,TRUE,$AB30,$Z30,,$H$14)</f>
        <v>5.9383178202634594</v>
      </c>
      <c r="AL20" s="448">
        <f>_xll.qGetSwapRate($O$7,AL$7,$AE20,$R30,$AG20,$F$7,,,,,TRUE,$AB30,$Z30,,$H$14)</f>
        <v>5.9419593928816772</v>
      </c>
      <c r="AM20" s="448">
        <f>_xll.qGetSwapRate($O$7,AM$7,$AE20,$R30,$AG20,$F$7,,,,,TRUE,$AB30,$Z30,,$H$14)</f>
        <v>5.957504309364797</v>
      </c>
      <c r="AN20" s="448">
        <f>_xll.qGetSwapRate($O$7,AN$7,$AE20,$R30,$AG20,$F$7,,,,,TRUE,$AB30,$Z30,,$H$14)</f>
        <v>5.9826306918763947</v>
      </c>
      <c r="AO20" s="448">
        <f>_xll.qGetSwapRate($O$7,AO$7,$AE20,$R30,$AG20,$F$7,,,,,TRUE,$AB30,$Z30,,$H$14)</f>
        <v>6.0173553589280724</v>
      </c>
      <c r="AP20" s="448">
        <f>_xll.qGetSwapRate($O$7,AP$7,$AE20,$R30,$AG20,$F$7,,,,,TRUE,$AB30,$Z30,,$H$14)</f>
        <v>6.0259195207926499</v>
      </c>
      <c r="AQ20" s="448">
        <f>_xll.qGetSwapRate($O$7,AQ$7,$AE20,$R30,$AG20,$F$7,,,,,TRUE,$AB30,$Z30,,$H$14)</f>
        <v>6.00808755755798</v>
      </c>
      <c r="AR20" s="448">
        <f>_xll.qGetSwapRate($O$7,AR$7,$AE20,$R30,$AG20,$F$7,,,,,TRUE,$AB30,$Z30,,$H$14)</f>
        <v>5.9643999709598443</v>
      </c>
      <c r="AS20" s="448">
        <f>_xll.qGetSwapRate($O$7,AS$7,$AE20,$R30,$AG20,$F$7,,,,,TRUE,$AB30,$Z30,,$H$14)</f>
        <v>5.8052751386385468</v>
      </c>
      <c r="AT20" s="448">
        <f>_xll.qGetSwapRate($O$7,AT$7,$AE20,$R30,$AG20,$F$7,,,,,TRUE,$AB30,$Z30,,$H$14)</f>
        <v>5.4909175088393303</v>
      </c>
      <c r="AV20" s="448">
        <f>_xll.qGetSwapRate($O$7,AV$7,$AE20,$R30,$AG20,$F$7,,,,,TRUE,$AB30,$Z30,,$H$14)</f>
        <v>6.0028585303252306</v>
      </c>
      <c r="AW20" s="448">
        <f>_xll.qGetSwapRate($O$7,AW$7,$AE20,$R30,$AG20,$F$7,,,,,TRUE,$AB30,$Z30,,$H$14)</f>
        <v>6.0017096252499229</v>
      </c>
      <c r="BE20" s="147" t="s">
        <v>10</v>
      </c>
      <c r="BF20" s="207"/>
      <c r="BG20" s="539">
        <v>41191</v>
      </c>
      <c r="BH20" s="147" t="str">
        <f t="shared" si="4"/>
        <v>1.25Y</v>
      </c>
      <c r="BI20" s="491">
        <v>0.99422370640396773</v>
      </c>
      <c r="BJ20" s="492">
        <f>IF(BG20,_xll.qDateYears(BG19,BG20,$BJ$13),0)</f>
        <v>0.25555555555555554</v>
      </c>
      <c r="BK20" s="492">
        <f t="shared" si="24"/>
        <v>127.40203031432189</v>
      </c>
      <c r="BL20" s="492"/>
      <c r="BM20" s="493">
        <f t="shared" si="12"/>
        <v>578.76979861625648</v>
      </c>
      <c r="BN20" s="465"/>
      <c r="BO20" s="494"/>
      <c r="BP20" s="492"/>
      <c r="BQ20" s="539">
        <v>41191</v>
      </c>
      <c r="BR20" s="464" t="str">
        <f t="shared" si="5"/>
        <v>1.25Y</v>
      </c>
      <c r="BS20" s="491">
        <v>0.93919584091215125</v>
      </c>
      <c r="BT20" s="492">
        <f>IF(BQ20,_xll.qDateYears(BQ19,BQ20,BT$13),0)</f>
        <v>0.25205479452054796</v>
      </c>
      <c r="BU20" s="492">
        <f t="shared" si="25"/>
        <v>121.41614034968256</v>
      </c>
      <c r="BV20" s="464"/>
      <c r="BW20" s="493">
        <f t="shared" si="13"/>
        <v>509.46028539776199</v>
      </c>
      <c r="BX20" s="495" t="s">
        <v>347</v>
      </c>
      <c r="BY20" s="491">
        <f t="shared" si="14"/>
        <v>1.1360449778030901</v>
      </c>
      <c r="BZ20" s="464"/>
      <c r="CA20" s="496"/>
      <c r="CB20" s="492"/>
      <c r="CC20" s="539">
        <v>41191</v>
      </c>
      <c r="CD20" s="464" t="str">
        <f t="shared" si="6"/>
        <v>1.25Y</v>
      </c>
      <c r="CE20" s="491">
        <v>0.97938442958479466</v>
      </c>
      <c r="CF20" s="492">
        <f>IF(CC20,_xll.qDateYears(CC19,CC20,CF$13),0)</f>
        <v>0.25555555555555554</v>
      </c>
      <c r="CG20" s="492">
        <f t="shared" si="26"/>
        <v>126.28469285021602</v>
      </c>
      <c r="CH20" s="464"/>
      <c r="CI20" s="493">
        <f t="shared" si="15"/>
        <v>567.22371724425545</v>
      </c>
      <c r="CJ20" s="495" t="s">
        <v>347</v>
      </c>
      <c r="CK20" s="491">
        <f t="shared" si="16"/>
        <v>1.0203554277104199</v>
      </c>
      <c r="CL20" s="207"/>
      <c r="CM20" s="497"/>
      <c r="CN20" s="492"/>
      <c r="CO20" s="539">
        <v>41191</v>
      </c>
      <c r="CP20" s="464" t="str">
        <f t="shared" si="7"/>
        <v>1.25Y</v>
      </c>
      <c r="CQ20" s="491">
        <v>0.98820536048838292</v>
      </c>
      <c r="CR20" s="492">
        <f>IF(CO20,_xll.qDateYears(CO19,CO20,CR$13),0)</f>
        <v>0.25205479452054796</v>
      </c>
      <c r="CS20" s="492">
        <f t="shared" si="27"/>
        <v>125.211600686879</v>
      </c>
      <c r="CT20" s="464"/>
      <c r="CU20" s="493">
        <f t="shared" si="17"/>
        <v>565.00127709748779</v>
      </c>
      <c r="CV20" s="495" t="s">
        <v>347</v>
      </c>
      <c r="CW20" s="491">
        <f t="shared" si="18"/>
        <v>1.0243690095525093</v>
      </c>
      <c r="CX20" s="491"/>
      <c r="CY20" s="497"/>
      <c r="CZ20" s="492"/>
      <c r="DA20" s="539">
        <v>41191</v>
      </c>
      <c r="DB20" s="464" t="str">
        <f t="shared" si="8"/>
        <v>1.25Y</v>
      </c>
      <c r="DC20" s="491">
        <v>0.96052382792831492</v>
      </c>
      <c r="DD20" s="492">
        <f>IF(DA20,_xll.qDateYears(DA19,DA20,DD$13),0)</f>
        <v>0.25205479452054796</v>
      </c>
      <c r="DE20" s="492">
        <f t="shared" si="28"/>
        <v>123.18557087939652</v>
      </c>
      <c r="DF20" s="464"/>
      <c r="DG20" s="493">
        <f t="shared" si="19"/>
        <v>525.20615663410456</v>
      </c>
      <c r="DH20" s="495" t="s">
        <v>347</v>
      </c>
      <c r="DI20" s="491">
        <f t="shared" si="20"/>
        <v>1.101985936961261</v>
      </c>
      <c r="DJ20" s="491"/>
      <c r="DK20" s="497"/>
      <c r="DL20" s="492"/>
      <c r="DM20" s="539">
        <v>41191</v>
      </c>
      <c r="DN20" s="464" t="str">
        <f t="shared" si="9"/>
        <v>1.25Y</v>
      </c>
      <c r="DO20" s="491">
        <v>0.99422370640396773</v>
      </c>
      <c r="DP20" s="492">
        <f>IF(DM20,_xll.qDateYears(DM19,DM20,DP$13),0)</f>
        <v>0.25555555555555554</v>
      </c>
      <c r="DQ20" s="492">
        <f t="shared" si="29"/>
        <v>127.40203031432189</v>
      </c>
      <c r="DR20" s="464"/>
      <c r="DS20" s="493">
        <f t="shared" si="21"/>
        <v>578.76979861625648</v>
      </c>
      <c r="DT20" s="495" t="s">
        <v>347</v>
      </c>
      <c r="DU20" s="491">
        <f t="shared" si="22"/>
        <v>1</v>
      </c>
      <c r="ED20" s="121" t="s">
        <v>2</v>
      </c>
      <c r="EF20" s="732">
        <f>_xll.qDateNext($EF$14,ED20,"M",TRUE,$ED$11)</f>
        <v>40823</v>
      </c>
      <c r="EH20" s="386">
        <v>1.0600859999999999</v>
      </c>
      <c r="EI20" s="386">
        <v>1.0600859999999999</v>
      </c>
      <c r="EK20" s="386">
        <v>1</v>
      </c>
      <c r="EL20" s="386">
        <v>1</v>
      </c>
      <c r="EO20" s="460">
        <f t="shared" si="10"/>
        <v>-123.64000000000041</v>
      </c>
      <c r="EP20" s="460">
        <f t="shared" si="11"/>
        <v>-123.64000000000041</v>
      </c>
      <c r="EQ20" s="460">
        <f t="shared" si="23"/>
        <v>0</v>
      </c>
      <c r="ES20" s="635">
        <f t="shared" si="2"/>
        <v>1.0600859999999999</v>
      </c>
      <c r="ET20" s="635">
        <f t="shared" si="3"/>
        <v>1.0600859999999999</v>
      </c>
    </row>
    <row r="21" spans="11:189">
      <c r="K21" s="449" t="s">
        <v>8</v>
      </c>
      <c r="L21" s="445" t="s">
        <v>325</v>
      </c>
      <c r="M21" s="445" t="s">
        <v>325</v>
      </c>
      <c r="N21" s="445" t="s">
        <v>324</v>
      </c>
      <c r="O21" s="445" t="s">
        <v>325</v>
      </c>
      <c r="P21" s="445"/>
      <c r="Q21" s="445" t="s">
        <v>325</v>
      </c>
      <c r="R21" s="151" t="str">
        <v>S</v>
      </c>
      <c r="T21" s="445" t="s">
        <v>325</v>
      </c>
      <c r="U21" s="445" t="s">
        <v>323</v>
      </c>
      <c r="V21" s="445" t="s">
        <v>325</v>
      </c>
      <c r="W21" s="445" t="s">
        <v>325</v>
      </c>
      <c r="X21" s="445" t="s">
        <v>323</v>
      </c>
      <c r="Y21" s="445" t="s">
        <v>323</v>
      </c>
      <c r="Z21" s="151" t="str">
        <v>S</v>
      </c>
      <c r="AA21" s="151"/>
      <c r="AB21" s="150" t="str">
        <f t="shared" si="30"/>
        <v>AUD.ZB.6M|[Swap Pricer 1w.xlsm]AU!$BG$56#1131</v>
      </c>
      <c r="AC21" s="149" t="s">
        <v>78</v>
      </c>
      <c r="AE21" s="130" t="s">
        <v>18</v>
      </c>
      <c r="AF21" s="446" t="str">
        <v>S/S</v>
      </c>
      <c r="AG21" s="447" t="str">
        <v>Act/365</v>
      </c>
      <c r="AH21" s="447"/>
      <c r="AI21" s="712">
        <f>_xll.qGetSwapRate($O$7,AI$7,$AE21,$R31,$AG21,$F$7,,,,,TRUE,$AB31,$Z31,,$H$14)</f>
        <v>5.815883981554518</v>
      </c>
      <c r="AJ21" s="712">
        <f>_xll.qGetSwapRate($O$7,AJ$7,$AE21,$R31,$AG21,$F$7,,,,,TRUE,$AB31,$Z31,,$H$14)</f>
        <v>5.8188740591901258</v>
      </c>
      <c r="AK21" s="712">
        <f>_xll.qGetSwapRate($O$7,AK$7,$AE21,$R31,$AG21,$F$7,,,,,TRUE,$AB31,$Z31,,$H$14)</f>
        <v>5.8208206559570579</v>
      </c>
      <c r="AL21" s="712">
        <f>_xll.qGetSwapRate($O$7,AL$7,$AE21,$R31,$AG21,$F$7,,,,,TRUE,$AB31,$Z31,,$H$14)</f>
        <v>5.8227209095216397</v>
      </c>
      <c r="AM21" s="712">
        <f>_xll.qGetSwapRate($O$7,AM$7,$AE21,$R31,$AG21,$F$7,,,,,TRUE,$AB31,$Z31,,$H$14)</f>
        <v>5.832590627795132</v>
      </c>
      <c r="AN21" s="712">
        <f>_xll.qGetSwapRate($O$7,AN$7,$AE21,$R31,$AG21,$F$7,,,,,TRUE,$AB31,$Z31,,$H$14)</f>
        <v>5.8467233468906965</v>
      </c>
      <c r="AO21" s="712">
        <f>_xll.qGetSwapRate($O$7,AO$7,$AE21,$R31,$AG21,$F$7,,,,,TRUE,$AB31,$Z31,,$H$14)</f>
        <v>5.8600601269392074</v>
      </c>
      <c r="AP21" s="712">
        <f>_xll.qGetSwapRate($O$7,AP$7,$AE21,$R31,$AG21,$F$7,,,,,TRUE,$AB31,$Z31,,$H$14)</f>
        <v>5.8483773207192824</v>
      </c>
      <c r="AQ21" s="712">
        <f>_xll.qGetSwapRate($O$7,AQ$7,$AE21,$R31,$AG21,$F$7,,,,,TRUE,$AB31,$Z31,,$H$14)</f>
        <v>5.8116393591008126</v>
      </c>
      <c r="AR21" s="712">
        <f>_xll.qGetSwapRate($O$7,AR$7,$AE21,$R31,$AG21,$F$7,,,,,TRUE,$AB31,$Z31,,$H$14)</f>
        <v>5.7506950461826269</v>
      </c>
      <c r="AS21" s="712">
        <f>_xll.qGetSwapRate($O$7,AS$7,$AE21,$R31,$AG21,$F$7,,,,,TRUE,$AB31,$Z31,,$H$14)</f>
        <v>5.5539827290577586</v>
      </c>
      <c r="AT21" s="712">
        <f>_xll.qGetSwapRate($O$7,AT$7,$AE21,$R31,$AG21,$F$7,,,,,TRUE,$AB31,$Z31,,$H$14)</f>
        <v>5.1772718320713516</v>
      </c>
      <c r="AU21" s="352"/>
      <c r="AV21" s="712">
        <f>_xll.qGetSwapRate($O$7,AV$7,$AE21,$R31,$AG21,$F$7,,,,,TRUE,$AB31,$Z31,,$H$14)</f>
        <v>5.8560426719779644</v>
      </c>
      <c r="AW21" s="712">
        <f>_xll.qGetSwapRate($O$7,AW$7,$AE21,$R31,$AG21,$F$7,,,,,TRUE,$AB31,$Z31,,$H$14)</f>
        <v>5.8017899965238335</v>
      </c>
      <c r="BE21" s="120" t="s">
        <v>11</v>
      </c>
      <c r="BG21" s="526">
        <v>41281</v>
      </c>
      <c r="BH21" s="150" t="str">
        <f t="shared" si="4"/>
        <v>1.5Y</v>
      </c>
      <c r="BI21" s="386">
        <v>0.99200651210115254</v>
      </c>
      <c r="BJ21" s="268">
        <f>IF(BG21,_xll.qDateYears(BG20,BG21,$BJ$13),0)</f>
        <v>0.25</v>
      </c>
      <c r="BK21" s="268">
        <f t="shared" si="24"/>
        <v>152.20219311685071</v>
      </c>
      <c r="BM21" s="473">
        <f t="shared" si="12"/>
        <v>664.23347090412767</v>
      </c>
      <c r="BN21" s="463"/>
      <c r="BO21" s="470"/>
      <c r="BQ21" s="526">
        <v>41281</v>
      </c>
      <c r="BR21" s="151" t="str">
        <f t="shared" si="5"/>
        <v>1.5Y</v>
      </c>
      <c r="BS21" s="386">
        <v>0.92725704463546932</v>
      </c>
      <c r="BT21" s="268">
        <f>IF(BQ21,_xll.qDateYears(BQ20,BQ21,BT$13),0)</f>
        <v>0.24657534246575341</v>
      </c>
      <c r="BU21" s="268">
        <f t="shared" si="25"/>
        <v>144.2800126831599</v>
      </c>
      <c r="BW21" s="473">
        <f t="shared" si="13"/>
        <v>578.02960010488709</v>
      </c>
      <c r="BX21" s="466" t="s">
        <v>347</v>
      </c>
      <c r="BY21" s="125">
        <f t="shared" si="14"/>
        <v>1.1491340076418204</v>
      </c>
      <c r="CA21" s="475"/>
      <c r="CC21" s="526">
        <v>41281</v>
      </c>
      <c r="CD21" s="151" t="str">
        <f t="shared" si="6"/>
        <v>1.5Y</v>
      </c>
      <c r="CE21" s="386">
        <v>0.97460230081034882</v>
      </c>
      <c r="CF21" s="268">
        <f>IF(CC21,_xll.qDateYears(CC20,CC21,CF$13),0)</f>
        <v>0.25</v>
      </c>
      <c r="CG21" s="268">
        <f t="shared" si="26"/>
        <v>150.64975037047475</v>
      </c>
      <c r="CI21" s="473">
        <f t="shared" si="15"/>
        <v>651.98493982119669</v>
      </c>
      <c r="CJ21" s="466" t="s">
        <v>347</v>
      </c>
      <c r="CK21" s="125">
        <f t="shared" si="16"/>
        <v>1.0187865245572851</v>
      </c>
      <c r="CM21" s="136"/>
      <c r="CO21" s="526">
        <v>41281</v>
      </c>
      <c r="CP21" s="151" t="str">
        <f t="shared" si="7"/>
        <v>1.5Y</v>
      </c>
      <c r="CQ21" s="386">
        <v>0.98475101825561551</v>
      </c>
      <c r="CR21" s="268">
        <f>IF(CO21,_xll.qDateYears(CO20,CO21,CR$13),0)</f>
        <v>0.24657534246575341</v>
      </c>
      <c r="CS21" s="268">
        <f t="shared" si="27"/>
        <v>149.49313264386677</v>
      </c>
      <c r="CU21" s="473">
        <f t="shared" si="17"/>
        <v>648.63503099804905</v>
      </c>
      <c r="CV21" s="466" t="s">
        <v>347</v>
      </c>
      <c r="CW21" s="125">
        <f t="shared" si="18"/>
        <v>1.0240480997180763</v>
      </c>
      <c r="CX21" s="125"/>
      <c r="CY21" s="136"/>
      <c r="DA21" s="526">
        <v>41281</v>
      </c>
      <c r="DB21" s="151" t="str">
        <f t="shared" si="8"/>
        <v>1.5Y</v>
      </c>
      <c r="DC21" s="386">
        <v>0.95116584907813229</v>
      </c>
      <c r="DD21" s="268">
        <f>IF(DA21,_xll.qDateYears(DA20,DA21,DD$13),0)</f>
        <v>0.24657534246575341</v>
      </c>
      <c r="DE21" s="268">
        <f t="shared" si="28"/>
        <v>146.63897537721348</v>
      </c>
      <c r="DG21" s="473">
        <f t="shared" si="19"/>
        <v>596.40091483682977</v>
      </c>
      <c r="DH21" s="466" t="s">
        <v>347</v>
      </c>
      <c r="DI21" s="125">
        <f t="shared" si="20"/>
        <v>1.1137365057292985</v>
      </c>
      <c r="DJ21" s="125"/>
      <c r="DK21" s="136"/>
      <c r="DM21" s="526">
        <v>41281</v>
      </c>
      <c r="DN21" s="151" t="str">
        <f t="shared" si="9"/>
        <v>1.5Y</v>
      </c>
      <c r="DO21" s="386">
        <v>0.99200651210115254</v>
      </c>
      <c r="DP21" s="268">
        <f>IF(DM21,_xll.qDateYears(DM20,DM21,DP$13),0)</f>
        <v>0.25</v>
      </c>
      <c r="DQ21" s="268">
        <f t="shared" si="29"/>
        <v>152.20219311685071</v>
      </c>
      <c r="DS21" s="473">
        <f t="shared" si="21"/>
        <v>664.23347090412767</v>
      </c>
      <c r="DT21" s="466" t="s">
        <v>347</v>
      </c>
      <c r="DU21" s="125">
        <f t="shared" si="22"/>
        <v>1</v>
      </c>
      <c r="ED21" s="539" t="s">
        <v>3</v>
      </c>
      <c r="EE21" s="207"/>
      <c r="EF21" s="734">
        <f>_xll.qDateNext($EF$14,ED21,"M",TRUE,$ED$11)</f>
        <v>40854</v>
      </c>
      <c r="EG21" s="735"/>
      <c r="EH21" s="491">
        <v>1.0560109999999998</v>
      </c>
      <c r="EI21" s="491">
        <v>1.0560416732934288</v>
      </c>
      <c r="EJ21" s="730"/>
      <c r="EK21" s="491">
        <v>1</v>
      </c>
      <c r="EL21" s="491">
        <v>1</v>
      </c>
      <c r="EM21" s="207"/>
      <c r="EN21" s="207"/>
      <c r="EO21" s="736">
        <f t="shared" si="10"/>
        <v>-164.39000000000092</v>
      </c>
      <c r="EP21" s="736">
        <f t="shared" si="11"/>
        <v>-164.08326706571108</v>
      </c>
      <c r="EQ21" s="736">
        <f t="shared" si="23"/>
        <v>0.30673293428984039</v>
      </c>
      <c r="ER21" s="207"/>
      <c r="ES21" s="731">
        <f t="shared" si="2"/>
        <v>1.0560109999999998</v>
      </c>
      <c r="ET21" s="731">
        <f t="shared" si="3"/>
        <v>1.0560416732934288</v>
      </c>
    </row>
    <row r="22" spans="11:189">
      <c r="K22" s="449" t="s">
        <v>9</v>
      </c>
      <c r="L22" s="445" t="s">
        <v>325</v>
      </c>
      <c r="M22" s="445" t="s">
        <v>325</v>
      </c>
      <c r="N22" s="445" t="s">
        <v>324</v>
      </c>
      <c r="O22" s="445" t="s">
        <v>325</v>
      </c>
      <c r="P22" s="445"/>
      <c r="Q22" s="445" t="s">
        <v>325</v>
      </c>
      <c r="R22" s="151" t="str">
        <v>S</v>
      </c>
      <c r="T22" s="445" t="s">
        <v>325</v>
      </c>
      <c r="U22" s="445" t="s">
        <v>323</v>
      </c>
      <c r="V22" s="445" t="s">
        <v>325</v>
      </c>
      <c r="W22" s="445" t="s">
        <v>325</v>
      </c>
      <c r="X22" s="445" t="s">
        <v>323</v>
      </c>
      <c r="Y22" s="445" t="s">
        <v>323</v>
      </c>
      <c r="Z22" s="151" t="str">
        <v>S</v>
      </c>
      <c r="AA22" s="151"/>
      <c r="AB22" s="150" t="str">
        <f t="shared" si="30"/>
        <v>AUD.ZB.6M|[Swap Pricer 1w.xlsm]AU!$BG$56#1131</v>
      </c>
      <c r="AC22" s="149" t="s">
        <v>78</v>
      </c>
      <c r="AE22" s="130" t="s">
        <v>19</v>
      </c>
      <c r="AF22" s="446" t="str">
        <v>S/S</v>
      </c>
      <c r="AG22" s="447" t="str">
        <v>Act/365</v>
      </c>
      <c r="AH22" s="447"/>
      <c r="AI22" s="448">
        <f>_xll.qGetSwapRate($O$7,AI$7,$AE22,$R32,$AG22,$F$7,,,,,TRUE,$AB32,$Z32,,$H$14)</f>
        <v>5.6789775908320284</v>
      </c>
      <c r="AJ22" s="448">
        <f>_xll.qGetSwapRate($O$7,AJ$7,$AE22,$R32,$AG22,$F$7,,,,,TRUE,$AB32,$Z32,,$H$14)</f>
        <v>5.680315738437594</v>
      </c>
      <c r="AK22" s="448">
        <f>_xll.qGetSwapRate($O$7,AK$7,$AE22,$R32,$AG22,$F$7,,,,,TRUE,$AB32,$Z32,,$H$14)</f>
        <v>5.6806997303168192</v>
      </c>
      <c r="AL22" s="448">
        <f>_xll.qGetSwapRate($O$7,AL$7,$AE22,$R32,$AG22,$F$7,,,,,TRUE,$AB32,$Z32,,$H$14)</f>
        <v>5.6808524081857339</v>
      </c>
      <c r="AM22" s="448">
        <f>_xll.qGetSwapRate($O$7,AM$7,$AE22,$R32,$AG22,$F$7,,,,,TRUE,$AB32,$Z32,,$H$14)</f>
        <v>5.685454867083866</v>
      </c>
      <c r="AN22" s="448">
        <f>_xll.qGetSwapRate($O$7,AN$7,$AE22,$R32,$AG22,$F$7,,,,,TRUE,$AB32,$Z32,,$H$14)</f>
        <v>5.6891543289159747</v>
      </c>
      <c r="AO22" s="448">
        <f>_xll.qGetSwapRate($O$7,AO$7,$AE22,$R32,$AG22,$F$7,,,,,TRUE,$AB32,$Z32,,$H$14)</f>
        <v>5.6814106464047569</v>
      </c>
      <c r="AP22" s="448">
        <f>_xll.qGetSwapRate($O$7,AP$7,$AE22,$R32,$AG22,$F$7,,,,,TRUE,$AB32,$Z32,,$H$14)</f>
        <v>5.6486648278477203</v>
      </c>
      <c r="AQ22" s="448">
        <f>_xll.qGetSwapRate($O$7,AQ$7,$AE22,$R32,$AG22,$F$7,,,,,TRUE,$AB32,$Z32,,$H$14)</f>
        <v>5.5911802598358626</v>
      </c>
      <c r="AR22" s="448">
        <f>_xll.qGetSwapRate($O$7,AR$7,$AE22,$R32,$AG22,$F$7,,,,,TRUE,$AB32,$Z32,,$H$14)</f>
        <v>5.5094236766755076</v>
      </c>
      <c r="AS22" s="448">
        <f>_xll.qGetSwapRate($O$7,AS$7,$AE22,$R32,$AG22,$F$7,,,,,TRUE,$AB32,$Z32,,$H$14)</f>
        <v>5.2914123241300954</v>
      </c>
      <c r="AT22" s="448">
        <f>_xll.qGetSwapRate($O$7,AT$7,$AE22,$R32,$AG22,$F$7,,,,,TRUE,$AB32,$Z32,,$H$14)</f>
        <v>4.8877212642337211</v>
      </c>
      <c r="AV22" s="448">
        <f>_xll.qGetSwapRate($O$7,AV$7,$AE22,$R32,$AG22,$F$7,,,,,TRUE,$AB32,$Z32,,$H$14)</f>
        <v>5.6879215413114661</v>
      </c>
      <c r="AW22" s="448">
        <f>_xll.qGetSwapRate($O$7,AW$7,$AE22,$R32,$AG22,$F$7,,,,,TRUE,$AB32,$Z32,,$H$14)</f>
        <v>5.5773295701763823</v>
      </c>
      <c r="BE22" s="147" t="s">
        <v>12</v>
      </c>
      <c r="BF22" s="207"/>
      <c r="BG22" s="539">
        <v>41372</v>
      </c>
      <c r="BH22" s="147" t="str">
        <f t="shared" si="4"/>
        <v>1.75Y</v>
      </c>
      <c r="BI22" s="491">
        <v>0.98914688330477218</v>
      </c>
      <c r="BJ22" s="492">
        <f>IF(BG22,_xll.qDateYears(BG21,BG22,$BJ$13),0)</f>
        <v>0.25277777777777777</v>
      </c>
      <c r="BK22" s="492">
        <f t="shared" si="24"/>
        <v>177.20562822261022</v>
      </c>
      <c r="BL22" s="492"/>
      <c r="BM22" s="493">
        <f t="shared" si="12"/>
        <v>745.04739020378304</v>
      </c>
      <c r="BN22" s="465"/>
      <c r="BO22" s="494"/>
      <c r="BP22" s="492"/>
      <c r="BQ22" s="539">
        <v>41372</v>
      </c>
      <c r="BR22" s="464" t="str">
        <f t="shared" si="5"/>
        <v>1.75Y</v>
      </c>
      <c r="BS22" s="491">
        <v>0.91516232462324765</v>
      </c>
      <c r="BT22" s="492">
        <f>IF(BQ22,_xll.qDateYears(BQ21,BQ22,BT$13),0)</f>
        <v>0.24931506849315069</v>
      </c>
      <c r="BU22" s="492">
        <f t="shared" si="25"/>
        <v>167.09638844773949</v>
      </c>
      <c r="BV22" s="464"/>
      <c r="BW22" s="493">
        <f t="shared" si="13"/>
        <v>641.7877542208787</v>
      </c>
      <c r="BX22" s="495" t="s">
        <v>347</v>
      </c>
      <c r="BY22" s="491">
        <f t="shared" si="14"/>
        <v>1.1608937461081041</v>
      </c>
      <c r="BZ22" s="464"/>
      <c r="CA22" s="496"/>
      <c r="CB22" s="492"/>
      <c r="CC22" s="539">
        <v>41372</v>
      </c>
      <c r="CD22" s="464" t="str">
        <f t="shared" si="6"/>
        <v>1.75Y</v>
      </c>
      <c r="CE22" s="491">
        <v>0.96952065129163967</v>
      </c>
      <c r="CF22" s="492">
        <f>IF(CC22,_xll.qDateYears(CC21,CC22,CF$13),0)</f>
        <v>0.25277777777777777</v>
      </c>
      <c r="CG22" s="492">
        <f t="shared" si="26"/>
        <v>175.15707794479118</v>
      </c>
      <c r="CH22" s="464"/>
      <c r="CI22" s="493">
        <f t="shared" si="15"/>
        <v>732.95597639205698</v>
      </c>
      <c r="CJ22" s="495" t="s">
        <v>347</v>
      </c>
      <c r="CK22" s="491">
        <f t="shared" si="16"/>
        <v>1.0164967804359075</v>
      </c>
      <c r="CL22" s="207"/>
      <c r="CM22" s="497"/>
      <c r="CN22" s="492"/>
      <c r="CO22" s="539">
        <v>41372</v>
      </c>
      <c r="CP22" s="464" t="str">
        <f t="shared" si="7"/>
        <v>1.75Y</v>
      </c>
      <c r="CQ22" s="491">
        <v>0.98064482256384233</v>
      </c>
      <c r="CR22" s="492">
        <f>IF(CO22,_xll.qDateYears(CO21,CO22,CR$13),0)</f>
        <v>0.24931506849315069</v>
      </c>
      <c r="CS22" s="492">
        <f t="shared" si="27"/>
        <v>173.94208575436255</v>
      </c>
      <c r="CT22" s="464"/>
      <c r="CU22" s="493">
        <f t="shared" si="17"/>
        <v>727.86184434397137</v>
      </c>
      <c r="CV22" s="495" t="s">
        <v>347</v>
      </c>
      <c r="CW22" s="491">
        <f t="shared" si="18"/>
        <v>1.0236109997980471</v>
      </c>
      <c r="CX22" s="491"/>
      <c r="CY22" s="497"/>
      <c r="CZ22" s="492"/>
      <c r="DA22" s="539">
        <v>41372</v>
      </c>
      <c r="DB22" s="464" t="str">
        <f t="shared" si="8"/>
        <v>1.75Y</v>
      </c>
      <c r="DC22" s="491">
        <v>0.94119038600069405</v>
      </c>
      <c r="DD22" s="492">
        <f>IF(DA22,_xll.qDateYears(DA21,DA22,DD$13),0)</f>
        <v>0.24931506849315069</v>
      </c>
      <c r="DE22" s="492">
        <f t="shared" si="28"/>
        <v>170.10426993229927</v>
      </c>
      <c r="DF22" s="464"/>
      <c r="DG22" s="493">
        <f t="shared" si="19"/>
        <v>662.50129473924005</v>
      </c>
      <c r="DH22" s="495" t="s">
        <v>347</v>
      </c>
      <c r="DI22" s="491">
        <f t="shared" si="20"/>
        <v>1.1245976364424057</v>
      </c>
      <c r="DJ22" s="491"/>
      <c r="DK22" s="497"/>
      <c r="DL22" s="492"/>
      <c r="DM22" s="539">
        <v>41372</v>
      </c>
      <c r="DN22" s="464" t="str">
        <f t="shared" si="9"/>
        <v>1.75Y</v>
      </c>
      <c r="DO22" s="491">
        <v>0.98914688330477218</v>
      </c>
      <c r="DP22" s="492">
        <f>IF(DM22,_xll.qDateYears(DM21,DM22,DP$13),0)</f>
        <v>0.25277777777777777</v>
      </c>
      <c r="DQ22" s="492">
        <f t="shared" si="29"/>
        <v>177.20562822261022</v>
      </c>
      <c r="DR22" s="464"/>
      <c r="DS22" s="493">
        <f t="shared" si="21"/>
        <v>745.04739020378304</v>
      </c>
      <c r="DT22" s="495" t="s">
        <v>347</v>
      </c>
      <c r="DU22" s="491">
        <f t="shared" si="22"/>
        <v>1</v>
      </c>
      <c r="ED22" s="121" t="s">
        <v>4</v>
      </c>
      <c r="EF22" s="732">
        <f>_xll.qDateNext($EF$14,ED22,"M",TRUE,$ED$11)</f>
        <v>40884</v>
      </c>
      <c r="EH22" s="386">
        <v>1.0520839999999998</v>
      </c>
      <c r="EI22" s="386">
        <v>1.0521846927619232</v>
      </c>
      <c r="EK22" s="386">
        <v>1</v>
      </c>
      <c r="EL22" s="386">
        <v>1</v>
      </c>
      <c r="EO22" s="460">
        <f t="shared" si="10"/>
        <v>-203.66000000000105</v>
      </c>
      <c r="EP22" s="460">
        <f t="shared" si="11"/>
        <v>-202.65307238076736</v>
      </c>
      <c r="EQ22" s="460">
        <f t="shared" si="23"/>
        <v>1.0069276192336929</v>
      </c>
      <c r="ES22" s="635">
        <f t="shared" si="2"/>
        <v>1.0520839999999998</v>
      </c>
      <c r="ET22" s="635">
        <f t="shared" si="3"/>
        <v>1.0521846927619232</v>
      </c>
    </row>
    <row r="23" spans="11:189">
      <c r="K23" s="449" t="s">
        <v>10</v>
      </c>
      <c r="L23" s="445" t="s">
        <v>325</v>
      </c>
      <c r="M23" s="445" t="s">
        <v>325</v>
      </c>
      <c r="N23" s="445" t="s">
        <v>324</v>
      </c>
      <c r="O23" s="445" t="s">
        <v>325</v>
      </c>
      <c r="P23" s="445"/>
      <c r="Q23" s="445" t="s">
        <v>325</v>
      </c>
      <c r="R23" s="151" t="str">
        <v>S</v>
      </c>
      <c r="T23" s="445" t="s">
        <v>325</v>
      </c>
      <c r="U23" s="445" t="s">
        <v>323</v>
      </c>
      <c r="V23" s="445" t="s">
        <v>325</v>
      </c>
      <c r="W23" s="445" t="s">
        <v>325</v>
      </c>
      <c r="X23" s="445" t="s">
        <v>323</v>
      </c>
      <c r="Y23" s="445" t="s">
        <v>323</v>
      </c>
      <c r="Z23" s="151" t="str">
        <v>S</v>
      </c>
      <c r="AA23" s="151"/>
      <c r="AB23" s="150" t="str">
        <f t="shared" si="30"/>
        <v>AUD.ZB.6M|[Swap Pricer 1w.xlsm]AU!$BG$56#1131</v>
      </c>
      <c r="AC23" s="149" t="s">
        <v>78</v>
      </c>
      <c r="AE23" s="130"/>
      <c r="AF23" s="446"/>
      <c r="AG23" s="447"/>
      <c r="AH23" s="447"/>
      <c r="BE23" s="120" t="s">
        <v>13</v>
      </c>
      <c r="BG23" s="526">
        <v>41463</v>
      </c>
      <c r="BH23" s="150" t="str">
        <f t="shared" si="4"/>
        <v>2Y</v>
      </c>
      <c r="BI23" s="386">
        <v>0.98568940996803878</v>
      </c>
      <c r="BJ23" s="268">
        <f>IF(BG23,_xll.qDateYears(BG22,BG23,$BJ$13),0)</f>
        <v>0.25277777777777777</v>
      </c>
      <c r="BK23" s="268">
        <f t="shared" si="24"/>
        <v>202.1216660856912</v>
      </c>
      <c r="BM23" s="473">
        <f t="shared" si="12"/>
        <v>822.19031812504329</v>
      </c>
      <c r="BN23" s="463"/>
      <c r="BO23" s="470"/>
      <c r="BQ23" s="526">
        <v>41463</v>
      </c>
      <c r="BR23" s="151" t="str">
        <f t="shared" si="5"/>
        <v>2Y</v>
      </c>
      <c r="BS23" s="386">
        <v>0.90305019037096146</v>
      </c>
      <c r="BT23" s="268">
        <f>IF(BQ23,_xll.qDateYears(BQ22,BQ23,BT$13),0)</f>
        <v>0.24931506849315069</v>
      </c>
      <c r="BU23" s="268">
        <f t="shared" si="25"/>
        <v>189.61079045424839</v>
      </c>
      <c r="BW23" s="473">
        <f t="shared" si="13"/>
        <v>701.75921119972645</v>
      </c>
      <c r="BX23" s="466" t="s">
        <v>347</v>
      </c>
      <c r="BY23" s="125">
        <f t="shared" si="14"/>
        <v>1.1716131473635067</v>
      </c>
      <c r="CA23" s="475"/>
      <c r="CC23" s="526">
        <v>41463</v>
      </c>
      <c r="CD23" s="151" t="str">
        <f t="shared" si="6"/>
        <v>2Y</v>
      </c>
      <c r="CE23" s="386">
        <v>0.96426155819951775</v>
      </c>
      <c r="CF23" s="268">
        <f>IF(CC23,_xll.qDateYears(CC22,CC23,CF$13),0)</f>
        <v>0.25277777777777777</v>
      </c>
      <c r="CG23" s="268">
        <f t="shared" si="26"/>
        <v>199.53146733261232</v>
      </c>
      <c r="CI23" s="473">
        <f t="shared" si="15"/>
        <v>810.91791146567425</v>
      </c>
      <c r="CJ23" s="466" t="s">
        <v>347</v>
      </c>
      <c r="CK23" s="125">
        <f t="shared" si="16"/>
        <v>1.0139007987121593</v>
      </c>
      <c r="CM23" s="136"/>
      <c r="CO23" s="526">
        <v>41463</v>
      </c>
      <c r="CP23" s="151" t="str">
        <f t="shared" si="7"/>
        <v>2Y</v>
      </c>
      <c r="CQ23" s="386">
        <v>0.97599245882087904</v>
      </c>
      <c r="CR23" s="268">
        <f>IF(CO23,_xll.qDateYears(CO22,CO23,CR$13),0)</f>
        <v>0.24931506849315069</v>
      </c>
      <c r="CS23" s="268">
        <f t="shared" si="27"/>
        <v>198.27504842633516</v>
      </c>
      <c r="CU23" s="473">
        <f t="shared" si="17"/>
        <v>803.57664200936108</v>
      </c>
      <c r="CV23" s="466" t="s">
        <v>347</v>
      </c>
      <c r="CW23" s="125">
        <f t="shared" si="18"/>
        <v>1.0231635355516784</v>
      </c>
      <c r="CX23" s="125"/>
      <c r="CY23" s="136"/>
      <c r="DA23" s="526">
        <v>41463</v>
      </c>
      <c r="DB23" s="151" t="str">
        <f t="shared" si="8"/>
        <v>2Y</v>
      </c>
      <c r="DC23" s="386">
        <v>0.93071706767152185</v>
      </c>
      <c r="DD23" s="268">
        <f>IF(DA23,_xll.qDateYears(DA22,DA23,DD$13),0)</f>
        <v>0.24931506849315069</v>
      </c>
      <c r="DE23" s="268">
        <f t="shared" si="28"/>
        <v>193.30844887972626</v>
      </c>
      <c r="DG23" s="473">
        <f t="shared" si="19"/>
        <v>724.50155812748073</v>
      </c>
      <c r="DH23" s="466" t="s">
        <v>347</v>
      </c>
      <c r="DI23" s="125">
        <f t="shared" si="20"/>
        <v>1.1348358176758726</v>
      </c>
      <c r="DJ23" s="125"/>
      <c r="DK23" s="136"/>
      <c r="DM23" s="526">
        <v>41463</v>
      </c>
      <c r="DN23" s="151" t="str">
        <f t="shared" si="9"/>
        <v>2Y</v>
      </c>
      <c r="DO23" s="386">
        <v>0.98568940996803878</v>
      </c>
      <c r="DP23" s="268">
        <f>IF(DM23,_xll.qDateYears(DM22,DM23,DP$13),0)</f>
        <v>0.25277777777777777</v>
      </c>
      <c r="DQ23" s="268">
        <f t="shared" si="29"/>
        <v>202.1216660856912</v>
      </c>
      <c r="DS23" s="473">
        <f t="shared" si="21"/>
        <v>822.19031812504329</v>
      </c>
      <c r="DT23" s="466" t="s">
        <v>347</v>
      </c>
      <c r="DU23" s="125">
        <f t="shared" si="22"/>
        <v>1</v>
      </c>
      <c r="ED23" s="539" t="s">
        <v>5</v>
      </c>
      <c r="EE23" s="207"/>
      <c r="EF23" s="734">
        <f>_xll.qDateNext($EF$14,ED23,"M",TRUE,$ED$11)</f>
        <v>40917</v>
      </c>
      <c r="EG23" s="735"/>
      <c r="EH23" s="491">
        <v>1.0478369999999999</v>
      </c>
      <c r="EI23" s="491">
        <v>1.0478364831309359</v>
      </c>
      <c r="EJ23" s="730"/>
      <c r="EK23" s="491">
        <v>1</v>
      </c>
      <c r="EL23" s="491">
        <v>1</v>
      </c>
      <c r="EM23" s="207"/>
      <c r="EN23" s="207"/>
      <c r="EO23" s="736">
        <f t="shared" si="10"/>
        <v>-246.12999999999997</v>
      </c>
      <c r="EP23" s="736">
        <f t="shared" si="11"/>
        <v>-246.13516869063989</v>
      </c>
      <c r="EQ23" s="736">
        <f t="shared" si="23"/>
        <v>-5.1686906399197596E-3</v>
      </c>
      <c r="ER23" s="207"/>
      <c r="ES23" s="731">
        <f t="shared" si="2"/>
        <v>1.0478369999999999</v>
      </c>
      <c r="ET23" s="731">
        <f t="shared" si="3"/>
        <v>1.0478364831309359</v>
      </c>
    </row>
    <row r="24" spans="11:189">
      <c r="K24" s="449" t="s">
        <v>11</v>
      </c>
      <c r="L24" s="445" t="s">
        <v>325</v>
      </c>
      <c r="M24" s="445" t="s">
        <v>325</v>
      </c>
      <c r="N24" s="445" t="s">
        <v>324</v>
      </c>
      <c r="O24" s="445" t="s">
        <v>325</v>
      </c>
      <c r="P24" s="445"/>
      <c r="Q24" s="445" t="s">
        <v>325</v>
      </c>
      <c r="R24" s="151" t="str">
        <v>S</v>
      </c>
      <c r="T24" s="445" t="s">
        <v>325</v>
      </c>
      <c r="U24" s="445" t="s">
        <v>323</v>
      </c>
      <c r="V24" s="445" t="s">
        <v>325</v>
      </c>
      <c r="W24" s="445" t="s">
        <v>325</v>
      </c>
      <c r="X24" s="445" t="s">
        <v>323</v>
      </c>
      <c r="Y24" s="445" t="s">
        <v>323</v>
      </c>
      <c r="Z24" s="151" t="str">
        <v>S</v>
      </c>
      <c r="AA24" s="151"/>
      <c r="AB24" s="150" t="str">
        <f t="shared" si="30"/>
        <v>AUD.ZB.6M|[Swap Pricer 1w.xlsm]AU!$BG$56#1131</v>
      </c>
      <c r="AC24" s="149" t="s">
        <v>78</v>
      </c>
      <c r="AE24" s="120" t="s">
        <v>78</v>
      </c>
      <c r="BE24" s="147" t="s">
        <v>14</v>
      </c>
      <c r="BF24" s="207"/>
      <c r="BG24" s="539">
        <v>41555</v>
      </c>
      <c r="BH24" s="147" t="str">
        <f t="shared" si="4"/>
        <v>2.25Y</v>
      </c>
      <c r="BI24" s="491">
        <v>0.98156018075719853</v>
      </c>
      <c r="BJ24" s="492">
        <f>IF(BG24,_xll.qDateYears(BG23,BG24,$BJ$13),0)</f>
        <v>0.25555555555555554</v>
      </c>
      <c r="BK24" s="492">
        <f t="shared" si="24"/>
        <v>227.20598181615293</v>
      </c>
      <c r="BL24" s="492"/>
      <c r="BM24" s="493">
        <f t="shared" si="12"/>
        <v>895.55165367303448</v>
      </c>
      <c r="BN24" s="465"/>
      <c r="BO24" s="494"/>
      <c r="BP24" s="492"/>
      <c r="BQ24" s="539">
        <v>41555</v>
      </c>
      <c r="BR24" s="464" t="str">
        <f t="shared" si="5"/>
        <v>2.25Y</v>
      </c>
      <c r="BS24" s="491">
        <v>0.89078743971779639</v>
      </c>
      <c r="BT24" s="492">
        <f>IF(BQ24,_xll.qDateYears(BQ23,BQ24,BT$13),0)</f>
        <v>0.25205479452054796</v>
      </c>
      <c r="BU24" s="492">
        <f t="shared" si="25"/>
        <v>212.06351496220381</v>
      </c>
      <c r="BV24" s="464"/>
      <c r="BW24" s="493">
        <f t="shared" si="13"/>
        <v>757.97987317369757</v>
      </c>
      <c r="BX24" s="495" t="s">
        <v>347</v>
      </c>
      <c r="BY24" s="491">
        <f t="shared" si="14"/>
        <v>1.1814979333465905</v>
      </c>
      <c r="BZ24" s="464"/>
      <c r="CA24" s="496"/>
      <c r="CB24" s="492"/>
      <c r="CC24" s="539">
        <v>41555</v>
      </c>
      <c r="CD24" s="464" t="str">
        <f t="shared" si="6"/>
        <v>2.25Y</v>
      </c>
      <c r="CE24" s="491">
        <v>0.95864132178227157</v>
      </c>
      <c r="CF24" s="492">
        <f>IF(CC24,_xll.qDateYears(CC23,CC24,CF$13),0)</f>
        <v>0.25555555555555554</v>
      </c>
      <c r="CG24" s="492">
        <f t="shared" si="26"/>
        <v>224.03007888927038</v>
      </c>
      <c r="CH24" s="464"/>
      <c r="CI24" s="493">
        <f t="shared" si="15"/>
        <v>885.72139271544984</v>
      </c>
      <c r="CJ24" s="495" t="s">
        <v>347</v>
      </c>
      <c r="CK24" s="491">
        <f t="shared" si="16"/>
        <v>1.0110985926708251</v>
      </c>
      <c r="CL24" s="207"/>
      <c r="CM24" s="497"/>
      <c r="CN24" s="492"/>
      <c r="CO24" s="539">
        <v>41555</v>
      </c>
      <c r="CP24" s="464" t="str">
        <f t="shared" si="7"/>
        <v>2.25Y</v>
      </c>
      <c r="CQ24" s="491">
        <v>0.97083001048403483</v>
      </c>
      <c r="CR24" s="492">
        <f>IF(CO24,_xll.qDateYears(CO23,CO24,CR$13),0)</f>
        <v>0.25205479452054796</v>
      </c>
      <c r="CS24" s="492">
        <f t="shared" si="27"/>
        <v>222.74528430702864</v>
      </c>
      <c r="CT24" s="464"/>
      <c r="CU24" s="493">
        <f t="shared" si="17"/>
        <v>875.64159736714726</v>
      </c>
      <c r="CV24" s="495" t="s">
        <v>347</v>
      </c>
      <c r="CW24" s="491">
        <f t="shared" si="18"/>
        <v>1.0227376775677997</v>
      </c>
      <c r="CX24" s="491"/>
      <c r="CY24" s="497"/>
      <c r="CZ24" s="492"/>
      <c r="DA24" s="539">
        <v>41555</v>
      </c>
      <c r="DB24" s="464" t="str">
        <f t="shared" si="8"/>
        <v>2.25Y</v>
      </c>
      <c r="DC24" s="491">
        <v>0.91985763226443251</v>
      </c>
      <c r="DD24" s="492">
        <f>IF(DA24,_xll.qDateYears(DA23,DA24,DD$13),0)</f>
        <v>0.25205479452054796</v>
      </c>
      <c r="DE24" s="492">
        <f t="shared" si="28"/>
        <v>216.49390152858319</v>
      </c>
      <c r="DF24" s="464"/>
      <c r="DG24" s="493">
        <f t="shared" si="19"/>
        <v>782.31845590649596</v>
      </c>
      <c r="DH24" s="495" t="s">
        <v>347</v>
      </c>
      <c r="DI24" s="491">
        <f t="shared" si="20"/>
        <v>1.1447405425650246</v>
      </c>
      <c r="DJ24" s="491"/>
      <c r="DK24" s="497"/>
      <c r="DL24" s="492"/>
      <c r="DM24" s="539">
        <v>41555</v>
      </c>
      <c r="DN24" s="464" t="str">
        <f t="shared" si="9"/>
        <v>2.25Y</v>
      </c>
      <c r="DO24" s="491">
        <v>0.98156018075719853</v>
      </c>
      <c r="DP24" s="492">
        <f>IF(DM24,_xll.qDateYears(DM23,DM24,DP$13),0)</f>
        <v>0.25555555555555554</v>
      </c>
      <c r="DQ24" s="492">
        <f t="shared" si="29"/>
        <v>227.20598181615293</v>
      </c>
      <c r="DR24" s="464"/>
      <c r="DS24" s="493">
        <f t="shared" si="21"/>
        <v>895.55165367303448</v>
      </c>
      <c r="DT24" s="495" t="s">
        <v>347</v>
      </c>
      <c r="DU24" s="491">
        <f t="shared" si="22"/>
        <v>1</v>
      </c>
      <c r="ED24" s="121" t="s">
        <v>30</v>
      </c>
      <c r="EF24" s="732">
        <f>_xll.qDateNext($EF$14,ED24,"M",TRUE,$ED$11)</f>
        <v>41009</v>
      </c>
      <c r="EH24" s="386">
        <v>1.0359699999999998</v>
      </c>
      <c r="EI24" s="386">
        <v>1.0359694963360797</v>
      </c>
      <c r="EK24" s="386">
        <v>1</v>
      </c>
      <c r="EL24" s="386">
        <v>1</v>
      </c>
      <c r="EO24" s="460">
        <f t="shared" si="10"/>
        <v>-364.80000000000069</v>
      </c>
      <c r="EP24" s="460">
        <f t="shared" si="11"/>
        <v>-364.80503663920194</v>
      </c>
      <c r="EQ24" s="460">
        <f t="shared" si="23"/>
        <v>-5.0366392012506367E-3</v>
      </c>
      <c r="ES24" s="635">
        <f t="shared" si="2"/>
        <v>1.0359699999999998</v>
      </c>
      <c r="ET24" s="635">
        <f t="shared" si="3"/>
        <v>1.0359694963360797</v>
      </c>
    </row>
    <row r="25" spans="11:189">
      <c r="K25" s="449" t="s">
        <v>12</v>
      </c>
      <c r="L25" s="445" t="s">
        <v>325</v>
      </c>
      <c r="M25" s="445" t="s">
        <v>325</v>
      </c>
      <c r="N25" s="445" t="s">
        <v>324</v>
      </c>
      <c r="O25" s="445" t="s">
        <v>325</v>
      </c>
      <c r="P25" s="445"/>
      <c r="Q25" s="445" t="s">
        <v>325</v>
      </c>
      <c r="R25" s="151" t="str">
        <v>S</v>
      </c>
      <c r="T25" s="445" t="s">
        <v>325</v>
      </c>
      <c r="U25" s="445" t="s">
        <v>323</v>
      </c>
      <c r="V25" s="445" t="s">
        <v>325</v>
      </c>
      <c r="W25" s="445" t="s">
        <v>325</v>
      </c>
      <c r="X25" s="445" t="s">
        <v>323</v>
      </c>
      <c r="Y25" s="445" t="s">
        <v>323</v>
      </c>
      <c r="Z25" s="151" t="str">
        <v>S</v>
      </c>
      <c r="AA25" s="151"/>
      <c r="AB25" s="150" t="str">
        <f t="shared" si="30"/>
        <v>AUD.ZB.6M|[Swap Pricer 1w.xlsm]AU!$BG$56#1131</v>
      </c>
      <c r="AC25" s="149" t="s">
        <v>78</v>
      </c>
      <c r="AE25" s="451">
        <v>1</v>
      </c>
      <c r="BE25" s="120" t="s">
        <v>199</v>
      </c>
      <c r="BG25" s="526">
        <v>41646</v>
      </c>
      <c r="BH25" s="150" t="str">
        <f t="shared" si="4"/>
        <v>2.5Y</v>
      </c>
      <c r="BI25" s="386">
        <v>0.97685554927846319</v>
      </c>
      <c r="BJ25" s="268">
        <f>IF(BG25,_xll.qDateYears(BG24,BG25,$BJ$13),0)</f>
        <v>0.25277777777777777</v>
      </c>
      <c r="BK25" s="268">
        <f t="shared" si="24"/>
        <v>251.89871931180298</v>
      </c>
      <c r="BM25" s="473">
        <f t="shared" si="12"/>
        <v>965.33335595081689</v>
      </c>
      <c r="BN25" s="463"/>
      <c r="BO25" s="470"/>
      <c r="BQ25" s="526">
        <v>41646</v>
      </c>
      <c r="BR25" s="151" t="str">
        <f t="shared" si="5"/>
        <v>2.5Y</v>
      </c>
      <c r="BS25" s="386">
        <v>0.87852612520442996</v>
      </c>
      <c r="BT25" s="268">
        <f>IF(BQ25,_xll.qDateYears(BQ24,BQ25,BT$13),0)</f>
        <v>0.24931506849315069</v>
      </c>
      <c r="BU25" s="268">
        <f t="shared" si="25"/>
        <v>233.96649507004028</v>
      </c>
      <c r="BW25" s="473">
        <f t="shared" si="13"/>
        <v>810.72748573266892</v>
      </c>
      <c r="BX25" s="466" t="s">
        <v>347</v>
      </c>
      <c r="BY25" s="125">
        <f t="shared" si="14"/>
        <v>1.190700171067258</v>
      </c>
      <c r="CA25" s="475"/>
      <c r="CC25" s="526">
        <v>41646</v>
      </c>
      <c r="CD25" s="151" t="str">
        <f t="shared" si="6"/>
        <v>2.5Y</v>
      </c>
      <c r="CE25" s="386">
        <v>0.95275712748356356</v>
      </c>
      <c r="CF25" s="268">
        <f>IF(CC25,_xll.qDateYears(CC24,CC25,CF$13),0)</f>
        <v>0.25277777777777777</v>
      </c>
      <c r="CG25" s="268">
        <f t="shared" si="26"/>
        <v>248.1136618339938</v>
      </c>
      <c r="CI25" s="473">
        <f t="shared" si="15"/>
        <v>957.40630736572564</v>
      </c>
      <c r="CJ25" s="466" t="s">
        <v>347</v>
      </c>
      <c r="CK25" s="125">
        <f t="shared" si="16"/>
        <v>1.0082797120972624</v>
      </c>
      <c r="CM25" s="136"/>
      <c r="CO25" s="526">
        <v>41646</v>
      </c>
      <c r="CP25" s="151" t="str">
        <f t="shared" si="7"/>
        <v>2.5Y</v>
      </c>
      <c r="CQ25" s="386">
        <v>0.96517155212844641</v>
      </c>
      <c r="CR25" s="268">
        <f>IF(CO25,_xll.qDateYears(CO24,CO25,CR$13),0)</f>
        <v>0.24931506849315069</v>
      </c>
      <c r="CS25" s="268">
        <f t="shared" si="27"/>
        <v>246.80846546968306</v>
      </c>
      <c r="CU25" s="473">
        <f t="shared" si="17"/>
        <v>944.25890007369935</v>
      </c>
      <c r="CV25" s="466" t="s">
        <v>347</v>
      </c>
      <c r="CW25" s="125">
        <f t="shared" si="18"/>
        <v>1.0223185144195863</v>
      </c>
      <c r="CX25" s="125"/>
      <c r="CY25" s="136"/>
      <c r="DA25" s="526">
        <v>41646</v>
      </c>
      <c r="DB25" s="151" t="str">
        <f t="shared" si="8"/>
        <v>2.5Y</v>
      </c>
      <c r="DC25" s="386">
        <v>0.90869652363506859</v>
      </c>
      <c r="DD25" s="268">
        <f>IF(DA25,_xll.qDateYears(DA24,DA25,DD$13),0)</f>
        <v>0.24931506849315069</v>
      </c>
      <c r="DE25" s="268">
        <f t="shared" si="28"/>
        <v>239.14907513153969</v>
      </c>
      <c r="DG25" s="473">
        <f t="shared" si="19"/>
        <v>836.46341311490892</v>
      </c>
      <c r="DH25" s="466" t="s">
        <v>347</v>
      </c>
      <c r="DI25" s="125">
        <f t="shared" si="20"/>
        <v>1.1540652475832849</v>
      </c>
      <c r="DJ25" s="125"/>
      <c r="DK25" s="136"/>
      <c r="DM25" s="526">
        <v>41646</v>
      </c>
      <c r="DN25" s="151" t="str">
        <f t="shared" si="9"/>
        <v>2.5Y</v>
      </c>
      <c r="DO25" s="386">
        <v>0.97685554927846319</v>
      </c>
      <c r="DP25" s="268">
        <f>IF(DM25,_xll.qDateYears(DM24,DM25,DP$13),0)</f>
        <v>0.25277777777777777</v>
      </c>
      <c r="DQ25" s="268">
        <f t="shared" si="29"/>
        <v>251.89871931180298</v>
      </c>
      <c r="DS25" s="473">
        <f t="shared" si="21"/>
        <v>965.33335595081689</v>
      </c>
      <c r="DT25" s="466" t="s">
        <v>347</v>
      </c>
      <c r="DU25" s="125">
        <f t="shared" si="22"/>
        <v>1</v>
      </c>
      <c r="ED25" s="539" t="s">
        <v>25</v>
      </c>
      <c r="EE25" s="207"/>
      <c r="EF25" s="734">
        <f>_xll.qDateNext($EF$14,ED25,"M",TRUE,$ED$11)</f>
        <v>41099</v>
      </c>
      <c r="EG25" s="735"/>
      <c r="EH25" s="491">
        <v>1.0246659999999999</v>
      </c>
      <c r="EI25" s="491">
        <v>1.0247003913706307</v>
      </c>
      <c r="EJ25" s="730"/>
      <c r="EK25" s="491">
        <v>1</v>
      </c>
      <c r="EL25" s="491">
        <v>1</v>
      </c>
      <c r="EM25" s="207"/>
      <c r="EN25" s="207"/>
      <c r="EO25" s="736">
        <f t="shared" si="10"/>
        <v>-477.84000000000049</v>
      </c>
      <c r="EP25" s="736">
        <f t="shared" si="11"/>
        <v>-477.49608629369169</v>
      </c>
      <c r="EQ25" s="736">
        <f t="shared" si="23"/>
        <v>0.34391370630879692</v>
      </c>
      <c r="ER25" s="207"/>
      <c r="ES25" s="731">
        <f t="shared" si="2"/>
        <v>1.0246659999999999</v>
      </c>
      <c r="ET25" s="731">
        <f t="shared" si="3"/>
        <v>1.0247003913706307</v>
      </c>
    </row>
    <row r="26" spans="11:189">
      <c r="K26" s="449" t="s">
        <v>13</v>
      </c>
      <c r="L26" s="445" t="s">
        <v>325</v>
      </c>
      <c r="M26" s="445" t="s">
        <v>325</v>
      </c>
      <c r="N26" s="445" t="s">
        <v>324</v>
      </c>
      <c r="O26" s="445" t="s">
        <v>325</v>
      </c>
      <c r="P26" s="445"/>
      <c r="Q26" s="445" t="s">
        <v>325</v>
      </c>
      <c r="R26" s="151" t="str">
        <v>S</v>
      </c>
      <c r="T26" s="445" t="s">
        <v>325</v>
      </c>
      <c r="U26" s="445" t="s">
        <v>323</v>
      </c>
      <c r="V26" s="445" t="s">
        <v>325</v>
      </c>
      <c r="W26" s="445" t="s">
        <v>325</v>
      </c>
      <c r="X26" s="445" t="s">
        <v>323</v>
      </c>
      <c r="Y26" s="445" t="s">
        <v>323</v>
      </c>
      <c r="Z26" s="151" t="str">
        <v>S</v>
      </c>
      <c r="AA26" s="151"/>
      <c r="AB26" s="150" t="str">
        <f t="shared" si="30"/>
        <v>AUD.ZB.6M|[Swap Pricer 1w.xlsm]AU!$BG$56#1131</v>
      </c>
      <c r="AC26" s="149" t="s">
        <v>78</v>
      </c>
      <c r="AE26" s="451">
        <v>2</v>
      </c>
      <c r="BE26" s="147" t="s">
        <v>15</v>
      </c>
      <c r="BF26" s="207"/>
      <c r="BG26" s="539">
        <v>41736</v>
      </c>
      <c r="BH26" s="147" t="str">
        <f t="shared" si="4"/>
        <v>2.75Y</v>
      </c>
      <c r="BI26" s="491">
        <v>0.97159461169130534</v>
      </c>
      <c r="BJ26" s="492">
        <f>IF(BG26,_xll.qDateYears(BG25,BG26,$BJ$13),0)</f>
        <v>0.25</v>
      </c>
      <c r="BK26" s="492">
        <f t="shared" si="24"/>
        <v>276.18858460408563</v>
      </c>
      <c r="BL26" s="492"/>
      <c r="BM26" s="493">
        <f t="shared" si="12"/>
        <v>1031.597751635944</v>
      </c>
      <c r="BN26" s="465"/>
      <c r="BO26" s="494"/>
      <c r="BP26" s="492"/>
      <c r="BQ26" s="539">
        <v>41736</v>
      </c>
      <c r="BR26" s="464" t="str">
        <f t="shared" si="5"/>
        <v>2.75Y</v>
      </c>
      <c r="BS26" s="491">
        <v>0.86637637474451334</v>
      </c>
      <c r="BT26" s="492">
        <f>IF(BQ26,_xll.qDateYears(BQ25,BQ26,BT$13),0)</f>
        <v>0.24657534246575341</v>
      </c>
      <c r="BU26" s="492">
        <f t="shared" si="25"/>
        <v>255.32920020072692</v>
      </c>
      <c r="BV26" s="464"/>
      <c r="BW26" s="493">
        <f t="shared" si="13"/>
        <v>860.23465958511861</v>
      </c>
      <c r="BX26" s="495" t="s">
        <v>347</v>
      </c>
      <c r="BY26" s="491">
        <f t="shared" si="14"/>
        <v>1.1992050542737627</v>
      </c>
      <c r="BZ26" s="464"/>
      <c r="CA26" s="496"/>
      <c r="CB26" s="492"/>
      <c r="CC26" s="539">
        <v>41736</v>
      </c>
      <c r="CD26" s="464" t="str">
        <f t="shared" si="6"/>
        <v>2.75Y</v>
      </c>
      <c r="CE26" s="491">
        <v>0.94657797917741304</v>
      </c>
      <c r="CF26" s="492">
        <f>IF(CC26,_xll.qDateYears(CC25,CC26,CF$13),0)</f>
        <v>0.25</v>
      </c>
      <c r="CG26" s="492">
        <f t="shared" si="26"/>
        <v>271.77811131342912</v>
      </c>
      <c r="CH26" s="464"/>
      <c r="CI26" s="493">
        <f t="shared" si="15"/>
        <v>1025.8982146455335</v>
      </c>
      <c r="CJ26" s="495" t="s">
        <v>347</v>
      </c>
      <c r="CK26" s="491">
        <f t="shared" si="16"/>
        <v>1.0055556554334972</v>
      </c>
      <c r="CL26" s="207"/>
      <c r="CM26" s="497"/>
      <c r="CN26" s="492"/>
      <c r="CO26" s="539">
        <v>41736</v>
      </c>
      <c r="CP26" s="464" t="str">
        <f t="shared" si="7"/>
        <v>2.75Y</v>
      </c>
      <c r="CQ26" s="491">
        <v>0.95912445186475093</v>
      </c>
      <c r="CR26" s="492">
        <f>IF(CO26,_xll.qDateYears(CO25,CO26,CR$13),0)</f>
        <v>0.24657534246575341</v>
      </c>
      <c r="CS26" s="492">
        <f t="shared" si="27"/>
        <v>270.45810948826596</v>
      </c>
      <c r="CT26" s="464"/>
      <c r="CU26" s="493">
        <f t="shared" si="17"/>
        <v>1009.5271583675129</v>
      </c>
      <c r="CV26" s="495" t="s">
        <v>347</v>
      </c>
      <c r="CW26" s="491">
        <f t="shared" si="18"/>
        <v>1.0218623076016311</v>
      </c>
      <c r="CX26" s="491"/>
      <c r="CY26" s="497"/>
      <c r="CZ26" s="492"/>
      <c r="DA26" s="539">
        <v>41736</v>
      </c>
      <c r="DB26" s="464" t="str">
        <f t="shared" si="8"/>
        <v>2.75Y</v>
      </c>
      <c r="DC26" s="491">
        <v>0.89726571012554224</v>
      </c>
      <c r="DD26" s="492">
        <f>IF(DA26,_xll.qDateYears(DA25,DA26,DD$13),0)</f>
        <v>0.24657534246575341</v>
      </c>
      <c r="DE26" s="492">
        <f t="shared" si="28"/>
        <v>261.27343510723802</v>
      </c>
      <c r="DF26" s="464"/>
      <c r="DG26" s="493">
        <f t="shared" si="19"/>
        <v>887.32466077742538</v>
      </c>
      <c r="DH26" s="495" t="s">
        <v>347</v>
      </c>
      <c r="DI26" s="491">
        <f t="shared" si="20"/>
        <v>1.1625933519441625</v>
      </c>
      <c r="DJ26" s="491"/>
      <c r="DK26" s="497"/>
      <c r="DL26" s="492"/>
      <c r="DM26" s="539">
        <v>41736</v>
      </c>
      <c r="DN26" s="464" t="str">
        <f t="shared" si="9"/>
        <v>2.75Y</v>
      </c>
      <c r="DO26" s="491">
        <v>0.97159461169130534</v>
      </c>
      <c r="DP26" s="492">
        <f>IF(DM26,_xll.qDateYears(DM25,DM26,DP$13),0)</f>
        <v>0.25</v>
      </c>
      <c r="DQ26" s="492">
        <f t="shared" si="29"/>
        <v>276.18858460408563</v>
      </c>
      <c r="DR26" s="464"/>
      <c r="DS26" s="493">
        <f t="shared" si="21"/>
        <v>1031.597751635944</v>
      </c>
      <c r="DT26" s="495" t="s">
        <v>347</v>
      </c>
      <c r="DU26" s="491">
        <f t="shared" si="22"/>
        <v>1</v>
      </c>
      <c r="ED26" s="121" t="s">
        <v>26</v>
      </c>
      <c r="EF26" s="732">
        <f>_xll.qDateNext($EF$14,ED26,"M",TRUE,$ED$11)</f>
        <v>41463</v>
      </c>
      <c r="EH26" s="386">
        <v>0.98343299999999989</v>
      </c>
      <c r="EI26" s="386">
        <v>0.98278474395029958</v>
      </c>
      <c r="EK26" s="386">
        <v>1</v>
      </c>
      <c r="EL26" s="386">
        <v>1</v>
      </c>
      <c r="EO26" s="460">
        <f t="shared" si="10"/>
        <v>-890.17000000000007</v>
      </c>
      <c r="EP26" s="460">
        <f t="shared" si="11"/>
        <v>-896.65256049700326</v>
      </c>
      <c r="EQ26" s="460">
        <f t="shared" si="23"/>
        <v>-6.4825604970031918</v>
      </c>
      <c r="ES26" s="635">
        <f t="shared" si="2"/>
        <v>0.98343299999999989</v>
      </c>
      <c r="ET26" s="635">
        <f t="shared" si="3"/>
        <v>0.98278474395029958</v>
      </c>
    </row>
    <row r="27" spans="11:189">
      <c r="K27" s="449" t="s">
        <v>14</v>
      </c>
      <c r="L27" s="445" t="s">
        <v>325</v>
      </c>
      <c r="M27" s="445" t="s">
        <v>325</v>
      </c>
      <c r="N27" s="445" t="s">
        <v>324</v>
      </c>
      <c r="O27" s="445" t="s">
        <v>325</v>
      </c>
      <c r="P27" s="445"/>
      <c r="Q27" s="445" t="s">
        <v>325</v>
      </c>
      <c r="R27" s="151" t="str">
        <v>S</v>
      </c>
      <c r="T27" s="445" t="s">
        <v>325</v>
      </c>
      <c r="U27" s="445" t="s">
        <v>323</v>
      </c>
      <c r="V27" s="445" t="s">
        <v>325</v>
      </c>
      <c r="W27" s="445" t="s">
        <v>325</v>
      </c>
      <c r="X27" s="445" t="s">
        <v>323</v>
      </c>
      <c r="Y27" s="445" t="s">
        <v>323</v>
      </c>
      <c r="Z27" s="151" t="str">
        <v>S</v>
      </c>
      <c r="AA27" s="151"/>
      <c r="AB27" s="150" t="str">
        <f t="shared" si="30"/>
        <v>AUD.ZB.6M|[Swap Pricer 1w.xlsm]AU!$BG$56#1131</v>
      </c>
      <c r="AC27" s="149" t="s">
        <v>78</v>
      </c>
      <c r="AE27" s="451">
        <v>3</v>
      </c>
      <c r="BE27" s="120" t="s">
        <v>16</v>
      </c>
      <c r="BG27" s="526">
        <v>41827</v>
      </c>
      <c r="BH27" s="150" t="str">
        <f t="shared" si="4"/>
        <v>3Y</v>
      </c>
      <c r="BI27" s="386">
        <v>0.9656987277099417</v>
      </c>
      <c r="BJ27" s="268">
        <f>IF(BG27,_xll.qDateYears(BG26,BG27,$BJ$13),0)</f>
        <v>0.25277777777777777</v>
      </c>
      <c r="BK27" s="268">
        <f t="shared" si="24"/>
        <v>300.59930244342024</v>
      </c>
      <c r="BM27" s="473">
        <f t="shared" si="12"/>
        <v>1211.5372581600959</v>
      </c>
      <c r="BN27" s="463"/>
      <c r="BO27" s="470"/>
      <c r="BQ27" s="526">
        <v>41827</v>
      </c>
      <c r="BR27" s="151" t="str">
        <f t="shared" si="5"/>
        <v>3Y</v>
      </c>
      <c r="BS27" s="386">
        <v>0.85407391768263574</v>
      </c>
      <c r="BT27" s="268">
        <f>IF(BQ27,_xll.qDateYears(BQ26,BQ27,BT$13),0)</f>
        <v>0.24931506849315069</v>
      </c>
      <c r="BU27" s="268">
        <f t="shared" si="25"/>
        <v>276.6225499292529</v>
      </c>
      <c r="BW27" s="473">
        <f t="shared" si="13"/>
        <v>991.5707660456585</v>
      </c>
      <c r="BX27" s="466" t="s">
        <v>347</v>
      </c>
      <c r="BY27" s="125">
        <f t="shared" si="14"/>
        <v>1.2218364030553808</v>
      </c>
      <c r="CA27" s="475"/>
      <c r="CC27" s="526">
        <v>41827</v>
      </c>
      <c r="CD27" s="151" t="str">
        <f t="shared" si="6"/>
        <v>3Y</v>
      </c>
      <c r="CE27" s="386">
        <v>0.93986585840908154</v>
      </c>
      <c r="CF27" s="268">
        <f>IF(CC27,_xll.qDateYears(CC26,CC27,CF$13),0)</f>
        <v>0.25277777777777777</v>
      </c>
      <c r="CG27" s="268">
        <f t="shared" si="26"/>
        <v>295.53583162321422</v>
      </c>
      <c r="CI27" s="473">
        <f t="shared" si="15"/>
        <v>1213.573692036327</v>
      </c>
      <c r="CJ27" s="466" t="s">
        <v>347</v>
      </c>
      <c r="CK27" s="125">
        <f t="shared" si="16"/>
        <v>0.99832195284918046</v>
      </c>
      <c r="CM27" s="136"/>
      <c r="CO27" s="526">
        <v>41827</v>
      </c>
      <c r="CP27" s="151" t="str">
        <f t="shared" si="7"/>
        <v>3Y</v>
      </c>
      <c r="CQ27" s="386">
        <v>0.95256357736475306</v>
      </c>
      <c r="CR27" s="268">
        <f>IF(CO27,_xll.qDateYears(CO26,CO27,CR$13),0)</f>
        <v>0.24931506849315069</v>
      </c>
      <c r="CS27" s="268">
        <f t="shared" si="27"/>
        <v>294.20695484174337</v>
      </c>
      <c r="CU27" s="473">
        <f t="shared" si="17"/>
        <v>1187.5211936575877</v>
      </c>
      <c r="CV27" s="466" t="s">
        <v>347</v>
      </c>
      <c r="CW27" s="125">
        <f t="shared" si="18"/>
        <v>1.0202236933797688</v>
      </c>
      <c r="CX27" s="125"/>
      <c r="CY27" s="136"/>
      <c r="DA27" s="526">
        <v>41827</v>
      </c>
      <c r="DB27" s="151" t="str">
        <f t="shared" si="8"/>
        <v>3Y</v>
      </c>
      <c r="DC27" s="386">
        <v>0.8853299802992316</v>
      </c>
      <c r="DD27" s="268">
        <f>IF(DA27,_xll.qDateYears(DA26,DA27,DD$13),0)</f>
        <v>0.24931506849315069</v>
      </c>
      <c r="DE27" s="268">
        <f t="shared" si="28"/>
        <v>283.34604557497227</v>
      </c>
      <c r="DG27" s="473">
        <f t="shared" si="19"/>
        <v>1021.8864638257226</v>
      </c>
      <c r="DH27" s="466" t="s">
        <v>347</v>
      </c>
      <c r="DI27" s="125">
        <f t="shared" si="20"/>
        <v>1.1855889093827132</v>
      </c>
      <c r="DJ27" s="125"/>
      <c r="DK27" s="136"/>
      <c r="DM27" s="526">
        <v>41827</v>
      </c>
      <c r="DN27" s="151" t="str">
        <f t="shared" si="9"/>
        <v>3Y</v>
      </c>
      <c r="DO27" s="386">
        <v>0.9656987277099417</v>
      </c>
      <c r="DP27" s="268">
        <f>IF(DM27,_xll.qDateYears(DM26,DM27,DP$13),0)</f>
        <v>0.25277777777777777</v>
      </c>
      <c r="DQ27" s="268">
        <f t="shared" si="29"/>
        <v>300.59930244342024</v>
      </c>
      <c r="DS27" s="473">
        <f t="shared" si="21"/>
        <v>1211.5372581600959</v>
      </c>
      <c r="DT27" s="466" t="s">
        <v>347</v>
      </c>
      <c r="DU27" s="125">
        <f t="shared" si="22"/>
        <v>1</v>
      </c>
      <c r="ED27" s="539" t="s">
        <v>7</v>
      </c>
      <c r="EE27" s="207"/>
      <c r="EF27" s="734">
        <f>_xll.qDateNext($EF$14,ED27,"M",TRUE,$ED$11)</f>
        <v>41827</v>
      </c>
      <c r="EG27" s="735"/>
      <c r="EH27" s="491">
        <v>0.94876999999999989</v>
      </c>
      <c r="EI27" s="491">
        <v>0.94872513857241503</v>
      </c>
      <c r="EJ27" s="730"/>
      <c r="EK27" s="491">
        <v>1</v>
      </c>
      <c r="EL27" s="491">
        <v>1</v>
      </c>
      <c r="EM27" s="207"/>
      <c r="EN27" s="207"/>
      <c r="EO27" s="736">
        <f t="shared" si="10"/>
        <v>-1236.8000000000002</v>
      </c>
      <c r="EP27" s="736">
        <f t="shared" si="11"/>
        <v>-1237.2486142758487</v>
      </c>
      <c r="EQ27" s="736">
        <f t="shared" si="23"/>
        <v>-0.44861427584851299</v>
      </c>
      <c r="ER27" s="207"/>
      <c r="ES27" s="731">
        <f t="shared" si="2"/>
        <v>0.94876999999999989</v>
      </c>
      <c r="ET27" s="731">
        <f t="shared" si="3"/>
        <v>0.94872513857241503</v>
      </c>
    </row>
    <row r="28" spans="11:189">
      <c r="K28" s="449" t="s">
        <v>15</v>
      </c>
      <c r="L28" s="445" t="s">
        <v>325</v>
      </c>
      <c r="M28" s="445" t="s">
        <v>325</v>
      </c>
      <c r="N28" s="445" t="s">
        <v>324</v>
      </c>
      <c r="O28" s="445" t="s">
        <v>325</v>
      </c>
      <c r="P28" s="445"/>
      <c r="Q28" s="445" t="s">
        <v>325</v>
      </c>
      <c r="R28" s="151" t="str">
        <v>S</v>
      </c>
      <c r="T28" s="445" t="s">
        <v>325</v>
      </c>
      <c r="U28" s="445" t="s">
        <v>323</v>
      </c>
      <c r="V28" s="445" t="s">
        <v>325</v>
      </c>
      <c r="W28" s="445" t="s">
        <v>325</v>
      </c>
      <c r="X28" s="445" t="s">
        <v>323</v>
      </c>
      <c r="Y28" s="445" t="s">
        <v>323</v>
      </c>
      <c r="Z28" s="151" t="str">
        <v>S</v>
      </c>
      <c r="AA28" s="151"/>
      <c r="AB28" s="150" t="str">
        <f t="shared" si="30"/>
        <v>AUD.ZB.6M|[Swap Pricer 1w.xlsm]AU!$BG$56#1131</v>
      </c>
      <c r="AC28" s="149" t="s">
        <v>78</v>
      </c>
      <c r="AE28" s="451">
        <v>4</v>
      </c>
      <c r="BE28" s="147" t="s">
        <v>17</v>
      </c>
      <c r="BF28" s="207"/>
      <c r="BG28" s="539">
        <v>41919</v>
      </c>
      <c r="BH28" s="147" t="str">
        <f t="shared" si="4"/>
        <v>3.25Y</v>
      </c>
      <c r="BI28" s="491">
        <v>0.95916659935464765</v>
      </c>
      <c r="BJ28" s="492">
        <f>IF(BG28,_xll.qDateYears(BG27,BG28,$BJ$13),0)</f>
        <v>0.25555555555555554</v>
      </c>
      <c r="BK28" s="492">
        <f t="shared" si="24"/>
        <v>325.11133776026122</v>
      </c>
      <c r="BL28" s="492"/>
      <c r="BM28" s="493">
        <f t="shared" si="12"/>
        <v>1458.2207958641013</v>
      </c>
      <c r="BN28" s="465"/>
      <c r="BO28" s="494"/>
      <c r="BP28" s="492"/>
      <c r="BQ28" s="539">
        <v>41919</v>
      </c>
      <c r="BR28" s="464" t="str">
        <f t="shared" si="5"/>
        <v>3.25Y</v>
      </c>
      <c r="BS28" s="491">
        <v>0.84174549993278847</v>
      </c>
      <c r="BT28" s="492">
        <f>IF(BQ28,_xll.qDateYears(BQ27,BQ28,BT$13),0)</f>
        <v>0.25205479452054796</v>
      </c>
      <c r="BU28" s="492">
        <f t="shared" si="25"/>
        <v>297.83914883166841</v>
      </c>
      <c r="BV28" s="464"/>
      <c r="BW28" s="493">
        <f t="shared" si="13"/>
        <v>1166.014580977801</v>
      </c>
      <c r="BX28" s="495" t="s">
        <v>347</v>
      </c>
      <c r="BY28" s="491">
        <f t="shared" si="14"/>
        <v>1.2506025393278195</v>
      </c>
      <c r="BZ28" s="464"/>
      <c r="CA28" s="496"/>
      <c r="CB28" s="492"/>
      <c r="CC28" s="539">
        <v>41919</v>
      </c>
      <c r="CD28" s="464" t="str">
        <f t="shared" si="6"/>
        <v>3.25Y</v>
      </c>
      <c r="CE28" s="491">
        <v>0.93292229730431475</v>
      </c>
      <c r="CF28" s="492">
        <f>IF(CC28,_xll.qDateYears(CC27,CC28,CF$13),0)</f>
        <v>0.25555555555555554</v>
      </c>
      <c r="CG28" s="492">
        <f t="shared" si="26"/>
        <v>319.37717922099114</v>
      </c>
      <c r="CH28" s="464"/>
      <c r="CI28" s="493">
        <f t="shared" si="15"/>
        <v>1475.0266630086376</v>
      </c>
      <c r="CJ28" s="495" t="s">
        <v>347</v>
      </c>
      <c r="CK28" s="491">
        <f t="shared" si="16"/>
        <v>0.98860639772418957</v>
      </c>
      <c r="CL28" s="207"/>
      <c r="CM28" s="497"/>
      <c r="CN28" s="492"/>
      <c r="CO28" s="539">
        <v>41919</v>
      </c>
      <c r="CP28" s="464" t="str">
        <f t="shared" si="7"/>
        <v>3.25Y</v>
      </c>
      <c r="CQ28" s="491">
        <v>0.94571116761092178</v>
      </c>
      <c r="CR28" s="492">
        <f>IF(CO28,_xll.qDateYears(CO27,CO28,CR$13),0)</f>
        <v>0.25205479452054796</v>
      </c>
      <c r="CS28" s="492">
        <f t="shared" si="27"/>
        <v>318.0440582445392</v>
      </c>
      <c r="CT28" s="464"/>
      <c r="CU28" s="493">
        <f t="shared" si="17"/>
        <v>1434.5405259816637</v>
      </c>
      <c r="CV28" s="495" t="s">
        <v>347</v>
      </c>
      <c r="CW28" s="491">
        <f t="shared" si="18"/>
        <v>1.016507215692797</v>
      </c>
      <c r="CX28" s="491"/>
      <c r="CY28" s="497"/>
      <c r="CZ28" s="492"/>
      <c r="DA28" s="539">
        <v>41919</v>
      </c>
      <c r="DB28" s="464" t="str">
        <f t="shared" si="8"/>
        <v>3.25Y</v>
      </c>
      <c r="DC28" s="491">
        <v>0.873437038455811</v>
      </c>
      <c r="DD28" s="492">
        <f>IF(DA28,_xll.qDateYears(DA27,DA28,DD$13),0)</f>
        <v>0.25205479452054796</v>
      </c>
      <c r="DE28" s="492">
        <f t="shared" si="28"/>
        <v>305.36144490043381</v>
      </c>
      <c r="DF28" s="464"/>
      <c r="DG28" s="493">
        <f t="shared" si="19"/>
        <v>1197.242604021428</v>
      </c>
      <c r="DH28" s="495" t="s">
        <v>347</v>
      </c>
      <c r="DI28" s="491">
        <f t="shared" si="20"/>
        <v>1.2179827137508068</v>
      </c>
      <c r="DJ28" s="491"/>
      <c r="DK28" s="497"/>
      <c r="DL28" s="492"/>
      <c r="DM28" s="539">
        <v>41919</v>
      </c>
      <c r="DN28" s="464" t="str">
        <f t="shared" si="9"/>
        <v>3.25Y</v>
      </c>
      <c r="DO28" s="491">
        <v>0.95916659935464765</v>
      </c>
      <c r="DP28" s="492">
        <f>IF(DM28,_xll.qDateYears(DM27,DM28,DP$13),0)</f>
        <v>0.25555555555555554</v>
      </c>
      <c r="DQ28" s="492">
        <f t="shared" si="29"/>
        <v>325.11133776026122</v>
      </c>
      <c r="DR28" s="464"/>
      <c r="DS28" s="493">
        <f t="shared" si="21"/>
        <v>1458.2207958641013</v>
      </c>
      <c r="DT28" s="495" t="s">
        <v>347</v>
      </c>
      <c r="DU28" s="491">
        <f t="shared" si="22"/>
        <v>1</v>
      </c>
      <c r="ED28" s="121" t="s">
        <v>8</v>
      </c>
      <c r="EF28" s="732">
        <f>_xll.qDateNext($EF$14,ED28,"M",TRUE,$ED$11)</f>
        <v>42192</v>
      </c>
      <c r="EH28" s="386">
        <v>0.92225999999999986</v>
      </c>
      <c r="EI28" s="386">
        <v>0.92207806122354119</v>
      </c>
      <c r="EK28" s="386">
        <v>1</v>
      </c>
      <c r="EL28" s="386">
        <v>1</v>
      </c>
      <c r="EO28" s="460">
        <f t="shared" si="10"/>
        <v>-1501.9000000000005</v>
      </c>
      <c r="EP28" s="460">
        <f t="shared" si="11"/>
        <v>-1503.7193877645871</v>
      </c>
      <c r="EQ28" s="460">
        <f t="shared" si="23"/>
        <v>-1.8193877645865086</v>
      </c>
      <c r="ES28" s="635">
        <f t="shared" si="2"/>
        <v>0.92225999999999986</v>
      </c>
      <c r="ET28" s="635">
        <f t="shared" si="3"/>
        <v>0.92207806122354119</v>
      </c>
    </row>
    <row r="29" spans="11:189">
      <c r="K29" s="449" t="s">
        <v>16</v>
      </c>
      <c r="L29" s="445" t="s">
        <v>325</v>
      </c>
      <c r="M29" s="445" t="s">
        <v>325</v>
      </c>
      <c r="N29" s="445" t="s">
        <v>324</v>
      </c>
      <c r="O29" s="445" t="s">
        <v>325</v>
      </c>
      <c r="P29" s="445"/>
      <c r="Q29" s="445" t="s">
        <v>325</v>
      </c>
      <c r="R29" s="151" t="str">
        <v>S</v>
      </c>
      <c r="T29" s="445" t="s">
        <v>325</v>
      </c>
      <c r="U29" s="445" t="s">
        <v>323</v>
      </c>
      <c r="V29" s="445" t="s">
        <v>325</v>
      </c>
      <c r="W29" s="445" t="s">
        <v>325</v>
      </c>
      <c r="X29" s="445" t="s">
        <v>323</v>
      </c>
      <c r="Y29" s="445" t="s">
        <v>323</v>
      </c>
      <c r="Z29" s="151" t="str">
        <v>S</v>
      </c>
      <c r="AA29" s="151"/>
      <c r="AB29" s="150" t="str">
        <f t="shared" si="30"/>
        <v>AUD.ZB.6M|[Swap Pricer 1w.xlsm]AU!$BG$56#1131</v>
      </c>
      <c r="AC29" s="149" t="s">
        <v>78</v>
      </c>
      <c r="AE29" s="451">
        <v>5</v>
      </c>
      <c r="BE29" s="120" t="s">
        <v>18</v>
      </c>
      <c r="BG29" s="526">
        <v>42011</v>
      </c>
      <c r="BH29" s="150" t="str">
        <f t="shared" si="4"/>
        <v>3.5Y</v>
      </c>
      <c r="BI29" s="386">
        <v>0.95212081884577504</v>
      </c>
      <c r="BJ29" s="268">
        <f>IF(BG29,_xll.qDateYears(BG28,BG29,$BJ$13),0)</f>
        <v>0.25555555555555554</v>
      </c>
      <c r="BK29" s="268">
        <f t="shared" si="24"/>
        <v>349.44331424187544</v>
      </c>
      <c r="BM29" s="473">
        <f t="shared" si="12"/>
        <v>1652.8474598481951</v>
      </c>
      <c r="BN29" s="463"/>
      <c r="BO29" s="470"/>
      <c r="BQ29" s="526">
        <v>42011</v>
      </c>
      <c r="BR29" s="151" t="str">
        <f t="shared" si="5"/>
        <v>3.5Y</v>
      </c>
      <c r="BS29" s="386">
        <v>0.82942541994234287</v>
      </c>
      <c r="BT29" s="268">
        <f>IF(BQ29,_xll.qDateYears(BQ28,BQ29,BT$13),0)</f>
        <v>0.25205479452054796</v>
      </c>
      <c r="BU29" s="268">
        <f t="shared" si="25"/>
        <v>318.74521421103708</v>
      </c>
      <c r="BW29" s="473">
        <f t="shared" si="13"/>
        <v>1303.349009282919</v>
      </c>
      <c r="BX29" s="466" t="s">
        <v>347</v>
      </c>
      <c r="BY29" s="125">
        <f t="shared" si="14"/>
        <v>1.2681541537040522</v>
      </c>
      <c r="CA29" s="475"/>
      <c r="CC29" s="526">
        <v>42011</v>
      </c>
      <c r="CD29" s="151" t="str">
        <f t="shared" si="6"/>
        <v>3.5Y</v>
      </c>
      <c r="CE29" s="386">
        <v>0.92601582716167252</v>
      </c>
      <c r="CF29" s="268">
        <f>IF(CC29,_xll.qDateYears(CC28,CC29,CF$13),0)</f>
        <v>0.25555555555555554</v>
      </c>
      <c r="CG29" s="268">
        <f t="shared" si="26"/>
        <v>343.04202813734497</v>
      </c>
      <c r="CI29" s="473">
        <f t="shared" si="15"/>
        <v>1687.4594641657015</v>
      </c>
      <c r="CJ29" s="466" t="s">
        <v>347</v>
      </c>
      <c r="CK29" s="125">
        <f t="shared" si="16"/>
        <v>0.97948868991966032</v>
      </c>
      <c r="CM29" s="136"/>
      <c r="CO29" s="526">
        <v>42011</v>
      </c>
      <c r="CP29" s="151" t="str">
        <f t="shared" si="7"/>
        <v>3.5Y</v>
      </c>
      <c r="CQ29" s="386">
        <v>0.93845196841329259</v>
      </c>
      <c r="CR29" s="268">
        <f>IF(CO29,_xll.qDateYears(CO28,CO29,CR$13),0)</f>
        <v>0.25205479452054796</v>
      </c>
      <c r="CS29" s="268">
        <f t="shared" si="27"/>
        <v>341.69819005112083</v>
      </c>
      <c r="CU29" s="473">
        <f t="shared" si="17"/>
        <v>1632.3527655084099</v>
      </c>
      <c r="CV29" s="466" t="s">
        <v>347</v>
      </c>
      <c r="CW29" s="125">
        <f t="shared" si="18"/>
        <v>1.0125553095953508</v>
      </c>
      <c r="CX29" s="125"/>
      <c r="CY29" s="136"/>
      <c r="DA29" s="526">
        <v>42011</v>
      </c>
      <c r="DB29" s="151" t="str">
        <f t="shared" si="8"/>
        <v>3.5Y</v>
      </c>
      <c r="DC29" s="386">
        <v>0.86126249078220984</v>
      </c>
      <c r="DD29" s="268">
        <f>IF(DA29,_xll.qDateYears(DA28,DA29,DD$13),0)</f>
        <v>0.25205479452054796</v>
      </c>
      <c r="DE29" s="268">
        <f t="shared" si="28"/>
        <v>327.06997891467034</v>
      </c>
      <c r="DG29" s="473">
        <f t="shared" si="19"/>
        <v>1327.1241021536184</v>
      </c>
      <c r="DH29" s="466" t="s">
        <v>347</v>
      </c>
      <c r="DI29" s="125">
        <f t="shared" si="20"/>
        <v>1.2454354925556714</v>
      </c>
      <c r="DJ29" s="125"/>
      <c r="DK29" s="136"/>
      <c r="DM29" s="526">
        <v>42011</v>
      </c>
      <c r="DN29" s="151" t="str">
        <f t="shared" si="9"/>
        <v>3.5Y</v>
      </c>
      <c r="DO29" s="386">
        <v>0.95212081884577504</v>
      </c>
      <c r="DP29" s="268">
        <f>IF(DM29,_xll.qDateYears(DM28,DM29,DP$13),0)</f>
        <v>0.25555555555555554</v>
      </c>
      <c r="DQ29" s="268">
        <f t="shared" si="29"/>
        <v>349.44331424187544</v>
      </c>
      <c r="DS29" s="473">
        <f t="shared" si="21"/>
        <v>1652.8474598481951</v>
      </c>
      <c r="DT29" s="466" t="s">
        <v>347</v>
      </c>
      <c r="DU29" s="125">
        <f t="shared" si="22"/>
        <v>1</v>
      </c>
      <c r="ED29" s="539" t="s">
        <v>9</v>
      </c>
      <c r="EE29" s="207"/>
      <c r="EF29" s="734">
        <f>_xll.qDateNext($EF$14,ED29,"M",TRUE,$ED$11)</f>
        <v>42558</v>
      </c>
      <c r="EG29" s="735"/>
      <c r="EH29" s="491">
        <v>0.90074999999999994</v>
      </c>
      <c r="EI29" s="491">
        <v>0.90074552024750176</v>
      </c>
      <c r="EJ29" s="730"/>
      <c r="EK29" s="491">
        <v>1</v>
      </c>
      <c r="EL29" s="491">
        <v>1</v>
      </c>
      <c r="EM29" s="207"/>
      <c r="EN29" s="207"/>
      <c r="EO29" s="736">
        <f t="shared" si="10"/>
        <v>-1716.9999999999995</v>
      </c>
      <c r="EP29" s="736">
        <f t="shared" si="11"/>
        <v>-1717.0447975249815</v>
      </c>
      <c r="EQ29" s="736">
        <f t="shared" si="23"/>
        <v>-4.4797524981959214E-2</v>
      </c>
      <c r="ER29" s="207"/>
      <c r="ES29" s="731">
        <f t="shared" si="2"/>
        <v>0.90074999999999994</v>
      </c>
      <c r="ET29" s="731">
        <f t="shared" si="3"/>
        <v>0.90074552024750176</v>
      </c>
    </row>
    <row r="30" spans="11:189">
      <c r="K30" s="449" t="s">
        <v>17</v>
      </c>
      <c r="L30" s="445" t="s">
        <v>325</v>
      </c>
      <c r="M30" s="445" t="s">
        <v>325</v>
      </c>
      <c r="N30" s="445" t="s">
        <v>324</v>
      </c>
      <c r="O30" s="445" t="s">
        <v>325</v>
      </c>
      <c r="P30" s="445"/>
      <c r="Q30" s="445" t="s">
        <v>325</v>
      </c>
      <c r="R30" s="151" t="str">
        <v>S</v>
      </c>
      <c r="T30" s="445" t="s">
        <v>325</v>
      </c>
      <c r="U30" s="445" t="s">
        <v>323</v>
      </c>
      <c r="V30" s="445" t="s">
        <v>325</v>
      </c>
      <c r="W30" s="445" t="s">
        <v>325</v>
      </c>
      <c r="X30" s="445" t="s">
        <v>323</v>
      </c>
      <c r="Y30" s="445" t="s">
        <v>323</v>
      </c>
      <c r="Z30" s="151" t="str">
        <v>S</v>
      </c>
      <c r="AA30" s="151"/>
      <c r="AB30" s="150" t="str">
        <f t="shared" si="30"/>
        <v>AUD.ZB.6M|[Swap Pricer 1w.xlsm]AU!$BG$56#1131</v>
      </c>
      <c r="AC30" s="149" t="s">
        <v>78</v>
      </c>
      <c r="AE30" s="451">
        <v>6</v>
      </c>
      <c r="BE30" s="147" t="s">
        <v>19</v>
      </c>
      <c r="BF30" s="207"/>
      <c r="BG30" s="539">
        <v>42101</v>
      </c>
      <c r="BH30" s="147" t="str">
        <f t="shared" si="4"/>
        <v>3.75Y</v>
      </c>
      <c r="BI30" s="491">
        <v>0.94473485704667837</v>
      </c>
      <c r="BJ30" s="492">
        <f>IF(BG30,_xll.qDateYears(BG29,BG30,$BJ$13),0)</f>
        <v>0.25</v>
      </c>
      <c r="BK30" s="492">
        <f t="shared" si="24"/>
        <v>373.0616856680424</v>
      </c>
      <c r="BL30" s="492"/>
      <c r="BM30" s="493">
        <f t="shared" si="12"/>
        <v>1807.3171243106922</v>
      </c>
      <c r="BN30" s="465"/>
      <c r="BO30" s="494"/>
      <c r="BP30" s="492"/>
      <c r="BQ30" s="539">
        <v>42101</v>
      </c>
      <c r="BR30" s="464" t="str">
        <f t="shared" si="5"/>
        <v>3.75Y</v>
      </c>
      <c r="BS30" s="491">
        <v>0.81738594739153458</v>
      </c>
      <c r="BT30" s="492">
        <f>IF(BQ30,_xll.qDateYears(BQ29,BQ30,BT$13),0)</f>
        <v>0.24657534246575341</v>
      </c>
      <c r="BU30" s="492">
        <f t="shared" si="25"/>
        <v>338.8999362015133</v>
      </c>
      <c r="BV30" s="464"/>
      <c r="BW30" s="493">
        <f t="shared" si="13"/>
        <v>1417.5592897062529</v>
      </c>
      <c r="BX30" s="495" t="s">
        <v>347</v>
      </c>
      <c r="BY30" s="491">
        <f t="shared" si="14"/>
        <v>1.2749499350289644</v>
      </c>
      <c r="BZ30" s="464"/>
      <c r="CA30" s="496"/>
      <c r="CB30" s="492"/>
      <c r="CC30" s="539">
        <v>42101</v>
      </c>
      <c r="CD30" s="464" t="str">
        <f t="shared" si="6"/>
        <v>3.75Y</v>
      </c>
      <c r="CE30" s="491">
        <v>0.91904595349586826</v>
      </c>
      <c r="CF30" s="492">
        <f>IF(CC30,_xll.qDateYears(CC29,CC30,CF$13),0)</f>
        <v>0.25</v>
      </c>
      <c r="CG30" s="492">
        <f t="shared" si="26"/>
        <v>366.01817697474166</v>
      </c>
      <c r="CH30" s="464"/>
      <c r="CI30" s="493">
        <f t="shared" si="15"/>
        <v>1863.309643284915</v>
      </c>
      <c r="CJ30" s="495" t="s">
        <v>347</v>
      </c>
      <c r="CK30" s="491">
        <f t="shared" si="16"/>
        <v>0.96994996554866164</v>
      </c>
      <c r="CL30" s="207"/>
      <c r="CM30" s="497"/>
      <c r="CN30" s="492"/>
      <c r="CO30" s="539">
        <v>42101</v>
      </c>
      <c r="CP30" s="464" t="str">
        <f t="shared" si="7"/>
        <v>3.75Y</v>
      </c>
      <c r="CQ30" s="491">
        <v>0.93096685995005157</v>
      </c>
      <c r="CR30" s="492">
        <f>IF(CO30,_xll.qDateYears(CO29,CO30,CR$13),0)</f>
        <v>0.24657534246575341</v>
      </c>
      <c r="CS30" s="492">
        <f t="shared" si="27"/>
        <v>364.65353728276591</v>
      </c>
      <c r="CT30" s="464"/>
      <c r="CU30" s="493">
        <f t="shared" si="17"/>
        <v>1791.8877623974347</v>
      </c>
      <c r="CV30" s="495" t="s">
        <v>347</v>
      </c>
      <c r="CW30" s="491">
        <f t="shared" si="18"/>
        <v>1.0086106743050769</v>
      </c>
      <c r="CX30" s="491"/>
      <c r="CY30" s="497"/>
      <c r="CZ30" s="492"/>
      <c r="DA30" s="539">
        <v>42101</v>
      </c>
      <c r="DB30" s="464" t="str">
        <f t="shared" si="8"/>
        <v>3.75Y</v>
      </c>
      <c r="DC30" s="491">
        <v>0.84909594368694374</v>
      </c>
      <c r="DD30" s="492">
        <f>IF(DA30,_xll.qDateYears(DA29,DA30,DD$13),0)</f>
        <v>0.24657534246575341</v>
      </c>
      <c r="DE30" s="492">
        <f t="shared" si="28"/>
        <v>348.00659122475935</v>
      </c>
      <c r="DF30" s="464"/>
      <c r="DG30" s="493">
        <f t="shared" si="19"/>
        <v>1423.4396486591766</v>
      </c>
      <c r="DH30" s="495" t="s">
        <v>347</v>
      </c>
      <c r="DI30" s="491">
        <f t="shared" si="20"/>
        <v>1.2696830006197404</v>
      </c>
      <c r="DJ30" s="491"/>
      <c r="DK30" s="497"/>
      <c r="DL30" s="492"/>
      <c r="DM30" s="539">
        <v>42101</v>
      </c>
      <c r="DN30" s="464" t="str">
        <f t="shared" si="9"/>
        <v>3.75Y</v>
      </c>
      <c r="DO30" s="491">
        <v>0.94473485704667837</v>
      </c>
      <c r="DP30" s="492">
        <f>IF(DM30,_xll.qDateYears(DM29,DM30,DP$13),0)</f>
        <v>0.25</v>
      </c>
      <c r="DQ30" s="492">
        <f t="shared" si="29"/>
        <v>373.0616856680424</v>
      </c>
      <c r="DR30" s="464"/>
      <c r="DS30" s="493">
        <f t="shared" si="21"/>
        <v>1807.3171243106922</v>
      </c>
      <c r="DT30" s="495" t="s">
        <v>347</v>
      </c>
      <c r="DU30" s="491">
        <f t="shared" si="22"/>
        <v>1</v>
      </c>
      <c r="EH30" s="386">
        <v>0</v>
      </c>
      <c r="EI30" s="386">
        <v>0</v>
      </c>
      <c r="EK30" s="386">
        <v>1</v>
      </c>
      <c r="EL30" s="386">
        <v>0</v>
      </c>
      <c r="EO30" s="460">
        <f t="shared" si="10"/>
        <v>0</v>
      </c>
      <c r="EP30" s="460">
        <f t="shared" si="11"/>
        <v>0</v>
      </c>
      <c r="EQ30" s="460">
        <f t="shared" si="23"/>
        <v>0</v>
      </c>
      <c r="ES30" s="635">
        <f t="shared" si="2"/>
        <v>0</v>
      </c>
      <c r="ET30" s="635">
        <f t="shared" si="3"/>
        <v>0</v>
      </c>
    </row>
    <row r="31" spans="11:189">
      <c r="K31" s="449" t="s">
        <v>18</v>
      </c>
      <c r="L31" s="445" t="s">
        <v>325</v>
      </c>
      <c r="M31" s="445" t="s">
        <v>325</v>
      </c>
      <c r="N31" s="445" t="s">
        <v>324</v>
      </c>
      <c r="O31" s="445" t="s">
        <v>325</v>
      </c>
      <c r="P31" s="445"/>
      <c r="Q31" s="445" t="s">
        <v>325</v>
      </c>
      <c r="R31" s="151" t="str">
        <v>S</v>
      </c>
      <c r="T31" s="445" t="s">
        <v>325</v>
      </c>
      <c r="U31" s="445" t="s">
        <v>323</v>
      </c>
      <c r="V31" s="445" t="s">
        <v>325</v>
      </c>
      <c r="W31" s="445" t="s">
        <v>325</v>
      </c>
      <c r="X31" s="445" t="s">
        <v>323</v>
      </c>
      <c r="Y31" s="445" t="s">
        <v>323</v>
      </c>
      <c r="Z31" s="151" t="str">
        <v>S</v>
      </c>
      <c r="AA31" s="151"/>
      <c r="AB31" s="150" t="str">
        <f t="shared" si="30"/>
        <v>AUD.ZB.6M|[Swap Pricer 1w.xlsm]AU!$BG$56#1131</v>
      </c>
      <c r="AC31" s="149" t="s">
        <v>78</v>
      </c>
      <c r="AE31" s="451">
        <v>7</v>
      </c>
      <c r="BE31" s="120" t="s">
        <v>200</v>
      </c>
      <c r="BG31" s="526">
        <v>42192</v>
      </c>
      <c r="BH31" s="150" t="str">
        <f t="shared" si="4"/>
        <v>4Y</v>
      </c>
      <c r="BI31" s="386">
        <v>0.93678346075251517</v>
      </c>
      <c r="BJ31" s="268">
        <f>IF(BG31,_xll.qDateYears(BG30,BG31,$BJ$13),0)</f>
        <v>0.25277777777777777</v>
      </c>
      <c r="BK31" s="268">
        <f t="shared" si="24"/>
        <v>396.74148981484211</v>
      </c>
      <c r="BM31" s="473">
        <f t="shared" si="12"/>
        <v>1931.4123393791615</v>
      </c>
      <c r="BN31" s="463"/>
      <c r="BO31" s="470"/>
      <c r="BQ31" s="526">
        <v>42192</v>
      </c>
      <c r="BR31" s="151" t="str">
        <f t="shared" si="5"/>
        <v>4Y</v>
      </c>
      <c r="BS31" s="386">
        <v>0.80523064620576579</v>
      </c>
      <c r="BT31" s="268">
        <f>IF(BQ31,_xll.qDateYears(BQ30,BQ31,BT$13),0)</f>
        <v>0.24931506849315069</v>
      </c>
      <c r="BU31" s="268">
        <f t="shared" si="25"/>
        <v>358.97554957267073</v>
      </c>
      <c r="BW31" s="473">
        <f t="shared" si="13"/>
        <v>1516.2240308189523</v>
      </c>
      <c r="BX31" s="466" t="s">
        <v>347</v>
      </c>
      <c r="BY31" s="125">
        <f t="shared" si="14"/>
        <v>1.2738304499342061</v>
      </c>
      <c r="CA31" s="475"/>
      <c r="CC31" s="526">
        <v>42192</v>
      </c>
      <c r="CD31" s="151" t="str">
        <f t="shared" si="6"/>
        <v>4Y</v>
      </c>
      <c r="CE31" s="386">
        <v>0.91178963576855465</v>
      </c>
      <c r="CF31" s="268">
        <f>IF(CC31,_xll.qDateYears(CC30,CC31,CF$13),0)</f>
        <v>0.25277777777777777</v>
      </c>
      <c r="CG31" s="268">
        <f t="shared" si="26"/>
        <v>389.06619276778014</v>
      </c>
      <c r="CI31" s="473">
        <f t="shared" si="15"/>
        <v>2009.1728773583502</v>
      </c>
      <c r="CJ31" s="466" t="s">
        <v>347</v>
      </c>
      <c r="CK31" s="125">
        <f t="shared" si="16"/>
        <v>0.96129723885112972</v>
      </c>
      <c r="CM31" s="136"/>
      <c r="CO31" s="526">
        <v>42192</v>
      </c>
      <c r="CP31" s="151" t="str">
        <f t="shared" si="7"/>
        <v>4Y</v>
      </c>
      <c r="CQ31" s="386">
        <v>0.92302763225579709</v>
      </c>
      <c r="CR31" s="268">
        <f>IF(CO31,_xll.qDateYears(CO30,CO31,CR$13),0)</f>
        <v>0.24931506849315069</v>
      </c>
      <c r="CS31" s="268">
        <f t="shared" si="27"/>
        <v>387.6660070184584</v>
      </c>
      <c r="CU31" s="473">
        <f t="shared" si="17"/>
        <v>1921.6268543646879</v>
      </c>
      <c r="CV31" s="466" t="s">
        <v>347</v>
      </c>
      <c r="CW31" s="125">
        <f t="shared" si="18"/>
        <v>1.0050922919776268</v>
      </c>
      <c r="CX31" s="125"/>
      <c r="CY31" s="136"/>
      <c r="DA31" s="526">
        <v>42192</v>
      </c>
      <c r="DB31" s="151" t="str">
        <f t="shared" si="8"/>
        <v>4Y</v>
      </c>
      <c r="DC31" s="386">
        <v>0.83655213548454688</v>
      </c>
      <c r="DD31" s="268">
        <f>IF(DA31,_xll.qDateYears(DA30,DA31,DD$13),0)</f>
        <v>0.24931506849315069</v>
      </c>
      <c r="DE31" s="268">
        <f t="shared" si="28"/>
        <v>368.86309652040148</v>
      </c>
      <c r="DG31" s="473">
        <f t="shared" si="19"/>
        <v>1494.8636440400771</v>
      </c>
      <c r="DH31" s="466" t="s">
        <v>347</v>
      </c>
      <c r="DI31" s="125">
        <f t="shared" si="20"/>
        <v>1.2920324519761888</v>
      </c>
      <c r="DJ31" s="125"/>
      <c r="DK31" s="136"/>
      <c r="DM31" s="526">
        <v>42192</v>
      </c>
      <c r="DN31" s="151" t="str">
        <f t="shared" si="9"/>
        <v>4Y</v>
      </c>
      <c r="DO31" s="386">
        <v>0.93678346075251517</v>
      </c>
      <c r="DP31" s="268">
        <f>IF(DM31,_xll.qDateYears(DM30,DM31,DP$13),0)</f>
        <v>0.25277777777777777</v>
      </c>
      <c r="DQ31" s="268">
        <f t="shared" si="29"/>
        <v>396.74148981484211</v>
      </c>
      <c r="DS31" s="473">
        <f t="shared" si="21"/>
        <v>1931.4123393791615</v>
      </c>
      <c r="DT31" s="466" t="s">
        <v>347</v>
      </c>
      <c r="DU31" s="125">
        <f t="shared" si="22"/>
        <v>1</v>
      </c>
      <c r="ED31" s="742" t="s">
        <v>673</v>
      </c>
      <c r="EH31" s="386">
        <v>0</v>
      </c>
      <c r="EI31" s="386">
        <v>0</v>
      </c>
      <c r="EK31" s="386">
        <v>1</v>
      </c>
      <c r="EL31" s="386">
        <v>0</v>
      </c>
    </row>
    <row r="32" spans="11:189">
      <c r="K32" s="449" t="s">
        <v>19</v>
      </c>
      <c r="L32" s="445" t="s">
        <v>325</v>
      </c>
      <c r="M32" s="445" t="s">
        <v>325</v>
      </c>
      <c r="N32" s="445" t="s">
        <v>324</v>
      </c>
      <c r="O32" s="445" t="s">
        <v>325</v>
      </c>
      <c r="P32" s="445"/>
      <c r="Q32" s="445" t="s">
        <v>325</v>
      </c>
      <c r="R32" s="151" t="str">
        <v>S</v>
      </c>
      <c r="T32" s="445" t="s">
        <v>325</v>
      </c>
      <c r="U32" s="445" t="s">
        <v>323</v>
      </c>
      <c r="V32" s="445" t="s">
        <v>325</v>
      </c>
      <c r="W32" s="445" t="s">
        <v>325</v>
      </c>
      <c r="X32" s="445" t="s">
        <v>323</v>
      </c>
      <c r="Y32" s="445" t="s">
        <v>323</v>
      </c>
      <c r="Z32" s="151" t="str">
        <v>S</v>
      </c>
      <c r="AA32" s="151"/>
      <c r="AB32" s="150" t="str">
        <f t="shared" si="30"/>
        <v>AUD.ZB.6M|[Swap Pricer 1w.xlsm]AU!$BG$56#1131</v>
      </c>
      <c r="AC32" s="149" t="s">
        <v>78</v>
      </c>
      <c r="AE32" s="451">
        <v>8</v>
      </c>
      <c r="BE32" s="147" t="s">
        <v>27</v>
      </c>
      <c r="BF32" s="207"/>
      <c r="BG32" s="539">
        <v>42284</v>
      </c>
      <c r="BH32" s="147" t="str">
        <f t="shared" si="4"/>
        <v>4.25Y</v>
      </c>
      <c r="BI32" s="491">
        <v>0.92854100821698471</v>
      </c>
      <c r="BJ32" s="492">
        <f>IF(BG32,_xll.qDateYears(BG31,BG32,$BJ$13),0)</f>
        <v>0.25555555555555554</v>
      </c>
      <c r="BK32" s="492">
        <f t="shared" si="24"/>
        <v>420.47087113594284</v>
      </c>
      <c r="BL32" s="492"/>
      <c r="BM32" s="493">
        <f t="shared" si="12"/>
        <v>2031.8574990689997</v>
      </c>
      <c r="BN32" s="465"/>
      <c r="BO32" s="494"/>
      <c r="BP32" s="492"/>
      <c r="BQ32" s="539">
        <v>42284</v>
      </c>
      <c r="BR32" s="464" t="str">
        <f t="shared" si="5"/>
        <v>4.25Y</v>
      </c>
      <c r="BS32" s="491">
        <v>0.79303270840281648</v>
      </c>
      <c r="BT32" s="492">
        <f>IF(BQ32,_xll.qDateYears(BQ31,BQ32,BT$13),0)</f>
        <v>0.25205479452054796</v>
      </c>
      <c r="BU32" s="492">
        <f t="shared" si="25"/>
        <v>378.96431920912528</v>
      </c>
      <c r="BV32" s="464"/>
      <c r="BW32" s="493">
        <f t="shared" si="13"/>
        <v>1603.8994762359664</v>
      </c>
      <c r="BX32" s="495" t="s">
        <v>347</v>
      </c>
      <c r="BY32" s="491">
        <f t="shared" si="14"/>
        <v>1.2668234694092959</v>
      </c>
      <c r="BZ32" s="464"/>
      <c r="CA32" s="496"/>
      <c r="CB32" s="492"/>
      <c r="CC32" s="539">
        <v>42284</v>
      </c>
      <c r="CD32" s="464" t="str">
        <f t="shared" si="6"/>
        <v>4.25Y</v>
      </c>
      <c r="CE32" s="491">
        <v>0.90437763771074897</v>
      </c>
      <c r="CF32" s="492">
        <f>IF(CC32,_xll.qDateYears(CC31,CC32,CF$13),0)</f>
        <v>0.25555555555555554</v>
      </c>
      <c r="CG32" s="492">
        <f t="shared" si="26"/>
        <v>412.17806573149926</v>
      </c>
      <c r="CH32" s="464"/>
      <c r="CI32" s="493">
        <f t="shared" si="15"/>
        <v>2129.6993460471217</v>
      </c>
      <c r="CJ32" s="495" t="s">
        <v>347</v>
      </c>
      <c r="CK32" s="491">
        <f t="shared" si="16"/>
        <v>0.95405837581735486</v>
      </c>
      <c r="CL32" s="207"/>
      <c r="CM32" s="497"/>
      <c r="CN32" s="492"/>
      <c r="CO32" s="539">
        <v>42284</v>
      </c>
      <c r="CP32" s="464" t="str">
        <f t="shared" si="7"/>
        <v>4.25Y</v>
      </c>
      <c r="CQ32" s="491">
        <v>0.91516198211472022</v>
      </c>
      <c r="CR32" s="492">
        <f>IF(CO32,_xll.qDateYears(CO31,CO32,CR$13),0)</f>
        <v>0.25205479452054796</v>
      </c>
      <c r="CS32" s="492">
        <f t="shared" si="27"/>
        <v>410.73310355395273</v>
      </c>
      <c r="CT32" s="464"/>
      <c r="CU32" s="493">
        <f t="shared" si="17"/>
        <v>2027.1476169079976</v>
      </c>
      <c r="CV32" s="495" t="s">
        <v>347</v>
      </c>
      <c r="CW32" s="491">
        <f t="shared" si="18"/>
        <v>1.0023234036444697</v>
      </c>
      <c r="CX32" s="491"/>
      <c r="CY32" s="497"/>
      <c r="CZ32" s="492"/>
      <c r="DA32" s="539">
        <v>42284</v>
      </c>
      <c r="DB32" s="464" t="str">
        <f t="shared" si="8"/>
        <v>4.25Y</v>
      </c>
      <c r="DC32" s="491">
        <v>0.82406326936464636</v>
      </c>
      <c r="DD32" s="492">
        <f>IF(DA32,_xll.qDateYears(DA31,DA32,DD$13),0)</f>
        <v>0.25205479452054796</v>
      </c>
      <c r="DE32" s="492">
        <f t="shared" si="28"/>
        <v>389.63400632356519</v>
      </c>
      <c r="DF32" s="464"/>
      <c r="DG32" s="493">
        <f t="shared" si="19"/>
        <v>1547.7550736221363</v>
      </c>
      <c r="DH32" s="495" t="s">
        <v>347</v>
      </c>
      <c r="DI32" s="491">
        <f t="shared" si="20"/>
        <v>1.3127771529858028</v>
      </c>
      <c r="DJ32" s="491"/>
      <c r="DK32" s="497"/>
      <c r="DL32" s="492"/>
      <c r="DM32" s="539">
        <v>42284</v>
      </c>
      <c r="DN32" s="464" t="str">
        <f t="shared" si="9"/>
        <v>4.25Y</v>
      </c>
      <c r="DO32" s="491">
        <v>0.92854100821698471</v>
      </c>
      <c r="DP32" s="492">
        <f>IF(DM32,_xll.qDateYears(DM31,DM32,DP$13),0)</f>
        <v>0.25555555555555554</v>
      </c>
      <c r="DQ32" s="492">
        <f t="shared" si="29"/>
        <v>420.47087113594284</v>
      </c>
      <c r="DR32" s="464"/>
      <c r="DS32" s="493">
        <f t="shared" si="21"/>
        <v>2031.8574990689997</v>
      </c>
      <c r="DT32" s="495" t="s">
        <v>347</v>
      </c>
      <c r="DU32" s="491">
        <f t="shared" si="22"/>
        <v>1</v>
      </c>
      <c r="ED32" s="122" t="s">
        <v>11</v>
      </c>
      <c r="EF32" s="734">
        <f>IF(ED32=0,0,      IF(ISNUMBER(ED32),ED32,_xll.qDateNext($EF$14,ED32,"M",TRUE,$ED$11)))</f>
        <v>43290</v>
      </c>
      <c r="EG32" s="735"/>
      <c r="EH32" s="491">
        <v>0.86668999999999996</v>
      </c>
      <c r="EI32" s="491">
        <v>0.8665930225702061</v>
      </c>
      <c r="EJ32" s="730"/>
      <c r="EK32" s="491">
        <v>1</v>
      </c>
      <c r="EL32" s="491">
        <v>1</v>
      </c>
      <c r="EM32" s="207"/>
      <c r="EN32" s="207"/>
      <c r="EO32" s="736">
        <f>IF(ES32=0,0,   10000*(ES32-ES$14))</f>
        <v>-2057.5999999999995</v>
      </c>
      <c r="EP32" s="736">
        <f>IF(ET32=0,0,   10000*(ET32-ET$14))</f>
        <v>-2058.5697742979382</v>
      </c>
      <c r="EQ32" s="736">
        <f t="shared" si="23"/>
        <v>-0.969774297938784</v>
      </c>
      <c r="ER32" s="207"/>
      <c r="ES32" s="731">
        <f>IF(EF32=0,0,        EH32/EK32)</f>
        <v>0.86668999999999996</v>
      </c>
      <c r="ET32" s="731">
        <f>IF(EF32=0,0,        EI32/EL32)</f>
        <v>0.8665930225702061</v>
      </c>
    </row>
    <row r="33" spans="11:150">
      <c r="K33" s="449" t="s">
        <v>27</v>
      </c>
      <c r="L33" s="445" t="s">
        <v>325</v>
      </c>
      <c r="M33" s="445" t="s">
        <v>325</v>
      </c>
      <c r="N33" s="445" t="s">
        <v>324</v>
      </c>
      <c r="O33" s="445" t="s">
        <v>325</v>
      </c>
      <c r="P33" s="445"/>
      <c r="Q33" s="445" t="s">
        <v>325</v>
      </c>
      <c r="R33" s="151" t="str">
        <v>S</v>
      </c>
      <c r="T33" s="445" t="s">
        <v>325</v>
      </c>
      <c r="U33" s="445" t="s">
        <v>323</v>
      </c>
      <c r="V33" s="445" t="s">
        <v>325</v>
      </c>
      <c r="W33" s="445" t="s">
        <v>325</v>
      </c>
      <c r="X33" s="445" t="s">
        <v>323</v>
      </c>
      <c r="Y33" s="445" t="s">
        <v>323</v>
      </c>
      <c r="Z33" s="151" t="str">
        <v>S</v>
      </c>
      <c r="AA33" s="151"/>
      <c r="AB33" s="150" t="str">
        <f t="shared" si="30"/>
        <v>AUD.ZB.6M|[Swap Pricer 1w.xlsm]AU!$BG$56#1131</v>
      </c>
      <c r="AC33" s="149" t="s">
        <v>78</v>
      </c>
      <c r="AE33" s="451">
        <v>9</v>
      </c>
      <c r="BG33" s="526">
        <v>42376</v>
      </c>
      <c r="BH33" s="150" t="str">
        <f t="shared" si="4"/>
        <v>4.5Y</v>
      </c>
      <c r="BI33" s="386">
        <v>0.91985724540686342</v>
      </c>
      <c r="BJ33" s="268">
        <f>IF(BG33,_xll.qDateYears(BG32,BG33,$BJ$13),0)</f>
        <v>0.25555555555555554</v>
      </c>
      <c r="BK33" s="268">
        <f t="shared" si="24"/>
        <v>443.97833407411827</v>
      </c>
      <c r="BQ33" s="526">
        <v>42376</v>
      </c>
      <c r="BR33" s="151" t="str">
        <f t="shared" si="5"/>
        <v>4.5Y</v>
      </c>
      <c r="BS33" s="386">
        <v>0.78086796217590315</v>
      </c>
      <c r="BT33" s="268">
        <f>IF(BQ33,_xll.qDateYears(BQ32,BQ33,BT$13),0)</f>
        <v>0.25205479452054796</v>
      </c>
      <c r="BU33" s="268">
        <f t="shared" si="25"/>
        <v>398.64647058451789</v>
      </c>
      <c r="CC33" s="526">
        <v>42376</v>
      </c>
      <c r="CD33" s="151" t="str">
        <f t="shared" si="6"/>
        <v>4.5Y</v>
      </c>
      <c r="CE33" s="386">
        <v>0.89677624787593602</v>
      </c>
      <c r="CF33" s="268">
        <f>IF(CC33,_xll.qDateYears(CC32,CC33,CF$13),0)</f>
        <v>0.25555555555555554</v>
      </c>
      <c r="CG33" s="268">
        <f t="shared" si="26"/>
        <v>435.09568095499537</v>
      </c>
      <c r="CO33" s="526">
        <v>42376</v>
      </c>
      <c r="CP33" s="151" t="str">
        <f t="shared" si="7"/>
        <v>4.5Y</v>
      </c>
      <c r="CQ33" s="386">
        <v>0.90698606884938049</v>
      </c>
      <c r="CR33" s="268">
        <f>IF(CO33,_xll.qDateYears(CO32,CO33,CR$13),0)</f>
        <v>0.25205479452054796</v>
      </c>
      <c r="CS33" s="268">
        <f t="shared" si="27"/>
        <v>433.59412227563575</v>
      </c>
      <c r="DA33" s="526">
        <v>42376</v>
      </c>
      <c r="DB33" s="151" t="str">
        <f t="shared" si="8"/>
        <v>4.5Y</v>
      </c>
      <c r="DC33" s="386">
        <v>0.81139485968742686</v>
      </c>
      <c r="DD33" s="268">
        <f>IF(DA33,_xll.qDateYears(DA32,DA33,DD$13),0)</f>
        <v>0.25205479452054796</v>
      </c>
      <c r="DE33" s="268">
        <f t="shared" si="28"/>
        <v>410.08560278691948</v>
      </c>
      <c r="DM33" s="526">
        <v>42376</v>
      </c>
      <c r="DN33" s="151" t="str">
        <f t="shared" si="9"/>
        <v>4.5Y</v>
      </c>
      <c r="DO33" s="386">
        <v>0.91985724540686342</v>
      </c>
      <c r="DP33" s="268">
        <f>IF(DM33,_xll.qDateYears(DM32,DM33,DP$13),0)</f>
        <v>0.25555555555555554</v>
      </c>
      <c r="DQ33" s="268">
        <f t="shared" si="29"/>
        <v>443.97833407411827</v>
      </c>
      <c r="ED33" s="122">
        <v>40983</v>
      </c>
      <c r="EF33" s="732">
        <f>IF(ED33=0,0,      IF(ISNUMBER(ED33),ED33,_xll.qDateNext($EF$14,ED33,"M",TRUE,$ED$11)))</f>
        <v>40983</v>
      </c>
      <c r="EH33" s="386">
        <v>1.0393406669884209</v>
      </c>
      <c r="EI33" s="386">
        <v>1.0393337974935803</v>
      </c>
      <c r="EK33" s="386">
        <v>1</v>
      </c>
      <c r="EL33" s="386">
        <v>1</v>
      </c>
      <c r="EO33" s="460">
        <f>IF(ES33=0,0,   10000*(ES33-ES$14))</f>
        <v>-331.09333011579037</v>
      </c>
      <c r="EP33" s="460">
        <f>IF(ET33=0,0,   10000*(ET33-ET$14))</f>
        <v>-331.16202506419557</v>
      </c>
      <c r="EQ33" s="460">
        <f t="shared" si="23"/>
        <v>-6.8694948405209288E-2</v>
      </c>
      <c r="ES33" s="635">
        <f>IF(EF33=0,0,        EH33/EK33)</f>
        <v>1.0393406669884209</v>
      </c>
      <c r="ET33" s="635">
        <f>IF(EF33=0,0,        EI33/EL33)</f>
        <v>1.0393337974935803</v>
      </c>
    </row>
    <row r="34" spans="11:150">
      <c r="AC34" s="149" t="s">
        <v>78</v>
      </c>
      <c r="AE34" s="451">
        <v>10</v>
      </c>
      <c r="BE34" s="120" t="s">
        <v>345</v>
      </c>
      <c r="BG34" s="526">
        <v>42467</v>
      </c>
      <c r="BH34" s="150" t="str">
        <f t="shared" si="4"/>
        <v>4.75Y</v>
      </c>
      <c r="BI34" s="386">
        <v>0.91084743819257408</v>
      </c>
      <c r="BJ34" s="268">
        <f>IF(BG34,_xll.qDateYears(BG33,BG34,$BJ$13),0)</f>
        <v>0.25277777777777777</v>
      </c>
      <c r="BK34" s="268">
        <f t="shared" si="24"/>
        <v>467.00253320620834</v>
      </c>
      <c r="BM34" s="467" t="str">
        <f>BK11</f>
        <v>USD+GBP+AUD+EUR+GBP+NZD</v>
      </c>
      <c r="BQ34" s="526">
        <v>42467</v>
      </c>
      <c r="BR34" s="151" t="str">
        <f t="shared" si="5"/>
        <v>4.75Y</v>
      </c>
      <c r="BS34" s="386">
        <v>0.76887220917118493</v>
      </c>
      <c r="BT34" s="268">
        <f>IF(BQ34,_xll.qDateYears(BQ33,BQ34,BT$13),0)</f>
        <v>0.24931506849315069</v>
      </c>
      <c r="BU34" s="268">
        <f t="shared" si="25"/>
        <v>417.81561333371729</v>
      </c>
      <c r="CC34" s="526">
        <v>42467</v>
      </c>
      <c r="CD34" s="151" t="str">
        <f t="shared" si="6"/>
        <v>4.75Y</v>
      </c>
      <c r="CE34" s="386">
        <v>0.8890769061250674</v>
      </c>
      <c r="CF34" s="268">
        <f>IF(CC34,_xll.qDateYears(CC33,CC34,CF$13),0)</f>
        <v>0.25277777777777777</v>
      </c>
      <c r="CG34" s="268">
        <f t="shared" si="26"/>
        <v>457.56956941537902</v>
      </c>
      <c r="CO34" s="526">
        <v>42467</v>
      </c>
      <c r="CP34" s="151" t="str">
        <f t="shared" si="7"/>
        <v>4.75Y</v>
      </c>
      <c r="CQ34" s="386">
        <v>0.8986032657800731</v>
      </c>
      <c r="CR34" s="268">
        <f>IF(CO34,_xll.qDateYears(CO33,CO34,CR$13),0)</f>
        <v>0.24931506849315069</v>
      </c>
      <c r="CS34" s="268">
        <f t="shared" si="27"/>
        <v>455.99765575124854</v>
      </c>
      <c r="DA34" s="526">
        <v>42467</v>
      </c>
      <c r="DB34" s="151" t="str">
        <f t="shared" si="8"/>
        <v>4.75Y</v>
      </c>
      <c r="DC34" s="386">
        <v>0.79870145825604688</v>
      </c>
      <c r="DD34" s="268">
        <f>IF(DA34,_xll.qDateYears(DA33,DA34,DD$13),0)</f>
        <v>0.24931506849315069</v>
      </c>
      <c r="DE34" s="268">
        <f t="shared" si="28"/>
        <v>429.99843366398807</v>
      </c>
      <c r="DM34" s="526">
        <v>42467</v>
      </c>
      <c r="DN34" s="151" t="str">
        <f t="shared" si="9"/>
        <v>4.75Y</v>
      </c>
      <c r="DO34" s="386">
        <v>0.91084743819257408</v>
      </c>
      <c r="DP34" s="268">
        <f>IF(DM34,_xll.qDateYears(DM33,DM34,DP$13),0)</f>
        <v>0.25277777777777777</v>
      </c>
      <c r="DQ34" s="268">
        <f t="shared" si="29"/>
        <v>467.00253320620834</v>
      </c>
      <c r="ED34" s="122"/>
      <c r="EF34" s="734">
        <f>IF(ED34=0,0,      IF(ISNUMBER(ED34),ED34,_xll.qDateNext($EF$14,ED34,"M",TRUE,$ED$11)))</f>
        <v>0</v>
      </c>
      <c r="EG34" s="735"/>
      <c r="EH34" s="491">
        <v>0</v>
      </c>
      <c r="EI34" s="491">
        <v>0</v>
      </c>
      <c r="EJ34" s="730"/>
      <c r="EK34" s="491">
        <v>1</v>
      </c>
      <c r="EL34" s="491">
        <v>0</v>
      </c>
      <c r="EM34" s="207"/>
      <c r="EN34" s="207"/>
      <c r="EO34" s="736">
        <f t="shared" ref="EO34:EO40" si="31">IF(ES34=0,0,   10000*(ES34-ES$14))</f>
        <v>0</v>
      </c>
      <c r="EP34" s="736">
        <f t="shared" ref="EP34:EP40" si="32">IF(ET34=0,0,   10000*(ET34-ET$14))</f>
        <v>0</v>
      </c>
      <c r="EQ34" s="736">
        <f t="shared" ref="EQ34:EQ40" si="33">EP34-EO34</f>
        <v>0</v>
      </c>
      <c r="ER34" s="207"/>
      <c r="ES34" s="731">
        <f t="shared" ref="ES34:ES40" si="34">IF(EF34=0,0,        EH34/EK34)</f>
        <v>0</v>
      </c>
      <c r="ET34" s="731">
        <f t="shared" ref="ET34:ET40" si="35">IF(EF34=0,0,        EI34/EL34)</f>
        <v>0</v>
      </c>
    </row>
    <row r="35" spans="11:150">
      <c r="K35" s="449" t="s">
        <v>246</v>
      </c>
      <c r="L35" s="744" t="s">
        <v>134</v>
      </c>
      <c r="M35" s="744" t="s">
        <v>337</v>
      </c>
      <c r="N35" s="744" t="s">
        <v>337</v>
      </c>
      <c r="O35" s="744" t="s">
        <v>134</v>
      </c>
      <c r="P35" s="744" t="s">
        <v>678</v>
      </c>
      <c r="Q35" s="744" t="s">
        <v>134</v>
      </c>
      <c r="AC35" s="149" t="s">
        <v>78</v>
      </c>
      <c r="AE35" s="451">
        <v>12</v>
      </c>
      <c r="BG35" s="526">
        <v>42558</v>
      </c>
      <c r="BH35" s="150" t="str">
        <f t="shared" si="4"/>
        <v>5Y</v>
      </c>
      <c r="BI35" s="386">
        <v>0.90143363063712489</v>
      </c>
      <c r="BJ35" s="268">
        <f>IF(BG35,_xll.qDateYears(BG34,BG35,$BJ$13),0)</f>
        <v>0.25277777777777777</v>
      </c>
      <c r="BK35" s="268">
        <f t="shared" si="24"/>
        <v>489.78877220286898</v>
      </c>
      <c r="BQ35" s="526">
        <v>42558</v>
      </c>
      <c r="BR35" s="151" t="str">
        <f t="shared" si="5"/>
        <v>5Y</v>
      </c>
      <c r="BS35" s="386">
        <v>0.75691874265919046</v>
      </c>
      <c r="BT35" s="268">
        <f>IF(BQ35,_xll.qDateYears(BQ34,BQ35,BT$13),0)</f>
        <v>0.24931506849315069</v>
      </c>
      <c r="BU35" s="268">
        <f t="shared" si="25"/>
        <v>436.68673815069985</v>
      </c>
      <c r="CC35" s="526">
        <v>42558</v>
      </c>
      <c r="CD35" s="151" t="str">
        <f t="shared" si="6"/>
        <v>5Y</v>
      </c>
      <c r="CE35" s="386">
        <v>0.88120376043347981</v>
      </c>
      <c r="CF35" s="268">
        <f>IF(CC35,_xll.qDateYears(CC34,CC35,CF$13),0)</f>
        <v>0.25277777777777777</v>
      </c>
      <c r="CG35" s="268">
        <f t="shared" si="26"/>
        <v>479.84444224855866</v>
      </c>
      <c r="CO35" s="526">
        <v>42558</v>
      </c>
      <c r="CP35" s="151" t="str">
        <f t="shared" si="7"/>
        <v>5Y</v>
      </c>
      <c r="CQ35" s="386">
        <v>0.88994444105875026</v>
      </c>
      <c r="CR35" s="268">
        <f>IF(CO35,_xll.qDateYears(CO34,CO35,CR$13),0)</f>
        <v>0.24931506849315069</v>
      </c>
      <c r="CS35" s="268">
        <f t="shared" si="27"/>
        <v>478.18531167901466</v>
      </c>
      <c r="DA35" s="526">
        <v>42558</v>
      </c>
      <c r="DB35" s="151" t="str">
        <f t="shared" si="8"/>
        <v>5Y</v>
      </c>
      <c r="DC35" s="386">
        <v>0.78586005705624085</v>
      </c>
      <c r="DD35" s="268">
        <f>IF(DA35,_xll.qDateYears(DA34,DA35,DD$13),0)</f>
        <v>0.24931506849315069</v>
      </c>
      <c r="DE35" s="268">
        <f t="shared" si="28"/>
        <v>449.59110905908886</v>
      </c>
      <c r="DM35" s="526">
        <v>42558</v>
      </c>
      <c r="DN35" s="151" t="str">
        <f t="shared" si="9"/>
        <v>5Y</v>
      </c>
      <c r="DO35" s="386">
        <v>0.90143363063712489</v>
      </c>
      <c r="DP35" s="268">
        <f>IF(DM35,_xll.qDateYears(DM34,DM35,DP$13),0)</f>
        <v>0.25277777777777777</v>
      </c>
      <c r="DQ35" s="268">
        <f t="shared" si="29"/>
        <v>489.78877220286898</v>
      </c>
      <c r="ED35" s="122"/>
      <c r="EF35" s="732">
        <f>IF(ED35=0,0,      IF(ISNUMBER(ED35),ED35,_xll.qDateNext($EF$14,ED35,"M",TRUE,$ED$11)))</f>
        <v>0</v>
      </c>
      <c r="EH35" s="386">
        <v>0</v>
      </c>
      <c r="EI35" s="386">
        <v>0</v>
      </c>
      <c r="EK35" s="386">
        <v>1</v>
      </c>
      <c r="EL35" s="386">
        <v>0</v>
      </c>
      <c r="EO35" s="460">
        <f t="shared" si="31"/>
        <v>0</v>
      </c>
      <c r="EP35" s="460">
        <f t="shared" si="32"/>
        <v>0</v>
      </c>
      <c r="EQ35" s="460">
        <f t="shared" si="33"/>
        <v>0</v>
      </c>
      <c r="ES35" s="635">
        <f t="shared" si="34"/>
        <v>0</v>
      </c>
      <c r="ET35" s="635">
        <f t="shared" si="35"/>
        <v>0</v>
      </c>
    </row>
    <row r="36" spans="11:150">
      <c r="AC36" s="149" t="s">
        <v>78</v>
      </c>
      <c r="AE36" s="451">
        <v>15</v>
      </c>
      <c r="BG36" s="526">
        <v>42650</v>
      </c>
      <c r="BH36" s="150" t="str">
        <f t="shared" si="4"/>
        <v>5.25Y</v>
      </c>
      <c r="BI36" s="386">
        <v>0.89215685113981058</v>
      </c>
      <c r="BJ36" s="268">
        <f>IF(BG36,_xll.qDateYears(BG35,BG36,$BJ$13),0)</f>
        <v>0.25555555555555554</v>
      </c>
      <c r="BK36" s="268">
        <f t="shared" si="24"/>
        <v>512.58833617644189</v>
      </c>
      <c r="BQ36" s="526">
        <v>42650</v>
      </c>
      <c r="BR36" s="151" t="str">
        <f t="shared" si="5"/>
        <v>5.25Y</v>
      </c>
      <c r="BS36" s="386">
        <v>0.74508777357844147</v>
      </c>
      <c r="BT36" s="268">
        <f>IF(BQ36,_xll.qDateYears(BQ35,BQ36,BT$13),0)</f>
        <v>0.25205479452054796</v>
      </c>
      <c r="BU36" s="268">
        <f t="shared" si="25"/>
        <v>455.4670327176085</v>
      </c>
      <c r="CC36" s="526">
        <v>42650</v>
      </c>
      <c r="CD36" s="151" t="str">
        <f t="shared" si="6"/>
        <v>5.25Y</v>
      </c>
      <c r="CE36" s="386">
        <v>0.87351617343142574</v>
      </c>
      <c r="CF36" s="268">
        <f>IF(CC36,_xll.qDateYears(CC35,CC36,CF$13),0)</f>
        <v>0.25555555555555554</v>
      </c>
      <c r="CG36" s="268">
        <f t="shared" si="26"/>
        <v>502.16763334736174</v>
      </c>
      <c r="CO36" s="526">
        <v>42650</v>
      </c>
      <c r="CP36" s="151" t="str">
        <f t="shared" si="7"/>
        <v>5.25Y</v>
      </c>
      <c r="CQ36" s="386">
        <v>0.88138592658327186</v>
      </c>
      <c r="CR36" s="268">
        <f>IF(CO36,_xll.qDateYears(CO35,CO36,CR$13),0)</f>
        <v>0.25205479452054796</v>
      </c>
      <c r="CS36" s="268">
        <f t="shared" si="27"/>
        <v>500.40106654083957</v>
      </c>
      <c r="DA36" s="526">
        <v>42650</v>
      </c>
      <c r="DB36" s="151" t="str">
        <f t="shared" si="8"/>
        <v>5.25Y</v>
      </c>
      <c r="DC36" s="386">
        <v>0.77392587422848003</v>
      </c>
      <c r="DD36" s="268">
        <f>IF(DA36,_xll.qDateYears(DA35,DA36,DD$13),0)</f>
        <v>0.25205479452054796</v>
      </c>
      <c r="DE36" s="268">
        <f t="shared" si="28"/>
        <v>469.09828177936834</v>
      </c>
      <c r="DM36" s="526">
        <v>42650</v>
      </c>
      <c r="DN36" s="151" t="str">
        <f t="shared" si="9"/>
        <v>5.25Y</v>
      </c>
      <c r="DO36" s="386">
        <v>0.89215685113981058</v>
      </c>
      <c r="DP36" s="268">
        <f>IF(DM36,_xll.qDateYears(DM35,DM36,DP$13),0)</f>
        <v>0.25555555555555554</v>
      </c>
      <c r="DQ36" s="268">
        <f t="shared" si="29"/>
        <v>512.58833617644189</v>
      </c>
      <c r="ED36" s="122"/>
      <c r="EF36" s="734">
        <f>IF(ED36=0,0,      IF(ISNUMBER(ED36),ED36,_xll.qDateNext($EF$14,ED36,"M",TRUE,$ED$11)))</f>
        <v>0</v>
      </c>
      <c r="EG36" s="735"/>
      <c r="EH36" s="491">
        <v>0</v>
      </c>
      <c r="EI36" s="491">
        <v>0</v>
      </c>
      <c r="EJ36" s="730"/>
      <c r="EK36" s="491">
        <v>1</v>
      </c>
      <c r="EL36" s="491">
        <v>0</v>
      </c>
      <c r="EM36" s="207"/>
      <c r="EN36" s="207"/>
      <c r="EO36" s="736">
        <f t="shared" si="31"/>
        <v>0</v>
      </c>
      <c r="EP36" s="736">
        <f t="shared" si="32"/>
        <v>0</v>
      </c>
      <c r="EQ36" s="736">
        <f t="shared" si="33"/>
        <v>0</v>
      </c>
      <c r="ER36" s="207"/>
      <c r="ES36" s="731">
        <f t="shared" si="34"/>
        <v>0</v>
      </c>
      <c r="ET36" s="731">
        <f t="shared" si="35"/>
        <v>0</v>
      </c>
    </row>
    <row r="37" spans="11:150">
      <c r="K37" s="449" t="s">
        <v>258</v>
      </c>
      <c r="L37" s="745" t="s">
        <v>127</v>
      </c>
      <c r="M37" s="745" t="s">
        <v>677</v>
      </c>
      <c r="N37" s="745" t="s">
        <v>677</v>
      </c>
      <c r="O37" s="745" t="s">
        <v>676</v>
      </c>
      <c r="P37" s="745"/>
      <c r="Q37" s="745" t="s">
        <v>675</v>
      </c>
      <c r="AC37" s="149" t="s">
        <v>78</v>
      </c>
      <c r="AE37" s="451">
        <v>20</v>
      </c>
      <c r="BG37" s="526">
        <v>42744</v>
      </c>
      <c r="BH37" s="150" t="str">
        <f t="shared" si="4"/>
        <v>5.5Y</v>
      </c>
      <c r="BI37" s="386">
        <v>0.8823307254008389</v>
      </c>
      <c r="BJ37" s="268">
        <f>IF(BG37,_xll.qDateYears(BG36,BG37,$BJ$13),0)</f>
        <v>0.26111111111111113</v>
      </c>
      <c r="BK37" s="268">
        <f t="shared" si="24"/>
        <v>535.62697178413043</v>
      </c>
      <c r="BQ37" s="526">
        <v>42744</v>
      </c>
      <c r="BR37" s="151" t="str">
        <f t="shared" si="5"/>
        <v>5.5Y</v>
      </c>
      <c r="BS37" s="386">
        <v>0.73306412679705668</v>
      </c>
      <c r="BT37" s="268">
        <f>IF(BQ37,_xll.qDateYears(BQ36,BQ37,BT$13),0)</f>
        <v>0.25753424657534246</v>
      </c>
      <c r="BU37" s="268">
        <f t="shared" si="25"/>
        <v>474.34594447621765</v>
      </c>
      <c r="CC37" s="526">
        <v>42744</v>
      </c>
      <c r="CD37" s="151" t="str">
        <f t="shared" si="6"/>
        <v>5.5Y</v>
      </c>
      <c r="CE37" s="386">
        <v>0.86552538014161329</v>
      </c>
      <c r="CF37" s="268">
        <f>IF(CC37,_xll.qDateYears(CC36,CC37,CF$13),0)</f>
        <v>0.26111111111111113</v>
      </c>
      <c r="CG37" s="268">
        <f t="shared" si="26"/>
        <v>524.76746271772606</v>
      </c>
      <c r="CO37" s="526">
        <v>42744</v>
      </c>
      <c r="CP37" s="151" t="str">
        <f t="shared" si="7"/>
        <v>5.5Y</v>
      </c>
      <c r="CQ37" s="386">
        <v>0.87239910787592589</v>
      </c>
      <c r="CR37" s="268">
        <f>IF(CO37,_xll.qDateYears(CO36,CO37,CR$13),0)</f>
        <v>0.25753424657534246</v>
      </c>
      <c r="CS37" s="268">
        <f t="shared" si="27"/>
        <v>522.86833123682231</v>
      </c>
      <c r="DA37" s="526">
        <v>42744</v>
      </c>
      <c r="DB37" s="151" t="str">
        <f t="shared" si="8"/>
        <v>5.5Y</v>
      </c>
      <c r="DC37" s="386">
        <v>0.76168005555207363</v>
      </c>
      <c r="DD37" s="268">
        <f>IF(DA37,_xll.qDateYears(DA36,DA37,DD$13),0)</f>
        <v>0.25753424657534246</v>
      </c>
      <c r="DE37" s="268">
        <f t="shared" si="28"/>
        <v>488.71415170317516</v>
      </c>
      <c r="DM37" s="526">
        <v>42744</v>
      </c>
      <c r="DN37" s="151" t="str">
        <f t="shared" si="9"/>
        <v>5.5Y</v>
      </c>
      <c r="DO37" s="386">
        <v>0.8823307254008389</v>
      </c>
      <c r="DP37" s="268">
        <f>IF(DM37,_xll.qDateYears(DM36,DM37,DP$13),0)</f>
        <v>0.26111111111111113</v>
      </c>
      <c r="DQ37" s="268">
        <f t="shared" si="29"/>
        <v>535.62697178413043</v>
      </c>
      <c r="ED37" s="122"/>
      <c r="EF37" s="732">
        <f>IF(ED37=0,0,      IF(ISNUMBER(ED37),ED37,_xll.qDateNext($EF$14,ED37,"M",TRUE,$ED$11)))</f>
        <v>0</v>
      </c>
      <c r="EH37" s="386">
        <v>0</v>
      </c>
      <c r="EI37" s="386">
        <v>0</v>
      </c>
      <c r="EK37" s="386">
        <v>1</v>
      </c>
      <c r="EL37" s="386">
        <v>0</v>
      </c>
      <c r="EO37" s="460">
        <f t="shared" si="31"/>
        <v>0</v>
      </c>
      <c r="EP37" s="460">
        <f t="shared" si="32"/>
        <v>0</v>
      </c>
      <c r="EQ37" s="460">
        <f t="shared" si="33"/>
        <v>0</v>
      </c>
      <c r="ES37" s="635">
        <f t="shared" si="34"/>
        <v>0</v>
      </c>
      <c r="ET37" s="635">
        <f t="shared" si="35"/>
        <v>0</v>
      </c>
    </row>
    <row r="38" spans="11:150">
      <c r="AC38" s="149" t="s">
        <v>78</v>
      </c>
      <c r="AE38" s="451">
        <v>25</v>
      </c>
      <c r="BG38" s="526">
        <v>42832</v>
      </c>
      <c r="BH38" s="150" t="str">
        <f t="shared" si="4"/>
        <v>5.75Y</v>
      </c>
      <c r="BI38" s="386">
        <v>0.87282565794416822</v>
      </c>
      <c r="BJ38" s="268">
        <f>IF(BG38,_xll.qDateYears(BG37,BG38,$BJ$13),0)</f>
        <v>0.24444444444444444</v>
      </c>
      <c r="BK38" s="268">
        <f t="shared" si="24"/>
        <v>556.96271008943233</v>
      </c>
      <c r="BQ38" s="526">
        <v>42832</v>
      </c>
      <c r="BR38" s="151" t="str">
        <f t="shared" si="5"/>
        <v>5.75Y</v>
      </c>
      <c r="BS38" s="386">
        <v>0.72186979739454582</v>
      </c>
      <c r="BT38" s="268">
        <f>IF(BQ38,_xll.qDateYears(BQ37,BQ38,BT$13),0)</f>
        <v>0.24109589041095891</v>
      </c>
      <c r="BU38" s="268">
        <f t="shared" si="25"/>
        <v>491.74992863257933</v>
      </c>
      <c r="CC38" s="526">
        <v>42832</v>
      </c>
      <c r="CD38" s="151" t="str">
        <f t="shared" si="6"/>
        <v>5.75Y</v>
      </c>
      <c r="CE38" s="386">
        <v>0.85792447630310364</v>
      </c>
      <c r="CF38" s="268">
        <f>IF(CC38,_xll.qDateYears(CC37,CC38,CF$13),0)</f>
        <v>0.24444444444444444</v>
      </c>
      <c r="CG38" s="268">
        <f t="shared" si="26"/>
        <v>545.73894991624638</v>
      </c>
      <c r="CO38" s="526">
        <v>42832</v>
      </c>
      <c r="CP38" s="151" t="str">
        <f t="shared" si="7"/>
        <v>5.75Y</v>
      </c>
      <c r="CQ38" s="386">
        <v>0.86377225141649139</v>
      </c>
      <c r="CR38" s="268">
        <f>IF(CO38,_xll.qDateYears(CO37,CO38,CR$13),0)</f>
        <v>0.24109589041095891</v>
      </c>
      <c r="CS38" s="268">
        <f t="shared" si="27"/>
        <v>543.69352524357612</v>
      </c>
      <c r="DA38" s="526">
        <v>42832</v>
      </c>
      <c r="DB38" s="151" t="str">
        <f t="shared" si="8"/>
        <v>5.75Y</v>
      </c>
      <c r="DC38" s="386">
        <v>0.75017564986505203</v>
      </c>
      <c r="DD38" s="268">
        <f>IF(DA38,_xll.qDateYears(DA37,DA38,DD$13),0)</f>
        <v>0.24109589041095891</v>
      </c>
      <c r="DE38" s="268">
        <f t="shared" si="28"/>
        <v>506.80057833005861</v>
      </c>
      <c r="DM38" s="526">
        <v>42832</v>
      </c>
      <c r="DN38" s="151" t="str">
        <f t="shared" si="9"/>
        <v>5.75Y</v>
      </c>
      <c r="DO38" s="386">
        <v>0.87282565794416822</v>
      </c>
      <c r="DP38" s="268">
        <f>IF(DM38,_xll.qDateYears(DM37,DM38,DP$13),0)</f>
        <v>0.24444444444444444</v>
      </c>
      <c r="DQ38" s="268">
        <f t="shared" si="29"/>
        <v>556.96271008943233</v>
      </c>
      <c r="ED38" s="122"/>
      <c r="EF38" s="734">
        <f>IF(ED38=0,0,      IF(ISNUMBER(ED38),ED38,_xll.qDateNext($EF$14,ED38,"M",TRUE,$ED$11)))</f>
        <v>0</v>
      </c>
      <c r="EG38" s="735"/>
      <c r="EH38" s="491">
        <v>0</v>
      </c>
      <c r="EI38" s="491">
        <v>0</v>
      </c>
      <c r="EJ38" s="730"/>
      <c r="EK38" s="491">
        <v>1</v>
      </c>
      <c r="EL38" s="491">
        <v>0</v>
      </c>
      <c r="EM38" s="207"/>
      <c r="EN38" s="207"/>
      <c r="EO38" s="736">
        <f t="shared" si="31"/>
        <v>0</v>
      </c>
      <c r="EP38" s="736">
        <f t="shared" si="32"/>
        <v>0</v>
      </c>
      <c r="EQ38" s="736">
        <f t="shared" si="33"/>
        <v>0</v>
      </c>
      <c r="ER38" s="207"/>
      <c r="ES38" s="731">
        <f t="shared" si="34"/>
        <v>0</v>
      </c>
      <c r="ET38" s="731">
        <f t="shared" si="35"/>
        <v>0</v>
      </c>
    </row>
    <row r="39" spans="11:150">
      <c r="AE39" s="451">
        <v>30</v>
      </c>
      <c r="BG39" s="526">
        <v>42923</v>
      </c>
      <c r="BH39" s="150" t="str">
        <f t="shared" si="4"/>
        <v>6Y</v>
      </c>
      <c r="BI39" s="386">
        <v>0.8626980076545796</v>
      </c>
      <c r="BJ39" s="268">
        <f>IF(BG39,_xll.qDateYears(BG38,BG39,$BJ$13),0)</f>
        <v>0.25277777777777777</v>
      </c>
      <c r="BK39" s="268">
        <f t="shared" si="24"/>
        <v>578.76979861625648</v>
      </c>
      <c r="BQ39" s="526">
        <v>42923</v>
      </c>
      <c r="BR39" s="151" t="str">
        <f t="shared" si="5"/>
        <v>6Y</v>
      </c>
      <c r="BS39" s="386">
        <v>0.7103604636584262</v>
      </c>
      <c r="BT39" s="268">
        <f>IF(BQ39,_xll.qDateYears(BQ38,BQ39,BT$13),0)</f>
        <v>0.24931506849315069</v>
      </c>
      <c r="BU39" s="268">
        <f t="shared" si="25"/>
        <v>509.46028539776199</v>
      </c>
      <c r="CC39" s="526">
        <v>42923</v>
      </c>
      <c r="CD39" s="151" t="str">
        <f t="shared" si="6"/>
        <v>6Y</v>
      </c>
      <c r="CE39" s="386">
        <v>0.84994683934980908</v>
      </c>
      <c r="CF39" s="268">
        <f>IF(CC39,_xll.qDateYears(CC38,CC39,CF$13),0)</f>
        <v>0.25277777777777777</v>
      </c>
      <c r="CG39" s="268">
        <f t="shared" si="26"/>
        <v>567.22371724425545</v>
      </c>
      <c r="CO39" s="526">
        <v>42923</v>
      </c>
      <c r="CP39" s="151" t="str">
        <f t="shared" si="7"/>
        <v>6Y</v>
      </c>
      <c r="CQ39" s="386">
        <v>0.85465158534920382</v>
      </c>
      <c r="CR39" s="268">
        <f>IF(CO39,_xll.qDateYears(CO38,CO39,CR$13),0)</f>
        <v>0.24931506849315069</v>
      </c>
      <c r="CS39" s="268">
        <f t="shared" si="27"/>
        <v>565.00127709748779</v>
      </c>
      <c r="DA39" s="526">
        <v>42923</v>
      </c>
      <c r="DB39" s="151" t="str">
        <f t="shared" si="8"/>
        <v>6Y</v>
      </c>
      <c r="DC39" s="386">
        <v>0.73824572318425841</v>
      </c>
      <c r="DD39" s="268">
        <f>IF(DA39,_xll.qDateYears(DA38,DA39,DD$13),0)</f>
        <v>0.24931506849315069</v>
      </c>
      <c r="DE39" s="268">
        <f t="shared" si="28"/>
        <v>525.20615663410456</v>
      </c>
      <c r="DM39" s="526">
        <v>42923</v>
      </c>
      <c r="DN39" s="151" t="str">
        <f t="shared" si="9"/>
        <v>6Y</v>
      </c>
      <c r="DO39" s="386">
        <v>0.8626980076545796</v>
      </c>
      <c r="DP39" s="268">
        <f>IF(DM39,_xll.qDateYears(DM38,DM39,DP$13),0)</f>
        <v>0.25277777777777777</v>
      </c>
      <c r="DQ39" s="268">
        <f t="shared" si="29"/>
        <v>578.76979861625648</v>
      </c>
      <c r="ED39" s="122"/>
      <c r="EF39" s="732">
        <f>IF(ED39=0,0,      IF(ISNUMBER(ED39),ED39,_xll.qDateNext($EF$14,ED39,"M",TRUE,$ED$11)))</f>
        <v>0</v>
      </c>
      <c r="EH39" s="386">
        <v>0</v>
      </c>
      <c r="EI39" s="386">
        <v>0</v>
      </c>
      <c r="EK39" s="386">
        <v>1</v>
      </c>
      <c r="EL39" s="386">
        <v>0</v>
      </c>
      <c r="EO39" s="460">
        <f t="shared" si="31"/>
        <v>0</v>
      </c>
      <c r="EP39" s="460">
        <f t="shared" si="32"/>
        <v>0</v>
      </c>
      <c r="EQ39" s="460">
        <f t="shared" si="33"/>
        <v>0</v>
      </c>
      <c r="ES39" s="635">
        <f t="shared" si="34"/>
        <v>0</v>
      </c>
      <c r="ET39" s="635">
        <f t="shared" si="35"/>
        <v>0</v>
      </c>
    </row>
    <row r="40" spans="11:150">
      <c r="AE40" s="451"/>
      <c r="BG40" s="526">
        <v>43018</v>
      </c>
      <c r="BH40" s="150" t="str">
        <f t="shared" si="4"/>
        <v>6.25Y</v>
      </c>
      <c r="BI40" s="386">
        <v>0.85283404829640475</v>
      </c>
      <c r="BJ40" s="268">
        <f>IF(BG40,_xll.qDateYears(BG39,BG40,$BJ$13),0)</f>
        <v>0.2638888888888889</v>
      </c>
      <c r="BK40" s="268">
        <f t="shared" si="24"/>
        <v>601.27514155741164</v>
      </c>
      <c r="BQ40" s="526">
        <v>43018</v>
      </c>
      <c r="BR40" s="151" t="str">
        <f t="shared" si="5"/>
        <v>6.25Y</v>
      </c>
      <c r="BS40" s="386">
        <v>0.69851608258441533</v>
      </c>
      <c r="BT40" s="268">
        <f>IF(BQ40,_xll.qDateYears(BQ39,BQ40,BT$13),0)</f>
        <v>0.26027397260273971</v>
      </c>
      <c r="BU40" s="268">
        <f t="shared" si="25"/>
        <v>527.64084097187697</v>
      </c>
      <c r="CC40" s="526">
        <v>43018</v>
      </c>
      <c r="CD40" s="151" t="str">
        <f t="shared" si="6"/>
        <v>6.25Y</v>
      </c>
      <c r="CE40" s="386">
        <v>0.84234628981700643</v>
      </c>
      <c r="CF40" s="268">
        <f>IF(CC40,_xll.qDateYears(CC39,CC40,CF$13),0)</f>
        <v>0.2638888888888889</v>
      </c>
      <c r="CG40" s="268">
        <f t="shared" si="26"/>
        <v>589.45229989220422</v>
      </c>
      <c r="CO40" s="526">
        <v>43018</v>
      </c>
      <c r="CP40" s="151" t="str">
        <f t="shared" si="7"/>
        <v>6.25Y</v>
      </c>
      <c r="CQ40" s="386">
        <v>0.84534976283120999</v>
      </c>
      <c r="CR40" s="268">
        <f>IF(CO40,_xll.qDateYears(CO39,CO40,CR$13),0)</f>
        <v>0.26027397260273971</v>
      </c>
      <c r="CS40" s="268">
        <f t="shared" si="27"/>
        <v>587.00353119857402</v>
      </c>
      <c r="DA40" s="526">
        <v>43018</v>
      </c>
      <c r="DB40" s="151" t="str">
        <f t="shared" si="8"/>
        <v>6.25Y</v>
      </c>
      <c r="DC40" s="386">
        <v>0.72576342115718617</v>
      </c>
      <c r="DD40" s="268">
        <f>IF(DA40,_xll.qDateYears(DA39,DA40,DD$13),0)</f>
        <v>0.26027397260273971</v>
      </c>
      <c r="DE40" s="268">
        <f t="shared" si="28"/>
        <v>544.09588951353817</v>
      </c>
      <c r="DM40" s="526">
        <v>43018</v>
      </c>
      <c r="DN40" s="151" t="str">
        <f t="shared" si="9"/>
        <v>6.25Y</v>
      </c>
      <c r="DO40" s="386">
        <v>0.85283404829640475</v>
      </c>
      <c r="DP40" s="268">
        <f>IF(DM40,_xll.qDateYears(DM39,DM40,DP$13),0)</f>
        <v>0.2638888888888889</v>
      </c>
      <c r="DQ40" s="268">
        <f t="shared" si="29"/>
        <v>601.27514155741164</v>
      </c>
      <c r="ED40" s="122"/>
      <c r="EF40" s="734">
        <f>IF(ED40=0,0,      IF(ISNUMBER(ED40),ED40,_xll.qDateNext($EF$14,ED40,"M",TRUE,$ED$11)))</f>
        <v>0</v>
      </c>
      <c r="EG40" s="735"/>
      <c r="EH40" s="491">
        <v>0</v>
      </c>
      <c r="EI40" s="491">
        <v>0</v>
      </c>
      <c r="EJ40" s="730"/>
      <c r="EK40" s="491">
        <v>1</v>
      </c>
      <c r="EL40" s="491">
        <v>0</v>
      </c>
      <c r="EM40" s="207"/>
      <c r="EN40" s="207"/>
      <c r="EO40" s="736">
        <f t="shared" si="31"/>
        <v>0</v>
      </c>
      <c r="EP40" s="736">
        <f t="shared" si="32"/>
        <v>0</v>
      </c>
      <c r="EQ40" s="736">
        <f t="shared" si="33"/>
        <v>0</v>
      </c>
      <c r="ER40" s="207"/>
      <c r="ES40" s="731">
        <f t="shared" si="34"/>
        <v>0</v>
      </c>
      <c r="ET40" s="731">
        <f t="shared" si="35"/>
        <v>0</v>
      </c>
    </row>
    <row r="41" spans="11:150">
      <c r="BG41" s="526">
        <v>43108</v>
      </c>
      <c r="BH41" s="150" t="str">
        <f t="shared" si="4"/>
        <v>6.5Y</v>
      </c>
      <c r="BI41" s="386">
        <v>0.84326446938203159</v>
      </c>
      <c r="BJ41" s="268">
        <f>IF(BG41,_xll.qDateYears(BG40,BG41,$BJ$13),0)</f>
        <v>0.25</v>
      </c>
      <c r="BK41" s="268">
        <f t="shared" si="24"/>
        <v>622.35675329196238</v>
      </c>
      <c r="BQ41" s="526">
        <v>43108</v>
      </c>
      <c r="BR41" s="151" t="str">
        <f t="shared" si="5"/>
        <v>6.5Y</v>
      </c>
      <c r="BS41" s="386">
        <v>0.68737181024507554</v>
      </c>
      <c r="BT41" s="268">
        <f>IF(BQ41,_xll.qDateYears(BQ40,BQ41,BT$13),0)</f>
        <v>0.24657534246575341</v>
      </c>
      <c r="BU41" s="268">
        <f t="shared" si="25"/>
        <v>544.58973492312543</v>
      </c>
      <c r="CC41" s="526">
        <v>43108</v>
      </c>
      <c r="CD41" s="151" t="str">
        <f t="shared" si="6"/>
        <v>6.5Y</v>
      </c>
      <c r="CE41" s="386">
        <v>0.83508435792214319</v>
      </c>
      <c r="CF41" s="268">
        <f>IF(CC41,_xll.qDateYears(CC40,CC41,CF$13),0)</f>
        <v>0.25</v>
      </c>
      <c r="CG41" s="268">
        <f t="shared" si="26"/>
        <v>610.32940884025777</v>
      </c>
      <c r="CO41" s="526">
        <v>43108</v>
      </c>
      <c r="CP41" s="151" t="str">
        <f t="shared" si="7"/>
        <v>6.5Y</v>
      </c>
      <c r="CQ41" s="386">
        <v>0.83636612996320858</v>
      </c>
      <c r="CR41" s="268">
        <f>IF(CO41,_xll.qDateYears(CO40,CO41,CR$13),0)</f>
        <v>0.24657534246575341</v>
      </c>
      <c r="CS41" s="268">
        <f t="shared" si="27"/>
        <v>607.62625769081751</v>
      </c>
      <c r="DA41" s="526">
        <v>43108</v>
      </c>
      <c r="DB41" s="151" t="str">
        <f t="shared" si="8"/>
        <v>6.5Y</v>
      </c>
      <c r="DC41" s="386">
        <v>0.71391936384083932</v>
      </c>
      <c r="DD41" s="268">
        <f>IF(DA41,_xll.qDateYears(DA40,DA41,DD$13),0)</f>
        <v>0.24657534246575341</v>
      </c>
      <c r="DE41" s="268">
        <f t="shared" si="28"/>
        <v>561.69938067673695</v>
      </c>
      <c r="DM41" s="526">
        <v>43108</v>
      </c>
      <c r="DN41" s="151" t="str">
        <f t="shared" si="9"/>
        <v>6.5Y</v>
      </c>
      <c r="DO41" s="386">
        <v>0.84326446938203159</v>
      </c>
      <c r="DP41" s="268">
        <f>IF(DM41,_xll.qDateYears(DM40,DM41,DP$13),0)</f>
        <v>0.25</v>
      </c>
      <c r="DQ41" s="268">
        <f t="shared" si="29"/>
        <v>622.35675329196238</v>
      </c>
    </row>
    <row r="42" spans="11:150">
      <c r="BG42" s="526">
        <v>43199</v>
      </c>
      <c r="BH42" s="150" t="str">
        <f t="shared" si="4"/>
        <v>6.75Y</v>
      </c>
      <c r="BI42" s="386">
        <v>0.83337634535484284</v>
      </c>
      <c r="BJ42" s="268">
        <f>IF(BG42,_xll.qDateYears(BG41,BG42,$BJ$13),0)</f>
        <v>0.25277777777777777</v>
      </c>
      <c r="BK42" s="268">
        <f t="shared" si="24"/>
        <v>643.42265535509864</v>
      </c>
      <c r="BQ42" s="526">
        <v>43199</v>
      </c>
      <c r="BR42" s="151" t="str">
        <f t="shared" si="5"/>
        <v>6.75Y</v>
      </c>
      <c r="BS42" s="386">
        <v>0.6761818138137734</v>
      </c>
      <c r="BT42" s="268">
        <f>IF(BQ42,_xll.qDateYears(BQ41,BQ42,BT$13),0)</f>
        <v>0.24931506849315069</v>
      </c>
      <c r="BU42" s="268">
        <f t="shared" si="25"/>
        <v>561.44796644560586</v>
      </c>
      <c r="CC42" s="526">
        <v>43199</v>
      </c>
      <c r="CD42" s="151" t="str">
        <f t="shared" si="6"/>
        <v>6.75Y</v>
      </c>
      <c r="CE42" s="386">
        <v>0.82768370839508631</v>
      </c>
      <c r="CF42" s="268">
        <f>IF(CC42,_xll.qDateYears(CC41,CC42,CF$13),0)</f>
        <v>0.25277777777777777</v>
      </c>
      <c r="CG42" s="268">
        <f t="shared" si="26"/>
        <v>631.25141369135576</v>
      </c>
      <c r="CO42" s="526">
        <v>43199</v>
      </c>
      <c r="CP42" s="151" t="str">
        <f t="shared" si="7"/>
        <v>6.75Y</v>
      </c>
      <c r="CQ42" s="386">
        <v>0.82712076267851553</v>
      </c>
      <c r="CR42" s="268">
        <f>IF(CO42,_xll.qDateYears(CO41,CO42,CR$13),0)</f>
        <v>0.24931506849315069</v>
      </c>
      <c r="CS42" s="268">
        <f t="shared" si="27"/>
        <v>628.24762465074764</v>
      </c>
      <c r="DA42" s="526">
        <v>43199</v>
      </c>
      <c r="DB42" s="151" t="str">
        <f t="shared" si="8"/>
        <v>6.75Y</v>
      </c>
      <c r="DC42" s="386">
        <v>0.70193264502484365</v>
      </c>
      <c r="DD42" s="268">
        <f>IF(DA42,_xll.qDateYears(DA41,DA42,DD$13),0)</f>
        <v>0.24931506849315069</v>
      </c>
      <c r="DE42" s="268">
        <f t="shared" si="28"/>
        <v>579.19961922393168</v>
      </c>
      <c r="DM42" s="526">
        <v>43199</v>
      </c>
      <c r="DN42" s="151" t="str">
        <f t="shared" si="9"/>
        <v>6.75Y</v>
      </c>
      <c r="DO42" s="386">
        <v>0.83337634535484284</v>
      </c>
      <c r="DP42" s="268">
        <f>IF(DM42,_xll.qDateYears(DM41,DM42,DP$13),0)</f>
        <v>0.25277777777777777</v>
      </c>
      <c r="DQ42" s="268">
        <f t="shared" si="29"/>
        <v>643.42265535509864</v>
      </c>
    </row>
    <row r="43" spans="11:150">
      <c r="BG43" s="526">
        <v>43290</v>
      </c>
      <c r="BH43" s="150" t="str">
        <f t="shared" si="4"/>
        <v>7Y</v>
      </c>
      <c r="BI43" s="386">
        <v>0.8232850107308185</v>
      </c>
      <c r="BJ43" s="268">
        <f>IF(BG43,_xll.qDateYears(BG42,BG43,$BJ$13),0)</f>
        <v>0.25277777777777777</v>
      </c>
      <c r="BK43" s="268">
        <f t="shared" si="24"/>
        <v>664.23347090412767</v>
      </c>
      <c r="BQ43" s="526">
        <v>43290</v>
      </c>
      <c r="BR43" s="151" t="str">
        <f t="shared" si="5"/>
        <v>7Y</v>
      </c>
      <c r="BS43" s="386">
        <v>0.66508750391622717</v>
      </c>
      <c r="BT43" s="268">
        <f>IF(BQ43,_xll.qDateYears(BQ42,BQ43,BT$13),0)</f>
        <v>0.24931506849315069</v>
      </c>
      <c r="BU43" s="268">
        <f t="shared" si="25"/>
        <v>578.02960010488709</v>
      </c>
      <c r="CC43" s="526">
        <v>43290</v>
      </c>
      <c r="CD43" s="151" t="str">
        <f t="shared" si="6"/>
        <v>7Y</v>
      </c>
      <c r="CE43" s="386">
        <v>0.82022740733436816</v>
      </c>
      <c r="CF43" s="268">
        <f>IF(CC43,_xll.qDateYears(CC42,CC43,CF$13),0)</f>
        <v>0.25277777777777777</v>
      </c>
      <c r="CG43" s="268">
        <f t="shared" si="26"/>
        <v>651.98493982119669</v>
      </c>
      <c r="CO43" s="526">
        <v>43290</v>
      </c>
      <c r="CP43" s="151" t="str">
        <f t="shared" si="7"/>
        <v>7Y</v>
      </c>
      <c r="CQ43" s="386">
        <v>0.81773662821593385</v>
      </c>
      <c r="CR43" s="268">
        <f>IF(CO43,_xll.qDateYears(CO42,CO43,CR$13),0)</f>
        <v>0.24931506849315069</v>
      </c>
      <c r="CS43" s="268">
        <f t="shared" si="27"/>
        <v>648.63503099804905</v>
      </c>
      <c r="DA43" s="526">
        <v>43290</v>
      </c>
      <c r="DB43" s="151" t="str">
        <f t="shared" si="8"/>
        <v>7Y</v>
      </c>
      <c r="DC43" s="386">
        <v>0.68994207678107911</v>
      </c>
      <c r="DD43" s="268">
        <f>IF(DA43,_xll.qDateYears(DA42,DA43,DD$13),0)</f>
        <v>0.24931506849315069</v>
      </c>
      <c r="DE43" s="268">
        <f t="shared" si="28"/>
        <v>596.40091483682977</v>
      </c>
      <c r="DM43" s="526">
        <v>43290</v>
      </c>
      <c r="DN43" s="151" t="str">
        <f t="shared" si="9"/>
        <v>7Y</v>
      </c>
      <c r="DO43" s="386">
        <v>0.8232850107308185</v>
      </c>
      <c r="DP43" s="268">
        <f>IF(DM43,_xll.qDateYears(DM42,DM43,DP$13),0)</f>
        <v>0.25277777777777777</v>
      </c>
      <c r="DQ43" s="268">
        <f t="shared" si="29"/>
        <v>664.23347090412767</v>
      </c>
    </row>
    <row r="44" spans="11:150">
      <c r="BG44" s="526">
        <v>43382</v>
      </c>
      <c r="BH44" s="150" t="str">
        <f t="shared" si="4"/>
        <v>7.25Y</v>
      </c>
      <c r="BI44" s="386">
        <v>0.81371318474830012</v>
      </c>
      <c r="BJ44" s="268">
        <f>IF(BG44,_xll.qDateYears(BG43,BG44,$BJ$13),0)</f>
        <v>0.25555555555555554</v>
      </c>
      <c r="BK44" s="268">
        <f t="shared" si="24"/>
        <v>685.02836340325086</v>
      </c>
      <c r="BQ44" s="526">
        <v>43382</v>
      </c>
      <c r="BR44" s="151" t="str">
        <f t="shared" si="5"/>
        <v>7.25Y</v>
      </c>
      <c r="BS44" s="386">
        <v>0.65456583782417521</v>
      </c>
      <c r="BT44" s="268">
        <f>IF(BQ44,_xll.qDateYears(BQ43,BQ44,BT$13),0)</f>
        <v>0.25205479452054796</v>
      </c>
      <c r="BU44" s="268">
        <f t="shared" si="25"/>
        <v>594.52824588018143</v>
      </c>
      <c r="CC44" s="526">
        <v>43382</v>
      </c>
      <c r="CD44" s="151" t="str">
        <f t="shared" si="6"/>
        <v>7.25Y</v>
      </c>
      <c r="CE44" s="386">
        <v>0.81243482807016898</v>
      </c>
      <c r="CF44" s="268">
        <f>IF(CC44,_xll.qDateYears(CC43,CC44,CF$13),0)</f>
        <v>0.25555555555555554</v>
      </c>
      <c r="CG44" s="268">
        <f t="shared" si="26"/>
        <v>672.74716320521213</v>
      </c>
      <c r="CO44" s="526">
        <v>43382</v>
      </c>
      <c r="CP44" s="151" t="str">
        <f t="shared" si="7"/>
        <v>7.25Y</v>
      </c>
      <c r="CQ44" s="386">
        <v>0.80843741194272767</v>
      </c>
      <c r="CR44" s="268">
        <f>IF(CO44,_xll.qDateYears(CO43,CO44,CR$13),0)</f>
        <v>0.25205479452054796</v>
      </c>
      <c r="CS44" s="268">
        <f t="shared" si="27"/>
        <v>669.01208357304381</v>
      </c>
      <c r="DA44" s="526">
        <v>43382</v>
      </c>
      <c r="DB44" s="151" t="str">
        <f t="shared" si="8"/>
        <v>7.25Y</v>
      </c>
      <c r="DC44" s="386">
        <v>0.67892519018061626</v>
      </c>
      <c r="DD44" s="268">
        <f>IF(DA44,_xll.qDateYears(DA43,DA44,DD$13),0)</f>
        <v>0.25205479452054796</v>
      </c>
      <c r="DE44" s="268">
        <f t="shared" si="28"/>
        <v>613.5135497674097</v>
      </c>
      <c r="DM44" s="526">
        <v>43382</v>
      </c>
      <c r="DN44" s="151" t="str">
        <f t="shared" si="9"/>
        <v>7.25Y</v>
      </c>
      <c r="DO44" s="386">
        <v>0.81371318474830012</v>
      </c>
      <c r="DP44" s="268">
        <f>IF(DM44,_xll.qDateYears(DM43,DM44,DP$13),0)</f>
        <v>0.25555555555555554</v>
      </c>
      <c r="DQ44" s="268">
        <f t="shared" si="29"/>
        <v>685.02836340325086</v>
      </c>
    </row>
    <row r="45" spans="11:150">
      <c r="BG45" s="526">
        <v>43472</v>
      </c>
      <c r="BH45" s="150" t="str">
        <f t="shared" si="4"/>
        <v>7.5Y</v>
      </c>
      <c r="BI45" s="386">
        <v>0.80420354907234848</v>
      </c>
      <c r="BJ45" s="268">
        <f>IF(BG45,_xll.qDateYears(BG44,BG45,$BJ$13),0)</f>
        <v>0.25</v>
      </c>
      <c r="BK45" s="268">
        <f t="shared" si="24"/>
        <v>705.1334521300596</v>
      </c>
      <c r="BQ45" s="526">
        <v>43472</v>
      </c>
      <c r="BR45" s="151" t="str">
        <f t="shared" si="5"/>
        <v>7.5Y</v>
      </c>
      <c r="BS45" s="386">
        <v>0.64437799625548753</v>
      </c>
      <c r="BT45" s="268">
        <f>IF(BQ45,_xll.qDateYears(BQ44,BQ45,BT$13),0)</f>
        <v>0.24657534246575341</v>
      </c>
      <c r="BU45" s="268">
        <f t="shared" si="25"/>
        <v>610.41701839059067</v>
      </c>
      <c r="CC45" s="526">
        <v>43472</v>
      </c>
      <c r="CD45" s="151" t="str">
        <f t="shared" si="6"/>
        <v>7.5Y</v>
      </c>
      <c r="CE45" s="386">
        <v>0.80475237782444731</v>
      </c>
      <c r="CF45" s="268">
        <f>IF(CC45,_xll.qDateYears(CC44,CC45,CF$13),0)</f>
        <v>0.25</v>
      </c>
      <c r="CG45" s="268">
        <f t="shared" si="26"/>
        <v>692.86597265082332</v>
      </c>
      <c r="CO45" s="526">
        <v>43472</v>
      </c>
      <c r="CP45" s="151" t="str">
        <f t="shared" si="7"/>
        <v>7.5Y</v>
      </c>
      <c r="CQ45" s="386">
        <v>0.79921740558804288</v>
      </c>
      <c r="CR45" s="268">
        <f>IF(CO45,_xll.qDateYears(CO44,CO45,CR$13),0)</f>
        <v>0.24657534246575341</v>
      </c>
      <c r="CS45" s="268">
        <f t="shared" si="27"/>
        <v>688.71881412179005</v>
      </c>
      <c r="DA45" s="526">
        <v>43472</v>
      </c>
      <c r="DB45" s="151" t="str">
        <f t="shared" si="8"/>
        <v>7.5Y</v>
      </c>
      <c r="DC45" s="386">
        <v>0.66819427027411238</v>
      </c>
      <c r="DD45" s="268">
        <f>IF(DA45,_xll.qDateYears(DA44,DA45,DD$13),0)</f>
        <v>0.24657534246575341</v>
      </c>
      <c r="DE45" s="268">
        <f t="shared" si="28"/>
        <v>629.98957287005908</v>
      </c>
      <c r="DM45" s="526">
        <v>43472</v>
      </c>
      <c r="DN45" s="151" t="str">
        <f t="shared" si="9"/>
        <v>7.5Y</v>
      </c>
      <c r="DO45" s="386">
        <v>0.80420354907234848</v>
      </c>
      <c r="DP45" s="268">
        <f>IF(DM45,_xll.qDateYears(DM44,DM45,DP$13),0)</f>
        <v>0.25</v>
      </c>
      <c r="DQ45" s="268">
        <f t="shared" si="29"/>
        <v>705.1334521300596</v>
      </c>
    </row>
    <row r="46" spans="11:150">
      <c r="BG46" s="526">
        <v>43563</v>
      </c>
      <c r="BH46" s="150" t="str">
        <f t="shared" si="4"/>
        <v>7.75Y</v>
      </c>
      <c r="BI46" s="386">
        <v>0.79444939977659723</v>
      </c>
      <c r="BJ46" s="268">
        <f>IF(BG46,_xll.qDateYears(BG45,BG46,$BJ$13),0)</f>
        <v>0.25277777777777777</v>
      </c>
      <c r="BK46" s="268">
        <f t="shared" si="24"/>
        <v>725.21536751330132</v>
      </c>
      <c r="BQ46" s="526">
        <v>43563</v>
      </c>
      <c r="BR46" s="151" t="str">
        <f t="shared" si="5"/>
        <v>7.75Y</v>
      </c>
      <c r="BS46" s="386">
        <v>0.63418275951565051</v>
      </c>
      <c r="BT46" s="268">
        <f>IF(BQ46,_xll.qDateYears(BQ45,BQ46,BT$13),0)</f>
        <v>0.24931506849315069</v>
      </c>
      <c r="BU46" s="268">
        <f t="shared" si="25"/>
        <v>626.22815020317262</v>
      </c>
      <c r="CC46" s="526">
        <v>43563</v>
      </c>
      <c r="CD46" s="151" t="str">
        <f t="shared" si="6"/>
        <v>7.75Y</v>
      </c>
      <c r="CE46" s="386">
        <v>0.79692807735851567</v>
      </c>
      <c r="CF46" s="268">
        <f>IF(CC46,_xll.qDateYears(CC45,CC46,CF$13),0)</f>
        <v>0.25277777777777777</v>
      </c>
      <c r="CG46" s="268">
        <f t="shared" si="26"/>
        <v>713.01054349516357</v>
      </c>
      <c r="CO46" s="526">
        <v>43563</v>
      </c>
      <c r="CP46" s="151" t="str">
        <f t="shared" si="7"/>
        <v>7.75Y</v>
      </c>
      <c r="CQ46" s="386">
        <v>0.78977805090635977</v>
      </c>
      <c r="CR46" s="268">
        <f>IF(CO46,_xll.qDateYears(CO45,CO46,CR$13),0)</f>
        <v>0.24931506849315069</v>
      </c>
      <c r="CS46" s="268">
        <f t="shared" si="27"/>
        <v>708.40917100740069</v>
      </c>
      <c r="DA46" s="526">
        <v>43563</v>
      </c>
      <c r="DB46" s="151" t="str">
        <f t="shared" si="8"/>
        <v>7.75Y</v>
      </c>
      <c r="DC46" s="386">
        <v>0.65739412482869908</v>
      </c>
      <c r="DD46" s="268">
        <f>IF(DA46,_xll.qDateYears(DA45,DA46,DD$13),0)</f>
        <v>0.24931506849315069</v>
      </c>
      <c r="DE46" s="268">
        <f t="shared" si="28"/>
        <v>646.37939899592527</v>
      </c>
      <c r="DM46" s="526">
        <v>43563</v>
      </c>
      <c r="DN46" s="151" t="str">
        <f t="shared" si="9"/>
        <v>7.75Y</v>
      </c>
      <c r="DO46" s="386">
        <v>0.79444939977659723</v>
      </c>
      <c r="DP46" s="268">
        <f>IF(DM46,_xll.qDateYears(DM45,DM46,DP$13),0)</f>
        <v>0.25277777777777777</v>
      </c>
      <c r="DQ46" s="268">
        <f t="shared" si="29"/>
        <v>725.21536751330132</v>
      </c>
    </row>
    <row r="47" spans="11:150">
      <c r="BG47" s="526">
        <v>43654</v>
      </c>
      <c r="BH47" s="150" t="str">
        <f t="shared" si="4"/>
        <v>8Y</v>
      </c>
      <c r="BI47" s="386">
        <v>0.78456353500806664</v>
      </c>
      <c r="BJ47" s="268">
        <f>IF(BG47,_xll.qDateYears(BG46,BG47,$BJ$13),0)</f>
        <v>0.25277777777777777</v>
      </c>
      <c r="BK47" s="268">
        <f t="shared" si="24"/>
        <v>745.04739020378304</v>
      </c>
      <c r="BQ47" s="526">
        <v>43654</v>
      </c>
      <c r="BR47" s="151" t="str">
        <f t="shared" si="5"/>
        <v>8Y</v>
      </c>
      <c r="BS47" s="386">
        <v>0.62409400730359699</v>
      </c>
      <c r="BT47" s="268">
        <f>IF(BQ47,_xll.qDateYears(BQ46,BQ47,BT$13),0)</f>
        <v>0.24931506849315069</v>
      </c>
      <c r="BU47" s="268">
        <f t="shared" si="25"/>
        <v>641.7877542208787</v>
      </c>
      <c r="CC47" s="526">
        <v>43654</v>
      </c>
      <c r="CD47" s="151" t="str">
        <f t="shared" si="6"/>
        <v>8Y</v>
      </c>
      <c r="CE47" s="386">
        <v>0.78905009262435555</v>
      </c>
      <c r="CF47" s="268">
        <f>IF(CC47,_xll.qDateYears(CC46,CC47,CF$13),0)</f>
        <v>0.25277777777777777</v>
      </c>
      <c r="CG47" s="268">
        <f t="shared" si="26"/>
        <v>732.95597639205698</v>
      </c>
      <c r="CO47" s="526">
        <v>43654</v>
      </c>
      <c r="CP47" s="151" t="str">
        <f t="shared" si="7"/>
        <v>8Y</v>
      </c>
      <c r="CQ47" s="386">
        <v>0.7802445898734377</v>
      </c>
      <c r="CR47" s="268">
        <f>IF(CO47,_xll.qDateYears(CO46,CO47,CR$13),0)</f>
        <v>0.24931506849315069</v>
      </c>
      <c r="CS47" s="268">
        <f t="shared" si="27"/>
        <v>727.86184434397137</v>
      </c>
      <c r="DA47" s="526">
        <v>43654</v>
      </c>
      <c r="DB47" s="151" t="str">
        <f t="shared" si="8"/>
        <v>8Y</v>
      </c>
      <c r="DC47" s="386">
        <v>0.64664746662746175</v>
      </c>
      <c r="DD47" s="268">
        <f>IF(DA47,_xll.qDateYears(DA46,DA47,DD$13),0)</f>
        <v>0.24931506849315069</v>
      </c>
      <c r="DE47" s="268">
        <f t="shared" si="28"/>
        <v>662.50129473924005</v>
      </c>
      <c r="DM47" s="526">
        <v>43654</v>
      </c>
      <c r="DN47" s="151" t="str">
        <f t="shared" si="9"/>
        <v>8Y</v>
      </c>
      <c r="DO47" s="386">
        <v>0.78456353500806664</v>
      </c>
      <c r="DP47" s="268">
        <f>IF(DM47,_xll.qDateYears(DM46,DM47,DP$13),0)</f>
        <v>0.25277777777777777</v>
      </c>
      <c r="DQ47" s="268">
        <f t="shared" si="29"/>
        <v>745.04739020378304</v>
      </c>
    </row>
    <row r="48" spans="11:150">
      <c r="BG48" s="526">
        <v>43746</v>
      </c>
      <c r="BH48" s="150" t="str">
        <f t="shared" si="4"/>
        <v>8.25Y</v>
      </c>
      <c r="BI48" s="386">
        <v>0.77509639461072355</v>
      </c>
      <c r="BJ48" s="268">
        <f>IF(BG48,_xll.qDateYears(BG47,BG48,$BJ$13),0)</f>
        <v>0.25555555555555554</v>
      </c>
      <c r="BK48" s="268">
        <f t="shared" si="24"/>
        <v>764.85540917716821</v>
      </c>
      <c r="BQ48" s="526">
        <v>43746</v>
      </c>
      <c r="BR48" s="151" t="str">
        <f t="shared" si="5"/>
        <v>8.25Y</v>
      </c>
      <c r="BS48" s="386">
        <v>0.61415065422658877</v>
      </c>
      <c r="BT48" s="268">
        <f>IF(BQ48,_xll.qDateYears(BQ47,BQ48,BT$13),0)</f>
        <v>0.25205479452054796</v>
      </c>
      <c r="BU48" s="268">
        <f t="shared" si="25"/>
        <v>657.26771591645297</v>
      </c>
      <c r="CC48" s="526">
        <v>43746</v>
      </c>
      <c r="CD48" s="151" t="str">
        <f t="shared" si="6"/>
        <v>8.25Y</v>
      </c>
      <c r="CE48" s="386">
        <v>0.78098785515254121</v>
      </c>
      <c r="CF48" s="268">
        <f>IF(CC48,_xll.qDateYears(CC47,CC48,CF$13),0)</f>
        <v>0.25555555555555554</v>
      </c>
      <c r="CG48" s="268">
        <f t="shared" si="26"/>
        <v>752.91455491262195</v>
      </c>
      <c r="CO48" s="526">
        <v>43746</v>
      </c>
      <c r="CP48" s="151" t="str">
        <f t="shared" si="7"/>
        <v>8.25Y</v>
      </c>
      <c r="CQ48" s="386">
        <v>0.7710066946909665</v>
      </c>
      <c r="CR48" s="268">
        <f>IF(CO48,_xll.qDateYears(CO47,CO48,CR$13),0)</f>
        <v>0.25205479452054796</v>
      </c>
      <c r="CS48" s="268">
        <f t="shared" si="27"/>
        <v>747.29543774440117</v>
      </c>
      <c r="DA48" s="526">
        <v>43746</v>
      </c>
      <c r="DB48" s="151" t="str">
        <f t="shared" si="8"/>
        <v>8.25Y</v>
      </c>
      <c r="DC48" s="386">
        <v>0.63584028182335073</v>
      </c>
      <c r="DD48" s="268">
        <f>IF(DA48,_xll.qDateYears(DA47,DA48,DD$13),0)</f>
        <v>0.25205479452054796</v>
      </c>
      <c r="DE48" s="268">
        <f t="shared" si="28"/>
        <v>678.52795389752725</v>
      </c>
      <c r="DM48" s="526">
        <v>43746</v>
      </c>
      <c r="DN48" s="151" t="str">
        <f t="shared" si="9"/>
        <v>8.25Y</v>
      </c>
      <c r="DO48" s="386">
        <v>0.77509639461072355</v>
      </c>
      <c r="DP48" s="268">
        <f>IF(DM48,_xll.qDateYears(DM47,DM48,DP$13),0)</f>
        <v>0.25555555555555554</v>
      </c>
      <c r="DQ48" s="268">
        <f t="shared" si="29"/>
        <v>764.85540917716821</v>
      </c>
    </row>
    <row r="49" spans="59:121">
      <c r="BG49" s="526">
        <v>43837</v>
      </c>
      <c r="BH49" s="150" t="str">
        <f t="shared" si="4"/>
        <v>8.5Y</v>
      </c>
      <c r="BI49" s="386">
        <v>0.76563787187626076</v>
      </c>
      <c r="BJ49" s="268">
        <f>IF(BG49,_xll.qDateYears(BG48,BG49,$BJ$13),0)</f>
        <v>0.25277777777777777</v>
      </c>
      <c r="BK49" s="268">
        <f t="shared" si="24"/>
        <v>784.20903316070701</v>
      </c>
      <c r="BQ49" s="526">
        <v>43837</v>
      </c>
      <c r="BR49" s="151" t="str">
        <f t="shared" si="5"/>
        <v>8.5Y</v>
      </c>
      <c r="BS49" s="386">
        <v>0.60442658448616249</v>
      </c>
      <c r="BT49" s="268">
        <f>IF(BQ49,_xll.qDateYears(BQ48,BQ49,BT$13),0)</f>
        <v>0.24931506849315069</v>
      </c>
      <c r="BU49" s="268">
        <f t="shared" si="25"/>
        <v>672.3369814474778</v>
      </c>
      <c r="CC49" s="526">
        <v>43837</v>
      </c>
      <c r="CD49" s="151" t="str">
        <f t="shared" si="6"/>
        <v>8.5Y</v>
      </c>
      <c r="CE49" s="386">
        <v>0.77296377205053757</v>
      </c>
      <c r="CF49" s="268">
        <f>IF(CC49,_xll.qDateYears(CC48,CC49,CF$13),0)</f>
        <v>0.25277777777777777</v>
      </c>
      <c r="CG49" s="268">
        <f t="shared" si="26"/>
        <v>772.45336137278832</v>
      </c>
      <c r="CO49" s="526">
        <v>43837</v>
      </c>
      <c r="CP49" s="151" t="str">
        <f t="shared" si="7"/>
        <v>8.5Y</v>
      </c>
      <c r="CQ49" s="386">
        <v>0.76178954647459185</v>
      </c>
      <c r="CR49" s="268">
        <f>IF(CO49,_xll.qDateYears(CO48,CO49,CR$13),0)</f>
        <v>0.24931506849315069</v>
      </c>
      <c r="CS49" s="268">
        <f t="shared" si="27"/>
        <v>766.28799904006905</v>
      </c>
      <c r="DA49" s="526">
        <v>43837</v>
      </c>
      <c r="DB49" s="151" t="str">
        <f t="shared" si="8"/>
        <v>8.5Y</v>
      </c>
      <c r="DC49" s="386">
        <v>0.62521058599549695</v>
      </c>
      <c r="DD49" s="268">
        <f>IF(DA49,_xll.qDateYears(DA48,DA49,DD$13),0)</f>
        <v>0.24931506849315069</v>
      </c>
      <c r="DE49" s="268">
        <f t="shared" si="28"/>
        <v>694.11539590453822</v>
      </c>
      <c r="DM49" s="526">
        <v>43837</v>
      </c>
      <c r="DN49" s="151" t="str">
        <f t="shared" si="9"/>
        <v>8.5Y</v>
      </c>
      <c r="DO49" s="386">
        <v>0.76563787187626076</v>
      </c>
      <c r="DP49" s="268">
        <f>IF(DM49,_xll.qDateYears(DM48,DM49,DP$13),0)</f>
        <v>0.25277777777777777</v>
      </c>
      <c r="DQ49" s="268">
        <f t="shared" si="29"/>
        <v>784.20903316070701</v>
      </c>
    </row>
    <row r="50" spans="59:121">
      <c r="BG50" s="526">
        <v>43928</v>
      </c>
      <c r="BH50" s="150" t="str">
        <f t="shared" si="4"/>
        <v>8.75Y</v>
      </c>
      <c r="BI50" s="386">
        <v>0.75609183176106642</v>
      </c>
      <c r="BJ50" s="268">
        <f>IF(BG50,_xll.qDateYears(BG49,BG50,$BJ$13),0)</f>
        <v>0.25277777777777777</v>
      </c>
      <c r="BK50" s="268">
        <f t="shared" si="24"/>
        <v>803.32135446355619</v>
      </c>
      <c r="BQ50" s="526">
        <v>43928</v>
      </c>
      <c r="BR50" s="151" t="str">
        <f t="shared" si="5"/>
        <v>8.75Y</v>
      </c>
      <c r="BS50" s="386">
        <v>0.59481277818995426</v>
      </c>
      <c r="BT50" s="268">
        <f>IF(BQ50,_xll.qDateYears(BQ49,BQ50,BT$13),0)</f>
        <v>0.24931506849315069</v>
      </c>
      <c r="BU50" s="268">
        <f t="shared" si="25"/>
        <v>687.16656030098079</v>
      </c>
      <c r="CC50" s="526">
        <v>43928</v>
      </c>
      <c r="CD50" s="151" t="str">
        <f t="shared" si="6"/>
        <v>8.75Y</v>
      </c>
      <c r="CE50" s="386">
        <v>0.76489369464530732</v>
      </c>
      <c r="CF50" s="268">
        <f>IF(CC50,_xll.qDateYears(CC49,CC50,CF$13),0)</f>
        <v>0.25277777777777777</v>
      </c>
      <c r="CG50" s="268">
        <f t="shared" si="26"/>
        <v>791.78817420965584</v>
      </c>
      <c r="CO50" s="526">
        <v>43928</v>
      </c>
      <c r="CP50" s="151" t="str">
        <f t="shared" si="7"/>
        <v>8.75Y</v>
      </c>
      <c r="CQ50" s="386">
        <v>0.75249864826746804</v>
      </c>
      <c r="CR50" s="268">
        <f>IF(CO50,_xll.qDateYears(CO49,CO50,CR$13),0)</f>
        <v>0.24931506849315069</v>
      </c>
      <c r="CS50" s="268">
        <f t="shared" si="27"/>
        <v>785.04892424344973</v>
      </c>
      <c r="DA50" s="526">
        <v>43928</v>
      </c>
      <c r="DB50" s="151" t="str">
        <f t="shared" si="8"/>
        <v>8.75Y</v>
      </c>
      <c r="DC50" s="386">
        <v>0.61464355643517055</v>
      </c>
      <c r="DD50" s="268">
        <f>IF(DA50,_xll.qDateYears(DA49,DA50,DD$13),0)</f>
        <v>0.24931506849315069</v>
      </c>
      <c r="DE50" s="268">
        <f t="shared" si="28"/>
        <v>709.43938594168901</v>
      </c>
      <c r="DM50" s="526">
        <v>43928</v>
      </c>
      <c r="DN50" s="151" t="str">
        <f t="shared" si="9"/>
        <v>8.75Y</v>
      </c>
      <c r="DO50" s="386">
        <v>0.75609183176106642</v>
      </c>
      <c r="DP50" s="268">
        <f>IF(DM50,_xll.qDateYears(DM49,DM50,DP$13),0)</f>
        <v>0.25277777777777777</v>
      </c>
      <c r="DQ50" s="268">
        <f t="shared" si="29"/>
        <v>803.32135446355619</v>
      </c>
    </row>
    <row r="51" spans="59:121">
      <c r="BG51" s="526">
        <v>44019</v>
      </c>
      <c r="BH51" s="150" t="str">
        <f t="shared" si="4"/>
        <v>9Y</v>
      </c>
      <c r="BI51" s="386">
        <v>0.74646449649839286</v>
      </c>
      <c r="BJ51" s="268">
        <f>IF(BG51,_xll.qDateYears(BG50,BG51,$BJ$13),0)</f>
        <v>0.25277777777777777</v>
      </c>
      <c r="BK51" s="268">
        <f t="shared" si="24"/>
        <v>822.19031812504329</v>
      </c>
      <c r="BQ51" s="526">
        <v>44019</v>
      </c>
      <c r="BR51" s="151" t="str">
        <f t="shared" si="5"/>
        <v>9Y</v>
      </c>
      <c r="BS51" s="386">
        <v>0.58530962396067565</v>
      </c>
      <c r="BT51" s="268">
        <f>IF(BQ51,_xll.qDateYears(BQ50,BQ51,BT$13),0)</f>
        <v>0.24931506849315069</v>
      </c>
      <c r="BU51" s="268">
        <f t="shared" si="25"/>
        <v>701.75921119972645</v>
      </c>
      <c r="CC51" s="526">
        <v>44019</v>
      </c>
      <c r="CD51" s="151" t="str">
        <f t="shared" si="6"/>
        <v>9Y</v>
      </c>
      <c r="CE51" s="386">
        <v>0.75678081452380341</v>
      </c>
      <c r="CF51" s="268">
        <f>IF(CC51,_xll.qDateYears(CC50,CC51,CF$13),0)</f>
        <v>0.25277777777777777</v>
      </c>
      <c r="CG51" s="268">
        <f t="shared" si="26"/>
        <v>810.91791146567425</v>
      </c>
      <c r="CO51" s="526">
        <v>44019</v>
      </c>
      <c r="CP51" s="151" t="str">
        <f t="shared" si="7"/>
        <v>9Y</v>
      </c>
      <c r="CQ51" s="386">
        <v>0.74314472357776218</v>
      </c>
      <c r="CR51" s="268">
        <f>IF(CO51,_xll.qDateYears(CO50,CO51,CR$13),0)</f>
        <v>0.24931506849315069</v>
      </c>
      <c r="CS51" s="268">
        <f t="shared" si="27"/>
        <v>803.57664200936108</v>
      </c>
      <c r="DA51" s="526">
        <v>44019</v>
      </c>
      <c r="DB51" s="151" t="str">
        <f t="shared" si="8"/>
        <v>9Y</v>
      </c>
      <c r="DC51" s="386">
        <v>0.60414207118834828</v>
      </c>
      <c r="DD51" s="268">
        <f>IF(DA51,_xll.qDateYears(DA50,DA51,DD$13),0)</f>
        <v>0.24931506849315069</v>
      </c>
      <c r="DE51" s="268">
        <f t="shared" si="28"/>
        <v>724.50155812748073</v>
      </c>
      <c r="DM51" s="526">
        <v>44019</v>
      </c>
      <c r="DN51" s="151" t="str">
        <f t="shared" si="9"/>
        <v>9Y</v>
      </c>
      <c r="DO51" s="386">
        <v>0.74646449649839286</v>
      </c>
      <c r="DP51" s="268">
        <f>IF(DM51,_xll.qDateYears(DM50,DM51,DP$13),0)</f>
        <v>0.25277777777777777</v>
      </c>
      <c r="DQ51" s="268">
        <f t="shared" si="29"/>
        <v>822.19031812504329</v>
      </c>
    </row>
    <row r="52" spans="59:121">
      <c r="BG52" s="526">
        <v>44111</v>
      </c>
      <c r="BH52" s="150" t="str">
        <f t="shared" si="4"/>
        <v>9.25Y</v>
      </c>
      <c r="BI52" s="386">
        <v>0.73727920814232584</v>
      </c>
      <c r="BJ52" s="268">
        <f>IF(BG52,_xll.qDateYears(BG51,BG52,$BJ$13),0)</f>
        <v>0.25555555555555554</v>
      </c>
      <c r="BK52" s="268">
        <f t="shared" si="24"/>
        <v>841.03189788868053</v>
      </c>
      <c r="BQ52" s="526">
        <v>44111</v>
      </c>
      <c r="BR52" s="151" t="str">
        <f t="shared" si="5"/>
        <v>9.25Y</v>
      </c>
      <c r="BS52" s="386">
        <v>0.57588138840348324</v>
      </c>
      <c r="BT52" s="268">
        <f>IF(BQ52,_xll.qDateYears(BQ51,BQ52,BT$13),0)</f>
        <v>0.25205479452054796</v>
      </c>
      <c r="BU52" s="268">
        <f t="shared" si="25"/>
        <v>716.27457770195122</v>
      </c>
      <c r="CC52" s="526">
        <v>44111</v>
      </c>
      <c r="CD52" s="151" t="str">
        <f t="shared" si="6"/>
        <v>9.25Y</v>
      </c>
      <c r="CE52" s="386">
        <v>0.74913781731315554</v>
      </c>
      <c r="CF52" s="268">
        <f>IF(CC52,_xll.qDateYears(CC51,CC52,CF$13),0)</f>
        <v>0.25555555555555554</v>
      </c>
      <c r="CG52" s="268">
        <f t="shared" si="26"/>
        <v>830.06254457478826</v>
      </c>
      <c r="CO52" s="526">
        <v>44111</v>
      </c>
      <c r="CP52" s="151" t="str">
        <f t="shared" si="7"/>
        <v>9.25Y</v>
      </c>
      <c r="CQ52" s="386">
        <v>0.73411339421643906</v>
      </c>
      <c r="CR52" s="268">
        <f>IF(CO52,_xll.qDateYears(CO51,CO52,CR$13),0)</f>
        <v>0.25205479452054796</v>
      </c>
      <c r="CS52" s="268">
        <f t="shared" si="27"/>
        <v>822.08032208276177</v>
      </c>
      <c r="DA52" s="526">
        <v>44111</v>
      </c>
      <c r="DB52" s="151" t="str">
        <f t="shared" si="8"/>
        <v>9.25Y</v>
      </c>
      <c r="DC52" s="386">
        <v>0.59359466185174381</v>
      </c>
      <c r="DD52" s="268">
        <f>IF(DA52,_xll.qDateYears(DA51,DA52,DD$13),0)</f>
        <v>0.25205479452054796</v>
      </c>
      <c r="DE52" s="268">
        <f t="shared" si="28"/>
        <v>739.46339617963429</v>
      </c>
      <c r="DM52" s="526">
        <v>44111</v>
      </c>
      <c r="DN52" s="151" t="str">
        <f t="shared" si="9"/>
        <v>9.25Y</v>
      </c>
      <c r="DO52" s="386">
        <v>0.73727920814232584</v>
      </c>
      <c r="DP52" s="268">
        <f>IF(DM52,_xll.qDateYears(DM51,DM52,DP$13),0)</f>
        <v>0.25555555555555554</v>
      </c>
      <c r="DQ52" s="268">
        <f t="shared" si="29"/>
        <v>841.03189788868053</v>
      </c>
    </row>
    <row r="53" spans="59:121">
      <c r="BG53" s="526">
        <v>44203</v>
      </c>
      <c r="BH53" s="150" t="str">
        <f t="shared" si="4"/>
        <v>9.5Y</v>
      </c>
      <c r="BI53" s="386">
        <v>0.72804073364933242</v>
      </c>
      <c r="BJ53" s="268">
        <f>IF(BG53,_xll.qDateYears(BG52,BG53,$BJ$13),0)</f>
        <v>0.25555555555555554</v>
      </c>
      <c r="BK53" s="268">
        <f t="shared" si="24"/>
        <v>859.63738330416345</v>
      </c>
      <c r="BQ53" s="526">
        <v>44203</v>
      </c>
      <c r="BR53" s="151" t="str">
        <f t="shared" si="5"/>
        <v>9.5Y</v>
      </c>
      <c r="BS53" s="386">
        <v>0.56656615959835077</v>
      </c>
      <c r="BT53" s="268">
        <f>IF(BQ53,_xll.qDateYears(BQ52,BQ53,BT$13),0)</f>
        <v>0.25205479452054796</v>
      </c>
      <c r="BU53" s="268">
        <f t="shared" si="25"/>
        <v>730.55514939593706</v>
      </c>
      <c r="CC53" s="526">
        <v>44203</v>
      </c>
      <c r="CD53" s="151" t="str">
        <f t="shared" si="6"/>
        <v>9.5Y</v>
      </c>
      <c r="CE53" s="386">
        <v>0.74147700194388211</v>
      </c>
      <c r="CF53" s="268">
        <f>IF(CC53,_xll.qDateYears(CC52,CC53,CF$13),0)</f>
        <v>0.25555555555555554</v>
      </c>
      <c r="CG53" s="268">
        <f t="shared" si="26"/>
        <v>849.01140129113196</v>
      </c>
      <c r="CO53" s="526">
        <v>44203</v>
      </c>
      <c r="CP53" s="151" t="str">
        <f t="shared" si="7"/>
        <v>9.5Y</v>
      </c>
      <c r="CQ53" s="386">
        <v>0.72503725183341838</v>
      </c>
      <c r="CR53" s="268">
        <f>IF(CO53,_xll.qDateYears(CO52,CO53,CR$13),0)</f>
        <v>0.25205479452054796</v>
      </c>
      <c r="CS53" s="268">
        <f t="shared" si="27"/>
        <v>840.35523363582331</v>
      </c>
      <c r="DA53" s="526">
        <v>44203</v>
      </c>
      <c r="DB53" s="151" t="str">
        <f t="shared" si="8"/>
        <v>9.5Y</v>
      </c>
      <c r="DC53" s="386">
        <v>0.58311989334616054</v>
      </c>
      <c r="DD53" s="268">
        <f>IF(DA53,_xll.qDateYears(DA52,DA53,DD$13),0)</f>
        <v>0.25205479452054796</v>
      </c>
      <c r="DE53" s="268">
        <f t="shared" si="28"/>
        <v>754.16121266945527</v>
      </c>
      <c r="DM53" s="526">
        <v>44203</v>
      </c>
      <c r="DN53" s="151" t="str">
        <f t="shared" si="9"/>
        <v>9.5Y</v>
      </c>
      <c r="DO53" s="386">
        <v>0.72804073364933242</v>
      </c>
      <c r="DP53" s="268">
        <f>IF(DM53,_xll.qDateYears(DM52,DM53,DP$13),0)</f>
        <v>0.25555555555555554</v>
      </c>
      <c r="DQ53" s="268">
        <f t="shared" si="29"/>
        <v>859.63738330416345</v>
      </c>
    </row>
    <row r="54" spans="59:121">
      <c r="BG54" s="526">
        <v>44293</v>
      </c>
      <c r="BH54" s="150" t="str">
        <f t="shared" si="4"/>
        <v>9.75Y</v>
      </c>
      <c r="BI54" s="386">
        <v>0.7189563238123392</v>
      </c>
      <c r="BJ54" s="268">
        <f>IF(BG54,_xll.qDateYears(BG53,BG54,$BJ$13),0)</f>
        <v>0.25</v>
      </c>
      <c r="BK54" s="268">
        <f t="shared" si="24"/>
        <v>877.61129139947195</v>
      </c>
      <c r="BQ54" s="526">
        <v>44293</v>
      </c>
      <c r="BR54" s="151" t="str">
        <f t="shared" si="5"/>
        <v>9.75Y</v>
      </c>
      <c r="BS54" s="386">
        <v>0.55756224784405206</v>
      </c>
      <c r="BT54" s="268">
        <f>IF(BQ54,_xll.qDateYears(BQ53,BQ54,BT$13),0)</f>
        <v>0.24657534246575341</v>
      </c>
      <c r="BU54" s="268">
        <f t="shared" si="25"/>
        <v>744.3032596167493</v>
      </c>
      <c r="CC54" s="526">
        <v>44293</v>
      </c>
      <c r="CD54" s="151" t="str">
        <f t="shared" si="6"/>
        <v>9.75Y</v>
      </c>
      <c r="CE54" s="386">
        <v>0.73396754431320821</v>
      </c>
      <c r="CF54" s="268">
        <f>IF(CC54,_xll.qDateYears(CC53,CC54,CF$13),0)</f>
        <v>0.25</v>
      </c>
      <c r="CG54" s="268">
        <f t="shared" si="26"/>
        <v>867.36058989896219</v>
      </c>
      <c r="CO54" s="526">
        <v>44293</v>
      </c>
      <c r="CP54" s="151" t="str">
        <f t="shared" si="7"/>
        <v>9.75Y</v>
      </c>
      <c r="CQ54" s="386">
        <v>0.71611930390230272</v>
      </c>
      <c r="CR54" s="268">
        <f>IF(CO54,_xll.qDateYears(CO53,CO54,CR$13),0)</f>
        <v>0.24657534246575341</v>
      </c>
      <c r="CS54" s="268">
        <f t="shared" si="27"/>
        <v>858.01296989642799</v>
      </c>
      <c r="DA54" s="526">
        <v>44293</v>
      </c>
      <c r="DB54" s="151" t="str">
        <f t="shared" si="8"/>
        <v>9.75Y</v>
      </c>
      <c r="DC54" s="386">
        <v>0.57294572397492904</v>
      </c>
      <c r="DD54" s="268">
        <f>IF(DA54,_xll.qDateYears(DA53,DA54,DD$13),0)</f>
        <v>0.24657534246575341</v>
      </c>
      <c r="DE54" s="268">
        <f t="shared" si="28"/>
        <v>768.28864147979596</v>
      </c>
      <c r="DM54" s="526">
        <v>44293</v>
      </c>
      <c r="DN54" s="151" t="str">
        <f t="shared" si="9"/>
        <v>9.75Y</v>
      </c>
      <c r="DO54" s="386">
        <v>0.7189563238123392</v>
      </c>
      <c r="DP54" s="268">
        <f>IF(DM54,_xll.qDateYears(DM53,DM54,DP$13),0)</f>
        <v>0.25</v>
      </c>
      <c r="DQ54" s="268">
        <f t="shared" si="29"/>
        <v>877.61129139947195</v>
      </c>
    </row>
    <row r="55" spans="59:121">
      <c r="BG55" s="526">
        <v>44384</v>
      </c>
      <c r="BH55" s="150" t="str">
        <f t="shared" si="4"/>
        <v>10Y</v>
      </c>
      <c r="BI55" s="386">
        <v>0.70972861741566029</v>
      </c>
      <c r="BJ55" s="268">
        <f>IF(BG55,_xll.qDateYears(BG54,BG55,$BJ$13),0)</f>
        <v>0.25277777777777777</v>
      </c>
      <c r="BK55" s="268">
        <f t="shared" si="24"/>
        <v>895.55165367303448</v>
      </c>
      <c r="BQ55" s="526">
        <v>44384</v>
      </c>
      <c r="BR55" s="151" t="str">
        <f t="shared" si="5"/>
        <v>10Y</v>
      </c>
      <c r="BS55" s="386">
        <v>0.54856746684462854</v>
      </c>
      <c r="BT55" s="268">
        <f>IF(BQ55,_xll.qDateYears(BQ54,BQ55,BT$13),0)</f>
        <v>0.24931506849315069</v>
      </c>
      <c r="BU55" s="268">
        <f t="shared" si="25"/>
        <v>757.97987317369757</v>
      </c>
      <c r="CC55" s="526">
        <v>44384</v>
      </c>
      <c r="CD55" s="151" t="str">
        <f t="shared" si="6"/>
        <v>10Y</v>
      </c>
      <c r="CE55" s="386">
        <v>0.72636143010280729</v>
      </c>
      <c r="CF55" s="268">
        <f>IF(CC55,_xll.qDateYears(CC54,CC55,CF$13),0)</f>
        <v>0.25277777777777777</v>
      </c>
      <c r="CG55" s="268">
        <f t="shared" si="26"/>
        <v>885.72139271544984</v>
      </c>
      <c r="CO55" s="526">
        <v>44384</v>
      </c>
      <c r="CP55" s="151" t="str">
        <f t="shared" si="7"/>
        <v>10Y</v>
      </c>
      <c r="CQ55" s="386">
        <v>0.7070823106387395</v>
      </c>
      <c r="CR55" s="268">
        <f>IF(CO55,_xll.qDateYears(CO54,CO55,CR$13),0)</f>
        <v>0.24931506849315069</v>
      </c>
      <c r="CS55" s="268">
        <f t="shared" si="27"/>
        <v>875.64159736714726</v>
      </c>
      <c r="DA55" s="526">
        <v>44384</v>
      </c>
      <c r="DB55" s="151" t="str">
        <f t="shared" si="8"/>
        <v>10Y</v>
      </c>
      <c r="DC55" s="386">
        <v>0.5627343149170877</v>
      </c>
      <c r="DD55" s="268">
        <f>IF(DA55,_xll.qDateYears(DA54,DA55,DD$13),0)</f>
        <v>0.24931506849315069</v>
      </c>
      <c r="DE55" s="268">
        <f t="shared" si="28"/>
        <v>782.31845590649596</v>
      </c>
      <c r="DM55" s="526">
        <v>44384</v>
      </c>
      <c r="DN55" s="151" t="str">
        <f t="shared" si="9"/>
        <v>10Y</v>
      </c>
      <c r="DO55" s="386">
        <v>0.70972861741566029</v>
      </c>
      <c r="DP55" s="268">
        <f>IF(DM55,_xll.qDateYears(DM54,DM55,DP$13),0)</f>
        <v>0.25277777777777777</v>
      </c>
      <c r="DQ55" s="268">
        <f t="shared" si="29"/>
        <v>895.55165367303448</v>
      </c>
    </row>
    <row r="56" spans="59:121">
      <c r="BG56" s="526">
        <v>44476</v>
      </c>
      <c r="BH56" s="150" t="str">
        <f t="shared" si="4"/>
        <v>10.25Y</v>
      </c>
      <c r="BI56" s="386">
        <v>0.70108574432458981</v>
      </c>
      <c r="BJ56" s="268">
        <f>IF(BG56,_xll.qDateYears(BG55,BG56,$BJ$13),0)</f>
        <v>0.25555555555555554</v>
      </c>
      <c r="BK56" s="268">
        <f t="shared" si="24"/>
        <v>913.46828936132954</v>
      </c>
      <c r="BQ56" s="526">
        <v>44476</v>
      </c>
      <c r="BR56" s="151" t="str">
        <f t="shared" si="5"/>
        <v>10.25Y</v>
      </c>
      <c r="BS56" s="386">
        <v>0.53994736158701973</v>
      </c>
      <c r="BT56" s="268">
        <f>IF(BQ56,_xll.qDateYears(BQ55,BQ56,BT$13),0)</f>
        <v>0.25205479452054796</v>
      </c>
      <c r="BU56" s="268">
        <f t="shared" si="25"/>
        <v>771.58950530137042</v>
      </c>
      <c r="CC56" s="526">
        <v>44476</v>
      </c>
      <c r="CD56" s="151" t="str">
        <f t="shared" si="6"/>
        <v>10.25Y</v>
      </c>
      <c r="CE56" s="386">
        <v>0.71857560782747443</v>
      </c>
      <c r="CF56" s="268">
        <f>IF(CC56,_xll.qDateYears(CC55,CC56,CF$13),0)</f>
        <v>0.25555555555555554</v>
      </c>
      <c r="CG56" s="268">
        <f t="shared" si="26"/>
        <v>904.08499158215193</v>
      </c>
      <c r="CO56" s="526">
        <v>44476</v>
      </c>
      <c r="CP56" s="151" t="str">
        <f t="shared" si="7"/>
        <v>10.25Y</v>
      </c>
      <c r="CQ56" s="386">
        <v>0.69865848285920895</v>
      </c>
      <c r="CR56" s="268">
        <f>IF(CO56,_xll.qDateYears(CO55,CO56,CR$13),0)</f>
        <v>0.25205479452054796</v>
      </c>
      <c r="CS56" s="268">
        <f t="shared" si="27"/>
        <v>893.25161940085877</v>
      </c>
      <c r="DA56" s="526">
        <v>44476</v>
      </c>
      <c r="DB56" s="151" t="str">
        <f t="shared" si="8"/>
        <v>10.25Y</v>
      </c>
      <c r="DC56" s="386">
        <v>0.55404731446842193</v>
      </c>
      <c r="DD56" s="268">
        <f>IF(DA56,_xll.qDateYears(DA55,DA56,DD$13),0)</f>
        <v>0.25205479452054796</v>
      </c>
      <c r="DE56" s="268">
        <f t="shared" si="28"/>
        <v>796.28348410679587</v>
      </c>
      <c r="DM56" s="526">
        <v>44476</v>
      </c>
      <c r="DN56" s="151" t="str">
        <f t="shared" si="9"/>
        <v>10.25Y</v>
      </c>
      <c r="DO56" s="386">
        <v>0.70108574432458981</v>
      </c>
      <c r="DP56" s="268">
        <f>IF(DM56,_xll.qDateYears(DM55,DM56,DP$13),0)</f>
        <v>0.25555555555555554</v>
      </c>
      <c r="DQ56" s="268">
        <f t="shared" si="29"/>
        <v>913.46828936132954</v>
      </c>
    </row>
    <row r="57" spans="59:121">
      <c r="BG57" s="526">
        <v>44568</v>
      </c>
      <c r="BH57" s="150" t="str">
        <f t="shared" si="4"/>
        <v>10.5Y</v>
      </c>
      <c r="BI57" s="386">
        <v>0.69242517747979593</v>
      </c>
      <c r="BJ57" s="268">
        <f>IF(BG57,_xll.qDateYears(BG56,BG57,$BJ$13),0)</f>
        <v>0.25555555555555554</v>
      </c>
      <c r="BK57" s="268">
        <f t="shared" si="24"/>
        <v>931.16359945247984</v>
      </c>
      <c r="BQ57" s="526">
        <v>44568</v>
      </c>
      <c r="BR57" s="151" t="str">
        <f t="shared" si="5"/>
        <v>10.5Y</v>
      </c>
      <c r="BS57" s="386">
        <v>0.53144380236154731</v>
      </c>
      <c r="BT57" s="268">
        <f>IF(BQ57,_xll.qDateYears(BQ56,BQ57,BT$13),0)</f>
        <v>0.25205479452054796</v>
      </c>
      <c r="BU57" s="268">
        <f t="shared" si="25"/>
        <v>784.98480114171628</v>
      </c>
      <c r="CC57" s="526">
        <v>44568</v>
      </c>
      <c r="CD57" s="151" t="str">
        <f t="shared" si="6"/>
        <v>10.5Y</v>
      </c>
      <c r="CE57" s="386">
        <v>0.71077809838604245</v>
      </c>
      <c r="CF57" s="268">
        <f>IF(CC57,_xll.qDateYears(CC56,CC57,CF$13),0)</f>
        <v>0.25555555555555554</v>
      </c>
      <c r="CG57" s="268">
        <f t="shared" si="26"/>
        <v>922.24932076312859</v>
      </c>
      <c r="CO57" s="526">
        <v>44568</v>
      </c>
      <c r="CP57" s="151" t="str">
        <f t="shared" si="7"/>
        <v>10.5Y</v>
      </c>
      <c r="CQ57" s="386">
        <v>0.69022467263439224</v>
      </c>
      <c r="CR57" s="268">
        <f>IF(CO57,_xll.qDateYears(CO56,CO57,CR$13),0)</f>
        <v>0.25205479452054796</v>
      </c>
      <c r="CS57" s="268">
        <f t="shared" si="27"/>
        <v>910.6490632042462</v>
      </c>
      <c r="DA57" s="526">
        <v>44568</v>
      </c>
      <c r="DB57" s="151" t="str">
        <f t="shared" si="8"/>
        <v>10.5Y</v>
      </c>
      <c r="DC57" s="386">
        <v>0.54546535552021091</v>
      </c>
      <c r="DD57" s="268">
        <f>IF(DA57,_xll.qDateYears(DA56,DA57,DD$13),0)</f>
        <v>0.25205479452054796</v>
      </c>
      <c r="DE57" s="268">
        <f t="shared" si="28"/>
        <v>810.03219991716833</v>
      </c>
      <c r="DM57" s="526">
        <v>44568</v>
      </c>
      <c r="DN57" s="151" t="str">
        <f t="shared" si="9"/>
        <v>10.5Y</v>
      </c>
      <c r="DO57" s="386">
        <v>0.69242517747979593</v>
      </c>
      <c r="DP57" s="268">
        <f>IF(DM57,_xll.qDateYears(DM56,DM57,DP$13),0)</f>
        <v>0.25555555555555554</v>
      </c>
      <c r="DQ57" s="268">
        <f t="shared" si="29"/>
        <v>931.16359945247984</v>
      </c>
    </row>
    <row r="58" spans="59:121">
      <c r="BG58" s="526">
        <v>44658</v>
      </c>
      <c r="BH58" s="150" t="str">
        <f t="shared" si="4"/>
        <v>10.75Y</v>
      </c>
      <c r="BI58" s="386">
        <v>0.68393892378441246</v>
      </c>
      <c r="BJ58" s="268">
        <f>IF(BG58,_xll.qDateYears(BG57,BG58,$BJ$13),0)</f>
        <v>0.25</v>
      </c>
      <c r="BK58" s="268">
        <f t="shared" si="24"/>
        <v>948.26207254709016</v>
      </c>
      <c r="BQ58" s="526">
        <v>44658</v>
      </c>
      <c r="BR58" s="151" t="str">
        <f t="shared" si="5"/>
        <v>10.75Y</v>
      </c>
      <c r="BS58" s="386">
        <v>0.52323669022264241</v>
      </c>
      <c r="BT58" s="268">
        <f>IF(BQ58,_xll.qDateYears(BQ57,BQ58,BT$13),0)</f>
        <v>0.24657534246575341</v>
      </c>
      <c r="BU58" s="268">
        <f t="shared" si="25"/>
        <v>797.8865277499458</v>
      </c>
      <c r="CC58" s="526">
        <v>44658</v>
      </c>
      <c r="CD58" s="151" t="str">
        <f t="shared" si="6"/>
        <v>10.75Y</v>
      </c>
      <c r="CE58" s="386">
        <v>0.70314091615863938</v>
      </c>
      <c r="CF58" s="268">
        <f>IF(CC58,_xll.qDateYears(CC57,CC58,CF$13),0)</f>
        <v>0.25</v>
      </c>
      <c r="CG58" s="268">
        <f t="shared" si="26"/>
        <v>939.82784366709461</v>
      </c>
      <c r="CO58" s="526">
        <v>44658</v>
      </c>
      <c r="CP58" s="151" t="str">
        <f t="shared" si="7"/>
        <v>10.75Y</v>
      </c>
      <c r="CQ58" s="386">
        <v>0.68196724942380682</v>
      </c>
      <c r="CR58" s="268">
        <f>IF(CO58,_xll.qDateYears(CO57,CO58,CR$13),0)</f>
        <v>0.24657534246575341</v>
      </c>
      <c r="CS58" s="268">
        <f t="shared" si="27"/>
        <v>927.46469401195645</v>
      </c>
      <c r="DA58" s="526">
        <v>44658</v>
      </c>
      <c r="DB58" s="151" t="str">
        <f t="shared" si="8"/>
        <v>10.75Y</v>
      </c>
      <c r="DC58" s="386">
        <v>0.5371709116811958</v>
      </c>
      <c r="DD58" s="268">
        <f>IF(DA58,_xll.qDateYears(DA57,DA58,DD$13),0)</f>
        <v>0.24657534246575341</v>
      </c>
      <c r="DE58" s="268">
        <f t="shared" si="28"/>
        <v>823.27751006821154</v>
      </c>
      <c r="DM58" s="526">
        <v>44658</v>
      </c>
      <c r="DN58" s="151" t="str">
        <f t="shared" si="9"/>
        <v>10.75Y</v>
      </c>
      <c r="DO58" s="386">
        <v>0.68393892378441246</v>
      </c>
      <c r="DP58" s="268">
        <f>IF(DM58,_xll.qDateYears(DM57,DM58,DP$13),0)</f>
        <v>0.25</v>
      </c>
      <c r="DQ58" s="268">
        <f t="shared" si="29"/>
        <v>948.26207254709016</v>
      </c>
    </row>
    <row r="59" spans="59:121">
      <c r="BG59" s="526">
        <v>44749</v>
      </c>
      <c r="BH59" s="150" t="str">
        <f t="shared" si="4"/>
        <v>11Y</v>
      </c>
      <c r="BI59" s="386">
        <v>0.67534747531226824</v>
      </c>
      <c r="BJ59" s="268">
        <f>IF(BG59,_xll.qDateYears(BG58,BG59,$BJ$13),0)</f>
        <v>0.25277777777777777</v>
      </c>
      <c r="BK59" s="268">
        <f t="shared" si="24"/>
        <v>965.33335595081689</v>
      </c>
      <c r="BQ59" s="526">
        <v>44749</v>
      </c>
      <c r="BR59" s="151" t="str">
        <f t="shared" si="5"/>
        <v>11Y</v>
      </c>
      <c r="BS59" s="386">
        <v>0.51504941359273981</v>
      </c>
      <c r="BT59" s="268">
        <f>IF(BQ59,_xll.qDateYears(BQ58,BQ59,BT$13),0)</f>
        <v>0.24931506849315069</v>
      </c>
      <c r="BU59" s="268">
        <f t="shared" si="25"/>
        <v>810.72748573266892</v>
      </c>
      <c r="CC59" s="526">
        <v>44749</v>
      </c>
      <c r="CD59" s="151" t="str">
        <f t="shared" si="6"/>
        <v>11Y</v>
      </c>
      <c r="CE59" s="386">
        <v>0.69541175071507422</v>
      </c>
      <c r="CF59" s="268">
        <f>IF(CC59,_xll.qDateYears(CC58,CC59,CF$13),0)</f>
        <v>0.25277777777777777</v>
      </c>
      <c r="CG59" s="268">
        <f t="shared" si="26"/>
        <v>957.40630736572564</v>
      </c>
      <c r="CO59" s="526">
        <v>44749</v>
      </c>
      <c r="CP59" s="151" t="str">
        <f t="shared" si="7"/>
        <v>11Y</v>
      </c>
      <c r="CQ59" s="386">
        <v>0.67361375961935821</v>
      </c>
      <c r="CR59" s="268">
        <f>IF(CO59,_xll.qDateYears(CO58,CO59,CR$13),0)</f>
        <v>0.24931506849315069</v>
      </c>
      <c r="CS59" s="268">
        <f t="shared" si="27"/>
        <v>944.25890007369935</v>
      </c>
      <c r="DA59" s="526">
        <v>44749</v>
      </c>
      <c r="DB59" s="151" t="str">
        <f t="shared" si="8"/>
        <v>11Y</v>
      </c>
      <c r="DC59" s="386">
        <v>0.52888512220269801</v>
      </c>
      <c r="DD59" s="268">
        <f>IF(DA59,_xll.qDateYears(DA58,DA59,DD$13),0)</f>
        <v>0.24931506849315069</v>
      </c>
      <c r="DE59" s="268">
        <f t="shared" si="28"/>
        <v>836.46341311490892</v>
      </c>
      <c r="DM59" s="526">
        <v>44749</v>
      </c>
      <c r="DN59" s="151" t="str">
        <f t="shared" si="9"/>
        <v>11Y</v>
      </c>
      <c r="DO59" s="386">
        <v>0.67534747531226824</v>
      </c>
      <c r="DP59" s="268">
        <f>IF(DM59,_xll.qDateYears(DM58,DM59,DP$13),0)</f>
        <v>0.25277777777777777</v>
      </c>
      <c r="DQ59" s="268">
        <f t="shared" si="29"/>
        <v>965.33335595081689</v>
      </c>
    </row>
    <row r="60" spans="59:121">
      <c r="BG60" s="526">
        <v>44841</v>
      </c>
      <c r="BH60" s="150" t="str">
        <f t="shared" si="4"/>
        <v>11.25Y</v>
      </c>
      <c r="BI60" s="386">
        <v>0.6665696090699248</v>
      </c>
      <c r="BJ60" s="268">
        <f>IF(BG60,_xll.qDateYears(BG59,BG60,$BJ$13),0)</f>
        <v>0.25555555555555554</v>
      </c>
      <c r="BK60" s="268">
        <f t="shared" si="24"/>
        <v>982.36791262704833</v>
      </c>
      <c r="BQ60" s="526">
        <v>44841</v>
      </c>
      <c r="BR60" s="151" t="str">
        <f t="shared" si="5"/>
        <v>11.25Y</v>
      </c>
      <c r="BS60" s="386">
        <v>0.50688445242572888</v>
      </c>
      <c r="BT60" s="268">
        <f>IF(BQ60,_xll.qDateYears(BQ59,BQ60,BT$13),0)</f>
        <v>0.25205479452054796</v>
      </c>
      <c r="BU60" s="268">
        <f t="shared" si="25"/>
        <v>823.50375138285165</v>
      </c>
      <c r="CC60" s="526">
        <v>44841</v>
      </c>
      <c r="CD60" s="151" t="str">
        <f t="shared" si="6"/>
        <v>11.25Y</v>
      </c>
      <c r="CE60" s="386">
        <v>0.68740339199583544</v>
      </c>
      <c r="CF60" s="268">
        <f>IF(CC60,_xll.qDateYears(CC59,CC60,CF$13),0)</f>
        <v>0.25555555555555554</v>
      </c>
      <c r="CG60" s="268">
        <f t="shared" si="26"/>
        <v>974.97328293895259</v>
      </c>
      <c r="CO60" s="526">
        <v>44841</v>
      </c>
      <c r="CP60" s="151" t="str">
        <f t="shared" si="7"/>
        <v>11.25Y</v>
      </c>
      <c r="CQ60" s="386">
        <v>0.66516951746280673</v>
      </c>
      <c r="CR60" s="268">
        <f>IF(CO60,_xll.qDateYears(CO59,CO60,CR$13),0)</f>
        <v>0.25205479452054796</v>
      </c>
      <c r="CS60" s="268">
        <f t="shared" si="27"/>
        <v>961.02481667824134</v>
      </c>
      <c r="DA60" s="526">
        <v>44841</v>
      </c>
      <c r="DB60" s="151" t="str">
        <f t="shared" si="8"/>
        <v>11.25Y</v>
      </c>
      <c r="DC60" s="386">
        <v>0.52061061171286271</v>
      </c>
      <c r="DD60" s="268">
        <f>IF(DA60,_xll.qDateYears(DA59,DA60,DD$13),0)</f>
        <v>0.25205479452054796</v>
      </c>
      <c r="DE60" s="268">
        <f t="shared" si="28"/>
        <v>849.58565319095919</v>
      </c>
      <c r="DM60" s="526">
        <v>44841</v>
      </c>
      <c r="DN60" s="151" t="str">
        <f t="shared" si="9"/>
        <v>11.25Y</v>
      </c>
      <c r="DO60" s="386">
        <v>0.6665696090699248</v>
      </c>
      <c r="DP60" s="268">
        <f>IF(DM60,_xll.qDateYears(DM59,DM60,DP$13),0)</f>
        <v>0.25555555555555554</v>
      </c>
      <c r="DQ60" s="268">
        <f t="shared" si="29"/>
        <v>982.36791262704833</v>
      </c>
    </row>
    <row r="61" spans="59:121">
      <c r="BG61" s="526">
        <v>44935</v>
      </c>
      <c r="BH61" s="150" t="str">
        <f t="shared" si="4"/>
        <v>11.5Y</v>
      </c>
      <c r="BI61" s="386">
        <v>0.65759439766629801</v>
      </c>
      <c r="BJ61" s="268">
        <f>IF(BG61,_xll.qDateYears(BG60,BG61,$BJ$13),0)</f>
        <v>0.26111111111111113</v>
      </c>
      <c r="BK61" s="268">
        <f t="shared" si="24"/>
        <v>999.53843301055724</v>
      </c>
      <c r="BQ61" s="526">
        <v>44935</v>
      </c>
      <c r="BR61" s="151" t="str">
        <f t="shared" si="5"/>
        <v>11.5Y</v>
      </c>
      <c r="BS61" s="386">
        <v>0.49865734206276213</v>
      </c>
      <c r="BT61" s="268">
        <f>IF(BQ61,_xll.qDateYears(BQ60,BQ61,BT$13),0)</f>
        <v>0.25753424657534246</v>
      </c>
      <c r="BU61" s="268">
        <f t="shared" si="25"/>
        <v>836.3458856715913</v>
      </c>
      <c r="CC61" s="526">
        <v>44935</v>
      </c>
      <c r="CD61" s="151" t="str">
        <f t="shared" si="6"/>
        <v>11.5Y</v>
      </c>
      <c r="CE61" s="386">
        <v>0.67921370750649857</v>
      </c>
      <c r="CF61" s="268">
        <f>IF(CC61,_xll.qDateYears(CC60,CC61,CF$13),0)</f>
        <v>0.26111111111111113</v>
      </c>
      <c r="CG61" s="268">
        <f t="shared" si="26"/>
        <v>992.7083075238445</v>
      </c>
      <c r="CO61" s="526">
        <v>44935</v>
      </c>
      <c r="CP61" s="151" t="str">
        <f t="shared" si="7"/>
        <v>11.5Y</v>
      </c>
      <c r="CQ61" s="386">
        <v>0.65654279991284681</v>
      </c>
      <c r="CR61" s="268">
        <f>IF(CO61,_xll.qDateYears(CO60,CO61,CR$13),0)</f>
        <v>0.25753424657534246</v>
      </c>
      <c r="CS61" s="268">
        <f t="shared" si="27"/>
        <v>977.93304221024346</v>
      </c>
      <c r="DA61" s="526">
        <v>44935</v>
      </c>
      <c r="DB61" s="151" t="str">
        <f t="shared" si="8"/>
        <v>11.5Y</v>
      </c>
      <c r="DC61" s="386">
        <v>0.51226172985042395</v>
      </c>
      <c r="DD61" s="268">
        <f>IF(DA61,_xll.qDateYears(DA60,DA61,DD$13),0)</f>
        <v>0.25753424657534246</v>
      </c>
      <c r="DE61" s="268">
        <f t="shared" si="28"/>
        <v>862.77814705560024</v>
      </c>
      <c r="DM61" s="526">
        <v>44935</v>
      </c>
      <c r="DN61" s="151" t="str">
        <f t="shared" si="9"/>
        <v>11.5Y</v>
      </c>
      <c r="DO61" s="386">
        <v>0.65759439766629801</v>
      </c>
      <c r="DP61" s="268">
        <f>IF(DM61,_xll.qDateYears(DM60,DM61,DP$13),0)</f>
        <v>0.26111111111111113</v>
      </c>
      <c r="DQ61" s="268">
        <f t="shared" si="29"/>
        <v>999.53843301055724</v>
      </c>
    </row>
    <row r="62" spans="59:121">
      <c r="BG62" s="526">
        <v>45027</v>
      </c>
      <c r="BH62" s="150" t="str">
        <f t="shared" si="4"/>
        <v>11.75Y</v>
      </c>
      <c r="BI62" s="386">
        <v>0.64880711866787655</v>
      </c>
      <c r="BJ62" s="268">
        <f>IF(BG62,_xll.qDateYears(BG61,BG62,$BJ$13),0)</f>
        <v>0.25555555555555554</v>
      </c>
      <c r="BK62" s="268">
        <f t="shared" si="24"/>
        <v>1016.1190593765141</v>
      </c>
      <c r="BQ62" s="526">
        <v>45027</v>
      </c>
      <c r="BR62" s="151" t="str">
        <f t="shared" si="5"/>
        <v>11.75Y</v>
      </c>
      <c r="BS62" s="386">
        <v>0.49071694484537665</v>
      </c>
      <c r="BT62" s="268">
        <f>IF(BQ62,_xll.qDateYears(BQ61,BQ62,BT$13),0)</f>
        <v>0.25205479452054796</v>
      </c>
      <c r="BU62" s="268">
        <f t="shared" si="25"/>
        <v>848.71464154166654</v>
      </c>
      <c r="CC62" s="526">
        <v>45027</v>
      </c>
      <c r="CD62" s="151" t="str">
        <f t="shared" si="6"/>
        <v>11.75Y</v>
      </c>
      <c r="CE62" s="386">
        <v>0.67119365828883681</v>
      </c>
      <c r="CF62" s="268">
        <f>IF(CC62,_xll.qDateYears(CC61,CC62,CF$13),0)</f>
        <v>0.25555555555555554</v>
      </c>
      <c r="CG62" s="268">
        <f t="shared" si="26"/>
        <v>1009.8610343467815</v>
      </c>
      <c r="CO62" s="526">
        <v>45027</v>
      </c>
      <c r="CP62" s="151" t="str">
        <f t="shared" si="7"/>
        <v>11.75Y</v>
      </c>
      <c r="CQ62" s="386">
        <v>0.64810342626780526</v>
      </c>
      <c r="CR62" s="268">
        <f>IF(CO62,_xll.qDateYears(CO61,CO62,CR$13),0)</f>
        <v>0.25205479452054796</v>
      </c>
      <c r="CS62" s="268">
        <f t="shared" si="27"/>
        <v>994.26879980384297</v>
      </c>
      <c r="DA62" s="526">
        <v>45027</v>
      </c>
      <c r="DB62" s="151" t="str">
        <f t="shared" si="8"/>
        <v>11.75Y</v>
      </c>
      <c r="DC62" s="386">
        <v>0.50419299587774291</v>
      </c>
      <c r="DD62" s="268">
        <f>IF(DA62,_xll.qDateYears(DA61,DA62,DD$13),0)</f>
        <v>0.25205479452054796</v>
      </c>
      <c r="DE62" s="268">
        <f t="shared" si="28"/>
        <v>875.48657325306669</v>
      </c>
      <c r="DM62" s="526">
        <v>45027</v>
      </c>
      <c r="DN62" s="151" t="str">
        <f t="shared" si="9"/>
        <v>11.75Y</v>
      </c>
      <c r="DO62" s="386">
        <v>0.64880711866787655</v>
      </c>
      <c r="DP62" s="268">
        <f>IF(DM62,_xll.qDateYears(DM61,DM62,DP$13),0)</f>
        <v>0.25555555555555554</v>
      </c>
      <c r="DQ62" s="268">
        <f t="shared" si="29"/>
        <v>1016.1190593765141</v>
      </c>
    </row>
    <row r="63" spans="59:121">
      <c r="BG63" s="526">
        <v>45114</v>
      </c>
      <c r="BH63" s="150" t="str">
        <f t="shared" si="4"/>
        <v>12Y</v>
      </c>
      <c r="BI63" s="386">
        <v>0.64049761073503342</v>
      </c>
      <c r="BJ63" s="268">
        <f>IF(BG63,_xll.qDateYears(BG62,BG63,$BJ$13),0)</f>
        <v>0.24166666666666667</v>
      </c>
      <c r="BK63" s="268">
        <f t="shared" si="24"/>
        <v>1031.597751635944</v>
      </c>
      <c r="BQ63" s="526">
        <v>45114</v>
      </c>
      <c r="BR63" s="151" t="str">
        <f t="shared" si="5"/>
        <v>12Y</v>
      </c>
      <c r="BS63" s="386">
        <v>0.48331110182299009</v>
      </c>
      <c r="BT63" s="268">
        <f>IF(BQ63,_xll.qDateYears(BQ62,BQ63,BT$13),0)</f>
        <v>0.23835616438356164</v>
      </c>
      <c r="BU63" s="268">
        <f t="shared" si="25"/>
        <v>860.23465958511861</v>
      </c>
      <c r="CC63" s="526">
        <v>45114</v>
      </c>
      <c r="CD63" s="151" t="str">
        <f t="shared" si="6"/>
        <v>12Y</v>
      </c>
      <c r="CE63" s="386">
        <v>0.66360746063801712</v>
      </c>
      <c r="CF63" s="268">
        <f>IF(CC63,_xll.qDateYears(CC62,CC63,CF$13),0)</f>
        <v>0.24166666666666667</v>
      </c>
      <c r="CG63" s="268">
        <f t="shared" si="26"/>
        <v>1025.8982146455335</v>
      </c>
      <c r="CO63" s="526">
        <v>45114</v>
      </c>
      <c r="CP63" s="151" t="str">
        <f t="shared" si="7"/>
        <v>12Y</v>
      </c>
      <c r="CQ63" s="386">
        <v>0.64014952594707231</v>
      </c>
      <c r="CR63" s="268">
        <f>IF(CO63,_xll.qDateYears(CO62,CO63,CR$13),0)</f>
        <v>0.23835616438356164</v>
      </c>
      <c r="CS63" s="268">
        <f t="shared" si="27"/>
        <v>1009.5271583675129</v>
      </c>
      <c r="DA63" s="526">
        <v>45114</v>
      </c>
      <c r="DB63" s="151" t="str">
        <f t="shared" si="8"/>
        <v>12Y</v>
      </c>
      <c r="DC63" s="386">
        <v>0.4966553961368862</v>
      </c>
      <c r="DD63" s="268">
        <f>IF(DA63,_xll.qDateYears(DA62,DA63,DD$13),0)</f>
        <v>0.23835616438356164</v>
      </c>
      <c r="DE63" s="268">
        <f t="shared" si="28"/>
        <v>887.32466077742538</v>
      </c>
      <c r="DM63" s="526">
        <v>45114</v>
      </c>
      <c r="DN63" s="151" t="str">
        <f t="shared" si="9"/>
        <v>12Y</v>
      </c>
      <c r="DO63" s="386">
        <v>0.64049761073503342</v>
      </c>
      <c r="DP63" s="268">
        <f>IF(DM63,_xll.qDateYears(DM62,DM63,DP$13),0)</f>
        <v>0.24166666666666667</v>
      </c>
      <c r="DQ63" s="268">
        <f t="shared" si="29"/>
        <v>1031.597751635944</v>
      </c>
    </row>
    <row r="64" spans="59:121">
      <c r="BG64" s="526">
        <v>45209</v>
      </c>
      <c r="BH64" s="150" t="str">
        <f t="shared" si="4"/>
        <v>12.25Y</v>
      </c>
      <c r="BI64" s="386">
        <v>0.63254501502259508</v>
      </c>
      <c r="BJ64" s="268">
        <f>IF(BG64,_xll.qDateYears(BG63,BG64,$BJ$13),0)</f>
        <v>0.2638888888888889</v>
      </c>
      <c r="BK64" s="268">
        <f t="shared" si="24"/>
        <v>1048.2899117545958</v>
      </c>
      <c r="BQ64" s="526">
        <v>45209</v>
      </c>
      <c r="BR64" s="151" t="str">
        <f t="shared" si="5"/>
        <v>12.25Y</v>
      </c>
      <c r="BS64" s="386">
        <v>0.47556838348593655</v>
      </c>
      <c r="BT64" s="268">
        <f>IF(BQ64,_xll.qDateYears(BQ63,BQ64,BT$13),0)</f>
        <v>0.26027397260273971</v>
      </c>
      <c r="BU64" s="268">
        <f t="shared" si="25"/>
        <v>872.61246682653336</v>
      </c>
      <c r="CC64" s="526">
        <v>45209</v>
      </c>
      <c r="CD64" s="151" t="str">
        <f t="shared" si="6"/>
        <v>12.25Y</v>
      </c>
      <c r="CE64" s="386">
        <v>0.65603909321377107</v>
      </c>
      <c r="CF64" s="268">
        <f>IF(CC64,_xll.qDateYears(CC63,CC64,CF$13),0)</f>
        <v>0.2638888888888889</v>
      </c>
      <c r="CG64" s="268">
        <f t="shared" si="26"/>
        <v>1043.2103573831191</v>
      </c>
      <c r="CO64" s="526">
        <v>45209</v>
      </c>
      <c r="CP64" s="151" t="str">
        <f t="shared" si="7"/>
        <v>12.25Y</v>
      </c>
      <c r="CQ64" s="386">
        <v>0.63245665291995168</v>
      </c>
      <c r="CR64" s="268">
        <f>IF(CO64,_xll.qDateYears(CO63,CO64,CR$13),0)</f>
        <v>0.26027397260273971</v>
      </c>
      <c r="CS64" s="268">
        <f t="shared" si="27"/>
        <v>1025.9883589229637</v>
      </c>
      <c r="DA64" s="526">
        <v>45209</v>
      </c>
      <c r="DB64" s="151" t="str">
        <f t="shared" si="8"/>
        <v>12.25Y</v>
      </c>
      <c r="DC64" s="386">
        <v>0.48852675316166605</v>
      </c>
      <c r="DD64" s="268">
        <f>IF(DA64,_xll.qDateYears(DA63,DA64,DD$13),0)</f>
        <v>0.26027397260273971</v>
      </c>
      <c r="DE64" s="268">
        <f t="shared" si="28"/>
        <v>900.03974065423586</v>
      </c>
      <c r="DM64" s="526">
        <v>45209</v>
      </c>
      <c r="DN64" s="151" t="str">
        <f t="shared" si="9"/>
        <v>12.25Y</v>
      </c>
      <c r="DO64" s="386">
        <v>0.63254501502259508</v>
      </c>
      <c r="DP64" s="268">
        <f>IF(DM64,_xll.qDateYears(DM63,DM64,DP$13),0)</f>
        <v>0.2638888888888889</v>
      </c>
      <c r="DQ64" s="268">
        <f t="shared" si="29"/>
        <v>1048.2899117545958</v>
      </c>
    </row>
    <row r="65" spans="59:121">
      <c r="BG65" s="526">
        <v>45299</v>
      </c>
      <c r="BH65" s="150" t="str">
        <f t="shared" si="4"/>
        <v>12.5Y</v>
      </c>
      <c r="BI65" s="386">
        <v>0.62503267542043428</v>
      </c>
      <c r="BJ65" s="268">
        <f>IF(BG65,_xll.qDateYears(BG64,BG65,$BJ$13),0)</f>
        <v>0.25</v>
      </c>
      <c r="BK65" s="268">
        <f t="shared" si="24"/>
        <v>1063.9157286401066</v>
      </c>
      <c r="BQ65" s="526">
        <v>45299</v>
      </c>
      <c r="BR65" s="151" t="str">
        <f t="shared" si="5"/>
        <v>12.5Y</v>
      </c>
      <c r="BS65" s="386">
        <v>0.46834034553771897</v>
      </c>
      <c r="BT65" s="268">
        <f>IF(BQ65,_xll.qDateYears(BQ64,BQ65,BT$13),0)</f>
        <v>0.24657534246575341</v>
      </c>
      <c r="BU65" s="268">
        <f t="shared" si="25"/>
        <v>884.16058493568255</v>
      </c>
      <c r="CC65" s="526">
        <v>45299</v>
      </c>
      <c r="CD65" s="151" t="str">
        <f t="shared" si="6"/>
        <v>12.5Y</v>
      </c>
      <c r="CE65" s="386">
        <v>0.64888311928918363</v>
      </c>
      <c r="CF65" s="268">
        <f>IF(CC65,_xll.qDateYears(CC64,CC65,CF$13),0)</f>
        <v>0.25</v>
      </c>
      <c r="CG65" s="268">
        <f t="shared" si="26"/>
        <v>1059.4324353653487</v>
      </c>
      <c r="CO65" s="526">
        <v>45299</v>
      </c>
      <c r="CP65" s="151" t="str">
        <f t="shared" si="7"/>
        <v>12.5Y</v>
      </c>
      <c r="CQ65" s="386">
        <v>0.62519468373328768</v>
      </c>
      <c r="CR65" s="268">
        <f>IF(CO65,_xll.qDateYears(CO64,CO65,CR$13),0)</f>
        <v>0.24657534246575341</v>
      </c>
      <c r="CS65" s="268">
        <f t="shared" si="27"/>
        <v>1041.4041182478941</v>
      </c>
      <c r="DA65" s="526">
        <v>45299</v>
      </c>
      <c r="DB65" s="151" t="str">
        <f t="shared" si="8"/>
        <v>12.5Y</v>
      </c>
      <c r="DC65" s="386">
        <v>0.48092349614988922</v>
      </c>
      <c r="DD65" s="268">
        <f>IF(DA65,_xll.qDateYears(DA64,DA65,DD$13),0)</f>
        <v>0.24657534246575341</v>
      </c>
      <c r="DE65" s="268">
        <f t="shared" si="28"/>
        <v>911.89812823053444</v>
      </c>
      <c r="DM65" s="526">
        <v>45299</v>
      </c>
      <c r="DN65" s="151" t="str">
        <f t="shared" si="9"/>
        <v>12.5Y</v>
      </c>
      <c r="DO65" s="386">
        <v>0.62503267542043428</v>
      </c>
      <c r="DP65" s="268">
        <f>IF(DM65,_xll.qDateYears(DM64,DM65,DP$13),0)</f>
        <v>0.25</v>
      </c>
      <c r="DQ65" s="268">
        <f t="shared" si="29"/>
        <v>1063.9157286401066</v>
      </c>
    </row>
    <row r="66" spans="59:121">
      <c r="BG66" s="526">
        <v>45390</v>
      </c>
      <c r="BH66" s="150" t="str">
        <f t="shared" si="4"/>
        <v>12.75Y</v>
      </c>
      <c r="BI66" s="386">
        <v>0.61745975242463169</v>
      </c>
      <c r="BJ66" s="268">
        <f>IF(BG66,_xll.qDateYears(BG65,BG66,$BJ$13),0)</f>
        <v>0.25277777777777777</v>
      </c>
      <c r="BK66" s="268">
        <f t="shared" si="24"/>
        <v>1079.5237390486182</v>
      </c>
      <c r="BQ66" s="526">
        <v>45390</v>
      </c>
      <c r="BR66" s="151" t="str">
        <f t="shared" si="5"/>
        <v>12.75Y</v>
      </c>
      <c r="BS66" s="386">
        <v>0.46113659154801873</v>
      </c>
      <c r="BT66" s="268">
        <f>IF(BQ66,_xll.qDateYears(BQ65,BQ66,BT$13),0)</f>
        <v>0.24931506849315069</v>
      </c>
      <c r="BU66" s="268">
        <f t="shared" si="25"/>
        <v>895.65741502633182</v>
      </c>
      <c r="CC66" s="526">
        <v>45390</v>
      </c>
      <c r="CD66" s="151" t="str">
        <f t="shared" si="6"/>
        <v>12.75Y</v>
      </c>
      <c r="CE66" s="386">
        <v>0.64166284604318768</v>
      </c>
      <c r="CF66" s="268">
        <f>IF(CC66,_xll.qDateYears(CC65,CC66,CF$13),0)</f>
        <v>0.25277777777777777</v>
      </c>
      <c r="CG66" s="268">
        <f t="shared" si="26"/>
        <v>1075.6522461958848</v>
      </c>
      <c r="CO66" s="526">
        <v>45390</v>
      </c>
      <c r="CP66" s="151" t="str">
        <f t="shared" si="7"/>
        <v>12.75Y</v>
      </c>
      <c r="CQ66" s="386">
        <v>0.61787884863835041</v>
      </c>
      <c r="CR66" s="268">
        <f>IF(CO66,_xll.qDateYears(CO65,CO66,CR$13),0)</f>
        <v>0.24931506849315069</v>
      </c>
      <c r="CS66" s="268">
        <f t="shared" si="27"/>
        <v>1056.8087689947681</v>
      </c>
      <c r="DA66" s="526">
        <v>45390</v>
      </c>
      <c r="DB66" s="151" t="str">
        <f t="shared" si="8"/>
        <v>12.75Y</v>
      </c>
      <c r="DC66" s="386">
        <v>0.47333153725967841</v>
      </c>
      <c r="DD66" s="268">
        <f>IF(DA66,_xll.qDateYears(DA65,DA66,DD$13),0)</f>
        <v>0.24931506849315069</v>
      </c>
      <c r="DE66" s="268">
        <f t="shared" si="28"/>
        <v>923.69899669372091</v>
      </c>
      <c r="DM66" s="526">
        <v>45390</v>
      </c>
      <c r="DN66" s="151" t="str">
        <f t="shared" si="9"/>
        <v>12.75Y</v>
      </c>
      <c r="DO66" s="386">
        <v>0.61745975242463169</v>
      </c>
      <c r="DP66" s="268">
        <f>IF(DM66,_xll.qDateYears(DM65,DM66,DP$13),0)</f>
        <v>0.25277777777777777</v>
      </c>
      <c r="DQ66" s="268">
        <f t="shared" si="29"/>
        <v>1079.5237390486182</v>
      </c>
    </row>
    <row r="67" spans="59:121">
      <c r="BG67" s="526">
        <v>45481</v>
      </c>
      <c r="BH67" s="150" t="str">
        <f t="shared" si="4"/>
        <v>13Y</v>
      </c>
      <c r="BI67" s="386">
        <v>0.60991122698872391</v>
      </c>
      <c r="BJ67" s="268">
        <f>IF(BG67,_xll.qDateYears(BG66,BG67,$BJ$13),0)</f>
        <v>0.25277777777777777</v>
      </c>
      <c r="BK67" s="268">
        <f t="shared" si="24"/>
        <v>1094.9409395086109</v>
      </c>
      <c r="BQ67" s="526">
        <v>45481</v>
      </c>
      <c r="BR67" s="151" t="str">
        <f t="shared" si="5"/>
        <v>13Y</v>
      </c>
      <c r="BS67" s="386">
        <v>0.45403661948647128</v>
      </c>
      <c r="BT67" s="268">
        <f>IF(BQ67,_xll.qDateYears(BQ66,BQ67,BT$13),0)</f>
        <v>0.24931506849315069</v>
      </c>
      <c r="BU67" s="268">
        <f t="shared" si="25"/>
        <v>906.97723211489858</v>
      </c>
      <c r="CC67" s="526">
        <v>45481</v>
      </c>
      <c r="CD67" s="151" t="str">
        <f t="shared" si="6"/>
        <v>13Y</v>
      </c>
      <c r="CE67" s="386">
        <v>0.63445914160205674</v>
      </c>
      <c r="CF67" s="268">
        <f>IF(CC67,_xll.qDateYears(CC66,CC67,CF$13),0)</f>
        <v>0.25277777777777777</v>
      </c>
      <c r="CG67" s="268">
        <f t="shared" si="26"/>
        <v>1091.6899633863811</v>
      </c>
      <c r="CO67" s="526">
        <v>45481</v>
      </c>
      <c r="CP67" s="151" t="str">
        <f t="shared" si="7"/>
        <v>13Y</v>
      </c>
      <c r="CQ67" s="386">
        <v>0.61059104066654513</v>
      </c>
      <c r="CR67" s="268">
        <f>IF(CO67,_xll.qDateYears(CO66,CO67,CR$13),0)</f>
        <v>0.24931506849315069</v>
      </c>
      <c r="CS67" s="268">
        <f t="shared" si="27"/>
        <v>1072.0317237072766</v>
      </c>
      <c r="DA67" s="526">
        <v>45481</v>
      </c>
      <c r="DB67" s="151" t="str">
        <f t="shared" si="8"/>
        <v>13Y</v>
      </c>
      <c r="DC67" s="386">
        <v>0.46583515444038415</v>
      </c>
      <c r="DD67" s="268">
        <f>IF(DA67,_xll.qDateYears(DA66,DA67,DD$13),0)</f>
        <v>0.24931506849315069</v>
      </c>
      <c r="DE67" s="268">
        <f t="shared" si="28"/>
        <v>935.31296903730311</v>
      </c>
      <c r="DM67" s="526">
        <v>45481</v>
      </c>
      <c r="DN67" s="151" t="str">
        <f t="shared" si="9"/>
        <v>13Y</v>
      </c>
      <c r="DO67" s="386">
        <v>0.60991122698872391</v>
      </c>
      <c r="DP67" s="268">
        <f>IF(DM67,_xll.qDateYears(DM66,DM67,DP$13),0)</f>
        <v>0.25277777777777777</v>
      </c>
      <c r="DQ67" s="268">
        <f t="shared" si="29"/>
        <v>1094.9409395086109</v>
      </c>
    </row>
    <row r="68" spans="59:121">
      <c r="BG68" s="526">
        <v>45573</v>
      </c>
      <c r="BH68" s="150" t="str">
        <f t="shared" si="4"/>
        <v>13.25Y</v>
      </c>
      <c r="BI68" s="386">
        <v>0.60220632033157329</v>
      </c>
      <c r="BJ68" s="268">
        <f>IF(BG68,_xll.qDateYears(BG67,BG68,$BJ$13),0)</f>
        <v>0.25555555555555554</v>
      </c>
      <c r="BK68" s="268">
        <f t="shared" si="24"/>
        <v>1110.3306565837511</v>
      </c>
      <c r="BQ68" s="526">
        <v>45573</v>
      </c>
      <c r="BR68" s="151" t="str">
        <f t="shared" si="5"/>
        <v>13.25Y</v>
      </c>
      <c r="BS68" s="386">
        <v>0.44696271682867705</v>
      </c>
      <c r="BT68" s="268">
        <f>IF(BQ68,_xll.qDateYears(BQ67,BQ68,BT$13),0)</f>
        <v>0.25205479452054796</v>
      </c>
      <c r="BU68" s="268">
        <f t="shared" si="25"/>
        <v>918.24314168975843</v>
      </c>
      <c r="CC68" s="526">
        <v>45573</v>
      </c>
      <c r="CD68" s="151" t="str">
        <f t="shared" si="6"/>
        <v>13.25Y</v>
      </c>
      <c r="CE68" s="386">
        <v>0.62711799697287363</v>
      </c>
      <c r="CF68" s="268">
        <f>IF(CC68,_xll.qDateYears(CC67,CC68,CF$13),0)</f>
        <v>0.25555555555555554</v>
      </c>
      <c r="CG68" s="268">
        <f t="shared" si="26"/>
        <v>1107.7163121979102</v>
      </c>
      <c r="CO68" s="526">
        <v>45573</v>
      </c>
      <c r="CP68" s="151" t="str">
        <f t="shared" si="7"/>
        <v>13.25Y</v>
      </c>
      <c r="CQ68" s="386">
        <v>0.60325712446951374</v>
      </c>
      <c r="CR68" s="268">
        <f>IF(CO68,_xll.qDateYears(CO67,CO68,CR$13),0)</f>
        <v>0.25205479452054796</v>
      </c>
      <c r="CS68" s="268">
        <f t="shared" si="27"/>
        <v>1087.2371087623985</v>
      </c>
      <c r="DA68" s="526">
        <v>45573</v>
      </c>
      <c r="DB68" s="151" t="str">
        <f t="shared" si="8"/>
        <v>13.25Y</v>
      </c>
      <c r="DC68" s="386">
        <v>0.4583527983155708</v>
      </c>
      <c r="DD68" s="268">
        <f>IF(DA68,_xll.qDateYears(DA67,DA68,DD$13),0)</f>
        <v>0.25205479452054796</v>
      </c>
      <c r="DE68" s="268">
        <f t="shared" si="28"/>
        <v>946.86597107703801</v>
      </c>
      <c r="DM68" s="526">
        <v>45573</v>
      </c>
      <c r="DN68" s="151" t="str">
        <f t="shared" si="9"/>
        <v>13.25Y</v>
      </c>
      <c r="DO68" s="386">
        <v>0.60220632033157329</v>
      </c>
      <c r="DP68" s="268">
        <f>IF(DM68,_xll.qDateYears(DM67,DM68,DP$13),0)</f>
        <v>0.25555555555555554</v>
      </c>
      <c r="DQ68" s="268">
        <f t="shared" si="29"/>
        <v>1110.3306565837511</v>
      </c>
    </row>
    <row r="69" spans="59:121">
      <c r="BG69" s="526">
        <v>45664</v>
      </c>
      <c r="BH69" s="150" t="str">
        <f t="shared" si="4"/>
        <v>13.5Y</v>
      </c>
      <c r="BI69" s="386">
        <v>0.59461123934628857</v>
      </c>
      <c r="BJ69" s="268">
        <f>IF(BG69,_xll.qDateYears(BG68,BG69,$BJ$13),0)</f>
        <v>0.25277777777777777</v>
      </c>
      <c r="BK69" s="268">
        <f t="shared" si="24"/>
        <v>1125.3611073561156</v>
      </c>
      <c r="BQ69" s="526">
        <v>45664</v>
      </c>
      <c r="BR69" s="151" t="str">
        <f t="shared" si="5"/>
        <v>13.5Y</v>
      </c>
      <c r="BS69" s="386">
        <v>0.44006728829342689</v>
      </c>
      <c r="BT69" s="268">
        <f>IF(BQ69,_xll.qDateYears(BQ68,BQ69,BT$13),0)</f>
        <v>0.24931506849315069</v>
      </c>
      <c r="BU69" s="268">
        <f t="shared" si="25"/>
        <v>929.21468230200549</v>
      </c>
      <c r="CC69" s="526">
        <v>45664</v>
      </c>
      <c r="CD69" s="151" t="str">
        <f t="shared" si="6"/>
        <v>13.5Y</v>
      </c>
      <c r="CE69" s="386">
        <v>0.61987475891191191</v>
      </c>
      <c r="CF69" s="268">
        <f>IF(CC69,_xll.qDateYears(CC68,CC69,CF$13),0)</f>
        <v>0.25277777777777777</v>
      </c>
      <c r="CG69" s="268">
        <f t="shared" si="26"/>
        <v>1123.3853686037392</v>
      </c>
      <c r="CO69" s="526">
        <v>45664</v>
      </c>
      <c r="CP69" s="151" t="str">
        <f t="shared" si="7"/>
        <v>13.5Y</v>
      </c>
      <c r="CQ69" s="386">
        <v>0.59603324099638266</v>
      </c>
      <c r="CR69" s="268">
        <f>IF(CO69,_xll.qDateYears(CO68,CO69,CR$13),0)</f>
        <v>0.24931506849315069</v>
      </c>
      <c r="CS69" s="268">
        <f t="shared" si="27"/>
        <v>1102.0971155927193</v>
      </c>
      <c r="DA69" s="526">
        <v>45664</v>
      </c>
      <c r="DB69" s="151" t="str">
        <f t="shared" si="8"/>
        <v>13.5Y</v>
      </c>
      <c r="DC69" s="386">
        <v>0.45104638115646323</v>
      </c>
      <c r="DD69" s="268">
        <f>IF(DA69,_xll.qDateYears(DA68,DA69,DD$13),0)</f>
        <v>0.24931506849315069</v>
      </c>
      <c r="DE69" s="268">
        <f t="shared" si="28"/>
        <v>958.11123701819918</v>
      </c>
      <c r="DM69" s="526">
        <v>45664</v>
      </c>
      <c r="DN69" s="151" t="str">
        <f t="shared" si="9"/>
        <v>13.5Y</v>
      </c>
      <c r="DO69" s="386">
        <v>0.59461123934628857</v>
      </c>
      <c r="DP69" s="268">
        <f>IF(DM69,_xll.qDateYears(DM68,DM69,DP$13),0)</f>
        <v>0.25277777777777777</v>
      </c>
      <c r="DQ69" s="268">
        <f t="shared" si="29"/>
        <v>1125.3611073561156</v>
      </c>
    </row>
    <row r="70" spans="59:121">
      <c r="BG70" s="526">
        <v>45754</v>
      </c>
      <c r="BH70" s="150" t="str">
        <f t="shared" si="4"/>
        <v>13.75Y</v>
      </c>
      <c r="BI70" s="386">
        <v>0.58712654337147241</v>
      </c>
      <c r="BJ70" s="268">
        <f>IF(BG70,_xll.qDateYears(BG69,BG70,$BJ$13),0)</f>
        <v>0.25</v>
      </c>
      <c r="BK70" s="268">
        <f t="shared" si="24"/>
        <v>1140.0392709404023</v>
      </c>
      <c r="BQ70" s="526">
        <v>45754</v>
      </c>
      <c r="BR70" s="151" t="str">
        <f t="shared" si="5"/>
        <v>13.75Y</v>
      </c>
      <c r="BS70" s="386">
        <v>0.43334567848589184</v>
      </c>
      <c r="BT70" s="268">
        <f>IF(BQ70,_xll.qDateYears(BQ69,BQ70,BT$13),0)</f>
        <v>0.24657534246575341</v>
      </c>
      <c r="BU70" s="268">
        <f t="shared" si="25"/>
        <v>939.89991820987677</v>
      </c>
      <c r="CC70" s="526">
        <v>45754</v>
      </c>
      <c r="CD70" s="151" t="str">
        <f t="shared" si="6"/>
        <v>13.75Y</v>
      </c>
      <c r="CE70" s="386">
        <v>0.61273012148977457</v>
      </c>
      <c r="CF70" s="268">
        <f>IF(CC70,_xll.qDateYears(CC69,CC70,CF$13),0)</f>
        <v>0.25</v>
      </c>
      <c r="CG70" s="268">
        <f t="shared" si="26"/>
        <v>1138.7036216409836</v>
      </c>
      <c r="CO70" s="526">
        <v>45754</v>
      </c>
      <c r="CP70" s="151" t="str">
        <f t="shared" si="7"/>
        <v>13.75Y</v>
      </c>
      <c r="CQ70" s="386">
        <v>0.58891937298572028</v>
      </c>
      <c r="CR70" s="268">
        <f>IF(CO70,_xll.qDateYears(CO69,CO70,CR$13),0)</f>
        <v>0.24657534246575341</v>
      </c>
      <c r="CS70" s="268">
        <f t="shared" si="27"/>
        <v>1116.6184152005865</v>
      </c>
      <c r="DA70" s="526">
        <v>45754</v>
      </c>
      <c r="DB70" s="151" t="str">
        <f t="shared" si="8"/>
        <v>13.75Y</v>
      </c>
      <c r="DC70" s="386">
        <v>0.44391206955315898</v>
      </c>
      <c r="DD70" s="268">
        <f>IF(DA70,_xll.qDateYears(DA69,DA70,DD$13),0)</f>
        <v>0.24657534246575341</v>
      </c>
      <c r="DE70" s="268">
        <f t="shared" si="28"/>
        <v>969.05701407567437</v>
      </c>
      <c r="DM70" s="526">
        <v>45754</v>
      </c>
      <c r="DN70" s="151" t="str">
        <f t="shared" si="9"/>
        <v>13.75Y</v>
      </c>
      <c r="DO70" s="386">
        <v>0.58712654337147241</v>
      </c>
      <c r="DP70" s="268">
        <f>IF(DM70,_xll.qDateYears(DM69,DM70,DP$13),0)</f>
        <v>0.25</v>
      </c>
      <c r="DQ70" s="268">
        <f t="shared" si="29"/>
        <v>1140.0392709404023</v>
      </c>
    </row>
    <row r="71" spans="59:121">
      <c r="BG71" s="526">
        <v>45845</v>
      </c>
      <c r="BH71" s="150" t="str">
        <f t="shared" si="4"/>
        <v>14Y</v>
      </c>
      <c r="BI71" s="386">
        <v>0.5795873029219003</v>
      </c>
      <c r="BJ71" s="268">
        <f>IF(BG71,_xll.qDateYears(BG70,BG71,$BJ$13),0)</f>
        <v>0.25277777777777777</v>
      </c>
      <c r="BK71" s="268">
        <f t="shared" si="24"/>
        <v>1154.6899499864837</v>
      </c>
      <c r="BQ71" s="526">
        <v>45845</v>
      </c>
      <c r="BR71" s="151" t="str">
        <f t="shared" si="5"/>
        <v>14Y</v>
      </c>
      <c r="BS71" s="386">
        <v>0.42664719975847876</v>
      </c>
      <c r="BT71" s="268">
        <f>IF(BQ71,_xll.qDateYears(BQ70,BQ71,BT$13),0)</f>
        <v>0.24931506849315069</v>
      </c>
      <c r="BU71" s="268">
        <f t="shared" si="25"/>
        <v>950.53687579289635</v>
      </c>
      <c r="CC71" s="526">
        <v>45845</v>
      </c>
      <c r="CD71" s="151" t="str">
        <f t="shared" si="6"/>
        <v>14Y</v>
      </c>
      <c r="CE71" s="386">
        <v>0.60552659119506924</v>
      </c>
      <c r="CF71" s="268">
        <f>IF(CC71,_xll.qDateYears(CC70,CC71,CF$13),0)</f>
        <v>0.25277777777777777</v>
      </c>
      <c r="CG71" s="268">
        <f t="shared" si="26"/>
        <v>1154.0099882517477</v>
      </c>
      <c r="CO71" s="526">
        <v>45845</v>
      </c>
      <c r="CP71" s="151" t="str">
        <f t="shared" si="7"/>
        <v>14Y</v>
      </c>
      <c r="CQ71" s="386">
        <v>0.58175839781143168</v>
      </c>
      <c r="CR71" s="268">
        <f>IF(CO71,_xll.qDateYears(CO70,CO71,CR$13),0)</f>
        <v>0.24931506849315069</v>
      </c>
      <c r="CS71" s="268">
        <f t="shared" si="27"/>
        <v>1131.1225286802687</v>
      </c>
      <c r="DA71" s="526">
        <v>45845</v>
      </c>
      <c r="DB71" s="151" t="str">
        <f t="shared" si="8"/>
        <v>14Y</v>
      </c>
      <c r="DC71" s="386">
        <v>0.43679058373501689</v>
      </c>
      <c r="DD71" s="268">
        <f>IF(DA71,_xll.qDateYears(DA70,DA71,DD$13),0)</f>
        <v>0.24931506849315069</v>
      </c>
      <c r="DE71" s="268">
        <f t="shared" si="28"/>
        <v>979.94686150578025</v>
      </c>
      <c r="DM71" s="526">
        <v>45845</v>
      </c>
      <c r="DN71" s="151" t="str">
        <f t="shared" si="9"/>
        <v>14Y</v>
      </c>
      <c r="DO71" s="386">
        <v>0.5795873029219003</v>
      </c>
      <c r="DP71" s="268">
        <f>IF(DM71,_xll.qDateYears(DM70,DM71,DP$13),0)</f>
        <v>0.25277777777777777</v>
      </c>
      <c r="DQ71" s="268">
        <f t="shared" si="29"/>
        <v>1154.6899499864837</v>
      </c>
    </row>
    <row r="72" spans="59:121">
      <c r="BG72" s="526">
        <v>45937</v>
      </c>
      <c r="BH72" s="150" t="str">
        <f t="shared" si="4"/>
        <v>14.25Y</v>
      </c>
      <c r="BI72" s="386">
        <v>0.57193271083651853</v>
      </c>
      <c r="BJ72" s="268">
        <f>IF(BG72,_xll.qDateYears(BG71,BG72,$BJ$13),0)</f>
        <v>0.25555555555555554</v>
      </c>
      <c r="BK72" s="268">
        <f t="shared" si="24"/>
        <v>1169.3060081523058</v>
      </c>
      <c r="BQ72" s="526">
        <v>45937</v>
      </c>
      <c r="BR72" s="151" t="str">
        <f t="shared" si="5"/>
        <v>14.25Y</v>
      </c>
      <c r="BS72" s="386">
        <v>0.41997375819635285</v>
      </c>
      <c r="BT72" s="268">
        <f>IF(BQ72,_xll.qDateYears(BQ71,BQ72,BT$13),0)</f>
        <v>0.25205479452054796</v>
      </c>
      <c r="BU72" s="268">
        <f t="shared" si="25"/>
        <v>961.12251572551679</v>
      </c>
      <c r="CC72" s="526">
        <v>45937</v>
      </c>
      <c r="CD72" s="151" t="str">
        <f t="shared" si="6"/>
        <v>14.25Y</v>
      </c>
      <c r="CE72" s="386">
        <v>0.59822427432082059</v>
      </c>
      <c r="CF72" s="268">
        <f>IF(CC72,_xll.qDateYears(CC71,CC72,CF$13),0)</f>
        <v>0.25555555555555554</v>
      </c>
      <c r="CG72" s="268">
        <f t="shared" si="26"/>
        <v>1169.2979419288354</v>
      </c>
      <c r="CO72" s="526">
        <v>45937</v>
      </c>
      <c r="CP72" s="151" t="str">
        <f t="shared" si="7"/>
        <v>14.25Y</v>
      </c>
      <c r="CQ72" s="386">
        <v>0.57455532410872767</v>
      </c>
      <c r="CR72" s="268">
        <f>IF(CO72,_xll.qDateYears(CO71,CO72,CR$13),0)</f>
        <v>0.25205479452054796</v>
      </c>
      <c r="CS72" s="268">
        <f t="shared" si="27"/>
        <v>1145.6044710961598</v>
      </c>
      <c r="DA72" s="526">
        <v>45937</v>
      </c>
      <c r="DB72" s="151" t="str">
        <f t="shared" si="8"/>
        <v>14.25Y</v>
      </c>
      <c r="DC72" s="386">
        <v>0.42968421543993657</v>
      </c>
      <c r="DD72" s="268">
        <f>IF(DA72,_xll.qDateYears(DA71,DA72,DD$13),0)</f>
        <v>0.25205479452054796</v>
      </c>
      <c r="DE72" s="268">
        <f t="shared" si="28"/>
        <v>990.77725816892382</v>
      </c>
      <c r="DM72" s="526">
        <v>45937</v>
      </c>
      <c r="DN72" s="151" t="str">
        <f t="shared" si="9"/>
        <v>14.25Y</v>
      </c>
      <c r="DO72" s="386">
        <v>0.57193271083651853</v>
      </c>
      <c r="DP72" s="268">
        <f>IF(DM72,_xll.qDateYears(DM71,DM72,DP$13),0)</f>
        <v>0.25555555555555554</v>
      </c>
      <c r="DQ72" s="268">
        <f t="shared" si="29"/>
        <v>1169.3060081523058</v>
      </c>
    </row>
    <row r="73" spans="59:121">
      <c r="BG73" s="526">
        <v>46029</v>
      </c>
      <c r="BH73" s="150" t="str">
        <f t="shared" si="4"/>
        <v>14.5Y</v>
      </c>
      <c r="BI73" s="386">
        <v>0.56430981921729118</v>
      </c>
      <c r="BJ73" s="268">
        <f>IF(BG73,_xll.qDateYears(BG72,BG73,$BJ$13),0)</f>
        <v>0.25555555555555554</v>
      </c>
      <c r="BK73" s="268">
        <f t="shared" si="24"/>
        <v>1183.7272590878588</v>
      </c>
      <c r="BQ73" s="526">
        <v>46029</v>
      </c>
      <c r="BR73" s="151" t="str">
        <f t="shared" si="5"/>
        <v>14.5Y</v>
      </c>
      <c r="BS73" s="386">
        <v>0.41339816531498308</v>
      </c>
      <c r="BT73" s="268">
        <f>IF(BQ73,_xll.qDateYears(BQ72,BQ73,BT$13),0)</f>
        <v>0.25205479452054796</v>
      </c>
      <c r="BU73" s="268">
        <f t="shared" si="25"/>
        <v>971.54241468688076</v>
      </c>
      <c r="CC73" s="526">
        <v>46029</v>
      </c>
      <c r="CD73" s="151" t="str">
        <f t="shared" si="6"/>
        <v>14.5Y</v>
      </c>
      <c r="CE73" s="386">
        <v>0.59094515249169388</v>
      </c>
      <c r="CF73" s="268">
        <f>IF(CC73,_xll.qDateYears(CC72,CC73,CF$13),0)</f>
        <v>0.25555555555555554</v>
      </c>
      <c r="CG73" s="268">
        <f t="shared" si="26"/>
        <v>1184.3998736036231</v>
      </c>
      <c r="CO73" s="526">
        <v>46029</v>
      </c>
      <c r="CP73" s="151" t="str">
        <f t="shared" si="7"/>
        <v>14.5Y</v>
      </c>
      <c r="CQ73" s="386">
        <v>0.56738703169479732</v>
      </c>
      <c r="CR73" s="268">
        <f>IF(CO73,_xll.qDateYears(CO72,CO73,CR$13),0)</f>
        <v>0.25205479452054796</v>
      </c>
      <c r="CS73" s="268">
        <f t="shared" si="27"/>
        <v>1159.9057332649054</v>
      </c>
      <c r="DA73" s="526">
        <v>46029</v>
      </c>
      <c r="DB73" s="151" t="str">
        <f t="shared" si="8"/>
        <v>14.5Y</v>
      </c>
      <c r="DC73" s="386">
        <v>0.42267095974893959</v>
      </c>
      <c r="DD73" s="268">
        <f>IF(DA73,_xll.qDateYears(DA72,DA73,DD$13),0)</f>
        <v>0.25205479452054796</v>
      </c>
      <c r="DE73" s="268">
        <f t="shared" si="28"/>
        <v>1001.430882359856</v>
      </c>
      <c r="DM73" s="526">
        <v>46029</v>
      </c>
      <c r="DN73" s="151" t="str">
        <f t="shared" si="9"/>
        <v>14.5Y</v>
      </c>
      <c r="DO73" s="386">
        <v>0.56430981921729118</v>
      </c>
      <c r="DP73" s="268">
        <f>IF(DM73,_xll.qDateYears(DM72,DM73,DP$13),0)</f>
        <v>0.25555555555555554</v>
      </c>
      <c r="DQ73" s="268">
        <f t="shared" si="29"/>
        <v>1183.7272590878588</v>
      </c>
    </row>
    <row r="74" spans="59:121">
      <c r="BG74" s="526">
        <v>46119</v>
      </c>
      <c r="BH74" s="150" t="str">
        <f t="shared" si="4"/>
        <v>14.75Y</v>
      </c>
      <c r="BI74" s="386">
        <v>0.55688470583479566</v>
      </c>
      <c r="BJ74" s="268">
        <f>IF(BG74,_xll.qDateYears(BG73,BG74,$BJ$13),0)</f>
        <v>0.25</v>
      </c>
      <c r="BK74" s="268">
        <f t="shared" si="24"/>
        <v>1197.6493767337288</v>
      </c>
      <c r="BQ74" s="526">
        <v>46119</v>
      </c>
      <c r="BR74" s="151" t="str">
        <f t="shared" si="5"/>
        <v>14.75Y</v>
      </c>
      <c r="BS74" s="386">
        <v>0.40705892760968887</v>
      </c>
      <c r="BT74" s="268">
        <f>IF(BQ74,_xll.qDateYears(BQ73,BQ74,BT$13),0)</f>
        <v>0.24657534246575341</v>
      </c>
      <c r="BU74" s="268">
        <f t="shared" si="25"/>
        <v>981.57948413479085</v>
      </c>
      <c r="CC74" s="526">
        <v>46119</v>
      </c>
      <c r="CD74" s="151" t="str">
        <f t="shared" si="6"/>
        <v>14.75Y</v>
      </c>
      <c r="CE74" s="386">
        <v>0.58384797616086492</v>
      </c>
      <c r="CF74" s="268">
        <f>IF(CC74,_xll.qDateYears(CC73,CC74,CF$13),0)</f>
        <v>0.25</v>
      </c>
      <c r="CG74" s="268">
        <f t="shared" si="26"/>
        <v>1198.9960730076448</v>
      </c>
      <c r="CO74" s="526">
        <v>46119</v>
      </c>
      <c r="CP74" s="151" t="str">
        <f t="shared" si="7"/>
        <v>14.75Y</v>
      </c>
      <c r="CQ74" s="386">
        <v>0.5604091261703037</v>
      </c>
      <c r="CR74" s="268">
        <f>IF(CO74,_xll.qDateYears(CO73,CO74,CR$13),0)</f>
        <v>0.24657534246575341</v>
      </c>
      <c r="CS74" s="268">
        <f t="shared" si="27"/>
        <v>1173.7240404855431</v>
      </c>
      <c r="DA74" s="526">
        <v>46119</v>
      </c>
      <c r="DB74" s="151" t="str">
        <f t="shared" si="8"/>
        <v>14.75Y</v>
      </c>
      <c r="DC74" s="386">
        <v>0.41589951691483185</v>
      </c>
      <c r="DD74" s="268">
        <f>IF(DA74,_xll.qDateYears(DA73,DA74,DD$13),0)</f>
        <v>0.24657534246575341</v>
      </c>
      <c r="DE74" s="268">
        <f t="shared" si="28"/>
        <v>1011.6859389413177</v>
      </c>
      <c r="DM74" s="526">
        <v>46119</v>
      </c>
      <c r="DN74" s="151" t="str">
        <f t="shared" si="9"/>
        <v>14.75Y</v>
      </c>
      <c r="DO74" s="386">
        <v>0.55688470583479566</v>
      </c>
      <c r="DP74" s="268">
        <f>IF(DM74,_xll.qDateYears(DM73,DM74,DP$13),0)</f>
        <v>0.25</v>
      </c>
      <c r="DQ74" s="268">
        <f t="shared" si="29"/>
        <v>1197.6493767337288</v>
      </c>
    </row>
    <row r="75" spans="59:121">
      <c r="BG75" s="526">
        <v>46210</v>
      </c>
      <c r="BH75" s="150" t="str">
        <f t="shared" si="4"/>
        <v>15Y</v>
      </c>
      <c r="BI75" s="386">
        <v>0.54941069379034924</v>
      </c>
      <c r="BJ75" s="268">
        <f>IF(BG75,_xll.qDateYears(BG74,BG75,$BJ$13),0)</f>
        <v>0.25277777777777777</v>
      </c>
      <c r="BK75" s="268">
        <f t="shared" si="24"/>
        <v>1211.5372581600959</v>
      </c>
      <c r="BQ75" s="526">
        <v>46210</v>
      </c>
      <c r="BR75" s="151" t="str">
        <f t="shared" si="5"/>
        <v>15Y</v>
      </c>
      <c r="BS75" s="386">
        <v>0.40074921950183284</v>
      </c>
      <c r="BT75" s="268">
        <f>IF(BQ75,_xll.qDateYears(BQ74,BQ75,BT$13),0)</f>
        <v>0.24931506849315069</v>
      </c>
      <c r="BU75" s="268">
        <f t="shared" si="25"/>
        <v>991.5707660456585</v>
      </c>
      <c r="CC75" s="526">
        <v>46210</v>
      </c>
      <c r="CD75" s="151" t="str">
        <f t="shared" si="6"/>
        <v>15Y</v>
      </c>
      <c r="CE75" s="386">
        <v>0.57669701651929117</v>
      </c>
      <c r="CF75" s="268">
        <f>IF(CC75,_xll.qDateYears(CC74,CC75,CF$13),0)</f>
        <v>0.25277777777777777</v>
      </c>
      <c r="CG75" s="268">
        <f t="shared" si="26"/>
        <v>1213.573692036327</v>
      </c>
      <c r="CO75" s="526">
        <v>46210</v>
      </c>
      <c r="CP75" s="151" t="str">
        <f t="shared" si="7"/>
        <v>15Y</v>
      </c>
      <c r="CQ75" s="386">
        <v>0.55340229756002424</v>
      </c>
      <c r="CR75" s="268">
        <f>IF(CO75,_xll.qDateYears(CO74,CO75,CR$13),0)</f>
        <v>0.24931506849315069</v>
      </c>
      <c r="CS75" s="268">
        <f t="shared" si="27"/>
        <v>1187.5211936575877</v>
      </c>
      <c r="DA75" s="526">
        <v>46210</v>
      </c>
      <c r="DB75" s="151" t="str">
        <f t="shared" si="8"/>
        <v>15Y</v>
      </c>
      <c r="DC75" s="386">
        <v>0.40914193217667782</v>
      </c>
      <c r="DD75" s="268">
        <f>IF(DA75,_xll.qDateYears(DA74,DA75,DD$13),0)</f>
        <v>0.24931506849315069</v>
      </c>
      <c r="DE75" s="268">
        <f t="shared" si="28"/>
        <v>1021.8864638257226</v>
      </c>
      <c r="DM75" s="526">
        <v>46210</v>
      </c>
      <c r="DN75" s="151" t="str">
        <f t="shared" si="9"/>
        <v>15Y</v>
      </c>
      <c r="DO75" s="386">
        <v>0.54941069379034924</v>
      </c>
      <c r="DP75" s="268">
        <f>IF(DM75,_xll.qDateYears(DM74,DM75,DP$13),0)</f>
        <v>0.25277777777777777</v>
      </c>
      <c r="DQ75" s="268">
        <f t="shared" si="29"/>
        <v>1211.5372581600959</v>
      </c>
    </row>
    <row r="76" spans="59:121">
      <c r="BG76" s="526">
        <v>46302</v>
      </c>
      <c r="BH76" s="150" t="str">
        <f t="shared" si="4"/>
        <v>15.25Y</v>
      </c>
      <c r="BI76" s="386">
        <v>0.54306912889982117</v>
      </c>
      <c r="BJ76" s="268">
        <f>IF(BG76,_xll.qDateYears(BG75,BG76,$BJ$13),0)</f>
        <v>0.25555555555555554</v>
      </c>
      <c r="BK76" s="268">
        <f t="shared" si="24"/>
        <v>1225.4156914542025</v>
      </c>
      <c r="BQ76" s="526">
        <v>46302</v>
      </c>
      <c r="BR76" s="151" t="str">
        <f t="shared" si="5"/>
        <v>15.25Y</v>
      </c>
      <c r="BS76" s="386">
        <v>0.39520494911156501</v>
      </c>
      <c r="BT76" s="268">
        <f>IF(BQ76,_xll.qDateYears(BQ75,BQ76,BT$13),0)</f>
        <v>0.25205479452054796</v>
      </c>
      <c r="BU76" s="268">
        <f t="shared" si="25"/>
        <v>1001.5320962698404</v>
      </c>
      <c r="CC76" s="526">
        <v>46302</v>
      </c>
      <c r="CD76" s="151" t="str">
        <f t="shared" si="6"/>
        <v>15.25Y</v>
      </c>
      <c r="CE76" s="386">
        <v>0.5705757678231429</v>
      </c>
      <c r="CF76" s="268">
        <f>IF(CC76,_xll.qDateYears(CC75,CC76,CF$13),0)</f>
        <v>0.25555555555555554</v>
      </c>
      <c r="CG76" s="268">
        <f t="shared" si="26"/>
        <v>1228.1550727695851</v>
      </c>
      <c r="CO76" s="526">
        <v>46302</v>
      </c>
      <c r="CP76" s="151" t="str">
        <f t="shared" si="7"/>
        <v>15.25Y</v>
      </c>
      <c r="CQ76" s="386">
        <v>0.54738463514390601</v>
      </c>
      <c r="CR76" s="268">
        <f>IF(CO76,_xll.qDateYears(CO75,CO76,CR$13),0)</f>
        <v>0.25205479452054796</v>
      </c>
      <c r="CS76" s="268">
        <f t="shared" si="27"/>
        <v>1201.3182858310779</v>
      </c>
      <c r="DA76" s="526">
        <v>46302</v>
      </c>
      <c r="DB76" s="151" t="str">
        <f t="shared" si="8"/>
        <v>15.25Y</v>
      </c>
      <c r="DC76" s="386">
        <v>0.40298226911085516</v>
      </c>
      <c r="DD76" s="268">
        <f>IF(DA76,_xll.qDateYears(DA75,DA76,DD$13),0)</f>
        <v>0.25205479452054796</v>
      </c>
      <c r="DE76" s="268">
        <f t="shared" si="28"/>
        <v>1032.0438251293385</v>
      </c>
      <c r="DM76" s="526">
        <v>46302</v>
      </c>
      <c r="DN76" s="151" t="str">
        <f t="shared" si="9"/>
        <v>15.25Y</v>
      </c>
      <c r="DO76" s="386">
        <v>0.54306912889982117</v>
      </c>
      <c r="DP76" s="268">
        <f>IF(DM76,_xll.qDateYears(DM75,DM76,DP$13),0)</f>
        <v>0.25555555555555554</v>
      </c>
      <c r="DQ76" s="268">
        <f t="shared" si="29"/>
        <v>1225.4156914542025</v>
      </c>
    </row>
    <row r="77" spans="59:121">
      <c r="BG77" s="526">
        <v>46394</v>
      </c>
      <c r="BH77" s="150" t="str">
        <f t="shared" si="4"/>
        <v>15.5Y</v>
      </c>
      <c r="BI77" s="386">
        <v>0.53677319249014632</v>
      </c>
      <c r="BJ77" s="268">
        <f>IF(BG77,_xll.qDateYears(BG76,BG77,$BJ$13),0)</f>
        <v>0.25555555555555554</v>
      </c>
      <c r="BK77" s="268">
        <f t="shared" si="24"/>
        <v>1239.1332285956173</v>
      </c>
      <c r="BQ77" s="526">
        <v>46394</v>
      </c>
      <c r="BR77" s="151" t="str">
        <f t="shared" si="5"/>
        <v>15.5Y</v>
      </c>
      <c r="BS77" s="386">
        <v>0.38975563466609625</v>
      </c>
      <c r="BT77" s="268">
        <f>IF(BQ77,_xll.qDateYears(BQ76,BQ77,BT$13),0)</f>
        <v>0.25205479452054796</v>
      </c>
      <c r="BU77" s="268">
        <f t="shared" si="25"/>
        <v>1011.3560739107393</v>
      </c>
      <c r="CC77" s="526">
        <v>46394</v>
      </c>
      <c r="CD77" s="151" t="str">
        <f t="shared" si="6"/>
        <v>15.5Y</v>
      </c>
      <c r="CE77" s="386">
        <v>0.56449282509364351</v>
      </c>
      <c r="CF77" s="268">
        <f>IF(CC77,_xll.qDateYears(CC76,CC77,CF$13),0)</f>
        <v>0.25555555555555554</v>
      </c>
      <c r="CG77" s="268">
        <f t="shared" si="26"/>
        <v>1242.5810005219782</v>
      </c>
      <c r="CO77" s="526">
        <v>46394</v>
      </c>
      <c r="CP77" s="151" t="str">
        <f t="shared" si="7"/>
        <v>15.5Y</v>
      </c>
      <c r="CQ77" s="386">
        <v>0.54141450309575556</v>
      </c>
      <c r="CR77" s="268">
        <f>IF(CO77,_xll.qDateYears(CO76,CO77,CR$13),0)</f>
        <v>0.25205479452054796</v>
      </c>
      <c r="CS77" s="268">
        <f t="shared" si="27"/>
        <v>1214.9648979639023</v>
      </c>
      <c r="DA77" s="526">
        <v>46394</v>
      </c>
      <c r="DB77" s="151" t="str">
        <f t="shared" si="8"/>
        <v>15.5Y</v>
      </c>
      <c r="DC77" s="386">
        <v>0.3969131298847961</v>
      </c>
      <c r="DD77" s="268">
        <f>IF(DA77,_xll.qDateYears(DA76,DA77,DD$13),0)</f>
        <v>0.25205479452054796</v>
      </c>
      <c r="DE77" s="268">
        <f t="shared" si="28"/>
        <v>1042.0482108689005</v>
      </c>
      <c r="DM77" s="526">
        <v>46394</v>
      </c>
      <c r="DN77" s="151" t="str">
        <f t="shared" si="9"/>
        <v>15.5Y</v>
      </c>
      <c r="DO77" s="386">
        <v>0.53677319249014632</v>
      </c>
      <c r="DP77" s="268">
        <f>IF(DM77,_xll.qDateYears(DM76,DM77,DP$13),0)</f>
        <v>0.25555555555555554</v>
      </c>
      <c r="DQ77" s="268">
        <f t="shared" si="29"/>
        <v>1239.1332285956173</v>
      </c>
    </row>
    <row r="78" spans="59:121">
      <c r="BG78" s="526">
        <v>46484</v>
      </c>
      <c r="BH78" s="150" t="str">
        <f t="shared" si="4"/>
        <v>15.75Y</v>
      </c>
      <c r="BI78" s="386">
        <v>0.53065838614362038</v>
      </c>
      <c r="BJ78" s="268">
        <f>IF(BG78,_xll.qDateYears(BG77,BG78,$BJ$13),0)</f>
        <v>0.25</v>
      </c>
      <c r="BK78" s="268">
        <f t="shared" si="24"/>
        <v>1252.3996882492079</v>
      </c>
      <c r="BQ78" s="526">
        <v>46484</v>
      </c>
      <c r="BR78" s="151" t="str">
        <f t="shared" si="5"/>
        <v>15.75Y</v>
      </c>
      <c r="BS78" s="386">
        <v>0.38451492130758169</v>
      </c>
      <c r="BT78" s="268">
        <f>IF(BQ78,_xll.qDateYears(BQ77,BQ78,BT$13),0)</f>
        <v>0.24657534246575341</v>
      </c>
      <c r="BU78" s="268">
        <f t="shared" si="25"/>
        <v>1020.8372637512002</v>
      </c>
      <c r="CC78" s="526">
        <v>46484</v>
      </c>
      <c r="CD78" s="151" t="str">
        <f t="shared" si="6"/>
        <v>15.75Y</v>
      </c>
      <c r="CE78" s="386">
        <v>0.55857934389726427</v>
      </c>
      <c r="CF78" s="268">
        <f>IF(CC78,_xll.qDateYears(CC77,CC78,CF$13),0)</f>
        <v>0.25</v>
      </c>
      <c r="CG78" s="268">
        <f t="shared" si="26"/>
        <v>1256.5454841194098</v>
      </c>
      <c r="CO78" s="526">
        <v>46484</v>
      </c>
      <c r="CP78" s="151" t="str">
        <f t="shared" si="7"/>
        <v>15.75Y</v>
      </c>
      <c r="CQ78" s="386">
        <v>0.535620027926205</v>
      </c>
      <c r="CR78" s="268">
        <f>IF(CO78,_xll.qDateYears(CO77,CO78,CR$13),0)</f>
        <v>0.24657534246575341</v>
      </c>
      <c r="CS78" s="268">
        <f t="shared" si="27"/>
        <v>1228.1719671456444</v>
      </c>
      <c r="DA78" s="526">
        <v>46484</v>
      </c>
      <c r="DB78" s="151" t="str">
        <f t="shared" si="8"/>
        <v>15.75Y</v>
      </c>
      <c r="DC78" s="386">
        <v>0.39106227654707276</v>
      </c>
      <c r="DD78" s="268">
        <f>IF(DA78,_xll.qDateYears(DA77,DA78,DD$13),0)</f>
        <v>0.24657534246575341</v>
      </c>
      <c r="DE78" s="268">
        <f t="shared" si="28"/>
        <v>1051.6908423454036</v>
      </c>
      <c r="DM78" s="526">
        <v>46484</v>
      </c>
      <c r="DN78" s="151" t="str">
        <f t="shared" si="9"/>
        <v>15.75Y</v>
      </c>
      <c r="DO78" s="386">
        <v>0.53065838614362038</v>
      </c>
      <c r="DP78" s="268">
        <f>IF(DM78,_xll.qDateYears(DM77,DM78,DP$13),0)</f>
        <v>0.25</v>
      </c>
      <c r="DQ78" s="268">
        <f t="shared" si="29"/>
        <v>1252.3996882492079</v>
      </c>
    </row>
    <row r="79" spans="59:121">
      <c r="BG79" s="526">
        <v>46575</v>
      </c>
      <c r="BH79" s="150" t="str">
        <f t="shared" ref="BH79:BH142" si="36">IF(BG79,ROUND((BG79-$BG$15)/365/0.25,0)*0.25&amp;"Y","")</f>
        <v>16Y</v>
      </c>
      <c r="BI79" s="386">
        <v>0.52452024799632102</v>
      </c>
      <c r="BJ79" s="268">
        <f>IF(BG79,_xll.qDateYears(BG78,BG79,$BJ$13),0)</f>
        <v>0.25277777777777777</v>
      </c>
      <c r="BK79" s="268">
        <f t="shared" si="24"/>
        <v>1265.6583945180039</v>
      </c>
      <c r="BQ79" s="526">
        <v>46575</v>
      </c>
      <c r="BR79" s="151" t="str">
        <f t="shared" ref="BR79:BR142" si="37">IF(BQ79,ROUND((BQ79-$BG$15)/365/0.25,0)*0.25&amp;"Y","")</f>
        <v>16Y</v>
      </c>
      <c r="BS79" s="386">
        <v>0.37930490498982689</v>
      </c>
      <c r="BT79" s="268">
        <f>IF(BQ79,_xll.qDateYears(BQ78,BQ79,BT$13),0)</f>
        <v>0.24931506849315069</v>
      </c>
      <c r="BU79" s="268">
        <f t="shared" si="25"/>
        <v>1030.293906587933</v>
      </c>
      <c r="CC79" s="526">
        <v>46575</v>
      </c>
      <c r="CD79" s="151" t="str">
        <f t="shared" ref="CD79:CD142" si="38">IF(CC79,ROUND((CC79-$BG$15)/365/0.25,0)*0.25&amp;"Y","")</f>
        <v>16Y</v>
      </c>
      <c r="CE79" s="386">
        <v>0.55263773895523849</v>
      </c>
      <c r="CF79" s="268">
        <f>IF(CC79,_xll.qDateYears(CC78,CC79,CF$13),0)</f>
        <v>0.25277777777777777</v>
      </c>
      <c r="CG79" s="268">
        <f t="shared" si="26"/>
        <v>1270.5149380763339</v>
      </c>
      <c r="CO79" s="526">
        <v>46575</v>
      </c>
      <c r="CP79" s="151" t="str">
        <f t="shared" ref="CP79:CP142" si="39">IF(CO79,ROUND((CO79-$BG$15)/365/0.25,0)*0.25&amp;"Y","")</f>
        <v>16Y</v>
      </c>
      <c r="CQ79" s="386">
        <v>0.5298071722429899</v>
      </c>
      <c r="CR79" s="268">
        <f>IF(CO79,_xll.qDateYears(CO78,CO79,CR$13),0)</f>
        <v>0.24931506849315069</v>
      </c>
      <c r="CS79" s="268">
        <f t="shared" si="27"/>
        <v>1241.3808582892368</v>
      </c>
      <c r="DA79" s="526">
        <v>46575</v>
      </c>
      <c r="DB79" s="151" t="str">
        <f t="shared" ref="DB79:DB142" si="40">IF(DA79,ROUND((DA79-$BG$15)/365/0.25,0)*0.25&amp;"Y","")</f>
        <v>16Y</v>
      </c>
      <c r="DC79" s="386">
        <v>0.38523201111238559</v>
      </c>
      <c r="DD79" s="268">
        <f>IF(DA79,_xll.qDateYears(DA78,DA79,DD$13),0)</f>
        <v>0.24931506849315069</v>
      </c>
      <c r="DE79" s="268">
        <f t="shared" si="28"/>
        <v>1061.2952568690275</v>
      </c>
      <c r="DM79" s="526">
        <v>46575</v>
      </c>
      <c r="DN79" s="151" t="str">
        <f t="shared" ref="DN79:DN142" si="41">IF(DM79,ROUND((DM79-$BG$15)/365/0.25,0)*0.25&amp;"Y","")</f>
        <v>16Y</v>
      </c>
      <c r="DO79" s="386">
        <v>0.52452024799632102</v>
      </c>
      <c r="DP79" s="268">
        <f>IF(DM79,_xll.qDateYears(DM78,DM79,DP$13),0)</f>
        <v>0.25277777777777777</v>
      </c>
      <c r="DQ79" s="268">
        <f t="shared" si="29"/>
        <v>1265.6583945180039</v>
      </c>
    </row>
    <row r="80" spans="59:121">
      <c r="BG80" s="526">
        <v>46667</v>
      </c>
      <c r="BH80" s="150" t="str">
        <f t="shared" si="36"/>
        <v>16.25Y</v>
      </c>
      <c r="BI80" s="386">
        <v>0.51836035373511458</v>
      </c>
      <c r="BJ80" s="268">
        <f>IF(BG80,_xll.qDateYears(BG79,BG80,$BJ$13),0)</f>
        <v>0.25555555555555554</v>
      </c>
      <c r="BK80" s="268">
        <f t="shared" si="24"/>
        <v>1278.9053813356791</v>
      </c>
      <c r="BQ80" s="526">
        <v>46667</v>
      </c>
      <c r="BR80" s="151" t="str">
        <f t="shared" si="37"/>
        <v>16.25Y</v>
      </c>
      <c r="BS80" s="386">
        <v>0.37412682057183722</v>
      </c>
      <c r="BT80" s="268">
        <f>IF(BQ80,_xll.qDateYears(BQ79,BQ80,BT$13),0)</f>
        <v>0.25205479452054796</v>
      </c>
      <c r="BU80" s="268">
        <f t="shared" si="25"/>
        <v>1039.723952476319</v>
      </c>
      <c r="CC80" s="526">
        <v>46667</v>
      </c>
      <c r="CD80" s="151" t="str">
        <f t="shared" si="38"/>
        <v>16.25Y</v>
      </c>
      <c r="CE80" s="386">
        <v>0.54666940358624105</v>
      </c>
      <c r="CF80" s="268">
        <f>IF(CC80,_xll.qDateYears(CC79,CC80,CF$13),0)</f>
        <v>0.25555555555555554</v>
      </c>
      <c r="CG80" s="268">
        <f t="shared" si="26"/>
        <v>1284.4853783902045</v>
      </c>
      <c r="CO80" s="526">
        <v>46667</v>
      </c>
      <c r="CP80" s="151" t="str">
        <f t="shared" si="39"/>
        <v>16.25Y</v>
      </c>
      <c r="CQ80" s="386">
        <v>0.5239773313628614</v>
      </c>
      <c r="CR80" s="268">
        <f>IF(CO80,_xll.qDateYears(CO79,CO80,CR$13),0)</f>
        <v>0.25205479452054796</v>
      </c>
      <c r="CS80" s="268">
        <f t="shared" si="27"/>
        <v>1254.5879581482459</v>
      </c>
      <c r="DA80" s="526">
        <v>46667</v>
      </c>
      <c r="DB80" s="151" t="str">
        <f t="shared" si="40"/>
        <v>16.25Y</v>
      </c>
      <c r="DC80" s="386">
        <v>0.37942393076540587</v>
      </c>
      <c r="DD80" s="268">
        <f>IF(DA80,_xll.qDateYears(DA79,DA80,DD$13),0)</f>
        <v>0.25205479452054796</v>
      </c>
      <c r="DE80" s="268">
        <f t="shared" si="28"/>
        <v>1070.8588189595528</v>
      </c>
      <c r="DM80" s="526">
        <v>46667</v>
      </c>
      <c r="DN80" s="151" t="str">
        <f t="shared" si="41"/>
        <v>16.25Y</v>
      </c>
      <c r="DO80" s="386">
        <v>0.51836035373511458</v>
      </c>
      <c r="DP80" s="268">
        <f>IF(DM80,_xll.qDateYears(DM79,DM80,DP$13),0)</f>
        <v>0.25555555555555554</v>
      </c>
      <c r="DQ80" s="268">
        <f t="shared" si="29"/>
        <v>1278.9053813356791</v>
      </c>
    </row>
    <row r="81" spans="59:121">
      <c r="BG81" s="526">
        <v>46759</v>
      </c>
      <c r="BH81" s="150" t="str">
        <f t="shared" si="36"/>
        <v>16.5Y</v>
      </c>
      <c r="BI81" s="386">
        <v>0.51224649513119047</v>
      </c>
      <c r="BJ81" s="268">
        <f>IF(BG81,_xll.qDateYears(BG80,BG81,$BJ$13),0)</f>
        <v>0.25555555555555554</v>
      </c>
      <c r="BK81" s="268">
        <f t="shared" ref="BK81:BK144" si="42">BK80+BJ81*BI81*100</f>
        <v>1291.9961251001428</v>
      </c>
      <c r="BQ81" s="526">
        <v>46759</v>
      </c>
      <c r="BR81" s="151" t="str">
        <f t="shared" si="37"/>
        <v>16.5Y</v>
      </c>
      <c r="BS81" s="386">
        <v>0.36903670921948173</v>
      </c>
      <c r="BT81" s="268">
        <f>IF(BQ81,_xll.qDateYears(BQ80,BQ81,BT$13),0)</f>
        <v>0.25205479452054796</v>
      </c>
      <c r="BU81" s="268">
        <f t="shared" ref="BU81:BU144" si="43">BU80+BT81*BS81*100</f>
        <v>1049.0256996676046</v>
      </c>
      <c r="CC81" s="526">
        <v>46759</v>
      </c>
      <c r="CD81" s="151" t="str">
        <f t="shared" si="38"/>
        <v>16.5Y</v>
      </c>
      <c r="CE81" s="386">
        <v>0.54073998325916206</v>
      </c>
      <c r="CF81" s="268">
        <f>IF(CC81,_xll.qDateYears(CC80,CC81,CF$13),0)</f>
        <v>0.25555555555555554</v>
      </c>
      <c r="CG81" s="268">
        <f t="shared" ref="CG81:CG144" si="44">CG80+CF81*CE81*100</f>
        <v>1298.3042890734941</v>
      </c>
      <c r="CO81" s="526">
        <v>46759</v>
      </c>
      <c r="CP81" s="151" t="str">
        <f t="shared" si="39"/>
        <v>16.5Y</v>
      </c>
      <c r="CQ81" s="386">
        <v>0.5181945045902423</v>
      </c>
      <c r="CR81" s="268">
        <f>IF(CO81,_xll.qDateYears(CO80,CO81,CR$13),0)</f>
        <v>0.25205479452054796</v>
      </c>
      <c r="CS81" s="268">
        <f t="shared" ref="CS81:CS144" si="45">CS80+CR81*CQ81*100</f>
        <v>1267.649299085863</v>
      </c>
      <c r="DA81" s="526">
        <v>46759</v>
      </c>
      <c r="DB81" s="151" t="str">
        <f t="shared" si="40"/>
        <v>16.5Y</v>
      </c>
      <c r="DC81" s="386">
        <v>0.37370133683988277</v>
      </c>
      <c r="DD81" s="268">
        <f>IF(DA81,_xll.qDateYears(DA80,DA81,DD$13),0)</f>
        <v>0.25205479452054796</v>
      </c>
      <c r="DE81" s="268">
        <f t="shared" ref="DE81:DE144" si="46">DE80+DD81*DC81*100</f>
        <v>1080.2781403264758</v>
      </c>
      <c r="DM81" s="526">
        <v>46759</v>
      </c>
      <c r="DN81" s="151" t="str">
        <f t="shared" si="41"/>
        <v>16.5Y</v>
      </c>
      <c r="DO81" s="386">
        <v>0.51224649513119047</v>
      </c>
      <c r="DP81" s="268">
        <f>IF(DM81,_xll.qDateYears(DM80,DM81,DP$13),0)</f>
        <v>0.25555555555555554</v>
      </c>
      <c r="DQ81" s="268">
        <f t="shared" ref="DQ81:DQ144" si="47">DQ80+DP81*DO81*100</f>
        <v>1291.9961251001428</v>
      </c>
    </row>
    <row r="82" spans="59:121">
      <c r="BG82" s="526">
        <v>46850</v>
      </c>
      <c r="BH82" s="150" t="str">
        <f t="shared" si="36"/>
        <v>16.75Y</v>
      </c>
      <c r="BI82" s="386">
        <v>0.50624445990046241</v>
      </c>
      <c r="BJ82" s="268">
        <f>IF(BG82,_xll.qDateYears(BG81,BG82,$BJ$13),0)</f>
        <v>0.25277777777777777</v>
      </c>
      <c r="BK82" s="268">
        <f t="shared" si="42"/>
        <v>1304.7928600587377</v>
      </c>
      <c r="BQ82" s="526">
        <v>46850</v>
      </c>
      <c r="BR82" s="151" t="str">
        <f t="shared" si="37"/>
        <v>16.75Y</v>
      </c>
      <c r="BS82" s="386">
        <v>0.36408683217858651</v>
      </c>
      <c r="BT82" s="268">
        <f>IF(BQ82,_xll.qDateYears(BQ81,BQ82,BT$13),0)</f>
        <v>0.24931506849315069</v>
      </c>
      <c r="BU82" s="268">
        <f t="shared" si="43"/>
        <v>1058.1029330178105</v>
      </c>
      <c r="CC82" s="526">
        <v>46850</v>
      </c>
      <c r="CD82" s="151" t="str">
        <f t="shared" si="38"/>
        <v>16.75Y</v>
      </c>
      <c r="CE82" s="386">
        <v>0.53491342919961815</v>
      </c>
      <c r="CF82" s="268">
        <f>IF(CC82,_xll.qDateYears(CC81,CC82,CF$13),0)</f>
        <v>0.25277777777777777</v>
      </c>
      <c r="CG82" s="268">
        <f t="shared" si="44"/>
        <v>1311.8257118671511</v>
      </c>
      <c r="CO82" s="526">
        <v>46850</v>
      </c>
      <c r="CP82" s="151" t="str">
        <f t="shared" si="39"/>
        <v>16.75Y</v>
      </c>
      <c r="CQ82" s="386">
        <v>0.51252064960704824</v>
      </c>
      <c r="CR82" s="268">
        <f>IF(CO82,_xll.qDateYears(CO81,CO82,CR$13),0)</f>
        <v>0.24931506849315069</v>
      </c>
      <c r="CS82" s="268">
        <f t="shared" si="45"/>
        <v>1280.4272111719565</v>
      </c>
      <c r="DA82" s="526">
        <v>46850</v>
      </c>
      <c r="DB82" s="151" t="str">
        <f t="shared" si="40"/>
        <v>16.75Y</v>
      </c>
      <c r="DC82" s="386">
        <v>0.36812384086514627</v>
      </c>
      <c r="DD82" s="268">
        <f>IF(DA82,_xll.qDateYears(DA81,DA82,DD$13),0)</f>
        <v>0.24931506849315069</v>
      </c>
      <c r="DE82" s="268">
        <f t="shared" si="46"/>
        <v>1089.4560223864014</v>
      </c>
      <c r="DM82" s="526">
        <v>46850</v>
      </c>
      <c r="DN82" s="151" t="str">
        <f t="shared" si="41"/>
        <v>16.75Y</v>
      </c>
      <c r="DO82" s="386">
        <v>0.50624445990046241</v>
      </c>
      <c r="DP82" s="268">
        <f>IF(DM82,_xll.qDateYears(DM81,DM82,DP$13),0)</f>
        <v>0.25277777777777777</v>
      </c>
      <c r="DQ82" s="268">
        <f t="shared" si="47"/>
        <v>1304.7928600587377</v>
      </c>
    </row>
    <row r="83" spans="59:121">
      <c r="BG83" s="526">
        <v>46941</v>
      </c>
      <c r="BH83" s="150" t="str">
        <f t="shared" si="36"/>
        <v>17Y</v>
      </c>
      <c r="BI83" s="386">
        <v>0.50028761720930803</v>
      </c>
      <c r="BJ83" s="268">
        <f>IF(BG83,_xll.qDateYears(BG82,BG83,$BJ$13),0)</f>
        <v>0.25277777777777777</v>
      </c>
      <c r="BK83" s="268">
        <f t="shared" si="42"/>
        <v>1317.4390192715284</v>
      </c>
      <c r="BQ83" s="526">
        <v>46941</v>
      </c>
      <c r="BR83" s="151" t="str">
        <f t="shared" si="37"/>
        <v>17Y</v>
      </c>
      <c r="BS83" s="386">
        <v>0.3592198096657927</v>
      </c>
      <c r="BT83" s="268">
        <f>IF(BQ83,_xll.qDateYears(BQ82,BQ83,BT$13),0)</f>
        <v>0.24931506849315069</v>
      </c>
      <c r="BU83" s="268">
        <f t="shared" si="43"/>
        <v>1067.058824162903</v>
      </c>
      <c r="CC83" s="526">
        <v>46941</v>
      </c>
      <c r="CD83" s="151" t="str">
        <f t="shared" si="38"/>
        <v>17Y</v>
      </c>
      <c r="CE83" s="386">
        <v>0.52912520647278272</v>
      </c>
      <c r="CF83" s="268">
        <f>IF(CC83,_xll.qDateYears(CC82,CC83,CF$13),0)</f>
        <v>0.25277777777777777</v>
      </c>
      <c r="CG83" s="268">
        <f t="shared" si="44"/>
        <v>1325.2008212529909</v>
      </c>
      <c r="CO83" s="526">
        <v>46941</v>
      </c>
      <c r="CP83" s="151" t="str">
        <f t="shared" si="39"/>
        <v>17Y</v>
      </c>
      <c r="CQ83" s="386">
        <v>0.5068925204554281</v>
      </c>
      <c r="CR83" s="268">
        <f>IF(CO83,_xll.qDateYears(CO82,CO83,CR$13),0)</f>
        <v>0.24931506849315069</v>
      </c>
      <c r="CS83" s="268">
        <f t="shared" si="45"/>
        <v>1293.0648055175575</v>
      </c>
      <c r="DA83" s="526">
        <v>46941</v>
      </c>
      <c r="DB83" s="151" t="str">
        <f t="shared" si="40"/>
        <v>17Y</v>
      </c>
      <c r="DC83" s="386">
        <v>0.36262761335436572</v>
      </c>
      <c r="DD83" s="268">
        <f>IF(DA83,_xll.qDateYears(DA82,DA83,DD$13),0)</f>
        <v>0.24931506849315069</v>
      </c>
      <c r="DE83" s="268">
        <f t="shared" si="46"/>
        <v>1098.4968752124964</v>
      </c>
      <c r="DM83" s="526">
        <v>46941</v>
      </c>
      <c r="DN83" s="151" t="str">
        <f t="shared" si="41"/>
        <v>17Y</v>
      </c>
      <c r="DO83" s="386">
        <v>0.50028761720930803</v>
      </c>
      <c r="DP83" s="268">
        <f>IF(DM83,_xll.qDateYears(DM82,DM83,DP$13),0)</f>
        <v>0.25277777777777777</v>
      </c>
      <c r="DQ83" s="268">
        <f t="shared" si="47"/>
        <v>1317.4390192715284</v>
      </c>
    </row>
    <row r="84" spans="59:121">
      <c r="BG84" s="526">
        <v>47036</v>
      </c>
      <c r="BH84" s="150" t="str">
        <f t="shared" si="36"/>
        <v>17.25Y</v>
      </c>
      <c r="BI84" s="386">
        <v>0.49411722054301971</v>
      </c>
      <c r="BJ84" s="268">
        <f>IF(BG84,_xll.qDateYears(BG83,BG84,$BJ$13),0)</f>
        <v>0.2638888888888889</v>
      </c>
      <c r="BK84" s="268">
        <f t="shared" si="42"/>
        <v>1330.4782237025247</v>
      </c>
      <c r="BQ84" s="526">
        <v>47036</v>
      </c>
      <c r="BR84" s="151" t="str">
        <f t="shared" si="37"/>
        <v>17.25Y</v>
      </c>
      <c r="BS84" s="386">
        <v>0.35422557190646847</v>
      </c>
      <c r="BT84" s="268">
        <f>IF(BQ84,_xll.qDateYears(BQ83,BQ84,BT$13),0)</f>
        <v>0.26027397260273971</v>
      </c>
      <c r="BU84" s="268">
        <f t="shared" si="43"/>
        <v>1076.2783938426603</v>
      </c>
      <c r="CC84" s="526">
        <v>47036</v>
      </c>
      <c r="CD84" s="151" t="str">
        <f t="shared" si="38"/>
        <v>17.25Y</v>
      </c>
      <c r="CE84" s="386">
        <v>0.52312357981890034</v>
      </c>
      <c r="CF84" s="268">
        <f>IF(CC84,_xll.qDateYears(CC83,CC84,CF$13),0)</f>
        <v>0.2638888888888889</v>
      </c>
      <c r="CG84" s="268">
        <f t="shared" si="44"/>
        <v>1339.0054712759895</v>
      </c>
      <c r="CO84" s="526">
        <v>47036</v>
      </c>
      <c r="CP84" s="151" t="str">
        <f t="shared" si="39"/>
        <v>17.25Y</v>
      </c>
      <c r="CQ84" s="386">
        <v>0.50106563476593724</v>
      </c>
      <c r="CR84" s="268">
        <f>IF(CO84,_xll.qDateYears(CO83,CO84,CR$13),0)</f>
        <v>0.26027397260273971</v>
      </c>
      <c r="CS84" s="268">
        <f t="shared" si="45"/>
        <v>1306.106239847082</v>
      </c>
      <c r="DA84" s="526">
        <v>47036</v>
      </c>
      <c r="DB84" s="151" t="str">
        <f t="shared" si="40"/>
        <v>17.25Y</v>
      </c>
      <c r="DC84" s="386">
        <v>0.35697524979732947</v>
      </c>
      <c r="DD84" s="268">
        <f>IF(DA84,_xll.qDateYears(DA83,DA84,DD$13),0)</f>
        <v>0.26027397260273971</v>
      </c>
      <c r="DE84" s="268">
        <f t="shared" si="46"/>
        <v>1107.788011851057</v>
      </c>
      <c r="DM84" s="526">
        <v>47036</v>
      </c>
      <c r="DN84" s="151" t="str">
        <f t="shared" si="41"/>
        <v>17.25Y</v>
      </c>
      <c r="DO84" s="386">
        <v>0.49411722054301971</v>
      </c>
      <c r="DP84" s="268">
        <f>IF(DM84,_xll.qDateYears(DM83,DM84,DP$13),0)</f>
        <v>0.2638888888888889</v>
      </c>
      <c r="DQ84" s="268">
        <f t="shared" si="47"/>
        <v>1330.4782237025247</v>
      </c>
    </row>
    <row r="85" spans="59:121">
      <c r="BG85" s="526">
        <v>47126</v>
      </c>
      <c r="BH85" s="150" t="str">
        <f t="shared" si="36"/>
        <v>17.5Y</v>
      </c>
      <c r="BI85" s="386">
        <v>0.48831713693896445</v>
      </c>
      <c r="BJ85" s="268">
        <f>IF(BG85,_xll.qDateYears(BG84,BG85,$BJ$13),0)</f>
        <v>0.25</v>
      </c>
      <c r="BK85" s="268">
        <f t="shared" si="42"/>
        <v>1342.6861521259989</v>
      </c>
      <c r="BQ85" s="526">
        <v>47126</v>
      </c>
      <c r="BR85" s="151" t="str">
        <f t="shared" si="37"/>
        <v>17.5Y</v>
      </c>
      <c r="BS85" s="386">
        <v>0.34957436007498854</v>
      </c>
      <c r="BT85" s="268">
        <f>IF(BQ85,_xll.qDateYears(BQ84,BQ85,BT$13),0)</f>
        <v>0.24657534246575341</v>
      </c>
      <c r="BU85" s="268">
        <f t="shared" si="43"/>
        <v>1084.898035597934</v>
      </c>
      <c r="CC85" s="526">
        <v>47126</v>
      </c>
      <c r="CD85" s="151" t="str">
        <f t="shared" si="38"/>
        <v>17.5Y</v>
      </c>
      <c r="CE85" s="386">
        <v>0.51747659678301483</v>
      </c>
      <c r="CF85" s="268">
        <f>IF(CC85,_xll.qDateYears(CC84,CC85,CF$13),0)</f>
        <v>0.25</v>
      </c>
      <c r="CG85" s="268">
        <f t="shared" si="44"/>
        <v>1351.9423861955649</v>
      </c>
      <c r="CO85" s="526">
        <v>47126</v>
      </c>
      <c r="CP85" s="151" t="str">
        <f t="shared" si="39"/>
        <v>17.5Y</v>
      </c>
      <c r="CQ85" s="386">
        <v>0.49559110879298329</v>
      </c>
      <c r="CR85" s="268">
        <f>IF(CO85,_xll.qDateYears(CO84,CO85,CR$13),0)</f>
        <v>0.24657534246575341</v>
      </c>
      <c r="CS85" s="268">
        <f t="shared" si="45"/>
        <v>1318.3262945844431</v>
      </c>
      <c r="DA85" s="526">
        <v>47126</v>
      </c>
      <c r="DB85" s="151" t="str">
        <f t="shared" si="40"/>
        <v>17.5Y</v>
      </c>
      <c r="DC85" s="386">
        <v>0.35169974616942068</v>
      </c>
      <c r="DD85" s="268">
        <f>IF(DA85,_xll.qDateYears(DA84,DA85,DD$13),0)</f>
        <v>0.24657534246575341</v>
      </c>
      <c r="DE85" s="268">
        <f t="shared" si="46"/>
        <v>1116.4600603867414</v>
      </c>
      <c r="DM85" s="526">
        <v>47126</v>
      </c>
      <c r="DN85" s="151" t="str">
        <f t="shared" si="41"/>
        <v>17.5Y</v>
      </c>
      <c r="DO85" s="386">
        <v>0.48831713693896445</v>
      </c>
      <c r="DP85" s="268">
        <f>IF(DM85,_xll.qDateYears(DM84,DM85,DP$13),0)</f>
        <v>0.25</v>
      </c>
      <c r="DQ85" s="268">
        <f t="shared" si="47"/>
        <v>1342.6861521259989</v>
      </c>
    </row>
    <row r="86" spans="59:121">
      <c r="BG86" s="526">
        <v>47217</v>
      </c>
      <c r="BH86" s="150" t="str">
        <f t="shared" si="36"/>
        <v>17.75Y</v>
      </c>
      <c r="BI86" s="386">
        <v>0.48249772268578162</v>
      </c>
      <c r="BJ86" s="268">
        <f>IF(BG86,_xll.qDateYears(BG85,BG86,$BJ$13),0)</f>
        <v>0.25277777777777777</v>
      </c>
      <c r="BK86" s="268">
        <f t="shared" si="42"/>
        <v>1354.8826223383339</v>
      </c>
      <c r="BQ86" s="526">
        <v>47217</v>
      </c>
      <c r="BR86" s="151" t="str">
        <f t="shared" si="37"/>
        <v>17.75Y</v>
      </c>
      <c r="BS86" s="386">
        <v>0.3449492829809882</v>
      </c>
      <c r="BT86" s="268">
        <f>IF(BQ86,_xll.qDateYears(BQ85,BQ86,BT$13),0)</f>
        <v>0.24931506849315069</v>
      </c>
      <c r="BU86" s="268">
        <f t="shared" si="43"/>
        <v>1093.498141009241</v>
      </c>
      <c r="CC86" s="526">
        <v>47217</v>
      </c>
      <c r="CD86" s="151" t="str">
        <f t="shared" si="38"/>
        <v>17.75Y</v>
      </c>
      <c r="CE86" s="386">
        <v>0.51180532653118482</v>
      </c>
      <c r="CF86" s="268">
        <f>IF(CC86,_xll.qDateYears(CC85,CC86,CF$13),0)</f>
        <v>0.25277777777777777</v>
      </c>
      <c r="CG86" s="268">
        <f t="shared" si="44"/>
        <v>1364.8796875051032</v>
      </c>
      <c r="CO86" s="526">
        <v>47217</v>
      </c>
      <c r="CP86" s="151" t="str">
        <f t="shared" si="39"/>
        <v>17.75Y</v>
      </c>
      <c r="CQ86" s="386">
        <v>0.49010079900657744</v>
      </c>
      <c r="CR86" s="268">
        <f>IF(CO86,_xll.qDateYears(CO85,CO86,CR$13),0)</f>
        <v>0.24931506849315069</v>
      </c>
      <c r="CS86" s="268">
        <f t="shared" si="45"/>
        <v>1330.5452460117303</v>
      </c>
      <c r="DA86" s="526">
        <v>47217</v>
      </c>
      <c r="DB86" s="151" t="str">
        <f t="shared" si="40"/>
        <v>17.75Y</v>
      </c>
      <c r="DC86" s="386">
        <v>0.34644301175298703</v>
      </c>
      <c r="DD86" s="268">
        <f>IF(DA86,_xll.qDateYears(DA85,DA86,DD$13),0)</f>
        <v>0.24931506849315069</v>
      </c>
      <c r="DE86" s="268">
        <f t="shared" si="46"/>
        <v>1125.0974067071584</v>
      </c>
      <c r="DM86" s="526">
        <v>47217</v>
      </c>
      <c r="DN86" s="151" t="str">
        <f t="shared" si="41"/>
        <v>17.75Y</v>
      </c>
      <c r="DO86" s="386">
        <v>0.48249772268578162</v>
      </c>
      <c r="DP86" s="268">
        <f>IF(DM86,_xll.qDateYears(DM85,DM86,DP$13),0)</f>
        <v>0.25277777777777777</v>
      </c>
      <c r="DQ86" s="268">
        <f t="shared" si="47"/>
        <v>1354.8826223383339</v>
      </c>
    </row>
    <row r="87" spans="59:121">
      <c r="BG87" s="526">
        <v>47308</v>
      </c>
      <c r="BH87" s="150" t="str">
        <f t="shared" si="36"/>
        <v>18Y</v>
      </c>
      <c r="BI87" s="386">
        <v>0.47672371365772798</v>
      </c>
      <c r="BJ87" s="268">
        <f>IF(BG87,_xll.qDateYears(BG86,BG87,$BJ$13),0)</f>
        <v>0.25277777777777777</v>
      </c>
      <c r="BK87" s="268">
        <f t="shared" si="42"/>
        <v>1366.933138433571</v>
      </c>
      <c r="BQ87" s="526">
        <v>47308</v>
      </c>
      <c r="BR87" s="151" t="str">
        <f t="shared" si="37"/>
        <v>18Y</v>
      </c>
      <c r="BS87" s="386">
        <v>0.34040100016231423</v>
      </c>
      <c r="BT87" s="268">
        <f>IF(BQ87,_xll.qDateYears(BQ86,BQ87,BT$13),0)</f>
        <v>0.24931506849315069</v>
      </c>
      <c r="BU87" s="268">
        <f t="shared" si="43"/>
        <v>1101.9848508763014</v>
      </c>
      <c r="CC87" s="526">
        <v>47308</v>
      </c>
      <c r="CD87" s="151" t="str">
        <f t="shared" si="38"/>
        <v>18Y</v>
      </c>
      <c r="CE87" s="386">
        <v>0.50617282360410731</v>
      </c>
      <c r="CF87" s="268">
        <f>IF(CC87,_xll.qDateYears(CC86,CC87,CF$13),0)</f>
        <v>0.25277777777777777</v>
      </c>
      <c r="CG87" s="268">
        <f t="shared" si="44"/>
        <v>1377.6746116573181</v>
      </c>
      <c r="CO87" s="526">
        <v>47308</v>
      </c>
      <c r="CP87" s="151" t="str">
        <f t="shared" si="39"/>
        <v>18Y</v>
      </c>
      <c r="CQ87" s="386">
        <v>0.48465563471133588</v>
      </c>
      <c r="CR87" s="268">
        <f>IF(CO87,_xll.qDateYears(CO86,CO87,CR$13),0)</f>
        <v>0.24931506849315069</v>
      </c>
      <c r="CS87" s="268">
        <f t="shared" si="45"/>
        <v>1342.6284412880952</v>
      </c>
      <c r="DA87" s="526">
        <v>47308</v>
      </c>
      <c r="DB87" s="151" t="str">
        <f t="shared" si="40"/>
        <v>18Y</v>
      </c>
      <c r="DC87" s="386">
        <v>0.34126298864330445</v>
      </c>
      <c r="DD87" s="268">
        <f>IF(DA87,_xll.qDateYears(DA86,DA87,DD$13),0)</f>
        <v>0.24931506849315069</v>
      </c>
      <c r="DE87" s="268">
        <f t="shared" si="46"/>
        <v>1133.6056072459367</v>
      </c>
      <c r="DM87" s="526">
        <v>47308</v>
      </c>
      <c r="DN87" s="151" t="str">
        <f t="shared" si="41"/>
        <v>18Y</v>
      </c>
      <c r="DO87" s="386">
        <v>0.47672371365772798</v>
      </c>
      <c r="DP87" s="268">
        <f>IF(DM87,_xll.qDateYears(DM86,DM87,DP$13),0)</f>
        <v>0.25277777777777777</v>
      </c>
      <c r="DQ87" s="268">
        <f t="shared" si="47"/>
        <v>1366.933138433571</v>
      </c>
    </row>
    <row r="88" spans="59:121">
      <c r="BG88" s="526">
        <v>47400</v>
      </c>
      <c r="BH88" s="150" t="str">
        <f t="shared" si="36"/>
        <v>18.25Y</v>
      </c>
      <c r="BI88" s="386">
        <v>0.47093244514823518</v>
      </c>
      <c r="BJ88" s="268">
        <f>IF(BG88,_xll.qDateYears(BG87,BG88,$BJ$13),0)</f>
        <v>0.25555555555555554</v>
      </c>
      <c r="BK88" s="268">
        <f t="shared" si="42"/>
        <v>1378.9680786984704</v>
      </c>
      <c r="BQ88" s="526">
        <v>47400</v>
      </c>
      <c r="BR88" s="151" t="str">
        <f t="shared" si="37"/>
        <v>18.25Y</v>
      </c>
      <c r="BS88" s="386">
        <v>0.33587934591383317</v>
      </c>
      <c r="BT88" s="268">
        <f>IF(BQ88,_xll.qDateYears(BQ87,BQ88,BT$13),0)</f>
        <v>0.25205479452054796</v>
      </c>
      <c r="BU88" s="268">
        <f t="shared" si="43"/>
        <v>1110.4508508281021</v>
      </c>
      <c r="CC88" s="526">
        <v>47400</v>
      </c>
      <c r="CD88" s="151" t="str">
        <f t="shared" si="38"/>
        <v>18.25Y</v>
      </c>
      <c r="CE88" s="386">
        <v>0.50051792731278699</v>
      </c>
      <c r="CF88" s="268">
        <f>IF(CC88,_xll.qDateYears(CC87,CC88,CF$13),0)</f>
        <v>0.25555555555555554</v>
      </c>
      <c r="CG88" s="268">
        <f t="shared" si="44"/>
        <v>1390.4656253553117</v>
      </c>
      <c r="CO88" s="526">
        <v>47400</v>
      </c>
      <c r="CP88" s="151" t="str">
        <f t="shared" si="39"/>
        <v>18.25Y</v>
      </c>
      <c r="CQ88" s="386">
        <v>0.47919637186773706</v>
      </c>
      <c r="CR88" s="268">
        <f>IF(CO88,_xll.qDateYears(CO87,CO88,CR$13),0)</f>
        <v>0.25205479452054796</v>
      </c>
      <c r="CS88" s="268">
        <f t="shared" si="45"/>
        <v>1354.7068155927068</v>
      </c>
      <c r="DA88" s="526">
        <v>47400</v>
      </c>
      <c r="DB88" s="151" t="str">
        <f t="shared" si="40"/>
        <v>18.25Y</v>
      </c>
      <c r="DC88" s="386">
        <v>0.33610290958494926</v>
      </c>
      <c r="DD88" s="268">
        <f>IF(DA88,_xll.qDateYears(DA87,DA88,DD$13),0)</f>
        <v>0.25205479452054796</v>
      </c>
      <c r="DE88" s="268">
        <f t="shared" si="46"/>
        <v>1142.077242227256</v>
      </c>
      <c r="DM88" s="526">
        <v>47400</v>
      </c>
      <c r="DN88" s="151" t="str">
        <f t="shared" si="41"/>
        <v>18.25Y</v>
      </c>
      <c r="DO88" s="386">
        <v>0.47093244514823518</v>
      </c>
      <c r="DP88" s="268">
        <f>IF(DM88,_xll.qDateYears(DM87,DM88,DP$13),0)</f>
        <v>0.25555555555555554</v>
      </c>
      <c r="DQ88" s="268">
        <f t="shared" si="47"/>
        <v>1378.9680786984704</v>
      </c>
    </row>
    <row r="89" spans="59:121">
      <c r="BG89" s="526">
        <v>47490</v>
      </c>
      <c r="BH89" s="150" t="str">
        <f t="shared" si="36"/>
        <v>18.5Y</v>
      </c>
      <c r="BI89" s="386">
        <v>0.46531204039909346</v>
      </c>
      <c r="BJ89" s="268">
        <f>IF(BG89,_xll.qDateYears(BG88,BG89,$BJ$13),0)</f>
        <v>0.25</v>
      </c>
      <c r="BK89" s="268">
        <f t="shared" si="42"/>
        <v>1390.6008797084478</v>
      </c>
      <c r="BQ89" s="526">
        <v>47490</v>
      </c>
      <c r="BR89" s="151" t="str">
        <f t="shared" si="37"/>
        <v>18.5Y</v>
      </c>
      <c r="BS89" s="386">
        <v>0.33152914148890678</v>
      </c>
      <c r="BT89" s="268">
        <f>IF(BQ89,_xll.qDateYears(BQ88,BQ89,BT$13),0)</f>
        <v>0.24657534246575341</v>
      </c>
      <c r="BU89" s="268">
        <f t="shared" si="43"/>
        <v>1118.6255419881027</v>
      </c>
      <c r="CC89" s="526">
        <v>47490</v>
      </c>
      <c r="CD89" s="151" t="str">
        <f t="shared" si="38"/>
        <v>18.5Y</v>
      </c>
      <c r="CE89" s="386">
        <v>0.4950244803039906</v>
      </c>
      <c r="CF89" s="268">
        <f>IF(CC89,_xll.qDateYears(CC88,CC89,CF$13),0)</f>
        <v>0.25</v>
      </c>
      <c r="CG89" s="268">
        <f t="shared" si="44"/>
        <v>1402.8412373629114</v>
      </c>
      <c r="CO89" s="526">
        <v>47490</v>
      </c>
      <c r="CP89" s="151" t="str">
        <f t="shared" si="39"/>
        <v>18.5Y</v>
      </c>
      <c r="CQ89" s="386">
        <v>0.47390013637471562</v>
      </c>
      <c r="CR89" s="268">
        <f>IF(CO89,_xll.qDateYears(CO88,CO89,CR$13),0)</f>
        <v>0.24657534246575341</v>
      </c>
      <c r="CS89" s="268">
        <f t="shared" si="45"/>
        <v>1366.392024434823</v>
      </c>
      <c r="DA89" s="526">
        <v>47490</v>
      </c>
      <c r="DB89" s="151" t="str">
        <f t="shared" si="40"/>
        <v>18.5Y</v>
      </c>
      <c r="DC89" s="386">
        <v>0.3311287275929769</v>
      </c>
      <c r="DD89" s="268">
        <f>IF(DA89,_xll.qDateYears(DA88,DA89,DD$13),0)</f>
        <v>0.24657534246575341</v>
      </c>
      <c r="DE89" s="268">
        <f t="shared" si="46"/>
        <v>1150.2420601679048</v>
      </c>
      <c r="DM89" s="526">
        <v>47490</v>
      </c>
      <c r="DN89" s="151" t="str">
        <f t="shared" si="41"/>
        <v>18.5Y</v>
      </c>
      <c r="DO89" s="386">
        <v>0.46531204039909346</v>
      </c>
      <c r="DP89" s="268">
        <f>IF(DM89,_xll.qDateYears(DM88,DM89,DP$13),0)</f>
        <v>0.25</v>
      </c>
      <c r="DQ89" s="268">
        <f t="shared" si="47"/>
        <v>1390.6008797084478</v>
      </c>
    </row>
    <row r="90" spans="59:121">
      <c r="BG90" s="526">
        <v>47581</v>
      </c>
      <c r="BH90" s="150" t="str">
        <f t="shared" si="36"/>
        <v>18.75Y</v>
      </c>
      <c r="BI90" s="386">
        <v>0.45967442269518871</v>
      </c>
      <c r="BJ90" s="268">
        <f>IF(BG90,_xll.qDateYears(BG89,BG90,$BJ$13),0)</f>
        <v>0.25277777777777777</v>
      </c>
      <c r="BK90" s="268">
        <f t="shared" si="42"/>
        <v>1402.220427615465</v>
      </c>
      <c r="BQ90" s="526">
        <v>47581</v>
      </c>
      <c r="BR90" s="151" t="str">
        <f t="shared" si="37"/>
        <v>18.75Y</v>
      </c>
      <c r="BS90" s="386">
        <v>0.32720279968699789</v>
      </c>
      <c r="BT90" s="268">
        <f>IF(BQ90,_xll.qDateYears(BQ89,BQ90,BT$13),0)</f>
        <v>0.24931506849315069</v>
      </c>
      <c r="BU90" s="268">
        <f t="shared" si="43"/>
        <v>1126.7832008296141</v>
      </c>
      <c r="CC90" s="526">
        <v>47581</v>
      </c>
      <c r="CD90" s="151" t="str">
        <f t="shared" si="38"/>
        <v>18.75Y</v>
      </c>
      <c r="CE90" s="386">
        <v>0.48950880429032245</v>
      </c>
      <c r="CF90" s="268">
        <f>IF(CC90,_xll.qDateYears(CC89,CC90,CF$13),0)</f>
        <v>0.25277777777777777</v>
      </c>
      <c r="CG90" s="268">
        <f t="shared" si="44"/>
        <v>1415.214932138028</v>
      </c>
      <c r="CO90" s="526">
        <v>47581</v>
      </c>
      <c r="CP90" s="151" t="str">
        <f t="shared" si="39"/>
        <v>18.75Y</v>
      </c>
      <c r="CQ90" s="386">
        <v>0.46858949258358751</v>
      </c>
      <c r="CR90" s="268">
        <f>IF(CO90,_xll.qDateYears(CO89,CO90,CR$13),0)</f>
        <v>0.24931506849315069</v>
      </c>
      <c r="CS90" s="268">
        <f t="shared" si="45"/>
        <v>1378.0746665786878</v>
      </c>
      <c r="DA90" s="526">
        <v>47581</v>
      </c>
      <c r="DB90" s="151" t="str">
        <f t="shared" si="40"/>
        <v>18.75Y</v>
      </c>
      <c r="DC90" s="386">
        <v>0.32617235279408485</v>
      </c>
      <c r="DD90" s="268">
        <f>IF(DA90,_xll.qDateYears(DA89,DA90,DD$13),0)</f>
        <v>0.24931506849315069</v>
      </c>
      <c r="DE90" s="268">
        <f t="shared" si="46"/>
        <v>1158.3740284156477</v>
      </c>
      <c r="DM90" s="526">
        <v>47581</v>
      </c>
      <c r="DN90" s="151" t="str">
        <f t="shared" si="41"/>
        <v>18.75Y</v>
      </c>
      <c r="DO90" s="386">
        <v>0.45967442269518871</v>
      </c>
      <c r="DP90" s="268">
        <f>IF(DM90,_xll.qDateYears(DM89,DM90,DP$13),0)</f>
        <v>0.25277777777777777</v>
      </c>
      <c r="DQ90" s="268">
        <f t="shared" si="47"/>
        <v>1402.220427615465</v>
      </c>
    </row>
    <row r="91" spans="59:121">
      <c r="BG91" s="526">
        <v>47672</v>
      </c>
      <c r="BH91" s="150" t="str">
        <f t="shared" si="36"/>
        <v>19Y</v>
      </c>
      <c r="BI91" s="386">
        <v>0.45408230343501904</v>
      </c>
      <c r="BJ91" s="268">
        <f>IF(BG91,_xll.qDateYears(BG90,BG91,$BJ$13),0)</f>
        <v>0.25277777777777777</v>
      </c>
      <c r="BK91" s="268">
        <f t="shared" si="42"/>
        <v>1413.6986191745168</v>
      </c>
      <c r="BQ91" s="526">
        <v>47672</v>
      </c>
      <c r="BR91" s="151" t="str">
        <f t="shared" si="37"/>
        <v>19Y</v>
      </c>
      <c r="BS91" s="386">
        <v>0.32294771900989067</v>
      </c>
      <c r="BT91" s="268">
        <f>IF(BQ91,_xll.qDateYears(BQ90,BQ91,BT$13),0)</f>
        <v>0.24931506849315069</v>
      </c>
      <c r="BU91" s="268">
        <f t="shared" si="43"/>
        <v>1134.8347740980798</v>
      </c>
      <c r="CC91" s="526">
        <v>47672</v>
      </c>
      <c r="CD91" s="151" t="str">
        <f t="shared" si="38"/>
        <v>19Y</v>
      </c>
      <c r="CE91" s="386">
        <v>0.48403222443168803</v>
      </c>
      <c r="CF91" s="268">
        <f>IF(CC91,_xll.qDateYears(CC90,CC91,CF$13),0)</f>
        <v>0.25277777777777777</v>
      </c>
      <c r="CG91" s="268">
        <f t="shared" si="44"/>
        <v>1427.4501911444956</v>
      </c>
      <c r="CO91" s="526">
        <v>47672</v>
      </c>
      <c r="CP91" s="151" t="str">
        <f t="shared" si="39"/>
        <v>19Y</v>
      </c>
      <c r="CQ91" s="386">
        <v>0.46332337488355918</v>
      </c>
      <c r="CR91" s="268">
        <f>IF(CO91,_xll.qDateYears(CO90,CO91,CR$13),0)</f>
        <v>0.24931506849315069</v>
      </c>
      <c r="CS91" s="268">
        <f t="shared" si="45"/>
        <v>1389.626016473045</v>
      </c>
      <c r="DA91" s="526">
        <v>47672</v>
      </c>
      <c r="DB91" s="151" t="str">
        <f t="shared" si="40"/>
        <v>19Y</v>
      </c>
      <c r="DC91" s="386">
        <v>0.32128841518326939</v>
      </c>
      <c r="DD91" s="268">
        <f>IF(DA91,_xll.qDateYears(DA90,DA91,DD$13),0)</f>
        <v>0.24931506849315069</v>
      </c>
      <c r="DE91" s="268">
        <f t="shared" si="46"/>
        <v>1166.384232739395</v>
      </c>
      <c r="DM91" s="526">
        <v>47672</v>
      </c>
      <c r="DN91" s="151" t="str">
        <f t="shared" si="41"/>
        <v>19Y</v>
      </c>
      <c r="DO91" s="386">
        <v>0.45408230343501904</v>
      </c>
      <c r="DP91" s="268">
        <f>IF(DM91,_xll.qDateYears(DM90,DM91,DP$13),0)</f>
        <v>0.25277777777777777</v>
      </c>
      <c r="DQ91" s="268">
        <f t="shared" si="47"/>
        <v>1413.6986191745168</v>
      </c>
    </row>
    <row r="92" spans="59:121">
      <c r="BG92" s="526">
        <v>47764</v>
      </c>
      <c r="BH92" s="150" t="str">
        <f t="shared" si="36"/>
        <v>19.25Y</v>
      </c>
      <c r="BI92" s="386">
        <v>0.44847498917636669</v>
      </c>
      <c r="BJ92" s="268">
        <f>IF(BG92,_xll.qDateYears(BG91,BG92,$BJ$13),0)</f>
        <v>0.25555555555555554</v>
      </c>
      <c r="BK92" s="268">
        <f t="shared" si="42"/>
        <v>1425.1596466756905</v>
      </c>
      <c r="BQ92" s="526">
        <v>47764</v>
      </c>
      <c r="BR92" s="151" t="str">
        <f t="shared" si="37"/>
        <v>19.25Y</v>
      </c>
      <c r="BS92" s="386">
        <v>0.31871697892283124</v>
      </c>
      <c r="BT92" s="268">
        <f>IF(BQ92,_xll.qDateYears(BQ91,BQ92,BT$13),0)</f>
        <v>0.25205479452054796</v>
      </c>
      <c r="BU92" s="268">
        <f t="shared" si="43"/>
        <v>1142.8681883613403</v>
      </c>
      <c r="CC92" s="526">
        <v>47764</v>
      </c>
      <c r="CD92" s="151" t="str">
        <f t="shared" si="38"/>
        <v>19.25Y</v>
      </c>
      <c r="CE92" s="386">
        <v>0.4785352731666293</v>
      </c>
      <c r="CF92" s="268">
        <f>IF(CC92,_xll.qDateYears(CC91,CC92,CF$13),0)</f>
        <v>0.25555555555555554</v>
      </c>
      <c r="CG92" s="268">
        <f t="shared" si="44"/>
        <v>1439.6794259031983</v>
      </c>
      <c r="CO92" s="526">
        <v>47764</v>
      </c>
      <c r="CP92" s="151" t="str">
        <f t="shared" si="39"/>
        <v>19.25Y</v>
      </c>
      <c r="CQ92" s="386">
        <v>0.45804448591712149</v>
      </c>
      <c r="CR92" s="268">
        <f>IF(CO92,_xll.qDateYears(CO91,CO92,CR$13),0)</f>
        <v>0.25205479452054796</v>
      </c>
      <c r="CS92" s="268">
        <f t="shared" si="45"/>
        <v>1401.171247350956</v>
      </c>
      <c r="DA92" s="526">
        <v>47764</v>
      </c>
      <c r="DB92" s="151" t="str">
        <f t="shared" si="40"/>
        <v>19.25Y</v>
      </c>
      <c r="DC92" s="386">
        <v>0.31642339082558374</v>
      </c>
      <c r="DD92" s="268">
        <f>IF(DA92,_xll.qDateYears(DA91,DA92,DD$13),0)</f>
        <v>0.25205479452054796</v>
      </c>
      <c r="DE92" s="268">
        <f t="shared" si="46"/>
        <v>1174.3598360149988</v>
      </c>
      <c r="DM92" s="526">
        <v>47764</v>
      </c>
      <c r="DN92" s="151" t="str">
        <f t="shared" si="41"/>
        <v>19.25Y</v>
      </c>
      <c r="DO92" s="386">
        <v>0.44847498917636669</v>
      </c>
      <c r="DP92" s="268">
        <f>IF(DM92,_xll.qDateYears(DM91,DM92,DP$13),0)</f>
        <v>0.25555555555555554</v>
      </c>
      <c r="DQ92" s="268">
        <f t="shared" si="47"/>
        <v>1425.1596466756905</v>
      </c>
    </row>
    <row r="93" spans="59:121">
      <c r="BG93" s="526">
        <v>47855</v>
      </c>
      <c r="BH93" s="150" t="str">
        <f t="shared" si="36"/>
        <v>19.5Y</v>
      </c>
      <c r="BI93" s="386">
        <v>0.44297437669432693</v>
      </c>
      <c r="BJ93" s="268">
        <f>IF(BG93,_xll.qDateYears(BG92,BG93,$BJ$13),0)</f>
        <v>0.25277777777777777</v>
      </c>
      <c r="BK93" s="268">
        <f t="shared" si="42"/>
        <v>1436.3570545310192</v>
      </c>
      <c r="BQ93" s="526">
        <v>47855</v>
      </c>
      <c r="BR93" s="151" t="str">
        <f t="shared" si="37"/>
        <v>19.5Y</v>
      </c>
      <c r="BS93" s="386">
        <v>0.31460125317055482</v>
      </c>
      <c r="BT93" s="268">
        <f>IF(BQ93,_xll.qDateYears(BQ92,BQ93,BT$13),0)</f>
        <v>0.24931506849315069</v>
      </c>
      <c r="BU93" s="268">
        <f t="shared" si="43"/>
        <v>1150.7116716595651</v>
      </c>
      <c r="CC93" s="526">
        <v>47855</v>
      </c>
      <c r="CD93" s="151" t="str">
        <f t="shared" si="38"/>
        <v>19.5Y</v>
      </c>
      <c r="CE93" s="386">
        <v>0.4731375102890365</v>
      </c>
      <c r="CF93" s="268">
        <f>IF(CC93,_xll.qDateYears(CC92,CC93,CF$13),0)</f>
        <v>0.25277777777777777</v>
      </c>
      <c r="CG93" s="268">
        <f t="shared" si="44"/>
        <v>1451.6392907466156</v>
      </c>
      <c r="CO93" s="526">
        <v>47855</v>
      </c>
      <c r="CP93" s="151" t="str">
        <f t="shared" si="39"/>
        <v>19.5Y</v>
      </c>
      <c r="CQ93" s="386">
        <v>0.4528674188546043</v>
      </c>
      <c r="CR93" s="268">
        <f>IF(CO93,_xll.qDateYears(CO92,CO93,CR$13),0)</f>
        <v>0.24931506849315069</v>
      </c>
      <c r="CS93" s="268">
        <f t="shared" si="45"/>
        <v>1412.4619145059612</v>
      </c>
      <c r="DA93" s="526">
        <v>47855</v>
      </c>
      <c r="DB93" s="151" t="str">
        <f t="shared" si="40"/>
        <v>19.5Y</v>
      </c>
      <c r="DC93" s="386">
        <v>0.31168201434206705</v>
      </c>
      <c r="DD93" s="268">
        <f>IF(DA93,_xll.qDateYears(DA92,DA93,DD$13),0)</f>
        <v>0.24931506849315069</v>
      </c>
      <c r="DE93" s="268">
        <f t="shared" si="46"/>
        <v>1182.1305382903763</v>
      </c>
      <c r="DM93" s="526">
        <v>47855</v>
      </c>
      <c r="DN93" s="151" t="str">
        <f t="shared" si="41"/>
        <v>19.5Y</v>
      </c>
      <c r="DO93" s="386">
        <v>0.44297437669432693</v>
      </c>
      <c r="DP93" s="268">
        <f>IF(DM93,_xll.qDateYears(DM92,DM93,DP$13),0)</f>
        <v>0.25277777777777777</v>
      </c>
      <c r="DQ93" s="268">
        <f t="shared" si="47"/>
        <v>1436.3570545310192</v>
      </c>
    </row>
    <row r="94" spans="59:121">
      <c r="BG94" s="526">
        <v>47945</v>
      </c>
      <c r="BH94" s="150" t="str">
        <f t="shared" si="36"/>
        <v>19.75Y</v>
      </c>
      <c r="BI94" s="386">
        <v>0.43757895785831852</v>
      </c>
      <c r="BJ94" s="268">
        <f>IF(BG94,_xll.qDateYears(BG93,BG94,$BJ$13),0)</f>
        <v>0.25</v>
      </c>
      <c r="BK94" s="268">
        <f t="shared" si="42"/>
        <v>1447.2965284774773</v>
      </c>
      <c r="BQ94" s="526">
        <v>47945</v>
      </c>
      <c r="BR94" s="151" t="str">
        <f t="shared" si="37"/>
        <v>19.75Y</v>
      </c>
      <c r="BS94" s="386">
        <v>0.31059703820755774</v>
      </c>
      <c r="BT94" s="268">
        <f>IF(BQ94,_xll.qDateYears(BQ93,BQ94,BT$13),0)</f>
        <v>0.24657534246575341</v>
      </c>
      <c r="BU94" s="268">
        <f t="shared" si="43"/>
        <v>1158.3702287660528</v>
      </c>
      <c r="CC94" s="526">
        <v>47945</v>
      </c>
      <c r="CD94" s="151" t="str">
        <f t="shared" si="38"/>
        <v>19.75Y</v>
      </c>
      <c r="CE94" s="386">
        <v>0.46783769602041958</v>
      </c>
      <c r="CF94" s="268">
        <f>IF(CC94,_xll.qDateYears(CC93,CC94,CF$13),0)</f>
        <v>0.25</v>
      </c>
      <c r="CG94" s="268">
        <f t="shared" si="44"/>
        <v>1463.335233147126</v>
      </c>
      <c r="CO94" s="526">
        <v>47945</v>
      </c>
      <c r="CP94" s="151" t="str">
        <f t="shared" si="39"/>
        <v>19.75Y</v>
      </c>
      <c r="CQ94" s="386">
        <v>0.44779055307831761</v>
      </c>
      <c r="CR94" s="268">
        <f>IF(CO94,_xll.qDateYears(CO93,CO94,CR$13),0)</f>
        <v>0.24657534246575341</v>
      </c>
      <c r="CS94" s="268">
        <f t="shared" si="45"/>
        <v>1423.5033254037828</v>
      </c>
      <c r="DA94" s="526">
        <v>47945</v>
      </c>
      <c r="DB94" s="151" t="str">
        <f t="shared" si="40"/>
        <v>19.75Y</v>
      </c>
      <c r="DC94" s="386">
        <v>0.30706097863613363</v>
      </c>
      <c r="DD94" s="268">
        <f>IF(DA94,_xll.qDateYears(DA93,DA94,DD$13),0)</f>
        <v>0.24657534246575341</v>
      </c>
      <c r="DE94" s="268">
        <f t="shared" si="46"/>
        <v>1189.7019048868838</v>
      </c>
      <c r="DM94" s="526">
        <v>47945</v>
      </c>
      <c r="DN94" s="151" t="str">
        <f t="shared" si="41"/>
        <v>19.75Y</v>
      </c>
      <c r="DO94" s="386">
        <v>0.43757895785831852</v>
      </c>
      <c r="DP94" s="268">
        <f>IF(DM94,_xll.qDateYears(DM93,DM94,DP$13),0)</f>
        <v>0.25</v>
      </c>
      <c r="DQ94" s="268">
        <f t="shared" si="47"/>
        <v>1447.2965284774773</v>
      </c>
    </row>
    <row r="95" spans="59:121">
      <c r="BG95" s="526">
        <v>48036</v>
      </c>
      <c r="BH95" s="150" t="str">
        <f t="shared" si="36"/>
        <v>20Y</v>
      </c>
      <c r="BI95" s="386">
        <v>0.43216881969062321</v>
      </c>
      <c r="BJ95" s="268">
        <f>IF(BG95,_xll.qDateYears(BG94,BG95,$BJ$13),0)</f>
        <v>0.25277777777777777</v>
      </c>
      <c r="BK95" s="268">
        <f t="shared" si="42"/>
        <v>1458.2207958641013</v>
      </c>
      <c r="BQ95" s="526">
        <v>48036</v>
      </c>
      <c r="BR95" s="151" t="str">
        <f t="shared" si="37"/>
        <v>20Y</v>
      </c>
      <c r="BS95" s="386">
        <v>0.30661412717451098</v>
      </c>
      <c r="BT95" s="268">
        <f>IF(BQ95,_xll.qDateYears(BQ94,BQ95,BT$13),0)</f>
        <v>0.24931506849315069</v>
      </c>
      <c r="BU95" s="268">
        <f t="shared" si="43"/>
        <v>1166.014580977801</v>
      </c>
      <c r="CC95" s="526">
        <v>48036</v>
      </c>
      <c r="CD95" s="151" t="str">
        <f t="shared" si="38"/>
        <v>20Y</v>
      </c>
      <c r="CE95" s="386">
        <v>0.46251810441144192</v>
      </c>
      <c r="CF95" s="268">
        <f>IF(CC95,_xll.qDateYears(CC94,CC95,CF$13),0)</f>
        <v>0.25277777777777777</v>
      </c>
      <c r="CG95" s="268">
        <f t="shared" si="44"/>
        <v>1475.0266630086376</v>
      </c>
      <c r="CO95" s="526">
        <v>48036</v>
      </c>
      <c r="CP95" s="151" t="str">
        <f t="shared" si="39"/>
        <v>20Y</v>
      </c>
      <c r="CQ95" s="386">
        <v>0.44270090229961651</v>
      </c>
      <c r="CR95" s="268">
        <f>IF(CO95,_xll.qDateYears(CO94,CO95,CR$13),0)</f>
        <v>0.24931506849315069</v>
      </c>
      <c r="CS95" s="268">
        <f t="shared" si="45"/>
        <v>1434.5405259816637</v>
      </c>
      <c r="DA95" s="526">
        <v>48036</v>
      </c>
      <c r="DB95" s="151" t="str">
        <f t="shared" si="40"/>
        <v>20Y</v>
      </c>
      <c r="DC95" s="386">
        <v>0.30245661363831344</v>
      </c>
      <c r="DD95" s="268">
        <f>IF(DA95,_xll.qDateYears(DA94,DA95,DD$13),0)</f>
        <v>0.24931506849315069</v>
      </c>
      <c r="DE95" s="268">
        <f t="shared" si="46"/>
        <v>1197.242604021428</v>
      </c>
      <c r="DM95" s="526">
        <v>48036</v>
      </c>
      <c r="DN95" s="151" t="str">
        <f t="shared" si="41"/>
        <v>20Y</v>
      </c>
      <c r="DO95" s="386">
        <v>0.43216881969062321</v>
      </c>
      <c r="DP95" s="268">
        <f>IF(DM95,_xll.qDateYears(DM94,DM95,DP$13),0)</f>
        <v>0.25277777777777777</v>
      </c>
      <c r="DQ95" s="268">
        <f t="shared" si="47"/>
        <v>1458.2207958641013</v>
      </c>
    </row>
    <row r="96" spans="59:121">
      <c r="BG96" s="526">
        <v>48128</v>
      </c>
      <c r="BH96" s="150" t="str">
        <f t="shared" si="36"/>
        <v>20.25Y</v>
      </c>
      <c r="BI96" s="386">
        <v>0.42721616717260474</v>
      </c>
      <c r="BJ96" s="268">
        <f>IF(BG96,_xll.qDateYears(BG95,BG96,$BJ$13),0)</f>
        <v>0.25555555555555554</v>
      </c>
      <c r="BK96" s="268">
        <f t="shared" si="42"/>
        <v>1469.1385423585123</v>
      </c>
      <c r="BQ96" s="526">
        <v>48128</v>
      </c>
      <c r="BR96" s="151" t="str">
        <f t="shared" si="37"/>
        <v>20.25Y</v>
      </c>
      <c r="BS96" s="386">
        <v>0.3031444740057308</v>
      </c>
      <c r="BT96" s="268">
        <f>IF(BQ96,_xll.qDateYears(BQ95,BQ96,BT$13),0)</f>
        <v>0.25205479452054796</v>
      </c>
      <c r="BU96" s="268">
        <f t="shared" si="43"/>
        <v>1173.6554827883563</v>
      </c>
      <c r="CC96" s="526">
        <v>48128</v>
      </c>
      <c r="CD96" s="151" t="str">
        <f t="shared" si="38"/>
        <v>20.25Y</v>
      </c>
      <c r="CE96" s="386">
        <v>0.45804458619122468</v>
      </c>
      <c r="CF96" s="268">
        <f>IF(CC96,_xll.qDateYears(CC95,CC96,CF$13),0)</f>
        <v>0.25555555555555554</v>
      </c>
      <c r="CG96" s="268">
        <f t="shared" si="44"/>
        <v>1486.7322468779689</v>
      </c>
      <c r="CO96" s="526">
        <v>48128</v>
      </c>
      <c r="CP96" s="151" t="str">
        <f t="shared" si="39"/>
        <v>20.25Y</v>
      </c>
      <c r="CQ96" s="386">
        <v>0.43786994489697023</v>
      </c>
      <c r="CR96" s="268">
        <f>IF(CO96,_xll.qDateYears(CO95,CO96,CR$13),0)</f>
        <v>0.25205479452054796</v>
      </c>
      <c r="CS96" s="268">
        <f t="shared" si="45"/>
        <v>1445.5772478804365</v>
      </c>
      <c r="DA96" s="526">
        <v>48128</v>
      </c>
      <c r="DB96" s="151" t="str">
        <f t="shared" si="40"/>
        <v>20.25Y</v>
      </c>
      <c r="DC96" s="386">
        <v>0.29793689509666543</v>
      </c>
      <c r="DD96" s="268">
        <f>IF(DA96,_xll.qDateYears(DA95,DA96,DD$13),0)</f>
        <v>0.25205479452054796</v>
      </c>
      <c r="DE96" s="268">
        <f t="shared" si="46"/>
        <v>1204.752246308796</v>
      </c>
      <c r="DM96" s="526">
        <v>48128</v>
      </c>
      <c r="DN96" s="151" t="str">
        <f t="shared" si="41"/>
        <v>20.25Y</v>
      </c>
      <c r="DO96" s="386">
        <v>0.42721616717260474</v>
      </c>
      <c r="DP96" s="268">
        <f>IF(DM96,_xll.qDateYears(DM95,DM96,DP$13),0)</f>
        <v>0.25555555555555554</v>
      </c>
      <c r="DQ96" s="268">
        <f t="shared" si="47"/>
        <v>1469.1385423585123</v>
      </c>
    </row>
    <row r="97" spans="59:121">
      <c r="BG97" s="526">
        <v>48220</v>
      </c>
      <c r="BH97" s="150" t="str">
        <f t="shared" si="36"/>
        <v>20.5Y</v>
      </c>
      <c r="BI97" s="386">
        <v>0.42231015936435473</v>
      </c>
      <c r="BJ97" s="268">
        <f>IF(BG97,_xll.qDateYears(BG96,BG97,$BJ$13),0)</f>
        <v>0.25555555555555554</v>
      </c>
      <c r="BK97" s="268">
        <f t="shared" si="42"/>
        <v>1479.9309130978236</v>
      </c>
      <c r="BQ97" s="526">
        <v>48220</v>
      </c>
      <c r="BR97" s="151" t="str">
        <f t="shared" si="37"/>
        <v>20.5Y</v>
      </c>
      <c r="BS97" s="386">
        <v>0.29974024500383495</v>
      </c>
      <c r="BT97" s="268">
        <f>IF(BQ97,_xll.qDateYears(BQ96,BQ97,BT$13),0)</f>
        <v>0.25205479452054796</v>
      </c>
      <c r="BU97" s="268">
        <f t="shared" si="43"/>
        <v>1181.2105793747544</v>
      </c>
      <c r="CC97" s="526">
        <v>48220</v>
      </c>
      <c r="CD97" s="151" t="str">
        <f t="shared" si="38"/>
        <v>20.5Y</v>
      </c>
      <c r="CE97" s="386">
        <v>0.45361421339077079</v>
      </c>
      <c r="CF97" s="268">
        <f>IF(CC97,_xll.qDateYears(CC96,CC97,CF$13),0)</f>
        <v>0.25555555555555554</v>
      </c>
      <c r="CG97" s="268">
        <f t="shared" si="44"/>
        <v>1498.3246101090665</v>
      </c>
      <c r="CO97" s="526">
        <v>48220</v>
      </c>
      <c r="CP97" s="151" t="str">
        <f t="shared" si="39"/>
        <v>20.5Y</v>
      </c>
      <c r="CQ97" s="386">
        <v>0.43308403094948916</v>
      </c>
      <c r="CR97" s="268">
        <f>IF(CO97,_xll.qDateYears(CO96,CO97,CR$13),0)</f>
        <v>0.25205479452054796</v>
      </c>
      <c r="CS97" s="268">
        <f t="shared" si="45"/>
        <v>1456.493338523547</v>
      </c>
      <c r="DA97" s="526">
        <v>48220</v>
      </c>
      <c r="DB97" s="151" t="str">
        <f t="shared" si="40"/>
        <v>20.5Y</v>
      </c>
      <c r="DC97" s="386">
        <v>0.29348471634345186</v>
      </c>
      <c r="DD97" s="268">
        <f>IF(DA97,_xll.qDateYears(DA96,DA97,DD$13),0)</f>
        <v>0.25205479452054796</v>
      </c>
      <c r="DE97" s="268">
        <f t="shared" si="46"/>
        <v>1212.1496692960829</v>
      </c>
      <c r="DM97" s="526">
        <v>48220</v>
      </c>
      <c r="DN97" s="151" t="str">
        <f t="shared" si="41"/>
        <v>20.5Y</v>
      </c>
      <c r="DO97" s="386">
        <v>0.42231015936435473</v>
      </c>
      <c r="DP97" s="268">
        <f>IF(DM97,_xll.qDateYears(DM96,DM97,DP$13),0)</f>
        <v>0.25555555555555554</v>
      </c>
      <c r="DQ97" s="268">
        <f t="shared" si="47"/>
        <v>1479.9309130978236</v>
      </c>
    </row>
    <row r="98" spans="59:121">
      <c r="BG98" s="526">
        <v>48311</v>
      </c>
      <c r="BH98" s="150" t="str">
        <f t="shared" si="36"/>
        <v>20.75Y</v>
      </c>
      <c r="BI98" s="386">
        <v>0.41750306878897359</v>
      </c>
      <c r="BJ98" s="268">
        <f>IF(BG98,_xll.qDateYears(BG97,BG98,$BJ$13),0)</f>
        <v>0.25277777777777777</v>
      </c>
      <c r="BK98" s="268">
        <f t="shared" si="42"/>
        <v>1490.4844628922115</v>
      </c>
      <c r="BQ98" s="526">
        <v>48311</v>
      </c>
      <c r="BR98" s="151" t="str">
        <f t="shared" si="37"/>
        <v>20.75Y</v>
      </c>
      <c r="BS98" s="386">
        <v>0.2964360819895806</v>
      </c>
      <c r="BT98" s="268">
        <f>IF(BQ98,_xll.qDateYears(BQ97,BQ98,BT$13),0)</f>
        <v>0.24931506849315069</v>
      </c>
      <c r="BU98" s="268">
        <f t="shared" si="43"/>
        <v>1188.6011775832617</v>
      </c>
      <c r="CC98" s="526">
        <v>48311</v>
      </c>
      <c r="CD98" s="151" t="str">
        <f t="shared" si="38"/>
        <v>20.75Y</v>
      </c>
      <c r="CE98" s="386">
        <v>0.44927403460628063</v>
      </c>
      <c r="CF98" s="268">
        <f>IF(CC98,_xll.qDateYears(CC97,CC98,CF$13),0)</f>
        <v>0.25277777777777777</v>
      </c>
      <c r="CG98" s="268">
        <f t="shared" si="44"/>
        <v>1509.6812593171696</v>
      </c>
      <c r="CO98" s="526">
        <v>48311</v>
      </c>
      <c r="CP98" s="151" t="str">
        <f t="shared" si="39"/>
        <v>20.75Y</v>
      </c>
      <c r="CQ98" s="386">
        <v>0.42839413238099416</v>
      </c>
      <c r="CR98" s="268">
        <f>IF(CO98,_xll.qDateYears(CO97,CO98,CR$13),0)</f>
        <v>0.24931506849315069</v>
      </c>
      <c r="CS98" s="268">
        <f t="shared" si="45"/>
        <v>1467.1738497692102</v>
      </c>
      <c r="DA98" s="526">
        <v>48311</v>
      </c>
      <c r="DB98" s="151" t="str">
        <f t="shared" si="40"/>
        <v>20.75Y</v>
      </c>
      <c r="DC98" s="386">
        <v>0.28914638410510779</v>
      </c>
      <c r="DD98" s="268">
        <f>IF(DA98,_xll.qDateYears(DA97,DA98,DD$13),0)</f>
        <v>0.24931506849315069</v>
      </c>
      <c r="DE98" s="268">
        <f t="shared" si="46"/>
        <v>1219.3585243518542</v>
      </c>
      <c r="DM98" s="526">
        <v>48311</v>
      </c>
      <c r="DN98" s="151" t="str">
        <f t="shared" si="41"/>
        <v>20.75Y</v>
      </c>
      <c r="DO98" s="386">
        <v>0.41750306878897359</v>
      </c>
      <c r="DP98" s="268">
        <f>IF(DM98,_xll.qDateYears(DM97,DM98,DP$13),0)</f>
        <v>0.25277777777777777</v>
      </c>
      <c r="DQ98" s="268">
        <f t="shared" si="47"/>
        <v>1490.4844628922115</v>
      </c>
    </row>
    <row r="99" spans="59:121">
      <c r="BG99" s="526">
        <v>48402</v>
      </c>
      <c r="BH99" s="150" t="str">
        <f t="shared" si="36"/>
        <v>21Y</v>
      </c>
      <c r="BI99" s="386">
        <v>0.4127410270862607</v>
      </c>
      <c r="BJ99" s="268">
        <f>IF(BG99,_xll.qDateYears(BG98,BG99,$BJ$13),0)</f>
        <v>0.25277777777777777</v>
      </c>
      <c r="BK99" s="268">
        <f t="shared" si="42"/>
        <v>1500.9176388546698</v>
      </c>
      <c r="BQ99" s="526">
        <v>48402</v>
      </c>
      <c r="BR99" s="151" t="str">
        <f t="shared" si="37"/>
        <v>21Y</v>
      </c>
      <c r="BS99" s="386">
        <v>0.29319338219847579</v>
      </c>
      <c r="BT99" s="268">
        <f>IF(BQ99,_xll.qDateYears(BQ98,BQ99,BT$13),0)</f>
        <v>0.24931506849315069</v>
      </c>
      <c r="BU99" s="268">
        <f t="shared" si="43"/>
        <v>1195.9109303997168</v>
      </c>
      <c r="CC99" s="526">
        <v>48402</v>
      </c>
      <c r="CD99" s="151" t="str">
        <f t="shared" si="38"/>
        <v>21Y</v>
      </c>
      <c r="CE99" s="386">
        <v>0.44497526471355564</v>
      </c>
      <c r="CF99" s="268">
        <f>IF(CC99,_xll.qDateYears(CC98,CC99,CF$13),0)</f>
        <v>0.25277777777777777</v>
      </c>
      <c r="CG99" s="268">
        <f t="shared" si="44"/>
        <v>1520.9292451752067</v>
      </c>
      <c r="CO99" s="526">
        <v>48402</v>
      </c>
      <c r="CP99" s="151" t="str">
        <f t="shared" si="39"/>
        <v>21Y</v>
      </c>
      <c r="CQ99" s="386">
        <v>0.42374767485512793</v>
      </c>
      <c r="CR99" s="268">
        <f>IF(CO99,_xll.qDateYears(CO98,CO99,CR$13),0)</f>
        <v>0.24931506849315069</v>
      </c>
      <c r="CS99" s="268">
        <f t="shared" si="45"/>
        <v>1477.738517827242</v>
      </c>
      <c r="DA99" s="526">
        <v>48402</v>
      </c>
      <c r="DB99" s="151" t="str">
        <f t="shared" si="40"/>
        <v>21Y</v>
      </c>
      <c r="DC99" s="386">
        <v>0.28487218170236389</v>
      </c>
      <c r="DD99" s="268">
        <f>IF(DA99,_xll.qDateYears(DA98,DA99,DD$13),0)</f>
        <v>0.24931506849315069</v>
      </c>
      <c r="DE99" s="268">
        <f t="shared" si="46"/>
        <v>1226.4608171011459</v>
      </c>
      <c r="DM99" s="526">
        <v>48402</v>
      </c>
      <c r="DN99" s="151" t="str">
        <f t="shared" si="41"/>
        <v>21Y</v>
      </c>
      <c r="DO99" s="386">
        <v>0.4127410270862607</v>
      </c>
      <c r="DP99" s="268">
        <f>IF(DM99,_xll.qDateYears(DM98,DM99,DP$13),0)</f>
        <v>0.25277777777777777</v>
      </c>
      <c r="DQ99" s="268">
        <f t="shared" si="47"/>
        <v>1500.9176388546698</v>
      </c>
    </row>
    <row r="100" spans="59:121">
      <c r="BG100" s="526">
        <v>48494</v>
      </c>
      <c r="BH100" s="150" t="str">
        <f t="shared" si="36"/>
        <v>21.25Y</v>
      </c>
      <c r="BI100" s="386">
        <v>0.40797215168393575</v>
      </c>
      <c r="BJ100" s="268">
        <f>IF(BG100,_xll.qDateYears(BG99,BG100,$BJ$13),0)</f>
        <v>0.25555555555555554</v>
      </c>
      <c r="BK100" s="268">
        <f t="shared" si="42"/>
        <v>1511.3435938421483</v>
      </c>
      <c r="BQ100" s="526">
        <v>48494</v>
      </c>
      <c r="BR100" s="151" t="str">
        <f t="shared" si="37"/>
        <v>21.25Y</v>
      </c>
      <c r="BS100" s="386">
        <v>0.28997628207466847</v>
      </c>
      <c r="BT100" s="268">
        <f>IF(BQ100,_xll.qDateYears(BQ99,BQ100,BT$13),0)</f>
        <v>0.25205479452054796</v>
      </c>
      <c r="BU100" s="268">
        <f t="shared" si="43"/>
        <v>1203.2199216191332</v>
      </c>
      <c r="CC100" s="526">
        <v>48494</v>
      </c>
      <c r="CD100" s="151" t="str">
        <f t="shared" si="38"/>
        <v>21.25Y</v>
      </c>
      <c r="CE100" s="386">
        <v>0.44067094763017983</v>
      </c>
      <c r="CF100" s="268">
        <f>IF(CC100,_xll.qDateYears(CC99,CC100,CF$13),0)</f>
        <v>0.25555555555555554</v>
      </c>
      <c r="CG100" s="268">
        <f t="shared" si="44"/>
        <v>1532.190836059089</v>
      </c>
      <c r="CO100" s="526">
        <v>48494</v>
      </c>
      <c r="CP100" s="151" t="str">
        <f t="shared" si="39"/>
        <v>21.25Y</v>
      </c>
      <c r="CQ100" s="386">
        <v>0.41909399993800872</v>
      </c>
      <c r="CR100" s="268">
        <f>IF(CO100,_xll.qDateYears(CO99,CO100,CR$13),0)</f>
        <v>0.25205479452054796</v>
      </c>
      <c r="CS100" s="268">
        <f t="shared" si="45"/>
        <v>1488.3019830311589</v>
      </c>
      <c r="DA100" s="526">
        <v>48494</v>
      </c>
      <c r="DB100" s="151" t="str">
        <f t="shared" si="40"/>
        <v>21.25Y</v>
      </c>
      <c r="DC100" s="386">
        <v>0.28061523368541763</v>
      </c>
      <c r="DD100" s="268">
        <f>IF(DA100,_xll.qDateYears(DA99,DA100,DD$13),0)</f>
        <v>0.25205479452054796</v>
      </c>
      <c r="DE100" s="268">
        <f t="shared" si="46"/>
        <v>1233.5338586077373</v>
      </c>
      <c r="DM100" s="526">
        <v>48494</v>
      </c>
      <c r="DN100" s="151" t="str">
        <f t="shared" si="41"/>
        <v>21.25Y</v>
      </c>
      <c r="DO100" s="386">
        <v>0.40797215168393575</v>
      </c>
      <c r="DP100" s="268">
        <f>IF(DM100,_xll.qDateYears(DM99,DM100,DP$13),0)</f>
        <v>0.25555555555555554</v>
      </c>
      <c r="DQ100" s="268">
        <f t="shared" si="47"/>
        <v>1511.3435938421483</v>
      </c>
    </row>
    <row r="101" spans="59:121">
      <c r="BG101" s="526">
        <v>48586</v>
      </c>
      <c r="BH101" s="150" t="str">
        <f t="shared" si="36"/>
        <v>21.5Y</v>
      </c>
      <c r="BI101" s="386">
        <v>0.40324872108367854</v>
      </c>
      <c r="BJ101" s="268">
        <f>IF(BG101,_xll.qDateYears(BG100,BG101,$BJ$13),0)</f>
        <v>0.25555555555555554</v>
      </c>
      <c r="BK101" s="268">
        <f t="shared" si="42"/>
        <v>1521.648838936509</v>
      </c>
      <c r="BQ101" s="526">
        <v>48586</v>
      </c>
      <c r="BR101" s="151" t="str">
        <f t="shared" si="37"/>
        <v>21.5Y</v>
      </c>
      <c r="BS101" s="386">
        <v>0.28681952219123369</v>
      </c>
      <c r="BT101" s="268">
        <f>IF(BQ101,_xll.qDateYears(BQ100,BQ101,BT$13),0)</f>
        <v>0.25205479452054796</v>
      </c>
      <c r="BU101" s="268">
        <f t="shared" si="43"/>
        <v>1210.4493451921726</v>
      </c>
      <c r="CC101" s="526">
        <v>48586</v>
      </c>
      <c r="CD101" s="151" t="str">
        <f t="shared" si="38"/>
        <v>21.5Y</v>
      </c>
      <c r="CE101" s="386">
        <v>0.43640814869111927</v>
      </c>
      <c r="CF101" s="268">
        <f>IF(CC101,_xll.qDateYears(CC100,CC101,CF$13),0)</f>
        <v>0.25555555555555554</v>
      </c>
      <c r="CG101" s="268">
        <f t="shared" si="44"/>
        <v>1543.343488747862</v>
      </c>
      <c r="CO101" s="526">
        <v>48586</v>
      </c>
      <c r="CP101" s="151" t="str">
        <f t="shared" si="39"/>
        <v>21.5Y</v>
      </c>
      <c r="CQ101" s="386">
        <v>0.41448408831785111</v>
      </c>
      <c r="CR101" s="268">
        <f>IF(CO101,_xll.qDateYears(CO100,CO101,CR$13),0)</f>
        <v>0.25205479452054796</v>
      </c>
      <c r="CS101" s="268">
        <f t="shared" si="45"/>
        <v>1498.7492532024582</v>
      </c>
      <c r="DA101" s="526">
        <v>48586</v>
      </c>
      <c r="DB101" s="151" t="str">
        <f t="shared" si="40"/>
        <v>21.5Y</v>
      </c>
      <c r="DC101" s="386">
        <v>0.27642189878194101</v>
      </c>
      <c r="DD101" s="268">
        <f>IF(DA101,_xll.qDateYears(DA100,DA101,DD$13),0)</f>
        <v>0.25205479452054796</v>
      </c>
      <c r="DE101" s="268">
        <f t="shared" si="46"/>
        <v>1240.5012050975836</v>
      </c>
      <c r="DM101" s="526">
        <v>48586</v>
      </c>
      <c r="DN101" s="151" t="str">
        <f t="shared" si="41"/>
        <v>21.5Y</v>
      </c>
      <c r="DO101" s="386">
        <v>0.40324872108367854</v>
      </c>
      <c r="DP101" s="268">
        <f>IF(DM101,_xll.qDateYears(DM100,DM101,DP$13),0)</f>
        <v>0.25555555555555554</v>
      </c>
      <c r="DQ101" s="268">
        <f t="shared" si="47"/>
        <v>1521.648838936509</v>
      </c>
    </row>
    <row r="102" spans="59:121">
      <c r="BG102" s="526">
        <v>48676</v>
      </c>
      <c r="BH102" s="150" t="str">
        <f t="shared" si="36"/>
        <v>21.75Y</v>
      </c>
      <c r="BI102" s="386">
        <v>0.39867165815942907</v>
      </c>
      <c r="BJ102" s="268">
        <f>IF(BG102,_xll.qDateYears(BG101,BG102,$BJ$13),0)</f>
        <v>0.25</v>
      </c>
      <c r="BK102" s="268">
        <f t="shared" si="42"/>
        <v>1531.6156303904947</v>
      </c>
      <c r="BQ102" s="526">
        <v>48676</v>
      </c>
      <c r="BR102" s="151" t="str">
        <f t="shared" si="37"/>
        <v>21.75Y</v>
      </c>
      <c r="BS102" s="386">
        <v>0.2837886181444737</v>
      </c>
      <c r="BT102" s="268">
        <f>IF(BQ102,_xll.qDateYears(BQ101,BQ102,BT$13),0)</f>
        <v>0.24657534246575341</v>
      </c>
      <c r="BU102" s="268">
        <f t="shared" si="43"/>
        <v>1217.4468727628582</v>
      </c>
      <c r="CC102" s="526">
        <v>48676</v>
      </c>
      <c r="CD102" s="151" t="str">
        <f t="shared" si="38"/>
        <v>21.75Y</v>
      </c>
      <c r="CE102" s="386">
        <v>0.43227780977887742</v>
      </c>
      <c r="CF102" s="268">
        <f>IF(CC102,_xll.qDateYears(CC101,CC102,CF$13),0)</f>
        <v>0.25</v>
      </c>
      <c r="CG102" s="268">
        <f t="shared" si="44"/>
        <v>1554.150433992334</v>
      </c>
      <c r="CO102" s="526">
        <v>48676</v>
      </c>
      <c r="CP102" s="151" t="str">
        <f t="shared" si="39"/>
        <v>21.75Y</v>
      </c>
      <c r="CQ102" s="386">
        <v>0.41001643246833008</v>
      </c>
      <c r="CR102" s="268">
        <f>IF(CO102,_xll.qDateYears(CO101,CO102,CR$13),0)</f>
        <v>0.24657534246575341</v>
      </c>
      <c r="CS102" s="268">
        <f t="shared" si="45"/>
        <v>1508.8592474277048</v>
      </c>
      <c r="DA102" s="526">
        <v>48676</v>
      </c>
      <c r="DB102" s="151" t="str">
        <f t="shared" si="40"/>
        <v>21.75Y</v>
      </c>
      <c r="DC102" s="386">
        <v>0.27238036390737996</v>
      </c>
      <c r="DD102" s="268">
        <f>IF(DA102,_xll.qDateYears(DA101,DA102,DD$13),0)</f>
        <v>0.24657534246575341</v>
      </c>
      <c r="DE102" s="268">
        <f t="shared" si="46"/>
        <v>1247.2174332487245</v>
      </c>
      <c r="DM102" s="526">
        <v>48676</v>
      </c>
      <c r="DN102" s="151" t="str">
        <f t="shared" si="41"/>
        <v>21.75Y</v>
      </c>
      <c r="DO102" s="386">
        <v>0.39867165815942907</v>
      </c>
      <c r="DP102" s="268">
        <f>IF(DM102,_xll.qDateYears(DM101,DM102,DP$13),0)</f>
        <v>0.25</v>
      </c>
      <c r="DQ102" s="268">
        <f t="shared" si="47"/>
        <v>1531.6156303904947</v>
      </c>
    </row>
    <row r="103" spans="59:121">
      <c r="BG103" s="526">
        <v>48767</v>
      </c>
      <c r="BH103" s="150" t="str">
        <f t="shared" si="36"/>
        <v>22Y</v>
      </c>
      <c r="BI103" s="386">
        <v>0.39408737653345299</v>
      </c>
      <c r="BJ103" s="268">
        <f>IF(BG103,_xll.qDateYears(BG102,BG103,$BJ$13),0)</f>
        <v>0.25277777777777777</v>
      </c>
      <c r="BK103" s="268">
        <f t="shared" si="42"/>
        <v>1541.5772835195348</v>
      </c>
      <c r="BQ103" s="526">
        <v>48767</v>
      </c>
      <c r="BR103" s="151" t="str">
        <f t="shared" si="37"/>
        <v>22Y</v>
      </c>
      <c r="BS103" s="386">
        <v>0.28078045463691376</v>
      </c>
      <c r="BT103" s="268">
        <f>IF(BQ103,_xll.qDateYears(BQ102,BQ103,BT$13),0)</f>
        <v>0.24931506849315069</v>
      </c>
      <c r="BU103" s="268">
        <f t="shared" si="43"/>
        <v>1224.4471525907923</v>
      </c>
      <c r="CC103" s="526">
        <v>48767</v>
      </c>
      <c r="CD103" s="151" t="str">
        <f t="shared" si="38"/>
        <v>22Y</v>
      </c>
      <c r="CE103" s="386">
        <v>0.42814120907000708</v>
      </c>
      <c r="CF103" s="268">
        <f>IF(CC103,_xll.qDateYears(CC102,CC103,CF$13),0)</f>
        <v>0.25277777777777777</v>
      </c>
      <c r="CG103" s="268">
        <f t="shared" si="44"/>
        <v>1564.9728923327148</v>
      </c>
      <c r="CO103" s="526">
        <v>48767</v>
      </c>
      <c r="CP103" s="151" t="str">
        <f t="shared" si="39"/>
        <v>22Y</v>
      </c>
      <c r="CQ103" s="386">
        <v>0.40554110416019729</v>
      </c>
      <c r="CR103" s="268">
        <f>IF(CO103,_xll.qDateYears(CO102,CO103,CR$13),0)</f>
        <v>0.24931506849315069</v>
      </c>
      <c r="CS103" s="268">
        <f t="shared" si="45"/>
        <v>1518.9699982437535</v>
      </c>
      <c r="DA103" s="526">
        <v>48767</v>
      </c>
      <c r="DB103" s="151" t="str">
        <f t="shared" si="40"/>
        <v>22Y</v>
      </c>
      <c r="DC103" s="386">
        <v>0.26835399916664032</v>
      </c>
      <c r="DD103" s="268">
        <f>IF(DA103,_xll.qDateYears(DA102,DA103,DD$13),0)</f>
        <v>0.24931506849315069</v>
      </c>
      <c r="DE103" s="268">
        <f t="shared" si="46"/>
        <v>1253.9079028169888</v>
      </c>
      <c r="DM103" s="526">
        <v>48767</v>
      </c>
      <c r="DN103" s="151" t="str">
        <f t="shared" si="41"/>
        <v>22Y</v>
      </c>
      <c r="DO103" s="386">
        <v>0.39408737653345299</v>
      </c>
      <c r="DP103" s="268">
        <f>IF(DM103,_xll.qDateYears(DM102,DM103,DP$13),0)</f>
        <v>0.25277777777777777</v>
      </c>
      <c r="DQ103" s="268">
        <f t="shared" si="47"/>
        <v>1541.5772835195348</v>
      </c>
    </row>
    <row r="104" spans="59:121">
      <c r="BG104" s="526">
        <v>48859</v>
      </c>
      <c r="BH104" s="150" t="str">
        <f t="shared" si="36"/>
        <v>22.25Y</v>
      </c>
      <c r="BI104" s="386">
        <v>0.38949702707622569</v>
      </c>
      <c r="BJ104" s="268">
        <f>IF(BG104,_xll.qDateYears(BG103,BG104,$BJ$13),0)</f>
        <v>0.25555555555555554</v>
      </c>
      <c r="BK104" s="268">
        <f t="shared" si="42"/>
        <v>1551.531096433705</v>
      </c>
      <c r="BQ104" s="526">
        <v>48859</v>
      </c>
      <c r="BR104" s="151" t="str">
        <f t="shared" si="37"/>
        <v>22.25Y</v>
      </c>
      <c r="BS104" s="386">
        <v>0.27779577249566917</v>
      </c>
      <c r="BT104" s="268">
        <f>IF(BQ104,_xll.qDateYears(BQ103,BQ104,BT$13),0)</f>
        <v>0.25205479452054796</v>
      </c>
      <c r="BU104" s="268">
        <f t="shared" si="43"/>
        <v>1231.4491282262995</v>
      </c>
      <c r="CC104" s="526">
        <v>48859</v>
      </c>
      <c r="CD104" s="151" t="str">
        <f t="shared" si="38"/>
        <v>22.25Y</v>
      </c>
      <c r="CE104" s="386">
        <v>0.42399927487522687</v>
      </c>
      <c r="CF104" s="268">
        <f>IF(CC104,_xll.qDateYears(CC103,CC104,CF$13),0)</f>
        <v>0.25555555555555554</v>
      </c>
      <c r="CG104" s="268">
        <f t="shared" si="44"/>
        <v>1575.8084293573038</v>
      </c>
      <c r="CO104" s="526">
        <v>48859</v>
      </c>
      <c r="CP104" s="151" t="str">
        <f t="shared" si="39"/>
        <v>22.25Y</v>
      </c>
      <c r="CQ104" s="386">
        <v>0.40105918332242457</v>
      </c>
      <c r="CR104" s="268">
        <f>IF(CO104,_xll.qDateYears(CO103,CO104,CR$13),0)</f>
        <v>0.25205479452054796</v>
      </c>
      <c r="CS104" s="268">
        <f t="shared" si="45"/>
        <v>1529.0788872480448</v>
      </c>
      <c r="DA104" s="526">
        <v>48859</v>
      </c>
      <c r="DB104" s="151" t="str">
        <f t="shared" si="40"/>
        <v>22.25Y</v>
      </c>
      <c r="DC104" s="386">
        <v>0.26434388832406747</v>
      </c>
      <c r="DD104" s="268">
        <f>IF(DA104,_xll.qDateYears(DA103,DA104,DD$13),0)</f>
        <v>0.25205479452054796</v>
      </c>
      <c r="DE104" s="268">
        <f t="shared" si="46"/>
        <v>1260.5708172624172</v>
      </c>
      <c r="DM104" s="526">
        <v>48859</v>
      </c>
      <c r="DN104" s="151" t="str">
        <f t="shared" si="41"/>
        <v>22.25Y</v>
      </c>
      <c r="DO104" s="386">
        <v>0.38949702707622569</v>
      </c>
      <c r="DP104" s="268">
        <f>IF(DM104,_xll.qDateYears(DM103,DM104,DP$13),0)</f>
        <v>0.25555555555555554</v>
      </c>
      <c r="DQ104" s="268">
        <f t="shared" si="47"/>
        <v>1551.531096433705</v>
      </c>
    </row>
    <row r="105" spans="59:121">
      <c r="BG105" s="526">
        <v>48953</v>
      </c>
      <c r="BH105" s="150" t="str">
        <f t="shared" si="36"/>
        <v>22.5Y</v>
      </c>
      <c r="BI105" s="386">
        <v>0.38485259046948861</v>
      </c>
      <c r="BJ105" s="268">
        <f>IF(BG105,_xll.qDateYears(BG104,BG105,$BJ$13),0)</f>
        <v>0.26111111111111113</v>
      </c>
      <c r="BK105" s="268">
        <f t="shared" si="42"/>
        <v>1561.5800251848527</v>
      </c>
      <c r="BQ105" s="526">
        <v>48953</v>
      </c>
      <c r="BR105" s="151" t="str">
        <f t="shared" si="37"/>
        <v>22.5Y</v>
      </c>
      <c r="BS105" s="386">
        <v>0.27480375807394014</v>
      </c>
      <c r="BT105" s="268">
        <f>IF(BQ105,_xll.qDateYears(BQ104,BQ105,BT$13),0)</f>
        <v>0.25753424657534246</v>
      </c>
      <c r="BU105" s="268">
        <f t="shared" si="43"/>
        <v>1238.5262661054639</v>
      </c>
      <c r="CC105" s="526">
        <v>48953</v>
      </c>
      <c r="CD105" s="151" t="str">
        <f t="shared" si="38"/>
        <v>22.5Y</v>
      </c>
      <c r="CE105" s="386">
        <v>0.41980856438132846</v>
      </c>
      <c r="CF105" s="268">
        <f>IF(CC105,_xll.qDateYears(CC104,CC105,CF$13),0)</f>
        <v>0.26111111111111113</v>
      </c>
      <c r="CG105" s="268">
        <f t="shared" si="44"/>
        <v>1586.7700974272607</v>
      </c>
      <c r="CO105" s="526">
        <v>48953</v>
      </c>
      <c r="CP105" s="151" t="str">
        <f t="shared" si="39"/>
        <v>22.5Y</v>
      </c>
      <c r="CQ105" s="386">
        <v>0.39652372872169306</v>
      </c>
      <c r="CR105" s="268">
        <f>IF(CO105,_xll.qDateYears(CO104,CO105,CR$13),0)</f>
        <v>0.25753424657534246</v>
      </c>
      <c r="CS105" s="268">
        <f t="shared" si="45"/>
        <v>1539.2907312206034</v>
      </c>
      <c r="DA105" s="526">
        <v>48953</v>
      </c>
      <c r="DB105" s="151" t="str">
        <f t="shared" si="40"/>
        <v>22.5Y</v>
      </c>
      <c r="DC105" s="386">
        <v>0.26030848718926836</v>
      </c>
      <c r="DD105" s="268">
        <f>IF(DA105,_xll.qDateYears(DA104,DA105,DD$13),0)</f>
        <v>0.25753424657534246</v>
      </c>
      <c r="DE105" s="268">
        <f t="shared" si="46"/>
        <v>1267.2746522749628</v>
      </c>
      <c r="DM105" s="526">
        <v>48953</v>
      </c>
      <c r="DN105" s="151" t="str">
        <f t="shared" si="41"/>
        <v>22.5Y</v>
      </c>
      <c r="DO105" s="386">
        <v>0.38485259046948861</v>
      </c>
      <c r="DP105" s="268">
        <f>IF(DM105,_xll.qDateYears(DM104,DM105,DP$13),0)</f>
        <v>0.26111111111111113</v>
      </c>
      <c r="DQ105" s="268">
        <f t="shared" si="47"/>
        <v>1561.5800251848527</v>
      </c>
    </row>
    <row r="106" spans="59:121">
      <c r="BG106" s="526">
        <v>49045</v>
      </c>
      <c r="BH106" s="150" t="str">
        <f t="shared" si="36"/>
        <v>22.75Y</v>
      </c>
      <c r="BI106" s="386">
        <v>0.38035139694189546</v>
      </c>
      <c r="BJ106" s="268">
        <f>IF(BG106,_xll.qDateYears(BG105,BG106,$BJ$13),0)</f>
        <v>0.25555555555555554</v>
      </c>
      <c r="BK106" s="268">
        <f t="shared" si="42"/>
        <v>1571.3001164400346</v>
      </c>
      <c r="BQ106" s="526">
        <v>49045</v>
      </c>
      <c r="BR106" s="151" t="str">
        <f t="shared" si="37"/>
        <v>22.75Y</v>
      </c>
      <c r="BS106" s="386">
        <v>0.27193061655680212</v>
      </c>
      <c r="BT106" s="268">
        <f>IF(BQ106,_xll.qDateYears(BQ105,BQ106,BT$13),0)</f>
        <v>0.25205479452054796</v>
      </c>
      <c r="BU106" s="268">
        <f t="shared" si="43"/>
        <v>1245.3804076734709</v>
      </c>
      <c r="CC106" s="526">
        <v>49045</v>
      </c>
      <c r="CD106" s="151" t="str">
        <f t="shared" si="38"/>
        <v>22.75Y</v>
      </c>
      <c r="CE106" s="386">
        <v>0.41574701439704187</v>
      </c>
      <c r="CF106" s="268">
        <f>IF(CC106,_xll.qDateYears(CC105,CC106,CF$13),0)</f>
        <v>0.25555555555555554</v>
      </c>
      <c r="CG106" s="268">
        <f t="shared" si="44"/>
        <v>1597.3947433507406</v>
      </c>
      <c r="CO106" s="526">
        <v>49045</v>
      </c>
      <c r="CP106" s="151" t="str">
        <f t="shared" si="39"/>
        <v>22.75Y</v>
      </c>
      <c r="CQ106" s="386">
        <v>0.39212741875696072</v>
      </c>
      <c r="CR106" s="268">
        <f>IF(CO106,_xll.qDateYears(CO105,CO106,CR$13),0)</f>
        <v>0.25205479452054796</v>
      </c>
      <c r="CS106" s="268">
        <f t="shared" si="45"/>
        <v>1549.1744908166693</v>
      </c>
      <c r="DA106" s="526">
        <v>49045</v>
      </c>
      <c r="DB106" s="151" t="str">
        <f t="shared" si="40"/>
        <v>22.75Y</v>
      </c>
      <c r="DC106" s="386">
        <v>0.25641860334131722</v>
      </c>
      <c r="DD106" s="268">
        <f>IF(DA106,_xll.qDateYears(DA105,DA106,DD$13),0)</f>
        <v>0.25205479452054796</v>
      </c>
      <c r="DE106" s="268">
        <f t="shared" si="46"/>
        <v>1273.7378061126069</v>
      </c>
      <c r="DM106" s="526">
        <v>49045</v>
      </c>
      <c r="DN106" s="151" t="str">
        <f t="shared" si="41"/>
        <v>22.75Y</v>
      </c>
      <c r="DO106" s="386">
        <v>0.38035139694189546</v>
      </c>
      <c r="DP106" s="268">
        <f>IF(DM106,_xll.qDateYears(DM105,DM106,DP$13),0)</f>
        <v>0.25555555555555554</v>
      </c>
      <c r="DQ106" s="268">
        <f t="shared" si="47"/>
        <v>1571.3001164400346</v>
      </c>
    </row>
    <row r="107" spans="59:121">
      <c r="BG107" s="526">
        <v>49132</v>
      </c>
      <c r="BH107" s="150" t="str">
        <f t="shared" si="36"/>
        <v>23Y</v>
      </c>
      <c r="BI107" s="386">
        <v>0.3761349907209226</v>
      </c>
      <c r="BJ107" s="268">
        <f>IF(BG107,_xll.qDateYears(BG106,BG107,$BJ$13),0)</f>
        <v>0.24166666666666667</v>
      </c>
      <c r="BK107" s="268">
        <f t="shared" si="42"/>
        <v>1580.3900453824569</v>
      </c>
      <c r="BQ107" s="526">
        <v>49132</v>
      </c>
      <c r="BR107" s="151" t="str">
        <f t="shared" si="37"/>
        <v>23Y</v>
      </c>
      <c r="BS107" s="386">
        <v>0.26926289846224871</v>
      </c>
      <c r="BT107" s="268">
        <f>IF(BQ107,_xll.qDateYears(BQ106,BQ107,BT$13),0)</f>
        <v>0.23835616438356164</v>
      </c>
      <c r="BU107" s="268">
        <f t="shared" si="43"/>
        <v>1251.7984548422971</v>
      </c>
      <c r="CC107" s="526">
        <v>49132</v>
      </c>
      <c r="CD107" s="151" t="str">
        <f t="shared" si="38"/>
        <v>23Y</v>
      </c>
      <c r="CE107" s="386">
        <v>0.41194225375124244</v>
      </c>
      <c r="CF107" s="268">
        <f>IF(CC107,_xll.qDateYears(CC106,CC107,CF$13),0)</f>
        <v>0.24166666666666667</v>
      </c>
      <c r="CG107" s="268">
        <f t="shared" si="44"/>
        <v>1607.3500144830623</v>
      </c>
      <c r="CO107" s="526">
        <v>49132</v>
      </c>
      <c r="CP107" s="151" t="str">
        <f t="shared" si="39"/>
        <v>23Y</v>
      </c>
      <c r="CQ107" s="386">
        <v>0.38800856430777686</v>
      </c>
      <c r="CR107" s="268">
        <f>IF(CO107,_xll.qDateYears(CO106,CO107,CR$13),0)</f>
        <v>0.23835616438356164</v>
      </c>
      <c r="CS107" s="268">
        <f t="shared" si="45"/>
        <v>1558.4229141303067</v>
      </c>
      <c r="DA107" s="526">
        <v>49132</v>
      </c>
      <c r="DB107" s="151" t="str">
        <f t="shared" si="40"/>
        <v>23Y</v>
      </c>
      <c r="DC107" s="386">
        <v>0.25279361585389792</v>
      </c>
      <c r="DD107" s="268">
        <f>IF(DA107,_xll.qDateYears(DA106,DA107,DD$13),0)</f>
        <v>0.23835616438356164</v>
      </c>
      <c r="DE107" s="268">
        <f t="shared" si="46"/>
        <v>1279.7632977781657</v>
      </c>
      <c r="DM107" s="526">
        <v>49132</v>
      </c>
      <c r="DN107" s="151" t="str">
        <f t="shared" si="41"/>
        <v>23Y</v>
      </c>
      <c r="DO107" s="386">
        <v>0.3761349907209226</v>
      </c>
      <c r="DP107" s="268">
        <f>IF(DM107,_xll.qDateYears(DM106,DM107,DP$13),0)</f>
        <v>0.24166666666666667</v>
      </c>
      <c r="DQ107" s="268">
        <f t="shared" si="47"/>
        <v>1580.3900453824569</v>
      </c>
    </row>
    <row r="108" spans="59:121">
      <c r="BG108" s="526">
        <v>49227</v>
      </c>
      <c r="BH108" s="150" t="str">
        <f t="shared" si="36"/>
        <v>23.25Y</v>
      </c>
      <c r="BI108" s="386">
        <v>0.37157515038423444</v>
      </c>
      <c r="BJ108" s="268">
        <f>IF(BG108,_xll.qDateYears(BG107,BG108,$BJ$13),0)</f>
        <v>0.2638888888888889</v>
      </c>
      <c r="BK108" s="268">
        <f t="shared" si="42"/>
        <v>1590.1955007398187</v>
      </c>
      <c r="BQ108" s="526">
        <v>49227</v>
      </c>
      <c r="BR108" s="151" t="str">
        <f t="shared" si="37"/>
        <v>23.25Y</v>
      </c>
      <c r="BS108" s="386">
        <v>0.26640352139790635</v>
      </c>
      <c r="BT108" s="268">
        <f>IF(BQ108,_xll.qDateYears(BQ107,BQ108,BT$13),0)</f>
        <v>0.26027397260273971</v>
      </c>
      <c r="BU108" s="268">
        <f t="shared" si="43"/>
        <v>1258.7322451252564</v>
      </c>
      <c r="CC108" s="526">
        <v>49227</v>
      </c>
      <c r="CD108" s="151" t="str">
        <f t="shared" si="38"/>
        <v>23.25Y</v>
      </c>
      <c r="CE108" s="386">
        <v>0.40782727572721417</v>
      </c>
      <c r="CF108" s="268">
        <f>IF(CC108,_xll.qDateYears(CC107,CC108,CF$13),0)</f>
        <v>0.2638888888888889</v>
      </c>
      <c r="CG108" s="268">
        <f t="shared" si="44"/>
        <v>1618.1121231480861</v>
      </c>
      <c r="CO108" s="526">
        <v>49227</v>
      </c>
      <c r="CP108" s="151" t="str">
        <f t="shared" si="39"/>
        <v>23.25Y</v>
      </c>
      <c r="CQ108" s="386">
        <v>0.38355342206408277</v>
      </c>
      <c r="CR108" s="268">
        <f>IF(CO108,_xll.qDateYears(CO107,CO108,CR$13),0)</f>
        <v>0.26027397260273971</v>
      </c>
      <c r="CS108" s="268">
        <f t="shared" si="45"/>
        <v>1568.4058114169061</v>
      </c>
      <c r="DA108" s="526">
        <v>49227</v>
      </c>
      <c r="DB108" s="151" t="str">
        <f t="shared" si="40"/>
        <v>23.25Y</v>
      </c>
      <c r="DC108" s="386">
        <v>0.24889380228383359</v>
      </c>
      <c r="DD108" s="268">
        <f>IF(DA108,_xll.qDateYears(DA107,DA108,DD$13),0)</f>
        <v>0.26027397260273971</v>
      </c>
      <c r="DE108" s="268">
        <f t="shared" si="46"/>
        <v>1286.2413556458271</v>
      </c>
      <c r="DM108" s="526">
        <v>49227</v>
      </c>
      <c r="DN108" s="151" t="str">
        <f t="shared" si="41"/>
        <v>23.25Y</v>
      </c>
      <c r="DO108" s="386">
        <v>0.37157515038423444</v>
      </c>
      <c r="DP108" s="268">
        <f>IF(DM108,_xll.qDateYears(DM107,DM108,DP$13),0)</f>
        <v>0.2638888888888889</v>
      </c>
      <c r="DQ108" s="268">
        <f t="shared" si="47"/>
        <v>1590.1955007398187</v>
      </c>
    </row>
    <row r="109" spans="59:121">
      <c r="BG109" s="526">
        <v>49317</v>
      </c>
      <c r="BH109" s="150" t="str">
        <f t="shared" si="36"/>
        <v>23.5Y</v>
      </c>
      <c r="BI109" s="386">
        <v>0.36729765433619982</v>
      </c>
      <c r="BJ109" s="268">
        <f>IF(BG109,_xll.qDateYears(BG108,BG109,$BJ$13),0)</f>
        <v>0.25</v>
      </c>
      <c r="BK109" s="268">
        <f t="shared" si="42"/>
        <v>1599.3779420982237</v>
      </c>
      <c r="BQ109" s="526">
        <v>49317</v>
      </c>
      <c r="BR109" s="151" t="str">
        <f t="shared" si="37"/>
        <v>23.5Y</v>
      </c>
      <c r="BS109" s="386">
        <v>0.26374531179538296</v>
      </c>
      <c r="BT109" s="268">
        <f>IF(BQ109,_xll.qDateYears(BQ108,BQ109,BT$13),0)</f>
        <v>0.24657534246575341</v>
      </c>
      <c r="BU109" s="268">
        <f t="shared" si="43"/>
        <v>1265.2355541832248</v>
      </c>
      <c r="CC109" s="526">
        <v>49317</v>
      </c>
      <c r="CD109" s="151" t="str">
        <f t="shared" si="38"/>
        <v>23.5Y</v>
      </c>
      <c r="CE109" s="386">
        <v>0.40396669168948779</v>
      </c>
      <c r="CF109" s="268">
        <f>IF(CC109,_xll.qDateYears(CC108,CC109,CF$13),0)</f>
        <v>0.25</v>
      </c>
      <c r="CG109" s="268">
        <f t="shared" si="44"/>
        <v>1628.2112904403232</v>
      </c>
      <c r="CO109" s="526">
        <v>49317</v>
      </c>
      <c r="CP109" s="151" t="str">
        <f t="shared" si="39"/>
        <v>23.5Y</v>
      </c>
      <c r="CQ109" s="386">
        <v>0.37937334614048257</v>
      </c>
      <c r="CR109" s="268">
        <f>IF(CO109,_xll.qDateYears(CO108,CO109,CR$13),0)</f>
        <v>0.24657534246575341</v>
      </c>
      <c r="CS109" s="268">
        <f t="shared" si="45"/>
        <v>1577.7602226916028</v>
      </c>
      <c r="DA109" s="526">
        <v>49317</v>
      </c>
      <c r="DB109" s="151" t="str">
        <f t="shared" si="40"/>
        <v>23.5Y</v>
      </c>
      <c r="DC109" s="386">
        <v>0.24525475274968023</v>
      </c>
      <c r="DD109" s="268">
        <f>IF(DA109,_xll.qDateYears(DA108,DA109,DD$13),0)</f>
        <v>0.24657534246575341</v>
      </c>
      <c r="DE109" s="268">
        <f t="shared" si="46"/>
        <v>1292.2887331108877</v>
      </c>
      <c r="DM109" s="526">
        <v>49317</v>
      </c>
      <c r="DN109" s="151" t="str">
        <f t="shared" si="41"/>
        <v>23.5Y</v>
      </c>
      <c r="DO109" s="386">
        <v>0.36729765433619982</v>
      </c>
      <c r="DP109" s="268">
        <f>IF(DM109,_xll.qDateYears(DM108,DM109,DP$13),0)</f>
        <v>0.25</v>
      </c>
      <c r="DQ109" s="268">
        <f t="shared" si="47"/>
        <v>1599.3779420982237</v>
      </c>
    </row>
    <row r="110" spans="59:121">
      <c r="BG110" s="526">
        <v>49408</v>
      </c>
      <c r="BH110" s="150" t="str">
        <f t="shared" si="36"/>
        <v>23.75Y</v>
      </c>
      <c r="BI110" s="386">
        <v>0.36301423763436341</v>
      </c>
      <c r="BJ110" s="268">
        <f>IF(BG110,_xll.qDateYears(BG109,BG110,$BJ$13),0)</f>
        <v>0.25277777777777777</v>
      </c>
      <c r="BK110" s="268">
        <f t="shared" si="42"/>
        <v>1608.5541353273145</v>
      </c>
      <c r="BQ110" s="526">
        <v>49408</v>
      </c>
      <c r="BR110" s="151" t="str">
        <f t="shared" si="37"/>
        <v>23.75Y</v>
      </c>
      <c r="BS110" s="386">
        <v>0.26110672612142133</v>
      </c>
      <c r="BT110" s="268">
        <f>IF(BQ110,_xll.qDateYears(BQ109,BQ110,BT$13),0)</f>
        <v>0.24931506849315069</v>
      </c>
      <c r="BU110" s="268">
        <f t="shared" si="43"/>
        <v>1271.7453383139234</v>
      </c>
      <c r="CC110" s="526">
        <v>49408</v>
      </c>
      <c r="CD110" s="151" t="str">
        <f t="shared" si="38"/>
        <v>23.75Y</v>
      </c>
      <c r="CE110" s="386">
        <v>0.40010026201504412</v>
      </c>
      <c r="CF110" s="268">
        <f>IF(CC110,_xll.qDateYears(CC109,CC110,CF$13),0)</f>
        <v>0.25277777777777777</v>
      </c>
      <c r="CG110" s="268">
        <f t="shared" si="44"/>
        <v>1638.3249359523702</v>
      </c>
      <c r="CO110" s="526">
        <v>49408</v>
      </c>
      <c r="CP110" s="151" t="str">
        <f t="shared" si="39"/>
        <v>23.75Y</v>
      </c>
      <c r="CQ110" s="386">
        <v>0.37518667312923648</v>
      </c>
      <c r="CR110" s="268">
        <f>IF(CO110,_xll.qDateYears(CO109,CO110,CR$13),0)</f>
        <v>0.24931506849315069</v>
      </c>
      <c r="CS110" s="268">
        <f t="shared" si="45"/>
        <v>1587.1141918024962</v>
      </c>
      <c r="DA110" s="526">
        <v>49408</v>
      </c>
      <c r="DB110" s="151" t="str">
        <f t="shared" si="40"/>
        <v>23.75Y</v>
      </c>
      <c r="DC110" s="386">
        <v>0.24162936259745207</v>
      </c>
      <c r="DD110" s="268">
        <f>IF(DA110,_xll.qDateYears(DA109,DA110,DD$13),0)</f>
        <v>0.24931506849315069</v>
      </c>
      <c r="DE110" s="268">
        <f t="shared" si="46"/>
        <v>1298.3129172194817</v>
      </c>
      <c r="DM110" s="526">
        <v>49408</v>
      </c>
      <c r="DN110" s="151" t="str">
        <f t="shared" si="41"/>
        <v>23.75Y</v>
      </c>
      <c r="DO110" s="386">
        <v>0.36301423763436341</v>
      </c>
      <c r="DP110" s="268">
        <f>IF(DM110,_xll.qDateYears(DM109,DM110,DP$13),0)</f>
        <v>0.25277777777777777</v>
      </c>
      <c r="DQ110" s="268">
        <f t="shared" si="47"/>
        <v>1608.5541353273145</v>
      </c>
    </row>
    <row r="111" spans="59:121">
      <c r="BG111" s="526">
        <v>49499</v>
      </c>
      <c r="BH111" s="150" t="str">
        <f t="shared" si="36"/>
        <v>24Y</v>
      </c>
      <c r="BI111" s="386">
        <v>0.35877237066147444</v>
      </c>
      <c r="BJ111" s="268">
        <f>IF(BG111,_xll.qDateYears(BG110,BG111,$BJ$13),0)</f>
        <v>0.25277777777777777</v>
      </c>
      <c r="BK111" s="268">
        <f t="shared" si="42"/>
        <v>1617.6231035857018</v>
      </c>
      <c r="BQ111" s="526">
        <v>49499</v>
      </c>
      <c r="BR111" s="151" t="str">
        <f t="shared" si="37"/>
        <v>24Y</v>
      </c>
      <c r="BS111" s="386">
        <v>0.25851663321176821</v>
      </c>
      <c r="BT111" s="268">
        <f>IF(BQ111,_xll.qDateYears(BQ110,BQ111,BT$13),0)</f>
        <v>0.24931506849315069</v>
      </c>
      <c r="BU111" s="268">
        <f t="shared" si="43"/>
        <v>1278.1905475255044</v>
      </c>
      <c r="CC111" s="526">
        <v>49499</v>
      </c>
      <c r="CD111" s="151" t="str">
        <f t="shared" si="38"/>
        <v>24Y</v>
      </c>
      <c r="CE111" s="386">
        <v>0.39627073354350029</v>
      </c>
      <c r="CF111" s="268">
        <f>IF(CC111,_xll.qDateYears(CC110,CC111,CF$13),0)</f>
        <v>0.25277777777777777</v>
      </c>
      <c r="CG111" s="268">
        <f t="shared" si="44"/>
        <v>1648.3417794947197</v>
      </c>
      <c r="CO111" s="526">
        <v>49499</v>
      </c>
      <c r="CP111" s="151" t="str">
        <f t="shared" si="39"/>
        <v>24Y</v>
      </c>
      <c r="CQ111" s="386">
        <v>0.37103977179376602</v>
      </c>
      <c r="CR111" s="268">
        <f>IF(CO111,_xll.qDateYears(CO110,CO111,CR$13),0)</f>
        <v>0.24931506849315069</v>
      </c>
      <c r="CS111" s="268">
        <f t="shared" si="45"/>
        <v>1596.3647724143407</v>
      </c>
      <c r="DA111" s="526">
        <v>49499</v>
      </c>
      <c r="DB111" s="151" t="str">
        <f t="shared" si="40"/>
        <v>24Y</v>
      </c>
      <c r="DC111" s="386">
        <v>0.23805756347091664</v>
      </c>
      <c r="DD111" s="268">
        <f>IF(DA111,_xll.qDateYears(DA110,DA111,DD$13),0)</f>
        <v>0.24931506849315069</v>
      </c>
      <c r="DE111" s="268">
        <f t="shared" si="46"/>
        <v>1304.2480509936881</v>
      </c>
      <c r="DM111" s="526">
        <v>49499</v>
      </c>
      <c r="DN111" s="151" t="str">
        <f t="shared" si="41"/>
        <v>24Y</v>
      </c>
      <c r="DO111" s="386">
        <v>0.35877237066147444</v>
      </c>
      <c r="DP111" s="268">
        <f>IF(DM111,_xll.qDateYears(DM110,DM111,DP$13),0)</f>
        <v>0.25277777777777777</v>
      </c>
      <c r="DQ111" s="268">
        <f t="shared" si="47"/>
        <v>1617.6231035857018</v>
      </c>
    </row>
    <row r="112" spans="59:121">
      <c r="BG112" s="526">
        <v>49591</v>
      </c>
      <c r="BH112" s="150" t="str">
        <f t="shared" si="36"/>
        <v>24.25Y</v>
      </c>
      <c r="BI112" s="386">
        <v>0.35452583323290665</v>
      </c>
      <c r="BJ112" s="268">
        <f>IF(BG112,_xll.qDateYears(BG111,BG112,$BJ$13),0)</f>
        <v>0.25555555555555554</v>
      </c>
      <c r="BK112" s="268">
        <f t="shared" si="42"/>
        <v>1626.6832082127648</v>
      </c>
      <c r="BQ112" s="526">
        <v>49591</v>
      </c>
      <c r="BR112" s="151" t="str">
        <f t="shared" si="37"/>
        <v>24.25Y</v>
      </c>
      <c r="BS112" s="386">
        <v>0.25594643395222011</v>
      </c>
      <c r="BT112" s="268">
        <f>IF(BQ112,_xll.qDateYears(BQ111,BQ112,BT$13),0)</f>
        <v>0.25205479452054796</v>
      </c>
      <c r="BU112" s="268">
        <f t="shared" si="43"/>
        <v>1284.6418001073137</v>
      </c>
      <c r="CC112" s="526">
        <v>49591</v>
      </c>
      <c r="CD112" s="151" t="str">
        <f t="shared" si="38"/>
        <v>24.25Y</v>
      </c>
      <c r="CE112" s="386">
        <v>0.39243627574892609</v>
      </c>
      <c r="CF112" s="268">
        <f>IF(CC112,_xll.qDateYears(CC111,CC112,CF$13),0)</f>
        <v>0.25555555555555554</v>
      </c>
      <c r="CG112" s="268">
        <f t="shared" si="44"/>
        <v>1658.3707065416368</v>
      </c>
      <c r="CO112" s="526">
        <v>49591</v>
      </c>
      <c r="CP112" s="151" t="str">
        <f t="shared" si="39"/>
        <v>24.25Y</v>
      </c>
      <c r="CQ112" s="386">
        <v>0.36688742721608025</v>
      </c>
      <c r="CR112" s="268">
        <f>IF(CO112,_xll.qDateYears(CO111,CO112,CR$13),0)</f>
        <v>0.25205479452054796</v>
      </c>
      <c r="CS112" s="268">
        <f t="shared" si="45"/>
        <v>1605.6123459222529</v>
      </c>
      <c r="DA112" s="526">
        <v>49591</v>
      </c>
      <c r="DB112" s="151" t="str">
        <f t="shared" si="40"/>
        <v>24.25Y</v>
      </c>
      <c r="DC112" s="386">
        <v>0.23450018322170932</v>
      </c>
      <c r="DD112" s="268">
        <f>IF(DA112,_xll.qDateYears(DA111,DA112,DD$13),0)</f>
        <v>0.25205479452054796</v>
      </c>
      <c r="DE112" s="268">
        <f t="shared" si="46"/>
        <v>1310.1587405433861</v>
      </c>
      <c r="DM112" s="526">
        <v>49591</v>
      </c>
      <c r="DN112" s="151" t="str">
        <f t="shared" si="41"/>
        <v>24.25Y</v>
      </c>
      <c r="DO112" s="386">
        <v>0.35452583323290665</v>
      </c>
      <c r="DP112" s="268">
        <f>IF(DM112,_xll.qDateYears(DM111,DM112,DP$13),0)</f>
        <v>0.25555555555555554</v>
      </c>
      <c r="DQ112" s="268">
        <f t="shared" si="47"/>
        <v>1626.6832082127648</v>
      </c>
    </row>
    <row r="113" spans="59:121">
      <c r="BG113" s="526">
        <v>49681</v>
      </c>
      <c r="BH113" s="150" t="str">
        <f t="shared" si="36"/>
        <v>24.5Y</v>
      </c>
      <c r="BI113" s="386">
        <v>0.35041213508537594</v>
      </c>
      <c r="BJ113" s="268">
        <f>IF(BG113,_xll.qDateYears(BG112,BG113,$BJ$13),0)</f>
        <v>0.25</v>
      </c>
      <c r="BK113" s="268">
        <f t="shared" si="42"/>
        <v>1635.4435115898993</v>
      </c>
      <c r="BQ113" s="526">
        <v>49681</v>
      </c>
      <c r="BR113" s="151" t="str">
        <f t="shared" si="37"/>
        <v>24.5Y</v>
      </c>
      <c r="BS113" s="386">
        <v>0.25347826598060846</v>
      </c>
      <c r="BT113" s="268">
        <f>IF(BQ113,_xll.qDateYears(BQ112,BQ113,BT$13),0)</f>
        <v>0.24657534246575341</v>
      </c>
      <c r="BU113" s="268">
        <f t="shared" si="43"/>
        <v>1290.891949131493</v>
      </c>
      <c r="CC113" s="526">
        <v>49681</v>
      </c>
      <c r="CD113" s="151" t="str">
        <f t="shared" si="38"/>
        <v>24.5Y</v>
      </c>
      <c r="CE113" s="386">
        <v>0.38872097883347512</v>
      </c>
      <c r="CF113" s="268">
        <f>IF(CC113,_xll.qDateYears(CC112,CC113,CF$13),0)</f>
        <v>0.25</v>
      </c>
      <c r="CG113" s="268">
        <f t="shared" si="44"/>
        <v>1668.0887310124735</v>
      </c>
      <c r="CO113" s="526">
        <v>49681</v>
      </c>
      <c r="CP113" s="151" t="str">
        <f t="shared" si="39"/>
        <v>24.5Y</v>
      </c>
      <c r="CQ113" s="386">
        <v>0.36286409920500673</v>
      </c>
      <c r="CR113" s="268">
        <f>IF(CO113,_xll.qDateYears(CO112,CO113,CR$13),0)</f>
        <v>0.24657534246575341</v>
      </c>
      <c r="CS113" s="268">
        <f t="shared" si="45"/>
        <v>1614.5596798752531</v>
      </c>
      <c r="DA113" s="526">
        <v>49681</v>
      </c>
      <c r="DB113" s="151" t="str">
        <f t="shared" si="40"/>
        <v>24.5Y</v>
      </c>
      <c r="DC113" s="386">
        <v>0.23107158124495664</v>
      </c>
      <c r="DD113" s="268">
        <f>IF(DA113,_xll.qDateYears(DA112,DA113,DD$13),0)</f>
        <v>0.24657534246575341</v>
      </c>
      <c r="DE113" s="268">
        <f t="shared" si="46"/>
        <v>1315.856395971344</v>
      </c>
      <c r="DM113" s="526">
        <v>49681</v>
      </c>
      <c r="DN113" s="151" t="str">
        <f t="shared" si="41"/>
        <v>24.5Y</v>
      </c>
      <c r="DO113" s="386">
        <v>0.35041213508537594</v>
      </c>
      <c r="DP113" s="268">
        <f>IF(DM113,_xll.qDateYears(DM112,DM113,DP$13),0)</f>
        <v>0.25</v>
      </c>
      <c r="DQ113" s="268">
        <f t="shared" si="47"/>
        <v>1635.4435115898993</v>
      </c>
    </row>
    <row r="114" spans="59:121">
      <c r="BG114" s="526">
        <v>49772</v>
      </c>
      <c r="BH114" s="150" t="str">
        <f t="shared" si="36"/>
        <v>24.75Y</v>
      </c>
      <c r="BI114" s="386">
        <v>0.34629319229277655</v>
      </c>
      <c r="BJ114" s="268">
        <f>IF(BG114,_xll.qDateYears(BG113,BG114,$BJ$13),0)</f>
        <v>0.25277777777777777</v>
      </c>
      <c r="BK114" s="268">
        <f t="shared" si="42"/>
        <v>1644.1970339506333</v>
      </c>
      <c r="BQ114" s="526">
        <v>49772</v>
      </c>
      <c r="BR114" s="151" t="str">
        <f t="shared" si="37"/>
        <v>24.75Y</v>
      </c>
      <c r="BS114" s="386">
        <v>0.25102821426244648</v>
      </c>
      <c r="BT114" s="268">
        <f>IF(BQ114,_xll.qDateYears(BQ113,BQ114,BT$13),0)</f>
        <v>0.24931506849315069</v>
      </c>
      <c r="BU114" s="268">
        <f t="shared" si="43"/>
        <v>1297.1504607747486</v>
      </c>
      <c r="CC114" s="526">
        <v>49772</v>
      </c>
      <c r="CD114" s="151" t="str">
        <f t="shared" si="38"/>
        <v>24.75Y</v>
      </c>
      <c r="CE114" s="386">
        <v>0.38500006020659666</v>
      </c>
      <c r="CF114" s="268">
        <f>IF(CC114,_xll.qDateYears(CC113,CC114,CF$13),0)</f>
        <v>0.25277777777777777</v>
      </c>
      <c r="CG114" s="268">
        <f t="shared" si="44"/>
        <v>1677.8206769788069</v>
      </c>
      <c r="CO114" s="526">
        <v>49772</v>
      </c>
      <c r="CP114" s="151" t="str">
        <f t="shared" si="39"/>
        <v>24.75Y</v>
      </c>
      <c r="CQ114" s="386">
        <v>0.35883473857624548</v>
      </c>
      <c r="CR114" s="268">
        <f>IF(CO114,_xll.qDateYears(CO113,CO114,CR$13),0)</f>
        <v>0.24931506849315069</v>
      </c>
      <c r="CS114" s="268">
        <f t="shared" si="45"/>
        <v>1623.505970617839</v>
      </c>
      <c r="DA114" s="526">
        <v>49772</v>
      </c>
      <c r="DB114" s="151" t="str">
        <f t="shared" si="40"/>
        <v>24.75Y</v>
      </c>
      <c r="DC114" s="386">
        <v>0.2276558487231071</v>
      </c>
      <c r="DD114" s="268">
        <f>IF(DA114,_xll.qDateYears(DA113,DA114,DD$13),0)</f>
        <v>0.24931506849315069</v>
      </c>
      <c r="DE114" s="268">
        <f t="shared" si="46"/>
        <v>1321.5321993230707</v>
      </c>
      <c r="DM114" s="526">
        <v>49772</v>
      </c>
      <c r="DN114" s="151" t="str">
        <f t="shared" si="41"/>
        <v>24.75Y</v>
      </c>
      <c r="DO114" s="386">
        <v>0.34629319229277655</v>
      </c>
      <c r="DP114" s="268">
        <f>IF(DM114,_xll.qDateYears(DM113,DM114,DP$13),0)</f>
        <v>0.25277777777777777</v>
      </c>
      <c r="DQ114" s="268">
        <f t="shared" si="47"/>
        <v>1644.1970339506333</v>
      </c>
    </row>
    <row r="115" spans="59:121">
      <c r="BG115" s="526">
        <v>49863</v>
      </c>
      <c r="BH115" s="150" t="str">
        <f t="shared" si="36"/>
        <v>25Y</v>
      </c>
      <c r="BI115" s="386">
        <v>0.34221465089255537</v>
      </c>
      <c r="BJ115" s="268">
        <f>IF(BG115,_xll.qDateYears(BG114,BG115,$BJ$13),0)</f>
        <v>0.25277777777777777</v>
      </c>
      <c r="BK115" s="268">
        <f t="shared" si="42"/>
        <v>1652.8474598481951</v>
      </c>
      <c r="BQ115" s="526">
        <v>49863</v>
      </c>
      <c r="BR115" s="151" t="str">
        <f t="shared" si="37"/>
        <v>25Y</v>
      </c>
      <c r="BS115" s="386">
        <v>0.24862309950353598</v>
      </c>
      <c r="BT115" s="268">
        <f>IF(BQ115,_xll.qDateYears(BQ114,BQ115,BT$13),0)</f>
        <v>0.24931506849315069</v>
      </c>
      <c r="BU115" s="268">
        <f t="shared" si="43"/>
        <v>1303.349009282919</v>
      </c>
      <c r="CC115" s="526">
        <v>49863</v>
      </c>
      <c r="CD115" s="151" t="str">
        <f t="shared" si="38"/>
        <v>25Y</v>
      </c>
      <c r="CE115" s="386">
        <v>0.38131465794308722</v>
      </c>
      <c r="CF115" s="268">
        <f>IF(CC115,_xll.qDateYears(CC114,CC115,CF$13),0)</f>
        <v>0.25277777777777777</v>
      </c>
      <c r="CG115" s="268">
        <f t="shared" si="44"/>
        <v>1687.4594641657015</v>
      </c>
      <c r="CO115" s="526">
        <v>49863</v>
      </c>
      <c r="CP115" s="151" t="str">
        <f t="shared" si="39"/>
        <v>25Y</v>
      </c>
      <c r="CQ115" s="386">
        <v>0.35484397088553754</v>
      </c>
      <c r="CR115" s="268">
        <f>IF(CO115,_xll.qDateYears(CO114,CO115,CR$13),0)</f>
        <v>0.24931506849315069</v>
      </c>
      <c r="CS115" s="268">
        <f t="shared" si="45"/>
        <v>1632.3527655084099</v>
      </c>
      <c r="DA115" s="526">
        <v>49863</v>
      </c>
      <c r="DB115" s="151" t="str">
        <f t="shared" si="40"/>
        <v>25Y</v>
      </c>
      <c r="DC115" s="386">
        <v>0.22429060803845344</v>
      </c>
      <c r="DD115" s="268">
        <f>IF(DA115,_xll.qDateYears(DA114,DA115,DD$13),0)</f>
        <v>0.24931506849315069</v>
      </c>
      <c r="DE115" s="268">
        <f t="shared" si="46"/>
        <v>1327.1241021536184</v>
      </c>
      <c r="DM115" s="526">
        <v>49863</v>
      </c>
      <c r="DN115" s="151" t="str">
        <f t="shared" si="41"/>
        <v>25Y</v>
      </c>
      <c r="DO115" s="386">
        <v>0.34221465089255537</v>
      </c>
      <c r="DP115" s="268">
        <f>IF(DM115,_xll.qDateYears(DM114,DM115,DP$13),0)</f>
        <v>0.25277777777777777</v>
      </c>
      <c r="DQ115" s="268">
        <f t="shared" si="47"/>
        <v>1652.8474598481951</v>
      </c>
    </row>
    <row r="116" spans="59:121">
      <c r="BG116" s="526">
        <v>49955</v>
      </c>
      <c r="BH116" s="150" t="str">
        <f t="shared" si="36"/>
        <v>25.25Y</v>
      </c>
      <c r="BI116" s="386">
        <v>0.33834403919088263</v>
      </c>
      <c r="BJ116" s="268">
        <f>IF(BG116,_xll.qDateYears(BG115,BG116,$BJ$13),0)</f>
        <v>0.25555555555555554</v>
      </c>
      <c r="BK116" s="268">
        <f t="shared" si="42"/>
        <v>1661.4940297386288</v>
      </c>
      <c r="BQ116" s="526">
        <v>49955</v>
      </c>
      <c r="BR116" s="151" t="str">
        <f t="shared" si="37"/>
        <v>25.25Y</v>
      </c>
      <c r="BS116" s="386">
        <v>0.24640326391238879</v>
      </c>
      <c r="BT116" s="268">
        <f>IF(BQ116,_xll.qDateYears(BQ115,BQ116,BT$13),0)</f>
        <v>0.25205479452054796</v>
      </c>
      <c r="BU116" s="268">
        <f t="shared" si="43"/>
        <v>1309.5597216883821</v>
      </c>
      <c r="CC116" s="526">
        <v>49955</v>
      </c>
      <c r="CD116" s="151" t="str">
        <f t="shared" si="38"/>
        <v>25.25Y</v>
      </c>
      <c r="CE116" s="386">
        <v>0.37776151026901927</v>
      </c>
      <c r="CF116" s="268">
        <f>IF(CC116,_xll.qDateYears(CC115,CC116,CF$13),0)</f>
        <v>0.25555555555555554</v>
      </c>
      <c r="CG116" s="268">
        <f t="shared" si="44"/>
        <v>1697.113369428132</v>
      </c>
      <c r="CO116" s="526">
        <v>49955</v>
      </c>
      <c r="CP116" s="151" t="str">
        <f t="shared" si="39"/>
        <v>25.25Y</v>
      </c>
      <c r="CQ116" s="386">
        <v>0.35114945262315361</v>
      </c>
      <c r="CR116" s="268">
        <f>IF(CO116,_xll.qDateYears(CO115,CO116,CR$13),0)</f>
        <v>0.25205479452054796</v>
      </c>
      <c r="CS116" s="268">
        <f t="shared" si="45"/>
        <v>1641.203655821103</v>
      </c>
      <c r="DA116" s="526">
        <v>49955</v>
      </c>
      <c r="DB116" s="151" t="str">
        <f t="shared" si="40"/>
        <v>25.25Y</v>
      </c>
      <c r="DC116" s="386">
        <v>0.22093895238221059</v>
      </c>
      <c r="DD116" s="268">
        <f>IF(DA116,_xll.qDateYears(DA115,DA116,DD$13),0)</f>
        <v>0.25205479452054796</v>
      </c>
      <c r="DE116" s="268">
        <f t="shared" si="46"/>
        <v>1332.6929743780468</v>
      </c>
      <c r="DM116" s="526">
        <v>49955</v>
      </c>
      <c r="DN116" s="151" t="str">
        <f t="shared" si="41"/>
        <v>25.25Y</v>
      </c>
      <c r="DO116" s="386">
        <v>0.33834403919088263</v>
      </c>
      <c r="DP116" s="268">
        <f>IF(DM116,_xll.qDateYears(DM115,DM116,DP$13),0)</f>
        <v>0.25555555555555554</v>
      </c>
      <c r="DQ116" s="268">
        <f t="shared" si="47"/>
        <v>1661.4940297386288</v>
      </c>
    </row>
    <row r="117" spans="59:121">
      <c r="BG117" s="526">
        <v>50047</v>
      </c>
      <c r="BH117" s="150" t="str">
        <f t="shared" si="36"/>
        <v>25.5Y</v>
      </c>
      <c r="BI117" s="386">
        <v>0.33451337580052704</v>
      </c>
      <c r="BJ117" s="268">
        <f>IF(BG117,_xll.qDateYears(BG116,BG117,$BJ$13),0)</f>
        <v>0.25555555555555554</v>
      </c>
      <c r="BK117" s="268">
        <f t="shared" si="42"/>
        <v>1670.0427048979757</v>
      </c>
      <c r="BQ117" s="526">
        <v>50047</v>
      </c>
      <c r="BR117" s="151" t="str">
        <f t="shared" si="37"/>
        <v>25.5Y</v>
      </c>
      <c r="BS117" s="386">
        <v>0.24422790725653529</v>
      </c>
      <c r="BT117" s="268">
        <f>IF(BQ117,_xll.qDateYears(BQ116,BQ117,BT$13),0)</f>
        <v>0.25205479452054796</v>
      </c>
      <c r="BU117" s="268">
        <f t="shared" si="43"/>
        <v>1315.7156031863551</v>
      </c>
      <c r="CC117" s="526">
        <v>50047</v>
      </c>
      <c r="CD117" s="151" t="str">
        <f t="shared" si="38"/>
        <v>25.5Y</v>
      </c>
      <c r="CE117" s="386">
        <v>0.37424407765395812</v>
      </c>
      <c r="CF117" s="268">
        <f>IF(CC117,_xll.qDateYears(CC116,CC117,CF$13),0)</f>
        <v>0.25555555555555554</v>
      </c>
      <c r="CG117" s="268">
        <f t="shared" si="44"/>
        <v>1706.6773847459554</v>
      </c>
      <c r="CO117" s="526">
        <v>50047</v>
      </c>
      <c r="CP117" s="151" t="str">
        <f t="shared" si="39"/>
        <v>25.5Y</v>
      </c>
      <c r="CQ117" s="386">
        <v>0.34749318829747666</v>
      </c>
      <c r="CR117" s="268">
        <f>IF(CO117,_xll.qDateYears(CO116,CO117,CR$13),0)</f>
        <v>0.25205479452054796</v>
      </c>
      <c r="CS117" s="268">
        <f t="shared" si="45"/>
        <v>1649.962388238464</v>
      </c>
      <c r="DA117" s="526">
        <v>50047</v>
      </c>
      <c r="DB117" s="151" t="str">
        <f t="shared" si="40"/>
        <v>25.5Y</v>
      </c>
      <c r="DC117" s="386">
        <v>0.21763738172835045</v>
      </c>
      <c r="DD117" s="268">
        <f>IF(DA117,_xll.qDateYears(DA116,DA117,DD$13),0)</f>
        <v>0.25205479452054796</v>
      </c>
      <c r="DE117" s="268">
        <f t="shared" si="46"/>
        <v>1338.1786289311997</v>
      </c>
      <c r="DM117" s="526">
        <v>50047</v>
      </c>
      <c r="DN117" s="151" t="str">
        <f t="shared" si="41"/>
        <v>25.5Y</v>
      </c>
      <c r="DO117" s="386">
        <v>0.33451337580052704</v>
      </c>
      <c r="DP117" s="268">
        <f>IF(DM117,_xll.qDateYears(DM116,DM117,DP$13),0)</f>
        <v>0.25555555555555554</v>
      </c>
      <c r="DQ117" s="268">
        <f t="shared" si="47"/>
        <v>1670.0427048979757</v>
      </c>
    </row>
    <row r="118" spans="59:121">
      <c r="BG118" s="526">
        <v>50137</v>
      </c>
      <c r="BH118" s="150" t="str">
        <f t="shared" si="36"/>
        <v>25.75Y</v>
      </c>
      <c r="BI118" s="386">
        <v>0.33080429212102885</v>
      </c>
      <c r="BJ118" s="268">
        <f>IF(BG118,_xll.qDateYears(BG117,BG118,$BJ$13),0)</f>
        <v>0.25</v>
      </c>
      <c r="BK118" s="268">
        <f t="shared" si="42"/>
        <v>1678.3128122010014</v>
      </c>
      <c r="BQ118" s="526">
        <v>50137</v>
      </c>
      <c r="BR118" s="151" t="str">
        <f t="shared" si="37"/>
        <v>25.75Y</v>
      </c>
      <c r="BS118" s="386">
        <v>0.24214208428796646</v>
      </c>
      <c r="BT118" s="268">
        <f>IF(BQ118,_xll.qDateYears(BQ117,BQ118,BT$13),0)</f>
        <v>0.24657534246575341</v>
      </c>
      <c r="BU118" s="268">
        <f t="shared" si="43"/>
        <v>1321.6862299222228</v>
      </c>
      <c r="CC118" s="526">
        <v>50137</v>
      </c>
      <c r="CD118" s="151" t="str">
        <f t="shared" si="38"/>
        <v>25.75Y</v>
      </c>
      <c r="CE118" s="386">
        <v>0.37083730353418015</v>
      </c>
      <c r="CF118" s="268">
        <f>IF(CC118,_xll.qDateYears(CC117,CC118,CF$13),0)</f>
        <v>0.25</v>
      </c>
      <c r="CG118" s="268">
        <f t="shared" si="44"/>
        <v>1715.9483173343099</v>
      </c>
      <c r="CO118" s="526">
        <v>50137</v>
      </c>
      <c r="CP118" s="151" t="str">
        <f t="shared" si="39"/>
        <v>25.75Y</v>
      </c>
      <c r="CQ118" s="386">
        <v>0.34395304516605318</v>
      </c>
      <c r="CR118" s="268">
        <f>IF(CO118,_xll.qDateYears(CO117,CO118,CR$13),0)</f>
        <v>0.24657534246575341</v>
      </c>
      <c r="CS118" s="268">
        <f t="shared" si="45"/>
        <v>1658.4434222288598</v>
      </c>
      <c r="DA118" s="526">
        <v>50137</v>
      </c>
      <c r="DB118" s="151" t="str">
        <f t="shared" si="40"/>
        <v>25.75Y</v>
      </c>
      <c r="DC118" s="386">
        <v>0.21445532895995834</v>
      </c>
      <c r="DD118" s="268">
        <f>IF(DA118,_xll.qDateYears(DA117,DA118,DD$13),0)</f>
        <v>0.24657534246575341</v>
      </c>
      <c r="DE118" s="268">
        <f t="shared" si="46"/>
        <v>1343.4665685493903</v>
      </c>
      <c r="DM118" s="526">
        <v>50137</v>
      </c>
      <c r="DN118" s="151" t="str">
        <f t="shared" si="41"/>
        <v>25.75Y</v>
      </c>
      <c r="DO118" s="386">
        <v>0.33080429212102885</v>
      </c>
      <c r="DP118" s="268">
        <f>IF(DM118,_xll.qDateYears(DM117,DM118,DP$13),0)</f>
        <v>0.25</v>
      </c>
      <c r="DQ118" s="268">
        <f t="shared" si="47"/>
        <v>1678.3128122010014</v>
      </c>
    </row>
    <row r="119" spans="59:121">
      <c r="BG119" s="526">
        <v>50228</v>
      </c>
      <c r="BH119" s="150" t="str">
        <f t="shared" si="36"/>
        <v>26Y</v>
      </c>
      <c r="BI119" s="386">
        <v>0.32709216494833099</v>
      </c>
      <c r="BJ119" s="268">
        <f>IF(BG119,_xll.qDateYears(BG118,BG119,$BJ$13),0)</f>
        <v>0.25277777777777777</v>
      </c>
      <c r="BK119" s="268">
        <f t="shared" si="42"/>
        <v>1686.5809752594175</v>
      </c>
      <c r="BQ119" s="526">
        <v>50228</v>
      </c>
      <c r="BR119" s="151" t="str">
        <f t="shared" si="37"/>
        <v>26Y</v>
      </c>
      <c r="BS119" s="386">
        <v>0.24007478576608049</v>
      </c>
      <c r="BT119" s="268">
        <f>IF(BQ119,_xll.qDateYears(BQ118,BQ119,BT$13),0)</f>
        <v>0.24931506849315069</v>
      </c>
      <c r="BU119" s="268">
        <f t="shared" si="43"/>
        <v>1327.6716560878976</v>
      </c>
      <c r="CC119" s="526">
        <v>50228</v>
      </c>
      <c r="CD119" s="151" t="str">
        <f t="shared" si="38"/>
        <v>26Y</v>
      </c>
      <c r="CE119" s="386">
        <v>0.36742669598705574</v>
      </c>
      <c r="CF119" s="268">
        <f>IF(CC119,_xll.qDateYears(CC118,CC119,CF$13),0)</f>
        <v>0.25277777777777777</v>
      </c>
      <c r="CG119" s="268">
        <f t="shared" si="44"/>
        <v>1725.2360477050938</v>
      </c>
      <c r="CO119" s="526">
        <v>50228</v>
      </c>
      <c r="CP119" s="151" t="str">
        <f t="shared" si="39"/>
        <v>26Y</v>
      </c>
      <c r="CQ119" s="386">
        <v>0.34041003259635993</v>
      </c>
      <c r="CR119" s="268">
        <f>IF(CO119,_xll.qDateYears(CO118,CO119,CR$13),0)</f>
        <v>0.24931506849315069</v>
      </c>
      <c r="CS119" s="268">
        <f t="shared" si="45"/>
        <v>1666.9303572881115</v>
      </c>
      <c r="DA119" s="526">
        <v>50228</v>
      </c>
      <c r="DB119" s="151" t="str">
        <f t="shared" si="40"/>
        <v>26Y</v>
      </c>
      <c r="DC119" s="386">
        <v>0.21128522020982199</v>
      </c>
      <c r="DD119" s="268">
        <f>IF(DA119,_xll.qDateYears(DA118,DA119,DD$13),0)</f>
        <v>0.24931506849315069</v>
      </c>
      <c r="DE119" s="268">
        <f t="shared" si="46"/>
        <v>1348.7342274642106</v>
      </c>
      <c r="DM119" s="526">
        <v>50228</v>
      </c>
      <c r="DN119" s="151" t="str">
        <f t="shared" si="41"/>
        <v>26Y</v>
      </c>
      <c r="DO119" s="386">
        <v>0.32709216494833099</v>
      </c>
      <c r="DP119" s="268">
        <f>IF(DM119,_xll.qDateYears(DM118,DM119,DP$13),0)</f>
        <v>0.25277777777777777</v>
      </c>
      <c r="DQ119" s="268">
        <f t="shared" si="47"/>
        <v>1686.5809752594175</v>
      </c>
    </row>
    <row r="120" spans="59:121">
      <c r="BG120" s="526">
        <v>50320</v>
      </c>
      <c r="BH120" s="150" t="str">
        <f t="shared" si="36"/>
        <v>26.25Y</v>
      </c>
      <c r="BI120" s="386">
        <v>0.32337790583699072</v>
      </c>
      <c r="BJ120" s="268">
        <f>IF(BG120,_xll.qDateYears(BG119,BG120,$BJ$13),0)</f>
        <v>0.25555555555555554</v>
      </c>
      <c r="BK120" s="268">
        <f t="shared" si="42"/>
        <v>1694.8450772974741</v>
      </c>
      <c r="BQ120" s="526">
        <v>50320</v>
      </c>
      <c r="BR120" s="151" t="str">
        <f t="shared" si="37"/>
        <v>26.25Y</v>
      </c>
      <c r="BS120" s="386">
        <v>0.23802661844513259</v>
      </c>
      <c r="BT120" s="268">
        <f>IF(BQ120,_xll.qDateYears(BQ119,BQ120,BT$13),0)</f>
        <v>0.25205479452054796</v>
      </c>
      <c r="BU120" s="268">
        <f t="shared" si="43"/>
        <v>1333.6712311281585</v>
      </c>
      <c r="CC120" s="526">
        <v>50320</v>
      </c>
      <c r="CD120" s="151" t="str">
        <f t="shared" si="38"/>
        <v>26.25Y</v>
      </c>
      <c r="CE120" s="386">
        <v>0.36401301591472551</v>
      </c>
      <c r="CF120" s="268">
        <f>IF(CC120,_xll.qDateYears(CC119,CC120,CF$13),0)</f>
        <v>0.25555555555555554</v>
      </c>
      <c r="CG120" s="268">
        <f t="shared" si="44"/>
        <v>1734.538602556248</v>
      </c>
      <c r="CO120" s="526">
        <v>50320</v>
      </c>
      <c r="CP120" s="151" t="str">
        <f t="shared" si="39"/>
        <v>26.25Y</v>
      </c>
      <c r="CQ120" s="386">
        <v>0.33686497972685803</v>
      </c>
      <c r="CR120" s="268">
        <f>IF(CO120,_xll.qDateYears(CO119,CO120,CR$13),0)</f>
        <v>0.25205479452054796</v>
      </c>
      <c r="CS120" s="268">
        <f t="shared" si="45"/>
        <v>1675.4212006127336</v>
      </c>
      <c r="DA120" s="526">
        <v>50320</v>
      </c>
      <c r="DB120" s="151" t="str">
        <f t="shared" si="40"/>
        <v>26.25Y</v>
      </c>
      <c r="DC120" s="386">
        <v>0.20812790876646745</v>
      </c>
      <c r="DD120" s="268">
        <f>IF(DA120,_xll.qDateYears(DA119,DA120,DD$13),0)</f>
        <v>0.25205479452054796</v>
      </c>
      <c r="DE120" s="268">
        <f t="shared" si="46"/>
        <v>1353.9801911920229</v>
      </c>
      <c r="DM120" s="526">
        <v>50320</v>
      </c>
      <c r="DN120" s="151" t="str">
        <f t="shared" si="41"/>
        <v>26.25Y</v>
      </c>
      <c r="DO120" s="386">
        <v>0.32337790583699072</v>
      </c>
      <c r="DP120" s="268">
        <f>IF(DM120,_xll.qDateYears(DM119,DM120,DP$13),0)</f>
        <v>0.25555555555555554</v>
      </c>
      <c r="DQ120" s="268">
        <f t="shared" si="47"/>
        <v>1694.8450772974741</v>
      </c>
    </row>
    <row r="121" spans="59:121">
      <c r="BG121" s="526">
        <v>50412</v>
      </c>
      <c r="BH121" s="150" t="str">
        <f t="shared" si="36"/>
        <v>26.5Y</v>
      </c>
      <c r="BI121" s="386">
        <v>0.31970216313431876</v>
      </c>
      <c r="BJ121" s="268">
        <f>IF(BG121,_xll.qDateYears(BG120,BG121,$BJ$13),0)</f>
        <v>0.25555555555555554</v>
      </c>
      <c r="BK121" s="268">
        <f t="shared" si="42"/>
        <v>1703.0152436886844</v>
      </c>
      <c r="BQ121" s="526">
        <v>50412</v>
      </c>
      <c r="BR121" s="151" t="str">
        <f t="shared" si="37"/>
        <v>26.5Y</v>
      </c>
      <c r="BS121" s="386">
        <v>0.23601976223167376</v>
      </c>
      <c r="BT121" s="268">
        <f>IF(BQ121,_xll.qDateYears(BQ120,BQ121,BT$13),0)</f>
        <v>0.25205479452054796</v>
      </c>
      <c r="BU121" s="268">
        <f t="shared" si="43"/>
        <v>1339.6202223953678</v>
      </c>
      <c r="CC121" s="526">
        <v>50412</v>
      </c>
      <c r="CD121" s="151" t="str">
        <f t="shared" si="38"/>
        <v>26.5Y</v>
      </c>
      <c r="CE121" s="386">
        <v>0.3606335631447205</v>
      </c>
      <c r="CF121" s="268">
        <f>IF(CC121,_xll.qDateYears(CC120,CC121,CF$13),0)</f>
        <v>0.25555555555555554</v>
      </c>
      <c r="CG121" s="268">
        <f t="shared" si="44"/>
        <v>1743.7547936143908</v>
      </c>
      <c r="CO121" s="526">
        <v>50412</v>
      </c>
      <c r="CP121" s="151" t="str">
        <f t="shared" si="39"/>
        <v>26.5Y</v>
      </c>
      <c r="CQ121" s="386">
        <v>0.33335664173934115</v>
      </c>
      <c r="CR121" s="268">
        <f>IF(CO121,_xll.qDateYears(CO120,CO121,CR$13),0)</f>
        <v>0.25205479452054796</v>
      </c>
      <c r="CS121" s="268">
        <f t="shared" si="45"/>
        <v>1683.8236145963006</v>
      </c>
      <c r="DA121" s="526">
        <v>50412</v>
      </c>
      <c r="DB121" s="151" t="str">
        <f t="shared" si="40"/>
        <v>26.5Y</v>
      </c>
      <c r="DC121" s="386">
        <v>0.20501777816965022</v>
      </c>
      <c r="DD121" s="268">
        <f>IF(DA121,_xll.qDateYears(DA120,DA121,DD$13),0)</f>
        <v>0.25205479452054796</v>
      </c>
      <c r="DE121" s="268">
        <f t="shared" si="46"/>
        <v>1359.1477625869838</v>
      </c>
      <c r="DM121" s="526">
        <v>50412</v>
      </c>
      <c r="DN121" s="151" t="str">
        <f t="shared" si="41"/>
        <v>26.5Y</v>
      </c>
      <c r="DO121" s="386">
        <v>0.31970216313431876</v>
      </c>
      <c r="DP121" s="268">
        <f>IF(DM121,_xll.qDateYears(DM120,DM121,DP$13),0)</f>
        <v>0.25555555555555554</v>
      </c>
      <c r="DQ121" s="268">
        <f t="shared" si="47"/>
        <v>1703.0152436886844</v>
      </c>
    </row>
    <row r="122" spans="59:121">
      <c r="BG122" s="526">
        <v>50502</v>
      </c>
      <c r="BH122" s="150" t="str">
        <f t="shared" si="36"/>
        <v>26.75Y</v>
      </c>
      <c r="BI122" s="386">
        <v>0.31614325727035236</v>
      </c>
      <c r="BJ122" s="268">
        <f>IF(BG122,_xll.qDateYears(BG121,BG122,$BJ$13),0)</f>
        <v>0.25</v>
      </c>
      <c r="BK122" s="268">
        <f t="shared" si="42"/>
        <v>1710.9188251204432</v>
      </c>
      <c r="BQ122" s="526">
        <v>50502</v>
      </c>
      <c r="BR122" s="151" t="str">
        <f t="shared" si="37"/>
        <v>26.75Y</v>
      </c>
      <c r="BS122" s="386">
        <v>0.23409578630823116</v>
      </c>
      <c r="BT122" s="268">
        <f>IF(BQ122,_xll.qDateYears(BQ121,BQ122,BT$13),0)</f>
        <v>0.24657534246575341</v>
      </c>
      <c r="BU122" s="268">
        <f t="shared" si="43"/>
        <v>1345.392447263242</v>
      </c>
      <c r="CC122" s="526">
        <v>50502</v>
      </c>
      <c r="CD122" s="151" t="str">
        <f t="shared" si="38"/>
        <v>26.75Y</v>
      </c>
      <c r="CE122" s="386">
        <v>0.35736034575761078</v>
      </c>
      <c r="CF122" s="268">
        <f>IF(CC122,_xll.qDateYears(CC121,CC122,CF$13),0)</f>
        <v>0.25</v>
      </c>
      <c r="CG122" s="268">
        <f t="shared" si="44"/>
        <v>1752.688802258331</v>
      </c>
      <c r="CO122" s="526">
        <v>50502</v>
      </c>
      <c r="CP122" s="151" t="str">
        <f t="shared" si="39"/>
        <v>26.75Y</v>
      </c>
      <c r="CQ122" s="386">
        <v>0.32995973506191451</v>
      </c>
      <c r="CR122" s="268">
        <f>IF(CO122,_xll.qDateYears(CO121,CO122,CR$13),0)</f>
        <v>0.24657534246575341</v>
      </c>
      <c r="CS122" s="268">
        <f t="shared" si="45"/>
        <v>1691.9596080635806</v>
      </c>
      <c r="DA122" s="526">
        <v>50502</v>
      </c>
      <c r="DB122" s="151" t="str">
        <f t="shared" si="40"/>
        <v>26.75Y</v>
      </c>
      <c r="DC122" s="386">
        <v>0.20202023526863969</v>
      </c>
      <c r="DD122" s="268">
        <f>IF(DA122,_xll.qDateYears(DA121,DA122,DD$13),0)</f>
        <v>0.24657534246575341</v>
      </c>
      <c r="DE122" s="268">
        <f t="shared" si="46"/>
        <v>1364.1290834566216</v>
      </c>
      <c r="DM122" s="526">
        <v>50502</v>
      </c>
      <c r="DN122" s="151" t="str">
        <f t="shared" si="41"/>
        <v>26.75Y</v>
      </c>
      <c r="DO122" s="386">
        <v>0.31614325727035236</v>
      </c>
      <c r="DP122" s="268">
        <f>IF(DM122,_xll.qDateYears(DM121,DM122,DP$13),0)</f>
        <v>0.25</v>
      </c>
      <c r="DQ122" s="268">
        <f t="shared" si="47"/>
        <v>1710.9188251204432</v>
      </c>
    </row>
    <row r="123" spans="59:121">
      <c r="BG123" s="526">
        <v>50593</v>
      </c>
      <c r="BH123" s="150" t="str">
        <f t="shared" si="36"/>
        <v>27Y</v>
      </c>
      <c r="BI123" s="386">
        <v>0.31258160436590748</v>
      </c>
      <c r="BJ123" s="268">
        <f>IF(BG123,_xll.qDateYears(BG122,BG123,$BJ$13),0)</f>
        <v>0.25277777777777777</v>
      </c>
      <c r="BK123" s="268">
        <f t="shared" si="42"/>
        <v>1718.8201934530259</v>
      </c>
      <c r="BQ123" s="526">
        <v>50593</v>
      </c>
      <c r="BR123" s="151" t="str">
        <f t="shared" si="37"/>
        <v>27Y</v>
      </c>
      <c r="BS123" s="386">
        <v>0.23218919943052616</v>
      </c>
      <c r="BT123" s="268">
        <f>IF(BQ123,_xll.qDateYears(BQ122,BQ123,BT$13),0)</f>
        <v>0.24931506849315069</v>
      </c>
      <c r="BU123" s="268">
        <f t="shared" si="43"/>
        <v>1351.1812738791812</v>
      </c>
      <c r="CC123" s="526">
        <v>50593</v>
      </c>
      <c r="CD123" s="151" t="str">
        <f t="shared" si="38"/>
        <v>27Y</v>
      </c>
      <c r="CE123" s="386">
        <v>0.35408336333470952</v>
      </c>
      <c r="CF123" s="268">
        <f>IF(CC123,_xll.qDateYears(CC122,CC123,CF$13),0)</f>
        <v>0.25277777777777777</v>
      </c>
      <c r="CG123" s="268">
        <f t="shared" si="44"/>
        <v>1761.6392428315139</v>
      </c>
      <c r="CO123" s="526">
        <v>50593</v>
      </c>
      <c r="CP123" s="151" t="str">
        <f t="shared" si="39"/>
        <v>27Y</v>
      </c>
      <c r="CQ123" s="386">
        <v>0.32656008319172369</v>
      </c>
      <c r="CR123" s="268">
        <f>IF(CO123,_xll.qDateYears(CO122,CO123,CR$13),0)</f>
        <v>0.24931506849315069</v>
      </c>
      <c r="CS123" s="268">
        <f t="shared" si="45"/>
        <v>1700.101243014388</v>
      </c>
      <c r="DA123" s="526">
        <v>50593</v>
      </c>
      <c r="DB123" s="151" t="str">
        <f t="shared" si="40"/>
        <v>27Y</v>
      </c>
      <c r="DC123" s="386">
        <v>0.19903394381747555</v>
      </c>
      <c r="DD123" s="268">
        <f>IF(DA123,_xll.qDateYears(DA122,DA123,DD$13),0)</f>
        <v>0.24931506849315069</v>
      </c>
      <c r="DE123" s="268">
        <f t="shared" si="46"/>
        <v>1369.0912995901533</v>
      </c>
      <c r="DM123" s="526">
        <v>50593</v>
      </c>
      <c r="DN123" s="151" t="str">
        <f t="shared" si="41"/>
        <v>27Y</v>
      </c>
      <c r="DO123" s="386">
        <v>0.31258160436590748</v>
      </c>
      <c r="DP123" s="268">
        <f>IF(DM123,_xll.qDateYears(DM122,DM123,DP$13),0)</f>
        <v>0.25277777777777777</v>
      </c>
      <c r="DQ123" s="268">
        <f t="shared" si="47"/>
        <v>1718.8201934530259</v>
      </c>
    </row>
    <row r="124" spans="59:121">
      <c r="BG124" s="526">
        <v>50685</v>
      </c>
      <c r="BH124" s="150" t="str">
        <f t="shared" si="36"/>
        <v>27.25Y</v>
      </c>
      <c r="BI124" s="386">
        <v>0.30901808114336554</v>
      </c>
      <c r="BJ124" s="268">
        <f>IF(BG124,_xll.qDateYears(BG123,BG124,$BJ$13),0)</f>
        <v>0.25555555555555554</v>
      </c>
      <c r="BK124" s="268">
        <f t="shared" si="42"/>
        <v>1726.7173221933563</v>
      </c>
      <c r="BQ124" s="526">
        <v>50685</v>
      </c>
      <c r="BR124" s="151" t="str">
        <f t="shared" si="37"/>
        <v>27.25Y</v>
      </c>
      <c r="BS124" s="386">
        <v>0.2303005841756145</v>
      </c>
      <c r="BT124" s="268">
        <f>IF(BQ124,_xll.qDateYears(BQ123,BQ124,BT$13),0)</f>
        <v>0.25205479452054796</v>
      </c>
      <c r="BU124" s="268">
        <f t="shared" si="43"/>
        <v>1356.9861105214159</v>
      </c>
      <c r="CC124" s="526">
        <v>50685</v>
      </c>
      <c r="CD124" s="151" t="str">
        <f t="shared" si="38"/>
        <v>27.25Y</v>
      </c>
      <c r="CE124" s="386">
        <v>0.35080334590330658</v>
      </c>
      <c r="CF124" s="268">
        <f>IF(CC124,_xll.qDateYears(CC123,CC124,CF$13),0)</f>
        <v>0.25555555555555554</v>
      </c>
      <c r="CG124" s="268">
        <f t="shared" si="44"/>
        <v>1770.6042172268205</v>
      </c>
      <c r="CO124" s="526">
        <v>50685</v>
      </c>
      <c r="CP124" s="151" t="str">
        <f t="shared" si="39"/>
        <v>27.25Y</v>
      </c>
      <c r="CQ124" s="386">
        <v>0.32315848181919887</v>
      </c>
      <c r="CR124" s="268">
        <f>IF(CO124,_xll.qDateYears(CO123,CO124,CR$13),0)</f>
        <v>0.25205479452054796</v>
      </c>
      <c r="CS124" s="268">
        <f t="shared" si="45"/>
        <v>1708.246607487639</v>
      </c>
      <c r="DA124" s="526">
        <v>50685</v>
      </c>
      <c r="DB124" s="151" t="str">
        <f t="shared" si="40"/>
        <v>27.25Y</v>
      </c>
      <c r="DC124" s="386">
        <v>0.19605970762714078</v>
      </c>
      <c r="DD124" s="268">
        <f>IF(DA124,_xll.qDateYears(DA123,DA124,DD$13),0)</f>
        <v>0.25205479452054796</v>
      </c>
      <c r="DE124" s="268">
        <f t="shared" si="46"/>
        <v>1374.0330785221252</v>
      </c>
      <c r="DM124" s="526">
        <v>50685</v>
      </c>
      <c r="DN124" s="151" t="str">
        <f t="shared" si="41"/>
        <v>27.25Y</v>
      </c>
      <c r="DO124" s="386">
        <v>0.30901808114336554</v>
      </c>
      <c r="DP124" s="268">
        <f>IF(DM124,_xll.qDateYears(DM123,DM124,DP$13),0)</f>
        <v>0.25555555555555554</v>
      </c>
      <c r="DQ124" s="268">
        <f t="shared" si="47"/>
        <v>1726.7173221933563</v>
      </c>
    </row>
    <row r="125" spans="59:121">
      <c r="BG125" s="526">
        <v>50777</v>
      </c>
      <c r="BH125" s="150" t="str">
        <f t="shared" si="36"/>
        <v>27.5Y</v>
      </c>
      <c r="BI125" s="386">
        <v>0.30549168551322003</v>
      </c>
      <c r="BJ125" s="268">
        <f>IF(BG125,_xll.qDateYears(BG124,BG125,$BJ$13),0)</f>
        <v>0.25555555555555554</v>
      </c>
      <c r="BK125" s="268">
        <f t="shared" si="42"/>
        <v>1734.5243319342496</v>
      </c>
      <c r="BQ125" s="526">
        <v>50777</v>
      </c>
      <c r="BR125" s="151" t="str">
        <f t="shared" si="37"/>
        <v>27.5Y</v>
      </c>
      <c r="BS125" s="386">
        <v>0.22845041063304386</v>
      </c>
      <c r="BT125" s="268">
        <f>IF(BQ125,_xll.qDateYears(BQ124,BQ125,BT$13),0)</f>
        <v>0.25205479452054796</v>
      </c>
      <c r="BU125" s="268">
        <f t="shared" si="43"/>
        <v>1362.7443126524406</v>
      </c>
      <c r="CC125" s="526">
        <v>50777</v>
      </c>
      <c r="CD125" s="151" t="str">
        <f t="shared" si="38"/>
        <v>27.5Y</v>
      </c>
      <c r="CE125" s="386">
        <v>0.34755613313095313</v>
      </c>
      <c r="CF125" s="268">
        <f>IF(CC125,_xll.qDateYears(CC124,CC125,CF$13),0)</f>
        <v>0.25555555555555554</v>
      </c>
      <c r="CG125" s="268">
        <f t="shared" si="44"/>
        <v>1779.4862072957226</v>
      </c>
      <c r="CO125" s="526">
        <v>50777</v>
      </c>
      <c r="CP125" s="151" t="str">
        <f t="shared" si="39"/>
        <v>27.5Y</v>
      </c>
      <c r="CQ125" s="386">
        <v>0.31979211785159328</v>
      </c>
      <c r="CR125" s="268">
        <f>IF(CO125,_xll.qDateYears(CO124,CO125,CR$13),0)</f>
        <v>0.25205479452054796</v>
      </c>
      <c r="CS125" s="268">
        <f t="shared" si="45"/>
        <v>1716.3071211430765</v>
      </c>
      <c r="DA125" s="526">
        <v>50777</v>
      </c>
      <c r="DB125" s="151" t="str">
        <f t="shared" si="40"/>
        <v>27.5Y</v>
      </c>
      <c r="DC125" s="386">
        <v>0.19312991652364006</v>
      </c>
      <c r="DD125" s="268">
        <f>IF(DA125,_xll.qDateYears(DA124,DA125,DD$13),0)</f>
        <v>0.25205479452054796</v>
      </c>
      <c r="DE125" s="268">
        <f t="shared" si="46"/>
        <v>1378.9010106646388</v>
      </c>
      <c r="DM125" s="526">
        <v>50777</v>
      </c>
      <c r="DN125" s="151" t="str">
        <f t="shared" si="41"/>
        <v>27.5Y</v>
      </c>
      <c r="DO125" s="386">
        <v>0.30549168551322003</v>
      </c>
      <c r="DP125" s="268">
        <f>IF(DM125,_xll.qDateYears(DM124,DM125,DP$13),0)</f>
        <v>0.25555555555555554</v>
      </c>
      <c r="DQ125" s="268">
        <f t="shared" si="47"/>
        <v>1734.5243319342496</v>
      </c>
    </row>
    <row r="126" spans="59:121">
      <c r="BG126" s="526">
        <v>50867</v>
      </c>
      <c r="BH126" s="150" t="str">
        <f t="shared" si="36"/>
        <v>27.75Y</v>
      </c>
      <c r="BI126" s="386">
        <v>0.30207754648047253</v>
      </c>
      <c r="BJ126" s="268">
        <f>IF(BG126,_xll.qDateYears(BG125,BG126,$BJ$13),0)</f>
        <v>0.25</v>
      </c>
      <c r="BK126" s="268">
        <f t="shared" si="42"/>
        <v>1742.0762705962613</v>
      </c>
      <c r="BQ126" s="526">
        <v>50867</v>
      </c>
      <c r="BR126" s="151" t="str">
        <f t="shared" si="37"/>
        <v>27.75Y</v>
      </c>
      <c r="BS126" s="386">
        <v>0.2266770027033021</v>
      </c>
      <c r="BT126" s="268">
        <f>IF(BQ126,_xll.qDateYears(BQ125,BQ126,BT$13),0)</f>
        <v>0.24657534246575341</v>
      </c>
      <c r="BU126" s="268">
        <f t="shared" si="43"/>
        <v>1368.3336086095082</v>
      </c>
      <c r="CC126" s="526">
        <v>50867</v>
      </c>
      <c r="CD126" s="151" t="str">
        <f t="shared" si="38"/>
        <v>27.75Y</v>
      </c>
      <c r="CE126" s="386">
        <v>0.34441091968039017</v>
      </c>
      <c r="CF126" s="268">
        <f>IF(CC126,_xll.qDateYears(CC125,CC126,CF$13),0)</f>
        <v>0.25</v>
      </c>
      <c r="CG126" s="268">
        <f t="shared" si="44"/>
        <v>1788.0964802877324</v>
      </c>
      <c r="CO126" s="526">
        <v>50867</v>
      </c>
      <c r="CP126" s="151" t="str">
        <f t="shared" si="39"/>
        <v>27.75Y</v>
      </c>
      <c r="CQ126" s="386">
        <v>0.31653268369013127</v>
      </c>
      <c r="CR126" s="268">
        <f>IF(CO126,_xll.qDateYears(CO125,CO126,CR$13),0)</f>
        <v>0.24657534246575341</v>
      </c>
      <c r="CS126" s="268">
        <f t="shared" si="45"/>
        <v>1724.1120366313264</v>
      </c>
      <c r="DA126" s="526">
        <v>50867</v>
      </c>
      <c r="DB126" s="151" t="str">
        <f t="shared" si="40"/>
        <v>27.75Y</v>
      </c>
      <c r="DC126" s="386">
        <v>0.19030618477014721</v>
      </c>
      <c r="DD126" s="268">
        <f>IF(DA126,_xll.qDateYears(DA125,DA126,DD$13),0)</f>
        <v>0.24657534246575341</v>
      </c>
      <c r="DE126" s="268">
        <f t="shared" si="46"/>
        <v>1383.5934919329438</v>
      </c>
      <c r="DM126" s="526">
        <v>50867</v>
      </c>
      <c r="DN126" s="151" t="str">
        <f t="shared" si="41"/>
        <v>27.75Y</v>
      </c>
      <c r="DO126" s="386">
        <v>0.30207754648047253</v>
      </c>
      <c r="DP126" s="268">
        <f>IF(DM126,_xll.qDateYears(DM125,DM126,DP$13),0)</f>
        <v>0.25</v>
      </c>
      <c r="DQ126" s="268">
        <f t="shared" si="47"/>
        <v>1742.0762705962613</v>
      </c>
    </row>
    <row r="127" spans="59:121">
      <c r="BG127" s="526">
        <v>50958</v>
      </c>
      <c r="BH127" s="150" t="str">
        <f t="shared" si="36"/>
        <v>28Y</v>
      </c>
      <c r="BI127" s="386">
        <v>0.2986609382070331</v>
      </c>
      <c r="BJ127" s="268">
        <f>IF(BG127,_xll.qDateYears(BG126,BG127,$BJ$13),0)</f>
        <v>0.25277777777777777</v>
      </c>
      <c r="BK127" s="268">
        <f t="shared" si="42"/>
        <v>1749.6257554231613</v>
      </c>
      <c r="BQ127" s="526">
        <v>50958</v>
      </c>
      <c r="BR127" s="151" t="str">
        <f t="shared" si="37"/>
        <v>28Y</v>
      </c>
      <c r="BS127" s="386">
        <v>0.22491999969754289</v>
      </c>
      <c r="BT127" s="268">
        <f>IF(BQ127,_xll.qDateYears(BQ126,BQ127,BT$13),0)</f>
        <v>0.24931506849315069</v>
      </c>
      <c r="BU127" s="268">
        <f t="shared" si="43"/>
        <v>1373.9412031225154</v>
      </c>
      <c r="CC127" s="526">
        <v>50958</v>
      </c>
      <c r="CD127" s="151" t="str">
        <f t="shared" si="38"/>
        <v>28Y</v>
      </c>
      <c r="CE127" s="386">
        <v>0.34126200977980192</v>
      </c>
      <c r="CF127" s="268">
        <f>IF(CC127,_xll.qDateYears(CC126,CC127,CF$13),0)</f>
        <v>0.25277777777777777</v>
      </c>
      <c r="CG127" s="268">
        <f t="shared" si="44"/>
        <v>1796.7228255349441</v>
      </c>
      <c r="CO127" s="526">
        <v>50958</v>
      </c>
      <c r="CP127" s="151" t="str">
        <f t="shared" si="39"/>
        <v>28Y</v>
      </c>
      <c r="CQ127" s="386">
        <v>0.31327062325010041</v>
      </c>
      <c r="CR127" s="268">
        <f>IF(CO127,_xll.qDateYears(CO126,CO127,CR$13),0)</f>
        <v>0.24931506849315069</v>
      </c>
      <c r="CS127" s="268">
        <f t="shared" si="45"/>
        <v>1731.9223453205755</v>
      </c>
      <c r="DA127" s="526">
        <v>50958</v>
      </c>
      <c r="DB127" s="151" t="str">
        <f t="shared" si="40"/>
        <v>28Y</v>
      </c>
      <c r="DC127" s="386">
        <v>0.18749305205635233</v>
      </c>
      <c r="DD127" s="268">
        <f>IF(DA127,_xll.qDateYears(DA126,DA127,DD$13),0)</f>
        <v>0.24931506849315069</v>
      </c>
      <c r="DE127" s="268">
        <f t="shared" si="46"/>
        <v>1388.2679762444857</v>
      </c>
      <c r="DM127" s="526">
        <v>50958</v>
      </c>
      <c r="DN127" s="151" t="str">
        <f t="shared" si="41"/>
        <v>28Y</v>
      </c>
      <c r="DO127" s="386">
        <v>0.2986609382070331</v>
      </c>
      <c r="DP127" s="268">
        <f>IF(DM127,_xll.qDateYears(DM126,DM127,DP$13),0)</f>
        <v>0.25277777777777777</v>
      </c>
      <c r="DQ127" s="268">
        <f t="shared" si="47"/>
        <v>1749.6257554231613</v>
      </c>
    </row>
    <row r="128" spans="59:121">
      <c r="BG128" s="526">
        <v>51050</v>
      </c>
      <c r="BH128" s="150" t="str">
        <f t="shared" si="36"/>
        <v>28.25Y</v>
      </c>
      <c r="BI128" s="386">
        <v>0.29524270372648714</v>
      </c>
      <c r="BJ128" s="268">
        <f>IF(BG128,_xll.qDateYears(BG127,BG128,$BJ$13),0)</f>
        <v>0.25555555555555554</v>
      </c>
      <c r="BK128" s="268">
        <f t="shared" si="42"/>
        <v>1757.1708467406161</v>
      </c>
      <c r="BQ128" s="526">
        <v>51050</v>
      </c>
      <c r="BR128" s="151" t="str">
        <f t="shared" si="37"/>
        <v>28.25Y</v>
      </c>
      <c r="BS128" s="386">
        <v>0.22317996245450089</v>
      </c>
      <c r="BT128" s="268">
        <f>IF(BQ128,_xll.qDateYears(BQ127,BQ128,BT$13),0)</f>
        <v>0.25205479452054796</v>
      </c>
      <c r="BU128" s="268">
        <f t="shared" si="43"/>
        <v>1379.5665610802728</v>
      </c>
      <c r="CC128" s="526">
        <v>51050</v>
      </c>
      <c r="CD128" s="151" t="str">
        <f t="shared" si="38"/>
        <v>28.25Y</v>
      </c>
      <c r="CE128" s="386">
        <v>0.33811010390012858</v>
      </c>
      <c r="CF128" s="268">
        <f>IF(CC128,_xll.qDateYears(CC127,CC128,CF$13),0)</f>
        <v>0.25555555555555554</v>
      </c>
      <c r="CG128" s="268">
        <f t="shared" si="44"/>
        <v>1805.3634170790585</v>
      </c>
      <c r="CO128" s="526">
        <v>51050</v>
      </c>
      <c r="CP128" s="151" t="str">
        <f t="shared" si="39"/>
        <v>28.25Y</v>
      </c>
      <c r="CQ128" s="386">
        <v>0.31000670011577297</v>
      </c>
      <c r="CR128" s="268">
        <f>IF(CO128,_xll.qDateYears(CO127,CO128,CR$13),0)</f>
        <v>0.25205479452054796</v>
      </c>
      <c r="CS128" s="268">
        <f t="shared" si="45"/>
        <v>1739.736212830343</v>
      </c>
      <c r="DA128" s="526">
        <v>51050</v>
      </c>
      <c r="DB128" s="151" t="str">
        <f t="shared" si="40"/>
        <v>28.25Y</v>
      </c>
      <c r="DC128" s="386">
        <v>0.18469127558462789</v>
      </c>
      <c r="DD128" s="268">
        <f>IF(DA128,_xll.qDateYears(DA127,DA128,DD$13),0)</f>
        <v>0.25205479452054796</v>
      </c>
      <c r="DE128" s="268">
        <f t="shared" si="46"/>
        <v>1392.9232083962079</v>
      </c>
      <c r="DM128" s="526">
        <v>51050</v>
      </c>
      <c r="DN128" s="151" t="str">
        <f t="shared" si="41"/>
        <v>28.25Y</v>
      </c>
      <c r="DO128" s="386">
        <v>0.29524270372648714</v>
      </c>
      <c r="DP128" s="268">
        <f>IF(DM128,_xll.qDateYears(DM127,DM128,DP$13),0)</f>
        <v>0.25555555555555554</v>
      </c>
      <c r="DQ128" s="268">
        <f t="shared" si="47"/>
        <v>1757.1708467406161</v>
      </c>
    </row>
    <row r="129" spans="59:121">
      <c r="BG129" s="526">
        <v>51144</v>
      </c>
      <c r="BH129" s="150" t="str">
        <f t="shared" si="36"/>
        <v>28.5Y</v>
      </c>
      <c r="BI129" s="386">
        <v>0.29178711345801306</v>
      </c>
      <c r="BJ129" s="268">
        <f>IF(BG129,_xll.qDateYears(BG128,BG129,$BJ$13),0)</f>
        <v>0.26111111111111113</v>
      </c>
      <c r="BK129" s="268">
        <f t="shared" si="42"/>
        <v>1764.7897324809087</v>
      </c>
      <c r="BQ129" s="526">
        <v>51144</v>
      </c>
      <c r="BR129" s="151" t="str">
        <f t="shared" si="37"/>
        <v>28.5Y</v>
      </c>
      <c r="BS129" s="386">
        <v>0.22143911415461595</v>
      </c>
      <c r="BT129" s="268">
        <f>IF(BQ129,_xll.qDateYears(BQ128,BQ129,BT$13),0)</f>
        <v>0.25753424657534246</v>
      </c>
      <c r="BU129" s="268">
        <f t="shared" si="43"/>
        <v>1385.2693766228847</v>
      </c>
      <c r="CC129" s="526">
        <v>51144</v>
      </c>
      <c r="CD129" s="151" t="str">
        <f t="shared" si="38"/>
        <v>28.5Y</v>
      </c>
      <c r="CE129" s="386">
        <v>0.3349221527620363</v>
      </c>
      <c r="CF129" s="268">
        <f>IF(CC129,_xll.qDateYears(CC128,CC129,CF$13),0)</f>
        <v>0.26111111111111113</v>
      </c>
      <c r="CG129" s="268">
        <f t="shared" si="44"/>
        <v>1814.1086066234006</v>
      </c>
      <c r="CO129" s="526">
        <v>51144</v>
      </c>
      <c r="CP129" s="151" t="str">
        <f t="shared" si="39"/>
        <v>28.5Y</v>
      </c>
      <c r="CQ129" s="386">
        <v>0.30670674935835379</v>
      </c>
      <c r="CR129" s="268">
        <f>IF(CO129,_xll.qDateYears(CO128,CO129,CR$13),0)</f>
        <v>0.25753424657534246</v>
      </c>
      <c r="CS129" s="268">
        <f t="shared" si="45"/>
        <v>1747.6349619919006</v>
      </c>
      <c r="DA129" s="526">
        <v>51144</v>
      </c>
      <c r="DB129" s="151" t="str">
        <f t="shared" si="40"/>
        <v>28.5Y</v>
      </c>
      <c r="DC129" s="386">
        <v>0.18187182934054447</v>
      </c>
      <c r="DD129" s="268">
        <f>IF(DA129,_xll.qDateYears(DA128,DA129,DD$13),0)</f>
        <v>0.25753424657534246</v>
      </c>
      <c r="DE129" s="268">
        <f t="shared" si="46"/>
        <v>1397.6070308504575</v>
      </c>
      <c r="DM129" s="526">
        <v>51144</v>
      </c>
      <c r="DN129" s="151" t="str">
        <f t="shared" si="41"/>
        <v>28.5Y</v>
      </c>
      <c r="DO129" s="386">
        <v>0.29178711345801306</v>
      </c>
      <c r="DP129" s="268">
        <f>IF(DM129,_xll.qDateYears(DM128,DM129,DP$13),0)</f>
        <v>0.26111111111111113</v>
      </c>
      <c r="DQ129" s="268">
        <f t="shared" si="47"/>
        <v>1764.7897324809087</v>
      </c>
    </row>
    <row r="130" spans="59:121">
      <c r="BG130" s="526">
        <v>51235</v>
      </c>
      <c r="BH130" s="150" t="str">
        <f t="shared" si="36"/>
        <v>28.75Y</v>
      </c>
      <c r="BI130" s="386">
        <v>0.28847705769476351</v>
      </c>
      <c r="BJ130" s="268">
        <f>IF(BG130,_xll.qDateYears(BG129,BG130,$BJ$13),0)</f>
        <v>0.25277777777777777</v>
      </c>
      <c r="BK130" s="268">
        <f t="shared" si="42"/>
        <v>1772.0817914393042</v>
      </c>
      <c r="BQ130" s="526">
        <v>51235</v>
      </c>
      <c r="BR130" s="151" t="str">
        <f t="shared" si="37"/>
        <v>28.75Y</v>
      </c>
      <c r="BS130" s="386">
        <v>0.21978885276202825</v>
      </c>
      <c r="BT130" s="268">
        <f>IF(BQ130,_xll.qDateYears(BQ129,BQ130,BT$13),0)</f>
        <v>0.24931506849315069</v>
      </c>
      <c r="BU130" s="268">
        <f t="shared" si="43"/>
        <v>1390.7490439109242</v>
      </c>
      <c r="CC130" s="526">
        <v>51235</v>
      </c>
      <c r="CD130" s="151" t="str">
        <f t="shared" si="38"/>
        <v>28.75Y</v>
      </c>
      <c r="CE130" s="386">
        <v>0.33186688094567474</v>
      </c>
      <c r="CF130" s="268">
        <f>IF(CC130,_xll.qDateYears(CC129,CC130,CF$13),0)</f>
        <v>0.25277777777777777</v>
      </c>
      <c r="CG130" s="268">
        <f t="shared" si="44"/>
        <v>1822.4974638917497</v>
      </c>
      <c r="CO130" s="526">
        <v>51235</v>
      </c>
      <c r="CP130" s="151" t="str">
        <f t="shared" si="39"/>
        <v>28.75Y</v>
      </c>
      <c r="CQ130" s="386">
        <v>0.3035453991547582</v>
      </c>
      <c r="CR130" s="268">
        <f>IF(CO130,_xll.qDateYears(CO129,CO130,CR$13),0)</f>
        <v>0.24931506849315069</v>
      </c>
      <c r="CS130" s="268">
        <f t="shared" si="45"/>
        <v>1755.2028061900055</v>
      </c>
      <c r="DA130" s="526">
        <v>51235</v>
      </c>
      <c r="DB130" s="151" t="str">
        <f t="shared" si="40"/>
        <v>28.75Y</v>
      </c>
      <c r="DC130" s="386">
        <v>0.17918337445163185</v>
      </c>
      <c r="DD130" s="268">
        <f>IF(DA130,_xll.qDateYears(DA129,DA130,DD$13),0)</f>
        <v>0.24931506849315069</v>
      </c>
      <c r="DE130" s="268">
        <f t="shared" si="46"/>
        <v>1402.0743423778817</v>
      </c>
      <c r="DM130" s="526">
        <v>51235</v>
      </c>
      <c r="DN130" s="151" t="str">
        <f t="shared" si="41"/>
        <v>28.75Y</v>
      </c>
      <c r="DO130" s="386">
        <v>0.28847705769476351</v>
      </c>
      <c r="DP130" s="268">
        <f>IF(DM130,_xll.qDateYears(DM129,DM130,DP$13),0)</f>
        <v>0.25277777777777777</v>
      </c>
      <c r="DQ130" s="268">
        <f t="shared" si="47"/>
        <v>1772.0817914393042</v>
      </c>
    </row>
    <row r="131" spans="59:121">
      <c r="BG131" s="526">
        <v>51326</v>
      </c>
      <c r="BH131" s="150" t="str">
        <f t="shared" si="36"/>
        <v>29Y</v>
      </c>
      <c r="BI131" s="386">
        <v>0.28520135689850912</v>
      </c>
      <c r="BJ131" s="268">
        <f>IF(BG131,_xll.qDateYears(BG130,BG131,$BJ$13),0)</f>
        <v>0.25277777777777777</v>
      </c>
      <c r="BK131" s="268">
        <f t="shared" si="42"/>
        <v>1779.2910479609054</v>
      </c>
      <c r="BQ131" s="526">
        <v>51326</v>
      </c>
      <c r="BR131" s="151" t="str">
        <f t="shared" si="37"/>
        <v>29Y</v>
      </c>
      <c r="BS131" s="386">
        <v>0.21817246443603394</v>
      </c>
      <c r="BT131" s="268">
        <f>IF(BQ131,_xll.qDateYears(BQ130,BQ131,BT$13),0)</f>
        <v>0.24931506849315069</v>
      </c>
      <c r="BU131" s="268">
        <f t="shared" si="43"/>
        <v>1396.1884122023432</v>
      </c>
      <c r="CC131" s="526">
        <v>51326</v>
      </c>
      <c r="CD131" s="151" t="str">
        <f t="shared" si="38"/>
        <v>29Y</v>
      </c>
      <c r="CE131" s="386">
        <v>0.32884172108778703</v>
      </c>
      <c r="CF131" s="268">
        <f>IF(CC131,_xll.qDateYears(CC130,CC131,CF$13),0)</f>
        <v>0.25277777777777777</v>
      </c>
      <c r="CG131" s="268">
        <f t="shared" si="44"/>
        <v>1830.8098518414688</v>
      </c>
      <c r="CO131" s="526">
        <v>51326</v>
      </c>
      <c r="CP131" s="151" t="str">
        <f t="shared" si="39"/>
        <v>29Y</v>
      </c>
      <c r="CQ131" s="386">
        <v>0.30041645480594448</v>
      </c>
      <c r="CR131" s="268">
        <f>IF(CO131,_xll.qDateYears(CO130,CO131,CR$13),0)</f>
        <v>0.24931506849315069</v>
      </c>
      <c r="CS131" s="268">
        <f t="shared" si="45"/>
        <v>1762.6926410906469</v>
      </c>
      <c r="DA131" s="526">
        <v>51326</v>
      </c>
      <c r="DB131" s="151" t="str">
        <f t="shared" si="40"/>
        <v>29Y</v>
      </c>
      <c r="DC131" s="386">
        <v>0.17653466067994403</v>
      </c>
      <c r="DD131" s="268">
        <f>IF(DA131,_xll.qDateYears(DA130,DA131,DD$13),0)</f>
        <v>0.24931506849315069</v>
      </c>
      <c r="DE131" s="268">
        <f t="shared" si="46"/>
        <v>1406.4756174797653</v>
      </c>
      <c r="DM131" s="526">
        <v>51326</v>
      </c>
      <c r="DN131" s="151" t="str">
        <f t="shared" si="41"/>
        <v>29Y</v>
      </c>
      <c r="DO131" s="386">
        <v>0.28520135689850912</v>
      </c>
      <c r="DP131" s="268">
        <f>IF(DM131,_xll.qDateYears(DM130,DM131,DP$13),0)</f>
        <v>0.25277777777777777</v>
      </c>
      <c r="DQ131" s="268">
        <f t="shared" si="47"/>
        <v>1779.2910479609054</v>
      </c>
    </row>
    <row r="132" spans="59:121">
      <c r="BG132" s="526">
        <v>51418</v>
      </c>
      <c r="BH132" s="150" t="str">
        <f t="shared" si="36"/>
        <v>29.25Y</v>
      </c>
      <c r="BI132" s="386">
        <v>0.28192425918769909</v>
      </c>
      <c r="BJ132" s="268">
        <f>IF(BG132,_xll.qDateYears(BG131,BG132,$BJ$13),0)</f>
        <v>0.25555555555555554</v>
      </c>
      <c r="BK132" s="268">
        <f t="shared" si="42"/>
        <v>1786.4957790290355</v>
      </c>
      <c r="BQ132" s="526">
        <v>51418</v>
      </c>
      <c r="BR132" s="151" t="str">
        <f t="shared" si="37"/>
        <v>29.25Y</v>
      </c>
      <c r="BS132" s="386">
        <v>0.21657216956666137</v>
      </c>
      <c r="BT132" s="268">
        <f>IF(BQ132,_xll.qDateYears(BQ131,BQ132,BT$13),0)</f>
        <v>0.25205479452054796</v>
      </c>
      <c r="BU132" s="268">
        <f t="shared" si="43"/>
        <v>1401.6472175722427</v>
      </c>
      <c r="CC132" s="526">
        <v>51418</v>
      </c>
      <c r="CD132" s="151" t="str">
        <f t="shared" si="38"/>
        <v>29.25Y</v>
      </c>
      <c r="CE132" s="386">
        <v>0.32581360594114722</v>
      </c>
      <c r="CF132" s="268">
        <f>IF(CC132,_xll.qDateYears(CC131,CC132,CF$13),0)</f>
        <v>0.25555555555555554</v>
      </c>
      <c r="CG132" s="268">
        <f t="shared" si="44"/>
        <v>1839.1361995488537</v>
      </c>
      <c r="CO132" s="526">
        <v>51418</v>
      </c>
      <c r="CP132" s="151" t="str">
        <f t="shared" si="39"/>
        <v>29.25Y</v>
      </c>
      <c r="CQ132" s="386">
        <v>0.29728573142143294</v>
      </c>
      <c r="CR132" s="268">
        <f>IF(CO132,_xll.qDateYears(CO131,CO132,CR$13),0)</f>
        <v>0.25205479452054796</v>
      </c>
      <c r="CS132" s="268">
        <f t="shared" si="45"/>
        <v>1770.1858704853789</v>
      </c>
      <c r="DA132" s="526">
        <v>51418</v>
      </c>
      <c r="DB132" s="151" t="str">
        <f t="shared" si="40"/>
        <v>29.25Y</v>
      </c>
      <c r="DC132" s="386">
        <v>0.17389663941295724</v>
      </c>
      <c r="DD132" s="268">
        <f>IF(DA132,_xll.qDateYears(DA131,DA132,DD$13),0)</f>
        <v>0.25205479452054796</v>
      </c>
      <c r="DE132" s="268">
        <f t="shared" si="46"/>
        <v>1410.85876565127</v>
      </c>
      <c r="DM132" s="526">
        <v>51418</v>
      </c>
      <c r="DN132" s="151" t="str">
        <f t="shared" si="41"/>
        <v>29.25Y</v>
      </c>
      <c r="DO132" s="386">
        <v>0.28192425918769909</v>
      </c>
      <c r="DP132" s="268">
        <f>IF(DM132,_xll.qDateYears(DM131,DM132,DP$13),0)</f>
        <v>0.25555555555555554</v>
      </c>
      <c r="DQ132" s="268">
        <f t="shared" si="47"/>
        <v>1786.4957790290355</v>
      </c>
    </row>
    <row r="133" spans="59:121">
      <c r="BG133" s="526">
        <v>51508</v>
      </c>
      <c r="BH133" s="150" t="str">
        <f t="shared" si="36"/>
        <v>29.5Y</v>
      </c>
      <c r="BI133" s="386">
        <v>0.27875175421428183</v>
      </c>
      <c r="BJ133" s="268">
        <f>IF(BG133,_xll.qDateYears(BG132,BG133,$BJ$13),0)</f>
        <v>0.25</v>
      </c>
      <c r="BK133" s="268">
        <f t="shared" si="42"/>
        <v>1793.4645728843925</v>
      </c>
      <c r="BQ133" s="526">
        <v>51508</v>
      </c>
      <c r="BR133" s="151" t="str">
        <f t="shared" si="37"/>
        <v>29.5Y</v>
      </c>
      <c r="BS133" s="386">
        <v>0.21503905669074022</v>
      </c>
      <c r="BT133" s="268">
        <f>IF(BQ133,_xll.qDateYears(BQ132,BQ133,BT$13),0)</f>
        <v>0.24657534246575341</v>
      </c>
      <c r="BU133" s="268">
        <f t="shared" si="43"/>
        <v>1406.9495504769459</v>
      </c>
      <c r="CC133" s="526">
        <v>51508</v>
      </c>
      <c r="CD133" s="151" t="str">
        <f t="shared" si="38"/>
        <v>29.5Y</v>
      </c>
      <c r="CE133" s="386">
        <v>0.32288047866273994</v>
      </c>
      <c r="CF133" s="268">
        <f>IF(CC133,_xll.qDateYears(CC132,CC133,CF$13),0)</f>
        <v>0.25</v>
      </c>
      <c r="CG133" s="268">
        <f t="shared" si="44"/>
        <v>1847.2082115154221</v>
      </c>
      <c r="CO133" s="526">
        <v>51508</v>
      </c>
      <c r="CP133" s="151" t="str">
        <f t="shared" si="39"/>
        <v>29.5Y</v>
      </c>
      <c r="CQ133" s="386">
        <v>0.29425446573909203</v>
      </c>
      <c r="CR133" s="268">
        <f>IF(CO133,_xll.qDateYears(CO132,CO133,CR$13),0)</f>
        <v>0.24657534246575341</v>
      </c>
      <c r="CS133" s="268">
        <f t="shared" si="45"/>
        <v>1777.4414600515483</v>
      </c>
      <c r="DA133" s="526">
        <v>51508</v>
      </c>
      <c r="DB133" s="151" t="str">
        <f t="shared" si="40"/>
        <v>29.5Y</v>
      </c>
      <c r="DC133" s="386">
        <v>0.17135411533706682</v>
      </c>
      <c r="DD133" s="268">
        <f>IF(DA133,_xll.qDateYears(DA132,DA133,DD$13),0)</f>
        <v>0.24657534246575341</v>
      </c>
      <c r="DE133" s="268">
        <f t="shared" si="46"/>
        <v>1415.0839356184854</v>
      </c>
      <c r="DM133" s="526">
        <v>51508</v>
      </c>
      <c r="DN133" s="151" t="str">
        <f t="shared" si="41"/>
        <v>29.5Y</v>
      </c>
      <c r="DO133" s="386">
        <v>0.27875175421428183</v>
      </c>
      <c r="DP133" s="268">
        <f>IF(DM133,_xll.qDateYears(DM132,DM133,DP$13),0)</f>
        <v>0.25</v>
      </c>
      <c r="DQ133" s="268">
        <f t="shared" si="47"/>
        <v>1793.4645728843925</v>
      </c>
    </row>
    <row r="134" spans="59:121">
      <c r="BG134" s="526">
        <v>51599</v>
      </c>
      <c r="BH134" s="150" t="str">
        <f t="shared" si="36"/>
        <v>29.75Y</v>
      </c>
      <c r="BI134" s="386">
        <v>0.27557722547717195</v>
      </c>
      <c r="BJ134" s="268">
        <f>IF(BG134,_xll.qDateYears(BG133,BG134,$BJ$13),0)</f>
        <v>0.25277777777777777</v>
      </c>
      <c r="BK134" s="268">
        <f t="shared" si="42"/>
        <v>1800.430552750621</v>
      </c>
      <c r="BQ134" s="526">
        <v>51599</v>
      </c>
      <c r="BR134" s="151" t="str">
        <f t="shared" si="37"/>
        <v>29.75Y</v>
      </c>
      <c r="BS134" s="386">
        <v>0.21352094667499782</v>
      </c>
      <c r="BT134" s="268">
        <f>IF(BQ134,_xll.qDateYears(BQ133,BQ134,BT$13),0)</f>
        <v>0.24931506849315069</v>
      </c>
      <c r="BU134" s="268">
        <f t="shared" si="43"/>
        <v>1412.2729494214459</v>
      </c>
      <c r="CC134" s="526">
        <v>51599</v>
      </c>
      <c r="CD134" s="151" t="str">
        <f t="shared" si="38"/>
        <v>29.75Y</v>
      </c>
      <c r="CE134" s="386">
        <v>0.3199437754657749</v>
      </c>
      <c r="CF134" s="268">
        <f>IF(CC134,_xll.qDateYears(CC133,CC134,CF$13),0)</f>
        <v>0.25277777777777777</v>
      </c>
      <c r="CG134" s="268">
        <f t="shared" si="44"/>
        <v>1855.2956791730292</v>
      </c>
      <c r="CO134" s="526">
        <v>51599</v>
      </c>
      <c r="CP134" s="151" t="str">
        <f t="shared" si="39"/>
        <v>29.75Y</v>
      </c>
      <c r="CQ134" s="386">
        <v>0.29122077039018485</v>
      </c>
      <c r="CR134" s="268">
        <f>IF(CO134,_xll.qDateYears(CO133,CO134,CR$13),0)</f>
        <v>0.24931506849315069</v>
      </c>
      <c r="CS134" s="268">
        <f t="shared" si="45"/>
        <v>1784.7020326831941</v>
      </c>
      <c r="DA134" s="526">
        <v>51599</v>
      </c>
      <c r="DB134" s="151" t="str">
        <f t="shared" si="40"/>
        <v>29.75Y</v>
      </c>
      <c r="DC134" s="386">
        <v>0.16882113477166744</v>
      </c>
      <c r="DD134" s="268">
        <f>IF(DA134,_xll.qDateYears(DA133,DA134,DD$13),0)</f>
        <v>0.24931506849315069</v>
      </c>
      <c r="DE134" s="268">
        <f t="shared" si="46"/>
        <v>1419.2929008963542</v>
      </c>
      <c r="DM134" s="526">
        <v>51599</v>
      </c>
      <c r="DN134" s="151" t="str">
        <f t="shared" si="41"/>
        <v>29.75Y</v>
      </c>
      <c r="DO134" s="386">
        <v>0.27557722547717195</v>
      </c>
      <c r="DP134" s="268">
        <f>IF(DM134,_xll.qDateYears(DM133,DM134,DP$13),0)</f>
        <v>0.25277777777777777</v>
      </c>
      <c r="DQ134" s="268">
        <f t="shared" si="47"/>
        <v>1800.430552750621</v>
      </c>
    </row>
    <row r="135" spans="59:121">
      <c r="BG135" s="526">
        <v>51690</v>
      </c>
      <c r="BH135" s="150" t="str">
        <f t="shared" si="36"/>
        <v>30Y</v>
      </c>
      <c r="BI135" s="386">
        <v>0.27243579798083922</v>
      </c>
      <c r="BJ135" s="268">
        <f>IF(BG135,_xll.qDateYears(BG134,BG135,$BJ$13),0)</f>
        <v>0.25277777777777777</v>
      </c>
      <c r="BK135" s="268">
        <f t="shared" si="42"/>
        <v>1807.3171243106922</v>
      </c>
      <c r="BQ135" s="526">
        <v>51690</v>
      </c>
      <c r="BR135" s="151" t="str">
        <f t="shared" si="37"/>
        <v>30Y</v>
      </c>
      <c r="BS135" s="386">
        <v>0.2120345279070974</v>
      </c>
      <c r="BT135" s="268">
        <f>IF(BQ135,_xll.qDateYears(BQ134,BQ135,BT$13),0)</f>
        <v>0.24931506849315069</v>
      </c>
      <c r="BU135" s="268">
        <f t="shared" si="43"/>
        <v>1417.5592897062529</v>
      </c>
      <c r="CC135" s="526">
        <v>51690</v>
      </c>
      <c r="CD135" s="151" t="str">
        <f t="shared" si="38"/>
        <v>30Y</v>
      </c>
      <c r="CE135" s="386">
        <v>0.31703594288779169</v>
      </c>
      <c r="CF135" s="268">
        <f>IF(CC135,_xll.qDateYears(CC134,CC135,CF$13),0)</f>
        <v>0.25277777777777777</v>
      </c>
      <c r="CG135" s="268">
        <f t="shared" si="44"/>
        <v>1863.309643284915</v>
      </c>
      <c r="CO135" s="526">
        <v>51690</v>
      </c>
      <c r="CP135" s="151" t="str">
        <f t="shared" si="39"/>
        <v>30Y</v>
      </c>
      <c r="CQ135" s="386">
        <v>0.28821882919755754</v>
      </c>
      <c r="CR135" s="268">
        <f>IF(CO135,_xll.qDateYears(CO134,CO135,CR$13),0)</f>
        <v>0.24931506849315069</v>
      </c>
      <c r="CS135" s="268">
        <f t="shared" si="45"/>
        <v>1791.8877623974347</v>
      </c>
      <c r="DA135" s="526">
        <v>51690</v>
      </c>
      <c r="DB135" s="151" t="str">
        <f t="shared" si="40"/>
        <v>30Y</v>
      </c>
      <c r="DC135" s="386">
        <v>0.16632559708023736</v>
      </c>
      <c r="DD135" s="268">
        <f>IF(DA135,_xll.qDateYears(DA134,DA135,DD$13),0)</f>
        <v>0.24931506849315069</v>
      </c>
      <c r="DE135" s="268">
        <f t="shared" si="46"/>
        <v>1423.4396486591766</v>
      </c>
      <c r="DM135" s="526">
        <v>51690</v>
      </c>
      <c r="DN135" s="151" t="str">
        <f t="shared" si="41"/>
        <v>30Y</v>
      </c>
      <c r="DO135" s="386">
        <v>0.27243579798083922</v>
      </c>
      <c r="DP135" s="268">
        <f>IF(DM135,_xll.qDateYears(DM134,DM135,DP$13),0)</f>
        <v>0.25277777777777777</v>
      </c>
      <c r="DQ135" s="268">
        <f t="shared" si="47"/>
        <v>1807.3171243106922</v>
      </c>
    </row>
    <row r="136" spans="59:121">
      <c r="BG136" s="526">
        <v>51782</v>
      </c>
      <c r="BH136" s="150" t="str">
        <f t="shared" si="36"/>
        <v>30.25Y</v>
      </c>
      <c r="BI136" s="386">
        <v>0.26956938031838235</v>
      </c>
      <c r="BJ136" s="268">
        <f>IF(BG136,_xll.qDateYears(BG135,BG136,$BJ$13),0)</f>
        <v>0.25555555555555554</v>
      </c>
      <c r="BK136" s="268">
        <f t="shared" si="42"/>
        <v>1814.2061195854953</v>
      </c>
      <c r="BQ136" s="526">
        <v>51782</v>
      </c>
      <c r="BR136" s="151" t="str">
        <f t="shared" si="37"/>
        <v>30.25Y</v>
      </c>
      <c r="BS136" s="386">
        <v>0.21042172892786387</v>
      </c>
      <c r="BT136" s="268">
        <f>IF(BQ136,_xll.qDateYears(BQ135,BQ136,BT$13),0)</f>
        <v>0.25205479452054796</v>
      </c>
      <c r="BU136" s="268">
        <f t="shared" si="43"/>
        <v>1422.86307027101</v>
      </c>
      <c r="CC136" s="526">
        <v>51782</v>
      </c>
      <c r="CD136" s="151" t="str">
        <f t="shared" si="38"/>
        <v>30.25Y</v>
      </c>
      <c r="CE136" s="386">
        <v>0.31401958423789589</v>
      </c>
      <c r="CF136" s="268">
        <f>IF(CC136,_xll.qDateYears(CC135,CC136,CF$13),0)</f>
        <v>0.25555555555555554</v>
      </c>
      <c r="CG136" s="268">
        <f t="shared" si="44"/>
        <v>1871.334588215439</v>
      </c>
      <c r="CO136" s="526">
        <v>51782</v>
      </c>
      <c r="CP136" s="151" t="str">
        <f t="shared" si="39"/>
        <v>30.25Y</v>
      </c>
      <c r="CQ136" s="386">
        <v>0.28524898716846242</v>
      </c>
      <c r="CR136" s="268">
        <f>IF(CO136,_xll.qDateYears(CO135,CO136,CR$13),0)</f>
        <v>0.25205479452054796</v>
      </c>
      <c r="CS136" s="268">
        <f t="shared" si="45"/>
        <v>1799.0775998822289</v>
      </c>
      <c r="DA136" s="526">
        <v>51782</v>
      </c>
      <c r="DB136" s="151" t="str">
        <f t="shared" si="40"/>
        <v>30.25Y</v>
      </c>
      <c r="DC136" s="386">
        <v>0.16384013354207452</v>
      </c>
      <c r="DD136" s="268">
        <f>IF(DA136,_xll.qDateYears(DA135,DA136,DD$13),0)</f>
        <v>0.25205479452054796</v>
      </c>
      <c r="DE136" s="268">
        <f t="shared" si="46"/>
        <v>1427.5693177785931</v>
      </c>
      <c r="DM136" s="526">
        <v>51782</v>
      </c>
      <c r="DN136" s="151" t="str">
        <f t="shared" si="41"/>
        <v>30.25Y</v>
      </c>
      <c r="DO136" s="386">
        <v>0.26956938031838235</v>
      </c>
      <c r="DP136" s="268">
        <f>IF(DM136,_xll.qDateYears(DM135,DM136,DP$13),0)</f>
        <v>0.25555555555555554</v>
      </c>
      <c r="DQ136" s="268">
        <f t="shared" si="47"/>
        <v>1814.2061195854953</v>
      </c>
    </row>
    <row r="137" spans="59:121">
      <c r="BG137" s="526">
        <v>51873</v>
      </c>
      <c r="BH137" s="150" t="str">
        <f t="shared" si="36"/>
        <v>30.5Y</v>
      </c>
      <c r="BI137" s="386">
        <v>0.26676526272341033</v>
      </c>
      <c r="BJ137" s="268">
        <f>IF(BG137,_xll.qDateYears(BG136,BG137,$BJ$13),0)</f>
        <v>0.25277777777777777</v>
      </c>
      <c r="BK137" s="268">
        <f t="shared" si="42"/>
        <v>1820.9493526154481</v>
      </c>
      <c r="BQ137" s="526">
        <v>51873</v>
      </c>
      <c r="BR137" s="151" t="str">
        <f t="shared" si="37"/>
        <v>30.5Y</v>
      </c>
      <c r="BS137" s="386">
        <v>0.20885698887601514</v>
      </c>
      <c r="BT137" s="268">
        <f>IF(BQ137,_xll.qDateYears(BQ136,BQ137,BT$13),0)</f>
        <v>0.24931506849315069</v>
      </c>
      <c r="BU137" s="268">
        <f t="shared" si="43"/>
        <v>1428.0701897196996</v>
      </c>
      <c r="CC137" s="526">
        <v>51873</v>
      </c>
      <c r="CD137" s="151" t="str">
        <f t="shared" si="38"/>
        <v>30.5Y</v>
      </c>
      <c r="CE137" s="386">
        <v>0.31106466314336206</v>
      </c>
      <c r="CF137" s="268">
        <f>IF(CC137,_xll.qDateYears(CC136,CC137,CF$13),0)</f>
        <v>0.25277777777777777</v>
      </c>
      <c r="CG137" s="268">
        <f t="shared" si="44"/>
        <v>1879.1976116448961</v>
      </c>
      <c r="CO137" s="526">
        <v>51873</v>
      </c>
      <c r="CP137" s="151" t="str">
        <f t="shared" si="39"/>
        <v>30.5Y</v>
      </c>
      <c r="CQ137" s="386">
        <v>0.2823419205285142</v>
      </c>
      <c r="CR137" s="268">
        <f>IF(CO137,_xll.qDateYears(CO136,CO137,CR$13),0)</f>
        <v>0.24931506849315069</v>
      </c>
      <c r="CS137" s="268">
        <f t="shared" si="45"/>
        <v>1806.1168094077343</v>
      </c>
      <c r="DA137" s="526">
        <v>51873</v>
      </c>
      <c r="DB137" s="151" t="str">
        <f t="shared" si="40"/>
        <v>30.5Y</v>
      </c>
      <c r="DC137" s="386">
        <v>0.16141822570940784</v>
      </c>
      <c r="DD137" s="268">
        <f>IF(DA137,_xll.qDateYears(DA136,DA137,DD$13),0)</f>
        <v>0.24931506849315069</v>
      </c>
      <c r="DE137" s="268">
        <f t="shared" si="46"/>
        <v>1431.5937173784714</v>
      </c>
      <c r="DM137" s="526">
        <v>51873</v>
      </c>
      <c r="DN137" s="151" t="str">
        <f t="shared" si="41"/>
        <v>30.5Y</v>
      </c>
      <c r="DO137" s="386">
        <v>0.26676526272341033</v>
      </c>
      <c r="DP137" s="268">
        <f>IF(DM137,_xll.qDateYears(DM136,DM137,DP$13),0)</f>
        <v>0.25277777777777777</v>
      </c>
      <c r="DQ137" s="268">
        <f t="shared" si="47"/>
        <v>1820.9493526154481</v>
      </c>
    </row>
    <row r="138" spans="59:121">
      <c r="BG138" s="526">
        <v>51964</v>
      </c>
      <c r="BH138" s="150" t="str">
        <f t="shared" si="36"/>
        <v>30.75Y</v>
      </c>
      <c r="BI138" s="386">
        <v>0.2639917641817357</v>
      </c>
      <c r="BJ138" s="268">
        <f>IF(BG138,_xll.qDateYears(BG137,BG138,$BJ$13),0)</f>
        <v>0.25277777777777777</v>
      </c>
      <c r="BK138" s="268">
        <f t="shared" si="42"/>
        <v>1827.6224777655975</v>
      </c>
      <c r="BQ138" s="526">
        <v>51964</v>
      </c>
      <c r="BR138" s="151" t="str">
        <f t="shared" si="37"/>
        <v>30.75Y</v>
      </c>
      <c r="BS138" s="386">
        <v>0.20732210999544187</v>
      </c>
      <c r="BT138" s="268">
        <f>IF(BQ138,_xll.qDateYears(BQ137,BQ138,BT$13),0)</f>
        <v>0.24931506849315069</v>
      </c>
      <c r="BU138" s="268">
        <f t="shared" si="43"/>
        <v>1433.2390423250654</v>
      </c>
      <c r="CC138" s="526">
        <v>51964</v>
      </c>
      <c r="CD138" s="151" t="str">
        <f t="shared" si="38"/>
        <v>30.75Y</v>
      </c>
      <c r="CE138" s="386">
        <v>0.30813795953368467</v>
      </c>
      <c r="CF138" s="268">
        <f>IF(CC138,_xll.qDateYears(CC137,CC138,CF$13),0)</f>
        <v>0.25277777777777777</v>
      </c>
      <c r="CG138" s="268">
        <f t="shared" si="44"/>
        <v>1886.9866545108864</v>
      </c>
      <c r="CO138" s="526">
        <v>51964</v>
      </c>
      <c r="CP138" s="151" t="str">
        <f t="shared" si="39"/>
        <v>30.75Y</v>
      </c>
      <c r="CQ138" s="386">
        <v>0.2794648635862681</v>
      </c>
      <c r="CR138" s="268">
        <f>IF(CO138,_xll.qDateYears(CO137,CO138,CR$13),0)</f>
        <v>0.24931506849315069</v>
      </c>
      <c r="CS138" s="268">
        <f t="shared" si="45"/>
        <v>1813.0842895683782</v>
      </c>
      <c r="DA138" s="526">
        <v>51964</v>
      </c>
      <c r="DB138" s="151" t="str">
        <f t="shared" si="40"/>
        <v>30.75Y</v>
      </c>
      <c r="DC138" s="386">
        <v>0.1590321188579972</v>
      </c>
      <c r="DD138" s="268">
        <f>IF(DA138,_xll.qDateYears(DA137,DA138,DD$13),0)</f>
        <v>0.24931506849315069</v>
      </c>
      <c r="DE138" s="268">
        <f t="shared" si="46"/>
        <v>1435.5586277390407</v>
      </c>
      <c r="DM138" s="526">
        <v>51964</v>
      </c>
      <c r="DN138" s="151" t="str">
        <f t="shared" si="41"/>
        <v>30.75Y</v>
      </c>
      <c r="DO138" s="386">
        <v>0.2639917641817357</v>
      </c>
      <c r="DP138" s="268">
        <f>IF(DM138,_xll.qDateYears(DM137,DM138,DP$13),0)</f>
        <v>0.25277777777777777</v>
      </c>
      <c r="DQ138" s="268">
        <f t="shared" si="47"/>
        <v>1827.6224777655975</v>
      </c>
    </row>
    <row r="139" spans="59:121">
      <c r="BG139" s="526">
        <v>52054</v>
      </c>
      <c r="BH139" s="150" t="str">
        <f t="shared" si="36"/>
        <v>31Y</v>
      </c>
      <c r="BI139" s="386">
        <v>0.26127851816579606</v>
      </c>
      <c r="BJ139" s="268">
        <f>IF(BG139,_xll.qDateYears(BG138,BG139,$BJ$13),0)</f>
        <v>0.25</v>
      </c>
      <c r="BK139" s="268">
        <f t="shared" si="42"/>
        <v>1834.1544407197425</v>
      </c>
      <c r="BQ139" s="526">
        <v>52054</v>
      </c>
      <c r="BR139" s="151" t="str">
        <f t="shared" si="37"/>
        <v>31Y</v>
      </c>
      <c r="BS139" s="386">
        <v>0.20583299125334162</v>
      </c>
      <c r="BT139" s="268">
        <f>IF(BQ139,_xll.qDateYears(BQ138,BQ139,BT$13),0)</f>
        <v>0.24657534246575341</v>
      </c>
      <c r="BU139" s="268">
        <f t="shared" si="43"/>
        <v>1438.3143763559697</v>
      </c>
      <c r="CC139" s="526">
        <v>52054</v>
      </c>
      <c r="CD139" s="151" t="str">
        <f t="shared" si="38"/>
        <v>31Y</v>
      </c>
      <c r="CE139" s="386">
        <v>0.30527090376013261</v>
      </c>
      <c r="CF139" s="268">
        <f>IF(CC139,_xll.qDateYears(CC138,CC139,CF$13),0)</f>
        <v>0.25</v>
      </c>
      <c r="CG139" s="268">
        <f t="shared" si="44"/>
        <v>1894.6184271048896</v>
      </c>
      <c r="CO139" s="526">
        <v>52054</v>
      </c>
      <c r="CP139" s="151" t="str">
        <f t="shared" si="39"/>
        <v>31Y</v>
      </c>
      <c r="CQ139" s="386">
        <v>0.27664863213096752</v>
      </c>
      <c r="CR139" s="268">
        <f>IF(CO139,_xll.qDateYears(CO138,CO139,CR$13),0)</f>
        <v>0.24657534246575341</v>
      </c>
      <c r="CS139" s="268">
        <f t="shared" si="45"/>
        <v>1819.9057626894157</v>
      </c>
      <c r="DA139" s="526">
        <v>52054</v>
      </c>
      <c r="DB139" s="151" t="str">
        <f t="shared" si="40"/>
        <v>31Y</v>
      </c>
      <c r="DC139" s="386">
        <v>0.15670692733962566</v>
      </c>
      <c r="DD139" s="268">
        <f>IF(DA139,_xll.qDateYears(DA138,DA139,DD$13),0)</f>
        <v>0.24657534246575341</v>
      </c>
      <c r="DE139" s="268">
        <f t="shared" si="46"/>
        <v>1439.4226341665931</v>
      </c>
      <c r="DM139" s="526">
        <v>52054</v>
      </c>
      <c r="DN139" s="151" t="str">
        <f t="shared" si="41"/>
        <v>31Y</v>
      </c>
      <c r="DO139" s="386">
        <v>0.26127851816579606</v>
      </c>
      <c r="DP139" s="268">
        <f>IF(DM139,_xll.qDateYears(DM138,DM139,DP$13),0)</f>
        <v>0.25</v>
      </c>
      <c r="DQ139" s="268">
        <f t="shared" si="47"/>
        <v>1834.1544407197425</v>
      </c>
    </row>
    <row r="140" spans="59:121">
      <c r="BG140" s="526">
        <v>52146</v>
      </c>
      <c r="BH140" s="150" t="str">
        <f t="shared" si="36"/>
        <v>31.25Y</v>
      </c>
      <c r="BI140" s="386">
        <v>0.25853523380450993</v>
      </c>
      <c r="BJ140" s="268">
        <f>IF(BG140,_xll.qDateYears(BG139,BG140,$BJ$13),0)</f>
        <v>0.25555555555555554</v>
      </c>
      <c r="BK140" s="268">
        <f t="shared" si="42"/>
        <v>1840.7614522503022</v>
      </c>
      <c r="BQ140" s="526">
        <v>52146</v>
      </c>
      <c r="BR140" s="151" t="str">
        <f t="shared" si="37"/>
        <v>31.25Y</v>
      </c>
      <c r="BS140" s="386">
        <v>0.20433999842156841</v>
      </c>
      <c r="BT140" s="268">
        <f>IF(BQ140,_xll.qDateYears(BQ139,BQ140,BT$13),0)</f>
        <v>0.25205479452054796</v>
      </c>
      <c r="BU140" s="268">
        <f t="shared" si="43"/>
        <v>1443.4648639874174</v>
      </c>
      <c r="CC140" s="526">
        <v>52146</v>
      </c>
      <c r="CD140" s="151" t="str">
        <f t="shared" si="38"/>
        <v>31.25Y</v>
      </c>
      <c r="CE140" s="386">
        <v>0.30236811436115235</v>
      </c>
      <c r="CF140" s="268">
        <f>IF(CC140,_xll.qDateYears(CC139,CC140,CF$13),0)</f>
        <v>0.25555555555555554</v>
      </c>
      <c r="CG140" s="268">
        <f t="shared" si="44"/>
        <v>1902.3456122496746</v>
      </c>
      <c r="CO140" s="526">
        <v>52146</v>
      </c>
      <c r="CP140" s="151" t="str">
        <f t="shared" si="39"/>
        <v>31.25Y</v>
      </c>
      <c r="CQ140" s="386">
        <v>0.27379952755320253</v>
      </c>
      <c r="CR140" s="268">
        <f>IF(CO140,_xll.qDateYears(CO139,CO140,CR$13),0)</f>
        <v>0.25205479452054796</v>
      </c>
      <c r="CS140" s="268">
        <f t="shared" si="45"/>
        <v>1826.8070110551403</v>
      </c>
      <c r="DA140" s="526">
        <v>52146</v>
      </c>
      <c r="DB140" s="151" t="str">
        <f t="shared" si="40"/>
        <v>31.25Y</v>
      </c>
      <c r="DC140" s="386">
        <v>0.15436519906137225</v>
      </c>
      <c r="DD140" s="268">
        <f>IF(DA140,_xll.qDateYears(DA139,DA140,DD$13),0)</f>
        <v>0.25205479452054796</v>
      </c>
      <c r="DE140" s="268">
        <f t="shared" si="46"/>
        <v>1443.3134830196468</v>
      </c>
      <c r="DM140" s="526">
        <v>52146</v>
      </c>
      <c r="DN140" s="151" t="str">
        <f t="shared" si="41"/>
        <v>31.25Y</v>
      </c>
      <c r="DO140" s="386">
        <v>0.25853523380450993</v>
      </c>
      <c r="DP140" s="268">
        <f>IF(DM140,_xll.qDateYears(DM139,DM140,DP$13),0)</f>
        <v>0.25555555555555554</v>
      </c>
      <c r="DQ140" s="268">
        <f t="shared" si="47"/>
        <v>1840.7614522503022</v>
      </c>
    </row>
    <row r="141" spans="59:121">
      <c r="BG141" s="526">
        <v>52238</v>
      </c>
      <c r="BH141" s="150" t="str">
        <f t="shared" si="36"/>
        <v>31.5Y</v>
      </c>
      <c r="BI141" s="386">
        <v>0.25582218868505219</v>
      </c>
      <c r="BJ141" s="268">
        <f>IF(BG141,_xll.qDateYears(BG140,BG141,$BJ$13),0)</f>
        <v>0.25555555555555554</v>
      </c>
      <c r="BK141" s="268">
        <f t="shared" si="42"/>
        <v>1847.299130405587</v>
      </c>
      <c r="BQ141" s="526">
        <v>52238</v>
      </c>
      <c r="BR141" s="151" t="str">
        <f t="shared" si="37"/>
        <v>31.5Y</v>
      </c>
      <c r="BS141" s="386">
        <v>0.20287606719647536</v>
      </c>
      <c r="BT141" s="268">
        <f>IF(BQ141,_xll.qDateYears(BQ140,BQ141,BT$13),0)</f>
        <v>0.25205479452054796</v>
      </c>
      <c r="BU141" s="268">
        <f t="shared" si="43"/>
        <v>1448.5784525304518</v>
      </c>
      <c r="CC141" s="526">
        <v>52238</v>
      </c>
      <c r="CD141" s="151" t="str">
        <f t="shared" si="38"/>
        <v>31.5Y</v>
      </c>
      <c r="CE141" s="386">
        <v>0.29949333628724861</v>
      </c>
      <c r="CF141" s="268">
        <f>IF(CC141,_xll.qDateYears(CC140,CC141,CF$13),0)</f>
        <v>0.25555555555555554</v>
      </c>
      <c r="CG141" s="268">
        <f t="shared" si="44"/>
        <v>1909.9993308436819</v>
      </c>
      <c r="CO141" s="526">
        <v>52238</v>
      </c>
      <c r="CP141" s="151" t="str">
        <f t="shared" si="39"/>
        <v>31.5Y</v>
      </c>
      <c r="CQ141" s="386">
        <v>0.27098014427981321</v>
      </c>
      <c r="CR141" s="268">
        <f>IF(CO141,_xll.qDateYears(CO140,CO141,CR$13),0)</f>
        <v>0.25205479452054796</v>
      </c>
      <c r="CS141" s="268">
        <f t="shared" si="45"/>
        <v>1833.6371955136999</v>
      </c>
      <c r="DA141" s="526">
        <v>52238</v>
      </c>
      <c r="DB141" s="151" t="str">
        <f t="shared" si="40"/>
        <v>31.5Y</v>
      </c>
      <c r="DC141" s="386">
        <v>0.15205846407551676</v>
      </c>
      <c r="DD141" s="268">
        <f>IF(DA141,_xll.qDateYears(DA140,DA141,DD$13),0)</f>
        <v>0.25205479452054796</v>
      </c>
      <c r="DE141" s="268">
        <f t="shared" si="46"/>
        <v>1447.1461895114132</v>
      </c>
      <c r="DM141" s="526">
        <v>52238</v>
      </c>
      <c r="DN141" s="151" t="str">
        <f t="shared" si="41"/>
        <v>31.5Y</v>
      </c>
      <c r="DO141" s="386">
        <v>0.25582218868505219</v>
      </c>
      <c r="DP141" s="268">
        <f>IF(DM141,_xll.qDateYears(DM140,DM141,DP$13),0)</f>
        <v>0.25555555555555554</v>
      </c>
      <c r="DQ141" s="268">
        <f t="shared" si="47"/>
        <v>1847.299130405587</v>
      </c>
    </row>
    <row r="142" spans="59:121">
      <c r="BG142" s="526">
        <v>52328</v>
      </c>
      <c r="BH142" s="150" t="str">
        <f t="shared" si="36"/>
        <v>31.75Y</v>
      </c>
      <c r="BI142" s="386">
        <v>0.2531970491762634</v>
      </c>
      <c r="BJ142" s="268">
        <f>IF(BG142,_xll.qDateYears(BG141,BG142,$BJ$13),0)</f>
        <v>0.25</v>
      </c>
      <c r="BK142" s="268">
        <f t="shared" si="42"/>
        <v>1853.6290566349935</v>
      </c>
      <c r="BQ142" s="526">
        <v>52328</v>
      </c>
      <c r="BR142" s="151" t="str">
        <f t="shared" si="37"/>
        <v>31.75Y</v>
      </c>
      <c r="BS142" s="386">
        <v>0.20147163059698406</v>
      </c>
      <c r="BT142" s="268">
        <f>IF(BQ142,_xll.qDateYears(BQ141,BQ142,BT$13),0)</f>
        <v>0.24657534246575341</v>
      </c>
      <c r="BU142" s="268">
        <f t="shared" si="43"/>
        <v>1453.5462461616103</v>
      </c>
      <c r="CC142" s="526">
        <v>52328</v>
      </c>
      <c r="CD142" s="151" t="str">
        <f t="shared" si="38"/>
        <v>31.75Y</v>
      </c>
      <c r="CE142" s="386">
        <v>0.29670789456934432</v>
      </c>
      <c r="CF142" s="268">
        <f>IF(CC142,_xll.qDateYears(CC141,CC142,CF$13),0)</f>
        <v>0.25</v>
      </c>
      <c r="CG142" s="268">
        <f t="shared" si="44"/>
        <v>1917.4170282079156</v>
      </c>
      <c r="CO142" s="526">
        <v>52328</v>
      </c>
      <c r="CP142" s="151" t="str">
        <f t="shared" si="39"/>
        <v>31.75Y</v>
      </c>
      <c r="CQ142" s="386">
        <v>0.26825050954506624</v>
      </c>
      <c r="CR142" s="268">
        <f>IF(CO142,_xll.qDateYears(CO141,CO142,CR$13),0)</f>
        <v>0.24657534246575341</v>
      </c>
      <c r="CS142" s="268">
        <f t="shared" si="45"/>
        <v>1840.2515916394686</v>
      </c>
      <c r="DA142" s="526">
        <v>52328</v>
      </c>
      <c r="DB142" s="151" t="str">
        <f t="shared" si="40"/>
        <v>31.75Y</v>
      </c>
      <c r="DC142" s="386">
        <v>0.14983523361424936</v>
      </c>
      <c r="DD142" s="268">
        <f>IF(DA142,_xll.qDateYears(DA141,DA142,DD$13),0)</f>
        <v>0.24657534246575341</v>
      </c>
      <c r="DE142" s="268">
        <f t="shared" si="46"/>
        <v>1450.8407569156002</v>
      </c>
      <c r="DM142" s="526">
        <v>52328</v>
      </c>
      <c r="DN142" s="151" t="str">
        <f t="shared" si="41"/>
        <v>31.75Y</v>
      </c>
      <c r="DO142" s="386">
        <v>0.2531970491762634</v>
      </c>
      <c r="DP142" s="268">
        <f>IF(DM142,_xll.qDateYears(DM141,DM142,DP$13),0)</f>
        <v>0.25</v>
      </c>
      <c r="DQ142" s="268">
        <f t="shared" si="47"/>
        <v>1853.6290566349935</v>
      </c>
    </row>
    <row r="143" spans="59:121">
      <c r="BG143" s="526">
        <v>52419</v>
      </c>
      <c r="BH143" s="150" t="str">
        <f t="shared" ref="BH143:BH206" si="48">IF(BG143,ROUND((BG143-$BG$15)/365/0.25,0)*0.25&amp;"Y","")</f>
        <v>32Y</v>
      </c>
      <c r="BI143" s="386">
        <v>0.2505714978957202</v>
      </c>
      <c r="BJ143" s="268">
        <f>IF(BG143,_xll.qDateYears(BG142,BG143,$BJ$13),0)</f>
        <v>0.25277777777777777</v>
      </c>
      <c r="BK143" s="268">
        <f t="shared" si="42"/>
        <v>1859.9629472762465</v>
      </c>
      <c r="BQ143" s="526">
        <v>52419</v>
      </c>
      <c r="BR143" s="151" t="str">
        <f t="shared" ref="BR143:BR206" si="49">IF(BQ143,ROUND((BQ143-$BG$15)/365/0.25,0)*0.25&amp;"Y","")</f>
        <v>32Y</v>
      </c>
      <c r="BS143" s="386">
        <v>0.2000789717738502</v>
      </c>
      <c r="BT143" s="268">
        <f>IF(BQ143,_xll.qDateYears(BQ142,BQ143,BT$13),0)</f>
        <v>0.24931506849315069</v>
      </c>
      <c r="BU143" s="268">
        <f t="shared" si="43"/>
        <v>1458.5345164167938</v>
      </c>
      <c r="CC143" s="526">
        <v>52419</v>
      </c>
      <c r="CD143" s="151" t="str">
        <f t="shared" ref="CD143:CD206" si="50">IF(CC143,ROUND((CC143-$BG$15)/365/0.25,0)*0.25&amp;"Y","")</f>
        <v>32Y</v>
      </c>
      <c r="CE143" s="386">
        <v>0.2939182325458532</v>
      </c>
      <c r="CF143" s="268">
        <f>IF(CC143,_xll.qDateYears(CC142,CC143,CF$13),0)</f>
        <v>0.25277777777777777</v>
      </c>
      <c r="CG143" s="268">
        <f t="shared" si="44"/>
        <v>1924.8466279750469</v>
      </c>
      <c r="CO143" s="526">
        <v>52419</v>
      </c>
      <c r="CP143" s="151" t="str">
        <f t="shared" ref="CP143:CP206" si="51">IF(CO143,ROUND((CO143-$BG$15)/365/0.25,0)*0.25&amp;"Y","")</f>
        <v>32Y</v>
      </c>
      <c r="CQ143" s="386">
        <v>0.26551886230902544</v>
      </c>
      <c r="CR143" s="268">
        <f>IF(CO143,_xll.qDateYears(CO142,CO143,CR$13),0)</f>
        <v>0.24931506849315069</v>
      </c>
      <c r="CS143" s="268">
        <f t="shared" si="45"/>
        <v>1846.8713769737485</v>
      </c>
      <c r="DA143" s="526">
        <v>52419</v>
      </c>
      <c r="DB143" s="151" t="str">
        <f t="shared" ref="DB143:DB206" si="52">IF(DA143,ROUND((DA143-$BG$15)/365/0.25,0)*0.25&amp;"Y","")</f>
        <v>32Y</v>
      </c>
      <c r="DC143" s="386">
        <v>0.1476203481765089</v>
      </c>
      <c r="DD143" s="268">
        <f>IF(DA143,_xll.qDateYears(DA142,DA143,DD$13),0)</f>
        <v>0.24931506849315069</v>
      </c>
      <c r="DE143" s="268">
        <f t="shared" si="46"/>
        <v>1454.5211546372611</v>
      </c>
      <c r="DM143" s="526">
        <v>52419</v>
      </c>
      <c r="DN143" s="151" t="str">
        <f t="shared" ref="DN143:DN206" si="53">IF(DM143,ROUND((DM143-$BG$15)/365/0.25,0)*0.25&amp;"Y","")</f>
        <v>32Y</v>
      </c>
      <c r="DO143" s="386">
        <v>0.2505714978957202</v>
      </c>
      <c r="DP143" s="268">
        <f>IF(DM143,_xll.qDateYears(DM142,DM143,DP$13),0)</f>
        <v>0.25277777777777777</v>
      </c>
      <c r="DQ143" s="268">
        <f t="shared" si="47"/>
        <v>1859.9629472762465</v>
      </c>
    </row>
    <row r="144" spans="59:121">
      <c r="BG144" s="526">
        <v>52511</v>
      </c>
      <c r="BH144" s="150" t="str">
        <f t="shared" si="48"/>
        <v>32.25Y</v>
      </c>
      <c r="BI144" s="386">
        <v>0.24794615414093124</v>
      </c>
      <c r="BJ144" s="268">
        <f>IF(BG144,_xll.qDateYears(BG143,BG144,$BJ$13),0)</f>
        <v>0.25555555555555554</v>
      </c>
      <c r="BK144" s="268">
        <f t="shared" si="42"/>
        <v>1866.2993489931814</v>
      </c>
      <c r="BQ144" s="526">
        <v>52511</v>
      </c>
      <c r="BR144" s="151" t="str">
        <f t="shared" si="49"/>
        <v>32.25Y</v>
      </c>
      <c r="BS144" s="386">
        <v>0.19869855803360537</v>
      </c>
      <c r="BT144" s="268">
        <f>IF(BQ144,_xll.qDateYears(BQ143,BQ144,BT$13),0)</f>
        <v>0.25205479452054796</v>
      </c>
      <c r="BU144" s="268">
        <f t="shared" si="43"/>
        <v>1463.5428088384629</v>
      </c>
      <c r="CC144" s="526">
        <v>52511</v>
      </c>
      <c r="CD144" s="151" t="str">
        <f t="shared" si="50"/>
        <v>32.25Y</v>
      </c>
      <c r="CE144" s="386">
        <v>0.2911249718488958</v>
      </c>
      <c r="CF144" s="268">
        <f>IF(CC144,_xll.qDateYears(CC143,CC144,CF$13),0)</f>
        <v>0.25555555555555554</v>
      </c>
      <c r="CG144" s="268">
        <f t="shared" si="44"/>
        <v>1932.286488366741</v>
      </c>
      <c r="CO144" s="526">
        <v>52511</v>
      </c>
      <c r="CP144" s="151" t="str">
        <f t="shared" si="51"/>
        <v>32.25Y</v>
      </c>
      <c r="CQ144" s="386">
        <v>0.26278583894176138</v>
      </c>
      <c r="CR144" s="268">
        <f>IF(CO144,_xll.qDateYears(CO143,CO144,CR$13),0)</f>
        <v>0.25205479452054796</v>
      </c>
      <c r="CS144" s="268">
        <f t="shared" si="45"/>
        <v>1853.495020037486</v>
      </c>
      <c r="DA144" s="526">
        <v>52511</v>
      </c>
      <c r="DB144" s="151" t="str">
        <f t="shared" si="52"/>
        <v>32.25Y</v>
      </c>
      <c r="DC144" s="386">
        <v>0.145414403936269</v>
      </c>
      <c r="DD144" s="268">
        <f>IF(DA144,_xll.qDateYears(DA143,DA144,DD$13),0)</f>
        <v>0.25205479452054796</v>
      </c>
      <c r="DE144" s="268">
        <f t="shared" si="46"/>
        <v>1458.1863944077095</v>
      </c>
      <c r="DM144" s="526">
        <v>52511</v>
      </c>
      <c r="DN144" s="151" t="str">
        <f t="shared" si="53"/>
        <v>32.25Y</v>
      </c>
      <c r="DO144" s="386">
        <v>0.24794615414093124</v>
      </c>
      <c r="DP144" s="268">
        <f>IF(DM144,_xll.qDateYears(DM143,DM144,DP$13),0)</f>
        <v>0.25555555555555554</v>
      </c>
      <c r="DQ144" s="268">
        <f t="shared" si="47"/>
        <v>1866.2993489931814</v>
      </c>
    </row>
    <row r="145" spans="59:121">
      <c r="BG145" s="526">
        <v>52603</v>
      </c>
      <c r="BH145" s="150" t="str">
        <f t="shared" si="48"/>
        <v>32.5Y</v>
      </c>
      <c r="BI145" s="386">
        <v>0.24534969468010426</v>
      </c>
      <c r="BJ145" s="268">
        <f>IF(BG145,_xll.qDateYears(BG144,BG145,$BJ$13),0)</f>
        <v>0.25555555555555554</v>
      </c>
      <c r="BK145" s="268">
        <f t="shared" ref="BK145:BK208" si="54">BK144+BJ145*BI145*100</f>
        <v>1872.5693967461175</v>
      </c>
      <c r="BQ145" s="526">
        <v>52603</v>
      </c>
      <c r="BR145" s="151" t="str">
        <f t="shared" si="49"/>
        <v>32.5Y</v>
      </c>
      <c r="BS145" s="386">
        <v>0.19734540820866953</v>
      </c>
      <c r="BT145" s="268">
        <f>IF(BQ145,_xll.qDateYears(BQ144,BQ145,BT$13),0)</f>
        <v>0.25205479452054796</v>
      </c>
      <c r="BU145" s="268">
        <f t="shared" ref="BU145:BU208" si="55">BU144+BT145*BS145*100</f>
        <v>1468.5169944700237</v>
      </c>
      <c r="CC145" s="526">
        <v>52603</v>
      </c>
      <c r="CD145" s="151" t="str">
        <f t="shared" si="50"/>
        <v>32.5Y</v>
      </c>
      <c r="CE145" s="386">
        <v>0.28835865078529127</v>
      </c>
      <c r="CF145" s="268">
        <f>IF(CC145,_xll.qDateYears(CC144,CC145,CF$13),0)</f>
        <v>0.25555555555555554</v>
      </c>
      <c r="CG145" s="268">
        <f t="shared" ref="CG145:CG208" si="56">CG144+CF145*CE145*100</f>
        <v>1939.6556538868094</v>
      </c>
      <c r="CO145" s="526">
        <v>52603</v>
      </c>
      <c r="CP145" s="151" t="str">
        <f t="shared" si="51"/>
        <v>32.5Y</v>
      </c>
      <c r="CQ145" s="386">
        <v>0.26008131111708682</v>
      </c>
      <c r="CR145" s="268">
        <f>IF(CO145,_xll.qDateYears(CO144,CO145,CR$13),0)</f>
        <v>0.25205479452054796</v>
      </c>
      <c r="CS145" s="268">
        <f t="shared" ref="CS145:CS208" si="57">CS144+CR145*CQ145*100</f>
        <v>1860.0504941807112</v>
      </c>
      <c r="DA145" s="526">
        <v>52603</v>
      </c>
      <c r="DB145" s="151" t="str">
        <f t="shared" si="52"/>
        <v>32.5Y</v>
      </c>
      <c r="DC145" s="386">
        <v>0.1432414239184493</v>
      </c>
      <c r="DD145" s="268">
        <f>IF(DA145,_xll.qDateYears(DA144,DA145,DD$13),0)</f>
        <v>0.25205479452054796</v>
      </c>
      <c r="DE145" s="268">
        <f t="shared" ref="DE145:DE208" si="58">DE144+DD145*DC145*100</f>
        <v>1461.7968631749691</v>
      </c>
      <c r="DM145" s="526">
        <v>52603</v>
      </c>
      <c r="DN145" s="151" t="str">
        <f t="shared" si="53"/>
        <v>32.5Y</v>
      </c>
      <c r="DO145" s="386">
        <v>0.24534969468010426</v>
      </c>
      <c r="DP145" s="268">
        <f>IF(DM145,_xll.qDateYears(DM144,DM145,DP$13),0)</f>
        <v>0.25555555555555554</v>
      </c>
      <c r="DQ145" s="268">
        <f t="shared" ref="DQ145:DQ208" si="59">DQ144+DP145*DO145*100</f>
        <v>1872.5693967461175</v>
      </c>
    </row>
    <row r="146" spans="59:121">
      <c r="BG146" s="526">
        <v>52694</v>
      </c>
      <c r="BH146" s="150" t="str">
        <f t="shared" si="48"/>
        <v>32.75Y</v>
      </c>
      <c r="BI146" s="386">
        <v>0.24280954775235455</v>
      </c>
      <c r="BJ146" s="268">
        <f>IF(BG146,_xll.qDateYears(BG145,BG146,$BJ$13),0)</f>
        <v>0.25277777777777777</v>
      </c>
      <c r="BK146" s="268">
        <f t="shared" si="54"/>
        <v>1878.7070825365242</v>
      </c>
      <c r="BQ146" s="526">
        <v>52694</v>
      </c>
      <c r="BR146" s="151" t="str">
        <f t="shared" si="49"/>
        <v>32.75Y</v>
      </c>
      <c r="BS146" s="386">
        <v>0.19603336900703716</v>
      </c>
      <c r="BT146" s="268">
        <f>IF(BQ146,_xll.qDateYears(BQ145,BQ146,BT$13),0)</f>
        <v>0.24931506849315069</v>
      </c>
      <c r="BU146" s="268">
        <f t="shared" si="55"/>
        <v>1473.4044017521171</v>
      </c>
      <c r="CC146" s="526">
        <v>52694</v>
      </c>
      <c r="CD146" s="151" t="str">
        <f t="shared" si="50"/>
        <v>32.75Y</v>
      </c>
      <c r="CE146" s="386">
        <v>0.28564864212892332</v>
      </c>
      <c r="CF146" s="268">
        <f>IF(CC146,_xll.qDateYears(CC145,CC146,CF$13),0)</f>
        <v>0.25277777777777777</v>
      </c>
      <c r="CG146" s="268">
        <f t="shared" si="56"/>
        <v>1946.8762167850684</v>
      </c>
      <c r="CO146" s="526">
        <v>52694</v>
      </c>
      <c r="CP146" s="151" t="str">
        <f t="shared" si="51"/>
        <v>32.75Y</v>
      </c>
      <c r="CQ146" s="386">
        <v>0.25743391810574334</v>
      </c>
      <c r="CR146" s="268">
        <f>IF(CO146,_xll.qDateYears(CO145,CO146,CR$13),0)</f>
        <v>0.24931506849315069</v>
      </c>
      <c r="CS146" s="268">
        <f t="shared" si="57"/>
        <v>1866.4687096732105</v>
      </c>
      <c r="DA146" s="526">
        <v>52694</v>
      </c>
      <c r="DB146" s="151" t="str">
        <f t="shared" si="52"/>
        <v>32.75Y</v>
      </c>
      <c r="DC146" s="386">
        <v>0.14112400910041678</v>
      </c>
      <c r="DD146" s="268">
        <f>IF(DA146,_xll.qDateYears(DA145,DA146,DD$13),0)</f>
        <v>0.24931506849315069</v>
      </c>
      <c r="DE146" s="268">
        <f t="shared" si="58"/>
        <v>1465.3152973744589</v>
      </c>
      <c r="DM146" s="526">
        <v>52694</v>
      </c>
      <c r="DN146" s="151" t="str">
        <f t="shared" si="53"/>
        <v>32.75Y</v>
      </c>
      <c r="DO146" s="386">
        <v>0.24280954775235455</v>
      </c>
      <c r="DP146" s="268">
        <f>IF(DM146,_xll.qDateYears(DM145,DM146,DP$13),0)</f>
        <v>0.25277777777777777</v>
      </c>
      <c r="DQ146" s="268">
        <f t="shared" si="59"/>
        <v>1878.7070825365242</v>
      </c>
    </row>
    <row r="147" spans="59:121">
      <c r="BG147" s="526">
        <v>52785</v>
      </c>
      <c r="BH147" s="150" t="str">
        <f t="shared" si="48"/>
        <v>33Y</v>
      </c>
      <c r="BI147" s="386">
        <v>0.24029701932613715</v>
      </c>
      <c r="BJ147" s="268">
        <f>IF(BG147,_xll.qDateYears(BG146,BG147,$BJ$13),0)</f>
        <v>0.25277777777777777</v>
      </c>
      <c r="BK147" s="268">
        <f t="shared" si="54"/>
        <v>1884.7812571917127</v>
      </c>
      <c r="BQ147" s="526">
        <v>52785</v>
      </c>
      <c r="BR147" s="151" t="str">
        <f t="shared" si="49"/>
        <v>33Y</v>
      </c>
      <c r="BS147" s="386">
        <v>0.19474718300839949</v>
      </c>
      <c r="BT147" s="268">
        <f>IF(BQ147,_xll.qDateYears(BQ146,BQ147,BT$13),0)</f>
        <v>0.24931506849315069</v>
      </c>
      <c r="BU147" s="268">
        <f t="shared" si="55"/>
        <v>1478.2597424791759</v>
      </c>
      <c r="CC147" s="526">
        <v>52785</v>
      </c>
      <c r="CD147" s="151" t="str">
        <f t="shared" si="50"/>
        <v>33Y</v>
      </c>
      <c r="CE147" s="386">
        <v>0.28296448034216015</v>
      </c>
      <c r="CF147" s="268">
        <f>IF(CC147,_xll.qDateYears(CC146,CC147,CF$13),0)</f>
        <v>0.25277777777777777</v>
      </c>
      <c r="CG147" s="268">
        <f t="shared" si="56"/>
        <v>1954.0289300381619</v>
      </c>
      <c r="CO147" s="526">
        <v>52785</v>
      </c>
      <c r="CP147" s="151" t="str">
        <f t="shared" si="51"/>
        <v>33Y</v>
      </c>
      <c r="CQ147" s="386">
        <v>0.25481382222261295</v>
      </c>
      <c r="CR147" s="268">
        <f>IF(CO147,_xll.qDateYears(CO146,CO147,CR$13),0)</f>
        <v>0.24931506849315069</v>
      </c>
      <c r="CS147" s="268">
        <f t="shared" si="57"/>
        <v>1872.8216022272536</v>
      </c>
      <c r="DA147" s="526">
        <v>52785</v>
      </c>
      <c r="DB147" s="151" t="str">
        <f t="shared" si="52"/>
        <v>33Y</v>
      </c>
      <c r="DC147" s="386">
        <v>0.13903789420519266</v>
      </c>
      <c r="DD147" s="268">
        <f>IF(DA147,_xll.qDateYears(DA146,DA147,DD$13),0)</f>
        <v>0.24931506849315069</v>
      </c>
      <c r="DE147" s="268">
        <f t="shared" si="58"/>
        <v>1468.7817215861498</v>
      </c>
      <c r="DM147" s="526">
        <v>52785</v>
      </c>
      <c r="DN147" s="151" t="str">
        <f t="shared" si="53"/>
        <v>33Y</v>
      </c>
      <c r="DO147" s="386">
        <v>0.24029701932613715</v>
      </c>
      <c r="DP147" s="268">
        <f>IF(DM147,_xll.qDateYears(DM146,DM147,DP$13),0)</f>
        <v>0.25277777777777777</v>
      </c>
      <c r="DQ147" s="268">
        <f t="shared" si="59"/>
        <v>1884.7812571917127</v>
      </c>
    </row>
    <row r="148" spans="59:121">
      <c r="BG148" s="526">
        <v>52877</v>
      </c>
      <c r="BH148" s="150" t="str">
        <f t="shared" si="48"/>
        <v>33.25Y</v>
      </c>
      <c r="BI148" s="386">
        <v>0.23778463653518417</v>
      </c>
      <c r="BJ148" s="268">
        <f>IF(BG148,_xll.qDateYears(BG147,BG148,$BJ$13),0)</f>
        <v>0.25555555555555554</v>
      </c>
      <c r="BK148" s="268">
        <f t="shared" si="54"/>
        <v>1890.8579756809452</v>
      </c>
      <c r="BQ148" s="526">
        <v>52877</v>
      </c>
      <c r="BR148" s="151" t="str">
        <f t="shared" si="49"/>
        <v>33.25Y</v>
      </c>
      <c r="BS148" s="386">
        <v>0.19347274200621312</v>
      </c>
      <c r="BT148" s="268">
        <f>IF(BQ148,_xll.qDateYears(BQ147,BQ148,BT$13),0)</f>
        <v>0.25205479452054796</v>
      </c>
      <c r="BU148" s="268">
        <f t="shared" si="55"/>
        <v>1483.1363157023461</v>
      </c>
      <c r="CC148" s="526">
        <v>52877</v>
      </c>
      <c r="CD148" s="151" t="str">
        <f t="shared" si="50"/>
        <v>33.25Y</v>
      </c>
      <c r="CE148" s="386">
        <v>0.2802768416746062</v>
      </c>
      <c r="CF148" s="268">
        <f>IF(CC148,_xll.qDateYears(CC147,CC148,CF$13),0)</f>
        <v>0.25555555555555554</v>
      </c>
      <c r="CG148" s="268">
        <f t="shared" si="56"/>
        <v>1961.1915604365129</v>
      </c>
      <c r="CO148" s="526">
        <v>52877</v>
      </c>
      <c r="CP148" s="151" t="str">
        <f t="shared" si="51"/>
        <v>33.25Y</v>
      </c>
      <c r="CQ148" s="386">
        <v>0.252192392074511</v>
      </c>
      <c r="CR148" s="268">
        <f>IF(CO148,_xll.qDateYears(CO147,CO148,CR$13),0)</f>
        <v>0.25205479452054796</v>
      </c>
      <c r="CS148" s="268">
        <f t="shared" si="57"/>
        <v>1879.1782323836521</v>
      </c>
      <c r="DA148" s="526">
        <v>52877</v>
      </c>
      <c r="DB148" s="151" t="str">
        <f t="shared" si="52"/>
        <v>33.25Y</v>
      </c>
      <c r="DC148" s="386">
        <v>0.1369602006779406</v>
      </c>
      <c r="DD148" s="268">
        <f>IF(DA148,_xll.qDateYears(DA147,DA148,DD$13),0)</f>
        <v>0.25205479452054796</v>
      </c>
      <c r="DE148" s="268">
        <f t="shared" si="58"/>
        <v>1472.233869110087</v>
      </c>
      <c r="DM148" s="526">
        <v>52877</v>
      </c>
      <c r="DN148" s="151" t="str">
        <f t="shared" si="53"/>
        <v>33.25Y</v>
      </c>
      <c r="DO148" s="386">
        <v>0.23778463653518417</v>
      </c>
      <c r="DP148" s="268">
        <f>IF(DM148,_xll.qDateYears(DM147,DM148,DP$13),0)</f>
        <v>0.25555555555555554</v>
      </c>
      <c r="DQ148" s="268">
        <f t="shared" si="59"/>
        <v>1890.8579756809452</v>
      </c>
    </row>
    <row r="149" spans="59:121">
      <c r="BG149" s="526">
        <v>52971</v>
      </c>
      <c r="BH149" s="150" t="str">
        <f t="shared" si="48"/>
        <v>33.5Y</v>
      </c>
      <c r="BI149" s="386">
        <v>0.2352461293356076</v>
      </c>
      <c r="BJ149" s="268">
        <f>IF(BG149,_xll.qDateYears(BG148,BG149,$BJ$13),0)</f>
        <v>0.26111111111111113</v>
      </c>
      <c r="BK149" s="268">
        <f t="shared" si="54"/>
        <v>1897.000513502486</v>
      </c>
      <c r="BQ149" s="526">
        <v>52971</v>
      </c>
      <c r="BR149" s="151" t="str">
        <f t="shared" si="49"/>
        <v>33.5Y</v>
      </c>
      <c r="BS149" s="386">
        <v>0.19219705868214693</v>
      </c>
      <c r="BT149" s="268">
        <f>IF(BQ149,_xll.qDateYears(BQ148,BQ149,BT$13),0)</f>
        <v>0.25753424657534246</v>
      </c>
      <c r="BU149" s="268">
        <f t="shared" si="55"/>
        <v>1488.0860481725165</v>
      </c>
      <c r="CC149" s="526">
        <v>52971</v>
      </c>
      <c r="CD149" s="151" t="str">
        <f t="shared" si="50"/>
        <v>33.5Y</v>
      </c>
      <c r="CE149" s="386">
        <v>0.27755753180310333</v>
      </c>
      <c r="CF149" s="268">
        <f>IF(CC149,_xll.qDateYears(CC148,CC149,CF$13),0)</f>
        <v>0.26111111111111113</v>
      </c>
      <c r="CG149" s="268">
        <f t="shared" si="56"/>
        <v>1968.4388959891494</v>
      </c>
      <c r="CO149" s="526">
        <v>52971</v>
      </c>
      <c r="CP149" s="151" t="str">
        <f t="shared" si="51"/>
        <v>33.5Y</v>
      </c>
      <c r="CQ149" s="386">
        <v>0.24954218717401525</v>
      </c>
      <c r="CR149" s="268">
        <f>IF(CO149,_xll.qDateYears(CO148,CO149,CR$13),0)</f>
        <v>0.25753424657534246</v>
      </c>
      <c r="CS149" s="268">
        <f t="shared" si="57"/>
        <v>1885.6047982999144</v>
      </c>
      <c r="DA149" s="526">
        <v>52971</v>
      </c>
      <c r="DB149" s="151" t="str">
        <f t="shared" si="52"/>
        <v>33.5Y</v>
      </c>
      <c r="DC149" s="386">
        <v>0.13486940390279248</v>
      </c>
      <c r="DD149" s="268">
        <f>IF(DA149,_xll.qDateYears(DA148,DA149,DD$13),0)</f>
        <v>0.25753424657534246</v>
      </c>
      <c r="DE149" s="268">
        <f t="shared" si="58"/>
        <v>1475.707218142104</v>
      </c>
      <c r="DM149" s="526">
        <v>52971</v>
      </c>
      <c r="DN149" s="151" t="str">
        <f t="shared" si="53"/>
        <v>33.5Y</v>
      </c>
      <c r="DO149" s="386">
        <v>0.2352461293356076</v>
      </c>
      <c r="DP149" s="268">
        <f>IF(DM149,_xll.qDateYears(DM148,DM149,DP$13),0)</f>
        <v>0.26111111111111113</v>
      </c>
      <c r="DQ149" s="268">
        <f t="shared" si="59"/>
        <v>1897.000513502486</v>
      </c>
    </row>
    <row r="150" spans="59:121">
      <c r="BG150" s="526">
        <v>53063</v>
      </c>
      <c r="BH150" s="150" t="str">
        <f t="shared" si="48"/>
        <v>33.75Y</v>
      </c>
      <c r="BI150" s="386">
        <v>0.23278919755497934</v>
      </c>
      <c r="BJ150" s="268">
        <f>IF(BG150,_xll.qDateYears(BG149,BG150,$BJ$13),0)</f>
        <v>0.25555555555555554</v>
      </c>
      <c r="BK150" s="268">
        <f t="shared" si="54"/>
        <v>1902.9495707733354</v>
      </c>
      <c r="BQ150" s="526">
        <v>53063</v>
      </c>
      <c r="BR150" s="151" t="str">
        <f t="shared" si="49"/>
        <v>33.75Y</v>
      </c>
      <c r="BS150" s="386">
        <v>0.19097402234848881</v>
      </c>
      <c r="BT150" s="268">
        <f>IF(BQ150,_xll.qDateYears(BQ149,BQ150,BT$13),0)</f>
        <v>0.25205479452054796</v>
      </c>
      <c r="BU150" s="268">
        <f t="shared" si="55"/>
        <v>1492.8996399686976</v>
      </c>
      <c r="CC150" s="526">
        <v>53063</v>
      </c>
      <c r="CD150" s="151" t="str">
        <f t="shared" si="50"/>
        <v>33.75Y</v>
      </c>
      <c r="CE150" s="386">
        <v>0.27492200819512536</v>
      </c>
      <c r="CF150" s="268">
        <f>IF(CC150,_xll.qDateYears(CC149,CC150,CF$13),0)</f>
        <v>0.25555555555555554</v>
      </c>
      <c r="CG150" s="268">
        <f t="shared" si="56"/>
        <v>1975.4646806430248</v>
      </c>
      <c r="CO150" s="526">
        <v>53063</v>
      </c>
      <c r="CP150" s="151" t="str">
        <f t="shared" si="51"/>
        <v>33.75Y</v>
      </c>
      <c r="CQ150" s="386">
        <v>0.24697568876408357</v>
      </c>
      <c r="CR150" s="268">
        <f>IF(CO150,_xll.qDateYears(CO149,CO150,CR$13),0)</f>
        <v>0.25205479452054796</v>
      </c>
      <c r="CS150" s="268">
        <f t="shared" si="57"/>
        <v>1891.8299389482145</v>
      </c>
      <c r="DA150" s="526">
        <v>53063</v>
      </c>
      <c r="DB150" s="151" t="str">
        <f t="shared" si="52"/>
        <v>33.75Y</v>
      </c>
      <c r="DC150" s="386">
        <v>0.1328540016333965</v>
      </c>
      <c r="DD150" s="268">
        <f>IF(DA150,_xll.qDateYears(DA149,DA150,DD$13),0)</f>
        <v>0.25205479452054796</v>
      </c>
      <c r="DE150" s="268">
        <f t="shared" si="58"/>
        <v>1479.0558669503978</v>
      </c>
      <c r="DM150" s="526">
        <v>53063</v>
      </c>
      <c r="DN150" s="151" t="str">
        <f t="shared" si="53"/>
        <v>33.75Y</v>
      </c>
      <c r="DO150" s="386">
        <v>0.23278919755497934</v>
      </c>
      <c r="DP150" s="268">
        <f>IF(DM150,_xll.qDateYears(DM149,DM150,DP$13),0)</f>
        <v>0.25555555555555554</v>
      </c>
      <c r="DQ150" s="268">
        <f t="shared" si="59"/>
        <v>1902.9495707733354</v>
      </c>
    </row>
    <row r="151" spans="59:121">
      <c r="BG151" s="526">
        <v>53150</v>
      </c>
      <c r="BH151" s="150" t="str">
        <f t="shared" si="48"/>
        <v>34Y</v>
      </c>
      <c r="BI151" s="386">
        <v>0.23049059606707575</v>
      </c>
      <c r="BJ151" s="268">
        <f>IF(BG151,_xll.qDateYears(BG150,BG151,$BJ$13),0)</f>
        <v>0.24166666666666667</v>
      </c>
      <c r="BK151" s="268">
        <f t="shared" si="54"/>
        <v>1908.5197601782897</v>
      </c>
      <c r="BQ151" s="526">
        <v>53150</v>
      </c>
      <c r="BR151" s="151" t="str">
        <f t="shared" si="49"/>
        <v>34Y</v>
      </c>
      <c r="BS151" s="386">
        <v>0.18984032161661085</v>
      </c>
      <c r="BT151" s="268">
        <f>IF(BQ151,_xll.qDateYears(BQ150,BQ151,BT$13),0)</f>
        <v>0.23835616438356164</v>
      </c>
      <c r="BU151" s="268">
        <f t="shared" si="55"/>
        <v>1497.4246010592854</v>
      </c>
      <c r="CC151" s="526">
        <v>53150</v>
      </c>
      <c r="CD151" s="151" t="str">
        <f t="shared" si="50"/>
        <v>34Y</v>
      </c>
      <c r="CE151" s="386">
        <v>0.27245308806348939</v>
      </c>
      <c r="CF151" s="268">
        <f>IF(CC151,_xll.qDateYears(CC150,CC151,CF$13),0)</f>
        <v>0.24166666666666667</v>
      </c>
      <c r="CG151" s="268">
        <f t="shared" si="56"/>
        <v>1982.0489636045593</v>
      </c>
      <c r="CO151" s="526">
        <v>53150</v>
      </c>
      <c r="CP151" s="151" t="str">
        <f t="shared" si="51"/>
        <v>34Y</v>
      </c>
      <c r="CQ151" s="386">
        <v>0.24457327665340223</v>
      </c>
      <c r="CR151" s="268">
        <f>IF(CO151,_xll.qDateYears(CO150,CO151,CR$13),0)</f>
        <v>0.23835616438356164</v>
      </c>
      <c r="CS151" s="268">
        <f t="shared" si="57"/>
        <v>1897.6594937615969</v>
      </c>
      <c r="DA151" s="526">
        <v>53150</v>
      </c>
      <c r="DB151" s="151" t="str">
        <f t="shared" si="52"/>
        <v>34Y</v>
      </c>
      <c r="DC151" s="386">
        <v>0.13097584580812047</v>
      </c>
      <c r="DD151" s="268">
        <f>IF(DA151,_xll.qDateYears(DA150,DA151,DD$13),0)</f>
        <v>0.23835616438356164</v>
      </c>
      <c r="DE151" s="268">
        <f t="shared" si="58"/>
        <v>1482.1777569737694</v>
      </c>
      <c r="DM151" s="526">
        <v>53150</v>
      </c>
      <c r="DN151" s="151" t="str">
        <f t="shared" si="53"/>
        <v>34Y</v>
      </c>
      <c r="DO151" s="386">
        <v>0.23049059606707575</v>
      </c>
      <c r="DP151" s="268">
        <f>IF(DM151,_xll.qDateYears(DM150,DM151,DP$13),0)</f>
        <v>0.24166666666666667</v>
      </c>
      <c r="DQ151" s="268">
        <f t="shared" si="59"/>
        <v>1908.5197601782897</v>
      </c>
    </row>
    <row r="152" spans="59:121">
      <c r="BG152" s="526">
        <v>53245</v>
      </c>
      <c r="BH152" s="150" t="str">
        <f t="shared" si="48"/>
        <v>34.25Y</v>
      </c>
      <c r="BI152" s="386">
        <v>0.22800785191181638</v>
      </c>
      <c r="BJ152" s="268">
        <f>IF(BG152,_xll.qDateYears(BG151,BG152,$BJ$13),0)</f>
        <v>0.2638888888888889</v>
      </c>
      <c r="BK152" s="268">
        <f t="shared" si="54"/>
        <v>1914.5366340481849</v>
      </c>
      <c r="BQ152" s="526">
        <v>53245</v>
      </c>
      <c r="BR152" s="151" t="str">
        <f t="shared" si="49"/>
        <v>34.25Y</v>
      </c>
      <c r="BS152" s="386">
        <v>0.18862738493229989</v>
      </c>
      <c r="BT152" s="268">
        <f>IF(BQ152,_xll.qDateYears(BQ151,BQ152,BT$13),0)</f>
        <v>0.26027397260273971</v>
      </c>
      <c r="BU152" s="268">
        <f t="shared" si="55"/>
        <v>1502.3340809410849</v>
      </c>
      <c r="CC152" s="526">
        <v>53245</v>
      </c>
      <c r="CD152" s="151" t="str">
        <f t="shared" si="50"/>
        <v>34.25Y</v>
      </c>
      <c r="CE152" s="386">
        <v>0.2697828340463797</v>
      </c>
      <c r="CF152" s="268">
        <f>IF(CC152,_xll.qDateYears(CC151,CC152,CF$13),0)</f>
        <v>0.2638888888888889</v>
      </c>
      <c r="CG152" s="268">
        <f t="shared" si="56"/>
        <v>1989.1682328363388</v>
      </c>
      <c r="CO152" s="526">
        <v>53245</v>
      </c>
      <c r="CP152" s="151" t="str">
        <f t="shared" si="51"/>
        <v>34.25Y</v>
      </c>
      <c r="CQ152" s="386">
        <v>0.24197698230382175</v>
      </c>
      <c r="CR152" s="268">
        <f>IF(CO152,_xll.qDateYears(CO151,CO152,CR$13),0)</f>
        <v>0.26027397260273971</v>
      </c>
      <c r="CS152" s="268">
        <f t="shared" si="57"/>
        <v>1903.9575248078606</v>
      </c>
      <c r="DA152" s="526">
        <v>53245</v>
      </c>
      <c r="DB152" s="151" t="str">
        <f t="shared" si="52"/>
        <v>34.25Y</v>
      </c>
      <c r="DC152" s="386">
        <v>0.12895529881326137</v>
      </c>
      <c r="DD152" s="268">
        <f>IF(DA152,_xll.qDateYears(DA151,DA152,DD$13),0)</f>
        <v>0.26027397260273971</v>
      </c>
      <c r="DE152" s="268">
        <f t="shared" si="58"/>
        <v>1485.5341277647995</v>
      </c>
      <c r="DM152" s="526">
        <v>53245</v>
      </c>
      <c r="DN152" s="151" t="str">
        <f t="shared" si="53"/>
        <v>34.25Y</v>
      </c>
      <c r="DO152" s="386">
        <v>0.22800785191181638</v>
      </c>
      <c r="DP152" s="268">
        <f>IF(DM152,_xll.qDateYears(DM151,DM152,DP$13),0)</f>
        <v>0.2638888888888889</v>
      </c>
      <c r="DQ152" s="268">
        <f t="shared" si="59"/>
        <v>1914.5366340481849</v>
      </c>
    </row>
    <row r="153" spans="59:121">
      <c r="BG153" s="526">
        <v>53335</v>
      </c>
      <c r="BH153" s="150" t="str">
        <f t="shared" si="48"/>
        <v>34.5Y</v>
      </c>
      <c r="BI153" s="386">
        <v>0.22568169822845732</v>
      </c>
      <c r="BJ153" s="268">
        <f>IF(BG153,_xll.qDateYears(BG152,BG153,$BJ$13),0)</f>
        <v>0.25</v>
      </c>
      <c r="BK153" s="268">
        <f t="shared" si="54"/>
        <v>1920.1786765038962</v>
      </c>
      <c r="BQ153" s="526">
        <v>53335</v>
      </c>
      <c r="BR153" s="151" t="str">
        <f t="shared" si="49"/>
        <v>34.5Y</v>
      </c>
      <c r="BS153" s="386">
        <v>0.18750202362220753</v>
      </c>
      <c r="BT153" s="268">
        <f>IF(BQ153,_xll.qDateYears(BQ152,BQ153,BT$13),0)</f>
        <v>0.24657534246575341</v>
      </c>
      <c r="BU153" s="268">
        <f t="shared" si="55"/>
        <v>1506.9574185098518</v>
      </c>
      <c r="CC153" s="526">
        <v>53335</v>
      </c>
      <c r="CD153" s="151" t="str">
        <f t="shared" si="50"/>
        <v>34.5Y</v>
      </c>
      <c r="CE153" s="386">
        <v>0.26727762362504409</v>
      </c>
      <c r="CF153" s="268">
        <f>IF(CC153,_xll.qDateYears(CC152,CC153,CF$13),0)</f>
        <v>0.25</v>
      </c>
      <c r="CG153" s="268">
        <f t="shared" si="56"/>
        <v>1995.8501734269648</v>
      </c>
      <c r="CO153" s="526">
        <v>53335</v>
      </c>
      <c r="CP153" s="151" t="str">
        <f t="shared" si="51"/>
        <v>34.5Y</v>
      </c>
      <c r="CQ153" s="386">
        <v>0.23954309318915737</v>
      </c>
      <c r="CR153" s="268">
        <f>IF(CO153,_xll.qDateYears(CO152,CO153,CR$13),0)</f>
        <v>0.24657534246575341</v>
      </c>
      <c r="CS153" s="268">
        <f t="shared" si="57"/>
        <v>1909.864066831703</v>
      </c>
      <c r="DA153" s="526">
        <v>53335</v>
      </c>
      <c r="DB153" s="151" t="str">
        <f t="shared" si="52"/>
        <v>34.5Y</v>
      </c>
      <c r="DC153" s="386">
        <v>0.12706985724835709</v>
      </c>
      <c r="DD153" s="268">
        <f>IF(DA153,_xll.qDateYears(DA152,DA153,DD$13),0)</f>
        <v>0.24657534246575341</v>
      </c>
      <c r="DE153" s="268">
        <f t="shared" si="58"/>
        <v>1488.6673571216083</v>
      </c>
      <c r="DM153" s="526">
        <v>53335</v>
      </c>
      <c r="DN153" s="151" t="str">
        <f t="shared" si="53"/>
        <v>34.5Y</v>
      </c>
      <c r="DO153" s="386">
        <v>0.22568169822845732</v>
      </c>
      <c r="DP153" s="268">
        <f>IF(DM153,_xll.qDateYears(DM152,DM153,DP$13),0)</f>
        <v>0.25</v>
      </c>
      <c r="DQ153" s="268">
        <f t="shared" si="59"/>
        <v>1920.1786765038962</v>
      </c>
    </row>
    <row r="154" spans="59:121">
      <c r="BG154" s="526">
        <v>53426</v>
      </c>
      <c r="BH154" s="150" t="str">
        <f t="shared" si="48"/>
        <v>34.75Y</v>
      </c>
      <c r="BI154" s="386">
        <v>0.2233550462333995</v>
      </c>
      <c r="BJ154" s="268">
        <f>IF(BG154,_xll.qDateYears(BG153,BG154,$BJ$13),0)</f>
        <v>0.25277777777777777</v>
      </c>
      <c r="BK154" s="268">
        <f t="shared" si="54"/>
        <v>1925.8245957281295</v>
      </c>
      <c r="BQ154" s="526">
        <v>53426</v>
      </c>
      <c r="BR154" s="151" t="str">
        <f t="shared" si="49"/>
        <v>34.75Y</v>
      </c>
      <c r="BS154" s="386">
        <v>0.18638729678317992</v>
      </c>
      <c r="BT154" s="268">
        <f>IF(BQ154,_xll.qDateYears(BQ153,BQ154,BT$13),0)</f>
        <v>0.24931506849315069</v>
      </c>
      <c r="BU154" s="268">
        <f t="shared" si="55"/>
        <v>1511.6043346762269</v>
      </c>
      <c r="CC154" s="526">
        <v>53426</v>
      </c>
      <c r="CD154" s="151" t="str">
        <f t="shared" si="50"/>
        <v>34.75Y</v>
      </c>
      <c r="CE154" s="386">
        <v>0.26476858114921653</v>
      </c>
      <c r="CF154" s="268">
        <f>IF(CC154,_xll.qDateYears(CC153,CC154,CF$13),0)</f>
        <v>0.25277777777777777</v>
      </c>
      <c r="CG154" s="268">
        <f t="shared" si="56"/>
        <v>2002.5429347837921</v>
      </c>
      <c r="CO154" s="526">
        <v>53426</v>
      </c>
      <c r="CP154" s="151" t="str">
        <f t="shared" si="51"/>
        <v>34.75Y</v>
      </c>
      <c r="CQ154" s="386">
        <v>0.23710737338606047</v>
      </c>
      <c r="CR154" s="268">
        <f>IF(CO154,_xll.qDateYears(CO153,CO154,CR$13),0)</f>
        <v>0.24931506849315069</v>
      </c>
      <c r="CS154" s="268">
        <f t="shared" si="57"/>
        <v>1915.7755109353006</v>
      </c>
      <c r="DA154" s="526">
        <v>53426</v>
      </c>
      <c r="DB154" s="151" t="str">
        <f t="shared" si="52"/>
        <v>34.75Y</v>
      </c>
      <c r="DC154" s="386">
        <v>0.12519149279691089</v>
      </c>
      <c r="DD154" s="268">
        <f>IF(DA154,_xll.qDateYears(DA153,DA154,DD$13),0)</f>
        <v>0.24931506849315069</v>
      </c>
      <c r="DE154" s="268">
        <f t="shared" si="58"/>
        <v>1491.7885696817505</v>
      </c>
      <c r="DM154" s="526">
        <v>53426</v>
      </c>
      <c r="DN154" s="151" t="str">
        <f t="shared" si="53"/>
        <v>34.75Y</v>
      </c>
      <c r="DO154" s="386">
        <v>0.2233550462333995</v>
      </c>
      <c r="DP154" s="268">
        <f>IF(DM154,_xll.qDateYears(DM153,DM154,DP$13),0)</f>
        <v>0.25277777777777777</v>
      </c>
      <c r="DQ154" s="268">
        <f t="shared" si="59"/>
        <v>1925.8245957281295</v>
      </c>
    </row>
    <row r="155" spans="59:121">
      <c r="BG155" s="526">
        <v>53517</v>
      </c>
      <c r="BH155" s="150" t="str">
        <f t="shared" si="48"/>
        <v>35Y</v>
      </c>
      <c r="BI155" s="386">
        <v>0.22105359498587859</v>
      </c>
      <c r="BJ155" s="268">
        <f>IF(BG155,_xll.qDateYears(BG154,BG155,$BJ$13),0)</f>
        <v>0.25277777777777777</v>
      </c>
      <c r="BK155" s="268">
        <f t="shared" si="54"/>
        <v>1931.4123393791615</v>
      </c>
      <c r="BQ155" s="526">
        <v>53517</v>
      </c>
      <c r="BR155" s="151" t="str">
        <f t="shared" si="49"/>
        <v>35Y</v>
      </c>
      <c r="BS155" s="386">
        <v>0.18529550462579863</v>
      </c>
      <c r="BT155" s="268">
        <f>IF(BQ155,_xll.qDateYears(BQ154,BQ155,BT$13),0)</f>
        <v>0.24931506849315069</v>
      </c>
      <c r="BU155" s="268">
        <f t="shared" si="55"/>
        <v>1516.2240308189523</v>
      </c>
      <c r="CC155" s="526">
        <v>53517</v>
      </c>
      <c r="CD155" s="151" t="str">
        <f t="shared" si="50"/>
        <v>35Y</v>
      </c>
      <c r="CE155" s="386">
        <v>0.26228344250999069</v>
      </c>
      <c r="CF155" s="268">
        <f>IF(CC155,_xll.qDateYears(CC154,CC155,CF$13),0)</f>
        <v>0.25277777777777777</v>
      </c>
      <c r="CG155" s="268">
        <f t="shared" si="56"/>
        <v>2009.1728773583502</v>
      </c>
      <c r="CO155" s="526">
        <v>53517</v>
      </c>
      <c r="CP155" s="151" t="str">
        <f t="shared" si="51"/>
        <v>35Y</v>
      </c>
      <c r="CQ155" s="386">
        <v>0.23469674194794676</v>
      </c>
      <c r="CR155" s="268">
        <f>IF(CO155,_xll.qDateYears(CO154,CO155,CR$13),0)</f>
        <v>0.24931506849315069</v>
      </c>
      <c r="CS155" s="268">
        <f t="shared" si="57"/>
        <v>1921.6268543646879</v>
      </c>
      <c r="DA155" s="526">
        <v>53517</v>
      </c>
      <c r="DB155" s="151" t="str">
        <f t="shared" si="52"/>
        <v>35Y</v>
      </c>
      <c r="DC155" s="386">
        <v>0.12334089459222733</v>
      </c>
      <c r="DD155" s="268">
        <f>IF(DA155,_xll.qDateYears(DA154,DA155,DD$13),0)</f>
        <v>0.24931506849315069</v>
      </c>
      <c r="DE155" s="268">
        <f t="shared" si="58"/>
        <v>1494.8636440400771</v>
      </c>
      <c r="DM155" s="526">
        <v>53517</v>
      </c>
      <c r="DN155" s="151" t="str">
        <f t="shared" si="53"/>
        <v>35Y</v>
      </c>
      <c r="DO155" s="386">
        <v>0.22105359498587859</v>
      </c>
      <c r="DP155" s="268">
        <f>IF(DM155,_xll.qDateYears(DM154,DM155,DP$13),0)</f>
        <v>0.25277777777777777</v>
      </c>
      <c r="DQ155" s="268">
        <f t="shared" si="59"/>
        <v>1931.4123393791615</v>
      </c>
    </row>
    <row r="156" spans="59:121">
      <c r="BG156" s="526">
        <v>53609</v>
      </c>
      <c r="BH156" s="150" t="str">
        <f t="shared" si="48"/>
        <v>35.25Y</v>
      </c>
      <c r="BI156" s="386">
        <v>0.21871037601828697</v>
      </c>
      <c r="BJ156" s="268">
        <f>IF(BG156,_xll.qDateYears(BG155,BG156,$BJ$13),0)</f>
        <v>0.25555555555555554</v>
      </c>
      <c r="BK156" s="268">
        <f t="shared" si="54"/>
        <v>1937.0016045440732</v>
      </c>
      <c r="BQ156" s="526">
        <v>53609</v>
      </c>
      <c r="BR156" s="151" t="str">
        <f t="shared" si="49"/>
        <v>35.25Y</v>
      </c>
      <c r="BS156" s="386">
        <v>0.18421469740112736</v>
      </c>
      <c r="BT156" s="268">
        <f>IF(BQ156,_xll.qDateYears(BQ155,BQ156,BT$13),0)</f>
        <v>0.25205479452054796</v>
      </c>
      <c r="BU156" s="268">
        <f t="shared" si="55"/>
        <v>1520.8672505890629</v>
      </c>
      <c r="CC156" s="526">
        <v>53609</v>
      </c>
      <c r="CD156" s="151" t="str">
        <f t="shared" si="50"/>
        <v>35.25Y</v>
      </c>
      <c r="CE156" s="386">
        <v>0.25979505830650784</v>
      </c>
      <c r="CF156" s="268">
        <f>IF(CC156,_xll.qDateYears(CC155,CC156,CF$13),0)</f>
        <v>0.25555555555555554</v>
      </c>
      <c r="CG156" s="268">
        <f t="shared" si="56"/>
        <v>2015.8120844039609</v>
      </c>
      <c r="CO156" s="526">
        <v>53609</v>
      </c>
      <c r="CP156" s="151" t="str">
        <f t="shared" si="51"/>
        <v>35.25Y</v>
      </c>
      <c r="CQ156" s="386">
        <v>0.23228485654389561</v>
      </c>
      <c r="CR156" s="268">
        <f>IF(CO156,_xll.qDateYears(CO155,CO156,CR$13),0)</f>
        <v>0.25205479452054796</v>
      </c>
      <c r="CS156" s="268">
        <f t="shared" si="57"/>
        <v>1927.4817055433286</v>
      </c>
      <c r="DA156" s="526">
        <v>53609</v>
      </c>
      <c r="DB156" s="151" t="str">
        <f t="shared" si="52"/>
        <v>35.25Y</v>
      </c>
      <c r="DC156" s="386">
        <v>0.12149776700600573</v>
      </c>
      <c r="DD156" s="268">
        <f>IF(DA156,_xll.qDateYears(DA155,DA156,DD$13),0)</f>
        <v>0.25205479452054796</v>
      </c>
      <c r="DE156" s="268">
        <f t="shared" si="58"/>
        <v>1497.9260535098176</v>
      </c>
      <c r="DM156" s="526">
        <v>53609</v>
      </c>
      <c r="DN156" s="151" t="str">
        <f t="shared" si="53"/>
        <v>35.25Y</v>
      </c>
      <c r="DO156" s="386">
        <v>0.21871037601828697</v>
      </c>
      <c r="DP156" s="268">
        <f>IF(DM156,_xll.qDateYears(DM155,DM156,DP$13),0)</f>
        <v>0.25555555555555554</v>
      </c>
      <c r="DQ156" s="268">
        <f t="shared" si="59"/>
        <v>1937.0016045440732</v>
      </c>
    </row>
    <row r="157" spans="59:121">
      <c r="BG157" s="526">
        <v>53699</v>
      </c>
      <c r="BH157" s="150" t="str">
        <f t="shared" si="48"/>
        <v>35.5Y</v>
      </c>
      <c r="BI157" s="386">
        <v>0.21644273691391147</v>
      </c>
      <c r="BJ157" s="268">
        <f>IF(BG157,_xll.qDateYears(BG156,BG157,$BJ$13),0)</f>
        <v>0.25</v>
      </c>
      <c r="BK157" s="268">
        <f t="shared" si="54"/>
        <v>1942.412672966921</v>
      </c>
      <c r="BQ157" s="526">
        <v>53699</v>
      </c>
      <c r="BR157" s="151" t="str">
        <f t="shared" si="49"/>
        <v>35.5Y</v>
      </c>
      <c r="BS157" s="386">
        <v>0.18317943258329433</v>
      </c>
      <c r="BT157" s="268">
        <f>IF(BQ157,_xll.qDateYears(BQ156,BQ157,BT$13),0)</f>
        <v>0.24657534246575341</v>
      </c>
      <c r="BU157" s="268">
        <f t="shared" si="55"/>
        <v>1525.3840037212537</v>
      </c>
      <c r="CC157" s="526">
        <v>53699</v>
      </c>
      <c r="CD157" s="151" t="str">
        <f t="shared" si="50"/>
        <v>35.5Y</v>
      </c>
      <c r="CE157" s="386">
        <v>0.25738395511258977</v>
      </c>
      <c r="CF157" s="268">
        <f>IF(CC157,_xll.qDateYears(CC156,CC157,CF$13),0)</f>
        <v>0.25</v>
      </c>
      <c r="CG157" s="268">
        <f t="shared" si="56"/>
        <v>2022.2466832817756</v>
      </c>
      <c r="CO157" s="526">
        <v>53699</v>
      </c>
      <c r="CP157" s="151" t="str">
        <f t="shared" si="51"/>
        <v>35.5Y</v>
      </c>
      <c r="CQ157" s="386">
        <v>0.22994970036873347</v>
      </c>
      <c r="CR157" s="268">
        <f>IF(CO157,_xll.qDateYears(CO156,CO157,CR$13),0)</f>
        <v>0.24657534246575341</v>
      </c>
      <c r="CS157" s="268">
        <f t="shared" si="57"/>
        <v>1933.1516981551604</v>
      </c>
      <c r="DA157" s="526">
        <v>53699</v>
      </c>
      <c r="DB157" s="151" t="str">
        <f t="shared" si="52"/>
        <v>35.5Y</v>
      </c>
      <c r="DC157" s="386">
        <v>0.11972136121218176</v>
      </c>
      <c r="DD157" s="268">
        <f>IF(DA157,_xll.qDateYears(DA156,DA157,DD$13),0)</f>
        <v>0.24657534246575341</v>
      </c>
      <c r="DE157" s="268">
        <f t="shared" si="58"/>
        <v>1500.8780870739536</v>
      </c>
      <c r="DM157" s="526">
        <v>53699</v>
      </c>
      <c r="DN157" s="151" t="str">
        <f t="shared" si="53"/>
        <v>35.5Y</v>
      </c>
      <c r="DO157" s="386">
        <v>0.21644273691391147</v>
      </c>
      <c r="DP157" s="268">
        <f>IF(DM157,_xll.qDateYears(DM156,DM157,DP$13),0)</f>
        <v>0.25</v>
      </c>
      <c r="DQ157" s="268">
        <f t="shared" si="59"/>
        <v>1942.412672966921</v>
      </c>
    </row>
    <row r="158" spans="59:121">
      <c r="BG158" s="526">
        <v>53790</v>
      </c>
      <c r="BH158" s="150" t="str">
        <f t="shared" si="48"/>
        <v>35.75Y</v>
      </c>
      <c r="BI158" s="386">
        <v>0.21417440649535605</v>
      </c>
      <c r="BJ158" s="268">
        <f>IF(BG158,_xll.qDateYears(BG157,BG158,$BJ$13),0)</f>
        <v>0.25277777777777777</v>
      </c>
      <c r="BK158" s="268">
        <f t="shared" si="54"/>
        <v>1947.826526019998</v>
      </c>
      <c r="BQ158" s="526">
        <v>53790</v>
      </c>
      <c r="BR158" s="151" t="str">
        <f t="shared" si="49"/>
        <v>35.75Y</v>
      </c>
      <c r="BS158" s="386">
        <v>0.18215452621467618</v>
      </c>
      <c r="BT158" s="268">
        <f>IF(BQ158,_xll.qDateYears(BQ157,BQ158,BT$13),0)</f>
        <v>0.24931506849315069</v>
      </c>
      <c r="BU158" s="268">
        <f t="shared" si="55"/>
        <v>1529.9253905392086</v>
      </c>
      <c r="CC158" s="526">
        <v>53790</v>
      </c>
      <c r="CD158" s="151" t="str">
        <f t="shared" si="50"/>
        <v>35.75Y</v>
      </c>
      <c r="CE158" s="386">
        <v>0.25496915117309388</v>
      </c>
      <c r="CF158" s="268">
        <f>IF(CC158,_xll.qDateYears(CC157,CC158,CF$13),0)</f>
        <v>0.25277777777777777</v>
      </c>
      <c r="CG158" s="268">
        <f t="shared" si="56"/>
        <v>2028.6917368253178</v>
      </c>
      <c r="CO158" s="526">
        <v>53790</v>
      </c>
      <c r="CP158" s="151" t="str">
        <f t="shared" si="51"/>
        <v>35.75Y</v>
      </c>
      <c r="CQ158" s="386">
        <v>0.22761277520261053</v>
      </c>
      <c r="CR158" s="268">
        <f>IF(CO158,_xll.qDateYears(CO157,CO158,CR$13),0)</f>
        <v>0.24931506849315069</v>
      </c>
      <c r="CS158" s="268">
        <f t="shared" si="57"/>
        <v>1938.826427619116</v>
      </c>
      <c r="DA158" s="526">
        <v>53790</v>
      </c>
      <c r="DB158" s="151" t="str">
        <f t="shared" si="52"/>
        <v>35.75Y</v>
      </c>
      <c r="DC158" s="386">
        <v>0.11795162325977192</v>
      </c>
      <c r="DD158" s="268">
        <f>IF(DA158,_xll.qDateYears(DA157,DA158,DD$13),0)</f>
        <v>0.24931506849315069</v>
      </c>
      <c r="DE158" s="268">
        <f t="shared" si="58"/>
        <v>1503.8187987771423</v>
      </c>
      <c r="DM158" s="526">
        <v>53790</v>
      </c>
      <c r="DN158" s="151" t="str">
        <f t="shared" si="53"/>
        <v>35.75Y</v>
      </c>
      <c r="DO158" s="386">
        <v>0.21417440649535605</v>
      </c>
      <c r="DP158" s="268">
        <f>IF(DM158,_xll.qDateYears(DM157,DM158,DP$13),0)</f>
        <v>0.25277777777777777</v>
      </c>
      <c r="DQ158" s="268">
        <f t="shared" si="59"/>
        <v>1947.826526019998</v>
      </c>
    </row>
    <row r="159" spans="59:121">
      <c r="BG159" s="526">
        <v>53881</v>
      </c>
      <c r="BH159" s="150" t="str">
        <f t="shared" si="48"/>
        <v>36Y</v>
      </c>
      <c r="BI159" s="386">
        <v>0.21193044616895187</v>
      </c>
      <c r="BJ159" s="268">
        <f>IF(BG159,_xll.qDateYears(BG158,BG159,$BJ$13),0)</f>
        <v>0.25277777777777777</v>
      </c>
      <c r="BK159" s="268">
        <f t="shared" si="54"/>
        <v>1953.1836567426021</v>
      </c>
      <c r="BQ159" s="526">
        <v>53881</v>
      </c>
      <c r="BR159" s="151" t="str">
        <f t="shared" si="49"/>
        <v>36Y</v>
      </c>
      <c r="BS159" s="386">
        <v>0.18115130125357937</v>
      </c>
      <c r="BT159" s="268">
        <f>IF(BQ159,_xll.qDateYears(BQ158,BQ159,BT$13),0)</f>
        <v>0.24931506849315069</v>
      </c>
      <c r="BU159" s="268">
        <f t="shared" si="55"/>
        <v>1534.4417654471745</v>
      </c>
      <c r="CC159" s="526">
        <v>53881</v>
      </c>
      <c r="CD159" s="151" t="str">
        <f t="shared" si="50"/>
        <v>36Y</v>
      </c>
      <c r="CE159" s="386">
        <v>0.2525773406629151</v>
      </c>
      <c r="CF159" s="268">
        <f>IF(CC159,_xll.qDateYears(CC158,CC159,CF$13),0)</f>
        <v>0.25277777777777777</v>
      </c>
      <c r="CG159" s="268">
        <f t="shared" si="56"/>
        <v>2035.076330714297</v>
      </c>
      <c r="CO159" s="526">
        <v>53881</v>
      </c>
      <c r="CP159" s="151" t="str">
        <f t="shared" si="51"/>
        <v>36Y</v>
      </c>
      <c r="CQ159" s="386">
        <v>0.22529990829277921</v>
      </c>
      <c r="CR159" s="268">
        <f>IF(CO159,_xll.qDateYears(CO158,CO159,CR$13),0)</f>
        <v>0.24931506849315069</v>
      </c>
      <c r="CS159" s="268">
        <f t="shared" si="57"/>
        <v>1944.4434938258676</v>
      </c>
      <c r="DA159" s="526">
        <v>53881</v>
      </c>
      <c r="DB159" s="151" t="str">
        <f t="shared" si="52"/>
        <v>36Y</v>
      </c>
      <c r="DC159" s="386">
        <v>0.11620804582198115</v>
      </c>
      <c r="DD159" s="268">
        <f>IF(DA159,_xll.qDateYears(DA158,DA159,DD$13),0)</f>
        <v>0.24931506849315069</v>
      </c>
      <c r="DE159" s="268">
        <f t="shared" si="58"/>
        <v>1506.7160404674985</v>
      </c>
      <c r="DM159" s="526">
        <v>53881</v>
      </c>
      <c r="DN159" s="151" t="str">
        <f t="shared" si="53"/>
        <v>36Y</v>
      </c>
      <c r="DO159" s="386">
        <v>0.21193044616895187</v>
      </c>
      <c r="DP159" s="268">
        <f>IF(DM159,_xll.qDateYears(DM158,DM159,DP$13),0)</f>
        <v>0.25277777777777777</v>
      </c>
      <c r="DQ159" s="268">
        <f t="shared" si="59"/>
        <v>1953.1836567426021</v>
      </c>
    </row>
    <row r="160" spans="59:121">
      <c r="BG160" s="526">
        <v>53973</v>
      </c>
      <c r="BH160" s="150" t="str">
        <f t="shared" si="48"/>
        <v>36.25Y</v>
      </c>
      <c r="BI160" s="386">
        <v>0.20968632685944597</v>
      </c>
      <c r="BJ160" s="268">
        <f>IF(BG160,_xll.qDateYears(BG159,BG160,$BJ$13),0)</f>
        <v>0.25555555555555554</v>
      </c>
      <c r="BK160" s="268">
        <f t="shared" si="54"/>
        <v>1958.542307317899</v>
      </c>
      <c r="BQ160" s="526">
        <v>53973</v>
      </c>
      <c r="BR160" s="151" t="str">
        <f t="shared" si="49"/>
        <v>36.25Y</v>
      </c>
      <c r="BS160" s="386">
        <v>0.18015879147327563</v>
      </c>
      <c r="BT160" s="268">
        <f>IF(BQ160,_xll.qDateYears(BQ159,BQ160,BT$13),0)</f>
        <v>0.25205479452054796</v>
      </c>
      <c r="BU160" s="268">
        <f t="shared" si="55"/>
        <v>1538.9827541637612</v>
      </c>
      <c r="CC160" s="526">
        <v>53973</v>
      </c>
      <c r="CD160" s="151" t="str">
        <f t="shared" si="50"/>
        <v>36.25Y</v>
      </c>
      <c r="CE160" s="386">
        <v>0.25018239379884022</v>
      </c>
      <c r="CF160" s="268">
        <f>IF(CC160,_xll.qDateYears(CC159,CC160,CF$13),0)</f>
        <v>0.25555555555555554</v>
      </c>
      <c r="CG160" s="268">
        <f t="shared" si="56"/>
        <v>2041.4698807780451</v>
      </c>
      <c r="CO160" s="526">
        <v>53973</v>
      </c>
      <c r="CP160" s="151" t="str">
        <f t="shared" si="51"/>
        <v>36.25Y</v>
      </c>
      <c r="CQ160" s="386">
        <v>0.22298582569161657</v>
      </c>
      <c r="CR160" s="268">
        <f>IF(CO160,_xll.qDateYears(CO159,CO160,CR$13),0)</f>
        <v>0.25205479452054796</v>
      </c>
      <c r="CS160" s="268">
        <f t="shared" si="57"/>
        <v>1950.063958473437</v>
      </c>
      <c r="DA160" s="526">
        <v>53973</v>
      </c>
      <c r="DB160" s="151" t="str">
        <f t="shared" si="52"/>
        <v>36.25Y</v>
      </c>
      <c r="DC160" s="386">
        <v>0.11447150697407092</v>
      </c>
      <c r="DD160" s="268">
        <f>IF(DA160,_xll.qDateYears(DA159,DA160,DD$13),0)</f>
        <v>0.25205479452054796</v>
      </c>
      <c r="DE160" s="268">
        <f t="shared" si="58"/>
        <v>1509.6013496843791</v>
      </c>
      <c r="DM160" s="526">
        <v>53973</v>
      </c>
      <c r="DN160" s="151" t="str">
        <f t="shared" si="53"/>
        <v>36.25Y</v>
      </c>
      <c r="DO160" s="386">
        <v>0.20968632685944597</v>
      </c>
      <c r="DP160" s="268">
        <f>IF(DM160,_xll.qDateYears(DM159,DM160,DP$13),0)</f>
        <v>0.25555555555555554</v>
      </c>
      <c r="DQ160" s="268">
        <f t="shared" si="59"/>
        <v>1958.542307317899</v>
      </c>
    </row>
    <row r="161" spans="59:121">
      <c r="BG161" s="526">
        <v>54064</v>
      </c>
      <c r="BH161" s="150" t="str">
        <f t="shared" si="48"/>
        <v>36.5Y</v>
      </c>
      <c r="BI161" s="386">
        <v>0.20749056643899155</v>
      </c>
      <c r="BJ161" s="268">
        <f>IF(BG161,_xll.qDateYears(BG160,BG161,$BJ$13),0)</f>
        <v>0.25277777777777777</v>
      </c>
      <c r="BK161" s="268">
        <f t="shared" si="54"/>
        <v>1963.7872077473291</v>
      </c>
      <c r="BQ161" s="526">
        <v>54064</v>
      </c>
      <c r="BR161" s="151" t="str">
        <f t="shared" si="49"/>
        <v>36.5Y</v>
      </c>
      <c r="BS161" s="386">
        <v>0.1791982832792024</v>
      </c>
      <c r="BT161" s="268">
        <f>IF(BQ161,_xll.qDateYears(BQ160,BQ161,BT$13),0)</f>
        <v>0.24931506849315069</v>
      </c>
      <c r="BU161" s="268">
        <f t="shared" si="55"/>
        <v>1543.4504373907221</v>
      </c>
      <c r="CC161" s="526">
        <v>54064</v>
      </c>
      <c r="CD161" s="151" t="str">
        <f t="shared" si="50"/>
        <v>36.5Y</v>
      </c>
      <c r="CE161" s="386">
        <v>0.24783615275315726</v>
      </c>
      <c r="CF161" s="268">
        <f>IF(CC161,_xll.qDateYears(CC160,CC161,CF$13),0)</f>
        <v>0.25277777777777777</v>
      </c>
      <c r="CG161" s="268">
        <f t="shared" si="56"/>
        <v>2047.7346279726387</v>
      </c>
      <c r="CO161" s="526">
        <v>54064</v>
      </c>
      <c r="CP161" s="151" t="str">
        <f t="shared" si="51"/>
        <v>36.5Y</v>
      </c>
      <c r="CQ161" s="386">
        <v>0.2207205831553638</v>
      </c>
      <c r="CR161" s="268">
        <f>IF(CO161,_xll.qDateYears(CO160,CO161,CR$13),0)</f>
        <v>0.24931506849315069</v>
      </c>
      <c r="CS161" s="268">
        <f t="shared" si="57"/>
        <v>1955.5668552041598</v>
      </c>
      <c r="DA161" s="526">
        <v>54064</v>
      </c>
      <c r="DB161" s="151" t="str">
        <f t="shared" si="52"/>
        <v>36.5Y</v>
      </c>
      <c r="DC161" s="386">
        <v>0.11277937310330316</v>
      </c>
      <c r="DD161" s="268">
        <f>IF(DA161,_xll.qDateYears(DA160,DA161,DD$13),0)</f>
        <v>0.24931506849315069</v>
      </c>
      <c r="DE161" s="268">
        <f t="shared" si="58"/>
        <v>1512.4131093973656</v>
      </c>
      <c r="DM161" s="526">
        <v>54064</v>
      </c>
      <c r="DN161" s="151" t="str">
        <f t="shared" si="53"/>
        <v>36.5Y</v>
      </c>
      <c r="DO161" s="386">
        <v>0.20749056643899155</v>
      </c>
      <c r="DP161" s="268">
        <f>IF(DM161,_xll.qDateYears(DM160,DM161,DP$13),0)</f>
        <v>0.25277777777777777</v>
      </c>
      <c r="DQ161" s="268">
        <f t="shared" si="59"/>
        <v>1963.7872077473291</v>
      </c>
    </row>
    <row r="162" spans="59:121">
      <c r="BG162" s="526">
        <v>54155</v>
      </c>
      <c r="BH162" s="150" t="str">
        <f t="shared" si="48"/>
        <v>36.75Y</v>
      </c>
      <c r="BI162" s="386">
        <v>0.20531837846768003</v>
      </c>
      <c r="BJ162" s="268">
        <f>IF(BG162,_xll.qDateYears(BG161,BG162,$BJ$13),0)</f>
        <v>0.25277777777777777</v>
      </c>
      <c r="BK162" s="268">
        <f t="shared" si="54"/>
        <v>1968.9772000919288</v>
      </c>
      <c r="BQ162" s="526">
        <v>54155</v>
      </c>
      <c r="BR162" s="151" t="str">
        <f t="shared" si="49"/>
        <v>36.75Y</v>
      </c>
      <c r="BS162" s="386">
        <v>0.17825859142207387</v>
      </c>
      <c r="BT162" s="268">
        <f>IF(BQ162,_xll.qDateYears(BQ161,BQ162,BT$13),0)</f>
        <v>0.24931506849315069</v>
      </c>
      <c r="BU162" s="268">
        <f t="shared" si="55"/>
        <v>1547.8946926837107</v>
      </c>
      <c r="CC162" s="526">
        <v>54155</v>
      </c>
      <c r="CD162" s="151" t="str">
        <f t="shared" si="50"/>
        <v>36.75Y</v>
      </c>
      <c r="CE162" s="386">
        <v>0.24551224308270872</v>
      </c>
      <c r="CF162" s="268">
        <f>IF(CC162,_xll.qDateYears(CC161,CC162,CF$13),0)</f>
        <v>0.25277777777777777</v>
      </c>
      <c r="CG162" s="268">
        <f t="shared" si="56"/>
        <v>2053.9406318950073</v>
      </c>
      <c r="CO162" s="526">
        <v>54155</v>
      </c>
      <c r="CP162" s="151" t="str">
        <f t="shared" si="51"/>
        <v>36.75Y</v>
      </c>
      <c r="CQ162" s="386">
        <v>0.21847865178984444</v>
      </c>
      <c r="CR162" s="268">
        <f>IF(CO162,_xll.qDateYears(CO161,CO162,CR$13),0)</f>
        <v>0.24931506849315069</v>
      </c>
      <c r="CS162" s="268">
        <f t="shared" si="57"/>
        <v>1961.0138572076874</v>
      </c>
      <c r="DA162" s="526">
        <v>54155</v>
      </c>
      <c r="DB162" s="151" t="str">
        <f t="shared" si="52"/>
        <v>36.75Y</v>
      </c>
      <c r="DC162" s="386">
        <v>0.11111225259273552</v>
      </c>
      <c r="DD162" s="268">
        <f>IF(DA162,_xll.qDateYears(DA161,DA162,DD$13),0)</f>
        <v>0.24931506849315069</v>
      </c>
      <c r="DE162" s="268">
        <f t="shared" si="58"/>
        <v>1515.1833052839243</v>
      </c>
      <c r="DM162" s="526">
        <v>54155</v>
      </c>
      <c r="DN162" s="151" t="str">
        <f t="shared" si="53"/>
        <v>36.75Y</v>
      </c>
      <c r="DO162" s="386">
        <v>0.20531837846768003</v>
      </c>
      <c r="DP162" s="268">
        <f>IF(DM162,_xll.qDateYears(DM161,DM162,DP$13),0)</f>
        <v>0.25277777777777777</v>
      </c>
      <c r="DQ162" s="268">
        <f t="shared" si="59"/>
        <v>1968.9772000919288</v>
      </c>
    </row>
    <row r="163" spans="59:121">
      <c r="BG163" s="526">
        <v>54246</v>
      </c>
      <c r="BH163" s="150" t="str">
        <f t="shared" si="48"/>
        <v>37Y</v>
      </c>
      <c r="BI163" s="386">
        <v>0.20316950397831196</v>
      </c>
      <c r="BJ163" s="268">
        <f>IF(BG163,_xll.qDateYears(BG162,BG163,$BJ$13),0)</f>
        <v>0.25277777777777777</v>
      </c>
      <c r="BK163" s="268">
        <f t="shared" si="54"/>
        <v>1974.112873664714</v>
      </c>
      <c r="BQ163" s="526">
        <v>54246</v>
      </c>
      <c r="BR163" s="151" t="str">
        <f t="shared" si="49"/>
        <v>37Y</v>
      </c>
      <c r="BS163" s="386">
        <v>0.17733944271778895</v>
      </c>
      <c r="BT163" s="268">
        <f>IF(BQ163,_xll.qDateYears(BQ162,BQ163,BT$13),0)</f>
        <v>0.24931506849315069</v>
      </c>
      <c r="BU163" s="268">
        <f t="shared" si="55"/>
        <v>1552.3160322144829</v>
      </c>
      <c r="CC163" s="526">
        <v>54246</v>
      </c>
      <c r="CD163" s="151" t="str">
        <f t="shared" si="50"/>
        <v>37Y</v>
      </c>
      <c r="CE163" s="386">
        <v>0.2432104492099379</v>
      </c>
      <c r="CF163" s="268">
        <f>IF(CC163,_xll.qDateYears(CC162,CC163,CF$13),0)</f>
        <v>0.25277777777777777</v>
      </c>
      <c r="CG163" s="268">
        <f t="shared" si="56"/>
        <v>2060.0884515833695</v>
      </c>
      <c r="CO163" s="526">
        <v>54246</v>
      </c>
      <c r="CP163" s="151" t="str">
        <f t="shared" si="51"/>
        <v>37Y</v>
      </c>
      <c r="CQ163" s="386">
        <v>0.21625978870502693</v>
      </c>
      <c r="CR163" s="268">
        <f>IF(CO163,_xll.qDateYears(CO162,CO163,CR$13),0)</f>
        <v>0.24931506849315069</v>
      </c>
      <c r="CS163" s="268">
        <f t="shared" si="57"/>
        <v>1966.4055396110182</v>
      </c>
      <c r="DA163" s="526">
        <v>54246</v>
      </c>
      <c r="DB163" s="151" t="str">
        <f t="shared" si="52"/>
        <v>37Y</v>
      </c>
      <c r="DC163" s="386">
        <v>0.10946977569136949</v>
      </c>
      <c r="DD163" s="268">
        <f>IF(DA163,_xll.qDateYears(DA162,DA163,DD$13),0)</f>
        <v>0.24931506849315069</v>
      </c>
      <c r="DE163" s="268">
        <f t="shared" si="58"/>
        <v>1517.9125517463667</v>
      </c>
      <c r="DM163" s="526">
        <v>54246</v>
      </c>
      <c r="DN163" s="151" t="str">
        <f t="shared" si="53"/>
        <v>37Y</v>
      </c>
      <c r="DO163" s="386">
        <v>0.20316950397831196</v>
      </c>
      <c r="DP163" s="268">
        <f>IF(DM163,_xll.qDateYears(DM162,DM163,DP$13),0)</f>
        <v>0.25277777777777777</v>
      </c>
      <c r="DQ163" s="268">
        <f t="shared" si="59"/>
        <v>1974.112873664714</v>
      </c>
    </row>
    <row r="164" spans="59:121">
      <c r="BG164" s="526">
        <v>54338</v>
      </c>
      <c r="BH164" s="150" t="str">
        <f t="shared" si="48"/>
        <v>37.25Y</v>
      </c>
      <c r="BI164" s="386">
        <v>0.2010204534194675</v>
      </c>
      <c r="BJ164" s="268">
        <f>IF(BG164,_xll.qDateYears(BG163,BG164,$BJ$13),0)</f>
        <v>0.25555555555555554</v>
      </c>
      <c r="BK164" s="268">
        <f t="shared" si="54"/>
        <v>1979.2500630298782</v>
      </c>
      <c r="BQ164" s="526">
        <v>54338</v>
      </c>
      <c r="BR164" s="151" t="str">
        <f t="shared" si="49"/>
        <v>37.25Y</v>
      </c>
      <c r="BS164" s="386">
        <v>0.17643080474874173</v>
      </c>
      <c r="BT164" s="268">
        <f>IF(BQ164,_xll.qDateYears(BQ163,BQ164,BT$13),0)</f>
        <v>0.25205479452054796</v>
      </c>
      <c r="BU164" s="268">
        <f t="shared" si="55"/>
        <v>1556.7630552382868</v>
      </c>
      <c r="CC164" s="526">
        <v>54338</v>
      </c>
      <c r="CD164" s="151" t="str">
        <f t="shared" si="50"/>
        <v>37.25Y</v>
      </c>
      <c r="CE164" s="386">
        <v>0.24090562478951771</v>
      </c>
      <c r="CF164" s="268">
        <f>IF(CC164,_xll.qDateYears(CC163,CC164,CF$13),0)</f>
        <v>0.25555555555555554</v>
      </c>
      <c r="CG164" s="268">
        <f t="shared" si="56"/>
        <v>2066.2449286613237</v>
      </c>
      <c r="CO164" s="526">
        <v>54338</v>
      </c>
      <c r="CP164" s="151" t="str">
        <f t="shared" si="51"/>
        <v>37.25Y</v>
      </c>
      <c r="CQ164" s="386">
        <v>0.2140397472367995</v>
      </c>
      <c r="CR164" s="268">
        <f>IF(CO164,_xll.qDateYears(CO163,CO164,CR$13),0)</f>
        <v>0.25205479452054796</v>
      </c>
      <c r="CS164" s="268">
        <f t="shared" si="57"/>
        <v>1971.8005140619184</v>
      </c>
      <c r="DA164" s="526">
        <v>54338</v>
      </c>
      <c r="DB164" s="151" t="str">
        <f t="shared" si="52"/>
        <v>37.25Y</v>
      </c>
      <c r="DC164" s="386">
        <v>0.10783392925048456</v>
      </c>
      <c r="DD164" s="268">
        <f>IF(DA164,_xll.qDateYears(DA163,DA164,DD$13),0)</f>
        <v>0.25205479452054796</v>
      </c>
      <c r="DE164" s="268">
        <f t="shared" si="58"/>
        <v>1520.6305576343241</v>
      </c>
      <c r="DM164" s="526">
        <v>54338</v>
      </c>
      <c r="DN164" s="151" t="str">
        <f t="shared" si="53"/>
        <v>37.25Y</v>
      </c>
      <c r="DO164" s="386">
        <v>0.2010204534194675</v>
      </c>
      <c r="DP164" s="268">
        <f>IF(DM164,_xll.qDateYears(DM163,DM164,DP$13),0)</f>
        <v>0.25555555555555554</v>
      </c>
      <c r="DQ164" s="268">
        <f t="shared" si="59"/>
        <v>1979.2500630298782</v>
      </c>
    </row>
    <row r="165" spans="59:121">
      <c r="BG165" s="526">
        <v>54430</v>
      </c>
      <c r="BH165" s="150" t="str">
        <f t="shared" si="48"/>
        <v>37.5Y</v>
      </c>
      <c r="BI165" s="386">
        <v>0.19889470821935532</v>
      </c>
      <c r="BJ165" s="268">
        <f>IF(BG165,_xll.qDateYears(BG164,BG165,$BJ$13),0)</f>
        <v>0.25555555555555554</v>
      </c>
      <c r="BK165" s="268">
        <f t="shared" si="54"/>
        <v>1984.332927795484</v>
      </c>
      <c r="BQ165" s="526">
        <v>54430</v>
      </c>
      <c r="BR165" s="151" t="str">
        <f t="shared" si="49"/>
        <v>37.5Y</v>
      </c>
      <c r="BS165" s="386">
        <v>0.17554262337627391</v>
      </c>
      <c r="BT165" s="268">
        <f>IF(BQ165,_xll.qDateYears(BQ164,BQ165,BT$13),0)</f>
        <v>0.25205479452054796</v>
      </c>
      <c r="BU165" s="268">
        <f t="shared" si="55"/>
        <v>1561.1876912247574</v>
      </c>
      <c r="CC165" s="526">
        <v>54430</v>
      </c>
      <c r="CD165" s="151" t="str">
        <f t="shared" si="50"/>
        <v>37.5Y</v>
      </c>
      <c r="CE165" s="386">
        <v>0.2386229683043507</v>
      </c>
      <c r="CF165" s="268">
        <f>IF(CC165,_xll.qDateYears(CC164,CC165,CF$13),0)</f>
        <v>0.25555555555555554</v>
      </c>
      <c r="CG165" s="268">
        <f t="shared" si="56"/>
        <v>2072.3430711846572</v>
      </c>
      <c r="CO165" s="526">
        <v>54430</v>
      </c>
      <c r="CP165" s="151" t="str">
        <f t="shared" si="51"/>
        <v>37.5Y</v>
      </c>
      <c r="CQ165" s="386">
        <v>0.21184279248872043</v>
      </c>
      <c r="CR165" s="268">
        <f>IF(CO165,_xll.qDateYears(CO164,CO165,CR$13),0)</f>
        <v>0.25205479452054796</v>
      </c>
      <c r="CS165" s="268">
        <f t="shared" si="57"/>
        <v>1977.1401132150588</v>
      </c>
      <c r="DA165" s="526">
        <v>54430</v>
      </c>
      <c r="DB165" s="151" t="str">
        <f t="shared" si="52"/>
        <v>37.5Y</v>
      </c>
      <c r="DC165" s="386">
        <v>0.10622252785446484</v>
      </c>
      <c r="DD165" s="268">
        <f>IF(DA165,_xll.qDateYears(DA164,DA165,DD$13),0)</f>
        <v>0.25205479452054796</v>
      </c>
      <c r="DE165" s="268">
        <f t="shared" si="58"/>
        <v>1523.3079473775051</v>
      </c>
      <c r="DM165" s="526">
        <v>54430</v>
      </c>
      <c r="DN165" s="151" t="str">
        <f t="shared" si="53"/>
        <v>37.5Y</v>
      </c>
      <c r="DO165" s="386">
        <v>0.19889470821935532</v>
      </c>
      <c r="DP165" s="268">
        <f>IF(DM165,_xll.qDateYears(DM164,DM165,DP$13),0)</f>
        <v>0.25555555555555554</v>
      </c>
      <c r="DQ165" s="268">
        <f t="shared" si="59"/>
        <v>1984.332927795484</v>
      </c>
    </row>
    <row r="166" spans="59:121">
      <c r="BG166" s="526">
        <v>54520</v>
      </c>
      <c r="BH166" s="150" t="str">
        <f t="shared" si="48"/>
        <v>37.75Y</v>
      </c>
      <c r="BI166" s="386">
        <v>0.19683747730883186</v>
      </c>
      <c r="BJ166" s="268">
        <f>IF(BG166,_xll.qDateYears(BG165,BG166,$BJ$13),0)</f>
        <v>0.25</v>
      </c>
      <c r="BK166" s="268">
        <f t="shared" si="54"/>
        <v>1989.2538647282049</v>
      </c>
      <c r="BQ166" s="526">
        <v>54520</v>
      </c>
      <c r="BR166" s="151" t="str">
        <f t="shared" si="49"/>
        <v>37.75Y</v>
      </c>
      <c r="BS166" s="386">
        <v>0.17469329348568283</v>
      </c>
      <c r="BT166" s="268">
        <f>IF(BQ166,_xll.qDateYears(BQ165,BQ166,BT$13),0)</f>
        <v>0.24657534246575341</v>
      </c>
      <c r="BU166" s="268">
        <f t="shared" si="55"/>
        <v>1565.4951970915276</v>
      </c>
      <c r="CC166" s="526">
        <v>54520</v>
      </c>
      <c r="CD166" s="151" t="str">
        <f t="shared" si="50"/>
        <v>37.75Y</v>
      </c>
      <c r="CE166" s="386">
        <v>0.2364111773449413</v>
      </c>
      <c r="CF166" s="268">
        <f>IF(CC166,_xll.qDateYears(CC165,CC166,CF$13),0)</f>
        <v>0.25</v>
      </c>
      <c r="CG166" s="268">
        <f t="shared" si="56"/>
        <v>2078.2533506182808</v>
      </c>
      <c r="CO166" s="526">
        <v>54520</v>
      </c>
      <c r="CP166" s="151" t="str">
        <f t="shared" si="51"/>
        <v>37.75Y</v>
      </c>
      <c r="CQ166" s="386">
        <v>0.20971570344648061</v>
      </c>
      <c r="CR166" s="268">
        <f>IF(CO166,_xll.qDateYears(CO165,CO166,CR$13),0)</f>
        <v>0.24657534246575341</v>
      </c>
      <c r="CS166" s="268">
        <f t="shared" si="57"/>
        <v>1982.3111853548351</v>
      </c>
      <c r="DA166" s="526">
        <v>54520</v>
      </c>
      <c r="DB166" s="151" t="str">
        <f t="shared" si="52"/>
        <v>37.75Y</v>
      </c>
      <c r="DC166" s="386">
        <v>0.10466945969061972</v>
      </c>
      <c r="DD166" s="268">
        <f>IF(DA166,_xll.qDateYears(DA165,DA166,DD$13),0)</f>
        <v>0.24657534246575341</v>
      </c>
      <c r="DE166" s="268">
        <f t="shared" si="58"/>
        <v>1525.8888381643972</v>
      </c>
      <c r="DM166" s="526">
        <v>54520</v>
      </c>
      <c r="DN166" s="151" t="str">
        <f t="shared" si="53"/>
        <v>37.75Y</v>
      </c>
      <c r="DO166" s="386">
        <v>0.19683747730883186</v>
      </c>
      <c r="DP166" s="268">
        <f>IF(DM166,_xll.qDateYears(DM165,DM166,DP$13),0)</f>
        <v>0.25</v>
      </c>
      <c r="DQ166" s="268">
        <f t="shared" si="59"/>
        <v>1989.2538647282049</v>
      </c>
    </row>
    <row r="167" spans="59:121">
      <c r="BG167" s="526">
        <v>54611</v>
      </c>
      <c r="BH167" s="150" t="str">
        <f t="shared" si="48"/>
        <v>38Y</v>
      </c>
      <c r="BI167" s="386">
        <v>0.19477956847761424</v>
      </c>
      <c r="BJ167" s="268">
        <f>IF(BG167,_xll.qDateYears(BG166,BG167,$BJ$13),0)</f>
        <v>0.25277777777777777</v>
      </c>
      <c r="BK167" s="268">
        <f t="shared" si="54"/>
        <v>1994.1774593758335</v>
      </c>
      <c r="BQ167" s="526">
        <v>54611</v>
      </c>
      <c r="BR167" s="151" t="str">
        <f t="shared" si="49"/>
        <v>38Y</v>
      </c>
      <c r="BS167" s="386">
        <v>0.17385393313596501</v>
      </c>
      <c r="BT167" s="268">
        <f>IF(BQ167,_xll.qDateYears(BQ166,BQ167,BT$13),0)</f>
        <v>0.24931506849315069</v>
      </c>
      <c r="BU167" s="268">
        <f t="shared" si="55"/>
        <v>1569.8296376162873</v>
      </c>
      <c r="CC167" s="526">
        <v>54611</v>
      </c>
      <c r="CD167" s="151" t="str">
        <f t="shared" si="50"/>
        <v>38Y</v>
      </c>
      <c r="CE167" s="386">
        <v>0.23419596540583859</v>
      </c>
      <c r="CF167" s="268">
        <f>IF(CC167,_xll.qDateYears(CC166,CC167,CF$13),0)</f>
        <v>0.25277777777777777</v>
      </c>
      <c r="CG167" s="268">
        <f t="shared" si="56"/>
        <v>2084.1733041882617</v>
      </c>
      <c r="CO167" s="526">
        <v>54611</v>
      </c>
      <c r="CP167" s="151" t="str">
        <f t="shared" si="51"/>
        <v>38Y</v>
      </c>
      <c r="CQ167" s="386">
        <v>0.20758697721680899</v>
      </c>
      <c r="CR167" s="268">
        <f>IF(CO167,_xll.qDateYears(CO166,CO167,CR$13),0)</f>
        <v>0.24931506849315069</v>
      </c>
      <c r="CS167" s="268">
        <f t="shared" si="57"/>
        <v>1987.4866414991445</v>
      </c>
      <c r="DA167" s="526">
        <v>54611</v>
      </c>
      <c r="DB167" s="151" t="str">
        <f t="shared" si="52"/>
        <v>38Y</v>
      </c>
      <c r="DC167" s="386">
        <v>0.10312222105753718</v>
      </c>
      <c r="DD167" s="268">
        <f>IF(DA167,_xll.qDateYears(DA166,DA167,DD$13),0)</f>
        <v>0.24931506849315069</v>
      </c>
      <c r="DE167" s="268">
        <f t="shared" si="58"/>
        <v>1528.4598305250097</v>
      </c>
      <c r="DM167" s="526">
        <v>54611</v>
      </c>
      <c r="DN167" s="151" t="str">
        <f t="shared" si="53"/>
        <v>38Y</v>
      </c>
      <c r="DO167" s="386">
        <v>0.19477956847761424</v>
      </c>
      <c r="DP167" s="268">
        <f>IF(DM167,_xll.qDateYears(DM166,DM167,DP$13),0)</f>
        <v>0.25277777777777777</v>
      </c>
      <c r="DQ167" s="268">
        <f t="shared" si="59"/>
        <v>1994.1774593758335</v>
      </c>
    </row>
    <row r="168" spans="59:121">
      <c r="BG168" s="526">
        <v>54703</v>
      </c>
      <c r="BH168" s="150" t="str">
        <f t="shared" si="48"/>
        <v>38.25Y</v>
      </c>
      <c r="BI168" s="386">
        <v>0.19272146821643441</v>
      </c>
      <c r="BJ168" s="268">
        <f>IF(BG168,_xll.qDateYears(BG167,BG168,$BJ$13),0)</f>
        <v>0.25555555555555554</v>
      </c>
      <c r="BK168" s="268">
        <f t="shared" si="54"/>
        <v>1999.1025635635867</v>
      </c>
      <c r="BQ168" s="526">
        <v>54703</v>
      </c>
      <c r="BR168" s="151" t="str">
        <f t="shared" si="49"/>
        <v>38.25Y</v>
      </c>
      <c r="BS168" s="386">
        <v>0.17302494142603947</v>
      </c>
      <c r="BT168" s="268">
        <f>IF(BQ168,_xll.qDateYears(BQ167,BQ168,BT$13),0)</f>
        <v>0.25205479452054796</v>
      </c>
      <c r="BU168" s="268">
        <f t="shared" si="55"/>
        <v>1574.1908142220943</v>
      </c>
      <c r="CC168" s="526">
        <v>54703</v>
      </c>
      <c r="CD168" s="151" t="str">
        <f t="shared" si="50"/>
        <v>38.25Y</v>
      </c>
      <c r="CE168" s="386">
        <v>0.23197782514172072</v>
      </c>
      <c r="CF168" s="268">
        <f>IF(CC168,_xll.qDateYears(CC167,CC168,CF$13),0)</f>
        <v>0.25555555555555554</v>
      </c>
      <c r="CG168" s="268">
        <f t="shared" si="56"/>
        <v>2090.101626386328</v>
      </c>
      <c r="CO168" s="526">
        <v>54703</v>
      </c>
      <c r="CP168" s="151" t="str">
        <f t="shared" si="51"/>
        <v>38.25Y</v>
      </c>
      <c r="CQ168" s="386">
        <v>0.20545710886242102</v>
      </c>
      <c r="CR168" s="268">
        <f>IF(CO168,_xll.qDateYears(CO167,CO168,CR$13),0)</f>
        <v>0.25205479452054796</v>
      </c>
      <c r="CS168" s="268">
        <f t="shared" si="57"/>
        <v>1992.6652864348548</v>
      </c>
      <c r="DA168" s="526">
        <v>54703</v>
      </c>
      <c r="DB168" s="151" t="str">
        <f t="shared" si="52"/>
        <v>38.25Y</v>
      </c>
      <c r="DC168" s="386">
        <v>0.10158122842073194</v>
      </c>
      <c r="DD168" s="268">
        <f>IF(DA168,_xll.qDateYears(DA167,DA168,DD$13),0)</f>
        <v>0.25205479452054796</v>
      </c>
      <c r="DE168" s="268">
        <f t="shared" si="58"/>
        <v>1531.0202340906828</v>
      </c>
      <c r="DM168" s="526">
        <v>54703</v>
      </c>
      <c r="DN168" s="151" t="str">
        <f t="shared" si="53"/>
        <v>38.25Y</v>
      </c>
      <c r="DO168" s="386">
        <v>0.19272146821643441</v>
      </c>
      <c r="DP168" s="268">
        <f>IF(DM168,_xll.qDateYears(DM167,DM168,DP$13),0)</f>
        <v>0.25555555555555554</v>
      </c>
      <c r="DQ168" s="268">
        <f t="shared" si="59"/>
        <v>1999.1025635635867</v>
      </c>
    </row>
    <row r="169" spans="59:121">
      <c r="BG169" s="526">
        <v>54795</v>
      </c>
      <c r="BH169" s="150" t="str">
        <f t="shared" si="48"/>
        <v>38.5Y</v>
      </c>
      <c r="BI169" s="386">
        <v>0.19068566431418071</v>
      </c>
      <c r="BJ169" s="268">
        <f>IF(BG169,_xll.qDateYears(BG168,BG169,$BJ$13),0)</f>
        <v>0.25555555555555554</v>
      </c>
      <c r="BK169" s="268">
        <f t="shared" si="54"/>
        <v>2003.9756416516159</v>
      </c>
      <c r="BQ169" s="526">
        <v>54795</v>
      </c>
      <c r="BR169" s="151" t="str">
        <f t="shared" si="49"/>
        <v>38.5Y</v>
      </c>
      <c r="BS169" s="386">
        <v>0.17221540822456033</v>
      </c>
      <c r="BT169" s="268">
        <f>IF(BQ169,_xll.qDateYears(BQ168,BQ169,BT$13),0)</f>
        <v>0.25205479452054796</v>
      </c>
      <c r="BU169" s="268">
        <f t="shared" si="55"/>
        <v>1578.5315861554257</v>
      </c>
      <c r="CC169" s="526">
        <v>54795</v>
      </c>
      <c r="CD169" s="151" t="str">
        <f t="shared" si="50"/>
        <v>38.5Y</v>
      </c>
      <c r="CE169" s="386">
        <v>0.22978100735751106</v>
      </c>
      <c r="CF169" s="268">
        <f>IF(CC169,_xll.qDateYears(CC168,CC169,CF$13),0)</f>
        <v>0.25555555555555554</v>
      </c>
      <c r="CG169" s="268">
        <f t="shared" si="56"/>
        <v>2095.9738076854642</v>
      </c>
      <c r="CO169" s="526">
        <v>54795</v>
      </c>
      <c r="CP169" s="151" t="str">
        <f t="shared" si="51"/>
        <v>38.5Y</v>
      </c>
      <c r="CQ169" s="386">
        <v>0.20334937794423177</v>
      </c>
      <c r="CR169" s="268">
        <f>IF(CO169,_xll.qDateYears(CO168,CO169,CR$13),0)</f>
        <v>0.25205479452054796</v>
      </c>
      <c r="CS169" s="268">
        <f t="shared" si="57"/>
        <v>1997.7908050022163</v>
      </c>
      <c r="DA169" s="526">
        <v>54795</v>
      </c>
      <c r="DB169" s="151" t="str">
        <f t="shared" si="52"/>
        <v>38.5Y</v>
      </c>
      <c r="DC169" s="386">
        <v>0.10006326339409977</v>
      </c>
      <c r="DD169" s="268">
        <f>IF(DA169,_xll.qDateYears(DA168,DA169,DD$13),0)</f>
        <v>0.25205479452054796</v>
      </c>
      <c r="DE169" s="268">
        <f t="shared" si="58"/>
        <v>1533.5423766200684</v>
      </c>
      <c r="DM169" s="526">
        <v>54795</v>
      </c>
      <c r="DN169" s="151" t="str">
        <f t="shared" si="53"/>
        <v>38.5Y</v>
      </c>
      <c r="DO169" s="386">
        <v>0.19068566431418071</v>
      </c>
      <c r="DP169" s="268">
        <f>IF(DM169,_xll.qDateYears(DM168,DM169,DP$13),0)</f>
        <v>0.25555555555555554</v>
      </c>
      <c r="DQ169" s="268">
        <f t="shared" si="59"/>
        <v>2003.9756416516159</v>
      </c>
    </row>
    <row r="170" spans="59:121">
      <c r="BG170" s="526">
        <v>54885</v>
      </c>
      <c r="BH170" s="150" t="str">
        <f t="shared" si="48"/>
        <v>38.75Y</v>
      </c>
      <c r="BI170" s="386">
        <v>0.18871545410811472</v>
      </c>
      <c r="BJ170" s="268">
        <f>IF(BG170,_xll.qDateYears(BG169,BG170,$BJ$13),0)</f>
        <v>0.25</v>
      </c>
      <c r="BK170" s="268">
        <f t="shared" si="54"/>
        <v>2008.6935280043188</v>
      </c>
      <c r="BQ170" s="526">
        <v>54885</v>
      </c>
      <c r="BR170" s="151" t="str">
        <f t="shared" si="49"/>
        <v>38.75Y</v>
      </c>
      <c r="BS170" s="386">
        <v>0.17144207594555466</v>
      </c>
      <c r="BT170" s="268">
        <f>IF(BQ170,_xll.qDateYears(BQ169,BQ170,BT$13),0)</f>
        <v>0.24657534246575341</v>
      </c>
      <c r="BU170" s="268">
        <f t="shared" si="55"/>
        <v>1582.7589250143571</v>
      </c>
      <c r="CC170" s="526">
        <v>54885</v>
      </c>
      <c r="CD170" s="151" t="str">
        <f t="shared" si="50"/>
        <v>38.75Y</v>
      </c>
      <c r="CE170" s="386">
        <v>0.22765237898437687</v>
      </c>
      <c r="CF170" s="268">
        <f>IF(CC170,_xll.qDateYears(CC169,CC170,CF$13),0)</f>
        <v>0.25</v>
      </c>
      <c r="CG170" s="268">
        <f t="shared" si="56"/>
        <v>2101.6651171600738</v>
      </c>
      <c r="CO170" s="526">
        <v>54885</v>
      </c>
      <c r="CP170" s="151" t="str">
        <f t="shared" si="51"/>
        <v>38.75Y</v>
      </c>
      <c r="CQ170" s="386">
        <v>0.20130866424622421</v>
      </c>
      <c r="CR170" s="268">
        <f>IF(CO170,_xll.qDateYears(CO169,CO170,CR$13),0)</f>
        <v>0.24657534246575341</v>
      </c>
      <c r="CS170" s="268">
        <f t="shared" si="57"/>
        <v>2002.754580285</v>
      </c>
      <c r="DA170" s="526">
        <v>54885</v>
      </c>
      <c r="DB170" s="151" t="str">
        <f t="shared" si="52"/>
        <v>38.75Y</v>
      </c>
      <c r="DC170" s="386">
        <v>9.8600249173983051E-2</v>
      </c>
      <c r="DD170" s="268">
        <f>IF(DA170,_xll.qDateYears(DA169,DA170,DD$13),0)</f>
        <v>0.24657534246575341</v>
      </c>
      <c r="DE170" s="268">
        <f t="shared" si="58"/>
        <v>1535.9736156407967</v>
      </c>
      <c r="DM170" s="526">
        <v>54885</v>
      </c>
      <c r="DN170" s="151" t="str">
        <f t="shared" si="53"/>
        <v>38.75Y</v>
      </c>
      <c r="DO170" s="386">
        <v>0.18871545410811472</v>
      </c>
      <c r="DP170" s="268">
        <f>IF(DM170,_xll.qDateYears(DM169,DM170,DP$13),0)</f>
        <v>0.25</v>
      </c>
      <c r="DQ170" s="268">
        <f t="shared" si="59"/>
        <v>2008.6935280043188</v>
      </c>
    </row>
    <row r="171" spans="59:121">
      <c r="BG171" s="526">
        <v>54976</v>
      </c>
      <c r="BH171" s="150" t="str">
        <f t="shared" si="48"/>
        <v>39Y</v>
      </c>
      <c r="BI171" s="386">
        <v>0.18674457304989381</v>
      </c>
      <c r="BJ171" s="268">
        <f>IF(BG171,_xll.qDateYears(BG170,BG171,$BJ$13),0)</f>
        <v>0.25277777777777777</v>
      </c>
      <c r="BK171" s="268">
        <f t="shared" si="54"/>
        <v>2013.41401582308</v>
      </c>
      <c r="BQ171" s="526">
        <v>54976</v>
      </c>
      <c r="BR171" s="151" t="str">
        <f t="shared" si="49"/>
        <v>39Y</v>
      </c>
      <c r="BS171" s="386">
        <v>0.17067863613989304</v>
      </c>
      <c r="BT171" s="268">
        <f>IF(BQ171,_xll.qDateYears(BQ170,BQ171,BT$13),0)</f>
        <v>0.24931506849315069</v>
      </c>
      <c r="BU171" s="268">
        <f t="shared" si="55"/>
        <v>1587.0142006003107</v>
      </c>
      <c r="CC171" s="526">
        <v>54976</v>
      </c>
      <c r="CD171" s="151" t="str">
        <f t="shared" si="50"/>
        <v>39Y</v>
      </c>
      <c r="CE171" s="386">
        <v>0.22552044706911858</v>
      </c>
      <c r="CF171" s="268">
        <f>IF(CC171,_xll.qDateYears(CC170,CC171,CF$13),0)</f>
        <v>0.25277777777777777</v>
      </c>
      <c r="CG171" s="268">
        <f t="shared" si="56"/>
        <v>2107.3657729054321</v>
      </c>
      <c r="CO171" s="526">
        <v>54976</v>
      </c>
      <c r="CP171" s="151" t="str">
        <f t="shared" si="51"/>
        <v>39Y</v>
      </c>
      <c r="CQ171" s="386">
        <v>0.19926636883093182</v>
      </c>
      <c r="CR171" s="268">
        <f>IF(CO171,_xll.qDateYears(CO170,CO171,CR$13),0)</f>
        <v>0.24931506849315069</v>
      </c>
      <c r="CS171" s="268">
        <f t="shared" si="57"/>
        <v>2007.7225911243465</v>
      </c>
      <c r="DA171" s="526">
        <v>54976</v>
      </c>
      <c r="DB171" s="151" t="str">
        <f t="shared" si="52"/>
        <v>39Y</v>
      </c>
      <c r="DC171" s="386">
        <v>9.7142726461966769E-2</v>
      </c>
      <c r="DD171" s="268">
        <f>IF(DA171,_xll.qDateYears(DA170,DA171,DD$13),0)</f>
        <v>0.24931506849315069</v>
      </c>
      <c r="DE171" s="268">
        <f t="shared" si="58"/>
        <v>1538.3955301909443</v>
      </c>
      <c r="DM171" s="526">
        <v>54976</v>
      </c>
      <c r="DN171" s="151" t="str">
        <f t="shared" si="53"/>
        <v>39Y</v>
      </c>
      <c r="DO171" s="386">
        <v>0.18674457304989381</v>
      </c>
      <c r="DP171" s="268">
        <f>IF(DM171,_xll.qDateYears(DM170,DM171,DP$13),0)</f>
        <v>0.25277777777777777</v>
      </c>
      <c r="DQ171" s="268">
        <f t="shared" si="59"/>
        <v>2013.41401582308</v>
      </c>
    </row>
    <row r="172" spans="59:121">
      <c r="BG172" s="526">
        <v>55068</v>
      </c>
      <c r="BH172" s="150" t="str">
        <f t="shared" si="48"/>
        <v>39.25Y</v>
      </c>
      <c r="BI172" s="386">
        <v>0.18477348680895556</v>
      </c>
      <c r="BJ172" s="268">
        <f>IF(BG172,_xll.qDateYears(BG171,BG172,$BJ$13),0)</f>
        <v>0.25555555555555554</v>
      </c>
      <c r="BK172" s="268">
        <f t="shared" si="54"/>
        <v>2018.1360049304201</v>
      </c>
      <c r="BQ172" s="526">
        <v>55068</v>
      </c>
      <c r="BR172" s="151" t="str">
        <f t="shared" si="49"/>
        <v>39.25Y</v>
      </c>
      <c r="BS172" s="386">
        <v>0.16992548201507324</v>
      </c>
      <c r="BT172" s="268">
        <f>IF(BQ172,_xll.qDateYears(BQ171,BQ172,BT$13),0)</f>
        <v>0.25205479452054796</v>
      </c>
      <c r="BU172" s="268">
        <f t="shared" si="55"/>
        <v>1591.2972538456222</v>
      </c>
      <c r="CC172" s="526">
        <v>55068</v>
      </c>
      <c r="CD172" s="151" t="str">
        <f t="shared" si="50"/>
        <v>39.25Y</v>
      </c>
      <c r="CE172" s="386">
        <v>0.22338568558932595</v>
      </c>
      <c r="CF172" s="268">
        <f>IF(CC172,_xll.qDateYears(CC171,CC172,CF$13),0)</f>
        <v>0.25555555555555554</v>
      </c>
      <c r="CG172" s="268">
        <f t="shared" si="56"/>
        <v>2113.0745182038258</v>
      </c>
      <c r="CO172" s="526">
        <v>55068</v>
      </c>
      <c r="CP172" s="151" t="str">
        <f t="shared" si="51"/>
        <v>39.25Y</v>
      </c>
      <c r="CQ172" s="386">
        <v>0.19722296652432786</v>
      </c>
      <c r="CR172" s="268">
        <f>IF(CO172,_xll.qDateYears(CO171,CO172,CR$13),0)</f>
        <v>0.25205479452054796</v>
      </c>
      <c r="CS172" s="268">
        <f t="shared" si="57"/>
        <v>2012.6936905545488</v>
      </c>
      <c r="DA172" s="526">
        <v>55068</v>
      </c>
      <c r="DB172" s="151" t="str">
        <f t="shared" si="52"/>
        <v>39.25Y</v>
      </c>
      <c r="DC172" s="386">
        <v>9.569108757500415E-2</v>
      </c>
      <c r="DD172" s="268">
        <f>IF(DA172,_xll.qDateYears(DA171,DA172,DD$13),0)</f>
        <v>0.25205479452054796</v>
      </c>
      <c r="DE172" s="268">
        <f t="shared" si="58"/>
        <v>1540.8074699325609</v>
      </c>
      <c r="DM172" s="526">
        <v>55068</v>
      </c>
      <c r="DN172" s="151" t="str">
        <f t="shared" si="53"/>
        <v>39.25Y</v>
      </c>
      <c r="DO172" s="386">
        <v>0.18477348680895556</v>
      </c>
      <c r="DP172" s="268">
        <f>IF(DM172,_xll.qDateYears(DM171,DM172,DP$13),0)</f>
        <v>0.25555555555555554</v>
      </c>
      <c r="DQ172" s="268">
        <f t="shared" si="59"/>
        <v>2018.1360049304201</v>
      </c>
    </row>
    <row r="173" spans="59:121">
      <c r="BG173" s="526">
        <v>55162</v>
      </c>
      <c r="BH173" s="150" t="str">
        <f t="shared" si="48"/>
        <v>39.5Y</v>
      </c>
      <c r="BI173" s="386">
        <v>0.18278158170747241</v>
      </c>
      <c r="BJ173" s="268">
        <f>IF(BG173,_xll.qDateYears(BG172,BG173,$BJ$13),0)</f>
        <v>0.26111111111111113</v>
      </c>
      <c r="BK173" s="268">
        <f t="shared" si="54"/>
        <v>2022.9086351194485</v>
      </c>
      <c r="BQ173" s="526">
        <v>55162</v>
      </c>
      <c r="BR173" s="151" t="str">
        <f t="shared" si="49"/>
        <v>39.5Y</v>
      </c>
      <c r="BS173" s="386">
        <v>0.1691751237884061</v>
      </c>
      <c r="BT173" s="268">
        <f>IF(BQ173,_xll.qDateYears(BQ172,BQ173,BT$13),0)</f>
        <v>0.25753424657534246</v>
      </c>
      <c r="BU173" s="268">
        <f t="shared" si="55"/>
        <v>1595.6540926500359</v>
      </c>
      <c r="CC173" s="526">
        <v>55162</v>
      </c>
      <c r="CD173" s="151" t="str">
        <f t="shared" si="50"/>
        <v>39.5Y</v>
      </c>
      <c r="CE173" s="386">
        <v>0.22122569808983028</v>
      </c>
      <c r="CF173" s="268">
        <f>IF(CC173,_xll.qDateYears(CC172,CC173,CF$13),0)</f>
        <v>0.26111111111111113</v>
      </c>
      <c r="CG173" s="268">
        <f t="shared" si="56"/>
        <v>2118.8509669872824</v>
      </c>
      <c r="CO173" s="526">
        <v>55162</v>
      </c>
      <c r="CP173" s="151" t="str">
        <f t="shared" si="51"/>
        <v>39.5Y</v>
      </c>
      <c r="CQ173" s="386">
        <v>0.19515706561557342</v>
      </c>
      <c r="CR173" s="268">
        <f>IF(CO173,_xll.qDateYears(CO172,CO173,CR$13),0)</f>
        <v>0.25753424657534246</v>
      </c>
      <c r="CS173" s="268">
        <f t="shared" si="57"/>
        <v>2017.7196533402648</v>
      </c>
      <c r="DA173" s="526">
        <v>55162</v>
      </c>
      <c r="DB173" s="151" t="str">
        <f t="shared" si="52"/>
        <v>39.5Y</v>
      </c>
      <c r="DC173" s="386">
        <v>9.4230293736196222E-2</v>
      </c>
      <c r="DD173" s="268">
        <f>IF(DA173,_xll.qDateYears(DA172,DA173,DD$13),0)</f>
        <v>0.25753424657534246</v>
      </c>
      <c r="DE173" s="268">
        <f t="shared" si="58"/>
        <v>1543.2342227027534</v>
      </c>
      <c r="DM173" s="526">
        <v>55162</v>
      </c>
      <c r="DN173" s="151" t="str">
        <f t="shared" si="53"/>
        <v>39.5Y</v>
      </c>
      <c r="DO173" s="386">
        <v>0.18278158170747241</v>
      </c>
      <c r="DP173" s="268">
        <f>IF(DM173,_xll.qDateYears(DM172,DM173,DP$13),0)</f>
        <v>0.26111111111111113</v>
      </c>
      <c r="DQ173" s="268">
        <f t="shared" si="59"/>
        <v>2022.9086351194485</v>
      </c>
    </row>
    <row r="174" spans="59:121">
      <c r="BG174" s="526">
        <v>55250</v>
      </c>
      <c r="BH174" s="150" t="str">
        <f t="shared" si="48"/>
        <v>39.75Y</v>
      </c>
      <c r="BI174" s="386">
        <v>0.18093677862916757</v>
      </c>
      <c r="BJ174" s="268">
        <f>IF(BG174,_xll.qDateYears(BG173,BG174,$BJ$13),0)</f>
        <v>0.24444444444444444</v>
      </c>
      <c r="BK174" s="268">
        <f t="shared" si="54"/>
        <v>2027.3315341526059</v>
      </c>
      <c r="BQ174" s="526">
        <v>55250</v>
      </c>
      <c r="BR174" s="151" t="str">
        <f t="shared" si="49"/>
        <v>39.75Y</v>
      </c>
      <c r="BS174" s="386">
        <v>0.16849002168555405</v>
      </c>
      <c r="BT174" s="268">
        <f>IF(BQ174,_xll.qDateYears(BQ173,BQ174,BT$13),0)</f>
        <v>0.24109589041095891</v>
      </c>
      <c r="BU174" s="268">
        <f t="shared" si="55"/>
        <v>1599.7163178303999</v>
      </c>
      <c r="CC174" s="526">
        <v>55250</v>
      </c>
      <c r="CD174" s="151" t="str">
        <f t="shared" si="50"/>
        <v>39.75Y</v>
      </c>
      <c r="CE174" s="386">
        <v>0.21922279776674439</v>
      </c>
      <c r="CF174" s="268">
        <f>IF(CC174,_xll.qDateYears(CC173,CC174,CF$13),0)</f>
        <v>0.24444444444444444</v>
      </c>
      <c r="CG174" s="268">
        <f t="shared" si="56"/>
        <v>2124.2097464882472</v>
      </c>
      <c r="CO174" s="526">
        <v>55250</v>
      </c>
      <c r="CP174" s="151" t="str">
        <f t="shared" si="51"/>
        <v>39.75Y</v>
      </c>
      <c r="CQ174" s="386">
        <v>0.19324290345909814</v>
      </c>
      <c r="CR174" s="268">
        <f>IF(CO174,_xll.qDateYears(CO173,CO174,CR$13),0)</f>
        <v>0.24109589041095891</v>
      </c>
      <c r="CS174" s="268">
        <f t="shared" si="57"/>
        <v>2022.3786603277717</v>
      </c>
      <c r="DA174" s="526">
        <v>55250</v>
      </c>
      <c r="DB174" s="151" t="str">
        <f t="shared" si="52"/>
        <v>39.75Y</v>
      </c>
      <c r="DC174" s="386">
        <v>9.288295903989284E-2</v>
      </c>
      <c r="DD174" s="268">
        <f>IF(DA174,_xll.qDateYears(DA173,DA174,DD$13),0)</f>
        <v>0.24109589041095891</v>
      </c>
      <c r="DE174" s="268">
        <f t="shared" si="58"/>
        <v>1545.4735926741262</v>
      </c>
      <c r="DM174" s="526">
        <v>55250</v>
      </c>
      <c r="DN174" s="151" t="str">
        <f t="shared" si="53"/>
        <v>39.75Y</v>
      </c>
      <c r="DO174" s="386">
        <v>0.18093677862916757</v>
      </c>
      <c r="DP174" s="268">
        <f>IF(DM174,_xll.qDateYears(DM173,DM174,DP$13),0)</f>
        <v>0.24444444444444444</v>
      </c>
      <c r="DQ174" s="268">
        <f t="shared" si="59"/>
        <v>2027.3315341526059</v>
      </c>
    </row>
    <row r="175" spans="59:121">
      <c r="BG175" s="526">
        <v>55341</v>
      </c>
      <c r="BH175" s="150" t="str">
        <f t="shared" si="48"/>
        <v>40Y</v>
      </c>
      <c r="BI175" s="386">
        <v>0.17904916152767078</v>
      </c>
      <c r="BJ175" s="268">
        <f>IF(BG175,_xll.qDateYears(BG174,BG175,$BJ$13),0)</f>
        <v>0.25277777777777777</v>
      </c>
      <c r="BK175" s="268">
        <f t="shared" si="54"/>
        <v>2031.8574990689997</v>
      </c>
      <c r="BQ175" s="526">
        <v>55341</v>
      </c>
      <c r="BR175" s="151" t="str">
        <f t="shared" si="49"/>
        <v>40Y</v>
      </c>
      <c r="BS175" s="386">
        <v>0.16778602395953843</v>
      </c>
      <c r="BT175" s="268">
        <f>IF(BQ175,_xll.qDateYears(BQ174,BQ175,BT$13),0)</f>
        <v>0.24931506849315069</v>
      </c>
      <c r="BU175" s="268">
        <f t="shared" si="55"/>
        <v>1603.8994762359664</v>
      </c>
      <c r="CC175" s="526">
        <v>55341</v>
      </c>
      <c r="CD175" s="151" t="str">
        <f t="shared" si="50"/>
        <v>40Y</v>
      </c>
      <c r="CE175" s="386">
        <v>0.21717097155987125</v>
      </c>
      <c r="CF175" s="268">
        <f>IF(CC175,_xll.qDateYears(CC174,CC175,CF$13),0)</f>
        <v>0.25277777777777777</v>
      </c>
      <c r="CG175" s="268">
        <f t="shared" si="56"/>
        <v>2129.6993460471217</v>
      </c>
      <c r="CO175" s="526">
        <v>55341</v>
      </c>
      <c r="CP175" s="151" t="str">
        <f t="shared" si="51"/>
        <v>40Y</v>
      </c>
      <c r="CQ175" s="386">
        <v>0.19128232437170128</v>
      </c>
      <c r="CR175" s="268">
        <f>IF(CO175,_xll.qDateYears(CO174,CO175,CR$13),0)</f>
        <v>0.24931506849315069</v>
      </c>
      <c r="CS175" s="268">
        <f t="shared" si="57"/>
        <v>2027.1476169079976</v>
      </c>
      <c r="DA175" s="526">
        <v>55341</v>
      </c>
      <c r="DB175" s="151" t="str">
        <f t="shared" si="52"/>
        <v>40Y</v>
      </c>
      <c r="DC175" s="386">
        <v>9.1509950112491023E-2</v>
      </c>
      <c r="DD175" s="268">
        <f>IF(DA175,_xll.qDateYears(DA174,DA175,DD$13),0)</f>
        <v>0.24931506849315069</v>
      </c>
      <c r="DE175" s="268">
        <f t="shared" si="58"/>
        <v>1547.7550736221363</v>
      </c>
      <c r="DM175" s="526">
        <v>55341</v>
      </c>
      <c r="DN175" s="151" t="str">
        <f t="shared" si="53"/>
        <v>40Y</v>
      </c>
      <c r="DO175" s="386">
        <v>0.17904916152767078</v>
      </c>
      <c r="DP175" s="268">
        <f>IF(DM175,_xll.qDateYears(DM174,DM175,DP$13),0)</f>
        <v>0.25277777777777777</v>
      </c>
      <c r="DQ175" s="268">
        <f t="shared" si="59"/>
        <v>2031.8574990689997</v>
      </c>
    </row>
    <row r="176" spans="59:121">
      <c r="BG176" s="526">
        <v>55436</v>
      </c>
      <c r="BH176" s="150" t="str">
        <f t="shared" si="48"/>
        <v>40.25Y</v>
      </c>
      <c r="BI176" s="386">
        <v>0.17730577168295567</v>
      </c>
      <c r="BJ176" s="268">
        <f>IF(BG176,_xll.qDateYears(BG175,BG176,$BJ$13),0)</f>
        <v>0.2638888888888889</v>
      </c>
      <c r="BK176" s="268">
        <f t="shared" si="54"/>
        <v>2036.5364013772999</v>
      </c>
      <c r="BQ176" s="526">
        <v>55436</v>
      </c>
      <c r="BR176" s="151" t="str">
        <f t="shared" si="49"/>
        <v>40.25Y</v>
      </c>
      <c r="BS176" s="386">
        <v>0.16585001992266293</v>
      </c>
      <c r="BT176" s="268">
        <f>IF(BQ176,_xll.qDateYears(BQ175,BQ176,BT$13),0)</f>
        <v>0.26027397260273971</v>
      </c>
      <c r="BU176" s="268">
        <f t="shared" si="55"/>
        <v>1608.216120590118</v>
      </c>
      <c r="CC176" s="526">
        <v>55436</v>
      </c>
      <c r="CD176" s="151" t="str">
        <f t="shared" si="50"/>
        <v>40.25Y</v>
      </c>
      <c r="CE176" s="386">
        <v>0.21502551043043813</v>
      </c>
      <c r="CF176" s="268">
        <f>IF(CC176,_xll.qDateYears(CC175,CC176,CF$13),0)</f>
        <v>0.2638888888888889</v>
      </c>
      <c r="CG176" s="268">
        <f t="shared" si="56"/>
        <v>2135.3736303501473</v>
      </c>
      <c r="CO176" s="526">
        <v>55436</v>
      </c>
      <c r="CP176" s="151" t="str">
        <f t="shared" si="51"/>
        <v>40.25Y</v>
      </c>
      <c r="CQ176" s="386">
        <v>0.18935198936339848</v>
      </c>
      <c r="CR176" s="268">
        <f>IF(CO176,_xll.qDateYears(CO175,CO176,CR$13),0)</f>
        <v>0.26027397260273971</v>
      </c>
      <c r="CS176" s="268">
        <f t="shared" si="57"/>
        <v>2032.0759563571819</v>
      </c>
      <c r="DA176" s="526">
        <v>55436</v>
      </c>
      <c r="DB176" s="151" t="str">
        <f t="shared" si="52"/>
        <v>40.25Y</v>
      </c>
      <c r="DC176" s="386">
        <v>9.0098238254028365E-2</v>
      </c>
      <c r="DD176" s="268">
        <f>IF(DA176,_xll.qDateYears(DA175,DA176,DD$13),0)</f>
        <v>0.26027397260273971</v>
      </c>
      <c r="DE176" s="268">
        <f t="shared" si="58"/>
        <v>1550.1000962616247</v>
      </c>
      <c r="DM176" s="526">
        <v>55436</v>
      </c>
      <c r="DN176" s="151" t="str">
        <f t="shared" si="53"/>
        <v>40.25Y</v>
      </c>
      <c r="DO176" s="386">
        <v>0.17730577168295567</v>
      </c>
      <c r="DP176" s="268">
        <f>IF(DM176,_xll.qDateYears(DM175,DM176,DP$13),0)</f>
        <v>0.2638888888888889</v>
      </c>
      <c r="DQ176" s="268">
        <f t="shared" si="59"/>
        <v>2036.5364013772999</v>
      </c>
    </row>
    <row r="177" spans="59:121">
      <c r="BG177" s="526">
        <v>55526</v>
      </c>
      <c r="BH177" s="150" t="str">
        <f t="shared" si="48"/>
        <v>40.5Y</v>
      </c>
      <c r="BI177" s="386">
        <v>0.17567273030590844</v>
      </c>
      <c r="BJ177" s="268">
        <f>IF(BG177,_xll.qDateYears(BG176,BG177,$BJ$13),0)</f>
        <v>0.25</v>
      </c>
      <c r="BK177" s="268">
        <f t="shared" si="54"/>
        <v>2040.9282196349475</v>
      </c>
      <c r="BQ177" s="526">
        <v>55526</v>
      </c>
      <c r="BR177" s="151" t="str">
        <f t="shared" si="49"/>
        <v>40.5Y</v>
      </c>
      <c r="BS177" s="386">
        <v>0.16403652102245067</v>
      </c>
      <c r="BT177" s="268">
        <f>IF(BQ177,_xll.qDateYears(BQ176,BQ177,BT$13),0)</f>
        <v>0.24657534246575341</v>
      </c>
      <c r="BU177" s="268">
        <f t="shared" si="55"/>
        <v>1612.2608567249181</v>
      </c>
      <c r="CC177" s="526">
        <v>55526</v>
      </c>
      <c r="CD177" s="151" t="str">
        <f t="shared" si="50"/>
        <v>40.5Y</v>
      </c>
      <c r="CE177" s="386">
        <v>0.21301252304662799</v>
      </c>
      <c r="CF177" s="268">
        <f>IF(CC177,_xll.qDateYears(CC176,CC177,CF$13),0)</f>
        <v>0.25</v>
      </c>
      <c r="CG177" s="268">
        <f t="shared" si="56"/>
        <v>2140.6989434263132</v>
      </c>
      <c r="CO177" s="526">
        <v>55526</v>
      </c>
      <c r="CP177" s="151" t="str">
        <f t="shared" si="51"/>
        <v>40.5Y</v>
      </c>
      <c r="CQ177" s="386">
        <v>0.18754258856947637</v>
      </c>
      <c r="CR177" s="268">
        <f>IF(CO177,_xll.qDateYears(CO176,CO177,CR$13),0)</f>
        <v>0.24657534246575341</v>
      </c>
      <c r="CS177" s="268">
        <f t="shared" si="57"/>
        <v>2036.7002941575251</v>
      </c>
      <c r="DA177" s="526">
        <v>55526</v>
      </c>
      <c r="DB177" s="151" t="str">
        <f t="shared" si="52"/>
        <v>40.5Y</v>
      </c>
      <c r="DC177" s="386">
        <v>8.8780921595526516E-2</v>
      </c>
      <c r="DD177" s="268">
        <f>IF(DA177,_xll.qDateYears(DA176,DA177,DD$13),0)</f>
        <v>0.24657534246575341</v>
      </c>
      <c r="DE177" s="268">
        <f t="shared" si="58"/>
        <v>1552.289214876309</v>
      </c>
      <c r="DM177" s="526">
        <v>55526</v>
      </c>
      <c r="DN177" s="151" t="str">
        <f t="shared" si="53"/>
        <v>40.5Y</v>
      </c>
      <c r="DO177" s="386">
        <v>0.17567273030590844</v>
      </c>
      <c r="DP177" s="268">
        <f>IF(DM177,_xll.qDateYears(DM176,DM177,DP$13),0)</f>
        <v>0.25</v>
      </c>
      <c r="DQ177" s="268">
        <f t="shared" si="59"/>
        <v>2040.9282196349475</v>
      </c>
    </row>
    <row r="178" spans="59:121">
      <c r="BG178" s="526">
        <v>55617</v>
      </c>
      <c r="BH178" s="150" t="str">
        <f t="shared" si="48"/>
        <v>40.75Y</v>
      </c>
      <c r="BI178" s="386">
        <v>0.17403970732226984</v>
      </c>
      <c r="BJ178" s="268">
        <f>IF(BG178,_xll.qDateYears(BG177,BG178,$BJ$13),0)</f>
        <v>0.25277777777777777</v>
      </c>
      <c r="BK178" s="268">
        <f t="shared" si="54"/>
        <v>2045.3275566811492</v>
      </c>
      <c r="BQ178" s="526">
        <v>55617</v>
      </c>
      <c r="BR178" s="151" t="str">
        <f t="shared" si="49"/>
        <v>40.75Y</v>
      </c>
      <c r="BS178" s="386">
        <v>0.16222303287039677</v>
      </c>
      <c r="BT178" s="268">
        <f>IF(BQ178,_xll.qDateYears(BQ177,BQ178,BT$13),0)</f>
        <v>0.24931506849315069</v>
      </c>
      <c r="BU178" s="268">
        <f t="shared" si="55"/>
        <v>1616.3053213800431</v>
      </c>
      <c r="CC178" s="526">
        <v>55617</v>
      </c>
      <c r="CD178" s="151" t="str">
        <f t="shared" si="50"/>
        <v>40.75Y</v>
      </c>
      <c r="CE178" s="386">
        <v>0.21099632853957317</v>
      </c>
      <c r="CF178" s="268">
        <f>IF(CC178,_xll.qDateYears(CC177,CC178,CF$13),0)</f>
        <v>0.25277777777777777</v>
      </c>
      <c r="CG178" s="268">
        <f t="shared" si="56"/>
        <v>2146.0324617310634</v>
      </c>
      <c r="CO178" s="526">
        <v>55617</v>
      </c>
      <c r="CP178" s="151" t="str">
        <f t="shared" si="51"/>
        <v>40.75Y</v>
      </c>
      <c r="CQ178" s="386">
        <v>0.18573199970647333</v>
      </c>
      <c r="CR178" s="268">
        <f>IF(CO178,_xll.qDateYears(CO177,CO178,CR$13),0)</f>
        <v>0.24931506849315069</v>
      </c>
      <c r="CS178" s="268">
        <f t="shared" si="57"/>
        <v>2041.3308727803442</v>
      </c>
      <c r="DA178" s="526">
        <v>55617</v>
      </c>
      <c r="DB178" s="151" t="str">
        <f t="shared" si="52"/>
        <v>40.75Y</v>
      </c>
      <c r="DC178" s="386">
        <v>8.7468549560939773E-2</v>
      </c>
      <c r="DD178" s="268">
        <f>IF(DA178,_xll.qDateYears(DA177,DA178,DD$13),0)</f>
        <v>0.24931506849315069</v>
      </c>
      <c r="DE178" s="268">
        <f t="shared" si="58"/>
        <v>1554.4699376187873</v>
      </c>
      <c r="DM178" s="526">
        <v>55617</v>
      </c>
      <c r="DN178" s="151" t="str">
        <f t="shared" si="53"/>
        <v>40.75Y</v>
      </c>
      <c r="DO178" s="386">
        <v>0.17403970732226984</v>
      </c>
      <c r="DP178" s="268">
        <f>IF(DM178,_xll.qDateYears(DM177,DM178,DP$13),0)</f>
        <v>0.25277777777777777</v>
      </c>
      <c r="DQ178" s="268">
        <f t="shared" si="59"/>
        <v>2045.3275566811492</v>
      </c>
    </row>
    <row r="179" spans="59:121">
      <c r="BG179" s="526">
        <v>55708</v>
      </c>
      <c r="BH179" s="150" t="str">
        <f t="shared" si="48"/>
        <v>41Y</v>
      </c>
      <c r="BI179" s="386">
        <v>0.1724247251337398</v>
      </c>
      <c r="BJ179" s="268">
        <f>IF(BG179,_xll.qDateYears(BG178,BG179,$BJ$13),0)</f>
        <v>0.25277777777777777</v>
      </c>
      <c r="BK179" s="268">
        <f t="shared" si="54"/>
        <v>2049.6860705664744</v>
      </c>
      <c r="BQ179" s="526">
        <v>55708</v>
      </c>
      <c r="BR179" s="151" t="str">
        <f t="shared" si="49"/>
        <v>41Y</v>
      </c>
      <c r="BS179" s="386">
        <v>0.16042959354196543</v>
      </c>
      <c r="BT179" s="268">
        <f>IF(BQ179,_xll.qDateYears(BQ178,BQ179,BT$13),0)</f>
        <v>0.24931506849315069</v>
      </c>
      <c r="BU179" s="268">
        <f t="shared" si="55"/>
        <v>1620.3050728902674</v>
      </c>
      <c r="CC179" s="526">
        <v>55708</v>
      </c>
      <c r="CD179" s="151" t="str">
        <f t="shared" si="50"/>
        <v>41Y</v>
      </c>
      <c r="CE179" s="386">
        <v>0.20899921760672396</v>
      </c>
      <c r="CF179" s="268">
        <f>IF(CC179,_xll.qDateYears(CC178,CC179,CF$13),0)</f>
        <v>0.25277777777777777</v>
      </c>
      <c r="CG179" s="268">
        <f t="shared" si="56"/>
        <v>2151.3154975094558</v>
      </c>
      <c r="CO179" s="526">
        <v>55708</v>
      </c>
      <c r="CP179" s="151" t="str">
        <f t="shared" si="51"/>
        <v>41Y</v>
      </c>
      <c r="CQ179" s="386">
        <v>0.18394022278344926</v>
      </c>
      <c r="CR179" s="268">
        <f>IF(CO179,_xll.qDateYears(CO178,CO179,CR$13),0)</f>
        <v>0.24931506849315069</v>
      </c>
      <c r="CS179" s="268">
        <f t="shared" si="57"/>
        <v>2045.9167797045343</v>
      </c>
      <c r="DA179" s="526">
        <v>55708</v>
      </c>
      <c r="DB179" s="151" t="str">
        <f t="shared" si="52"/>
        <v>41Y</v>
      </c>
      <c r="DC179" s="386">
        <v>8.6175577193829012E-2</v>
      </c>
      <c r="DD179" s="268">
        <f>IF(DA179,_xll.qDateYears(DA178,DA179,DD$13),0)</f>
        <v>0.24931506849315069</v>
      </c>
      <c r="DE179" s="268">
        <f t="shared" si="58"/>
        <v>1556.6184246118389</v>
      </c>
      <c r="DM179" s="526">
        <v>55708</v>
      </c>
      <c r="DN179" s="151" t="str">
        <f t="shared" si="53"/>
        <v>41Y</v>
      </c>
      <c r="DO179" s="386">
        <v>0.1724247251337398</v>
      </c>
      <c r="DP179" s="268">
        <f>IF(DM179,_xll.qDateYears(DM178,DM179,DP$13),0)</f>
        <v>0.25277777777777777</v>
      </c>
      <c r="DQ179" s="268">
        <f t="shared" si="59"/>
        <v>2049.6860705664744</v>
      </c>
    </row>
    <row r="180" spans="59:121">
      <c r="BG180" s="526">
        <v>55800</v>
      </c>
      <c r="BH180" s="150" t="str">
        <f t="shared" si="48"/>
        <v>41.25Y</v>
      </c>
      <c r="BI180" s="386">
        <v>0.17081010997377929</v>
      </c>
      <c r="BJ180" s="268">
        <f>IF(BG180,_xll.qDateYears(BG179,BG180,$BJ$13),0)</f>
        <v>0.25555555555555554</v>
      </c>
      <c r="BK180" s="268">
        <f t="shared" si="54"/>
        <v>2054.0512178213598</v>
      </c>
      <c r="BQ180" s="526">
        <v>55800</v>
      </c>
      <c r="BR180" s="151" t="str">
        <f t="shared" si="49"/>
        <v>41.25Y</v>
      </c>
      <c r="BS180" s="386">
        <v>0.15863660046533734</v>
      </c>
      <c r="BT180" s="268">
        <f>IF(BQ180,_xll.qDateYears(BQ179,BQ180,BT$13),0)</f>
        <v>0.25205479452054796</v>
      </c>
      <c r="BU180" s="268">
        <f t="shared" si="55"/>
        <v>1624.3035844636404</v>
      </c>
      <c r="CC180" s="526">
        <v>55800</v>
      </c>
      <c r="CD180" s="151" t="str">
        <f t="shared" si="50"/>
        <v>41.25Y</v>
      </c>
      <c r="CE180" s="386">
        <v>0.20699937540585542</v>
      </c>
      <c r="CF180" s="268">
        <f>IF(CC180,_xll.qDateYears(CC179,CC180,CF$13),0)</f>
        <v>0.25555555555555554</v>
      </c>
      <c r="CG180" s="268">
        <f t="shared" si="56"/>
        <v>2156.6054815476055</v>
      </c>
      <c r="CO180" s="526">
        <v>55800</v>
      </c>
      <c r="CP180" s="151" t="str">
        <f t="shared" si="51"/>
        <v>41.25Y</v>
      </c>
      <c r="CQ180" s="386">
        <v>0.18214766767315108</v>
      </c>
      <c r="CR180" s="268">
        <f>IF(CO180,_xll.qDateYears(CO179,CO180,CR$13),0)</f>
        <v>0.25205479452054796</v>
      </c>
      <c r="CS180" s="268">
        <f t="shared" si="57"/>
        <v>2050.5078989993094</v>
      </c>
      <c r="DA180" s="526">
        <v>55800</v>
      </c>
      <c r="DB180" s="151" t="str">
        <f t="shared" si="52"/>
        <v>41.25Y</v>
      </c>
      <c r="DC180" s="386">
        <v>8.4887824383946903E-2</v>
      </c>
      <c r="DD180" s="268">
        <f>IF(DA180,_xll.qDateYears(DA179,DA180,DD$13),0)</f>
        <v>0.25205479452054796</v>
      </c>
      <c r="DE180" s="268">
        <f t="shared" si="58"/>
        <v>1558.7580629250781</v>
      </c>
      <c r="DM180" s="526">
        <v>55800</v>
      </c>
      <c r="DN180" s="151" t="str">
        <f t="shared" si="53"/>
        <v>41.25Y</v>
      </c>
      <c r="DO180" s="386">
        <v>0.17081010997377929</v>
      </c>
      <c r="DP180" s="268">
        <f>IF(DM180,_xll.qDateYears(DM179,DM180,DP$13),0)</f>
        <v>0.25555555555555554</v>
      </c>
      <c r="DQ180" s="268">
        <f t="shared" si="59"/>
        <v>2054.0512178213598</v>
      </c>
    </row>
    <row r="181" spans="59:121">
      <c r="BG181" s="526">
        <v>55891</v>
      </c>
      <c r="BH181" s="150" t="str">
        <f t="shared" si="48"/>
        <v>41.5Y</v>
      </c>
      <c r="BI181" s="386">
        <v>0.16923074240779937</v>
      </c>
      <c r="BJ181" s="268">
        <f>IF(BG181,_xll.qDateYears(BG180,BG181,$BJ$13),0)</f>
        <v>0.25277777777777777</v>
      </c>
      <c r="BK181" s="268">
        <f t="shared" si="54"/>
        <v>2058.3289949211126</v>
      </c>
      <c r="BQ181" s="526">
        <v>55891</v>
      </c>
      <c r="BR181" s="151" t="str">
        <f t="shared" si="49"/>
        <v>41.5Y</v>
      </c>
      <c r="BS181" s="386">
        <v>0.15688281055542688</v>
      </c>
      <c r="BT181" s="268">
        <f>IF(BQ181,_xll.qDateYears(BQ180,BQ181,BT$13),0)</f>
        <v>0.24931506849315069</v>
      </c>
      <c r="BU181" s="268">
        <f t="shared" si="55"/>
        <v>1628.2149093295427</v>
      </c>
      <c r="CC181" s="526">
        <v>55891</v>
      </c>
      <c r="CD181" s="151" t="str">
        <f t="shared" si="50"/>
        <v>41.5Y</v>
      </c>
      <c r="CE181" s="386">
        <v>0.20504009621565633</v>
      </c>
      <c r="CF181" s="268">
        <f>IF(CC181,_xll.qDateYears(CC180,CC181,CF$13),0)</f>
        <v>0.25277777777777777</v>
      </c>
      <c r="CG181" s="268">
        <f t="shared" si="56"/>
        <v>2161.7884395352789</v>
      </c>
      <c r="CO181" s="526">
        <v>55891</v>
      </c>
      <c r="CP181" s="151" t="str">
        <f t="shared" si="51"/>
        <v>41.5Y</v>
      </c>
      <c r="CQ181" s="386">
        <v>0.18039309619974467</v>
      </c>
      <c r="CR181" s="268">
        <f>IF(CO181,_xll.qDateYears(CO180,CO181,CR$13),0)</f>
        <v>0.24931506849315069</v>
      </c>
      <c r="CS181" s="268">
        <f t="shared" si="57"/>
        <v>2055.0053707127827</v>
      </c>
      <c r="DA181" s="526">
        <v>55891</v>
      </c>
      <c r="DB181" s="151" t="str">
        <f t="shared" si="52"/>
        <v>41.5Y</v>
      </c>
      <c r="DC181" s="386">
        <v>8.3633000658350276E-2</v>
      </c>
      <c r="DD181" s="268">
        <f>IF(DA181,_xll.qDateYears(DA180,DA181,DD$13),0)</f>
        <v>0.24931506849315069</v>
      </c>
      <c r="DE181" s="268">
        <f t="shared" si="58"/>
        <v>1560.8431596538205</v>
      </c>
      <c r="DM181" s="526">
        <v>55891</v>
      </c>
      <c r="DN181" s="151" t="str">
        <f t="shared" si="53"/>
        <v>41.5Y</v>
      </c>
      <c r="DO181" s="386">
        <v>0.16923074240779937</v>
      </c>
      <c r="DP181" s="268">
        <f>IF(DM181,_xll.qDateYears(DM180,DM181,DP$13),0)</f>
        <v>0.25277777777777777</v>
      </c>
      <c r="DQ181" s="268">
        <f t="shared" si="59"/>
        <v>2058.3289949211126</v>
      </c>
    </row>
    <row r="182" spans="59:121">
      <c r="BG182" s="526">
        <v>55982</v>
      </c>
      <c r="BH182" s="150" t="str">
        <f t="shared" si="48"/>
        <v>41.75Y</v>
      </c>
      <c r="BI182" s="386">
        <v>0.1676687599053592</v>
      </c>
      <c r="BJ182" s="268">
        <f>IF(BG182,_xll.qDateYears(BG181,BG182,$BJ$13),0)</f>
        <v>0.25277777777777777</v>
      </c>
      <c r="BK182" s="268">
        <f t="shared" si="54"/>
        <v>2062.5672885742756</v>
      </c>
      <c r="BQ182" s="526">
        <v>55982</v>
      </c>
      <c r="BR182" s="151" t="str">
        <f t="shared" si="49"/>
        <v>41.75Y</v>
      </c>
      <c r="BS182" s="386">
        <v>0.15514840948163036</v>
      </c>
      <c r="BT182" s="268">
        <f>IF(BQ182,_xll.qDateYears(BQ181,BQ182,BT$13),0)</f>
        <v>0.24931506849315069</v>
      </c>
      <c r="BU182" s="268">
        <f t="shared" si="55"/>
        <v>1632.0829929631943</v>
      </c>
      <c r="CC182" s="526">
        <v>55982</v>
      </c>
      <c r="CD182" s="151" t="str">
        <f t="shared" si="50"/>
        <v>41.75Y</v>
      </c>
      <c r="CE182" s="386">
        <v>0.20309936188791211</v>
      </c>
      <c r="CF182" s="268">
        <f>IF(CC182,_xll.qDateYears(CC181,CC182,CF$13),0)</f>
        <v>0.25277777777777777</v>
      </c>
      <c r="CG182" s="268">
        <f t="shared" si="56"/>
        <v>2166.9223400718902</v>
      </c>
      <c r="CO182" s="526">
        <v>55982</v>
      </c>
      <c r="CP182" s="151" t="str">
        <f t="shared" si="51"/>
        <v>41.75Y</v>
      </c>
      <c r="CQ182" s="386">
        <v>0.17865671973100783</v>
      </c>
      <c r="CR182" s="268">
        <f>IF(CO182,_xll.qDateYears(CO181,CO182,CR$13),0)</f>
        <v>0.24931506849315069</v>
      </c>
      <c r="CS182" s="268">
        <f t="shared" si="57"/>
        <v>2059.4595519444324</v>
      </c>
      <c r="DA182" s="526">
        <v>55982</v>
      </c>
      <c r="DB182" s="151" t="str">
        <f t="shared" si="52"/>
        <v>41.75Y</v>
      </c>
      <c r="DC182" s="386">
        <v>8.2396725913054955E-2</v>
      </c>
      <c r="DD182" s="268">
        <f>IF(DA182,_xll.qDateYears(DA181,DA182,DD$13),0)</f>
        <v>0.24931506849315069</v>
      </c>
      <c r="DE182" s="268">
        <f t="shared" si="58"/>
        <v>1562.8974341902831</v>
      </c>
      <c r="DM182" s="526">
        <v>55982</v>
      </c>
      <c r="DN182" s="151" t="str">
        <f t="shared" si="53"/>
        <v>41.75Y</v>
      </c>
      <c r="DO182" s="386">
        <v>0.1676687599053592</v>
      </c>
      <c r="DP182" s="268">
        <f>IF(DM182,_xll.qDateYears(DM181,DM182,DP$13),0)</f>
        <v>0.25277777777777777</v>
      </c>
      <c r="DQ182" s="268">
        <f t="shared" si="59"/>
        <v>2062.5672885742756</v>
      </c>
    </row>
    <row r="183" spans="59:121">
      <c r="BG183" s="526">
        <v>56072</v>
      </c>
      <c r="BH183" s="150" t="str">
        <f t="shared" si="48"/>
        <v>42Y</v>
      </c>
      <c r="BI183" s="386">
        <v>0.16614083381221179</v>
      </c>
      <c r="BJ183" s="268">
        <f>IF(BG183,_xll.qDateYears(BG182,BG183,$BJ$13),0)</f>
        <v>0.25</v>
      </c>
      <c r="BK183" s="268">
        <f t="shared" si="54"/>
        <v>2066.7208094195807</v>
      </c>
      <c r="BQ183" s="526">
        <v>56072</v>
      </c>
      <c r="BR183" s="151" t="str">
        <f t="shared" si="49"/>
        <v>42Y</v>
      </c>
      <c r="BS183" s="386">
        <v>0.15345192810589209</v>
      </c>
      <c r="BT183" s="268">
        <f>IF(BQ183,_xll.qDateYears(BQ182,BQ183,BT$13),0)</f>
        <v>0.24657534246575341</v>
      </c>
      <c r="BU183" s="268">
        <f t="shared" si="55"/>
        <v>1635.8667391356685</v>
      </c>
      <c r="CC183" s="526">
        <v>56072</v>
      </c>
      <c r="CD183" s="151" t="str">
        <f t="shared" si="50"/>
        <v>42Y</v>
      </c>
      <c r="CE183" s="386">
        <v>0.20119802258951053</v>
      </c>
      <c r="CF183" s="268">
        <f>IF(CC183,_xll.qDateYears(CC182,CC183,CF$13),0)</f>
        <v>0.25</v>
      </c>
      <c r="CG183" s="268">
        <f t="shared" si="56"/>
        <v>2171.9522906366278</v>
      </c>
      <c r="CO183" s="526">
        <v>56072</v>
      </c>
      <c r="CP183" s="151" t="str">
        <f t="shared" si="51"/>
        <v>42Y</v>
      </c>
      <c r="CQ183" s="386">
        <v>0.17695712435320288</v>
      </c>
      <c r="CR183" s="268">
        <f>IF(CO183,_xll.qDateYears(CO182,CO183,CR$13),0)</f>
        <v>0.24657534246575341</v>
      </c>
      <c r="CS183" s="268">
        <f t="shared" si="57"/>
        <v>2063.822878298347</v>
      </c>
      <c r="DA183" s="526">
        <v>56072</v>
      </c>
      <c r="DB183" s="151" t="str">
        <f t="shared" si="52"/>
        <v>42Y</v>
      </c>
      <c r="DC183" s="386">
        <v>8.1192012238795894E-2</v>
      </c>
      <c r="DD183" s="268">
        <f>IF(DA183,_xll.qDateYears(DA182,DA183,DD$13),0)</f>
        <v>0.24657534246575341</v>
      </c>
      <c r="DE183" s="268">
        <f t="shared" si="58"/>
        <v>1564.8994290126095</v>
      </c>
      <c r="DM183" s="526">
        <v>56072</v>
      </c>
      <c r="DN183" s="151" t="str">
        <f t="shared" si="53"/>
        <v>42Y</v>
      </c>
      <c r="DO183" s="386">
        <v>0.16614083381221179</v>
      </c>
      <c r="DP183" s="268">
        <f>IF(DM183,_xll.qDateYears(DM182,DM183,DP$13),0)</f>
        <v>0.25</v>
      </c>
      <c r="DQ183" s="268">
        <f t="shared" si="59"/>
        <v>2066.7208094195807</v>
      </c>
    </row>
    <row r="184" spans="59:121">
      <c r="BG184" s="526">
        <v>56164</v>
      </c>
      <c r="BH184" s="150" t="str">
        <f t="shared" si="48"/>
        <v>42.25Y</v>
      </c>
      <c r="BI184" s="386">
        <v>0.16459610482356438</v>
      </c>
      <c r="BJ184" s="268">
        <f>IF(BG184,_xll.qDateYears(BG183,BG184,$BJ$13),0)</f>
        <v>0.25555555555555554</v>
      </c>
      <c r="BK184" s="268">
        <f t="shared" si="54"/>
        <v>2070.9271543206273</v>
      </c>
      <c r="BQ184" s="526">
        <v>56164</v>
      </c>
      <c r="BR184" s="151" t="str">
        <f t="shared" si="49"/>
        <v>42.25Y</v>
      </c>
      <c r="BS184" s="386">
        <v>0.15173691880732942</v>
      </c>
      <c r="BT184" s="268">
        <f>IF(BQ184,_xll.qDateYears(BQ183,BQ184,BT$13),0)</f>
        <v>0.25205479452054796</v>
      </c>
      <c r="BU184" s="268">
        <f t="shared" si="55"/>
        <v>1639.6913409247848</v>
      </c>
      <c r="CC184" s="526">
        <v>56164</v>
      </c>
      <c r="CD184" s="151" t="str">
        <f t="shared" si="50"/>
        <v>42.25Y</v>
      </c>
      <c r="CE184" s="386">
        <v>0.19927282736192389</v>
      </c>
      <c r="CF184" s="268">
        <f>IF(CC184,_xll.qDateYears(CC183,CC184,CF$13),0)</f>
        <v>0.25555555555555554</v>
      </c>
      <c r="CG184" s="268">
        <f t="shared" si="56"/>
        <v>2177.0448184469883</v>
      </c>
      <c r="CO184" s="526">
        <v>56164</v>
      </c>
      <c r="CP184" s="151" t="str">
        <f t="shared" si="51"/>
        <v>42.25Y</v>
      </c>
      <c r="CQ184" s="386">
        <v>0.17523775349482143</v>
      </c>
      <c r="CR184" s="268">
        <f>IF(CO184,_xll.qDateYears(CO183,CO184,CR$13),0)</f>
        <v>0.25205479452054796</v>
      </c>
      <c r="CS184" s="268">
        <f t="shared" si="57"/>
        <v>2068.2398298932849</v>
      </c>
      <c r="DA184" s="526">
        <v>56164</v>
      </c>
      <c r="DB184" s="151" t="str">
        <f t="shared" si="52"/>
        <v>42.25Y</v>
      </c>
      <c r="DC184" s="386">
        <v>7.9978730642023724E-2</v>
      </c>
      <c r="DD184" s="268">
        <f>IF(DA184,_xll.qDateYears(DA183,DA184,DD$13),0)</f>
        <v>0.25205479452054796</v>
      </c>
      <c r="DE184" s="268">
        <f t="shared" si="58"/>
        <v>1566.9153312644085</v>
      </c>
      <c r="DM184" s="526">
        <v>56164</v>
      </c>
      <c r="DN184" s="151" t="str">
        <f t="shared" si="53"/>
        <v>42.25Y</v>
      </c>
      <c r="DO184" s="386">
        <v>0.16459610482356438</v>
      </c>
      <c r="DP184" s="268">
        <f>IF(DM184,_xll.qDateYears(DM183,DM184,DP$13),0)</f>
        <v>0.25555555555555554</v>
      </c>
      <c r="DQ184" s="268">
        <f t="shared" si="59"/>
        <v>2070.9271543206273</v>
      </c>
    </row>
    <row r="185" spans="59:121">
      <c r="BG185" s="526">
        <v>56256</v>
      </c>
      <c r="BH185" s="150" t="str">
        <f t="shared" si="48"/>
        <v>42.5Y</v>
      </c>
      <c r="BI185" s="386">
        <v>0.16306850354236629</v>
      </c>
      <c r="BJ185" s="268">
        <f>IF(BG185,_xll.qDateYears(BG184,BG185,$BJ$13),0)</f>
        <v>0.25555555555555554</v>
      </c>
      <c r="BK185" s="268">
        <f t="shared" si="54"/>
        <v>2075.0944605222658</v>
      </c>
      <c r="BQ185" s="526">
        <v>56256</v>
      </c>
      <c r="BR185" s="151" t="str">
        <f t="shared" si="49"/>
        <v>42.5Y</v>
      </c>
      <c r="BS185" s="386">
        <v>0.15004107679412096</v>
      </c>
      <c r="BT185" s="268">
        <f>IF(BQ185,_xll.qDateYears(BQ184,BQ185,BT$13),0)</f>
        <v>0.25205479452054796</v>
      </c>
      <c r="BU185" s="268">
        <f t="shared" si="55"/>
        <v>1643.4731982028832</v>
      </c>
      <c r="CC185" s="526">
        <v>56256</v>
      </c>
      <c r="CD185" s="151" t="str">
        <f t="shared" si="50"/>
        <v>42.5Y</v>
      </c>
      <c r="CE185" s="386">
        <v>0.19736605367057614</v>
      </c>
      <c r="CF185" s="268">
        <f>IF(CC185,_xll.qDateYears(CC184,CC185,CF$13),0)</f>
        <v>0.25555555555555554</v>
      </c>
      <c r="CG185" s="268">
        <f t="shared" si="56"/>
        <v>2182.0886175963474</v>
      </c>
      <c r="CO185" s="526">
        <v>56256</v>
      </c>
      <c r="CP185" s="151" t="str">
        <f t="shared" si="51"/>
        <v>42.5Y</v>
      </c>
      <c r="CQ185" s="386">
        <v>0.17353637306163527</v>
      </c>
      <c r="CR185" s="268">
        <f>IF(CO185,_xll.qDateYears(CO184,CO185,CR$13),0)</f>
        <v>0.25205479452054796</v>
      </c>
      <c r="CS185" s="268">
        <f t="shared" si="57"/>
        <v>2072.6138973786742</v>
      </c>
      <c r="DA185" s="526">
        <v>56256</v>
      </c>
      <c r="DB185" s="151" t="str">
        <f t="shared" si="52"/>
        <v>42.5Y</v>
      </c>
      <c r="DC185" s="386">
        <v>7.8783579550857644E-2</v>
      </c>
      <c r="DD185" s="268">
        <f>IF(DA185,_xll.qDateYears(DA184,DA185,DD$13),0)</f>
        <v>0.25205479452054796</v>
      </c>
      <c r="DE185" s="268">
        <f t="shared" si="58"/>
        <v>1568.9011091599368</v>
      </c>
      <c r="DM185" s="526">
        <v>56256</v>
      </c>
      <c r="DN185" s="151" t="str">
        <f t="shared" si="53"/>
        <v>42.5Y</v>
      </c>
      <c r="DO185" s="386">
        <v>0.16306850354236629</v>
      </c>
      <c r="DP185" s="268">
        <f>IF(DM185,_xll.qDateYears(DM184,DM185,DP$13),0)</f>
        <v>0.25555555555555554</v>
      </c>
      <c r="DQ185" s="268">
        <f t="shared" si="59"/>
        <v>2075.0944605222658</v>
      </c>
    </row>
    <row r="186" spans="59:121">
      <c r="BG186" s="526">
        <v>56346</v>
      </c>
      <c r="BH186" s="150" t="str">
        <f t="shared" si="48"/>
        <v>42.75Y</v>
      </c>
      <c r="BI186" s="386">
        <v>0.16159048200635878</v>
      </c>
      <c r="BJ186" s="268">
        <f>IF(BG186,_xll.qDateYears(BG185,BG186,$BJ$13),0)</f>
        <v>0.25</v>
      </c>
      <c r="BK186" s="268">
        <f t="shared" si="54"/>
        <v>2079.1342225724247</v>
      </c>
      <c r="BQ186" s="526">
        <v>56346</v>
      </c>
      <c r="BR186" s="151" t="str">
        <f t="shared" si="49"/>
        <v>42.75Y</v>
      </c>
      <c r="BS186" s="386">
        <v>0.14840044191280058</v>
      </c>
      <c r="BT186" s="268">
        <f>IF(BQ186,_xll.qDateYears(BQ185,BQ186,BT$13),0)</f>
        <v>0.24657534246575341</v>
      </c>
      <c r="BU186" s="268">
        <f t="shared" si="55"/>
        <v>1647.132387181555</v>
      </c>
      <c r="CC186" s="526">
        <v>56346</v>
      </c>
      <c r="CD186" s="151" t="str">
        <f t="shared" si="50"/>
        <v>42.75Y</v>
      </c>
      <c r="CE186" s="386">
        <v>0.19551838743211003</v>
      </c>
      <c r="CF186" s="268">
        <f>IF(CC186,_xll.qDateYears(CC185,CC186,CF$13),0)</f>
        <v>0.25</v>
      </c>
      <c r="CG186" s="268">
        <f t="shared" si="56"/>
        <v>2186.9765772821502</v>
      </c>
      <c r="CO186" s="526">
        <v>56346</v>
      </c>
      <c r="CP186" s="151" t="str">
        <f t="shared" si="51"/>
        <v>42.75Y</v>
      </c>
      <c r="CQ186" s="386">
        <v>0.17188919531922536</v>
      </c>
      <c r="CR186" s="268">
        <f>IF(CO186,_xll.qDateYears(CO185,CO186,CR$13),0)</f>
        <v>0.24657534246575341</v>
      </c>
      <c r="CS186" s="268">
        <f t="shared" si="57"/>
        <v>2076.8522610988744</v>
      </c>
      <c r="DA186" s="526">
        <v>56346</v>
      </c>
      <c r="DB186" s="151" t="str">
        <f t="shared" si="52"/>
        <v>42.75Y</v>
      </c>
      <c r="DC186" s="386">
        <v>7.7631693301249305E-2</v>
      </c>
      <c r="DD186" s="268">
        <f>IF(DA186,_xll.qDateYears(DA185,DA186,DD$13),0)</f>
        <v>0.24657534246575341</v>
      </c>
      <c r="DE186" s="268">
        <f t="shared" si="58"/>
        <v>1570.815315296132</v>
      </c>
      <c r="DM186" s="526">
        <v>56346</v>
      </c>
      <c r="DN186" s="151" t="str">
        <f t="shared" si="53"/>
        <v>42.75Y</v>
      </c>
      <c r="DO186" s="386">
        <v>0.16159048200635878</v>
      </c>
      <c r="DP186" s="268">
        <f>IF(DM186,_xll.qDateYears(DM185,DM186,DP$13),0)</f>
        <v>0.25</v>
      </c>
      <c r="DQ186" s="268">
        <f t="shared" si="59"/>
        <v>2079.1342225724247</v>
      </c>
    </row>
    <row r="187" spans="59:121">
      <c r="BG187" s="526">
        <v>56437</v>
      </c>
      <c r="BH187" s="150" t="str">
        <f t="shared" si="48"/>
        <v>43Y</v>
      </c>
      <c r="BI187" s="386">
        <v>0.16011230005899729</v>
      </c>
      <c r="BJ187" s="268">
        <f>IF(BG187,_xll.qDateYears(BG186,BG187,$BJ$13),0)</f>
        <v>0.25277777777777777</v>
      </c>
      <c r="BK187" s="268">
        <f t="shared" si="54"/>
        <v>2083.1815057128051</v>
      </c>
      <c r="BQ187" s="526">
        <v>56437</v>
      </c>
      <c r="BR187" s="151" t="str">
        <f t="shared" si="49"/>
        <v>43Y</v>
      </c>
      <c r="BS187" s="386">
        <v>0.14675981675511637</v>
      </c>
      <c r="BT187" s="268">
        <f>IF(BQ187,_xll.qDateYears(BQ186,BQ187,BT$13),0)</f>
        <v>0.24931506849315069</v>
      </c>
      <c r="BU187" s="268">
        <f t="shared" si="55"/>
        <v>1650.7913305581894</v>
      </c>
      <c r="CC187" s="526">
        <v>56437</v>
      </c>
      <c r="CD187" s="151" t="str">
        <f t="shared" si="50"/>
        <v>43Y</v>
      </c>
      <c r="CE187" s="386">
        <v>0.19366777746265512</v>
      </c>
      <c r="CF187" s="268">
        <f>IF(CC187,_xll.qDateYears(CC186,CC187,CF$13),0)</f>
        <v>0.25277777777777777</v>
      </c>
      <c r="CG187" s="268">
        <f t="shared" si="56"/>
        <v>2191.8720683235674</v>
      </c>
      <c r="CO187" s="526">
        <v>56437</v>
      </c>
      <c r="CP187" s="151" t="str">
        <f t="shared" si="51"/>
        <v>43Y</v>
      </c>
      <c r="CQ187" s="386">
        <v>0.17024083739848198</v>
      </c>
      <c r="CR187" s="268">
        <f>IF(CO187,_xll.qDateYears(CO186,CO187,CR$13),0)</f>
        <v>0.24931506849315069</v>
      </c>
      <c r="CS187" s="268">
        <f t="shared" si="57"/>
        <v>2081.0966217025079</v>
      </c>
      <c r="DA187" s="526">
        <v>56437</v>
      </c>
      <c r="DB187" s="151" t="str">
        <f t="shared" si="52"/>
        <v>43Y</v>
      </c>
      <c r="DC187" s="386">
        <v>7.6484130722992538E-2</v>
      </c>
      <c r="DD187" s="268">
        <f>IF(DA187,_xll.qDateYears(DA186,DA187,DD$13),0)</f>
        <v>0.24931506849315069</v>
      </c>
      <c r="DE187" s="268">
        <f t="shared" si="58"/>
        <v>1572.7221799251163</v>
      </c>
      <c r="DM187" s="526">
        <v>56437</v>
      </c>
      <c r="DN187" s="151" t="str">
        <f t="shared" si="53"/>
        <v>43Y</v>
      </c>
      <c r="DO187" s="386">
        <v>0.16011230005899729</v>
      </c>
      <c r="DP187" s="268">
        <f>IF(DM187,_xll.qDateYears(DM186,DM187,DP$13),0)</f>
        <v>0.25277777777777777</v>
      </c>
      <c r="DQ187" s="268">
        <f t="shared" si="59"/>
        <v>2083.1815057128051</v>
      </c>
    </row>
    <row r="188" spans="59:121">
      <c r="BG188" s="526">
        <v>56529</v>
      </c>
      <c r="BH188" s="150" t="str">
        <f t="shared" si="48"/>
        <v>43.25Y</v>
      </c>
      <c r="BI188" s="386">
        <v>0.1586342951228821</v>
      </c>
      <c r="BJ188" s="268">
        <f>IF(BG188,_xll.qDateYears(BG187,BG188,$BJ$13),0)</f>
        <v>0.25555555555555554</v>
      </c>
      <c r="BK188" s="268">
        <f t="shared" si="54"/>
        <v>2087.2354932548342</v>
      </c>
      <c r="BQ188" s="526">
        <v>56529</v>
      </c>
      <c r="BR188" s="151" t="str">
        <f t="shared" si="49"/>
        <v>43.25Y</v>
      </c>
      <c r="BS188" s="386">
        <v>0.1451195998253122</v>
      </c>
      <c r="BT188" s="268">
        <f>IF(BQ188,_xll.qDateYears(BQ187,BQ188,BT$13),0)</f>
        <v>0.25205479452054796</v>
      </c>
      <c r="BU188" s="268">
        <f t="shared" si="55"/>
        <v>1654.4491396496767</v>
      </c>
      <c r="CC188" s="526">
        <v>56529</v>
      </c>
      <c r="CD188" s="151" t="str">
        <f t="shared" si="50"/>
        <v>43.25Y</v>
      </c>
      <c r="CE188" s="386">
        <v>0.1918146365813001</v>
      </c>
      <c r="CF188" s="268">
        <f>IF(CC188,_xll.qDateYears(CC187,CC188,CF$13),0)</f>
        <v>0.25555555555555554</v>
      </c>
      <c r="CG188" s="268">
        <f t="shared" si="56"/>
        <v>2196.7739979250896</v>
      </c>
      <c r="CO188" s="526">
        <v>56529</v>
      </c>
      <c r="CP188" s="151" t="str">
        <f t="shared" si="51"/>
        <v>43.25Y</v>
      </c>
      <c r="CQ188" s="386">
        <v>0.16859167490129462</v>
      </c>
      <c r="CR188" s="268">
        <f>IF(CO188,_xll.qDateYears(CO187,CO188,CR$13),0)</f>
        <v>0.25205479452054796</v>
      </c>
      <c r="CS188" s="268">
        <f t="shared" si="57"/>
        <v>2085.3460557000199</v>
      </c>
      <c r="DA188" s="526">
        <v>56529</v>
      </c>
      <c r="DB188" s="151" t="str">
        <f t="shared" si="52"/>
        <v>43.25Y</v>
      </c>
      <c r="DC188" s="386">
        <v>7.5341200702014652E-2</v>
      </c>
      <c r="DD188" s="268">
        <f>IF(DA188,_xll.qDateYears(DA187,DA188,DD$13),0)</f>
        <v>0.25205479452054796</v>
      </c>
      <c r="DE188" s="268">
        <f t="shared" si="58"/>
        <v>1574.6211910113041</v>
      </c>
      <c r="DM188" s="526">
        <v>56529</v>
      </c>
      <c r="DN188" s="151" t="str">
        <f t="shared" si="53"/>
        <v>43.25Y</v>
      </c>
      <c r="DO188" s="386">
        <v>0.1586342951228821</v>
      </c>
      <c r="DP188" s="268">
        <f>IF(DM188,_xll.qDateYears(DM187,DM188,DP$13),0)</f>
        <v>0.25555555555555554</v>
      </c>
      <c r="DQ188" s="268">
        <f t="shared" si="59"/>
        <v>2087.2354932548342</v>
      </c>
    </row>
    <row r="189" spans="59:121">
      <c r="BG189" s="526">
        <v>56621</v>
      </c>
      <c r="BH189" s="150" t="str">
        <f t="shared" si="48"/>
        <v>43.5Y</v>
      </c>
      <c r="BI189" s="386">
        <v>0.15717259914549403</v>
      </c>
      <c r="BJ189" s="268">
        <f>IF(BG189,_xll.qDateYears(BG188,BG189,$BJ$13),0)</f>
        <v>0.25555555555555554</v>
      </c>
      <c r="BK189" s="268">
        <f t="shared" si="54"/>
        <v>2091.2521263441081</v>
      </c>
      <c r="BQ189" s="526">
        <v>56621</v>
      </c>
      <c r="BR189" s="151" t="str">
        <f t="shared" si="49"/>
        <v>43.5Y</v>
      </c>
      <c r="BS189" s="386">
        <v>0.14349771428645888</v>
      </c>
      <c r="BT189" s="268">
        <f>IF(BQ189,_xll.qDateYears(BQ188,BQ189,BT$13),0)</f>
        <v>0.25205479452054796</v>
      </c>
      <c r="BU189" s="268">
        <f t="shared" si="55"/>
        <v>1658.0660683385408</v>
      </c>
      <c r="CC189" s="526">
        <v>56621</v>
      </c>
      <c r="CD189" s="151" t="str">
        <f t="shared" si="50"/>
        <v>43.5Y</v>
      </c>
      <c r="CE189" s="386">
        <v>0.18997922777273041</v>
      </c>
      <c r="CF189" s="268">
        <f>IF(CC189,_xll.qDateYears(CC188,CC189,CF$13),0)</f>
        <v>0.25555555555555554</v>
      </c>
      <c r="CG189" s="268">
        <f t="shared" si="56"/>
        <v>2201.6290226348369</v>
      </c>
      <c r="CO189" s="526">
        <v>56621</v>
      </c>
      <c r="CP189" s="151" t="str">
        <f t="shared" si="51"/>
        <v>43.5Y</v>
      </c>
      <c r="CQ189" s="386">
        <v>0.16695972405123069</v>
      </c>
      <c r="CR189" s="268">
        <f>IF(CO189,_xll.qDateYears(CO188,CO189,CR$13),0)</f>
        <v>0.25205479452054796</v>
      </c>
      <c r="CS189" s="268">
        <f t="shared" si="57"/>
        <v>2089.5543555939139</v>
      </c>
      <c r="DA189" s="526">
        <v>56621</v>
      </c>
      <c r="DB189" s="151" t="str">
        <f t="shared" si="52"/>
        <v>43.5Y</v>
      </c>
      <c r="DC189" s="386">
        <v>7.4215349897607627E-2</v>
      </c>
      <c r="DD189" s="268">
        <f>IF(DA189,_xll.qDateYears(DA188,DA189,DD$13),0)</f>
        <v>0.25205479452054796</v>
      </c>
      <c r="DE189" s="268">
        <f t="shared" si="58"/>
        <v>1576.4918244881753</v>
      </c>
      <c r="DM189" s="526">
        <v>56621</v>
      </c>
      <c r="DN189" s="151" t="str">
        <f t="shared" si="53"/>
        <v>43.5Y</v>
      </c>
      <c r="DO189" s="386">
        <v>0.15717259914549403</v>
      </c>
      <c r="DP189" s="268">
        <f>IF(DM189,_xll.qDateYears(DM188,DM189,DP$13),0)</f>
        <v>0.25555555555555554</v>
      </c>
      <c r="DQ189" s="268">
        <f t="shared" si="59"/>
        <v>2091.2521263441081</v>
      </c>
    </row>
    <row r="190" spans="59:121">
      <c r="BG190" s="526">
        <v>56711</v>
      </c>
      <c r="BH190" s="150" t="str">
        <f t="shared" si="48"/>
        <v>43.75Y</v>
      </c>
      <c r="BI190" s="386">
        <v>0.15575826842214488</v>
      </c>
      <c r="BJ190" s="268">
        <f>IF(BG190,_xll.qDateYears(BG189,BG190,$BJ$13),0)</f>
        <v>0.25</v>
      </c>
      <c r="BK190" s="268">
        <f t="shared" si="54"/>
        <v>2095.1460830546616</v>
      </c>
      <c r="BQ190" s="526">
        <v>56711</v>
      </c>
      <c r="BR190" s="151" t="str">
        <f t="shared" si="49"/>
        <v>43.75Y</v>
      </c>
      <c r="BS190" s="386">
        <v>0.14192862827029312</v>
      </c>
      <c r="BT190" s="268">
        <f>IF(BQ190,_xll.qDateYears(BQ189,BQ190,BT$13),0)</f>
        <v>0.24657534246575341</v>
      </c>
      <c r="BU190" s="268">
        <f t="shared" si="55"/>
        <v>1661.5656783506849</v>
      </c>
      <c r="CC190" s="526">
        <v>56711</v>
      </c>
      <c r="CD190" s="151" t="str">
        <f t="shared" si="50"/>
        <v>43.75Y</v>
      </c>
      <c r="CE190" s="386">
        <v>0.1882007142004247</v>
      </c>
      <c r="CF190" s="268">
        <f>IF(CC190,_xll.qDateYears(CC189,CC190,CF$13),0)</f>
        <v>0.25</v>
      </c>
      <c r="CG190" s="268">
        <f t="shared" si="56"/>
        <v>2206.3340404898477</v>
      </c>
      <c r="CO190" s="526">
        <v>56711</v>
      </c>
      <c r="CP190" s="151" t="str">
        <f t="shared" si="51"/>
        <v>43.75Y</v>
      </c>
      <c r="CQ190" s="386">
        <v>0.16537972171223014</v>
      </c>
      <c r="CR190" s="268">
        <f>IF(CO190,_xll.qDateYears(CO189,CO190,CR$13),0)</f>
        <v>0.24657534246575341</v>
      </c>
      <c r="CS190" s="268">
        <f t="shared" si="57"/>
        <v>2093.6322117457221</v>
      </c>
      <c r="DA190" s="526">
        <v>56711</v>
      </c>
      <c r="DB190" s="151" t="str">
        <f t="shared" si="52"/>
        <v>43.75Y</v>
      </c>
      <c r="DC190" s="386">
        <v>7.3130255242804074E-2</v>
      </c>
      <c r="DD190" s="268">
        <f>IF(DA190,_xll.qDateYears(DA189,DA190,DD$13),0)</f>
        <v>0.24657534246575341</v>
      </c>
      <c r="DE190" s="268">
        <f t="shared" si="58"/>
        <v>1578.2950362612855</v>
      </c>
      <c r="DM190" s="526">
        <v>56711</v>
      </c>
      <c r="DN190" s="151" t="str">
        <f t="shared" si="53"/>
        <v>43.75Y</v>
      </c>
      <c r="DO190" s="386">
        <v>0.15575826842214488</v>
      </c>
      <c r="DP190" s="268">
        <f>IF(DM190,_xll.qDateYears(DM189,DM190,DP$13),0)</f>
        <v>0.25</v>
      </c>
      <c r="DQ190" s="268">
        <f t="shared" si="59"/>
        <v>2095.1460830546616</v>
      </c>
    </row>
    <row r="191" spans="59:121">
      <c r="BG191" s="526">
        <v>56802</v>
      </c>
      <c r="BH191" s="150" t="str">
        <f t="shared" si="48"/>
        <v>44Y</v>
      </c>
      <c r="BI191" s="386">
        <v>0.1543437092011346</v>
      </c>
      <c r="BJ191" s="268">
        <f>IF(BG191,_xll.qDateYears(BG190,BG191,$BJ$13),0)</f>
        <v>0.25277777777777777</v>
      </c>
      <c r="BK191" s="268">
        <f t="shared" si="54"/>
        <v>2099.047549037246</v>
      </c>
      <c r="BQ191" s="526">
        <v>56802</v>
      </c>
      <c r="BR191" s="151" t="str">
        <f t="shared" si="49"/>
        <v>44Y</v>
      </c>
      <c r="BS191" s="386">
        <v>0.14035955155371113</v>
      </c>
      <c r="BT191" s="268">
        <f>IF(BQ191,_xll.qDateYears(BQ190,BQ191,BT$13),0)</f>
        <v>0.24931506849315069</v>
      </c>
      <c r="BU191" s="268">
        <f t="shared" si="55"/>
        <v>1665.0650534716131</v>
      </c>
      <c r="CC191" s="526">
        <v>56802</v>
      </c>
      <c r="CD191" s="151" t="str">
        <f t="shared" si="50"/>
        <v>44Y</v>
      </c>
      <c r="CE191" s="386">
        <v>0.18641936707224843</v>
      </c>
      <c r="CF191" s="268">
        <f>IF(CC191,_xll.qDateYears(CC190,CC191,CF$13),0)</f>
        <v>0.25277777777777777</v>
      </c>
      <c r="CG191" s="268">
        <f t="shared" si="56"/>
        <v>2211.0463078241742</v>
      </c>
      <c r="CO191" s="526">
        <v>56802</v>
      </c>
      <c r="CP191" s="151" t="str">
        <f t="shared" si="51"/>
        <v>44Y</v>
      </c>
      <c r="CQ191" s="386">
        <v>0.16379854524629897</v>
      </c>
      <c r="CR191" s="268">
        <f>IF(CO191,_xll.qDateYears(CO190,CO191,CR$13),0)</f>
        <v>0.24931506849315069</v>
      </c>
      <c r="CS191" s="268">
        <f t="shared" si="57"/>
        <v>2097.715956298438</v>
      </c>
      <c r="DA191" s="526">
        <v>56802</v>
      </c>
      <c r="DB191" s="151" t="str">
        <f t="shared" si="52"/>
        <v>44Y</v>
      </c>
      <c r="DC191" s="386">
        <v>7.2049233553255834E-2</v>
      </c>
      <c r="DD191" s="268">
        <f>IF(DA191,_xll.qDateYears(DA190,DA191,DD$13),0)</f>
        <v>0.24931506849315069</v>
      </c>
      <c r="DE191" s="268">
        <f t="shared" si="58"/>
        <v>1580.0913322211065</v>
      </c>
      <c r="DM191" s="526">
        <v>56802</v>
      </c>
      <c r="DN191" s="151" t="str">
        <f t="shared" si="53"/>
        <v>44Y</v>
      </c>
      <c r="DO191" s="386">
        <v>0.1543437092011346</v>
      </c>
      <c r="DP191" s="268">
        <f>IF(DM191,_xll.qDateYears(DM190,DM191,DP$13),0)</f>
        <v>0.25277777777777777</v>
      </c>
      <c r="DQ191" s="268">
        <f t="shared" si="59"/>
        <v>2099.047549037246</v>
      </c>
    </row>
    <row r="192" spans="59:121">
      <c r="BG192" s="526">
        <v>56894</v>
      </c>
      <c r="BH192" s="150" t="str">
        <f t="shared" si="48"/>
        <v>44.25Y</v>
      </c>
      <c r="BI192" s="386">
        <v>0.15292924361758467</v>
      </c>
      <c r="BJ192" s="268">
        <f>IF(BG192,_xll.qDateYears(BG191,BG192,$BJ$13),0)</f>
        <v>0.25555555555555554</v>
      </c>
      <c r="BK192" s="268">
        <f t="shared" si="54"/>
        <v>2102.9557408185842</v>
      </c>
      <c r="BQ192" s="526">
        <v>56894</v>
      </c>
      <c r="BR192" s="151" t="str">
        <f t="shared" si="49"/>
        <v>44.25Y</v>
      </c>
      <c r="BS192" s="386">
        <v>0.13879086526199774</v>
      </c>
      <c r="BT192" s="268">
        <f>IF(BQ192,_xll.qDateYears(BQ191,BQ192,BT$13),0)</f>
        <v>0.25205479452054796</v>
      </c>
      <c r="BU192" s="268">
        <f t="shared" si="55"/>
        <v>1668.5633437741074</v>
      </c>
      <c r="CC192" s="526">
        <v>56894</v>
      </c>
      <c r="CD192" s="151" t="str">
        <f t="shared" si="50"/>
        <v>44.25Y</v>
      </c>
      <c r="CE192" s="386">
        <v>0.1846355837566965</v>
      </c>
      <c r="CF192" s="268">
        <f>IF(CC192,_xll.qDateYears(CC191,CC192,CF$13),0)</f>
        <v>0.25555555555555554</v>
      </c>
      <c r="CG192" s="268">
        <f t="shared" si="56"/>
        <v>2215.764772742401</v>
      </c>
      <c r="CO192" s="526">
        <v>56894</v>
      </c>
      <c r="CP192" s="151" t="str">
        <f t="shared" si="51"/>
        <v>44.25Y</v>
      </c>
      <c r="CQ192" s="386">
        <v>0.1622165544353299</v>
      </c>
      <c r="CR192" s="268">
        <f>IF(CO192,_xll.qDateYears(CO191,CO192,CR$13),0)</f>
        <v>0.25205479452054796</v>
      </c>
      <c r="CS192" s="268">
        <f t="shared" si="57"/>
        <v>2101.804702328041</v>
      </c>
      <c r="DA192" s="526">
        <v>56894</v>
      </c>
      <c r="DB192" s="151" t="str">
        <f t="shared" si="52"/>
        <v>44.25Y</v>
      </c>
      <c r="DC192" s="386">
        <v>7.0972575804281651E-2</v>
      </c>
      <c r="DD192" s="268">
        <f>IF(DA192,_xll.qDateYears(DA191,DA192,DD$13),0)</f>
        <v>0.25205479452054796</v>
      </c>
      <c r="DE192" s="268">
        <f t="shared" si="58"/>
        <v>1581.8802300222007</v>
      </c>
      <c r="DM192" s="526">
        <v>56894</v>
      </c>
      <c r="DN192" s="151" t="str">
        <f t="shared" si="53"/>
        <v>44.25Y</v>
      </c>
      <c r="DO192" s="386">
        <v>0.15292924361758467</v>
      </c>
      <c r="DP192" s="268">
        <f>IF(DM192,_xll.qDateYears(DM191,DM192,DP$13),0)</f>
        <v>0.25555555555555554</v>
      </c>
      <c r="DQ192" s="268">
        <f t="shared" si="59"/>
        <v>2102.9557408185842</v>
      </c>
    </row>
    <row r="193" spans="59:121">
      <c r="BG193" s="526">
        <v>56986</v>
      </c>
      <c r="BH193" s="150" t="str">
        <f t="shared" si="48"/>
        <v>44.5Y</v>
      </c>
      <c r="BI193" s="386">
        <v>0.15153031060534852</v>
      </c>
      <c r="BJ193" s="268">
        <f>IF(BG193,_xll.qDateYears(BG192,BG193,$BJ$13),0)</f>
        <v>0.25555555555555554</v>
      </c>
      <c r="BK193" s="268">
        <f t="shared" si="54"/>
        <v>2106.82818208961</v>
      </c>
      <c r="BQ193" s="526">
        <v>56986</v>
      </c>
      <c r="BR193" s="151" t="str">
        <f t="shared" si="49"/>
        <v>44.5Y</v>
      </c>
      <c r="BS193" s="386">
        <v>0.13723971092058324</v>
      </c>
      <c r="BT193" s="268">
        <f>IF(BQ193,_xll.qDateYears(BQ192,BQ193,BT$13),0)</f>
        <v>0.25205479452054796</v>
      </c>
      <c r="BU193" s="268">
        <f t="shared" si="55"/>
        <v>1672.0225364877222</v>
      </c>
      <c r="CC193" s="526">
        <v>56986</v>
      </c>
      <c r="CD193" s="151" t="str">
        <f t="shared" si="50"/>
        <v>44.5Y</v>
      </c>
      <c r="CE193" s="386">
        <v>0.18286886885504816</v>
      </c>
      <c r="CF193" s="268">
        <f>IF(CC193,_xll.qDateYears(CC192,CC193,CF$13),0)</f>
        <v>0.25555555555555554</v>
      </c>
      <c r="CG193" s="268">
        <f t="shared" si="56"/>
        <v>2220.4380882798077</v>
      </c>
      <c r="CO193" s="526">
        <v>56986</v>
      </c>
      <c r="CP193" s="151" t="str">
        <f t="shared" si="51"/>
        <v>44.5Y</v>
      </c>
      <c r="CQ193" s="386">
        <v>0.16065103188453314</v>
      </c>
      <c r="CR193" s="268">
        <f>IF(CO193,_xll.qDateYears(CO192,CO193,CR$13),0)</f>
        <v>0.25205479452054796</v>
      </c>
      <c r="CS193" s="268">
        <f t="shared" si="57"/>
        <v>2105.853988611158</v>
      </c>
      <c r="DA193" s="526">
        <v>56986</v>
      </c>
      <c r="DB193" s="151" t="str">
        <f t="shared" si="52"/>
        <v>44.5Y</v>
      </c>
      <c r="DC193" s="386">
        <v>6.9912006941354674E-2</v>
      </c>
      <c r="DD193" s="268">
        <f>IF(DA193,_xll.qDateYears(DA192,DA193,DD$13),0)</f>
        <v>0.25205479452054796</v>
      </c>
      <c r="DE193" s="268">
        <f t="shared" si="58"/>
        <v>1583.642395676613</v>
      </c>
      <c r="DM193" s="526">
        <v>56986</v>
      </c>
      <c r="DN193" s="151" t="str">
        <f t="shared" si="53"/>
        <v>44.5Y</v>
      </c>
      <c r="DO193" s="386">
        <v>0.15153031060534852</v>
      </c>
      <c r="DP193" s="268">
        <f>IF(DM193,_xll.qDateYears(DM192,DM193,DP$13),0)</f>
        <v>0.25555555555555554</v>
      </c>
      <c r="DQ193" s="268">
        <f t="shared" si="59"/>
        <v>2106.82818208961</v>
      </c>
    </row>
    <row r="194" spans="59:121">
      <c r="BG194" s="526">
        <v>57077</v>
      </c>
      <c r="BH194" s="150" t="str">
        <f t="shared" si="48"/>
        <v>44.75Y</v>
      </c>
      <c r="BI194" s="386">
        <v>0.15016167808251366</v>
      </c>
      <c r="BJ194" s="268">
        <f>IF(BG194,_xll.qDateYears(BG193,BG194,$BJ$13),0)</f>
        <v>0.25277777777777777</v>
      </c>
      <c r="BK194" s="268">
        <f t="shared" si="54"/>
        <v>2110.623935618918</v>
      </c>
      <c r="BQ194" s="526">
        <v>57077</v>
      </c>
      <c r="BR194" s="151" t="str">
        <f t="shared" si="49"/>
        <v>44.75Y</v>
      </c>
      <c r="BS194" s="386">
        <v>0.13572247202649745</v>
      </c>
      <c r="BT194" s="268">
        <f>IF(BQ194,_xll.qDateYears(BQ193,BQ194,BT$13),0)</f>
        <v>0.24931506849315069</v>
      </c>
      <c r="BU194" s="268">
        <f t="shared" si="55"/>
        <v>1675.4063022286568</v>
      </c>
      <c r="CC194" s="526">
        <v>57077</v>
      </c>
      <c r="CD194" s="151" t="str">
        <f t="shared" si="50"/>
        <v>44.75Y</v>
      </c>
      <c r="CE194" s="386">
        <v>0.18113798841842629</v>
      </c>
      <c r="CF194" s="268">
        <f>IF(CC194,_xll.qDateYears(CC193,CC194,CF$13),0)</f>
        <v>0.25277777777777777</v>
      </c>
      <c r="CG194" s="268">
        <f t="shared" si="56"/>
        <v>2225.0168540981622</v>
      </c>
      <c r="CO194" s="526">
        <v>57077</v>
      </c>
      <c r="CP194" s="151" t="str">
        <f t="shared" si="51"/>
        <v>44.75Y</v>
      </c>
      <c r="CQ194" s="386">
        <v>0.15911854822108609</v>
      </c>
      <c r="CR194" s="268">
        <f>IF(CO194,_xll.qDateYears(CO193,CO194,CR$13),0)</f>
        <v>0.24931506849315069</v>
      </c>
      <c r="CS194" s="268">
        <f t="shared" si="57"/>
        <v>2109.821053785985</v>
      </c>
      <c r="DA194" s="526">
        <v>57077</v>
      </c>
      <c r="DB194" s="151" t="str">
        <f t="shared" si="52"/>
        <v>44.75Y</v>
      </c>
      <c r="DC194" s="386">
        <v>6.8878557849559138E-2</v>
      </c>
      <c r="DD194" s="268">
        <f>IF(DA194,_xll.qDateYears(DA193,DA194,DD$13),0)</f>
        <v>0.24931506849315069</v>
      </c>
      <c r="DE194" s="268">
        <f t="shared" si="58"/>
        <v>1585.3596419134103</v>
      </c>
      <c r="DM194" s="526">
        <v>57077</v>
      </c>
      <c r="DN194" s="151" t="str">
        <f t="shared" si="53"/>
        <v>44.75Y</v>
      </c>
      <c r="DO194" s="386">
        <v>0.15016167808251366</v>
      </c>
      <c r="DP194" s="268">
        <f>IF(DM194,_xll.qDateYears(DM193,DM194,DP$13),0)</f>
        <v>0.25277777777777777</v>
      </c>
      <c r="DQ194" s="268">
        <f t="shared" si="59"/>
        <v>2110.623935618918</v>
      </c>
    </row>
    <row r="195" spans="59:121">
      <c r="BG195" s="526">
        <v>57168</v>
      </c>
      <c r="BH195" s="150" t="str">
        <f t="shared" si="48"/>
        <v>45Y</v>
      </c>
      <c r="BI195" s="386">
        <v>0.14880787633225714</v>
      </c>
      <c r="BJ195" s="268">
        <f>IF(BG195,_xll.qDateYears(BG194,BG195,$BJ$13),0)</f>
        <v>0.25277777777777777</v>
      </c>
      <c r="BK195" s="268">
        <f t="shared" si="54"/>
        <v>2114.3854680484278</v>
      </c>
      <c r="BQ195" s="526">
        <v>57168</v>
      </c>
      <c r="BR195" s="151" t="str">
        <f t="shared" si="49"/>
        <v>45Y</v>
      </c>
      <c r="BS195" s="386">
        <v>0.13422200680415936</v>
      </c>
      <c r="BT195" s="268">
        <f>IF(BQ195,_xll.qDateYears(BQ194,BQ195,BT$13),0)</f>
        <v>0.24931506849315069</v>
      </c>
      <c r="BU195" s="268">
        <f t="shared" si="55"/>
        <v>1678.7526591106237</v>
      </c>
      <c r="CC195" s="526">
        <v>57168</v>
      </c>
      <c r="CD195" s="151" t="str">
        <f t="shared" si="50"/>
        <v>45Y</v>
      </c>
      <c r="CE195" s="386">
        <v>0.1794234910168428</v>
      </c>
      <c r="CF195" s="268">
        <f>IF(CC195,_xll.qDateYears(CC194,CC195,CF$13),0)</f>
        <v>0.25277777777777777</v>
      </c>
      <c r="CG195" s="268">
        <f t="shared" si="56"/>
        <v>2229.5522812321992</v>
      </c>
      <c r="CO195" s="526">
        <v>57168</v>
      </c>
      <c r="CP195" s="151" t="str">
        <f t="shared" si="51"/>
        <v>45Y</v>
      </c>
      <c r="CQ195" s="386">
        <v>0.15760182461453381</v>
      </c>
      <c r="CR195" s="268">
        <f>IF(CO195,_xll.qDateYears(CO194,CO195,CR$13),0)</f>
        <v>0.24931506849315069</v>
      </c>
      <c r="CS195" s="268">
        <f t="shared" si="57"/>
        <v>2113.7503047558266</v>
      </c>
      <c r="DA195" s="526">
        <v>57168</v>
      </c>
      <c r="DB195" s="151" t="str">
        <f t="shared" si="52"/>
        <v>45Y</v>
      </c>
      <c r="DC195" s="386">
        <v>6.7860385347180183E-2</v>
      </c>
      <c r="DD195" s="268">
        <f>IF(DA195,_xll.qDateYears(DA194,DA195,DD$13),0)</f>
        <v>0.24931506849315069</v>
      </c>
      <c r="DE195" s="268">
        <f t="shared" si="58"/>
        <v>1587.0515035754906</v>
      </c>
      <c r="DM195" s="526">
        <v>57168</v>
      </c>
      <c r="DN195" s="151" t="str">
        <f t="shared" si="53"/>
        <v>45Y</v>
      </c>
      <c r="DO195" s="386">
        <v>0.14880787633225714</v>
      </c>
      <c r="DP195" s="268">
        <f>IF(DM195,_xll.qDateYears(DM194,DM195,DP$13),0)</f>
        <v>0.25277777777777777</v>
      </c>
      <c r="DQ195" s="268">
        <f t="shared" si="59"/>
        <v>2114.3854680484278</v>
      </c>
    </row>
    <row r="196" spans="59:121">
      <c r="BG196" s="526">
        <v>57263</v>
      </c>
      <c r="BH196" s="150" t="str">
        <f t="shared" si="48"/>
        <v>45.25Y</v>
      </c>
      <c r="BI196" s="386">
        <v>0.14741019666525551</v>
      </c>
      <c r="BJ196" s="268">
        <f>IF(BG196,_xll.qDateYears(BG195,BG196,$BJ$13),0)</f>
        <v>0.2638888888888889</v>
      </c>
      <c r="BK196" s="268">
        <f t="shared" si="54"/>
        <v>2118.2754593493164</v>
      </c>
      <c r="BQ196" s="526">
        <v>57263</v>
      </c>
      <c r="BR196" s="151" t="str">
        <f t="shared" si="49"/>
        <v>45.25Y</v>
      </c>
      <c r="BS196" s="386">
        <v>0.13267328217931787</v>
      </c>
      <c r="BT196" s="268">
        <f>IF(BQ196,_xll.qDateYears(BQ195,BQ196,BT$13),0)</f>
        <v>0.26027397260273971</v>
      </c>
      <c r="BU196" s="268">
        <f t="shared" si="55"/>
        <v>1682.2057993317292</v>
      </c>
      <c r="CC196" s="526">
        <v>57263</v>
      </c>
      <c r="CD196" s="151" t="str">
        <f t="shared" si="50"/>
        <v>45.25Y</v>
      </c>
      <c r="CE196" s="386">
        <v>0.17765094230594061</v>
      </c>
      <c r="CF196" s="268">
        <f>IF(CC196,_xll.qDateYears(CC195,CC196,CF$13),0)</f>
        <v>0.2638888888888889</v>
      </c>
      <c r="CG196" s="268">
        <f t="shared" si="56"/>
        <v>2234.2402922097172</v>
      </c>
      <c r="CO196" s="526">
        <v>57263</v>
      </c>
      <c r="CP196" s="151" t="str">
        <f t="shared" si="51"/>
        <v>45.25Y</v>
      </c>
      <c r="CQ196" s="386">
        <v>0.15603505998298378</v>
      </c>
      <c r="CR196" s="268">
        <f>IF(CO196,_xll.qDateYears(CO195,CO196,CR$13),0)</f>
        <v>0.26027397260273971</v>
      </c>
      <c r="CS196" s="268">
        <f t="shared" si="57"/>
        <v>2117.8114912485344</v>
      </c>
      <c r="DA196" s="526">
        <v>57263</v>
      </c>
      <c r="DB196" s="151" t="str">
        <f t="shared" si="52"/>
        <v>45.25Y</v>
      </c>
      <c r="DC196" s="386">
        <v>6.681351218642885E-2</v>
      </c>
      <c r="DD196" s="268">
        <f>IF(DA196,_xll.qDateYears(DA195,DA196,DD$13),0)</f>
        <v>0.26027397260273971</v>
      </c>
      <c r="DE196" s="268">
        <f t="shared" si="58"/>
        <v>1588.790485399521</v>
      </c>
      <c r="DM196" s="526">
        <v>57263</v>
      </c>
      <c r="DN196" s="151" t="str">
        <f t="shared" si="53"/>
        <v>45.25Y</v>
      </c>
      <c r="DO196" s="386">
        <v>0.14741019666525551</v>
      </c>
      <c r="DP196" s="268">
        <f>IF(DM196,_xll.qDateYears(DM195,DM196,DP$13),0)</f>
        <v>0.2638888888888889</v>
      </c>
      <c r="DQ196" s="268">
        <f t="shared" si="59"/>
        <v>2118.2754593493164</v>
      </c>
    </row>
    <row r="197" spans="59:121">
      <c r="BG197" s="526">
        <v>57353</v>
      </c>
      <c r="BH197" s="150" t="str">
        <f t="shared" si="48"/>
        <v>45.5Y</v>
      </c>
      <c r="BI197" s="386">
        <v>0.14610062779823535</v>
      </c>
      <c r="BJ197" s="268">
        <f>IF(BG197,_xll.qDateYears(BG196,BG197,$BJ$13),0)</f>
        <v>0.25</v>
      </c>
      <c r="BK197" s="268">
        <f t="shared" si="54"/>
        <v>2121.9279750442724</v>
      </c>
      <c r="BQ197" s="526">
        <v>57353</v>
      </c>
      <c r="BR197" s="151" t="str">
        <f t="shared" si="49"/>
        <v>45.5Y</v>
      </c>
      <c r="BS197" s="386">
        <v>0.1312225566899152</v>
      </c>
      <c r="BT197" s="268">
        <f>IF(BQ197,_xll.qDateYears(BQ196,BQ197,BT$13),0)</f>
        <v>0.24657534246575341</v>
      </c>
      <c r="BU197" s="268">
        <f t="shared" si="55"/>
        <v>1685.4414240172339</v>
      </c>
      <c r="CC197" s="526">
        <v>57353</v>
      </c>
      <c r="CD197" s="151" t="str">
        <f t="shared" si="50"/>
        <v>45.5Y</v>
      </c>
      <c r="CE197" s="386">
        <v>0.17598784147261168</v>
      </c>
      <c r="CF197" s="268">
        <f>IF(CC197,_xll.qDateYears(CC196,CC197,CF$13),0)</f>
        <v>0.25</v>
      </c>
      <c r="CG197" s="268">
        <f t="shared" si="56"/>
        <v>2238.6399882465325</v>
      </c>
      <c r="CO197" s="526">
        <v>57353</v>
      </c>
      <c r="CP197" s="151" t="str">
        <f t="shared" si="51"/>
        <v>45.5Y</v>
      </c>
      <c r="CQ197" s="386">
        <v>0.15456625208181948</v>
      </c>
      <c r="CR197" s="268">
        <f>IF(CO197,_xll.qDateYears(CO196,CO197,CR$13),0)</f>
        <v>0.24657534246575341</v>
      </c>
      <c r="CS197" s="268">
        <f t="shared" si="57"/>
        <v>2121.6227139026068</v>
      </c>
      <c r="DA197" s="526">
        <v>57353</v>
      </c>
      <c r="DB197" s="151" t="str">
        <f t="shared" si="52"/>
        <v>45.5Y</v>
      </c>
      <c r="DC197" s="386">
        <v>6.583663900531242E-2</v>
      </c>
      <c r="DD197" s="268">
        <f>IF(DA197,_xll.qDateYears(DA196,DA197,DD$13),0)</f>
        <v>0.24657534246575341</v>
      </c>
      <c r="DE197" s="268">
        <f t="shared" si="58"/>
        <v>1590.413854580474</v>
      </c>
      <c r="DM197" s="526">
        <v>57353</v>
      </c>
      <c r="DN197" s="151" t="str">
        <f t="shared" si="53"/>
        <v>45.5Y</v>
      </c>
      <c r="DO197" s="386">
        <v>0.14610062779823535</v>
      </c>
      <c r="DP197" s="268">
        <f>IF(DM197,_xll.qDateYears(DM196,DM197,DP$13),0)</f>
        <v>0.25</v>
      </c>
      <c r="DQ197" s="268">
        <f t="shared" si="59"/>
        <v>2121.9279750442724</v>
      </c>
    </row>
    <row r="198" spans="59:121">
      <c r="BG198" s="526">
        <v>57444</v>
      </c>
      <c r="BH198" s="150" t="str">
        <f t="shared" si="48"/>
        <v>45.75Y</v>
      </c>
      <c r="BI198" s="386">
        <v>0.14479072581487556</v>
      </c>
      <c r="BJ198" s="268">
        <f>IF(BG198,_xll.qDateYears(BG197,BG198,$BJ$13),0)</f>
        <v>0.25277777777777777</v>
      </c>
      <c r="BK198" s="268">
        <f t="shared" si="54"/>
        <v>2125.5879628357038</v>
      </c>
      <c r="BQ198" s="526">
        <v>57444</v>
      </c>
      <c r="BR198" s="151" t="str">
        <f t="shared" si="49"/>
        <v>45.75Y</v>
      </c>
      <c r="BS198" s="386">
        <v>0.12977183979860291</v>
      </c>
      <c r="BT198" s="268">
        <f>IF(BQ198,_xll.qDateYears(BQ197,BQ198,BT$13),0)</f>
        <v>0.24931506849315069</v>
      </c>
      <c r="BU198" s="268">
        <f t="shared" si="55"/>
        <v>1688.676831530021</v>
      </c>
      <c r="CC198" s="526">
        <v>57444</v>
      </c>
      <c r="CD198" s="151" t="str">
        <f t="shared" si="50"/>
        <v>45.75Y</v>
      </c>
      <c r="CE198" s="386">
        <v>0.174322090960808</v>
      </c>
      <c r="CF198" s="268">
        <f>IF(CC198,_xll.qDateYears(CC197,CC198,CF$13),0)</f>
        <v>0.25277777777777777</v>
      </c>
      <c r="CG198" s="268">
        <f t="shared" si="56"/>
        <v>2243.0464633235974</v>
      </c>
      <c r="CO198" s="526">
        <v>57444</v>
      </c>
      <c r="CP198" s="151" t="str">
        <f t="shared" si="51"/>
        <v>45.75Y</v>
      </c>
      <c r="CQ198" s="386">
        <v>0.15309628392511218</v>
      </c>
      <c r="CR198" s="268">
        <f>IF(CO198,_xll.qDateYears(CO197,CO198,CR$13),0)</f>
        <v>0.24931506849315069</v>
      </c>
      <c r="CS198" s="268">
        <f t="shared" si="57"/>
        <v>2125.4396349538906</v>
      </c>
      <c r="DA198" s="526">
        <v>57444</v>
      </c>
      <c r="DB198" s="151" t="str">
        <f t="shared" si="52"/>
        <v>45.75Y</v>
      </c>
      <c r="DC198" s="386">
        <v>6.4863432573919549E-2</v>
      </c>
      <c r="DD198" s="268">
        <f>IF(DA198,_xll.qDateYears(DA197,DA198,DD$13),0)</f>
        <v>0.24931506849315069</v>
      </c>
      <c r="DE198" s="268">
        <f t="shared" si="58"/>
        <v>1592.0309976939607</v>
      </c>
      <c r="DM198" s="526">
        <v>57444</v>
      </c>
      <c r="DN198" s="151" t="str">
        <f t="shared" si="53"/>
        <v>45.75Y</v>
      </c>
      <c r="DO198" s="386">
        <v>0.14479072581487556</v>
      </c>
      <c r="DP198" s="268">
        <f>IF(DM198,_xll.qDateYears(DM197,DM198,DP$13),0)</f>
        <v>0.25277777777777777</v>
      </c>
      <c r="DQ198" s="268">
        <f t="shared" si="59"/>
        <v>2125.5879628357038</v>
      </c>
    </row>
    <row r="199" spans="59:121">
      <c r="BG199" s="526">
        <v>57535</v>
      </c>
      <c r="BH199" s="150" t="str">
        <f t="shared" si="48"/>
        <v>46Y</v>
      </c>
      <c r="BI199" s="386">
        <v>0.14349494923432365</v>
      </c>
      <c r="BJ199" s="268">
        <f>IF(BG199,_xll.qDateYears(BG198,BG199,$BJ$13),0)</f>
        <v>0.25277777777777777</v>
      </c>
      <c r="BK199" s="268">
        <f t="shared" si="54"/>
        <v>2129.2151962746825</v>
      </c>
      <c r="BQ199" s="526">
        <v>57535</v>
      </c>
      <c r="BR199" s="151" t="str">
        <f t="shared" si="49"/>
        <v>46Y</v>
      </c>
      <c r="BS199" s="386">
        <v>0.12833716115217639</v>
      </c>
      <c r="BT199" s="268">
        <f>IF(BQ199,_xll.qDateYears(BQ198,BQ199,BT$13),0)</f>
        <v>0.24931506849315069</v>
      </c>
      <c r="BU199" s="268">
        <f t="shared" si="55"/>
        <v>1691.876470342308</v>
      </c>
      <c r="CC199" s="526">
        <v>57535</v>
      </c>
      <c r="CD199" s="151" t="str">
        <f t="shared" si="50"/>
        <v>46Y</v>
      </c>
      <c r="CE199" s="386">
        <v>0.17267210701983313</v>
      </c>
      <c r="CF199" s="268">
        <f>IF(CC199,_xll.qDateYears(CC198,CC199,CF$13),0)</f>
        <v>0.25277777777777777</v>
      </c>
      <c r="CG199" s="268">
        <f t="shared" si="56"/>
        <v>2247.4112304732653</v>
      </c>
      <c r="CO199" s="526">
        <v>57535</v>
      </c>
      <c r="CP199" s="151" t="str">
        <f t="shared" si="51"/>
        <v>46Y</v>
      </c>
      <c r="CQ199" s="386">
        <v>0.15164139380919966</v>
      </c>
      <c r="CR199" s="268">
        <f>IF(CO199,_xll.qDateYears(CO198,CO199,CR$13),0)</f>
        <v>0.24931506849315069</v>
      </c>
      <c r="CS199" s="268">
        <f t="shared" si="57"/>
        <v>2129.2202834022842</v>
      </c>
      <c r="DA199" s="526">
        <v>57535</v>
      </c>
      <c r="DB199" s="151" t="str">
        <f t="shared" si="52"/>
        <v>46Y</v>
      </c>
      <c r="DC199" s="386">
        <v>6.3904612216488105E-2</v>
      </c>
      <c r="DD199" s="268">
        <f>IF(DA199,_xll.qDateYears(DA198,DA199,DD$13),0)</f>
        <v>0.24931506849315069</v>
      </c>
      <c r="DE199" s="268">
        <f t="shared" si="58"/>
        <v>1593.6242359711389</v>
      </c>
      <c r="DM199" s="526">
        <v>57535</v>
      </c>
      <c r="DN199" s="151" t="str">
        <f t="shared" si="53"/>
        <v>46Y</v>
      </c>
      <c r="DO199" s="386">
        <v>0.14349494923432365</v>
      </c>
      <c r="DP199" s="268">
        <f>IF(DM199,_xll.qDateYears(DM198,DM199,DP$13),0)</f>
        <v>0.25277777777777777</v>
      </c>
      <c r="DQ199" s="268">
        <f t="shared" si="59"/>
        <v>2129.2151962746825</v>
      </c>
    </row>
    <row r="200" spans="59:121">
      <c r="BG200" s="526">
        <v>57627</v>
      </c>
      <c r="BH200" s="150" t="str">
        <f t="shared" si="48"/>
        <v>46.25Y</v>
      </c>
      <c r="BI200" s="386">
        <v>0.14219911982381411</v>
      </c>
      <c r="BJ200" s="268">
        <f>IF(BG200,_xll.qDateYears(BG199,BG200,$BJ$13),0)</f>
        <v>0.25555555555555554</v>
      </c>
      <c r="BK200" s="268">
        <f t="shared" si="54"/>
        <v>2132.849173781291</v>
      </c>
      <c r="BQ200" s="526">
        <v>57627</v>
      </c>
      <c r="BR200" s="151" t="str">
        <f t="shared" si="49"/>
        <v>46.25Y</v>
      </c>
      <c r="BS200" s="386">
        <v>0.12690283948907397</v>
      </c>
      <c r="BT200" s="268">
        <f>IF(BQ200,_xll.qDateYears(BQ199,BQ200,BT$13),0)</f>
        <v>0.25205479452054796</v>
      </c>
      <c r="BU200" s="268">
        <f t="shared" si="55"/>
        <v>1695.0751172554574</v>
      </c>
      <c r="CC200" s="526">
        <v>57627</v>
      </c>
      <c r="CD200" s="151" t="str">
        <f t="shared" si="50"/>
        <v>46.25Y</v>
      </c>
      <c r="CE200" s="386">
        <v>0.17101986654503409</v>
      </c>
      <c r="CF200" s="268">
        <f>IF(CC200,_xll.qDateYears(CC199,CC200,CF$13),0)</f>
        <v>0.25555555555555554</v>
      </c>
      <c r="CG200" s="268">
        <f t="shared" si="56"/>
        <v>2251.7817381738605</v>
      </c>
      <c r="CO200" s="526">
        <v>57627</v>
      </c>
      <c r="CP200" s="151" t="str">
        <f t="shared" si="51"/>
        <v>46.25Y</v>
      </c>
      <c r="CQ200" s="386">
        <v>0.15018567580055042</v>
      </c>
      <c r="CR200" s="268">
        <f>IF(CO200,_xll.qDateYears(CO199,CO200,CR$13),0)</f>
        <v>0.25205479452054796</v>
      </c>
      <c r="CS200" s="268">
        <f t="shared" si="57"/>
        <v>2133.0057853676681</v>
      </c>
      <c r="DA200" s="526">
        <v>57627</v>
      </c>
      <c r="DB200" s="151" t="str">
        <f t="shared" si="52"/>
        <v>46.25Y</v>
      </c>
      <c r="DC200" s="386">
        <v>6.2949662489129588E-2</v>
      </c>
      <c r="DD200" s="268">
        <f>IF(DA200,_xll.qDateYears(DA199,DA200,DD$13),0)</f>
        <v>0.25205479452054796</v>
      </c>
      <c r="DE200" s="268">
        <f t="shared" si="58"/>
        <v>1595.2109123955224</v>
      </c>
      <c r="DM200" s="526">
        <v>57627</v>
      </c>
      <c r="DN200" s="151" t="str">
        <f t="shared" si="53"/>
        <v>46.25Y</v>
      </c>
      <c r="DO200" s="386">
        <v>0.14219911982381411</v>
      </c>
      <c r="DP200" s="268">
        <f>IF(DM200,_xll.qDateYears(DM199,DM200,DP$13),0)</f>
        <v>0.25555555555555554</v>
      </c>
      <c r="DQ200" s="268">
        <f t="shared" si="59"/>
        <v>2132.849173781291</v>
      </c>
    </row>
    <row r="201" spans="59:121">
      <c r="BG201" s="526">
        <v>57717</v>
      </c>
      <c r="BH201" s="150" t="str">
        <f t="shared" si="48"/>
        <v>46.5Y</v>
      </c>
      <c r="BI201" s="386">
        <v>0.14094509770177466</v>
      </c>
      <c r="BJ201" s="268">
        <f>IF(BG201,_xll.qDateYears(BG200,BG201,$BJ$13),0)</f>
        <v>0.25</v>
      </c>
      <c r="BK201" s="268">
        <f t="shared" si="54"/>
        <v>2136.3728012238353</v>
      </c>
      <c r="BQ201" s="526">
        <v>57717</v>
      </c>
      <c r="BR201" s="151" t="str">
        <f t="shared" si="49"/>
        <v>46.5Y</v>
      </c>
      <c r="BS201" s="386">
        <v>0.12551521131782284</v>
      </c>
      <c r="BT201" s="268">
        <f>IF(BQ201,_xll.qDateYears(BQ200,BQ201,BT$13),0)</f>
        <v>0.24657534246575341</v>
      </c>
      <c r="BU201" s="268">
        <f t="shared" si="55"/>
        <v>1698.1700128769928</v>
      </c>
      <c r="CC201" s="526">
        <v>57717</v>
      </c>
      <c r="CD201" s="151" t="str">
        <f t="shared" si="50"/>
        <v>46.5Y</v>
      </c>
      <c r="CE201" s="386">
        <v>0.16941884333133769</v>
      </c>
      <c r="CF201" s="268">
        <f>IF(CC201,_xll.qDateYears(CC200,CC201,CF$13),0)</f>
        <v>0.25</v>
      </c>
      <c r="CG201" s="268">
        <f t="shared" si="56"/>
        <v>2256.0172092571438</v>
      </c>
      <c r="CO201" s="526">
        <v>57717</v>
      </c>
      <c r="CP201" s="151" t="str">
        <f t="shared" si="51"/>
        <v>46.5Y</v>
      </c>
      <c r="CQ201" s="386">
        <v>0.14877619255910726</v>
      </c>
      <c r="CR201" s="268">
        <f>IF(CO201,_xll.qDateYears(CO200,CO201,CR$13),0)</f>
        <v>0.24657534246575341</v>
      </c>
      <c r="CS201" s="268">
        <f t="shared" si="57"/>
        <v>2136.6742394307694</v>
      </c>
      <c r="DA201" s="526">
        <v>57717</v>
      </c>
      <c r="DB201" s="151" t="str">
        <f t="shared" si="52"/>
        <v>46.5Y</v>
      </c>
      <c r="DC201" s="386">
        <v>6.2029282239182894E-2</v>
      </c>
      <c r="DD201" s="268">
        <f>IF(DA201,_xll.qDateYears(DA200,DA201,DD$13),0)</f>
        <v>0.24657534246575341</v>
      </c>
      <c r="DE201" s="268">
        <f t="shared" si="58"/>
        <v>1596.7404015466257</v>
      </c>
      <c r="DM201" s="526">
        <v>57717</v>
      </c>
      <c r="DN201" s="151" t="str">
        <f t="shared" si="53"/>
        <v>46.5Y</v>
      </c>
      <c r="DO201" s="386">
        <v>0.14094509770177466</v>
      </c>
      <c r="DP201" s="268">
        <f>IF(DM201,_xll.qDateYears(DM200,DM201,DP$13),0)</f>
        <v>0.25</v>
      </c>
      <c r="DQ201" s="268">
        <f t="shared" si="59"/>
        <v>2136.3728012238353</v>
      </c>
    </row>
    <row r="202" spans="59:121">
      <c r="BG202" s="526">
        <v>57808</v>
      </c>
      <c r="BH202" s="150" t="str">
        <f t="shared" si="48"/>
        <v>46.75Y</v>
      </c>
      <c r="BI202" s="386">
        <v>0.13969069093837685</v>
      </c>
      <c r="BJ202" s="268">
        <f>IF(BG202,_xll.qDateYears(BG201,BG202,$BJ$13),0)</f>
        <v>0.25277777777777777</v>
      </c>
      <c r="BK202" s="268">
        <f t="shared" si="54"/>
        <v>2139.9038714669996</v>
      </c>
      <c r="BQ202" s="526">
        <v>57808</v>
      </c>
      <c r="BR202" s="151" t="str">
        <f t="shared" si="49"/>
        <v>46.75Y</v>
      </c>
      <c r="BS202" s="386">
        <v>0.12412759137069983</v>
      </c>
      <c r="BT202" s="268">
        <f>IF(BQ202,_xll.qDateYears(BQ201,BQ202,BT$13),0)</f>
        <v>0.24931506849315069</v>
      </c>
      <c r="BU202" s="268">
        <f t="shared" si="55"/>
        <v>1701.2647007714404</v>
      </c>
      <c r="CC202" s="526">
        <v>57808</v>
      </c>
      <c r="CD202" s="151" t="str">
        <f t="shared" si="50"/>
        <v>46.75Y</v>
      </c>
      <c r="CE202" s="386">
        <v>0.16781526934220914</v>
      </c>
      <c r="CF202" s="268">
        <f>IF(CC202,_xll.qDateYears(CC201,CC202,CF$13),0)</f>
        <v>0.25277777777777777</v>
      </c>
      <c r="CG202" s="268">
        <f t="shared" si="56"/>
        <v>2260.259206343294</v>
      </c>
      <c r="CO202" s="526">
        <v>57808</v>
      </c>
      <c r="CP202" s="151" t="str">
        <f t="shared" si="51"/>
        <v>46.75Y</v>
      </c>
      <c r="CQ202" s="386">
        <v>0.14736555853874461</v>
      </c>
      <c r="CR202" s="268">
        <f>IF(CO202,_xll.qDateYears(CO201,CO202,CR$13),0)</f>
        <v>0.24931506849315069</v>
      </c>
      <c r="CS202" s="268">
        <f t="shared" si="57"/>
        <v>2140.3482848628314</v>
      </c>
      <c r="DA202" s="526">
        <v>57808</v>
      </c>
      <c r="DB202" s="151" t="str">
        <f t="shared" si="52"/>
        <v>46.75Y</v>
      </c>
      <c r="DC202" s="386">
        <v>6.1112356689490319E-2</v>
      </c>
      <c r="DD202" s="268">
        <f>IF(DA202,_xll.qDateYears(DA201,DA202,DD$13),0)</f>
        <v>0.24931506849315069</v>
      </c>
      <c r="DE202" s="268">
        <f t="shared" si="58"/>
        <v>1598.2640246860076</v>
      </c>
      <c r="DM202" s="526">
        <v>57808</v>
      </c>
      <c r="DN202" s="151" t="str">
        <f t="shared" si="53"/>
        <v>46.75Y</v>
      </c>
      <c r="DO202" s="386">
        <v>0.13969069093837685</v>
      </c>
      <c r="DP202" s="268">
        <f>IF(DM202,_xll.qDateYears(DM201,DM202,DP$13),0)</f>
        <v>0.25277777777777777</v>
      </c>
      <c r="DQ202" s="268">
        <f t="shared" si="59"/>
        <v>2139.9038714669996</v>
      </c>
    </row>
    <row r="203" spans="59:121">
      <c r="BG203" s="526">
        <v>57899</v>
      </c>
      <c r="BH203" s="150" t="str">
        <f t="shared" si="48"/>
        <v>47Y</v>
      </c>
      <c r="BI203" s="386">
        <v>0.13844974589402556</v>
      </c>
      <c r="BJ203" s="268">
        <f>IF(BG203,_xll.qDateYears(BG202,BG203,$BJ$13),0)</f>
        <v>0.25277777777777777</v>
      </c>
      <c r="BK203" s="268">
        <f t="shared" si="54"/>
        <v>2143.4035733770984</v>
      </c>
      <c r="BQ203" s="526">
        <v>57899</v>
      </c>
      <c r="BR203" s="151" t="str">
        <f t="shared" si="49"/>
        <v>47Y</v>
      </c>
      <c r="BS203" s="386">
        <v>0.12275531210696845</v>
      </c>
      <c r="BT203" s="268">
        <f>IF(BQ203,_xll.qDateYears(BQ202,BQ203,BT$13),0)</f>
        <v>0.24931506849315069</v>
      </c>
      <c r="BU203" s="268">
        <f t="shared" si="55"/>
        <v>1704.3251756760251</v>
      </c>
      <c r="CC203" s="526">
        <v>57899</v>
      </c>
      <c r="CD203" s="151" t="str">
        <f t="shared" si="50"/>
        <v>47Y</v>
      </c>
      <c r="CE203" s="386">
        <v>0.16622687341408046</v>
      </c>
      <c r="CF203" s="268">
        <f>IF(CC203,_xll.qDateYears(CC202,CC203,CF$13),0)</f>
        <v>0.25277777777777777</v>
      </c>
      <c r="CG203" s="268">
        <f t="shared" si="56"/>
        <v>2264.4610523101501</v>
      </c>
      <c r="CO203" s="526">
        <v>57899</v>
      </c>
      <c r="CP203" s="151" t="str">
        <f t="shared" si="51"/>
        <v>47Y</v>
      </c>
      <c r="CQ203" s="386">
        <v>0.14596935674196254</v>
      </c>
      <c r="CR203" s="268">
        <f>IF(CO203,_xll.qDateYears(CO202,CO203,CR$13),0)</f>
        <v>0.24931506849315069</v>
      </c>
      <c r="CS203" s="268">
        <f t="shared" si="57"/>
        <v>2143.9875208802337</v>
      </c>
      <c r="DA203" s="526">
        <v>57899</v>
      </c>
      <c r="DB203" s="151" t="str">
        <f t="shared" si="52"/>
        <v>47Y</v>
      </c>
      <c r="DC203" s="386">
        <v>6.0208985261872516E-2</v>
      </c>
      <c r="DD203" s="268">
        <f>IF(DA203,_xll.qDateYears(DA202,DA203,DD$13),0)</f>
        <v>0.24931506849315069</v>
      </c>
      <c r="DE203" s="268">
        <f t="shared" si="58"/>
        <v>1599.7651254144544</v>
      </c>
      <c r="DM203" s="526">
        <v>57899</v>
      </c>
      <c r="DN203" s="151" t="str">
        <f t="shared" si="53"/>
        <v>47Y</v>
      </c>
      <c r="DO203" s="386">
        <v>0.13844974589402556</v>
      </c>
      <c r="DP203" s="268">
        <f>IF(DM203,_xll.qDateYears(DM202,DM203,DP$13),0)</f>
        <v>0.25277777777777777</v>
      </c>
      <c r="DQ203" s="268">
        <f t="shared" si="59"/>
        <v>2143.4035733770984</v>
      </c>
    </row>
    <row r="204" spans="59:121">
      <c r="BG204" s="526">
        <v>57991</v>
      </c>
      <c r="BH204" s="150" t="str">
        <f t="shared" si="48"/>
        <v>47.25Y</v>
      </c>
      <c r="BI204" s="386">
        <v>0.13720868470736811</v>
      </c>
      <c r="BJ204" s="268">
        <f>IF(BG204,_xll.qDateYears(BG203,BG204,$BJ$13),0)</f>
        <v>0.25555555555555554</v>
      </c>
      <c r="BK204" s="268">
        <f t="shared" si="54"/>
        <v>2146.9100175418421</v>
      </c>
      <c r="BQ204" s="526">
        <v>57991</v>
      </c>
      <c r="BR204" s="151" t="str">
        <f t="shared" si="49"/>
        <v>47.25Y</v>
      </c>
      <c r="BS204" s="386">
        <v>0.12138337430006038</v>
      </c>
      <c r="BT204" s="268">
        <f>IF(BQ204,_xll.qDateYears(BQ203,BQ204,BT$13),0)</f>
        <v>0.25205479452054796</v>
      </c>
      <c r="BU204" s="268">
        <f t="shared" si="55"/>
        <v>1707.3847018227664</v>
      </c>
      <c r="CC204" s="526">
        <v>57991</v>
      </c>
      <c r="CD204" s="151" t="str">
        <f t="shared" si="50"/>
        <v>47.25Y</v>
      </c>
      <c r="CE204" s="386">
        <v>0.16463630518048331</v>
      </c>
      <c r="CF204" s="268">
        <f>IF(CC204,_xll.qDateYears(CC203,CC204,CF$13),0)</f>
        <v>0.25555555555555554</v>
      </c>
      <c r="CG204" s="268">
        <f t="shared" si="56"/>
        <v>2268.6684245536512</v>
      </c>
      <c r="CO204" s="526">
        <v>57991</v>
      </c>
      <c r="CP204" s="151" t="str">
        <f t="shared" si="51"/>
        <v>47.25Y</v>
      </c>
      <c r="CQ204" s="386">
        <v>0.14457232302363471</v>
      </c>
      <c r="CR204" s="268">
        <f>IF(CO204,_xll.qDateYears(CO203,CO204,CR$13),0)</f>
        <v>0.25205479452054796</v>
      </c>
      <c r="CS204" s="268">
        <f t="shared" si="57"/>
        <v>2147.6315355975416</v>
      </c>
      <c r="DA204" s="526">
        <v>57991</v>
      </c>
      <c r="DB204" s="151" t="str">
        <f t="shared" si="52"/>
        <v>47.25Y</v>
      </c>
      <c r="DC204" s="386">
        <v>5.9309260624383464E-2</v>
      </c>
      <c r="DD204" s="268">
        <f>IF(DA204,_xll.qDateYears(DA203,DA204,DD$13),0)</f>
        <v>0.25205479452054796</v>
      </c>
      <c r="DE204" s="268">
        <f t="shared" si="58"/>
        <v>1601.2600437644389</v>
      </c>
      <c r="DM204" s="526">
        <v>57991</v>
      </c>
      <c r="DN204" s="151" t="str">
        <f t="shared" si="53"/>
        <v>47.25Y</v>
      </c>
      <c r="DO204" s="386">
        <v>0.13720868470736811</v>
      </c>
      <c r="DP204" s="268">
        <f>IF(DM204,_xll.qDateYears(DM203,DM204,DP$13),0)</f>
        <v>0.25555555555555554</v>
      </c>
      <c r="DQ204" s="268">
        <f t="shared" si="59"/>
        <v>2146.9100175418421</v>
      </c>
    </row>
    <row r="205" spans="59:121">
      <c r="BG205" s="526">
        <v>58082</v>
      </c>
      <c r="BH205" s="150" t="str">
        <f t="shared" si="48"/>
        <v>47.5Y</v>
      </c>
      <c r="BI205" s="386">
        <v>0.13599432704641456</v>
      </c>
      <c r="BJ205" s="268">
        <f>IF(BG205,_xll.qDateYears(BG204,BG205,$BJ$13),0)</f>
        <v>0.25277777777777777</v>
      </c>
      <c r="BK205" s="268">
        <f t="shared" si="54"/>
        <v>2150.3476519199598</v>
      </c>
      <c r="BQ205" s="526">
        <v>58082</v>
      </c>
      <c r="BR205" s="151" t="str">
        <f t="shared" si="49"/>
        <v>47.5Y</v>
      </c>
      <c r="BS205" s="386">
        <v>0.12004143343361542</v>
      </c>
      <c r="BT205" s="268">
        <f>IF(BQ205,_xll.qDateYears(BQ204,BQ205,BT$13),0)</f>
        <v>0.24931506849315069</v>
      </c>
      <c r="BU205" s="268">
        <f t="shared" si="55"/>
        <v>1710.3775156426182</v>
      </c>
      <c r="CC205" s="526">
        <v>58082</v>
      </c>
      <c r="CD205" s="151" t="str">
        <f t="shared" si="50"/>
        <v>47.5Y</v>
      </c>
      <c r="CE205" s="386">
        <v>0.16307799861043237</v>
      </c>
      <c r="CF205" s="268">
        <f>IF(CC205,_xll.qDateYears(CC204,CC205,CF$13),0)</f>
        <v>0.25277777777777777</v>
      </c>
      <c r="CG205" s="268">
        <f t="shared" si="56"/>
        <v>2272.7906739629707</v>
      </c>
      <c r="CO205" s="526">
        <v>58082</v>
      </c>
      <c r="CP205" s="151" t="str">
        <f t="shared" si="51"/>
        <v>47.5Y</v>
      </c>
      <c r="CQ205" s="386">
        <v>0.14320467120351615</v>
      </c>
      <c r="CR205" s="268">
        <f>IF(CO205,_xll.qDateYears(CO204,CO205,CR$13),0)</f>
        <v>0.24931506849315069</v>
      </c>
      <c r="CS205" s="268">
        <f t="shared" si="57"/>
        <v>2151.2018438385062</v>
      </c>
      <c r="DA205" s="526">
        <v>58082</v>
      </c>
      <c r="DB205" s="151" t="str">
        <f t="shared" si="52"/>
        <v>47.5Y</v>
      </c>
      <c r="DC205" s="386">
        <v>5.843254281568503E-2</v>
      </c>
      <c r="DD205" s="268">
        <f>IF(DA205,_xll.qDateYears(DA204,DA205,DD$13),0)</f>
        <v>0.24931506849315069</v>
      </c>
      <c r="DE205" s="268">
        <f t="shared" si="58"/>
        <v>1602.716855105871</v>
      </c>
      <c r="DM205" s="526">
        <v>58082</v>
      </c>
      <c r="DN205" s="151" t="str">
        <f t="shared" si="53"/>
        <v>47.5Y</v>
      </c>
      <c r="DO205" s="386">
        <v>0.13599432704641456</v>
      </c>
      <c r="DP205" s="268">
        <f>IF(DM205,_xll.qDateYears(DM204,DM205,DP$13),0)</f>
        <v>0.25277777777777777</v>
      </c>
      <c r="DQ205" s="268">
        <f t="shared" si="59"/>
        <v>2150.3476519199598</v>
      </c>
    </row>
    <row r="206" spans="59:121">
      <c r="BG206" s="526">
        <v>58172</v>
      </c>
      <c r="BH206" s="150" t="str">
        <f t="shared" si="48"/>
        <v>47.75Y</v>
      </c>
      <c r="BI206" s="386">
        <v>0.13480608582879722</v>
      </c>
      <c r="BJ206" s="268">
        <f>IF(BG206,_xll.qDateYears(BG205,BG206,$BJ$13),0)</f>
        <v>0.25</v>
      </c>
      <c r="BK206" s="268">
        <f t="shared" si="54"/>
        <v>2153.71780406568</v>
      </c>
      <c r="BQ206" s="526">
        <v>58172</v>
      </c>
      <c r="BR206" s="151" t="str">
        <f t="shared" si="49"/>
        <v>47.75Y</v>
      </c>
      <c r="BS206" s="386">
        <v>0.11872883179743066</v>
      </c>
      <c r="BT206" s="268">
        <f>IF(BQ206,_xll.qDateYears(BQ205,BQ206,BT$13),0)</f>
        <v>0.24657534246575341</v>
      </c>
      <c r="BU206" s="268">
        <f t="shared" si="55"/>
        <v>1713.3050758787192</v>
      </c>
      <c r="CC206" s="526">
        <v>58172</v>
      </c>
      <c r="CD206" s="151" t="str">
        <f t="shared" si="50"/>
        <v>47.75Y</v>
      </c>
      <c r="CE206" s="386">
        <v>0.16155132415621221</v>
      </c>
      <c r="CF206" s="268">
        <f>IF(CC206,_xll.qDateYears(CC205,CC206,CF$13),0)</f>
        <v>0.25</v>
      </c>
      <c r="CG206" s="268">
        <f t="shared" si="56"/>
        <v>2276.8294570668759</v>
      </c>
      <c r="CO206" s="526">
        <v>58172</v>
      </c>
      <c r="CP206" s="151" t="str">
        <f t="shared" si="51"/>
        <v>47.75Y</v>
      </c>
      <c r="CQ206" s="386">
        <v>0.14186578504893271</v>
      </c>
      <c r="CR206" s="268">
        <f>IF(CO206,_xll.qDateYears(CO205,CO206,CR$13),0)</f>
        <v>0.24657534246575341</v>
      </c>
      <c r="CS206" s="268">
        <f t="shared" si="57"/>
        <v>2154.6999042917673</v>
      </c>
      <c r="DA206" s="526">
        <v>58172</v>
      </c>
      <c r="DB206" s="151" t="str">
        <f t="shared" si="52"/>
        <v>47.75Y</v>
      </c>
      <c r="DC206" s="386">
        <v>5.7578206887021262E-2</v>
      </c>
      <c r="DD206" s="268">
        <f>IF(DA206,_xll.qDateYears(DA205,DA206,DD$13),0)</f>
        <v>0.24657534246575341</v>
      </c>
      <c r="DE206" s="268">
        <f t="shared" si="58"/>
        <v>1604.136591714044</v>
      </c>
      <c r="DM206" s="526">
        <v>58172</v>
      </c>
      <c r="DN206" s="151" t="str">
        <f t="shared" si="53"/>
        <v>47.75Y</v>
      </c>
      <c r="DO206" s="386">
        <v>0.13480608582879722</v>
      </c>
      <c r="DP206" s="268">
        <f>IF(DM206,_xll.qDateYears(DM205,DM206,DP$13),0)</f>
        <v>0.25</v>
      </c>
      <c r="DQ206" s="268">
        <f t="shared" si="59"/>
        <v>2153.71780406568</v>
      </c>
    </row>
    <row r="207" spans="59:121">
      <c r="BG207" s="526">
        <v>58263</v>
      </c>
      <c r="BH207" s="150" t="str">
        <f t="shared" ref="BH207:BH270" si="60">IF(BG207,ROUND((BG207-$BG$15)/365/0.25,0)*0.25&amp;"Y","")</f>
        <v>48Y</v>
      </c>
      <c r="BI207" s="386">
        <v>0.13361740271671432</v>
      </c>
      <c r="BJ207" s="268">
        <f>IF(BG207,_xll.qDateYears(BG206,BG207,$BJ$13),0)</f>
        <v>0.25277777777777777</v>
      </c>
      <c r="BK207" s="268">
        <f t="shared" si="54"/>
        <v>2157.0953550787967</v>
      </c>
      <c r="BQ207" s="526">
        <v>58263</v>
      </c>
      <c r="BR207" s="151" t="str">
        <f t="shared" ref="BR207:BR270" si="61">IF(BQ207,ROUND((BQ207-$BG$15)/365/0.25,0)*0.25&amp;"Y","")</f>
        <v>48Y</v>
      </c>
      <c r="BS207" s="386">
        <v>0.11741623794071035</v>
      </c>
      <c r="BT207" s="268">
        <f>IF(BQ207,_xll.qDateYears(BQ206,BQ207,BT$13),0)</f>
        <v>0.24931506849315069</v>
      </c>
      <c r="BU207" s="268">
        <f t="shared" si="55"/>
        <v>1716.2324396191589</v>
      </c>
      <c r="CC207" s="526">
        <v>58263</v>
      </c>
      <c r="CD207" s="151" t="str">
        <f t="shared" ref="CD207:CD270" si="62">IF(CC207,ROUND((CC207-$BG$15)/365/0.25,0)*0.25&amp;"Y","")</f>
        <v>48Y</v>
      </c>
      <c r="CE207" s="386">
        <v>0.16002221738017591</v>
      </c>
      <c r="CF207" s="268">
        <f>IF(CC207,_xll.qDateYears(CC206,CC207,CF$13),0)</f>
        <v>0.25277777777777777</v>
      </c>
      <c r="CG207" s="268">
        <f t="shared" si="56"/>
        <v>2280.874463117319</v>
      </c>
      <c r="CO207" s="526">
        <v>58263</v>
      </c>
      <c r="CP207" s="151" t="str">
        <f t="shared" ref="CP207:CP270" si="63">IF(CO207,ROUND((CO207-$BG$15)/365/0.25,0)*0.25&amp;"Y","")</f>
        <v>48Y</v>
      </c>
      <c r="CQ207" s="386">
        <v>0.14052576138738321</v>
      </c>
      <c r="CR207" s="268">
        <f>IF(CO207,_xll.qDateYears(CO206,CO207,CR$13),0)</f>
        <v>0.24931506849315069</v>
      </c>
      <c r="CS207" s="268">
        <f t="shared" si="57"/>
        <v>2158.2034232743022</v>
      </c>
      <c r="DA207" s="526">
        <v>58263</v>
      </c>
      <c r="DB207" s="151" t="str">
        <f t="shared" ref="DB207:DB270" si="64">IF(DA207,ROUND((DA207-$BG$15)/365/0.25,0)*0.25&amp;"Y","")</f>
        <v>48Y</v>
      </c>
      <c r="DC207" s="386">
        <v>5.6727077757449527E-2</v>
      </c>
      <c r="DD207" s="268">
        <f>IF(DA207,_xll.qDateYears(DA206,DA207,DD$13),0)</f>
        <v>0.24931506849315069</v>
      </c>
      <c r="DE207" s="268">
        <f t="shared" si="58"/>
        <v>1605.5508832416956</v>
      </c>
      <c r="DM207" s="526">
        <v>58263</v>
      </c>
      <c r="DN207" s="151" t="str">
        <f t="shared" ref="DN207:DN270" si="65">IF(DM207,ROUND((DM207-$BG$15)/365/0.25,0)*0.25&amp;"Y","")</f>
        <v>48Y</v>
      </c>
      <c r="DO207" s="386">
        <v>0.13361740271671432</v>
      </c>
      <c r="DP207" s="268">
        <f>IF(DM207,_xll.qDateYears(DM206,DM207,DP$13),0)</f>
        <v>0.25277777777777777</v>
      </c>
      <c r="DQ207" s="268">
        <f t="shared" si="59"/>
        <v>2157.0953550787967</v>
      </c>
    </row>
    <row r="208" spans="59:121">
      <c r="BG208" s="526">
        <v>58355</v>
      </c>
      <c r="BH208" s="150" t="str">
        <f t="shared" si="60"/>
        <v>48.25Y</v>
      </c>
      <c r="BI208" s="386">
        <v>0.13242854580824734</v>
      </c>
      <c r="BJ208" s="268">
        <f>IF(BG208,_xll.qDateYears(BG207,BG208,$BJ$13),0)</f>
        <v>0.25555555555555554</v>
      </c>
      <c r="BK208" s="268">
        <f t="shared" si="54"/>
        <v>2160.479640138341</v>
      </c>
      <c r="BQ208" s="526">
        <v>58355</v>
      </c>
      <c r="BR208" s="151" t="str">
        <f t="shared" si="61"/>
        <v>48.25Y</v>
      </c>
      <c r="BS208" s="386">
        <v>0.11610397068961653</v>
      </c>
      <c r="BT208" s="268">
        <f>IF(BQ208,_xll.qDateYears(BQ207,BQ208,BT$13),0)</f>
        <v>0.25205479452054796</v>
      </c>
      <c r="BU208" s="268">
        <f t="shared" si="55"/>
        <v>1719.158895866678</v>
      </c>
      <c r="CC208" s="526">
        <v>58355</v>
      </c>
      <c r="CD208" s="151" t="str">
        <f t="shared" si="62"/>
        <v>48.25Y</v>
      </c>
      <c r="CE208" s="386">
        <v>0.15849101938308283</v>
      </c>
      <c r="CF208" s="268">
        <f>IF(CC208,_xll.qDateYears(CC207,CC208,CF$13),0)</f>
        <v>0.25555555555555554</v>
      </c>
      <c r="CG208" s="268">
        <f t="shared" si="56"/>
        <v>2284.9247891682198</v>
      </c>
      <c r="CO208" s="526">
        <v>58355</v>
      </c>
      <c r="CP208" s="151" t="str">
        <f t="shared" si="63"/>
        <v>48.25Y</v>
      </c>
      <c r="CQ208" s="386">
        <v>0.13918490337617706</v>
      </c>
      <c r="CR208" s="268">
        <f>IF(CO208,_xll.qDateYears(CO207,CO208,CR$13),0)</f>
        <v>0.25205479452054796</v>
      </c>
      <c r="CS208" s="268">
        <f t="shared" si="57"/>
        <v>2161.7116454963866</v>
      </c>
      <c r="DA208" s="526">
        <v>58355</v>
      </c>
      <c r="DB208" s="151" t="str">
        <f t="shared" si="64"/>
        <v>48.25Y</v>
      </c>
      <c r="DC208" s="386">
        <v>5.5879384522807773E-2</v>
      </c>
      <c r="DD208" s="268">
        <f>IF(DA208,_xll.qDateYears(DA207,DA208,DD$13),0)</f>
        <v>0.25205479452054796</v>
      </c>
      <c r="DE208" s="268">
        <f t="shared" si="58"/>
        <v>1606.9593499200787</v>
      </c>
      <c r="DM208" s="526">
        <v>58355</v>
      </c>
      <c r="DN208" s="151" t="str">
        <f t="shared" si="65"/>
        <v>48.25Y</v>
      </c>
      <c r="DO208" s="386">
        <v>0.13242854580824734</v>
      </c>
      <c r="DP208" s="268">
        <f>IF(DM208,_xll.qDateYears(DM207,DM208,DP$13),0)</f>
        <v>0.25555555555555554</v>
      </c>
      <c r="DQ208" s="268">
        <f t="shared" si="59"/>
        <v>2160.479640138341</v>
      </c>
    </row>
    <row r="209" spans="59:121">
      <c r="BG209" s="526">
        <v>58447</v>
      </c>
      <c r="BH209" s="150" t="str">
        <f t="shared" si="60"/>
        <v>48.5Y</v>
      </c>
      <c r="BI209" s="386">
        <v>0.1312524931199828</v>
      </c>
      <c r="BJ209" s="268">
        <f>IF(BG209,_xll.qDateYears(BG208,BG209,$BJ$13),0)</f>
        <v>0.25555555555555554</v>
      </c>
      <c r="BK209" s="268">
        <f t="shared" ref="BK209:BK272" si="66">BK208+BJ209*BI209*100</f>
        <v>2163.833870518074</v>
      </c>
      <c r="BQ209" s="526">
        <v>58447</v>
      </c>
      <c r="BR209" s="151" t="str">
        <f t="shared" si="61"/>
        <v>48.5Y</v>
      </c>
      <c r="BS209" s="386">
        <v>0.11480636959857431</v>
      </c>
      <c r="BT209" s="268">
        <f>IF(BQ209,_xll.qDateYears(BQ208,BQ209,BT$13),0)</f>
        <v>0.25205479452054796</v>
      </c>
      <c r="BU209" s="268">
        <f t="shared" ref="BU209:BU272" si="67">BU208+BT209*BS209*100</f>
        <v>1722.05264545656</v>
      </c>
      <c r="CC209" s="526">
        <v>58447</v>
      </c>
      <c r="CD209" s="151" t="str">
        <f t="shared" si="62"/>
        <v>48.5Y</v>
      </c>
      <c r="CE209" s="386">
        <v>0.1569744728971654</v>
      </c>
      <c r="CF209" s="268">
        <f>IF(CC209,_xll.qDateYears(CC208,CC209,CF$13),0)</f>
        <v>0.25555555555555554</v>
      </c>
      <c r="CG209" s="268">
        <f t="shared" ref="CG209:CG272" si="68">CG208+CF209*CE209*100</f>
        <v>2288.9363590311473</v>
      </c>
      <c r="CO209" s="526">
        <v>58447</v>
      </c>
      <c r="CP209" s="151" t="str">
        <f t="shared" si="63"/>
        <v>48.5Y</v>
      </c>
      <c r="CQ209" s="386">
        <v>0.1378578599901733</v>
      </c>
      <c r="CR209" s="268">
        <f>IF(CO209,_xll.qDateYears(CO208,CO209,CR$13),0)</f>
        <v>0.25205479452054796</v>
      </c>
      <c r="CS209" s="268">
        <f t="shared" ref="CS209:CS272" si="69">CS208+CR209*CQ209*100</f>
        <v>2165.1864189536732</v>
      </c>
      <c r="DA209" s="526">
        <v>58447</v>
      </c>
      <c r="DB209" s="151" t="str">
        <f t="shared" si="64"/>
        <v>48.5Y</v>
      </c>
      <c r="DC209" s="386">
        <v>5.5044358674685205E-2</v>
      </c>
      <c r="DD209" s="268">
        <f>IF(DA209,_xll.qDateYears(DA208,DA209,DD$13),0)</f>
        <v>0.25205479452054796</v>
      </c>
      <c r="DE209" s="268">
        <f t="shared" ref="DE209:DE272" si="70">DE208+DD209*DC209*100</f>
        <v>1608.346769371605</v>
      </c>
      <c r="DM209" s="526">
        <v>58447</v>
      </c>
      <c r="DN209" s="151" t="str">
        <f t="shared" si="65"/>
        <v>48.5Y</v>
      </c>
      <c r="DO209" s="386">
        <v>0.1312524931199828</v>
      </c>
      <c r="DP209" s="268">
        <f>IF(DM209,_xll.qDateYears(DM208,DM209,DP$13),0)</f>
        <v>0.25555555555555554</v>
      </c>
      <c r="DQ209" s="268">
        <f t="shared" ref="DQ209:DQ272" si="71">DQ208+DP209*DO209*100</f>
        <v>2163.833870518074</v>
      </c>
    </row>
    <row r="210" spans="59:121">
      <c r="BG210" s="526">
        <v>58538</v>
      </c>
      <c r="BH210" s="150" t="str">
        <f t="shared" si="60"/>
        <v>48.75Y</v>
      </c>
      <c r="BI210" s="386">
        <v>0.13010166945468246</v>
      </c>
      <c r="BJ210" s="268">
        <f>IF(BG210,_xll.qDateYears(BG209,BG210,$BJ$13),0)</f>
        <v>0.25277777777777777</v>
      </c>
      <c r="BK210" s="268">
        <f t="shared" si="66"/>
        <v>2167.1225516070672</v>
      </c>
      <c r="BQ210" s="526">
        <v>58538</v>
      </c>
      <c r="BR210" s="151" t="str">
        <f t="shared" si="61"/>
        <v>48.75Y</v>
      </c>
      <c r="BS210" s="386">
        <v>0.11353714010169391</v>
      </c>
      <c r="BT210" s="268">
        <f>IF(BQ210,_xll.qDateYears(BQ209,BQ210,BT$13),0)</f>
        <v>0.24931506849315069</v>
      </c>
      <c r="BU210" s="268">
        <f t="shared" si="67"/>
        <v>1724.8832974426571</v>
      </c>
      <c r="CC210" s="526">
        <v>58538</v>
      </c>
      <c r="CD210" s="151" t="str">
        <f t="shared" si="62"/>
        <v>48.75Y</v>
      </c>
      <c r="CE210" s="386">
        <v>0.1554886866838647</v>
      </c>
      <c r="CF210" s="268">
        <f>IF(CC210,_xll.qDateYears(CC209,CC210,CF$13),0)</f>
        <v>0.25277777777777777</v>
      </c>
      <c r="CG210" s="268">
        <f t="shared" si="68"/>
        <v>2292.8667675001007</v>
      </c>
      <c r="CO210" s="526">
        <v>58538</v>
      </c>
      <c r="CP210" s="151" t="str">
        <f t="shared" si="63"/>
        <v>48.75Y</v>
      </c>
      <c r="CQ210" s="386">
        <v>0.13655868292089063</v>
      </c>
      <c r="CR210" s="268">
        <f>IF(CO210,_xll.qDateYears(CO209,CO210,CR$13),0)</f>
        <v>0.24931506849315069</v>
      </c>
      <c r="CS210" s="268">
        <f t="shared" si="69"/>
        <v>2168.591032692249</v>
      </c>
      <c r="DA210" s="526">
        <v>58538</v>
      </c>
      <c r="DB210" s="151" t="str">
        <f t="shared" si="64"/>
        <v>48.75Y</v>
      </c>
      <c r="DC210" s="386">
        <v>5.4230685244761503E-2</v>
      </c>
      <c r="DD210" s="268">
        <f>IF(DA210,_xll.qDateYears(DA209,DA210,DD$13),0)</f>
        <v>0.24931506849315069</v>
      </c>
      <c r="DE210" s="268">
        <f t="shared" si="70"/>
        <v>1609.6988220722278</v>
      </c>
      <c r="DM210" s="526">
        <v>58538</v>
      </c>
      <c r="DN210" s="151" t="str">
        <f t="shared" si="65"/>
        <v>48.75Y</v>
      </c>
      <c r="DO210" s="386">
        <v>0.13010166945468246</v>
      </c>
      <c r="DP210" s="268">
        <f>IF(DM210,_xll.qDateYears(DM209,DM210,DP$13),0)</f>
        <v>0.25277777777777777</v>
      </c>
      <c r="DQ210" s="268">
        <f t="shared" si="71"/>
        <v>2167.1225516070672</v>
      </c>
    </row>
    <row r="211" spans="59:121">
      <c r="BG211" s="526">
        <v>58629</v>
      </c>
      <c r="BH211" s="150" t="str">
        <f t="shared" si="60"/>
        <v>49Y</v>
      </c>
      <c r="BI211" s="386">
        <v>0.12896307654922359</v>
      </c>
      <c r="BJ211" s="268">
        <f>IF(BG211,_xll.qDateYears(BG210,BG211,$BJ$13),0)</f>
        <v>0.25277777777777777</v>
      </c>
      <c r="BK211" s="268">
        <f t="shared" si="66"/>
        <v>2170.3824515976171</v>
      </c>
      <c r="BQ211" s="526">
        <v>58629</v>
      </c>
      <c r="BR211" s="151" t="str">
        <f t="shared" si="61"/>
        <v>49Y</v>
      </c>
      <c r="BS211" s="386">
        <v>0.11228194243528937</v>
      </c>
      <c r="BT211" s="268">
        <f>IF(BQ211,_xll.qDateYears(BQ210,BQ211,BT$13),0)</f>
        <v>0.24931506849315069</v>
      </c>
      <c r="BU211" s="268">
        <f t="shared" si="67"/>
        <v>1727.6826554595368</v>
      </c>
      <c r="CC211" s="526">
        <v>58629</v>
      </c>
      <c r="CD211" s="151" t="str">
        <f t="shared" si="62"/>
        <v>49Y</v>
      </c>
      <c r="CE211" s="386">
        <v>0.15401696365313683</v>
      </c>
      <c r="CF211" s="268">
        <f>IF(CC211,_xll.qDateYears(CC210,CC211,CF$13),0)</f>
        <v>0.25277777777777777</v>
      </c>
      <c r="CG211" s="268">
        <f t="shared" si="68"/>
        <v>2296.7599740813325</v>
      </c>
      <c r="CO211" s="526">
        <v>58629</v>
      </c>
      <c r="CP211" s="151" t="str">
        <f t="shared" si="63"/>
        <v>49Y</v>
      </c>
      <c r="CQ211" s="386">
        <v>0.13527272909058716</v>
      </c>
      <c r="CR211" s="268">
        <f>IF(CO211,_xll.qDateYears(CO210,CO211,CR$13),0)</f>
        <v>0.24931506849315069</v>
      </c>
      <c r="CS211" s="268">
        <f t="shared" si="69"/>
        <v>2171.9635856640966</v>
      </c>
      <c r="DA211" s="526">
        <v>58629</v>
      </c>
      <c r="DB211" s="151" t="str">
        <f t="shared" si="64"/>
        <v>49Y</v>
      </c>
      <c r="DC211" s="386">
        <v>5.3429039649596999E-2</v>
      </c>
      <c r="DD211" s="268">
        <f>IF(DA211,_xll.qDateYears(DA210,DA211,DD$13),0)</f>
        <v>0.24931506849315069</v>
      </c>
      <c r="DE211" s="268">
        <f t="shared" si="70"/>
        <v>1611.0308885402042</v>
      </c>
      <c r="DM211" s="526">
        <v>58629</v>
      </c>
      <c r="DN211" s="151" t="str">
        <f t="shared" si="65"/>
        <v>49Y</v>
      </c>
      <c r="DO211" s="386">
        <v>0.12896307654922359</v>
      </c>
      <c r="DP211" s="268">
        <f>IF(DM211,_xll.qDateYears(DM210,DM211,DP$13),0)</f>
        <v>0.25277777777777777</v>
      </c>
      <c r="DQ211" s="268">
        <f t="shared" si="71"/>
        <v>2170.3824515976171</v>
      </c>
    </row>
    <row r="212" spans="59:121">
      <c r="BG212" s="526">
        <v>58721</v>
      </c>
      <c r="BH212" s="150" t="str">
        <f t="shared" si="60"/>
        <v>49.25Y</v>
      </c>
      <c r="BI212" s="386">
        <v>0.12782425717132881</v>
      </c>
      <c r="BJ212" s="268">
        <f>IF(BG212,_xll.qDateYears(BG211,BG212,$BJ$13),0)</f>
        <v>0.25555555555555554</v>
      </c>
      <c r="BK212" s="268">
        <f t="shared" si="66"/>
        <v>2173.6490715031068</v>
      </c>
      <c r="BQ212" s="526">
        <v>58721</v>
      </c>
      <c r="BR212" s="151" t="str">
        <f t="shared" si="61"/>
        <v>49.25Y</v>
      </c>
      <c r="BS212" s="386">
        <v>0.11102705709292784</v>
      </c>
      <c r="BT212" s="268">
        <f>IF(BQ212,_xll.qDateYears(BQ211,BQ212,BT$13),0)</f>
        <v>0.25205479452054796</v>
      </c>
      <c r="BU212" s="268">
        <f t="shared" si="67"/>
        <v>1730.4811456657146</v>
      </c>
      <c r="CC212" s="526">
        <v>58721</v>
      </c>
      <c r="CD212" s="151" t="str">
        <f t="shared" si="62"/>
        <v>49.25Y</v>
      </c>
      <c r="CE212" s="386">
        <v>0.15254322787991129</v>
      </c>
      <c r="CF212" s="268">
        <f>IF(CC212,_xll.qDateYears(CC211,CC212,CF$13),0)</f>
        <v>0.25555555555555554</v>
      </c>
      <c r="CG212" s="268">
        <f t="shared" si="68"/>
        <v>2300.6583010160412</v>
      </c>
      <c r="CO212" s="526">
        <v>58721</v>
      </c>
      <c r="CP212" s="151" t="str">
        <f t="shared" si="63"/>
        <v>49.25Y</v>
      </c>
      <c r="CQ212" s="386">
        <v>0.13398593995128139</v>
      </c>
      <c r="CR212" s="268">
        <f>IF(CO212,_xll.qDateYears(CO211,CO212,CR$13),0)</f>
        <v>0.25205479452054796</v>
      </c>
      <c r="CS212" s="268">
        <f t="shared" si="69"/>
        <v>2175.3407655204028</v>
      </c>
      <c r="DA212" s="526">
        <v>58721</v>
      </c>
      <c r="DB212" s="151" t="str">
        <f t="shared" si="64"/>
        <v>49.25Y</v>
      </c>
      <c r="DC212" s="386">
        <v>5.263063019092501E-2</v>
      </c>
      <c r="DD212" s="268">
        <f>IF(DA212,_xll.qDateYears(DA211,DA212,DD$13),0)</f>
        <v>0.25205479452054796</v>
      </c>
      <c r="DE212" s="268">
        <f t="shared" si="70"/>
        <v>1612.3574688080303</v>
      </c>
      <c r="DM212" s="526">
        <v>58721</v>
      </c>
      <c r="DN212" s="151" t="str">
        <f t="shared" si="65"/>
        <v>49.25Y</v>
      </c>
      <c r="DO212" s="386">
        <v>0.12782425717132881</v>
      </c>
      <c r="DP212" s="268">
        <f>IF(DM212,_xll.qDateYears(DM211,DM212,DP$13),0)</f>
        <v>0.25555555555555554</v>
      </c>
      <c r="DQ212" s="268">
        <f t="shared" si="71"/>
        <v>2173.6490715031068</v>
      </c>
    </row>
    <row r="213" spans="59:121">
      <c r="BG213" s="526">
        <v>58813</v>
      </c>
      <c r="BH213" s="150" t="str">
        <f t="shared" si="60"/>
        <v>49.5Y</v>
      </c>
      <c r="BI213" s="386">
        <v>0.1266976434789806</v>
      </c>
      <c r="BJ213" s="268">
        <f>IF(BG213,_xll.qDateYears(BG212,BG213,$BJ$13),0)</f>
        <v>0.25555555555555554</v>
      </c>
      <c r="BK213" s="268">
        <f t="shared" si="66"/>
        <v>2176.8869001697917</v>
      </c>
      <c r="BQ213" s="526">
        <v>58813</v>
      </c>
      <c r="BR213" s="151" t="str">
        <f t="shared" si="61"/>
        <v>49.5Y</v>
      </c>
      <c r="BS213" s="386">
        <v>0.10978619659898198</v>
      </c>
      <c r="BT213" s="268">
        <f>IF(BQ213,_xll.qDateYears(BQ212,BQ213,BT$13),0)</f>
        <v>0.25205479452054796</v>
      </c>
      <c r="BU213" s="268">
        <f t="shared" si="67"/>
        <v>1733.2483593882096</v>
      </c>
      <c r="CC213" s="526">
        <v>58813</v>
      </c>
      <c r="CD213" s="151" t="str">
        <f t="shared" si="62"/>
        <v>49.5Y</v>
      </c>
      <c r="CE213" s="386">
        <v>0.15108359378144781</v>
      </c>
      <c r="CF213" s="268">
        <f>IF(CC213,_xll.qDateYears(CC212,CC213,CF$13),0)</f>
        <v>0.25555555555555554</v>
      </c>
      <c r="CG213" s="268">
        <f t="shared" si="68"/>
        <v>2304.519326190456</v>
      </c>
      <c r="CO213" s="526">
        <v>58813</v>
      </c>
      <c r="CP213" s="151" t="str">
        <f t="shared" si="63"/>
        <v>49.5Y</v>
      </c>
      <c r="CQ213" s="386">
        <v>0.13271237392217822</v>
      </c>
      <c r="CR213" s="268">
        <f>IF(CO213,_xll.qDateYears(CO212,CO213,CR$13),0)</f>
        <v>0.25205479452054796</v>
      </c>
      <c r="CS213" s="268">
        <f t="shared" si="69"/>
        <v>2178.6858445343319</v>
      </c>
      <c r="DA213" s="526">
        <v>58813</v>
      </c>
      <c r="DB213" s="151" t="str">
        <f t="shared" si="64"/>
        <v>49.5Y</v>
      </c>
      <c r="DC213" s="386">
        <v>5.184415165348754E-2</v>
      </c>
      <c r="DD213" s="268">
        <f>IF(DA213,_xll.qDateYears(DA212,DA213,DD$13),0)</f>
        <v>0.25205479452054796</v>
      </c>
      <c r="DE213" s="268">
        <f t="shared" si="70"/>
        <v>1613.6642255072416</v>
      </c>
      <c r="DM213" s="526">
        <v>58813</v>
      </c>
      <c r="DN213" s="151" t="str">
        <f t="shared" si="65"/>
        <v>49.5Y</v>
      </c>
      <c r="DO213" s="386">
        <v>0.1266976434789806</v>
      </c>
      <c r="DP213" s="268">
        <f>IF(DM213,_xll.qDateYears(DM212,DM213,DP$13),0)</f>
        <v>0.25555555555555554</v>
      </c>
      <c r="DQ213" s="268">
        <f t="shared" si="71"/>
        <v>2176.8869001697917</v>
      </c>
    </row>
    <row r="214" spans="59:121">
      <c r="BG214" s="526">
        <v>58903</v>
      </c>
      <c r="BH214" s="150" t="str">
        <f t="shared" si="60"/>
        <v>49.75Y</v>
      </c>
      <c r="BI214" s="386">
        <v>0.12560719206494056</v>
      </c>
      <c r="BJ214" s="268">
        <f>IF(BG214,_xll.qDateYears(BG213,BG214,$BJ$13),0)</f>
        <v>0.25</v>
      </c>
      <c r="BK214" s="268">
        <f t="shared" si="66"/>
        <v>2180.0270799714153</v>
      </c>
      <c r="BQ214" s="526">
        <v>58903</v>
      </c>
      <c r="BR214" s="151" t="str">
        <f t="shared" si="61"/>
        <v>49.75Y</v>
      </c>
      <c r="BS214" s="386">
        <v>0.10858573158315875</v>
      </c>
      <c r="BT214" s="268">
        <f>IF(BQ214,_xll.qDateYears(BQ213,BQ214,BT$13),0)</f>
        <v>0.24657534246575341</v>
      </c>
      <c r="BU214" s="268">
        <f t="shared" si="67"/>
        <v>1735.9258157834108</v>
      </c>
      <c r="CC214" s="526">
        <v>58903</v>
      </c>
      <c r="CD214" s="151" t="str">
        <f t="shared" si="62"/>
        <v>49.75Y</v>
      </c>
      <c r="CE214" s="386">
        <v>0.14966920640213666</v>
      </c>
      <c r="CF214" s="268">
        <f>IF(CC214,_xll.qDateYears(CC213,CC214,CF$13),0)</f>
        <v>0.25</v>
      </c>
      <c r="CG214" s="268">
        <f t="shared" si="68"/>
        <v>2308.2610563505095</v>
      </c>
      <c r="CO214" s="526">
        <v>58903</v>
      </c>
      <c r="CP214" s="151" t="str">
        <f t="shared" si="63"/>
        <v>49.75Y</v>
      </c>
      <c r="CQ214" s="386">
        <v>0.13147915038786945</v>
      </c>
      <c r="CR214" s="268">
        <f>IF(CO214,_xll.qDateYears(CO213,CO214,CR$13),0)</f>
        <v>0.24657534246575341</v>
      </c>
      <c r="CS214" s="268">
        <f t="shared" si="69"/>
        <v>2181.9277961877315</v>
      </c>
      <c r="DA214" s="526">
        <v>58903</v>
      </c>
      <c r="DB214" s="151" t="str">
        <f t="shared" si="64"/>
        <v>49.75Y</v>
      </c>
      <c r="DC214" s="386">
        <v>5.1086143883940706E-2</v>
      </c>
      <c r="DD214" s="268">
        <f>IF(DA214,_xll.qDateYears(DA213,DA214,DD$13),0)</f>
        <v>0.24657534246575341</v>
      </c>
      <c r="DE214" s="268">
        <f t="shared" si="70"/>
        <v>1614.9238838495853</v>
      </c>
      <c r="DM214" s="526">
        <v>58903</v>
      </c>
      <c r="DN214" s="151" t="str">
        <f t="shared" si="65"/>
        <v>49.75Y</v>
      </c>
      <c r="DO214" s="386">
        <v>0.12560719206494056</v>
      </c>
      <c r="DP214" s="268">
        <f>IF(DM214,_xll.qDateYears(DM213,DM214,DP$13),0)</f>
        <v>0.25</v>
      </c>
      <c r="DQ214" s="268">
        <f t="shared" si="71"/>
        <v>2180.0270799714153</v>
      </c>
    </row>
    <row r="215" spans="59:121">
      <c r="BG215" s="526">
        <v>58994</v>
      </c>
      <c r="BH215" s="150" t="str">
        <f t="shared" si="60"/>
        <v>50Y</v>
      </c>
      <c r="BI215" s="386">
        <v>0.1245162216985928</v>
      </c>
      <c r="BJ215" s="268">
        <f>IF(BG215,_xll.qDateYears(BG214,BG215,$BJ$13),0)</f>
        <v>0.25277777777777777</v>
      </c>
      <c r="BK215" s="268">
        <f t="shared" si="66"/>
        <v>2183.1745733532407</v>
      </c>
      <c r="BQ215" s="526">
        <v>58994</v>
      </c>
      <c r="BR215" s="151" t="str">
        <f t="shared" si="61"/>
        <v>50Y</v>
      </c>
      <c r="BS215" s="386">
        <v>0.10738527368219408</v>
      </c>
      <c r="BT215" s="268">
        <f>IF(BQ215,_xll.qDateYears(BQ214,BQ215,BT$13),0)</f>
        <v>0.24931506849315069</v>
      </c>
      <c r="BU215" s="268">
        <f t="shared" si="67"/>
        <v>1738.6030924697341</v>
      </c>
      <c r="CC215" s="526">
        <v>58994</v>
      </c>
      <c r="CD215" s="151" t="str">
        <f t="shared" si="62"/>
        <v>50Y</v>
      </c>
      <c r="CE215" s="386">
        <v>0.14825256559854791</v>
      </c>
      <c r="CF215" s="268">
        <f>IF(CC215,_xll.qDateYears(CC214,CC215,CF$13),0)</f>
        <v>0.25277777777777777</v>
      </c>
      <c r="CG215" s="268">
        <f t="shared" si="68"/>
        <v>2312.0085517586949</v>
      </c>
      <c r="CO215" s="526">
        <v>58994</v>
      </c>
      <c r="CP215" s="151" t="str">
        <f t="shared" si="63"/>
        <v>50Y</v>
      </c>
      <c r="CQ215" s="386">
        <v>0.13024273355633773</v>
      </c>
      <c r="CR215" s="268">
        <f>IF(CO215,_xll.qDateYears(CO214,CO215,CR$13),0)</f>
        <v>0.24931506849315069</v>
      </c>
      <c r="CS215" s="268">
        <f t="shared" si="69"/>
        <v>2185.174943791465</v>
      </c>
      <c r="DA215" s="526">
        <v>58994</v>
      </c>
      <c r="DB215" s="151" t="str">
        <f t="shared" si="64"/>
        <v>50Y</v>
      </c>
      <c r="DC215" s="386">
        <v>5.0330981340195098E-2</v>
      </c>
      <c r="DD215" s="268">
        <f>IF(DA215,_xll.qDateYears(DA214,DA215,DD$13),0)</f>
        <v>0.24931506849315069</v>
      </c>
      <c r="DE215" s="268">
        <f t="shared" si="70"/>
        <v>1616.1787110556011</v>
      </c>
      <c r="DM215" s="526">
        <v>58994</v>
      </c>
      <c r="DN215" s="151" t="str">
        <f t="shared" si="65"/>
        <v>50Y</v>
      </c>
      <c r="DO215" s="386">
        <v>0.1245162216985928</v>
      </c>
      <c r="DP215" s="268">
        <f>IF(DM215,_xll.qDateYears(DM214,DM215,DP$13),0)</f>
        <v>0.25277777777777777</v>
      </c>
      <c r="DQ215" s="268">
        <f t="shared" si="71"/>
        <v>2183.1745733532407</v>
      </c>
    </row>
    <row r="216" spans="59:121">
      <c r="BG216" s="526">
        <v>0</v>
      </c>
      <c r="BH216" s="150" t="str">
        <f t="shared" si="60"/>
        <v/>
      </c>
      <c r="BI216" s="386">
        <v>0</v>
      </c>
      <c r="BJ216" s="268">
        <f>IF(BG216,_xll.qDateYears(BG215,BG216,$BJ$13),0)</f>
        <v>0</v>
      </c>
      <c r="BK216" s="268">
        <f t="shared" si="66"/>
        <v>2183.1745733532407</v>
      </c>
      <c r="BQ216" s="526">
        <v>0</v>
      </c>
      <c r="BR216" s="151" t="str">
        <f t="shared" si="61"/>
        <v/>
      </c>
      <c r="BS216" s="386">
        <v>0</v>
      </c>
      <c r="BT216" s="268">
        <f>IF(BQ216,_xll.qDateYears(BQ215,BQ216,BT$13),0)</f>
        <v>0</v>
      </c>
      <c r="BU216" s="268">
        <f t="shared" si="67"/>
        <v>1738.6030924697341</v>
      </c>
      <c r="CC216" s="526">
        <v>0</v>
      </c>
      <c r="CD216" s="151" t="str">
        <f t="shared" si="62"/>
        <v/>
      </c>
      <c r="CE216" s="386">
        <v>0</v>
      </c>
      <c r="CF216" s="268">
        <f>IF(CC216,_xll.qDateYears(CC215,CC216,CF$13),0)</f>
        <v>0</v>
      </c>
      <c r="CG216" s="268">
        <f t="shared" si="68"/>
        <v>2312.0085517586949</v>
      </c>
      <c r="CO216" s="526">
        <v>0</v>
      </c>
      <c r="CP216" s="151" t="str">
        <f t="shared" si="63"/>
        <v/>
      </c>
      <c r="CQ216" s="386">
        <v>0</v>
      </c>
      <c r="CR216" s="268">
        <f>IF(CO216,_xll.qDateYears(CO215,CO216,CR$13),0)</f>
        <v>0</v>
      </c>
      <c r="CS216" s="268">
        <f t="shared" si="69"/>
        <v>2185.174943791465</v>
      </c>
      <c r="DA216" s="526">
        <v>0</v>
      </c>
      <c r="DB216" s="151" t="str">
        <f t="shared" si="64"/>
        <v/>
      </c>
      <c r="DC216" s="386">
        <v>0</v>
      </c>
      <c r="DD216" s="268">
        <f>IF(DA216,_xll.qDateYears(DA215,DA216,DD$13),0)</f>
        <v>0</v>
      </c>
      <c r="DE216" s="268">
        <f t="shared" si="70"/>
        <v>1616.1787110556011</v>
      </c>
      <c r="DM216" s="526">
        <v>0</v>
      </c>
      <c r="DN216" s="151" t="str">
        <f t="shared" si="65"/>
        <v/>
      </c>
      <c r="DO216" s="386">
        <v>0</v>
      </c>
      <c r="DP216" s="268">
        <f>IF(DM216,_xll.qDateYears(DM215,DM216,DP$13),0)</f>
        <v>0</v>
      </c>
      <c r="DQ216" s="268">
        <f t="shared" si="71"/>
        <v>2183.1745733532407</v>
      </c>
    </row>
    <row r="217" spans="59:121">
      <c r="BG217" s="526">
        <v>0</v>
      </c>
      <c r="BH217" s="150" t="str">
        <f t="shared" si="60"/>
        <v/>
      </c>
      <c r="BI217" s="386">
        <v>0</v>
      </c>
      <c r="BJ217" s="268">
        <f>IF(BG217,_xll.qDateYears(BG216,BG217,$BJ$13),0)</f>
        <v>0</v>
      </c>
      <c r="BK217" s="268">
        <f t="shared" si="66"/>
        <v>2183.1745733532407</v>
      </c>
      <c r="BQ217" s="526">
        <v>0</v>
      </c>
      <c r="BR217" s="151" t="str">
        <f t="shared" si="61"/>
        <v/>
      </c>
      <c r="BS217" s="386">
        <v>0</v>
      </c>
      <c r="BT217" s="268">
        <f>IF(BQ217,_xll.qDateYears(BQ216,BQ217,BT$13),0)</f>
        <v>0</v>
      </c>
      <c r="BU217" s="268">
        <f t="shared" si="67"/>
        <v>1738.6030924697341</v>
      </c>
      <c r="CC217" s="526">
        <v>0</v>
      </c>
      <c r="CD217" s="151" t="str">
        <f t="shared" si="62"/>
        <v/>
      </c>
      <c r="CE217" s="386">
        <v>0</v>
      </c>
      <c r="CF217" s="268">
        <f>IF(CC217,_xll.qDateYears(CC216,CC217,CF$13),0)</f>
        <v>0</v>
      </c>
      <c r="CG217" s="268">
        <f t="shared" si="68"/>
        <v>2312.0085517586949</v>
      </c>
      <c r="CO217" s="526">
        <v>0</v>
      </c>
      <c r="CP217" s="151" t="str">
        <f t="shared" si="63"/>
        <v/>
      </c>
      <c r="CQ217" s="386">
        <v>0</v>
      </c>
      <c r="CR217" s="268">
        <f>IF(CO217,_xll.qDateYears(CO216,CO217,CR$13),0)</f>
        <v>0</v>
      </c>
      <c r="CS217" s="268">
        <f t="shared" si="69"/>
        <v>2185.174943791465</v>
      </c>
      <c r="DA217" s="526">
        <v>0</v>
      </c>
      <c r="DB217" s="151" t="str">
        <f t="shared" si="64"/>
        <v/>
      </c>
      <c r="DC217" s="386">
        <v>0</v>
      </c>
      <c r="DD217" s="268">
        <f>IF(DA217,_xll.qDateYears(DA216,DA217,DD$13),0)</f>
        <v>0</v>
      </c>
      <c r="DE217" s="268">
        <f t="shared" si="70"/>
        <v>1616.1787110556011</v>
      </c>
      <c r="DM217" s="526">
        <v>0</v>
      </c>
      <c r="DN217" s="151" t="str">
        <f t="shared" si="65"/>
        <v/>
      </c>
      <c r="DO217" s="386">
        <v>0</v>
      </c>
      <c r="DP217" s="268">
        <f>IF(DM217,_xll.qDateYears(DM216,DM217,DP$13),0)</f>
        <v>0</v>
      </c>
      <c r="DQ217" s="268">
        <f t="shared" si="71"/>
        <v>2183.1745733532407</v>
      </c>
    </row>
    <row r="218" spans="59:121">
      <c r="BG218" s="526">
        <v>0</v>
      </c>
      <c r="BH218" s="150" t="str">
        <f t="shared" si="60"/>
        <v/>
      </c>
      <c r="BI218" s="386">
        <v>0</v>
      </c>
      <c r="BJ218" s="268">
        <f>IF(BG218,_xll.qDateYears(BG217,BG218,$BJ$13),0)</f>
        <v>0</v>
      </c>
      <c r="BK218" s="268">
        <f t="shared" si="66"/>
        <v>2183.1745733532407</v>
      </c>
      <c r="BQ218" s="526">
        <v>0</v>
      </c>
      <c r="BR218" s="151" t="str">
        <f t="shared" si="61"/>
        <v/>
      </c>
      <c r="BS218" s="386">
        <v>0</v>
      </c>
      <c r="BT218" s="268">
        <f>IF(BQ218,_xll.qDateYears(BQ217,BQ218,BT$13),0)</f>
        <v>0</v>
      </c>
      <c r="BU218" s="268">
        <f t="shared" si="67"/>
        <v>1738.6030924697341</v>
      </c>
      <c r="CC218" s="526">
        <v>0</v>
      </c>
      <c r="CD218" s="151" t="str">
        <f t="shared" si="62"/>
        <v/>
      </c>
      <c r="CE218" s="386">
        <v>0</v>
      </c>
      <c r="CF218" s="268">
        <f>IF(CC218,_xll.qDateYears(CC217,CC218,CF$13),0)</f>
        <v>0</v>
      </c>
      <c r="CG218" s="268">
        <f t="shared" si="68"/>
        <v>2312.0085517586949</v>
      </c>
      <c r="CO218" s="526">
        <v>0</v>
      </c>
      <c r="CP218" s="151" t="str">
        <f t="shared" si="63"/>
        <v/>
      </c>
      <c r="CQ218" s="386">
        <v>0</v>
      </c>
      <c r="CR218" s="268">
        <f>IF(CO218,_xll.qDateYears(CO217,CO218,CR$13),0)</f>
        <v>0</v>
      </c>
      <c r="CS218" s="268">
        <f t="shared" si="69"/>
        <v>2185.174943791465</v>
      </c>
      <c r="DA218" s="526">
        <v>0</v>
      </c>
      <c r="DB218" s="151" t="str">
        <f t="shared" si="64"/>
        <v/>
      </c>
      <c r="DC218" s="386">
        <v>0</v>
      </c>
      <c r="DD218" s="268">
        <f>IF(DA218,_xll.qDateYears(DA217,DA218,DD$13),0)</f>
        <v>0</v>
      </c>
      <c r="DE218" s="268">
        <f t="shared" si="70"/>
        <v>1616.1787110556011</v>
      </c>
      <c r="DM218" s="526">
        <v>0</v>
      </c>
      <c r="DN218" s="151" t="str">
        <f t="shared" si="65"/>
        <v/>
      </c>
      <c r="DO218" s="386">
        <v>0</v>
      </c>
      <c r="DP218" s="268">
        <f>IF(DM218,_xll.qDateYears(DM217,DM218,DP$13),0)</f>
        <v>0</v>
      </c>
      <c r="DQ218" s="268">
        <f t="shared" si="71"/>
        <v>2183.1745733532407</v>
      </c>
    </row>
    <row r="219" spans="59:121">
      <c r="BG219" s="526">
        <v>0</v>
      </c>
      <c r="BH219" s="150" t="str">
        <f t="shared" si="60"/>
        <v/>
      </c>
      <c r="BI219" s="386">
        <v>0</v>
      </c>
      <c r="BJ219" s="268">
        <f>IF(BG219,_xll.qDateYears(BG218,BG219,$BJ$13),0)</f>
        <v>0</v>
      </c>
      <c r="BK219" s="268">
        <f t="shared" si="66"/>
        <v>2183.1745733532407</v>
      </c>
      <c r="BQ219" s="526">
        <v>0</v>
      </c>
      <c r="BR219" s="151" t="str">
        <f t="shared" si="61"/>
        <v/>
      </c>
      <c r="BS219" s="386">
        <v>0</v>
      </c>
      <c r="BT219" s="268">
        <f>IF(BQ219,_xll.qDateYears(BQ218,BQ219,BT$13),0)</f>
        <v>0</v>
      </c>
      <c r="BU219" s="268">
        <f t="shared" si="67"/>
        <v>1738.6030924697341</v>
      </c>
      <c r="CC219" s="526">
        <v>0</v>
      </c>
      <c r="CD219" s="151" t="str">
        <f t="shared" si="62"/>
        <v/>
      </c>
      <c r="CE219" s="386">
        <v>0</v>
      </c>
      <c r="CF219" s="268">
        <f>IF(CC219,_xll.qDateYears(CC218,CC219,CF$13),0)</f>
        <v>0</v>
      </c>
      <c r="CG219" s="268">
        <f t="shared" si="68"/>
        <v>2312.0085517586949</v>
      </c>
      <c r="CO219" s="526">
        <v>0</v>
      </c>
      <c r="CP219" s="151" t="str">
        <f t="shared" si="63"/>
        <v/>
      </c>
      <c r="CQ219" s="386">
        <v>0</v>
      </c>
      <c r="CR219" s="268">
        <f>IF(CO219,_xll.qDateYears(CO218,CO219,CR$13),0)</f>
        <v>0</v>
      </c>
      <c r="CS219" s="268">
        <f t="shared" si="69"/>
        <v>2185.174943791465</v>
      </c>
      <c r="DA219" s="526">
        <v>0</v>
      </c>
      <c r="DB219" s="151" t="str">
        <f t="shared" si="64"/>
        <v/>
      </c>
      <c r="DC219" s="386">
        <v>0</v>
      </c>
      <c r="DD219" s="268">
        <f>IF(DA219,_xll.qDateYears(DA218,DA219,DD$13),0)</f>
        <v>0</v>
      </c>
      <c r="DE219" s="268">
        <f t="shared" si="70"/>
        <v>1616.1787110556011</v>
      </c>
      <c r="DM219" s="526">
        <v>0</v>
      </c>
      <c r="DN219" s="151" t="str">
        <f t="shared" si="65"/>
        <v/>
      </c>
      <c r="DO219" s="386">
        <v>0</v>
      </c>
      <c r="DP219" s="268">
        <f>IF(DM219,_xll.qDateYears(DM218,DM219,DP$13),0)</f>
        <v>0</v>
      </c>
      <c r="DQ219" s="268">
        <f t="shared" si="71"/>
        <v>2183.1745733532407</v>
      </c>
    </row>
    <row r="220" spans="59:121">
      <c r="BG220" s="526">
        <v>0</v>
      </c>
      <c r="BH220" s="150" t="str">
        <f t="shared" si="60"/>
        <v/>
      </c>
      <c r="BI220" s="386">
        <v>0</v>
      </c>
      <c r="BJ220" s="268">
        <f>IF(BG220,_xll.qDateYears(BG219,BG220,$BJ$13),0)</f>
        <v>0</v>
      </c>
      <c r="BK220" s="268">
        <f t="shared" si="66"/>
        <v>2183.1745733532407</v>
      </c>
      <c r="BQ220" s="526">
        <v>0</v>
      </c>
      <c r="BR220" s="151" t="str">
        <f t="shared" si="61"/>
        <v/>
      </c>
      <c r="BS220" s="386">
        <v>0</v>
      </c>
      <c r="BT220" s="268">
        <f>IF(BQ220,_xll.qDateYears(BQ219,BQ220,BT$13),0)</f>
        <v>0</v>
      </c>
      <c r="BU220" s="268">
        <f t="shared" si="67"/>
        <v>1738.6030924697341</v>
      </c>
      <c r="CC220" s="526">
        <v>0</v>
      </c>
      <c r="CD220" s="151" t="str">
        <f t="shared" si="62"/>
        <v/>
      </c>
      <c r="CE220" s="386">
        <v>0</v>
      </c>
      <c r="CF220" s="268">
        <f>IF(CC220,_xll.qDateYears(CC219,CC220,CF$13),0)</f>
        <v>0</v>
      </c>
      <c r="CG220" s="268">
        <f t="shared" si="68"/>
        <v>2312.0085517586949</v>
      </c>
      <c r="CO220" s="526">
        <v>0</v>
      </c>
      <c r="CP220" s="151" t="str">
        <f t="shared" si="63"/>
        <v/>
      </c>
      <c r="CQ220" s="386">
        <v>0</v>
      </c>
      <c r="CR220" s="268">
        <f>IF(CO220,_xll.qDateYears(CO219,CO220,CR$13),0)</f>
        <v>0</v>
      </c>
      <c r="CS220" s="268">
        <f t="shared" si="69"/>
        <v>2185.174943791465</v>
      </c>
      <c r="DA220" s="526">
        <v>0</v>
      </c>
      <c r="DB220" s="151" t="str">
        <f t="shared" si="64"/>
        <v/>
      </c>
      <c r="DC220" s="386">
        <v>0</v>
      </c>
      <c r="DD220" s="268">
        <f>IF(DA220,_xll.qDateYears(DA219,DA220,DD$13),0)</f>
        <v>0</v>
      </c>
      <c r="DE220" s="268">
        <f t="shared" si="70"/>
        <v>1616.1787110556011</v>
      </c>
      <c r="DM220" s="526">
        <v>0</v>
      </c>
      <c r="DN220" s="151" t="str">
        <f t="shared" si="65"/>
        <v/>
      </c>
      <c r="DO220" s="386">
        <v>0</v>
      </c>
      <c r="DP220" s="268">
        <f>IF(DM220,_xll.qDateYears(DM219,DM220,DP$13),0)</f>
        <v>0</v>
      </c>
      <c r="DQ220" s="268">
        <f t="shared" si="71"/>
        <v>2183.1745733532407</v>
      </c>
    </row>
    <row r="221" spans="59:121">
      <c r="BG221" s="526">
        <v>0</v>
      </c>
      <c r="BH221" s="150" t="str">
        <f t="shared" si="60"/>
        <v/>
      </c>
      <c r="BI221" s="386">
        <v>0</v>
      </c>
      <c r="BJ221" s="268">
        <f>IF(BG221,_xll.qDateYears(BG220,BG221,$BJ$13),0)</f>
        <v>0</v>
      </c>
      <c r="BK221" s="268">
        <f t="shared" si="66"/>
        <v>2183.1745733532407</v>
      </c>
      <c r="BQ221" s="526">
        <v>0</v>
      </c>
      <c r="BR221" s="151" t="str">
        <f t="shared" si="61"/>
        <v/>
      </c>
      <c r="BS221" s="386">
        <v>0</v>
      </c>
      <c r="BT221" s="268">
        <f>IF(BQ221,_xll.qDateYears(BQ220,BQ221,BT$13),0)</f>
        <v>0</v>
      </c>
      <c r="BU221" s="268">
        <f t="shared" si="67"/>
        <v>1738.6030924697341</v>
      </c>
      <c r="CC221" s="526">
        <v>0</v>
      </c>
      <c r="CD221" s="151" t="str">
        <f t="shared" si="62"/>
        <v/>
      </c>
      <c r="CE221" s="386">
        <v>0</v>
      </c>
      <c r="CF221" s="268">
        <f>IF(CC221,_xll.qDateYears(CC220,CC221,CF$13),0)</f>
        <v>0</v>
      </c>
      <c r="CG221" s="268">
        <f t="shared" si="68"/>
        <v>2312.0085517586949</v>
      </c>
      <c r="CO221" s="526">
        <v>0</v>
      </c>
      <c r="CP221" s="151" t="str">
        <f t="shared" si="63"/>
        <v/>
      </c>
      <c r="CQ221" s="386">
        <v>0</v>
      </c>
      <c r="CR221" s="268">
        <f>IF(CO221,_xll.qDateYears(CO220,CO221,CR$13),0)</f>
        <v>0</v>
      </c>
      <c r="CS221" s="268">
        <f t="shared" si="69"/>
        <v>2185.174943791465</v>
      </c>
      <c r="DA221" s="526">
        <v>0</v>
      </c>
      <c r="DB221" s="151" t="str">
        <f t="shared" si="64"/>
        <v/>
      </c>
      <c r="DC221" s="386">
        <v>0</v>
      </c>
      <c r="DD221" s="268">
        <f>IF(DA221,_xll.qDateYears(DA220,DA221,DD$13),0)</f>
        <v>0</v>
      </c>
      <c r="DE221" s="268">
        <f t="shared" si="70"/>
        <v>1616.1787110556011</v>
      </c>
      <c r="DM221" s="526">
        <v>0</v>
      </c>
      <c r="DN221" s="151" t="str">
        <f t="shared" si="65"/>
        <v/>
      </c>
      <c r="DO221" s="386">
        <v>0</v>
      </c>
      <c r="DP221" s="268">
        <f>IF(DM221,_xll.qDateYears(DM220,DM221,DP$13),0)</f>
        <v>0</v>
      </c>
      <c r="DQ221" s="268">
        <f t="shared" si="71"/>
        <v>2183.1745733532407</v>
      </c>
    </row>
    <row r="222" spans="59:121">
      <c r="BG222" s="526">
        <v>0</v>
      </c>
      <c r="BH222" s="150" t="str">
        <f t="shared" si="60"/>
        <v/>
      </c>
      <c r="BI222" s="386">
        <v>0</v>
      </c>
      <c r="BJ222" s="268">
        <f>IF(BG222,_xll.qDateYears(BG221,BG222,$BJ$13),0)</f>
        <v>0</v>
      </c>
      <c r="BK222" s="268">
        <f t="shared" si="66"/>
        <v>2183.1745733532407</v>
      </c>
      <c r="BQ222" s="526">
        <v>0</v>
      </c>
      <c r="BR222" s="151" t="str">
        <f t="shared" si="61"/>
        <v/>
      </c>
      <c r="BS222" s="386">
        <v>0</v>
      </c>
      <c r="BT222" s="268">
        <f>IF(BQ222,_xll.qDateYears(BQ221,BQ222,BT$13),0)</f>
        <v>0</v>
      </c>
      <c r="BU222" s="268">
        <f t="shared" si="67"/>
        <v>1738.6030924697341</v>
      </c>
      <c r="CC222" s="526">
        <v>0</v>
      </c>
      <c r="CD222" s="151" t="str">
        <f t="shared" si="62"/>
        <v/>
      </c>
      <c r="CE222" s="386">
        <v>0</v>
      </c>
      <c r="CF222" s="268">
        <f>IF(CC222,_xll.qDateYears(CC221,CC222,CF$13),0)</f>
        <v>0</v>
      </c>
      <c r="CG222" s="268">
        <f t="shared" si="68"/>
        <v>2312.0085517586949</v>
      </c>
      <c r="CO222" s="526">
        <v>0</v>
      </c>
      <c r="CP222" s="151" t="str">
        <f t="shared" si="63"/>
        <v/>
      </c>
      <c r="CQ222" s="386">
        <v>0</v>
      </c>
      <c r="CR222" s="268">
        <f>IF(CO222,_xll.qDateYears(CO221,CO222,CR$13),0)</f>
        <v>0</v>
      </c>
      <c r="CS222" s="268">
        <f t="shared" si="69"/>
        <v>2185.174943791465</v>
      </c>
      <c r="DA222" s="526">
        <v>0</v>
      </c>
      <c r="DB222" s="151" t="str">
        <f t="shared" si="64"/>
        <v/>
      </c>
      <c r="DC222" s="386">
        <v>0</v>
      </c>
      <c r="DD222" s="268">
        <f>IF(DA222,_xll.qDateYears(DA221,DA222,DD$13),0)</f>
        <v>0</v>
      </c>
      <c r="DE222" s="268">
        <f t="shared" si="70"/>
        <v>1616.1787110556011</v>
      </c>
      <c r="DM222" s="526">
        <v>0</v>
      </c>
      <c r="DN222" s="151" t="str">
        <f t="shared" si="65"/>
        <v/>
      </c>
      <c r="DO222" s="386">
        <v>0</v>
      </c>
      <c r="DP222" s="268">
        <f>IF(DM222,_xll.qDateYears(DM221,DM222,DP$13),0)</f>
        <v>0</v>
      </c>
      <c r="DQ222" s="268">
        <f t="shared" si="71"/>
        <v>2183.1745733532407</v>
      </c>
    </row>
    <row r="223" spans="59:121">
      <c r="BG223" s="526">
        <v>0</v>
      </c>
      <c r="BH223" s="150" t="str">
        <f t="shared" si="60"/>
        <v/>
      </c>
      <c r="BI223" s="386">
        <v>0</v>
      </c>
      <c r="BJ223" s="268">
        <f>IF(BG223,_xll.qDateYears(BG222,BG223,$BJ$13),0)</f>
        <v>0</v>
      </c>
      <c r="BK223" s="268">
        <f t="shared" si="66"/>
        <v>2183.1745733532407</v>
      </c>
      <c r="BQ223" s="526">
        <v>0</v>
      </c>
      <c r="BR223" s="151" t="str">
        <f t="shared" si="61"/>
        <v/>
      </c>
      <c r="BS223" s="386">
        <v>0</v>
      </c>
      <c r="BT223" s="268">
        <f>IF(BQ223,_xll.qDateYears(BQ222,BQ223,BT$13),0)</f>
        <v>0</v>
      </c>
      <c r="BU223" s="268">
        <f t="shared" si="67"/>
        <v>1738.6030924697341</v>
      </c>
      <c r="CC223" s="526">
        <v>0</v>
      </c>
      <c r="CD223" s="151" t="str">
        <f t="shared" si="62"/>
        <v/>
      </c>
      <c r="CE223" s="386">
        <v>0</v>
      </c>
      <c r="CF223" s="268">
        <f>IF(CC223,_xll.qDateYears(CC222,CC223,CF$13),0)</f>
        <v>0</v>
      </c>
      <c r="CG223" s="268">
        <f t="shared" si="68"/>
        <v>2312.0085517586949</v>
      </c>
      <c r="CO223" s="526">
        <v>0</v>
      </c>
      <c r="CP223" s="151" t="str">
        <f t="shared" si="63"/>
        <v/>
      </c>
      <c r="CQ223" s="386">
        <v>0</v>
      </c>
      <c r="CR223" s="268">
        <f>IF(CO223,_xll.qDateYears(CO222,CO223,CR$13),0)</f>
        <v>0</v>
      </c>
      <c r="CS223" s="268">
        <f t="shared" si="69"/>
        <v>2185.174943791465</v>
      </c>
      <c r="DA223" s="526">
        <v>0</v>
      </c>
      <c r="DB223" s="151" t="str">
        <f t="shared" si="64"/>
        <v/>
      </c>
      <c r="DC223" s="386">
        <v>0</v>
      </c>
      <c r="DD223" s="268">
        <f>IF(DA223,_xll.qDateYears(DA222,DA223,DD$13),0)</f>
        <v>0</v>
      </c>
      <c r="DE223" s="268">
        <f t="shared" si="70"/>
        <v>1616.1787110556011</v>
      </c>
      <c r="DM223" s="526">
        <v>0</v>
      </c>
      <c r="DN223" s="151" t="str">
        <f t="shared" si="65"/>
        <v/>
      </c>
      <c r="DO223" s="386">
        <v>0</v>
      </c>
      <c r="DP223" s="268">
        <f>IF(DM223,_xll.qDateYears(DM222,DM223,DP$13),0)</f>
        <v>0</v>
      </c>
      <c r="DQ223" s="268">
        <f t="shared" si="71"/>
        <v>2183.1745733532407</v>
      </c>
    </row>
    <row r="224" spans="59:121">
      <c r="BG224" s="526">
        <v>0</v>
      </c>
      <c r="BH224" s="150" t="str">
        <f t="shared" si="60"/>
        <v/>
      </c>
      <c r="BI224" s="386">
        <v>0</v>
      </c>
      <c r="BJ224" s="268">
        <f>IF(BG224,_xll.qDateYears(BG223,BG224,$BJ$13),0)</f>
        <v>0</v>
      </c>
      <c r="BK224" s="268">
        <f t="shared" si="66"/>
        <v>2183.1745733532407</v>
      </c>
      <c r="BQ224" s="526">
        <v>0</v>
      </c>
      <c r="BR224" s="151" t="str">
        <f t="shared" si="61"/>
        <v/>
      </c>
      <c r="BS224" s="386">
        <v>0</v>
      </c>
      <c r="BT224" s="268">
        <f>IF(BQ224,_xll.qDateYears(BQ223,BQ224,BT$13),0)</f>
        <v>0</v>
      </c>
      <c r="BU224" s="268">
        <f t="shared" si="67"/>
        <v>1738.6030924697341</v>
      </c>
      <c r="CC224" s="526">
        <v>0</v>
      </c>
      <c r="CD224" s="151" t="str">
        <f t="shared" si="62"/>
        <v/>
      </c>
      <c r="CE224" s="386">
        <v>0</v>
      </c>
      <c r="CF224" s="268">
        <f>IF(CC224,_xll.qDateYears(CC223,CC224,CF$13),0)</f>
        <v>0</v>
      </c>
      <c r="CG224" s="268">
        <f t="shared" si="68"/>
        <v>2312.0085517586949</v>
      </c>
      <c r="CO224" s="526">
        <v>0</v>
      </c>
      <c r="CP224" s="151" t="str">
        <f t="shared" si="63"/>
        <v/>
      </c>
      <c r="CQ224" s="386">
        <v>0</v>
      </c>
      <c r="CR224" s="268">
        <f>IF(CO224,_xll.qDateYears(CO223,CO224,CR$13),0)</f>
        <v>0</v>
      </c>
      <c r="CS224" s="268">
        <f t="shared" si="69"/>
        <v>2185.174943791465</v>
      </c>
      <c r="DA224" s="526">
        <v>0</v>
      </c>
      <c r="DB224" s="151" t="str">
        <f t="shared" si="64"/>
        <v/>
      </c>
      <c r="DC224" s="386">
        <v>0</v>
      </c>
      <c r="DD224" s="268">
        <f>IF(DA224,_xll.qDateYears(DA223,DA224,DD$13),0)</f>
        <v>0</v>
      </c>
      <c r="DE224" s="268">
        <f t="shared" si="70"/>
        <v>1616.1787110556011</v>
      </c>
      <c r="DM224" s="526">
        <v>0</v>
      </c>
      <c r="DN224" s="151" t="str">
        <f t="shared" si="65"/>
        <v/>
      </c>
      <c r="DO224" s="386">
        <v>0</v>
      </c>
      <c r="DP224" s="268">
        <f>IF(DM224,_xll.qDateYears(DM223,DM224,DP$13),0)</f>
        <v>0</v>
      </c>
      <c r="DQ224" s="268">
        <f t="shared" si="71"/>
        <v>2183.1745733532407</v>
      </c>
    </row>
    <row r="225" spans="59:121">
      <c r="BG225" s="526">
        <v>0</v>
      </c>
      <c r="BH225" s="150" t="str">
        <f t="shared" si="60"/>
        <v/>
      </c>
      <c r="BI225" s="386">
        <v>0</v>
      </c>
      <c r="BJ225" s="268">
        <f>IF(BG225,_xll.qDateYears(BG224,BG225,$BJ$13),0)</f>
        <v>0</v>
      </c>
      <c r="BK225" s="268">
        <f t="shared" si="66"/>
        <v>2183.1745733532407</v>
      </c>
      <c r="BQ225" s="526">
        <v>0</v>
      </c>
      <c r="BR225" s="151" t="str">
        <f t="shared" si="61"/>
        <v/>
      </c>
      <c r="BS225" s="386">
        <v>0</v>
      </c>
      <c r="BT225" s="268">
        <f>IF(BQ225,_xll.qDateYears(BQ224,BQ225,BT$13),0)</f>
        <v>0</v>
      </c>
      <c r="BU225" s="268">
        <f t="shared" si="67"/>
        <v>1738.6030924697341</v>
      </c>
      <c r="CC225" s="526">
        <v>0</v>
      </c>
      <c r="CD225" s="151" t="str">
        <f t="shared" si="62"/>
        <v/>
      </c>
      <c r="CE225" s="386">
        <v>0</v>
      </c>
      <c r="CF225" s="268">
        <f>IF(CC225,_xll.qDateYears(CC224,CC225,CF$13),0)</f>
        <v>0</v>
      </c>
      <c r="CG225" s="268">
        <f t="shared" si="68"/>
        <v>2312.0085517586949</v>
      </c>
      <c r="CO225" s="526">
        <v>0</v>
      </c>
      <c r="CP225" s="151" t="str">
        <f t="shared" si="63"/>
        <v/>
      </c>
      <c r="CQ225" s="386">
        <v>0</v>
      </c>
      <c r="CR225" s="268">
        <f>IF(CO225,_xll.qDateYears(CO224,CO225,CR$13),0)</f>
        <v>0</v>
      </c>
      <c r="CS225" s="268">
        <f t="shared" si="69"/>
        <v>2185.174943791465</v>
      </c>
      <c r="DA225" s="526">
        <v>0</v>
      </c>
      <c r="DB225" s="151" t="str">
        <f t="shared" si="64"/>
        <v/>
      </c>
      <c r="DC225" s="386">
        <v>0</v>
      </c>
      <c r="DD225" s="268">
        <f>IF(DA225,_xll.qDateYears(DA224,DA225,DD$13),0)</f>
        <v>0</v>
      </c>
      <c r="DE225" s="268">
        <f t="shared" si="70"/>
        <v>1616.1787110556011</v>
      </c>
      <c r="DM225" s="526">
        <v>0</v>
      </c>
      <c r="DN225" s="151" t="str">
        <f t="shared" si="65"/>
        <v/>
      </c>
      <c r="DO225" s="386">
        <v>0</v>
      </c>
      <c r="DP225" s="268">
        <f>IF(DM225,_xll.qDateYears(DM224,DM225,DP$13),0)</f>
        <v>0</v>
      </c>
      <c r="DQ225" s="268">
        <f t="shared" si="71"/>
        <v>2183.1745733532407</v>
      </c>
    </row>
    <row r="226" spans="59:121">
      <c r="BG226" s="526">
        <v>0</v>
      </c>
      <c r="BH226" s="150" t="str">
        <f t="shared" si="60"/>
        <v/>
      </c>
      <c r="BI226" s="386">
        <v>0</v>
      </c>
      <c r="BJ226" s="268">
        <f>IF(BG226,_xll.qDateYears(BG225,BG226,$BJ$13),0)</f>
        <v>0</v>
      </c>
      <c r="BK226" s="268">
        <f t="shared" si="66"/>
        <v>2183.1745733532407</v>
      </c>
      <c r="BQ226" s="526">
        <v>0</v>
      </c>
      <c r="BR226" s="151" t="str">
        <f t="shared" si="61"/>
        <v/>
      </c>
      <c r="BS226" s="386">
        <v>0</v>
      </c>
      <c r="BT226" s="268">
        <f>IF(BQ226,_xll.qDateYears(BQ225,BQ226,BT$13),0)</f>
        <v>0</v>
      </c>
      <c r="BU226" s="268">
        <f t="shared" si="67"/>
        <v>1738.6030924697341</v>
      </c>
      <c r="CC226" s="526">
        <v>0</v>
      </c>
      <c r="CD226" s="151" t="str">
        <f t="shared" si="62"/>
        <v/>
      </c>
      <c r="CE226" s="386">
        <v>0</v>
      </c>
      <c r="CF226" s="268">
        <f>IF(CC226,_xll.qDateYears(CC225,CC226,CF$13),0)</f>
        <v>0</v>
      </c>
      <c r="CG226" s="268">
        <f t="shared" si="68"/>
        <v>2312.0085517586949</v>
      </c>
      <c r="CO226" s="526">
        <v>0</v>
      </c>
      <c r="CP226" s="151" t="str">
        <f t="shared" si="63"/>
        <v/>
      </c>
      <c r="CQ226" s="386">
        <v>0</v>
      </c>
      <c r="CR226" s="268">
        <f>IF(CO226,_xll.qDateYears(CO225,CO226,CR$13),0)</f>
        <v>0</v>
      </c>
      <c r="CS226" s="268">
        <f t="shared" si="69"/>
        <v>2185.174943791465</v>
      </c>
      <c r="DA226" s="526">
        <v>0</v>
      </c>
      <c r="DB226" s="151" t="str">
        <f t="shared" si="64"/>
        <v/>
      </c>
      <c r="DC226" s="386">
        <v>0</v>
      </c>
      <c r="DD226" s="268">
        <f>IF(DA226,_xll.qDateYears(DA225,DA226,DD$13),0)</f>
        <v>0</v>
      </c>
      <c r="DE226" s="268">
        <f t="shared" si="70"/>
        <v>1616.1787110556011</v>
      </c>
      <c r="DM226" s="526">
        <v>0</v>
      </c>
      <c r="DN226" s="151" t="str">
        <f t="shared" si="65"/>
        <v/>
      </c>
      <c r="DO226" s="386">
        <v>0</v>
      </c>
      <c r="DP226" s="268">
        <f>IF(DM226,_xll.qDateYears(DM225,DM226,DP$13),0)</f>
        <v>0</v>
      </c>
      <c r="DQ226" s="268">
        <f t="shared" si="71"/>
        <v>2183.1745733532407</v>
      </c>
    </row>
    <row r="227" spans="59:121">
      <c r="BG227" s="526">
        <v>0</v>
      </c>
      <c r="BH227" s="150" t="str">
        <f t="shared" si="60"/>
        <v/>
      </c>
      <c r="BI227" s="386">
        <v>0</v>
      </c>
      <c r="BJ227" s="268">
        <f>IF(BG227,_xll.qDateYears(BG226,BG227,$BJ$13),0)</f>
        <v>0</v>
      </c>
      <c r="BK227" s="268">
        <f t="shared" si="66"/>
        <v>2183.1745733532407</v>
      </c>
      <c r="BQ227" s="526">
        <v>0</v>
      </c>
      <c r="BR227" s="151" t="str">
        <f t="shared" si="61"/>
        <v/>
      </c>
      <c r="BS227" s="386">
        <v>0</v>
      </c>
      <c r="BT227" s="268">
        <f>IF(BQ227,_xll.qDateYears(BQ226,BQ227,BT$13),0)</f>
        <v>0</v>
      </c>
      <c r="BU227" s="268">
        <f t="shared" si="67"/>
        <v>1738.6030924697341</v>
      </c>
      <c r="CC227" s="526">
        <v>0</v>
      </c>
      <c r="CD227" s="151" t="str">
        <f t="shared" si="62"/>
        <v/>
      </c>
      <c r="CE227" s="386">
        <v>0</v>
      </c>
      <c r="CF227" s="268">
        <f>IF(CC227,_xll.qDateYears(CC226,CC227,CF$13),0)</f>
        <v>0</v>
      </c>
      <c r="CG227" s="268">
        <f t="shared" si="68"/>
        <v>2312.0085517586949</v>
      </c>
      <c r="CO227" s="526">
        <v>0</v>
      </c>
      <c r="CP227" s="151" t="str">
        <f t="shared" si="63"/>
        <v/>
      </c>
      <c r="CQ227" s="386">
        <v>0</v>
      </c>
      <c r="CR227" s="268">
        <f>IF(CO227,_xll.qDateYears(CO226,CO227,CR$13),0)</f>
        <v>0</v>
      </c>
      <c r="CS227" s="268">
        <f t="shared" si="69"/>
        <v>2185.174943791465</v>
      </c>
      <c r="DA227" s="526">
        <v>0</v>
      </c>
      <c r="DB227" s="151" t="str">
        <f t="shared" si="64"/>
        <v/>
      </c>
      <c r="DC227" s="386">
        <v>0</v>
      </c>
      <c r="DD227" s="268">
        <f>IF(DA227,_xll.qDateYears(DA226,DA227,DD$13),0)</f>
        <v>0</v>
      </c>
      <c r="DE227" s="268">
        <f t="shared" si="70"/>
        <v>1616.1787110556011</v>
      </c>
      <c r="DM227" s="526">
        <v>0</v>
      </c>
      <c r="DN227" s="151" t="str">
        <f t="shared" si="65"/>
        <v/>
      </c>
      <c r="DO227" s="386">
        <v>0</v>
      </c>
      <c r="DP227" s="268">
        <f>IF(DM227,_xll.qDateYears(DM226,DM227,DP$13),0)</f>
        <v>0</v>
      </c>
      <c r="DQ227" s="268">
        <f t="shared" si="71"/>
        <v>2183.1745733532407</v>
      </c>
    </row>
    <row r="228" spans="59:121">
      <c r="BG228" s="526">
        <v>0</v>
      </c>
      <c r="BH228" s="150" t="str">
        <f t="shared" si="60"/>
        <v/>
      </c>
      <c r="BI228" s="386">
        <v>0</v>
      </c>
      <c r="BJ228" s="268">
        <f>IF(BG228,_xll.qDateYears(BG227,BG228,$BJ$13),0)</f>
        <v>0</v>
      </c>
      <c r="BK228" s="268">
        <f t="shared" si="66"/>
        <v>2183.1745733532407</v>
      </c>
      <c r="BQ228" s="526">
        <v>0</v>
      </c>
      <c r="BR228" s="151" t="str">
        <f t="shared" si="61"/>
        <v/>
      </c>
      <c r="BS228" s="386">
        <v>0</v>
      </c>
      <c r="BT228" s="268">
        <f>IF(BQ228,_xll.qDateYears(BQ227,BQ228,BT$13),0)</f>
        <v>0</v>
      </c>
      <c r="BU228" s="268">
        <f t="shared" si="67"/>
        <v>1738.6030924697341</v>
      </c>
      <c r="CC228" s="526">
        <v>0</v>
      </c>
      <c r="CD228" s="151" t="str">
        <f t="shared" si="62"/>
        <v/>
      </c>
      <c r="CE228" s="386">
        <v>0</v>
      </c>
      <c r="CF228" s="268">
        <f>IF(CC228,_xll.qDateYears(CC227,CC228,CF$13),0)</f>
        <v>0</v>
      </c>
      <c r="CG228" s="268">
        <f t="shared" si="68"/>
        <v>2312.0085517586949</v>
      </c>
      <c r="CO228" s="526">
        <v>0</v>
      </c>
      <c r="CP228" s="151" t="str">
        <f t="shared" si="63"/>
        <v/>
      </c>
      <c r="CQ228" s="386">
        <v>0</v>
      </c>
      <c r="CR228" s="268">
        <f>IF(CO228,_xll.qDateYears(CO227,CO228,CR$13),0)</f>
        <v>0</v>
      </c>
      <c r="CS228" s="268">
        <f t="shared" si="69"/>
        <v>2185.174943791465</v>
      </c>
      <c r="DA228" s="526">
        <v>0</v>
      </c>
      <c r="DB228" s="151" t="str">
        <f t="shared" si="64"/>
        <v/>
      </c>
      <c r="DC228" s="386">
        <v>0</v>
      </c>
      <c r="DD228" s="268">
        <f>IF(DA228,_xll.qDateYears(DA227,DA228,DD$13),0)</f>
        <v>0</v>
      </c>
      <c r="DE228" s="268">
        <f t="shared" si="70"/>
        <v>1616.1787110556011</v>
      </c>
      <c r="DM228" s="526">
        <v>0</v>
      </c>
      <c r="DN228" s="151" t="str">
        <f t="shared" si="65"/>
        <v/>
      </c>
      <c r="DO228" s="386">
        <v>0</v>
      </c>
      <c r="DP228" s="268">
        <f>IF(DM228,_xll.qDateYears(DM227,DM228,DP$13),0)</f>
        <v>0</v>
      </c>
      <c r="DQ228" s="268">
        <f t="shared" si="71"/>
        <v>2183.1745733532407</v>
      </c>
    </row>
    <row r="229" spans="59:121">
      <c r="BG229" s="526">
        <v>0</v>
      </c>
      <c r="BH229" s="150" t="str">
        <f t="shared" si="60"/>
        <v/>
      </c>
      <c r="BI229" s="386">
        <v>0</v>
      </c>
      <c r="BJ229" s="268">
        <f>IF(BG229,_xll.qDateYears(BG228,BG229,$BJ$13),0)</f>
        <v>0</v>
      </c>
      <c r="BK229" s="268">
        <f t="shared" si="66"/>
        <v>2183.1745733532407</v>
      </c>
      <c r="BQ229" s="526">
        <v>0</v>
      </c>
      <c r="BR229" s="151" t="str">
        <f t="shared" si="61"/>
        <v/>
      </c>
      <c r="BS229" s="386">
        <v>0</v>
      </c>
      <c r="BT229" s="268">
        <f>IF(BQ229,_xll.qDateYears(BQ228,BQ229,BT$13),0)</f>
        <v>0</v>
      </c>
      <c r="BU229" s="268">
        <f t="shared" si="67"/>
        <v>1738.6030924697341</v>
      </c>
      <c r="CC229" s="526">
        <v>0</v>
      </c>
      <c r="CD229" s="151" t="str">
        <f t="shared" si="62"/>
        <v/>
      </c>
      <c r="CE229" s="386">
        <v>0</v>
      </c>
      <c r="CF229" s="268">
        <f>IF(CC229,_xll.qDateYears(CC228,CC229,CF$13),0)</f>
        <v>0</v>
      </c>
      <c r="CG229" s="268">
        <f t="shared" si="68"/>
        <v>2312.0085517586949</v>
      </c>
      <c r="CO229" s="526">
        <v>0</v>
      </c>
      <c r="CP229" s="151" t="str">
        <f t="shared" si="63"/>
        <v/>
      </c>
      <c r="CQ229" s="386">
        <v>0</v>
      </c>
      <c r="CR229" s="268">
        <f>IF(CO229,_xll.qDateYears(CO228,CO229,CR$13),0)</f>
        <v>0</v>
      </c>
      <c r="CS229" s="268">
        <f t="shared" si="69"/>
        <v>2185.174943791465</v>
      </c>
      <c r="DA229" s="526">
        <v>0</v>
      </c>
      <c r="DB229" s="151" t="str">
        <f t="shared" si="64"/>
        <v/>
      </c>
      <c r="DC229" s="386">
        <v>0</v>
      </c>
      <c r="DD229" s="268">
        <f>IF(DA229,_xll.qDateYears(DA228,DA229,DD$13),0)</f>
        <v>0</v>
      </c>
      <c r="DE229" s="268">
        <f t="shared" si="70"/>
        <v>1616.1787110556011</v>
      </c>
      <c r="DM229" s="526">
        <v>0</v>
      </c>
      <c r="DN229" s="151" t="str">
        <f t="shared" si="65"/>
        <v/>
      </c>
      <c r="DO229" s="386">
        <v>0</v>
      </c>
      <c r="DP229" s="268">
        <f>IF(DM229,_xll.qDateYears(DM228,DM229,DP$13),0)</f>
        <v>0</v>
      </c>
      <c r="DQ229" s="268">
        <f t="shared" si="71"/>
        <v>2183.1745733532407</v>
      </c>
    </row>
    <row r="230" spans="59:121">
      <c r="BG230" s="526">
        <v>0</v>
      </c>
      <c r="BH230" s="150" t="str">
        <f t="shared" si="60"/>
        <v/>
      </c>
      <c r="BI230" s="386">
        <v>0</v>
      </c>
      <c r="BJ230" s="268">
        <f>IF(BG230,_xll.qDateYears(BG229,BG230,$BJ$13),0)</f>
        <v>0</v>
      </c>
      <c r="BK230" s="268">
        <f t="shared" si="66"/>
        <v>2183.1745733532407</v>
      </c>
      <c r="BQ230" s="526">
        <v>0</v>
      </c>
      <c r="BR230" s="151" t="str">
        <f t="shared" si="61"/>
        <v/>
      </c>
      <c r="BS230" s="386">
        <v>0</v>
      </c>
      <c r="BT230" s="268">
        <f>IF(BQ230,_xll.qDateYears(BQ229,BQ230,BT$13),0)</f>
        <v>0</v>
      </c>
      <c r="BU230" s="268">
        <f t="shared" si="67"/>
        <v>1738.6030924697341</v>
      </c>
      <c r="CC230" s="526">
        <v>0</v>
      </c>
      <c r="CD230" s="151" t="str">
        <f t="shared" si="62"/>
        <v/>
      </c>
      <c r="CE230" s="386">
        <v>0</v>
      </c>
      <c r="CF230" s="268">
        <f>IF(CC230,_xll.qDateYears(CC229,CC230,CF$13),0)</f>
        <v>0</v>
      </c>
      <c r="CG230" s="268">
        <f t="shared" si="68"/>
        <v>2312.0085517586949</v>
      </c>
      <c r="CO230" s="526">
        <v>0</v>
      </c>
      <c r="CP230" s="151" t="str">
        <f t="shared" si="63"/>
        <v/>
      </c>
      <c r="CQ230" s="386">
        <v>0</v>
      </c>
      <c r="CR230" s="268">
        <f>IF(CO230,_xll.qDateYears(CO229,CO230,CR$13),0)</f>
        <v>0</v>
      </c>
      <c r="CS230" s="268">
        <f t="shared" si="69"/>
        <v>2185.174943791465</v>
      </c>
      <c r="DA230" s="526">
        <v>0</v>
      </c>
      <c r="DB230" s="151" t="str">
        <f t="shared" si="64"/>
        <v/>
      </c>
      <c r="DC230" s="386">
        <v>0</v>
      </c>
      <c r="DD230" s="268">
        <f>IF(DA230,_xll.qDateYears(DA229,DA230,DD$13),0)</f>
        <v>0</v>
      </c>
      <c r="DE230" s="268">
        <f t="shared" si="70"/>
        <v>1616.1787110556011</v>
      </c>
      <c r="DM230" s="526">
        <v>0</v>
      </c>
      <c r="DN230" s="151" t="str">
        <f t="shared" si="65"/>
        <v/>
      </c>
      <c r="DO230" s="386">
        <v>0</v>
      </c>
      <c r="DP230" s="268">
        <f>IF(DM230,_xll.qDateYears(DM229,DM230,DP$13),0)</f>
        <v>0</v>
      </c>
      <c r="DQ230" s="268">
        <f t="shared" si="71"/>
        <v>2183.1745733532407</v>
      </c>
    </row>
    <row r="231" spans="59:121">
      <c r="BG231" s="526">
        <v>0</v>
      </c>
      <c r="BH231" s="150" t="str">
        <f t="shared" si="60"/>
        <v/>
      </c>
      <c r="BI231" s="386">
        <v>0</v>
      </c>
      <c r="BJ231" s="268">
        <f>IF(BG231,_xll.qDateYears(BG230,BG231,$BJ$13),0)</f>
        <v>0</v>
      </c>
      <c r="BK231" s="268">
        <f t="shared" si="66"/>
        <v>2183.1745733532407</v>
      </c>
      <c r="BQ231" s="526">
        <v>0</v>
      </c>
      <c r="BR231" s="151" t="str">
        <f t="shared" si="61"/>
        <v/>
      </c>
      <c r="BS231" s="386">
        <v>0</v>
      </c>
      <c r="BT231" s="268">
        <f>IF(BQ231,_xll.qDateYears(BQ230,BQ231,BT$13),0)</f>
        <v>0</v>
      </c>
      <c r="BU231" s="268">
        <f t="shared" si="67"/>
        <v>1738.6030924697341</v>
      </c>
      <c r="CC231" s="526">
        <v>0</v>
      </c>
      <c r="CD231" s="151" t="str">
        <f t="shared" si="62"/>
        <v/>
      </c>
      <c r="CE231" s="386">
        <v>0</v>
      </c>
      <c r="CF231" s="268">
        <f>IF(CC231,_xll.qDateYears(CC230,CC231,CF$13),0)</f>
        <v>0</v>
      </c>
      <c r="CG231" s="268">
        <f t="shared" si="68"/>
        <v>2312.0085517586949</v>
      </c>
      <c r="CO231" s="526">
        <v>0</v>
      </c>
      <c r="CP231" s="151" t="str">
        <f t="shared" si="63"/>
        <v/>
      </c>
      <c r="CQ231" s="386">
        <v>0</v>
      </c>
      <c r="CR231" s="268">
        <f>IF(CO231,_xll.qDateYears(CO230,CO231,CR$13),0)</f>
        <v>0</v>
      </c>
      <c r="CS231" s="268">
        <f t="shared" si="69"/>
        <v>2185.174943791465</v>
      </c>
      <c r="DA231" s="526">
        <v>0</v>
      </c>
      <c r="DB231" s="151" t="str">
        <f t="shared" si="64"/>
        <v/>
      </c>
      <c r="DC231" s="386">
        <v>0</v>
      </c>
      <c r="DD231" s="268">
        <f>IF(DA231,_xll.qDateYears(DA230,DA231,DD$13),0)</f>
        <v>0</v>
      </c>
      <c r="DE231" s="268">
        <f t="shared" si="70"/>
        <v>1616.1787110556011</v>
      </c>
      <c r="DM231" s="526">
        <v>0</v>
      </c>
      <c r="DN231" s="151" t="str">
        <f t="shared" si="65"/>
        <v/>
      </c>
      <c r="DO231" s="386">
        <v>0</v>
      </c>
      <c r="DP231" s="268">
        <f>IF(DM231,_xll.qDateYears(DM230,DM231,DP$13),0)</f>
        <v>0</v>
      </c>
      <c r="DQ231" s="268">
        <f t="shared" si="71"/>
        <v>2183.1745733532407</v>
      </c>
    </row>
    <row r="232" spans="59:121">
      <c r="BG232" s="526">
        <v>0</v>
      </c>
      <c r="BH232" s="150" t="str">
        <f t="shared" si="60"/>
        <v/>
      </c>
      <c r="BI232" s="386">
        <v>0</v>
      </c>
      <c r="BJ232" s="268">
        <f>IF(BG232,_xll.qDateYears(BG231,BG232,$BJ$13),0)</f>
        <v>0</v>
      </c>
      <c r="BK232" s="268">
        <f t="shared" si="66"/>
        <v>2183.1745733532407</v>
      </c>
      <c r="BQ232" s="526">
        <v>0</v>
      </c>
      <c r="BR232" s="151" t="str">
        <f t="shared" si="61"/>
        <v/>
      </c>
      <c r="BS232" s="386">
        <v>0</v>
      </c>
      <c r="BT232" s="268">
        <f>IF(BQ232,_xll.qDateYears(BQ231,BQ232,BT$13),0)</f>
        <v>0</v>
      </c>
      <c r="BU232" s="268">
        <f t="shared" si="67"/>
        <v>1738.6030924697341</v>
      </c>
      <c r="CC232" s="526">
        <v>0</v>
      </c>
      <c r="CD232" s="151" t="str">
        <f t="shared" si="62"/>
        <v/>
      </c>
      <c r="CE232" s="386">
        <v>0</v>
      </c>
      <c r="CF232" s="268">
        <f>IF(CC232,_xll.qDateYears(CC231,CC232,CF$13),0)</f>
        <v>0</v>
      </c>
      <c r="CG232" s="268">
        <f t="shared" si="68"/>
        <v>2312.0085517586949</v>
      </c>
      <c r="CO232" s="526">
        <v>0</v>
      </c>
      <c r="CP232" s="151" t="str">
        <f t="shared" si="63"/>
        <v/>
      </c>
      <c r="CQ232" s="386">
        <v>0</v>
      </c>
      <c r="CR232" s="268">
        <f>IF(CO232,_xll.qDateYears(CO231,CO232,CR$13),0)</f>
        <v>0</v>
      </c>
      <c r="CS232" s="268">
        <f t="shared" si="69"/>
        <v>2185.174943791465</v>
      </c>
      <c r="DA232" s="526">
        <v>0</v>
      </c>
      <c r="DB232" s="151" t="str">
        <f t="shared" si="64"/>
        <v/>
      </c>
      <c r="DC232" s="386">
        <v>0</v>
      </c>
      <c r="DD232" s="268">
        <f>IF(DA232,_xll.qDateYears(DA231,DA232,DD$13),0)</f>
        <v>0</v>
      </c>
      <c r="DE232" s="268">
        <f t="shared" si="70"/>
        <v>1616.1787110556011</v>
      </c>
      <c r="DM232" s="526">
        <v>0</v>
      </c>
      <c r="DN232" s="151" t="str">
        <f t="shared" si="65"/>
        <v/>
      </c>
      <c r="DO232" s="386">
        <v>0</v>
      </c>
      <c r="DP232" s="268">
        <f>IF(DM232,_xll.qDateYears(DM231,DM232,DP$13),0)</f>
        <v>0</v>
      </c>
      <c r="DQ232" s="268">
        <f t="shared" si="71"/>
        <v>2183.1745733532407</v>
      </c>
    </row>
    <row r="233" spans="59:121">
      <c r="BG233" s="526">
        <v>0</v>
      </c>
      <c r="BH233" s="150" t="str">
        <f t="shared" si="60"/>
        <v/>
      </c>
      <c r="BI233" s="386">
        <v>0</v>
      </c>
      <c r="BJ233" s="268">
        <f>IF(BG233,_xll.qDateYears(BG232,BG233,$BJ$13),0)</f>
        <v>0</v>
      </c>
      <c r="BK233" s="268">
        <f t="shared" si="66"/>
        <v>2183.1745733532407</v>
      </c>
      <c r="BQ233" s="526">
        <v>0</v>
      </c>
      <c r="BR233" s="151" t="str">
        <f t="shared" si="61"/>
        <v/>
      </c>
      <c r="BS233" s="386">
        <v>0</v>
      </c>
      <c r="BT233" s="268">
        <f>IF(BQ233,_xll.qDateYears(BQ232,BQ233,BT$13),0)</f>
        <v>0</v>
      </c>
      <c r="BU233" s="268">
        <f t="shared" si="67"/>
        <v>1738.6030924697341</v>
      </c>
      <c r="CC233" s="526">
        <v>0</v>
      </c>
      <c r="CD233" s="151" t="str">
        <f t="shared" si="62"/>
        <v/>
      </c>
      <c r="CE233" s="386">
        <v>0</v>
      </c>
      <c r="CF233" s="268">
        <f>IF(CC233,_xll.qDateYears(CC232,CC233,CF$13),0)</f>
        <v>0</v>
      </c>
      <c r="CG233" s="268">
        <f t="shared" si="68"/>
        <v>2312.0085517586949</v>
      </c>
      <c r="CO233" s="526">
        <v>0</v>
      </c>
      <c r="CP233" s="151" t="str">
        <f t="shared" si="63"/>
        <v/>
      </c>
      <c r="CQ233" s="386">
        <v>0</v>
      </c>
      <c r="CR233" s="268">
        <f>IF(CO233,_xll.qDateYears(CO232,CO233,CR$13),0)</f>
        <v>0</v>
      </c>
      <c r="CS233" s="268">
        <f t="shared" si="69"/>
        <v>2185.174943791465</v>
      </c>
      <c r="DA233" s="526">
        <v>0</v>
      </c>
      <c r="DB233" s="151" t="str">
        <f t="shared" si="64"/>
        <v/>
      </c>
      <c r="DC233" s="386">
        <v>0</v>
      </c>
      <c r="DD233" s="268">
        <f>IF(DA233,_xll.qDateYears(DA232,DA233,DD$13),0)</f>
        <v>0</v>
      </c>
      <c r="DE233" s="268">
        <f t="shared" si="70"/>
        <v>1616.1787110556011</v>
      </c>
      <c r="DM233" s="526">
        <v>0</v>
      </c>
      <c r="DN233" s="151" t="str">
        <f t="shared" si="65"/>
        <v/>
      </c>
      <c r="DO233" s="386">
        <v>0</v>
      </c>
      <c r="DP233" s="268">
        <f>IF(DM233,_xll.qDateYears(DM232,DM233,DP$13),0)</f>
        <v>0</v>
      </c>
      <c r="DQ233" s="268">
        <f t="shared" si="71"/>
        <v>2183.1745733532407</v>
      </c>
    </row>
    <row r="234" spans="59:121">
      <c r="BG234" s="526">
        <v>0</v>
      </c>
      <c r="BH234" s="150" t="str">
        <f t="shared" si="60"/>
        <v/>
      </c>
      <c r="BI234" s="386">
        <v>0</v>
      </c>
      <c r="BJ234" s="268">
        <f>IF(BG234,_xll.qDateYears(BG233,BG234,$BJ$13),0)</f>
        <v>0</v>
      </c>
      <c r="BK234" s="268">
        <f t="shared" si="66"/>
        <v>2183.1745733532407</v>
      </c>
      <c r="BQ234" s="526">
        <v>0</v>
      </c>
      <c r="BR234" s="151" t="str">
        <f t="shared" si="61"/>
        <v/>
      </c>
      <c r="BS234" s="386">
        <v>0</v>
      </c>
      <c r="BT234" s="268">
        <f>IF(BQ234,_xll.qDateYears(BQ233,BQ234,BT$13),0)</f>
        <v>0</v>
      </c>
      <c r="BU234" s="268">
        <f t="shared" si="67"/>
        <v>1738.6030924697341</v>
      </c>
      <c r="CC234" s="526">
        <v>0</v>
      </c>
      <c r="CD234" s="151" t="str">
        <f t="shared" si="62"/>
        <v/>
      </c>
      <c r="CE234" s="386">
        <v>0</v>
      </c>
      <c r="CF234" s="268">
        <f>IF(CC234,_xll.qDateYears(CC233,CC234,CF$13),0)</f>
        <v>0</v>
      </c>
      <c r="CG234" s="268">
        <f t="shared" si="68"/>
        <v>2312.0085517586949</v>
      </c>
      <c r="CO234" s="526">
        <v>0</v>
      </c>
      <c r="CP234" s="151" t="str">
        <f t="shared" si="63"/>
        <v/>
      </c>
      <c r="CQ234" s="386">
        <v>0</v>
      </c>
      <c r="CR234" s="268">
        <f>IF(CO234,_xll.qDateYears(CO233,CO234,CR$13),0)</f>
        <v>0</v>
      </c>
      <c r="CS234" s="268">
        <f t="shared" si="69"/>
        <v>2185.174943791465</v>
      </c>
      <c r="DA234" s="526">
        <v>0</v>
      </c>
      <c r="DB234" s="151" t="str">
        <f t="shared" si="64"/>
        <v/>
      </c>
      <c r="DC234" s="386">
        <v>0</v>
      </c>
      <c r="DD234" s="268">
        <f>IF(DA234,_xll.qDateYears(DA233,DA234,DD$13),0)</f>
        <v>0</v>
      </c>
      <c r="DE234" s="268">
        <f t="shared" si="70"/>
        <v>1616.1787110556011</v>
      </c>
      <c r="DM234" s="526">
        <v>0</v>
      </c>
      <c r="DN234" s="151" t="str">
        <f t="shared" si="65"/>
        <v/>
      </c>
      <c r="DO234" s="386">
        <v>0</v>
      </c>
      <c r="DP234" s="268">
        <f>IF(DM234,_xll.qDateYears(DM233,DM234,DP$13),0)</f>
        <v>0</v>
      </c>
      <c r="DQ234" s="268">
        <f t="shared" si="71"/>
        <v>2183.1745733532407</v>
      </c>
    </row>
    <row r="235" spans="59:121">
      <c r="BG235" s="526">
        <v>0</v>
      </c>
      <c r="BH235" s="150" t="str">
        <f t="shared" si="60"/>
        <v/>
      </c>
      <c r="BI235" s="386">
        <v>0</v>
      </c>
      <c r="BJ235" s="268">
        <f>IF(BG235,_xll.qDateYears(BG234,BG235,$BJ$13),0)</f>
        <v>0</v>
      </c>
      <c r="BK235" s="268">
        <f t="shared" si="66"/>
        <v>2183.1745733532407</v>
      </c>
      <c r="BQ235" s="526">
        <v>0</v>
      </c>
      <c r="BR235" s="151" t="str">
        <f t="shared" si="61"/>
        <v/>
      </c>
      <c r="BS235" s="386">
        <v>0</v>
      </c>
      <c r="BT235" s="268">
        <f>IF(BQ235,_xll.qDateYears(BQ234,BQ235,BT$13),0)</f>
        <v>0</v>
      </c>
      <c r="BU235" s="268">
        <f t="shared" si="67"/>
        <v>1738.6030924697341</v>
      </c>
      <c r="CC235" s="526">
        <v>0</v>
      </c>
      <c r="CD235" s="151" t="str">
        <f t="shared" si="62"/>
        <v/>
      </c>
      <c r="CE235" s="386">
        <v>0</v>
      </c>
      <c r="CF235" s="268">
        <f>IF(CC235,_xll.qDateYears(CC234,CC235,CF$13),0)</f>
        <v>0</v>
      </c>
      <c r="CG235" s="268">
        <f t="shared" si="68"/>
        <v>2312.0085517586949</v>
      </c>
      <c r="CO235" s="526">
        <v>0</v>
      </c>
      <c r="CP235" s="151" t="str">
        <f t="shared" si="63"/>
        <v/>
      </c>
      <c r="CQ235" s="386">
        <v>0</v>
      </c>
      <c r="CR235" s="268">
        <f>IF(CO235,_xll.qDateYears(CO234,CO235,CR$13),0)</f>
        <v>0</v>
      </c>
      <c r="CS235" s="268">
        <f t="shared" si="69"/>
        <v>2185.174943791465</v>
      </c>
      <c r="DA235" s="526">
        <v>0</v>
      </c>
      <c r="DB235" s="151" t="str">
        <f t="shared" si="64"/>
        <v/>
      </c>
      <c r="DC235" s="386">
        <v>0</v>
      </c>
      <c r="DD235" s="268">
        <f>IF(DA235,_xll.qDateYears(DA234,DA235,DD$13),0)</f>
        <v>0</v>
      </c>
      <c r="DE235" s="268">
        <f t="shared" si="70"/>
        <v>1616.1787110556011</v>
      </c>
      <c r="DM235" s="526">
        <v>0</v>
      </c>
      <c r="DN235" s="151" t="str">
        <f t="shared" si="65"/>
        <v/>
      </c>
      <c r="DO235" s="386">
        <v>0</v>
      </c>
      <c r="DP235" s="268">
        <f>IF(DM235,_xll.qDateYears(DM234,DM235,DP$13),0)</f>
        <v>0</v>
      </c>
      <c r="DQ235" s="268">
        <f t="shared" si="71"/>
        <v>2183.1745733532407</v>
      </c>
    </row>
    <row r="236" spans="59:121">
      <c r="BG236" s="526">
        <v>0</v>
      </c>
      <c r="BH236" s="150" t="str">
        <f t="shared" si="60"/>
        <v/>
      </c>
      <c r="BI236" s="386">
        <v>0</v>
      </c>
      <c r="BJ236" s="268">
        <f>IF(BG236,_xll.qDateYears(BG235,BG236,$BJ$13),0)</f>
        <v>0</v>
      </c>
      <c r="BK236" s="268">
        <f t="shared" si="66"/>
        <v>2183.1745733532407</v>
      </c>
      <c r="BQ236" s="526">
        <v>0</v>
      </c>
      <c r="BR236" s="151" t="str">
        <f t="shared" si="61"/>
        <v/>
      </c>
      <c r="BS236" s="386">
        <v>0</v>
      </c>
      <c r="BT236" s="268">
        <f>IF(BQ236,_xll.qDateYears(BQ235,BQ236,BT$13),0)</f>
        <v>0</v>
      </c>
      <c r="BU236" s="268">
        <f t="shared" si="67"/>
        <v>1738.6030924697341</v>
      </c>
      <c r="CC236" s="526">
        <v>0</v>
      </c>
      <c r="CD236" s="151" t="str">
        <f t="shared" si="62"/>
        <v/>
      </c>
      <c r="CE236" s="386">
        <v>0</v>
      </c>
      <c r="CF236" s="268">
        <f>IF(CC236,_xll.qDateYears(CC235,CC236,CF$13),0)</f>
        <v>0</v>
      </c>
      <c r="CG236" s="268">
        <f t="shared" si="68"/>
        <v>2312.0085517586949</v>
      </c>
      <c r="CO236" s="526">
        <v>0</v>
      </c>
      <c r="CP236" s="151" t="str">
        <f t="shared" si="63"/>
        <v/>
      </c>
      <c r="CQ236" s="386">
        <v>0</v>
      </c>
      <c r="CR236" s="268">
        <f>IF(CO236,_xll.qDateYears(CO235,CO236,CR$13),0)</f>
        <v>0</v>
      </c>
      <c r="CS236" s="268">
        <f t="shared" si="69"/>
        <v>2185.174943791465</v>
      </c>
      <c r="DA236" s="526">
        <v>0</v>
      </c>
      <c r="DB236" s="151" t="str">
        <f t="shared" si="64"/>
        <v/>
      </c>
      <c r="DC236" s="386">
        <v>0</v>
      </c>
      <c r="DD236" s="268">
        <f>IF(DA236,_xll.qDateYears(DA235,DA236,DD$13),0)</f>
        <v>0</v>
      </c>
      <c r="DE236" s="268">
        <f t="shared" si="70"/>
        <v>1616.1787110556011</v>
      </c>
      <c r="DM236" s="526">
        <v>0</v>
      </c>
      <c r="DN236" s="151" t="str">
        <f t="shared" si="65"/>
        <v/>
      </c>
      <c r="DO236" s="386">
        <v>0</v>
      </c>
      <c r="DP236" s="268">
        <f>IF(DM236,_xll.qDateYears(DM235,DM236,DP$13),0)</f>
        <v>0</v>
      </c>
      <c r="DQ236" s="268">
        <f t="shared" si="71"/>
        <v>2183.1745733532407</v>
      </c>
    </row>
    <row r="237" spans="59:121">
      <c r="BG237" s="526">
        <v>0</v>
      </c>
      <c r="BH237" s="150" t="str">
        <f t="shared" si="60"/>
        <v/>
      </c>
      <c r="BI237" s="386">
        <v>0</v>
      </c>
      <c r="BJ237" s="268">
        <f>IF(BG237,_xll.qDateYears(BG236,BG237,$BJ$13),0)</f>
        <v>0</v>
      </c>
      <c r="BK237" s="268">
        <f t="shared" si="66"/>
        <v>2183.1745733532407</v>
      </c>
      <c r="BQ237" s="526">
        <v>0</v>
      </c>
      <c r="BR237" s="151" t="str">
        <f t="shared" si="61"/>
        <v/>
      </c>
      <c r="BS237" s="386">
        <v>0</v>
      </c>
      <c r="BT237" s="268">
        <f>IF(BQ237,_xll.qDateYears(BQ236,BQ237,BT$13),0)</f>
        <v>0</v>
      </c>
      <c r="BU237" s="268">
        <f t="shared" si="67"/>
        <v>1738.6030924697341</v>
      </c>
      <c r="CC237" s="526">
        <v>0</v>
      </c>
      <c r="CD237" s="151" t="str">
        <f t="shared" si="62"/>
        <v/>
      </c>
      <c r="CE237" s="386">
        <v>0</v>
      </c>
      <c r="CF237" s="268">
        <f>IF(CC237,_xll.qDateYears(CC236,CC237,CF$13),0)</f>
        <v>0</v>
      </c>
      <c r="CG237" s="268">
        <f t="shared" si="68"/>
        <v>2312.0085517586949</v>
      </c>
      <c r="CO237" s="526">
        <v>0</v>
      </c>
      <c r="CP237" s="151" t="str">
        <f t="shared" si="63"/>
        <v/>
      </c>
      <c r="CQ237" s="386">
        <v>0</v>
      </c>
      <c r="CR237" s="268">
        <f>IF(CO237,_xll.qDateYears(CO236,CO237,CR$13),0)</f>
        <v>0</v>
      </c>
      <c r="CS237" s="268">
        <f t="shared" si="69"/>
        <v>2185.174943791465</v>
      </c>
      <c r="DA237" s="526">
        <v>0</v>
      </c>
      <c r="DB237" s="151" t="str">
        <f t="shared" si="64"/>
        <v/>
      </c>
      <c r="DC237" s="386">
        <v>0</v>
      </c>
      <c r="DD237" s="268">
        <f>IF(DA237,_xll.qDateYears(DA236,DA237,DD$13),0)</f>
        <v>0</v>
      </c>
      <c r="DE237" s="268">
        <f t="shared" si="70"/>
        <v>1616.1787110556011</v>
      </c>
      <c r="DM237" s="526">
        <v>0</v>
      </c>
      <c r="DN237" s="151" t="str">
        <f t="shared" si="65"/>
        <v/>
      </c>
      <c r="DO237" s="386">
        <v>0</v>
      </c>
      <c r="DP237" s="268">
        <f>IF(DM237,_xll.qDateYears(DM236,DM237,DP$13),0)</f>
        <v>0</v>
      </c>
      <c r="DQ237" s="268">
        <f t="shared" si="71"/>
        <v>2183.1745733532407</v>
      </c>
    </row>
    <row r="238" spans="59:121">
      <c r="BG238" s="526">
        <v>0</v>
      </c>
      <c r="BH238" s="150" t="str">
        <f t="shared" si="60"/>
        <v/>
      </c>
      <c r="BI238" s="386">
        <v>0</v>
      </c>
      <c r="BJ238" s="268">
        <f>IF(BG238,_xll.qDateYears(BG237,BG238,$BJ$13),0)</f>
        <v>0</v>
      </c>
      <c r="BK238" s="268">
        <f t="shared" si="66"/>
        <v>2183.1745733532407</v>
      </c>
      <c r="BQ238" s="526">
        <v>0</v>
      </c>
      <c r="BR238" s="151" t="str">
        <f t="shared" si="61"/>
        <v/>
      </c>
      <c r="BS238" s="386">
        <v>0</v>
      </c>
      <c r="BT238" s="268">
        <f>IF(BQ238,_xll.qDateYears(BQ237,BQ238,BT$13),0)</f>
        <v>0</v>
      </c>
      <c r="BU238" s="268">
        <f t="shared" si="67"/>
        <v>1738.6030924697341</v>
      </c>
      <c r="CC238" s="526">
        <v>0</v>
      </c>
      <c r="CD238" s="151" t="str">
        <f t="shared" si="62"/>
        <v/>
      </c>
      <c r="CE238" s="386">
        <v>0</v>
      </c>
      <c r="CF238" s="268">
        <f>IF(CC238,_xll.qDateYears(CC237,CC238,CF$13),0)</f>
        <v>0</v>
      </c>
      <c r="CG238" s="268">
        <f t="shared" si="68"/>
        <v>2312.0085517586949</v>
      </c>
      <c r="CO238" s="526">
        <v>0</v>
      </c>
      <c r="CP238" s="151" t="str">
        <f t="shared" si="63"/>
        <v/>
      </c>
      <c r="CQ238" s="386">
        <v>0</v>
      </c>
      <c r="CR238" s="268">
        <f>IF(CO238,_xll.qDateYears(CO237,CO238,CR$13),0)</f>
        <v>0</v>
      </c>
      <c r="CS238" s="268">
        <f t="shared" si="69"/>
        <v>2185.174943791465</v>
      </c>
      <c r="DA238" s="526">
        <v>0</v>
      </c>
      <c r="DB238" s="151" t="str">
        <f t="shared" si="64"/>
        <v/>
      </c>
      <c r="DC238" s="386">
        <v>0</v>
      </c>
      <c r="DD238" s="268">
        <f>IF(DA238,_xll.qDateYears(DA237,DA238,DD$13),0)</f>
        <v>0</v>
      </c>
      <c r="DE238" s="268">
        <f t="shared" si="70"/>
        <v>1616.1787110556011</v>
      </c>
      <c r="DM238" s="526">
        <v>0</v>
      </c>
      <c r="DN238" s="151" t="str">
        <f t="shared" si="65"/>
        <v/>
      </c>
      <c r="DO238" s="386">
        <v>0</v>
      </c>
      <c r="DP238" s="268">
        <f>IF(DM238,_xll.qDateYears(DM237,DM238,DP$13),0)</f>
        <v>0</v>
      </c>
      <c r="DQ238" s="268">
        <f t="shared" si="71"/>
        <v>2183.1745733532407</v>
      </c>
    </row>
    <row r="239" spans="59:121">
      <c r="BG239" s="526">
        <v>0</v>
      </c>
      <c r="BH239" s="150" t="str">
        <f t="shared" si="60"/>
        <v/>
      </c>
      <c r="BI239" s="386">
        <v>0</v>
      </c>
      <c r="BJ239" s="268">
        <f>IF(BG239,_xll.qDateYears(BG238,BG239,$BJ$13),0)</f>
        <v>0</v>
      </c>
      <c r="BK239" s="268">
        <f t="shared" si="66"/>
        <v>2183.1745733532407</v>
      </c>
      <c r="BQ239" s="526">
        <v>0</v>
      </c>
      <c r="BR239" s="151" t="str">
        <f t="shared" si="61"/>
        <v/>
      </c>
      <c r="BS239" s="386">
        <v>0</v>
      </c>
      <c r="BT239" s="268">
        <f>IF(BQ239,_xll.qDateYears(BQ238,BQ239,BT$13),0)</f>
        <v>0</v>
      </c>
      <c r="BU239" s="268">
        <f t="shared" si="67"/>
        <v>1738.6030924697341</v>
      </c>
      <c r="CC239" s="526">
        <v>0</v>
      </c>
      <c r="CD239" s="151" t="str">
        <f t="shared" si="62"/>
        <v/>
      </c>
      <c r="CE239" s="386">
        <v>0</v>
      </c>
      <c r="CF239" s="268">
        <f>IF(CC239,_xll.qDateYears(CC238,CC239,CF$13),0)</f>
        <v>0</v>
      </c>
      <c r="CG239" s="268">
        <f t="shared" si="68"/>
        <v>2312.0085517586949</v>
      </c>
      <c r="CO239" s="526">
        <v>0</v>
      </c>
      <c r="CP239" s="151" t="str">
        <f t="shared" si="63"/>
        <v/>
      </c>
      <c r="CQ239" s="386">
        <v>0</v>
      </c>
      <c r="CR239" s="268">
        <f>IF(CO239,_xll.qDateYears(CO238,CO239,CR$13),0)</f>
        <v>0</v>
      </c>
      <c r="CS239" s="268">
        <f t="shared" si="69"/>
        <v>2185.174943791465</v>
      </c>
      <c r="DA239" s="526">
        <v>0</v>
      </c>
      <c r="DB239" s="151" t="str">
        <f t="shared" si="64"/>
        <v/>
      </c>
      <c r="DC239" s="386">
        <v>0</v>
      </c>
      <c r="DD239" s="268">
        <f>IF(DA239,_xll.qDateYears(DA238,DA239,DD$13),0)</f>
        <v>0</v>
      </c>
      <c r="DE239" s="268">
        <f t="shared" si="70"/>
        <v>1616.1787110556011</v>
      </c>
      <c r="DM239" s="526">
        <v>0</v>
      </c>
      <c r="DN239" s="151" t="str">
        <f t="shared" si="65"/>
        <v/>
      </c>
      <c r="DO239" s="386">
        <v>0</v>
      </c>
      <c r="DP239" s="268">
        <f>IF(DM239,_xll.qDateYears(DM238,DM239,DP$13),0)</f>
        <v>0</v>
      </c>
      <c r="DQ239" s="268">
        <f t="shared" si="71"/>
        <v>2183.1745733532407</v>
      </c>
    </row>
    <row r="240" spans="59:121">
      <c r="BG240" s="526">
        <v>0</v>
      </c>
      <c r="BH240" s="150" t="str">
        <f t="shared" si="60"/>
        <v/>
      </c>
      <c r="BI240" s="386">
        <v>0</v>
      </c>
      <c r="BJ240" s="268">
        <f>IF(BG240,_xll.qDateYears(BG239,BG240,$BJ$13),0)</f>
        <v>0</v>
      </c>
      <c r="BK240" s="268">
        <f t="shared" si="66"/>
        <v>2183.1745733532407</v>
      </c>
      <c r="BQ240" s="526">
        <v>0</v>
      </c>
      <c r="BR240" s="151" t="str">
        <f t="shared" si="61"/>
        <v/>
      </c>
      <c r="BS240" s="386">
        <v>0</v>
      </c>
      <c r="BT240" s="268">
        <f>IF(BQ240,_xll.qDateYears(BQ239,BQ240,BT$13),0)</f>
        <v>0</v>
      </c>
      <c r="BU240" s="268">
        <f t="shared" si="67"/>
        <v>1738.6030924697341</v>
      </c>
      <c r="CC240" s="526">
        <v>0</v>
      </c>
      <c r="CD240" s="151" t="str">
        <f t="shared" si="62"/>
        <v/>
      </c>
      <c r="CE240" s="386">
        <v>0</v>
      </c>
      <c r="CF240" s="268">
        <f>IF(CC240,_xll.qDateYears(CC239,CC240,CF$13),0)</f>
        <v>0</v>
      </c>
      <c r="CG240" s="268">
        <f t="shared" si="68"/>
        <v>2312.0085517586949</v>
      </c>
      <c r="CO240" s="526">
        <v>0</v>
      </c>
      <c r="CP240" s="151" t="str">
        <f t="shared" si="63"/>
        <v/>
      </c>
      <c r="CQ240" s="386">
        <v>0</v>
      </c>
      <c r="CR240" s="268">
        <f>IF(CO240,_xll.qDateYears(CO239,CO240,CR$13),0)</f>
        <v>0</v>
      </c>
      <c r="CS240" s="268">
        <f t="shared" si="69"/>
        <v>2185.174943791465</v>
      </c>
      <c r="DA240" s="526">
        <v>0</v>
      </c>
      <c r="DB240" s="151" t="str">
        <f t="shared" si="64"/>
        <v/>
      </c>
      <c r="DC240" s="386">
        <v>0</v>
      </c>
      <c r="DD240" s="268">
        <f>IF(DA240,_xll.qDateYears(DA239,DA240,DD$13),0)</f>
        <v>0</v>
      </c>
      <c r="DE240" s="268">
        <f t="shared" si="70"/>
        <v>1616.1787110556011</v>
      </c>
      <c r="DM240" s="526">
        <v>0</v>
      </c>
      <c r="DN240" s="151" t="str">
        <f t="shared" si="65"/>
        <v/>
      </c>
      <c r="DO240" s="386">
        <v>0</v>
      </c>
      <c r="DP240" s="268">
        <f>IF(DM240,_xll.qDateYears(DM239,DM240,DP$13),0)</f>
        <v>0</v>
      </c>
      <c r="DQ240" s="268">
        <f t="shared" si="71"/>
        <v>2183.1745733532407</v>
      </c>
    </row>
    <row r="241" spans="59:121">
      <c r="BG241" s="526">
        <v>0</v>
      </c>
      <c r="BH241" s="150" t="str">
        <f t="shared" si="60"/>
        <v/>
      </c>
      <c r="BI241" s="386">
        <v>0</v>
      </c>
      <c r="BJ241" s="268">
        <f>IF(BG241,_xll.qDateYears(BG240,BG241,$BJ$13),0)</f>
        <v>0</v>
      </c>
      <c r="BK241" s="268">
        <f t="shared" si="66"/>
        <v>2183.1745733532407</v>
      </c>
      <c r="BQ241" s="526">
        <v>0</v>
      </c>
      <c r="BR241" s="151" t="str">
        <f t="shared" si="61"/>
        <v/>
      </c>
      <c r="BS241" s="386">
        <v>0</v>
      </c>
      <c r="BT241" s="268">
        <f>IF(BQ241,_xll.qDateYears(BQ240,BQ241,BT$13),0)</f>
        <v>0</v>
      </c>
      <c r="BU241" s="268">
        <f t="shared" si="67"/>
        <v>1738.6030924697341</v>
      </c>
      <c r="CC241" s="526">
        <v>0</v>
      </c>
      <c r="CD241" s="151" t="str">
        <f t="shared" si="62"/>
        <v/>
      </c>
      <c r="CE241" s="386">
        <v>0</v>
      </c>
      <c r="CF241" s="268">
        <f>IF(CC241,_xll.qDateYears(CC240,CC241,CF$13),0)</f>
        <v>0</v>
      </c>
      <c r="CG241" s="268">
        <f t="shared" si="68"/>
        <v>2312.0085517586949</v>
      </c>
      <c r="CO241" s="526">
        <v>0</v>
      </c>
      <c r="CP241" s="151" t="str">
        <f t="shared" si="63"/>
        <v/>
      </c>
      <c r="CQ241" s="386">
        <v>0</v>
      </c>
      <c r="CR241" s="268">
        <f>IF(CO241,_xll.qDateYears(CO240,CO241,CR$13),0)</f>
        <v>0</v>
      </c>
      <c r="CS241" s="268">
        <f t="shared" si="69"/>
        <v>2185.174943791465</v>
      </c>
      <c r="DA241" s="526">
        <v>0</v>
      </c>
      <c r="DB241" s="151" t="str">
        <f t="shared" si="64"/>
        <v/>
      </c>
      <c r="DC241" s="386">
        <v>0</v>
      </c>
      <c r="DD241" s="268">
        <f>IF(DA241,_xll.qDateYears(DA240,DA241,DD$13),0)</f>
        <v>0</v>
      </c>
      <c r="DE241" s="268">
        <f t="shared" si="70"/>
        <v>1616.1787110556011</v>
      </c>
      <c r="DM241" s="526">
        <v>0</v>
      </c>
      <c r="DN241" s="151" t="str">
        <f t="shared" si="65"/>
        <v/>
      </c>
      <c r="DO241" s="386">
        <v>0</v>
      </c>
      <c r="DP241" s="268">
        <f>IF(DM241,_xll.qDateYears(DM240,DM241,DP$13),0)</f>
        <v>0</v>
      </c>
      <c r="DQ241" s="268">
        <f t="shared" si="71"/>
        <v>2183.1745733532407</v>
      </c>
    </row>
    <row r="242" spans="59:121">
      <c r="BG242" s="526">
        <v>0</v>
      </c>
      <c r="BH242" s="150" t="str">
        <f t="shared" si="60"/>
        <v/>
      </c>
      <c r="BI242" s="386">
        <v>0</v>
      </c>
      <c r="BJ242" s="268">
        <f>IF(BG242,_xll.qDateYears(BG241,BG242,$BJ$13),0)</f>
        <v>0</v>
      </c>
      <c r="BK242" s="268">
        <f t="shared" si="66"/>
        <v>2183.1745733532407</v>
      </c>
      <c r="BQ242" s="526">
        <v>0</v>
      </c>
      <c r="BR242" s="151" t="str">
        <f t="shared" si="61"/>
        <v/>
      </c>
      <c r="BS242" s="386">
        <v>0</v>
      </c>
      <c r="BT242" s="268">
        <f>IF(BQ242,_xll.qDateYears(BQ241,BQ242,BT$13),0)</f>
        <v>0</v>
      </c>
      <c r="BU242" s="268">
        <f t="shared" si="67"/>
        <v>1738.6030924697341</v>
      </c>
      <c r="CC242" s="526">
        <v>0</v>
      </c>
      <c r="CD242" s="151" t="str">
        <f t="shared" si="62"/>
        <v/>
      </c>
      <c r="CE242" s="386">
        <v>0</v>
      </c>
      <c r="CF242" s="268">
        <f>IF(CC242,_xll.qDateYears(CC241,CC242,CF$13),0)</f>
        <v>0</v>
      </c>
      <c r="CG242" s="268">
        <f t="shared" si="68"/>
        <v>2312.0085517586949</v>
      </c>
      <c r="CO242" s="526">
        <v>0</v>
      </c>
      <c r="CP242" s="151" t="str">
        <f t="shared" si="63"/>
        <v/>
      </c>
      <c r="CQ242" s="386">
        <v>0</v>
      </c>
      <c r="CR242" s="268">
        <f>IF(CO242,_xll.qDateYears(CO241,CO242,CR$13),0)</f>
        <v>0</v>
      </c>
      <c r="CS242" s="268">
        <f t="shared" si="69"/>
        <v>2185.174943791465</v>
      </c>
      <c r="DA242" s="526">
        <v>0</v>
      </c>
      <c r="DB242" s="151" t="str">
        <f t="shared" si="64"/>
        <v/>
      </c>
      <c r="DC242" s="386">
        <v>0</v>
      </c>
      <c r="DD242" s="268">
        <f>IF(DA242,_xll.qDateYears(DA241,DA242,DD$13),0)</f>
        <v>0</v>
      </c>
      <c r="DE242" s="268">
        <f t="shared" si="70"/>
        <v>1616.1787110556011</v>
      </c>
      <c r="DM242" s="526">
        <v>0</v>
      </c>
      <c r="DN242" s="151" t="str">
        <f t="shared" si="65"/>
        <v/>
      </c>
      <c r="DO242" s="386">
        <v>0</v>
      </c>
      <c r="DP242" s="268">
        <f>IF(DM242,_xll.qDateYears(DM241,DM242,DP$13),0)</f>
        <v>0</v>
      </c>
      <c r="DQ242" s="268">
        <f t="shared" si="71"/>
        <v>2183.1745733532407</v>
      </c>
    </row>
    <row r="243" spans="59:121">
      <c r="BG243" s="526">
        <v>0</v>
      </c>
      <c r="BH243" s="150" t="str">
        <f t="shared" si="60"/>
        <v/>
      </c>
      <c r="BI243" s="386">
        <v>0</v>
      </c>
      <c r="BJ243" s="268">
        <f>IF(BG243,_xll.qDateYears(BG242,BG243,$BJ$13),0)</f>
        <v>0</v>
      </c>
      <c r="BK243" s="268">
        <f t="shared" si="66"/>
        <v>2183.1745733532407</v>
      </c>
      <c r="BQ243" s="526">
        <v>0</v>
      </c>
      <c r="BR243" s="151" t="str">
        <f t="shared" si="61"/>
        <v/>
      </c>
      <c r="BS243" s="386">
        <v>0</v>
      </c>
      <c r="BT243" s="268">
        <f>IF(BQ243,_xll.qDateYears(BQ242,BQ243,BT$13),0)</f>
        <v>0</v>
      </c>
      <c r="BU243" s="268">
        <f t="shared" si="67"/>
        <v>1738.6030924697341</v>
      </c>
      <c r="CC243" s="526">
        <v>0</v>
      </c>
      <c r="CD243" s="151" t="str">
        <f t="shared" si="62"/>
        <v/>
      </c>
      <c r="CE243" s="386">
        <v>0</v>
      </c>
      <c r="CF243" s="268">
        <f>IF(CC243,_xll.qDateYears(CC242,CC243,CF$13),0)</f>
        <v>0</v>
      </c>
      <c r="CG243" s="268">
        <f t="shared" si="68"/>
        <v>2312.0085517586949</v>
      </c>
      <c r="CO243" s="526">
        <v>0</v>
      </c>
      <c r="CP243" s="151" t="str">
        <f t="shared" si="63"/>
        <v/>
      </c>
      <c r="CQ243" s="386">
        <v>0</v>
      </c>
      <c r="CR243" s="268">
        <f>IF(CO243,_xll.qDateYears(CO242,CO243,CR$13),0)</f>
        <v>0</v>
      </c>
      <c r="CS243" s="268">
        <f t="shared" si="69"/>
        <v>2185.174943791465</v>
      </c>
      <c r="DA243" s="526">
        <v>0</v>
      </c>
      <c r="DB243" s="151" t="str">
        <f t="shared" si="64"/>
        <v/>
      </c>
      <c r="DC243" s="386">
        <v>0</v>
      </c>
      <c r="DD243" s="268">
        <f>IF(DA243,_xll.qDateYears(DA242,DA243,DD$13),0)</f>
        <v>0</v>
      </c>
      <c r="DE243" s="268">
        <f t="shared" si="70"/>
        <v>1616.1787110556011</v>
      </c>
      <c r="DM243" s="526">
        <v>0</v>
      </c>
      <c r="DN243" s="151" t="str">
        <f t="shared" si="65"/>
        <v/>
      </c>
      <c r="DO243" s="386">
        <v>0</v>
      </c>
      <c r="DP243" s="268">
        <f>IF(DM243,_xll.qDateYears(DM242,DM243,DP$13),0)</f>
        <v>0</v>
      </c>
      <c r="DQ243" s="268">
        <f t="shared" si="71"/>
        <v>2183.1745733532407</v>
      </c>
    </row>
    <row r="244" spans="59:121">
      <c r="BG244" s="526">
        <v>0</v>
      </c>
      <c r="BH244" s="150" t="str">
        <f t="shared" si="60"/>
        <v/>
      </c>
      <c r="BI244" s="386">
        <v>0</v>
      </c>
      <c r="BJ244" s="268">
        <f>IF(BG244,_xll.qDateYears(BG243,BG244,$BJ$13),0)</f>
        <v>0</v>
      </c>
      <c r="BK244" s="268">
        <f t="shared" si="66"/>
        <v>2183.1745733532407</v>
      </c>
      <c r="BQ244" s="526">
        <v>0</v>
      </c>
      <c r="BR244" s="151" t="str">
        <f t="shared" si="61"/>
        <v/>
      </c>
      <c r="BS244" s="386">
        <v>0</v>
      </c>
      <c r="BT244" s="268">
        <f>IF(BQ244,_xll.qDateYears(BQ243,BQ244,BT$13),0)</f>
        <v>0</v>
      </c>
      <c r="BU244" s="268">
        <f t="shared" si="67"/>
        <v>1738.6030924697341</v>
      </c>
      <c r="CC244" s="526">
        <v>0</v>
      </c>
      <c r="CD244" s="151" t="str">
        <f t="shared" si="62"/>
        <v/>
      </c>
      <c r="CE244" s="386">
        <v>0</v>
      </c>
      <c r="CF244" s="268">
        <f>IF(CC244,_xll.qDateYears(CC243,CC244,CF$13),0)</f>
        <v>0</v>
      </c>
      <c r="CG244" s="268">
        <f t="shared" si="68"/>
        <v>2312.0085517586949</v>
      </c>
      <c r="CO244" s="526">
        <v>0</v>
      </c>
      <c r="CP244" s="151" t="str">
        <f t="shared" si="63"/>
        <v/>
      </c>
      <c r="CQ244" s="386">
        <v>0</v>
      </c>
      <c r="CR244" s="268">
        <f>IF(CO244,_xll.qDateYears(CO243,CO244,CR$13),0)</f>
        <v>0</v>
      </c>
      <c r="CS244" s="268">
        <f t="shared" si="69"/>
        <v>2185.174943791465</v>
      </c>
      <c r="DA244" s="526">
        <v>0</v>
      </c>
      <c r="DB244" s="151" t="str">
        <f t="shared" si="64"/>
        <v/>
      </c>
      <c r="DC244" s="386">
        <v>0</v>
      </c>
      <c r="DD244" s="268">
        <f>IF(DA244,_xll.qDateYears(DA243,DA244,DD$13),0)</f>
        <v>0</v>
      </c>
      <c r="DE244" s="268">
        <f t="shared" si="70"/>
        <v>1616.1787110556011</v>
      </c>
      <c r="DM244" s="526">
        <v>0</v>
      </c>
      <c r="DN244" s="151" t="str">
        <f t="shared" si="65"/>
        <v/>
      </c>
      <c r="DO244" s="386">
        <v>0</v>
      </c>
      <c r="DP244" s="268">
        <f>IF(DM244,_xll.qDateYears(DM243,DM244,DP$13),0)</f>
        <v>0</v>
      </c>
      <c r="DQ244" s="268">
        <f t="shared" si="71"/>
        <v>2183.1745733532407</v>
      </c>
    </row>
    <row r="245" spans="59:121">
      <c r="BG245" s="526">
        <v>0</v>
      </c>
      <c r="BH245" s="150" t="str">
        <f t="shared" si="60"/>
        <v/>
      </c>
      <c r="BI245" s="386">
        <v>0</v>
      </c>
      <c r="BJ245" s="268">
        <f>IF(BG245,_xll.qDateYears(BG244,BG245,$BJ$13),0)</f>
        <v>0</v>
      </c>
      <c r="BK245" s="268">
        <f t="shared" si="66"/>
        <v>2183.1745733532407</v>
      </c>
      <c r="BQ245" s="526">
        <v>0</v>
      </c>
      <c r="BR245" s="151" t="str">
        <f t="shared" si="61"/>
        <v/>
      </c>
      <c r="BS245" s="386">
        <v>0</v>
      </c>
      <c r="BT245" s="268">
        <f>IF(BQ245,_xll.qDateYears(BQ244,BQ245,BT$13),0)</f>
        <v>0</v>
      </c>
      <c r="BU245" s="268">
        <f t="shared" si="67"/>
        <v>1738.6030924697341</v>
      </c>
      <c r="CC245" s="526">
        <v>0</v>
      </c>
      <c r="CD245" s="151" t="str">
        <f t="shared" si="62"/>
        <v/>
      </c>
      <c r="CE245" s="386">
        <v>0</v>
      </c>
      <c r="CF245" s="268">
        <f>IF(CC245,_xll.qDateYears(CC244,CC245,CF$13),0)</f>
        <v>0</v>
      </c>
      <c r="CG245" s="268">
        <f t="shared" si="68"/>
        <v>2312.0085517586949</v>
      </c>
      <c r="CO245" s="526">
        <v>0</v>
      </c>
      <c r="CP245" s="151" t="str">
        <f t="shared" si="63"/>
        <v/>
      </c>
      <c r="CQ245" s="386">
        <v>0</v>
      </c>
      <c r="CR245" s="268">
        <f>IF(CO245,_xll.qDateYears(CO244,CO245,CR$13),0)</f>
        <v>0</v>
      </c>
      <c r="CS245" s="268">
        <f t="shared" si="69"/>
        <v>2185.174943791465</v>
      </c>
      <c r="DA245" s="526">
        <v>0</v>
      </c>
      <c r="DB245" s="151" t="str">
        <f t="shared" si="64"/>
        <v/>
      </c>
      <c r="DC245" s="386">
        <v>0</v>
      </c>
      <c r="DD245" s="268">
        <f>IF(DA245,_xll.qDateYears(DA244,DA245,DD$13),0)</f>
        <v>0</v>
      </c>
      <c r="DE245" s="268">
        <f t="shared" si="70"/>
        <v>1616.1787110556011</v>
      </c>
      <c r="DM245" s="526">
        <v>0</v>
      </c>
      <c r="DN245" s="151" t="str">
        <f t="shared" si="65"/>
        <v/>
      </c>
      <c r="DO245" s="386">
        <v>0</v>
      </c>
      <c r="DP245" s="268">
        <f>IF(DM245,_xll.qDateYears(DM244,DM245,DP$13),0)</f>
        <v>0</v>
      </c>
      <c r="DQ245" s="268">
        <f t="shared" si="71"/>
        <v>2183.1745733532407</v>
      </c>
    </row>
    <row r="246" spans="59:121">
      <c r="BG246" s="526">
        <v>0</v>
      </c>
      <c r="BH246" s="150" t="str">
        <f t="shared" si="60"/>
        <v/>
      </c>
      <c r="BI246" s="386">
        <v>0</v>
      </c>
      <c r="BJ246" s="268">
        <f>IF(BG246,_xll.qDateYears(BG245,BG246,$BJ$13),0)</f>
        <v>0</v>
      </c>
      <c r="BK246" s="268">
        <f t="shared" si="66"/>
        <v>2183.1745733532407</v>
      </c>
      <c r="BQ246" s="526">
        <v>0</v>
      </c>
      <c r="BR246" s="151" t="str">
        <f t="shared" si="61"/>
        <v/>
      </c>
      <c r="BS246" s="386">
        <v>0</v>
      </c>
      <c r="BT246" s="268">
        <f>IF(BQ246,_xll.qDateYears(BQ245,BQ246,BT$13),0)</f>
        <v>0</v>
      </c>
      <c r="BU246" s="268">
        <f t="shared" si="67"/>
        <v>1738.6030924697341</v>
      </c>
      <c r="CC246" s="526">
        <v>0</v>
      </c>
      <c r="CD246" s="151" t="str">
        <f t="shared" si="62"/>
        <v/>
      </c>
      <c r="CE246" s="386">
        <v>0</v>
      </c>
      <c r="CF246" s="268">
        <f>IF(CC246,_xll.qDateYears(CC245,CC246,CF$13),0)</f>
        <v>0</v>
      </c>
      <c r="CG246" s="268">
        <f t="shared" si="68"/>
        <v>2312.0085517586949</v>
      </c>
      <c r="CO246" s="526">
        <v>0</v>
      </c>
      <c r="CP246" s="151" t="str">
        <f t="shared" si="63"/>
        <v/>
      </c>
      <c r="CQ246" s="386">
        <v>0</v>
      </c>
      <c r="CR246" s="268">
        <f>IF(CO246,_xll.qDateYears(CO245,CO246,CR$13),0)</f>
        <v>0</v>
      </c>
      <c r="CS246" s="268">
        <f t="shared" si="69"/>
        <v>2185.174943791465</v>
      </c>
      <c r="DA246" s="526">
        <v>0</v>
      </c>
      <c r="DB246" s="151" t="str">
        <f t="shared" si="64"/>
        <v/>
      </c>
      <c r="DC246" s="386">
        <v>0</v>
      </c>
      <c r="DD246" s="268">
        <f>IF(DA246,_xll.qDateYears(DA245,DA246,DD$13),0)</f>
        <v>0</v>
      </c>
      <c r="DE246" s="268">
        <f t="shared" si="70"/>
        <v>1616.1787110556011</v>
      </c>
      <c r="DM246" s="526">
        <v>0</v>
      </c>
      <c r="DN246" s="151" t="str">
        <f t="shared" si="65"/>
        <v/>
      </c>
      <c r="DO246" s="386">
        <v>0</v>
      </c>
      <c r="DP246" s="268">
        <f>IF(DM246,_xll.qDateYears(DM245,DM246,DP$13),0)</f>
        <v>0</v>
      </c>
      <c r="DQ246" s="268">
        <f t="shared" si="71"/>
        <v>2183.1745733532407</v>
      </c>
    </row>
    <row r="247" spans="59:121">
      <c r="BG247" s="526">
        <v>0</v>
      </c>
      <c r="BH247" s="150" t="str">
        <f t="shared" si="60"/>
        <v/>
      </c>
      <c r="BI247" s="386">
        <v>0</v>
      </c>
      <c r="BJ247" s="268">
        <f>IF(BG247,_xll.qDateYears(BG246,BG247,$BJ$13),0)</f>
        <v>0</v>
      </c>
      <c r="BK247" s="268">
        <f t="shared" si="66"/>
        <v>2183.1745733532407</v>
      </c>
      <c r="BQ247" s="526">
        <v>0</v>
      </c>
      <c r="BR247" s="151" t="str">
        <f t="shared" si="61"/>
        <v/>
      </c>
      <c r="BS247" s="386">
        <v>0</v>
      </c>
      <c r="BT247" s="268">
        <f>IF(BQ247,_xll.qDateYears(BQ246,BQ247,BT$13),0)</f>
        <v>0</v>
      </c>
      <c r="BU247" s="268">
        <f t="shared" si="67"/>
        <v>1738.6030924697341</v>
      </c>
      <c r="CC247" s="526">
        <v>0</v>
      </c>
      <c r="CD247" s="151" t="str">
        <f t="shared" si="62"/>
        <v/>
      </c>
      <c r="CE247" s="386">
        <v>0</v>
      </c>
      <c r="CF247" s="268">
        <f>IF(CC247,_xll.qDateYears(CC246,CC247,CF$13),0)</f>
        <v>0</v>
      </c>
      <c r="CG247" s="268">
        <f t="shared" si="68"/>
        <v>2312.0085517586949</v>
      </c>
      <c r="CO247" s="526">
        <v>0</v>
      </c>
      <c r="CP247" s="151" t="str">
        <f t="shared" si="63"/>
        <v/>
      </c>
      <c r="CQ247" s="386">
        <v>0</v>
      </c>
      <c r="CR247" s="268">
        <f>IF(CO247,_xll.qDateYears(CO246,CO247,CR$13),0)</f>
        <v>0</v>
      </c>
      <c r="CS247" s="268">
        <f t="shared" si="69"/>
        <v>2185.174943791465</v>
      </c>
      <c r="DA247" s="526">
        <v>0</v>
      </c>
      <c r="DB247" s="151" t="str">
        <f t="shared" si="64"/>
        <v/>
      </c>
      <c r="DC247" s="386">
        <v>0</v>
      </c>
      <c r="DD247" s="268">
        <f>IF(DA247,_xll.qDateYears(DA246,DA247,DD$13),0)</f>
        <v>0</v>
      </c>
      <c r="DE247" s="268">
        <f t="shared" si="70"/>
        <v>1616.1787110556011</v>
      </c>
      <c r="DM247" s="526">
        <v>0</v>
      </c>
      <c r="DN247" s="151" t="str">
        <f t="shared" si="65"/>
        <v/>
      </c>
      <c r="DO247" s="386">
        <v>0</v>
      </c>
      <c r="DP247" s="268">
        <f>IF(DM247,_xll.qDateYears(DM246,DM247,DP$13),0)</f>
        <v>0</v>
      </c>
      <c r="DQ247" s="268">
        <f t="shared" si="71"/>
        <v>2183.1745733532407</v>
      </c>
    </row>
    <row r="248" spans="59:121">
      <c r="BG248" s="526">
        <v>0</v>
      </c>
      <c r="BH248" s="150" t="str">
        <f t="shared" si="60"/>
        <v/>
      </c>
      <c r="BI248" s="386">
        <v>0</v>
      </c>
      <c r="BJ248" s="268">
        <f>IF(BG248,_xll.qDateYears(BG247,BG248,$BJ$13),0)</f>
        <v>0</v>
      </c>
      <c r="BK248" s="268">
        <f t="shared" si="66"/>
        <v>2183.1745733532407</v>
      </c>
      <c r="BQ248" s="526">
        <v>0</v>
      </c>
      <c r="BR248" s="151" t="str">
        <f t="shared" si="61"/>
        <v/>
      </c>
      <c r="BS248" s="386">
        <v>0</v>
      </c>
      <c r="BT248" s="268">
        <f>IF(BQ248,_xll.qDateYears(BQ247,BQ248,BT$13),0)</f>
        <v>0</v>
      </c>
      <c r="BU248" s="268">
        <f t="shared" si="67"/>
        <v>1738.6030924697341</v>
      </c>
      <c r="CC248" s="526">
        <v>0</v>
      </c>
      <c r="CD248" s="151" t="str">
        <f t="shared" si="62"/>
        <v/>
      </c>
      <c r="CE248" s="386">
        <v>0</v>
      </c>
      <c r="CF248" s="268">
        <f>IF(CC248,_xll.qDateYears(CC247,CC248,CF$13),0)</f>
        <v>0</v>
      </c>
      <c r="CG248" s="268">
        <f t="shared" si="68"/>
        <v>2312.0085517586949</v>
      </c>
      <c r="CO248" s="526">
        <v>0</v>
      </c>
      <c r="CP248" s="151" t="str">
        <f t="shared" si="63"/>
        <v/>
      </c>
      <c r="CQ248" s="386">
        <v>0</v>
      </c>
      <c r="CR248" s="268">
        <f>IF(CO248,_xll.qDateYears(CO247,CO248,CR$13),0)</f>
        <v>0</v>
      </c>
      <c r="CS248" s="268">
        <f t="shared" si="69"/>
        <v>2185.174943791465</v>
      </c>
      <c r="DA248" s="526">
        <v>0</v>
      </c>
      <c r="DB248" s="151" t="str">
        <f t="shared" si="64"/>
        <v/>
      </c>
      <c r="DC248" s="386">
        <v>0</v>
      </c>
      <c r="DD248" s="268">
        <f>IF(DA248,_xll.qDateYears(DA247,DA248,DD$13),0)</f>
        <v>0</v>
      </c>
      <c r="DE248" s="268">
        <f t="shared" si="70"/>
        <v>1616.1787110556011</v>
      </c>
      <c r="DM248" s="526">
        <v>0</v>
      </c>
      <c r="DN248" s="151" t="str">
        <f t="shared" si="65"/>
        <v/>
      </c>
      <c r="DO248" s="386">
        <v>0</v>
      </c>
      <c r="DP248" s="268">
        <f>IF(DM248,_xll.qDateYears(DM247,DM248,DP$13),0)</f>
        <v>0</v>
      </c>
      <c r="DQ248" s="268">
        <f t="shared" si="71"/>
        <v>2183.1745733532407</v>
      </c>
    </row>
    <row r="249" spans="59:121">
      <c r="BG249" s="526">
        <v>0</v>
      </c>
      <c r="BH249" s="150" t="str">
        <f t="shared" si="60"/>
        <v/>
      </c>
      <c r="BI249" s="386">
        <v>0</v>
      </c>
      <c r="BJ249" s="268">
        <f>IF(BG249,_xll.qDateYears(BG248,BG249,$BJ$13),0)</f>
        <v>0</v>
      </c>
      <c r="BK249" s="268">
        <f t="shared" si="66"/>
        <v>2183.1745733532407</v>
      </c>
      <c r="BQ249" s="526">
        <v>0</v>
      </c>
      <c r="BR249" s="151" t="str">
        <f t="shared" si="61"/>
        <v/>
      </c>
      <c r="BS249" s="386">
        <v>0</v>
      </c>
      <c r="BT249" s="268">
        <f>IF(BQ249,_xll.qDateYears(BQ248,BQ249,BT$13),0)</f>
        <v>0</v>
      </c>
      <c r="BU249" s="268">
        <f t="shared" si="67"/>
        <v>1738.6030924697341</v>
      </c>
      <c r="CC249" s="526">
        <v>0</v>
      </c>
      <c r="CD249" s="151" t="str">
        <f t="shared" si="62"/>
        <v/>
      </c>
      <c r="CE249" s="386">
        <v>0</v>
      </c>
      <c r="CF249" s="268">
        <f>IF(CC249,_xll.qDateYears(CC248,CC249,CF$13),0)</f>
        <v>0</v>
      </c>
      <c r="CG249" s="268">
        <f t="shared" si="68"/>
        <v>2312.0085517586949</v>
      </c>
      <c r="CO249" s="526">
        <v>0</v>
      </c>
      <c r="CP249" s="151" t="str">
        <f t="shared" si="63"/>
        <v/>
      </c>
      <c r="CQ249" s="386">
        <v>0</v>
      </c>
      <c r="CR249" s="268">
        <f>IF(CO249,_xll.qDateYears(CO248,CO249,CR$13),0)</f>
        <v>0</v>
      </c>
      <c r="CS249" s="268">
        <f t="shared" si="69"/>
        <v>2185.174943791465</v>
      </c>
      <c r="DA249" s="526">
        <v>0</v>
      </c>
      <c r="DB249" s="151" t="str">
        <f t="shared" si="64"/>
        <v/>
      </c>
      <c r="DC249" s="386">
        <v>0</v>
      </c>
      <c r="DD249" s="268">
        <f>IF(DA249,_xll.qDateYears(DA248,DA249,DD$13),0)</f>
        <v>0</v>
      </c>
      <c r="DE249" s="268">
        <f t="shared" si="70"/>
        <v>1616.1787110556011</v>
      </c>
      <c r="DM249" s="526">
        <v>0</v>
      </c>
      <c r="DN249" s="151" t="str">
        <f t="shared" si="65"/>
        <v/>
      </c>
      <c r="DO249" s="386">
        <v>0</v>
      </c>
      <c r="DP249" s="268">
        <f>IF(DM249,_xll.qDateYears(DM248,DM249,DP$13),0)</f>
        <v>0</v>
      </c>
      <c r="DQ249" s="268">
        <f t="shared" si="71"/>
        <v>2183.1745733532407</v>
      </c>
    </row>
    <row r="250" spans="59:121">
      <c r="BG250" s="526">
        <v>0</v>
      </c>
      <c r="BH250" s="150" t="str">
        <f t="shared" si="60"/>
        <v/>
      </c>
      <c r="BI250" s="386">
        <v>0</v>
      </c>
      <c r="BJ250" s="268">
        <f>IF(BG250,_xll.qDateYears(BG249,BG250,$BJ$13),0)</f>
        <v>0</v>
      </c>
      <c r="BK250" s="268">
        <f t="shared" si="66"/>
        <v>2183.1745733532407</v>
      </c>
      <c r="BQ250" s="526">
        <v>0</v>
      </c>
      <c r="BR250" s="151" t="str">
        <f t="shared" si="61"/>
        <v/>
      </c>
      <c r="BS250" s="386">
        <v>0</v>
      </c>
      <c r="BT250" s="268">
        <f>IF(BQ250,_xll.qDateYears(BQ249,BQ250,BT$13),0)</f>
        <v>0</v>
      </c>
      <c r="BU250" s="268">
        <f t="shared" si="67"/>
        <v>1738.6030924697341</v>
      </c>
      <c r="CC250" s="526">
        <v>0</v>
      </c>
      <c r="CD250" s="151" t="str">
        <f t="shared" si="62"/>
        <v/>
      </c>
      <c r="CE250" s="386">
        <v>0</v>
      </c>
      <c r="CF250" s="268">
        <f>IF(CC250,_xll.qDateYears(CC249,CC250,CF$13),0)</f>
        <v>0</v>
      </c>
      <c r="CG250" s="268">
        <f t="shared" si="68"/>
        <v>2312.0085517586949</v>
      </c>
      <c r="CO250" s="526">
        <v>0</v>
      </c>
      <c r="CP250" s="151" t="str">
        <f t="shared" si="63"/>
        <v/>
      </c>
      <c r="CQ250" s="386">
        <v>0</v>
      </c>
      <c r="CR250" s="268">
        <f>IF(CO250,_xll.qDateYears(CO249,CO250,CR$13),0)</f>
        <v>0</v>
      </c>
      <c r="CS250" s="268">
        <f t="shared" si="69"/>
        <v>2185.174943791465</v>
      </c>
      <c r="DA250" s="526">
        <v>0</v>
      </c>
      <c r="DB250" s="151" t="str">
        <f t="shared" si="64"/>
        <v/>
      </c>
      <c r="DC250" s="386">
        <v>0</v>
      </c>
      <c r="DD250" s="268">
        <f>IF(DA250,_xll.qDateYears(DA249,DA250,DD$13),0)</f>
        <v>0</v>
      </c>
      <c r="DE250" s="268">
        <f t="shared" si="70"/>
        <v>1616.1787110556011</v>
      </c>
      <c r="DM250" s="526">
        <v>0</v>
      </c>
      <c r="DN250" s="151" t="str">
        <f t="shared" si="65"/>
        <v/>
      </c>
      <c r="DO250" s="386">
        <v>0</v>
      </c>
      <c r="DP250" s="268">
        <f>IF(DM250,_xll.qDateYears(DM249,DM250,DP$13),0)</f>
        <v>0</v>
      </c>
      <c r="DQ250" s="268">
        <f t="shared" si="71"/>
        <v>2183.1745733532407</v>
      </c>
    </row>
    <row r="251" spans="59:121">
      <c r="BG251" s="526">
        <v>0</v>
      </c>
      <c r="BH251" s="150" t="str">
        <f t="shared" si="60"/>
        <v/>
      </c>
      <c r="BI251" s="386">
        <v>0</v>
      </c>
      <c r="BJ251" s="268">
        <f>IF(BG251,_xll.qDateYears(BG250,BG251,$BJ$13),0)</f>
        <v>0</v>
      </c>
      <c r="BK251" s="268">
        <f t="shared" si="66"/>
        <v>2183.1745733532407</v>
      </c>
      <c r="BQ251" s="526">
        <v>0</v>
      </c>
      <c r="BR251" s="151" t="str">
        <f t="shared" si="61"/>
        <v/>
      </c>
      <c r="BS251" s="386">
        <v>0</v>
      </c>
      <c r="BT251" s="268">
        <f>IF(BQ251,_xll.qDateYears(BQ250,BQ251,BT$13),0)</f>
        <v>0</v>
      </c>
      <c r="BU251" s="268">
        <f t="shared" si="67"/>
        <v>1738.6030924697341</v>
      </c>
      <c r="CC251" s="526">
        <v>0</v>
      </c>
      <c r="CD251" s="151" t="str">
        <f t="shared" si="62"/>
        <v/>
      </c>
      <c r="CE251" s="386">
        <v>0</v>
      </c>
      <c r="CF251" s="268">
        <f>IF(CC251,_xll.qDateYears(CC250,CC251,CF$13),0)</f>
        <v>0</v>
      </c>
      <c r="CG251" s="268">
        <f t="shared" si="68"/>
        <v>2312.0085517586949</v>
      </c>
      <c r="CO251" s="526">
        <v>0</v>
      </c>
      <c r="CP251" s="151" t="str">
        <f t="shared" si="63"/>
        <v/>
      </c>
      <c r="CQ251" s="386">
        <v>0</v>
      </c>
      <c r="CR251" s="268">
        <f>IF(CO251,_xll.qDateYears(CO250,CO251,CR$13),0)</f>
        <v>0</v>
      </c>
      <c r="CS251" s="268">
        <f t="shared" si="69"/>
        <v>2185.174943791465</v>
      </c>
      <c r="DA251" s="526">
        <v>0</v>
      </c>
      <c r="DB251" s="151" t="str">
        <f t="shared" si="64"/>
        <v/>
      </c>
      <c r="DC251" s="386">
        <v>0</v>
      </c>
      <c r="DD251" s="268">
        <f>IF(DA251,_xll.qDateYears(DA250,DA251,DD$13),0)</f>
        <v>0</v>
      </c>
      <c r="DE251" s="268">
        <f t="shared" si="70"/>
        <v>1616.1787110556011</v>
      </c>
      <c r="DM251" s="526">
        <v>0</v>
      </c>
      <c r="DN251" s="151" t="str">
        <f t="shared" si="65"/>
        <v/>
      </c>
      <c r="DO251" s="386">
        <v>0</v>
      </c>
      <c r="DP251" s="268">
        <f>IF(DM251,_xll.qDateYears(DM250,DM251,DP$13),0)</f>
        <v>0</v>
      </c>
      <c r="DQ251" s="268">
        <f t="shared" si="71"/>
        <v>2183.1745733532407</v>
      </c>
    </row>
    <row r="252" spans="59:121">
      <c r="BG252" s="526">
        <v>0</v>
      </c>
      <c r="BH252" s="150" t="str">
        <f t="shared" si="60"/>
        <v/>
      </c>
      <c r="BI252" s="386">
        <v>0</v>
      </c>
      <c r="BJ252" s="268">
        <f>IF(BG252,_xll.qDateYears(BG251,BG252,$BJ$13),0)</f>
        <v>0</v>
      </c>
      <c r="BK252" s="268">
        <f t="shared" si="66"/>
        <v>2183.1745733532407</v>
      </c>
      <c r="BQ252" s="526">
        <v>0</v>
      </c>
      <c r="BR252" s="151" t="str">
        <f t="shared" si="61"/>
        <v/>
      </c>
      <c r="BS252" s="386">
        <v>0</v>
      </c>
      <c r="BT252" s="268">
        <f>IF(BQ252,_xll.qDateYears(BQ251,BQ252,BT$13),0)</f>
        <v>0</v>
      </c>
      <c r="BU252" s="268">
        <f t="shared" si="67"/>
        <v>1738.6030924697341</v>
      </c>
      <c r="CC252" s="526">
        <v>0</v>
      </c>
      <c r="CD252" s="151" t="str">
        <f t="shared" si="62"/>
        <v/>
      </c>
      <c r="CE252" s="386">
        <v>0</v>
      </c>
      <c r="CF252" s="268">
        <f>IF(CC252,_xll.qDateYears(CC251,CC252,CF$13),0)</f>
        <v>0</v>
      </c>
      <c r="CG252" s="268">
        <f t="shared" si="68"/>
        <v>2312.0085517586949</v>
      </c>
      <c r="CO252" s="526">
        <v>0</v>
      </c>
      <c r="CP252" s="151" t="str">
        <f t="shared" si="63"/>
        <v/>
      </c>
      <c r="CQ252" s="386">
        <v>0</v>
      </c>
      <c r="CR252" s="268">
        <f>IF(CO252,_xll.qDateYears(CO251,CO252,CR$13),0)</f>
        <v>0</v>
      </c>
      <c r="CS252" s="268">
        <f t="shared" si="69"/>
        <v>2185.174943791465</v>
      </c>
      <c r="DA252" s="526">
        <v>0</v>
      </c>
      <c r="DB252" s="151" t="str">
        <f t="shared" si="64"/>
        <v/>
      </c>
      <c r="DC252" s="386">
        <v>0</v>
      </c>
      <c r="DD252" s="268">
        <f>IF(DA252,_xll.qDateYears(DA251,DA252,DD$13),0)</f>
        <v>0</v>
      </c>
      <c r="DE252" s="268">
        <f t="shared" si="70"/>
        <v>1616.1787110556011</v>
      </c>
      <c r="DM252" s="526">
        <v>0</v>
      </c>
      <c r="DN252" s="151" t="str">
        <f t="shared" si="65"/>
        <v/>
      </c>
      <c r="DO252" s="386">
        <v>0</v>
      </c>
      <c r="DP252" s="268">
        <f>IF(DM252,_xll.qDateYears(DM251,DM252,DP$13),0)</f>
        <v>0</v>
      </c>
      <c r="DQ252" s="268">
        <f t="shared" si="71"/>
        <v>2183.1745733532407</v>
      </c>
    </row>
    <row r="253" spans="59:121">
      <c r="BG253" s="526">
        <v>0</v>
      </c>
      <c r="BH253" s="150" t="str">
        <f t="shared" si="60"/>
        <v/>
      </c>
      <c r="BI253" s="386">
        <v>0</v>
      </c>
      <c r="BJ253" s="268">
        <f>IF(BG253,_xll.qDateYears(BG252,BG253,$BJ$13),0)</f>
        <v>0</v>
      </c>
      <c r="BK253" s="268">
        <f t="shared" si="66"/>
        <v>2183.1745733532407</v>
      </c>
      <c r="BQ253" s="526">
        <v>0</v>
      </c>
      <c r="BR253" s="151" t="str">
        <f t="shared" si="61"/>
        <v/>
      </c>
      <c r="BS253" s="386">
        <v>0</v>
      </c>
      <c r="BT253" s="268">
        <f>IF(BQ253,_xll.qDateYears(BQ252,BQ253,BT$13),0)</f>
        <v>0</v>
      </c>
      <c r="BU253" s="268">
        <f t="shared" si="67"/>
        <v>1738.6030924697341</v>
      </c>
      <c r="CC253" s="526">
        <v>0</v>
      </c>
      <c r="CD253" s="151" t="str">
        <f t="shared" si="62"/>
        <v/>
      </c>
      <c r="CE253" s="386">
        <v>0</v>
      </c>
      <c r="CF253" s="268">
        <f>IF(CC253,_xll.qDateYears(CC252,CC253,CF$13),0)</f>
        <v>0</v>
      </c>
      <c r="CG253" s="268">
        <f t="shared" si="68"/>
        <v>2312.0085517586949</v>
      </c>
      <c r="CO253" s="526">
        <v>0</v>
      </c>
      <c r="CP253" s="151" t="str">
        <f t="shared" si="63"/>
        <v/>
      </c>
      <c r="CQ253" s="386">
        <v>0</v>
      </c>
      <c r="CR253" s="268">
        <f>IF(CO253,_xll.qDateYears(CO252,CO253,CR$13),0)</f>
        <v>0</v>
      </c>
      <c r="CS253" s="268">
        <f t="shared" si="69"/>
        <v>2185.174943791465</v>
      </c>
      <c r="DA253" s="526">
        <v>0</v>
      </c>
      <c r="DB253" s="151" t="str">
        <f t="shared" si="64"/>
        <v/>
      </c>
      <c r="DC253" s="386">
        <v>0</v>
      </c>
      <c r="DD253" s="268">
        <f>IF(DA253,_xll.qDateYears(DA252,DA253,DD$13),0)</f>
        <v>0</v>
      </c>
      <c r="DE253" s="268">
        <f t="shared" si="70"/>
        <v>1616.1787110556011</v>
      </c>
      <c r="DM253" s="526">
        <v>0</v>
      </c>
      <c r="DN253" s="151" t="str">
        <f t="shared" si="65"/>
        <v/>
      </c>
      <c r="DO253" s="386">
        <v>0</v>
      </c>
      <c r="DP253" s="268">
        <f>IF(DM253,_xll.qDateYears(DM252,DM253,DP$13),0)</f>
        <v>0</v>
      </c>
      <c r="DQ253" s="268">
        <f t="shared" si="71"/>
        <v>2183.1745733532407</v>
      </c>
    </row>
    <row r="254" spans="59:121">
      <c r="BG254" s="526">
        <v>0</v>
      </c>
      <c r="BH254" s="150" t="str">
        <f t="shared" si="60"/>
        <v/>
      </c>
      <c r="BI254" s="386">
        <v>0</v>
      </c>
      <c r="BJ254" s="268">
        <f>IF(BG254,_xll.qDateYears(BG253,BG254,$BJ$13),0)</f>
        <v>0</v>
      </c>
      <c r="BK254" s="268">
        <f t="shared" si="66"/>
        <v>2183.1745733532407</v>
      </c>
      <c r="BQ254" s="526">
        <v>0</v>
      </c>
      <c r="BR254" s="151" t="str">
        <f t="shared" si="61"/>
        <v/>
      </c>
      <c r="BS254" s="386">
        <v>0</v>
      </c>
      <c r="BT254" s="268">
        <f>IF(BQ254,_xll.qDateYears(BQ253,BQ254,BT$13),0)</f>
        <v>0</v>
      </c>
      <c r="BU254" s="268">
        <f t="shared" si="67"/>
        <v>1738.6030924697341</v>
      </c>
      <c r="CC254" s="526">
        <v>0</v>
      </c>
      <c r="CD254" s="151" t="str">
        <f t="shared" si="62"/>
        <v/>
      </c>
      <c r="CE254" s="386">
        <v>0</v>
      </c>
      <c r="CF254" s="268">
        <f>IF(CC254,_xll.qDateYears(CC253,CC254,CF$13),0)</f>
        <v>0</v>
      </c>
      <c r="CG254" s="268">
        <f t="shared" si="68"/>
        <v>2312.0085517586949</v>
      </c>
      <c r="CO254" s="526">
        <v>0</v>
      </c>
      <c r="CP254" s="151" t="str">
        <f t="shared" si="63"/>
        <v/>
      </c>
      <c r="CQ254" s="386">
        <v>0</v>
      </c>
      <c r="CR254" s="268">
        <f>IF(CO254,_xll.qDateYears(CO253,CO254,CR$13),0)</f>
        <v>0</v>
      </c>
      <c r="CS254" s="268">
        <f t="shared" si="69"/>
        <v>2185.174943791465</v>
      </c>
      <c r="DA254" s="526">
        <v>0</v>
      </c>
      <c r="DB254" s="151" t="str">
        <f t="shared" si="64"/>
        <v/>
      </c>
      <c r="DC254" s="386">
        <v>0</v>
      </c>
      <c r="DD254" s="268">
        <f>IF(DA254,_xll.qDateYears(DA253,DA254,DD$13),0)</f>
        <v>0</v>
      </c>
      <c r="DE254" s="268">
        <f t="shared" si="70"/>
        <v>1616.1787110556011</v>
      </c>
      <c r="DM254" s="526">
        <v>0</v>
      </c>
      <c r="DN254" s="151" t="str">
        <f t="shared" si="65"/>
        <v/>
      </c>
      <c r="DO254" s="386">
        <v>0</v>
      </c>
      <c r="DP254" s="268">
        <f>IF(DM254,_xll.qDateYears(DM253,DM254,DP$13),0)</f>
        <v>0</v>
      </c>
      <c r="DQ254" s="268">
        <f t="shared" si="71"/>
        <v>2183.1745733532407</v>
      </c>
    </row>
    <row r="255" spans="59:121">
      <c r="BG255" s="526">
        <v>0</v>
      </c>
      <c r="BH255" s="150" t="str">
        <f t="shared" si="60"/>
        <v/>
      </c>
      <c r="BI255" s="386">
        <v>0</v>
      </c>
      <c r="BJ255" s="268">
        <f>IF(BG255,_xll.qDateYears(BG254,BG255,$BJ$13),0)</f>
        <v>0</v>
      </c>
      <c r="BK255" s="268">
        <f t="shared" si="66"/>
        <v>2183.1745733532407</v>
      </c>
      <c r="BQ255" s="526">
        <v>0</v>
      </c>
      <c r="BR255" s="151" t="str">
        <f t="shared" si="61"/>
        <v/>
      </c>
      <c r="BS255" s="386">
        <v>0</v>
      </c>
      <c r="BT255" s="268">
        <f>IF(BQ255,_xll.qDateYears(BQ254,BQ255,BT$13),0)</f>
        <v>0</v>
      </c>
      <c r="BU255" s="268">
        <f t="shared" si="67"/>
        <v>1738.6030924697341</v>
      </c>
      <c r="CC255" s="526">
        <v>0</v>
      </c>
      <c r="CD255" s="151" t="str">
        <f t="shared" si="62"/>
        <v/>
      </c>
      <c r="CE255" s="386">
        <v>0</v>
      </c>
      <c r="CF255" s="268">
        <f>IF(CC255,_xll.qDateYears(CC254,CC255,CF$13),0)</f>
        <v>0</v>
      </c>
      <c r="CG255" s="268">
        <f t="shared" si="68"/>
        <v>2312.0085517586949</v>
      </c>
      <c r="CO255" s="526">
        <v>0</v>
      </c>
      <c r="CP255" s="151" t="str">
        <f t="shared" si="63"/>
        <v/>
      </c>
      <c r="CQ255" s="386">
        <v>0</v>
      </c>
      <c r="CR255" s="268">
        <f>IF(CO255,_xll.qDateYears(CO254,CO255,CR$13),0)</f>
        <v>0</v>
      </c>
      <c r="CS255" s="268">
        <f t="shared" si="69"/>
        <v>2185.174943791465</v>
      </c>
      <c r="DA255" s="526">
        <v>0</v>
      </c>
      <c r="DB255" s="151" t="str">
        <f t="shared" si="64"/>
        <v/>
      </c>
      <c r="DC255" s="386">
        <v>0</v>
      </c>
      <c r="DD255" s="268">
        <f>IF(DA255,_xll.qDateYears(DA254,DA255,DD$13),0)</f>
        <v>0</v>
      </c>
      <c r="DE255" s="268">
        <f t="shared" si="70"/>
        <v>1616.1787110556011</v>
      </c>
      <c r="DM255" s="526">
        <v>0</v>
      </c>
      <c r="DN255" s="151" t="str">
        <f t="shared" si="65"/>
        <v/>
      </c>
      <c r="DO255" s="386">
        <v>0</v>
      </c>
      <c r="DP255" s="268">
        <f>IF(DM255,_xll.qDateYears(DM254,DM255,DP$13),0)</f>
        <v>0</v>
      </c>
      <c r="DQ255" s="268">
        <f t="shared" si="71"/>
        <v>2183.1745733532407</v>
      </c>
    </row>
    <row r="256" spans="59:121">
      <c r="BG256" s="526">
        <v>0</v>
      </c>
      <c r="BH256" s="150" t="str">
        <f t="shared" si="60"/>
        <v/>
      </c>
      <c r="BI256" s="386">
        <v>0</v>
      </c>
      <c r="BJ256" s="268">
        <f>IF(BG256,_xll.qDateYears(BG255,BG256,$BJ$13),0)</f>
        <v>0</v>
      </c>
      <c r="BK256" s="268">
        <f t="shared" si="66"/>
        <v>2183.1745733532407</v>
      </c>
      <c r="BQ256" s="526">
        <v>0</v>
      </c>
      <c r="BR256" s="151" t="str">
        <f t="shared" si="61"/>
        <v/>
      </c>
      <c r="BS256" s="386">
        <v>0</v>
      </c>
      <c r="BT256" s="268">
        <f>IF(BQ256,_xll.qDateYears(BQ255,BQ256,BT$13),0)</f>
        <v>0</v>
      </c>
      <c r="BU256" s="268">
        <f t="shared" si="67"/>
        <v>1738.6030924697341</v>
      </c>
      <c r="CC256" s="526">
        <v>0</v>
      </c>
      <c r="CD256" s="151" t="str">
        <f t="shared" si="62"/>
        <v/>
      </c>
      <c r="CE256" s="386">
        <v>0</v>
      </c>
      <c r="CF256" s="268">
        <f>IF(CC256,_xll.qDateYears(CC255,CC256,CF$13),0)</f>
        <v>0</v>
      </c>
      <c r="CG256" s="268">
        <f t="shared" si="68"/>
        <v>2312.0085517586949</v>
      </c>
      <c r="CO256" s="526">
        <v>0</v>
      </c>
      <c r="CP256" s="151" t="str">
        <f t="shared" si="63"/>
        <v/>
      </c>
      <c r="CQ256" s="386">
        <v>0</v>
      </c>
      <c r="CR256" s="268">
        <f>IF(CO256,_xll.qDateYears(CO255,CO256,CR$13),0)</f>
        <v>0</v>
      </c>
      <c r="CS256" s="268">
        <f t="shared" si="69"/>
        <v>2185.174943791465</v>
      </c>
      <c r="DA256" s="526">
        <v>0</v>
      </c>
      <c r="DB256" s="151" t="str">
        <f t="shared" si="64"/>
        <v/>
      </c>
      <c r="DC256" s="386">
        <v>0</v>
      </c>
      <c r="DD256" s="268">
        <f>IF(DA256,_xll.qDateYears(DA255,DA256,DD$13),0)</f>
        <v>0</v>
      </c>
      <c r="DE256" s="268">
        <f t="shared" si="70"/>
        <v>1616.1787110556011</v>
      </c>
      <c r="DM256" s="526">
        <v>0</v>
      </c>
      <c r="DN256" s="151" t="str">
        <f t="shared" si="65"/>
        <v/>
      </c>
      <c r="DO256" s="386">
        <v>0</v>
      </c>
      <c r="DP256" s="268">
        <f>IF(DM256,_xll.qDateYears(DM255,DM256,DP$13),0)</f>
        <v>0</v>
      </c>
      <c r="DQ256" s="268">
        <f t="shared" si="71"/>
        <v>2183.1745733532407</v>
      </c>
    </row>
    <row r="257" spans="59:121">
      <c r="BG257" s="526">
        <v>0</v>
      </c>
      <c r="BH257" s="150" t="str">
        <f t="shared" si="60"/>
        <v/>
      </c>
      <c r="BI257" s="386">
        <v>0</v>
      </c>
      <c r="BJ257" s="268">
        <f>IF(BG257,_xll.qDateYears(BG256,BG257,$BJ$13),0)</f>
        <v>0</v>
      </c>
      <c r="BK257" s="268">
        <f t="shared" si="66"/>
        <v>2183.1745733532407</v>
      </c>
      <c r="BQ257" s="526">
        <v>0</v>
      </c>
      <c r="BR257" s="151" t="str">
        <f t="shared" si="61"/>
        <v/>
      </c>
      <c r="BS257" s="386">
        <v>0</v>
      </c>
      <c r="BT257" s="268">
        <f>IF(BQ257,_xll.qDateYears(BQ256,BQ257,BT$13),0)</f>
        <v>0</v>
      </c>
      <c r="BU257" s="268">
        <f t="shared" si="67"/>
        <v>1738.6030924697341</v>
      </c>
      <c r="CC257" s="526">
        <v>0</v>
      </c>
      <c r="CD257" s="151" t="str">
        <f t="shared" si="62"/>
        <v/>
      </c>
      <c r="CE257" s="386">
        <v>0</v>
      </c>
      <c r="CF257" s="268">
        <f>IF(CC257,_xll.qDateYears(CC256,CC257,CF$13),0)</f>
        <v>0</v>
      </c>
      <c r="CG257" s="268">
        <f t="shared" si="68"/>
        <v>2312.0085517586949</v>
      </c>
      <c r="CO257" s="526">
        <v>0</v>
      </c>
      <c r="CP257" s="151" t="str">
        <f t="shared" si="63"/>
        <v/>
      </c>
      <c r="CQ257" s="386">
        <v>0</v>
      </c>
      <c r="CR257" s="268">
        <f>IF(CO257,_xll.qDateYears(CO256,CO257,CR$13),0)</f>
        <v>0</v>
      </c>
      <c r="CS257" s="268">
        <f t="shared" si="69"/>
        <v>2185.174943791465</v>
      </c>
      <c r="DA257" s="526">
        <v>0</v>
      </c>
      <c r="DB257" s="151" t="str">
        <f t="shared" si="64"/>
        <v/>
      </c>
      <c r="DC257" s="386">
        <v>0</v>
      </c>
      <c r="DD257" s="268">
        <f>IF(DA257,_xll.qDateYears(DA256,DA257,DD$13),0)</f>
        <v>0</v>
      </c>
      <c r="DE257" s="268">
        <f t="shared" si="70"/>
        <v>1616.1787110556011</v>
      </c>
      <c r="DM257" s="526">
        <v>0</v>
      </c>
      <c r="DN257" s="151" t="str">
        <f t="shared" si="65"/>
        <v/>
      </c>
      <c r="DO257" s="386">
        <v>0</v>
      </c>
      <c r="DP257" s="268">
        <f>IF(DM257,_xll.qDateYears(DM256,DM257,DP$13),0)</f>
        <v>0</v>
      </c>
      <c r="DQ257" s="268">
        <f t="shared" si="71"/>
        <v>2183.1745733532407</v>
      </c>
    </row>
    <row r="258" spans="59:121">
      <c r="BG258" s="526">
        <v>0</v>
      </c>
      <c r="BH258" s="150" t="str">
        <f t="shared" si="60"/>
        <v/>
      </c>
      <c r="BI258" s="386">
        <v>0</v>
      </c>
      <c r="BJ258" s="268">
        <f>IF(BG258,_xll.qDateYears(BG257,BG258,$BJ$13),0)</f>
        <v>0</v>
      </c>
      <c r="BK258" s="268">
        <f t="shared" si="66"/>
        <v>2183.1745733532407</v>
      </c>
      <c r="BQ258" s="526">
        <v>0</v>
      </c>
      <c r="BR258" s="151" t="str">
        <f t="shared" si="61"/>
        <v/>
      </c>
      <c r="BS258" s="386">
        <v>0</v>
      </c>
      <c r="BT258" s="268">
        <f>IF(BQ258,_xll.qDateYears(BQ257,BQ258,BT$13),0)</f>
        <v>0</v>
      </c>
      <c r="BU258" s="268">
        <f t="shared" si="67"/>
        <v>1738.6030924697341</v>
      </c>
      <c r="CC258" s="526">
        <v>0</v>
      </c>
      <c r="CD258" s="151" t="str">
        <f t="shared" si="62"/>
        <v/>
      </c>
      <c r="CE258" s="386">
        <v>0</v>
      </c>
      <c r="CF258" s="268">
        <f>IF(CC258,_xll.qDateYears(CC257,CC258,CF$13),0)</f>
        <v>0</v>
      </c>
      <c r="CG258" s="268">
        <f t="shared" si="68"/>
        <v>2312.0085517586949</v>
      </c>
      <c r="CO258" s="526">
        <v>0</v>
      </c>
      <c r="CP258" s="151" t="str">
        <f t="shared" si="63"/>
        <v/>
      </c>
      <c r="CQ258" s="386">
        <v>0</v>
      </c>
      <c r="CR258" s="268">
        <f>IF(CO258,_xll.qDateYears(CO257,CO258,CR$13),0)</f>
        <v>0</v>
      </c>
      <c r="CS258" s="268">
        <f t="shared" si="69"/>
        <v>2185.174943791465</v>
      </c>
      <c r="DA258" s="526">
        <v>0</v>
      </c>
      <c r="DB258" s="151" t="str">
        <f t="shared" si="64"/>
        <v/>
      </c>
      <c r="DC258" s="386">
        <v>0</v>
      </c>
      <c r="DD258" s="268">
        <f>IF(DA258,_xll.qDateYears(DA257,DA258,DD$13),0)</f>
        <v>0</v>
      </c>
      <c r="DE258" s="268">
        <f t="shared" si="70"/>
        <v>1616.1787110556011</v>
      </c>
      <c r="DM258" s="526">
        <v>0</v>
      </c>
      <c r="DN258" s="151" t="str">
        <f t="shared" si="65"/>
        <v/>
      </c>
      <c r="DO258" s="386">
        <v>0</v>
      </c>
      <c r="DP258" s="268">
        <f>IF(DM258,_xll.qDateYears(DM257,DM258,DP$13),0)</f>
        <v>0</v>
      </c>
      <c r="DQ258" s="268">
        <f t="shared" si="71"/>
        <v>2183.1745733532407</v>
      </c>
    </row>
    <row r="259" spans="59:121">
      <c r="BG259" s="526">
        <v>0</v>
      </c>
      <c r="BH259" s="150" t="str">
        <f t="shared" si="60"/>
        <v/>
      </c>
      <c r="BI259" s="386">
        <v>0</v>
      </c>
      <c r="BJ259" s="268">
        <f>IF(BG259,_xll.qDateYears(BG258,BG259,$BJ$13),0)</f>
        <v>0</v>
      </c>
      <c r="BK259" s="268">
        <f t="shared" si="66"/>
        <v>2183.1745733532407</v>
      </c>
      <c r="BQ259" s="526">
        <v>0</v>
      </c>
      <c r="BR259" s="151" t="str">
        <f t="shared" si="61"/>
        <v/>
      </c>
      <c r="BS259" s="386">
        <v>0</v>
      </c>
      <c r="BT259" s="268">
        <f>IF(BQ259,_xll.qDateYears(BQ258,BQ259,BT$13),0)</f>
        <v>0</v>
      </c>
      <c r="BU259" s="268">
        <f t="shared" si="67"/>
        <v>1738.6030924697341</v>
      </c>
      <c r="CC259" s="526">
        <v>0</v>
      </c>
      <c r="CD259" s="151" t="str">
        <f t="shared" si="62"/>
        <v/>
      </c>
      <c r="CE259" s="386">
        <v>0</v>
      </c>
      <c r="CF259" s="268">
        <f>IF(CC259,_xll.qDateYears(CC258,CC259,CF$13),0)</f>
        <v>0</v>
      </c>
      <c r="CG259" s="268">
        <f t="shared" si="68"/>
        <v>2312.0085517586949</v>
      </c>
      <c r="CO259" s="526">
        <v>0</v>
      </c>
      <c r="CP259" s="151" t="str">
        <f t="shared" si="63"/>
        <v/>
      </c>
      <c r="CQ259" s="386">
        <v>0</v>
      </c>
      <c r="CR259" s="268">
        <f>IF(CO259,_xll.qDateYears(CO258,CO259,CR$13),0)</f>
        <v>0</v>
      </c>
      <c r="CS259" s="268">
        <f t="shared" si="69"/>
        <v>2185.174943791465</v>
      </c>
      <c r="DA259" s="526">
        <v>0</v>
      </c>
      <c r="DB259" s="151" t="str">
        <f t="shared" si="64"/>
        <v/>
      </c>
      <c r="DC259" s="386">
        <v>0</v>
      </c>
      <c r="DD259" s="268">
        <f>IF(DA259,_xll.qDateYears(DA258,DA259,DD$13),0)</f>
        <v>0</v>
      </c>
      <c r="DE259" s="268">
        <f t="shared" si="70"/>
        <v>1616.1787110556011</v>
      </c>
      <c r="DM259" s="526">
        <v>0</v>
      </c>
      <c r="DN259" s="151" t="str">
        <f t="shared" si="65"/>
        <v/>
      </c>
      <c r="DO259" s="386">
        <v>0</v>
      </c>
      <c r="DP259" s="268">
        <f>IF(DM259,_xll.qDateYears(DM258,DM259,DP$13),0)</f>
        <v>0</v>
      </c>
      <c r="DQ259" s="268">
        <f t="shared" si="71"/>
        <v>2183.1745733532407</v>
      </c>
    </row>
    <row r="260" spans="59:121">
      <c r="BG260" s="526">
        <v>0</v>
      </c>
      <c r="BH260" s="150" t="str">
        <f t="shared" si="60"/>
        <v/>
      </c>
      <c r="BI260" s="386">
        <v>0</v>
      </c>
      <c r="BJ260" s="268">
        <f>IF(BG260,_xll.qDateYears(BG259,BG260,$BJ$13),0)</f>
        <v>0</v>
      </c>
      <c r="BK260" s="268">
        <f t="shared" si="66"/>
        <v>2183.1745733532407</v>
      </c>
      <c r="BQ260" s="526">
        <v>0</v>
      </c>
      <c r="BR260" s="151" t="str">
        <f t="shared" si="61"/>
        <v/>
      </c>
      <c r="BS260" s="386">
        <v>0</v>
      </c>
      <c r="BT260" s="268">
        <f>IF(BQ260,_xll.qDateYears(BQ259,BQ260,BT$13),0)</f>
        <v>0</v>
      </c>
      <c r="BU260" s="268">
        <f t="shared" si="67"/>
        <v>1738.6030924697341</v>
      </c>
      <c r="CC260" s="526">
        <v>0</v>
      </c>
      <c r="CD260" s="151" t="str">
        <f t="shared" si="62"/>
        <v/>
      </c>
      <c r="CE260" s="386">
        <v>0</v>
      </c>
      <c r="CF260" s="268">
        <f>IF(CC260,_xll.qDateYears(CC259,CC260,CF$13),0)</f>
        <v>0</v>
      </c>
      <c r="CG260" s="268">
        <f t="shared" si="68"/>
        <v>2312.0085517586949</v>
      </c>
      <c r="CO260" s="526">
        <v>0</v>
      </c>
      <c r="CP260" s="151" t="str">
        <f t="shared" si="63"/>
        <v/>
      </c>
      <c r="CQ260" s="386">
        <v>0</v>
      </c>
      <c r="CR260" s="268">
        <f>IF(CO260,_xll.qDateYears(CO259,CO260,CR$13),0)</f>
        <v>0</v>
      </c>
      <c r="CS260" s="268">
        <f t="shared" si="69"/>
        <v>2185.174943791465</v>
      </c>
      <c r="DA260" s="526">
        <v>0</v>
      </c>
      <c r="DB260" s="151" t="str">
        <f t="shared" si="64"/>
        <v/>
      </c>
      <c r="DC260" s="386">
        <v>0</v>
      </c>
      <c r="DD260" s="268">
        <f>IF(DA260,_xll.qDateYears(DA259,DA260,DD$13),0)</f>
        <v>0</v>
      </c>
      <c r="DE260" s="268">
        <f t="shared" si="70"/>
        <v>1616.1787110556011</v>
      </c>
      <c r="DM260" s="526">
        <v>0</v>
      </c>
      <c r="DN260" s="151" t="str">
        <f t="shared" si="65"/>
        <v/>
      </c>
      <c r="DO260" s="386">
        <v>0</v>
      </c>
      <c r="DP260" s="268">
        <f>IF(DM260,_xll.qDateYears(DM259,DM260,DP$13),0)</f>
        <v>0</v>
      </c>
      <c r="DQ260" s="268">
        <f t="shared" si="71"/>
        <v>2183.1745733532407</v>
      </c>
    </row>
    <row r="261" spans="59:121">
      <c r="BG261" s="526">
        <v>0</v>
      </c>
      <c r="BH261" s="150" t="str">
        <f t="shared" si="60"/>
        <v/>
      </c>
      <c r="BI261" s="386">
        <v>0</v>
      </c>
      <c r="BJ261" s="268">
        <f>IF(BG261,_xll.qDateYears(BG260,BG261,$BJ$13),0)</f>
        <v>0</v>
      </c>
      <c r="BK261" s="268">
        <f t="shared" si="66"/>
        <v>2183.1745733532407</v>
      </c>
      <c r="BQ261" s="526">
        <v>0</v>
      </c>
      <c r="BR261" s="151" t="str">
        <f t="shared" si="61"/>
        <v/>
      </c>
      <c r="BS261" s="386">
        <v>0</v>
      </c>
      <c r="BT261" s="268">
        <f>IF(BQ261,_xll.qDateYears(BQ260,BQ261,BT$13),0)</f>
        <v>0</v>
      </c>
      <c r="BU261" s="268">
        <f t="shared" si="67"/>
        <v>1738.6030924697341</v>
      </c>
      <c r="CC261" s="526">
        <v>0</v>
      </c>
      <c r="CD261" s="151" t="str">
        <f t="shared" si="62"/>
        <v/>
      </c>
      <c r="CE261" s="386">
        <v>0</v>
      </c>
      <c r="CF261" s="268">
        <f>IF(CC261,_xll.qDateYears(CC260,CC261,CF$13),0)</f>
        <v>0</v>
      </c>
      <c r="CG261" s="268">
        <f t="shared" si="68"/>
        <v>2312.0085517586949</v>
      </c>
      <c r="CO261" s="526">
        <v>0</v>
      </c>
      <c r="CP261" s="151" t="str">
        <f t="shared" si="63"/>
        <v/>
      </c>
      <c r="CQ261" s="386">
        <v>0</v>
      </c>
      <c r="CR261" s="268">
        <f>IF(CO261,_xll.qDateYears(CO260,CO261,CR$13),0)</f>
        <v>0</v>
      </c>
      <c r="CS261" s="268">
        <f t="shared" si="69"/>
        <v>2185.174943791465</v>
      </c>
      <c r="DA261" s="526">
        <v>0</v>
      </c>
      <c r="DB261" s="151" t="str">
        <f t="shared" si="64"/>
        <v/>
      </c>
      <c r="DC261" s="386">
        <v>0</v>
      </c>
      <c r="DD261" s="268">
        <f>IF(DA261,_xll.qDateYears(DA260,DA261,DD$13),0)</f>
        <v>0</v>
      </c>
      <c r="DE261" s="268">
        <f t="shared" si="70"/>
        <v>1616.1787110556011</v>
      </c>
      <c r="DM261" s="526">
        <v>0</v>
      </c>
      <c r="DN261" s="151" t="str">
        <f t="shared" si="65"/>
        <v/>
      </c>
      <c r="DO261" s="386">
        <v>0</v>
      </c>
      <c r="DP261" s="268">
        <f>IF(DM261,_xll.qDateYears(DM260,DM261,DP$13),0)</f>
        <v>0</v>
      </c>
      <c r="DQ261" s="268">
        <f t="shared" si="71"/>
        <v>2183.1745733532407</v>
      </c>
    </row>
    <row r="262" spans="59:121">
      <c r="BG262" s="526">
        <v>0</v>
      </c>
      <c r="BH262" s="150" t="str">
        <f t="shared" si="60"/>
        <v/>
      </c>
      <c r="BI262" s="386">
        <v>0</v>
      </c>
      <c r="BJ262" s="268">
        <f>IF(BG262,_xll.qDateYears(BG261,BG262,$BJ$13),0)</f>
        <v>0</v>
      </c>
      <c r="BK262" s="268">
        <f t="shared" si="66"/>
        <v>2183.1745733532407</v>
      </c>
      <c r="BQ262" s="526">
        <v>0</v>
      </c>
      <c r="BR262" s="151" t="str">
        <f t="shared" si="61"/>
        <v/>
      </c>
      <c r="BS262" s="386">
        <v>0</v>
      </c>
      <c r="BT262" s="268">
        <f>IF(BQ262,_xll.qDateYears(BQ261,BQ262,BT$13),0)</f>
        <v>0</v>
      </c>
      <c r="BU262" s="268">
        <f t="shared" si="67"/>
        <v>1738.6030924697341</v>
      </c>
      <c r="CC262" s="526">
        <v>0</v>
      </c>
      <c r="CD262" s="151" t="str">
        <f t="shared" si="62"/>
        <v/>
      </c>
      <c r="CE262" s="386">
        <v>0</v>
      </c>
      <c r="CF262" s="268">
        <f>IF(CC262,_xll.qDateYears(CC261,CC262,CF$13),0)</f>
        <v>0</v>
      </c>
      <c r="CG262" s="268">
        <f t="shared" si="68"/>
        <v>2312.0085517586949</v>
      </c>
      <c r="CO262" s="526">
        <v>0</v>
      </c>
      <c r="CP262" s="151" t="str">
        <f t="shared" si="63"/>
        <v/>
      </c>
      <c r="CQ262" s="386">
        <v>0</v>
      </c>
      <c r="CR262" s="268">
        <f>IF(CO262,_xll.qDateYears(CO261,CO262,CR$13),0)</f>
        <v>0</v>
      </c>
      <c r="CS262" s="268">
        <f t="shared" si="69"/>
        <v>2185.174943791465</v>
      </c>
      <c r="DA262" s="526">
        <v>0</v>
      </c>
      <c r="DB262" s="151" t="str">
        <f t="shared" si="64"/>
        <v/>
      </c>
      <c r="DC262" s="386">
        <v>0</v>
      </c>
      <c r="DD262" s="268">
        <f>IF(DA262,_xll.qDateYears(DA261,DA262,DD$13),0)</f>
        <v>0</v>
      </c>
      <c r="DE262" s="268">
        <f t="shared" si="70"/>
        <v>1616.1787110556011</v>
      </c>
      <c r="DM262" s="526">
        <v>0</v>
      </c>
      <c r="DN262" s="151" t="str">
        <f t="shared" si="65"/>
        <v/>
      </c>
      <c r="DO262" s="386">
        <v>0</v>
      </c>
      <c r="DP262" s="268">
        <f>IF(DM262,_xll.qDateYears(DM261,DM262,DP$13),0)</f>
        <v>0</v>
      </c>
      <c r="DQ262" s="268">
        <f t="shared" si="71"/>
        <v>2183.1745733532407</v>
      </c>
    </row>
    <row r="263" spans="59:121">
      <c r="BG263" s="526">
        <v>0</v>
      </c>
      <c r="BH263" s="150" t="str">
        <f t="shared" si="60"/>
        <v/>
      </c>
      <c r="BI263" s="386">
        <v>0</v>
      </c>
      <c r="BJ263" s="268">
        <f>IF(BG263,_xll.qDateYears(BG262,BG263,$BJ$13),0)</f>
        <v>0</v>
      </c>
      <c r="BK263" s="268">
        <f t="shared" si="66"/>
        <v>2183.1745733532407</v>
      </c>
      <c r="BQ263" s="526">
        <v>0</v>
      </c>
      <c r="BR263" s="151" t="str">
        <f t="shared" si="61"/>
        <v/>
      </c>
      <c r="BS263" s="386">
        <v>0</v>
      </c>
      <c r="BT263" s="268">
        <f>IF(BQ263,_xll.qDateYears(BQ262,BQ263,BT$13),0)</f>
        <v>0</v>
      </c>
      <c r="BU263" s="268">
        <f t="shared" si="67"/>
        <v>1738.6030924697341</v>
      </c>
      <c r="CC263" s="526">
        <v>0</v>
      </c>
      <c r="CD263" s="151" t="str">
        <f t="shared" si="62"/>
        <v/>
      </c>
      <c r="CE263" s="386">
        <v>0</v>
      </c>
      <c r="CF263" s="268">
        <f>IF(CC263,_xll.qDateYears(CC262,CC263,CF$13),0)</f>
        <v>0</v>
      </c>
      <c r="CG263" s="268">
        <f t="shared" si="68"/>
        <v>2312.0085517586949</v>
      </c>
      <c r="CO263" s="526">
        <v>0</v>
      </c>
      <c r="CP263" s="151" t="str">
        <f t="shared" si="63"/>
        <v/>
      </c>
      <c r="CQ263" s="386">
        <v>0</v>
      </c>
      <c r="CR263" s="268">
        <f>IF(CO263,_xll.qDateYears(CO262,CO263,CR$13),0)</f>
        <v>0</v>
      </c>
      <c r="CS263" s="268">
        <f t="shared" si="69"/>
        <v>2185.174943791465</v>
      </c>
      <c r="DA263" s="526">
        <v>0</v>
      </c>
      <c r="DB263" s="151" t="str">
        <f t="shared" si="64"/>
        <v/>
      </c>
      <c r="DC263" s="386">
        <v>0</v>
      </c>
      <c r="DD263" s="268">
        <f>IF(DA263,_xll.qDateYears(DA262,DA263,DD$13),0)</f>
        <v>0</v>
      </c>
      <c r="DE263" s="268">
        <f t="shared" si="70"/>
        <v>1616.1787110556011</v>
      </c>
      <c r="DM263" s="526">
        <v>0</v>
      </c>
      <c r="DN263" s="151" t="str">
        <f t="shared" si="65"/>
        <v/>
      </c>
      <c r="DO263" s="386">
        <v>0</v>
      </c>
      <c r="DP263" s="268">
        <f>IF(DM263,_xll.qDateYears(DM262,DM263,DP$13),0)</f>
        <v>0</v>
      </c>
      <c r="DQ263" s="268">
        <f t="shared" si="71"/>
        <v>2183.1745733532407</v>
      </c>
    </row>
    <row r="264" spans="59:121">
      <c r="BG264" s="526">
        <v>0</v>
      </c>
      <c r="BH264" s="150" t="str">
        <f t="shared" si="60"/>
        <v/>
      </c>
      <c r="BI264" s="386">
        <v>0</v>
      </c>
      <c r="BJ264" s="268">
        <f>IF(BG264,_xll.qDateYears(BG263,BG264,$BJ$13),0)</f>
        <v>0</v>
      </c>
      <c r="BK264" s="268">
        <f t="shared" si="66"/>
        <v>2183.1745733532407</v>
      </c>
      <c r="BQ264" s="526">
        <v>0</v>
      </c>
      <c r="BR264" s="151" t="str">
        <f t="shared" si="61"/>
        <v/>
      </c>
      <c r="BS264" s="386">
        <v>0</v>
      </c>
      <c r="BT264" s="268">
        <f>IF(BQ264,_xll.qDateYears(BQ263,BQ264,BT$13),0)</f>
        <v>0</v>
      </c>
      <c r="BU264" s="268">
        <f t="shared" si="67"/>
        <v>1738.6030924697341</v>
      </c>
      <c r="CC264" s="526">
        <v>0</v>
      </c>
      <c r="CD264" s="151" t="str">
        <f t="shared" si="62"/>
        <v/>
      </c>
      <c r="CE264" s="386">
        <v>0</v>
      </c>
      <c r="CF264" s="268">
        <f>IF(CC264,_xll.qDateYears(CC263,CC264,CF$13),0)</f>
        <v>0</v>
      </c>
      <c r="CG264" s="268">
        <f t="shared" si="68"/>
        <v>2312.0085517586949</v>
      </c>
      <c r="CO264" s="526">
        <v>0</v>
      </c>
      <c r="CP264" s="151" t="str">
        <f t="shared" si="63"/>
        <v/>
      </c>
      <c r="CQ264" s="386">
        <v>0</v>
      </c>
      <c r="CR264" s="268">
        <f>IF(CO264,_xll.qDateYears(CO263,CO264,CR$13),0)</f>
        <v>0</v>
      </c>
      <c r="CS264" s="268">
        <f t="shared" si="69"/>
        <v>2185.174943791465</v>
      </c>
      <c r="DA264" s="526">
        <v>0</v>
      </c>
      <c r="DB264" s="151" t="str">
        <f t="shared" si="64"/>
        <v/>
      </c>
      <c r="DC264" s="386">
        <v>0</v>
      </c>
      <c r="DD264" s="268">
        <f>IF(DA264,_xll.qDateYears(DA263,DA264,DD$13),0)</f>
        <v>0</v>
      </c>
      <c r="DE264" s="268">
        <f t="shared" si="70"/>
        <v>1616.1787110556011</v>
      </c>
      <c r="DM264" s="526">
        <v>0</v>
      </c>
      <c r="DN264" s="151" t="str">
        <f t="shared" si="65"/>
        <v/>
      </c>
      <c r="DO264" s="386">
        <v>0</v>
      </c>
      <c r="DP264" s="268">
        <f>IF(DM264,_xll.qDateYears(DM263,DM264,DP$13),0)</f>
        <v>0</v>
      </c>
      <c r="DQ264" s="268">
        <f t="shared" si="71"/>
        <v>2183.1745733532407</v>
      </c>
    </row>
    <row r="265" spans="59:121">
      <c r="BG265" s="526">
        <v>0</v>
      </c>
      <c r="BH265" s="150" t="str">
        <f t="shared" si="60"/>
        <v/>
      </c>
      <c r="BI265" s="386">
        <v>0</v>
      </c>
      <c r="BJ265" s="268">
        <f>IF(BG265,_xll.qDateYears(BG264,BG265,$BJ$13),0)</f>
        <v>0</v>
      </c>
      <c r="BK265" s="268">
        <f t="shared" si="66"/>
        <v>2183.1745733532407</v>
      </c>
      <c r="BQ265" s="526">
        <v>0</v>
      </c>
      <c r="BR265" s="151" t="str">
        <f t="shared" si="61"/>
        <v/>
      </c>
      <c r="BS265" s="386">
        <v>0</v>
      </c>
      <c r="BT265" s="268">
        <f>IF(BQ265,_xll.qDateYears(BQ264,BQ265,BT$13),0)</f>
        <v>0</v>
      </c>
      <c r="BU265" s="268">
        <f t="shared" si="67"/>
        <v>1738.6030924697341</v>
      </c>
      <c r="CC265" s="526">
        <v>0</v>
      </c>
      <c r="CD265" s="151" t="str">
        <f t="shared" si="62"/>
        <v/>
      </c>
      <c r="CE265" s="386">
        <v>0</v>
      </c>
      <c r="CF265" s="268">
        <f>IF(CC265,_xll.qDateYears(CC264,CC265,CF$13),0)</f>
        <v>0</v>
      </c>
      <c r="CG265" s="268">
        <f t="shared" si="68"/>
        <v>2312.0085517586949</v>
      </c>
      <c r="CO265" s="526">
        <v>0</v>
      </c>
      <c r="CP265" s="151" t="str">
        <f t="shared" si="63"/>
        <v/>
      </c>
      <c r="CQ265" s="386">
        <v>0</v>
      </c>
      <c r="CR265" s="268">
        <f>IF(CO265,_xll.qDateYears(CO264,CO265,CR$13),0)</f>
        <v>0</v>
      </c>
      <c r="CS265" s="268">
        <f t="shared" si="69"/>
        <v>2185.174943791465</v>
      </c>
      <c r="DA265" s="526">
        <v>0</v>
      </c>
      <c r="DB265" s="151" t="str">
        <f t="shared" si="64"/>
        <v/>
      </c>
      <c r="DC265" s="386">
        <v>0</v>
      </c>
      <c r="DD265" s="268">
        <f>IF(DA265,_xll.qDateYears(DA264,DA265,DD$13),0)</f>
        <v>0</v>
      </c>
      <c r="DE265" s="268">
        <f t="shared" si="70"/>
        <v>1616.1787110556011</v>
      </c>
      <c r="DM265" s="526">
        <v>0</v>
      </c>
      <c r="DN265" s="151" t="str">
        <f t="shared" si="65"/>
        <v/>
      </c>
      <c r="DO265" s="386">
        <v>0</v>
      </c>
      <c r="DP265" s="268">
        <f>IF(DM265,_xll.qDateYears(DM264,DM265,DP$13),0)</f>
        <v>0</v>
      </c>
      <c r="DQ265" s="268">
        <f t="shared" si="71"/>
        <v>2183.1745733532407</v>
      </c>
    </row>
    <row r="266" spans="59:121">
      <c r="BG266" s="526">
        <v>0</v>
      </c>
      <c r="BH266" s="150" t="str">
        <f t="shared" si="60"/>
        <v/>
      </c>
      <c r="BI266" s="386">
        <v>0</v>
      </c>
      <c r="BJ266" s="268">
        <f>IF(BG266,_xll.qDateYears(BG265,BG266,$BJ$13),0)</f>
        <v>0</v>
      </c>
      <c r="BK266" s="268">
        <f t="shared" si="66"/>
        <v>2183.1745733532407</v>
      </c>
      <c r="BQ266" s="526">
        <v>0</v>
      </c>
      <c r="BR266" s="151" t="str">
        <f t="shared" si="61"/>
        <v/>
      </c>
      <c r="BS266" s="386">
        <v>0</v>
      </c>
      <c r="BT266" s="268">
        <f>IF(BQ266,_xll.qDateYears(BQ265,BQ266,BT$13),0)</f>
        <v>0</v>
      </c>
      <c r="BU266" s="268">
        <f t="shared" si="67"/>
        <v>1738.6030924697341</v>
      </c>
      <c r="CC266" s="526">
        <v>0</v>
      </c>
      <c r="CD266" s="151" t="str">
        <f t="shared" si="62"/>
        <v/>
      </c>
      <c r="CE266" s="386">
        <v>0</v>
      </c>
      <c r="CF266" s="268">
        <f>IF(CC266,_xll.qDateYears(CC265,CC266,CF$13),0)</f>
        <v>0</v>
      </c>
      <c r="CG266" s="268">
        <f t="shared" si="68"/>
        <v>2312.0085517586949</v>
      </c>
      <c r="CO266" s="526">
        <v>0</v>
      </c>
      <c r="CP266" s="151" t="str">
        <f t="shared" si="63"/>
        <v/>
      </c>
      <c r="CQ266" s="386">
        <v>0</v>
      </c>
      <c r="CR266" s="268">
        <f>IF(CO266,_xll.qDateYears(CO265,CO266,CR$13),0)</f>
        <v>0</v>
      </c>
      <c r="CS266" s="268">
        <f t="shared" si="69"/>
        <v>2185.174943791465</v>
      </c>
      <c r="DA266" s="526">
        <v>0</v>
      </c>
      <c r="DB266" s="151" t="str">
        <f t="shared" si="64"/>
        <v/>
      </c>
      <c r="DC266" s="386">
        <v>0</v>
      </c>
      <c r="DD266" s="268">
        <f>IF(DA266,_xll.qDateYears(DA265,DA266,DD$13),0)</f>
        <v>0</v>
      </c>
      <c r="DE266" s="268">
        <f t="shared" si="70"/>
        <v>1616.1787110556011</v>
      </c>
      <c r="DM266" s="526">
        <v>0</v>
      </c>
      <c r="DN266" s="151" t="str">
        <f t="shared" si="65"/>
        <v/>
      </c>
      <c r="DO266" s="386">
        <v>0</v>
      </c>
      <c r="DP266" s="268">
        <f>IF(DM266,_xll.qDateYears(DM265,DM266,DP$13),0)</f>
        <v>0</v>
      </c>
      <c r="DQ266" s="268">
        <f t="shared" si="71"/>
        <v>2183.1745733532407</v>
      </c>
    </row>
    <row r="267" spans="59:121">
      <c r="BG267" s="526">
        <v>0</v>
      </c>
      <c r="BH267" s="150" t="str">
        <f t="shared" si="60"/>
        <v/>
      </c>
      <c r="BI267" s="386">
        <v>0</v>
      </c>
      <c r="BJ267" s="268">
        <f>IF(BG267,_xll.qDateYears(BG266,BG267,$BJ$13),0)</f>
        <v>0</v>
      </c>
      <c r="BK267" s="268">
        <f t="shared" si="66"/>
        <v>2183.1745733532407</v>
      </c>
      <c r="BQ267" s="526">
        <v>0</v>
      </c>
      <c r="BR267" s="151" t="str">
        <f t="shared" si="61"/>
        <v/>
      </c>
      <c r="BS267" s="386">
        <v>0</v>
      </c>
      <c r="BT267" s="268">
        <f>IF(BQ267,_xll.qDateYears(BQ266,BQ267,BT$13),0)</f>
        <v>0</v>
      </c>
      <c r="BU267" s="268">
        <f t="shared" si="67"/>
        <v>1738.6030924697341</v>
      </c>
      <c r="CC267" s="526">
        <v>0</v>
      </c>
      <c r="CD267" s="151" t="str">
        <f t="shared" si="62"/>
        <v/>
      </c>
      <c r="CE267" s="386">
        <v>0</v>
      </c>
      <c r="CF267" s="268">
        <f>IF(CC267,_xll.qDateYears(CC266,CC267,CF$13),0)</f>
        <v>0</v>
      </c>
      <c r="CG267" s="268">
        <f t="shared" si="68"/>
        <v>2312.0085517586949</v>
      </c>
      <c r="CO267" s="526">
        <v>0</v>
      </c>
      <c r="CP267" s="151" t="str">
        <f t="shared" si="63"/>
        <v/>
      </c>
      <c r="CQ267" s="386">
        <v>0</v>
      </c>
      <c r="CR267" s="268">
        <f>IF(CO267,_xll.qDateYears(CO266,CO267,CR$13),0)</f>
        <v>0</v>
      </c>
      <c r="CS267" s="268">
        <f t="shared" si="69"/>
        <v>2185.174943791465</v>
      </c>
      <c r="DA267" s="526">
        <v>0</v>
      </c>
      <c r="DB267" s="151" t="str">
        <f t="shared" si="64"/>
        <v/>
      </c>
      <c r="DC267" s="386">
        <v>0</v>
      </c>
      <c r="DD267" s="268">
        <f>IF(DA267,_xll.qDateYears(DA266,DA267,DD$13),0)</f>
        <v>0</v>
      </c>
      <c r="DE267" s="268">
        <f t="shared" si="70"/>
        <v>1616.1787110556011</v>
      </c>
      <c r="DM267" s="526">
        <v>0</v>
      </c>
      <c r="DN267" s="151" t="str">
        <f t="shared" si="65"/>
        <v/>
      </c>
      <c r="DO267" s="386">
        <v>0</v>
      </c>
      <c r="DP267" s="268">
        <f>IF(DM267,_xll.qDateYears(DM266,DM267,DP$13),0)</f>
        <v>0</v>
      </c>
      <c r="DQ267" s="268">
        <f t="shared" si="71"/>
        <v>2183.1745733532407</v>
      </c>
    </row>
    <row r="268" spans="59:121">
      <c r="BG268" s="526">
        <v>0</v>
      </c>
      <c r="BH268" s="150" t="str">
        <f t="shared" si="60"/>
        <v/>
      </c>
      <c r="BI268" s="386">
        <v>0</v>
      </c>
      <c r="BJ268" s="268">
        <f>IF(BG268,_xll.qDateYears(BG267,BG268,$BJ$13),0)</f>
        <v>0</v>
      </c>
      <c r="BK268" s="268">
        <f t="shared" si="66"/>
        <v>2183.1745733532407</v>
      </c>
      <c r="BQ268" s="526">
        <v>0</v>
      </c>
      <c r="BR268" s="151" t="str">
        <f t="shared" si="61"/>
        <v/>
      </c>
      <c r="BS268" s="386">
        <v>0</v>
      </c>
      <c r="BT268" s="268">
        <f>IF(BQ268,_xll.qDateYears(BQ267,BQ268,BT$13),0)</f>
        <v>0</v>
      </c>
      <c r="BU268" s="268">
        <f t="shared" si="67"/>
        <v>1738.6030924697341</v>
      </c>
      <c r="CC268" s="526">
        <v>0</v>
      </c>
      <c r="CD268" s="151" t="str">
        <f t="shared" si="62"/>
        <v/>
      </c>
      <c r="CE268" s="386">
        <v>0</v>
      </c>
      <c r="CF268" s="268">
        <f>IF(CC268,_xll.qDateYears(CC267,CC268,CF$13),0)</f>
        <v>0</v>
      </c>
      <c r="CG268" s="268">
        <f t="shared" si="68"/>
        <v>2312.0085517586949</v>
      </c>
      <c r="CO268" s="526">
        <v>0</v>
      </c>
      <c r="CP268" s="151" t="str">
        <f t="shared" si="63"/>
        <v/>
      </c>
      <c r="CQ268" s="386">
        <v>0</v>
      </c>
      <c r="CR268" s="268">
        <f>IF(CO268,_xll.qDateYears(CO267,CO268,CR$13),0)</f>
        <v>0</v>
      </c>
      <c r="CS268" s="268">
        <f t="shared" si="69"/>
        <v>2185.174943791465</v>
      </c>
      <c r="DA268" s="526">
        <v>0</v>
      </c>
      <c r="DB268" s="151" t="str">
        <f t="shared" si="64"/>
        <v/>
      </c>
      <c r="DC268" s="386">
        <v>0</v>
      </c>
      <c r="DD268" s="268">
        <f>IF(DA268,_xll.qDateYears(DA267,DA268,DD$13),0)</f>
        <v>0</v>
      </c>
      <c r="DE268" s="268">
        <f t="shared" si="70"/>
        <v>1616.1787110556011</v>
      </c>
      <c r="DM268" s="526">
        <v>0</v>
      </c>
      <c r="DN268" s="151" t="str">
        <f t="shared" si="65"/>
        <v/>
      </c>
      <c r="DO268" s="386">
        <v>0</v>
      </c>
      <c r="DP268" s="268">
        <f>IF(DM268,_xll.qDateYears(DM267,DM268,DP$13),0)</f>
        <v>0</v>
      </c>
      <c r="DQ268" s="268">
        <f t="shared" si="71"/>
        <v>2183.1745733532407</v>
      </c>
    </row>
    <row r="269" spans="59:121">
      <c r="BG269" s="526">
        <v>0</v>
      </c>
      <c r="BH269" s="150" t="str">
        <f t="shared" si="60"/>
        <v/>
      </c>
      <c r="BI269" s="386">
        <v>0</v>
      </c>
      <c r="BJ269" s="268">
        <f>IF(BG269,_xll.qDateYears(BG268,BG269,$BJ$13),0)</f>
        <v>0</v>
      </c>
      <c r="BK269" s="268">
        <f t="shared" si="66"/>
        <v>2183.1745733532407</v>
      </c>
      <c r="BQ269" s="526">
        <v>0</v>
      </c>
      <c r="BR269" s="151" t="str">
        <f t="shared" si="61"/>
        <v/>
      </c>
      <c r="BS269" s="386">
        <v>0</v>
      </c>
      <c r="BT269" s="268">
        <f>IF(BQ269,_xll.qDateYears(BQ268,BQ269,BT$13),0)</f>
        <v>0</v>
      </c>
      <c r="BU269" s="268">
        <f t="shared" si="67"/>
        <v>1738.6030924697341</v>
      </c>
      <c r="CC269" s="526">
        <v>0</v>
      </c>
      <c r="CD269" s="151" t="str">
        <f t="shared" si="62"/>
        <v/>
      </c>
      <c r="CE269" s="386">
        <v>0</v>
      </c>
      <c r="CF269" s="268">
        <f>IF(CC269,_xll.qDateYears(CC268,CC269,CF$13),0)</f>
        <v>0</v>
      </c>
      <c r="CG269" s="268">
        <f t="shared" si="68"/>
        <v>2312.0085517586949</v>
      </c>
      <c r="CO269" s="526">
        <v>0</v>
      </c>
      <c r="CP269" s="151" t="str">
        <f t="shared" si="63"/>
        <v/>
      </c>
      <c r="CQ269" s="386">
        <v>0</v>
      </c>
      <c r="CR269" s="268">
        <f>IF(CO269,_xll.qDateYears(CO268,CO269,CR$13),0)</f>
        <v>0</v>
      </c>
      <c r="CS269" s="268">
        <f t="shared" si="69"/>
        <v>2185.174943791465</v>
      </c>
      <c r="DA269" s="526">
        <v>0</v>
      </c>
      <c r="DB269" s="151" t="str">
        <f t="shared" si="64"/>
        <v/>
      </c>
      <c r="DC269" s="386">
        <v>0</v>
      </c>
      <c r="DD269" s="268">
        <f>IF(DA269,_xll.qDateYears(DA268,DA269,DD$13),0)</f>
        <v>0</v>
      </c>
      <c r="DE269" s="268">
        <f t="shared" si="70"/>
        <v>1616.1787110556011</v>
      </c>
      <c r="DM269" s="526">
        <v>0</v>
      </c>
      <c r="DN269" s="151" t="str">
        <f t="shared" si="65"/>
        <v/>
      </c>
      <c r="DO269" s="386">
        <v>0</v>
      </c>
      <c r="DP269" s="268">
        <f>IF(DM269,_xll.qDateYears(DM268,DM269,DP$13),0)</f>
        <v>0</v>
      </c>
      <c r="DQ269" s="268">
        <f t="shared" si="71"/>
        <v>2183.1745733532407</v>
      </c>
    </row>
    <row r="270" spans="59:121">
      <c r="BG270" s="526">
        <v>0</v>
      </c>
      <c r="BH270" s="150" t="str">
        <f t="shared" si="60"/>
        <v/>
      </c>
      <c r="BI270" s="386">
        <v>0</v>
      </c>
      <c r="BJ270" s="268">
        <f>IF(BG270,_xll.qDateYears(BG269,BG270,$BJ$13),0)</f>
        <v>0</v>
      </c>
      <c r="BK270" s="268">
        <f t="shared" si="66"/>
        <v>2183.1745733532407</v>
      </c>
      <c r="BQ270" s="526">
        <v>0</v>
      </c>
      <c r="BR270" s="151" t="str">
        <f t="shared" si="61"/>
        <v/>
      </c>
      <c r="BS270" s="386">
        <v>0</v>
      </c>
      <c r="BT270" s="268">
        <f>IF(BQ270,_xll.qDateYears(BQ269,BQ270,BT$13),0)</f>
        <v>0</v>
      </c>
      <c r="BU270" s="268">
        <f t="shared" si="67"/>
        <v>1738.6030924697341</v>
      </c>
      <c r="CC270" s="526">
        <v>0</v>
      </c>
      <c r="CD270" s="151" t="str">
        <f t="shared" si="62"/>
        <v/>
      </c>
      <c r="CE270" s="386">
        <v>0</v>
      </c>
      <c r="CF270" s="268">
        <f>IF(CC270,_xll.qDateYears(CC269,CC270,CF$13),0)</f>
        <v>0</v>
      </c>
      <c r="CG270" s="268">
        <f t="shared" si="68"/>
        <v>2312.0085517586949</v>
      </c>
      <c r="CO270" s="526">
        <v>0</v>
      </c>
      <c r="CP270" s="151" t="str">
        <f t="shared" si="63"/>
        <v/>
      </c>
      <c r="CQ270" s="386">
        <v>0</v>
      </c>
      <c r="CR270" s="268">
        <f>IF(CO270,_xll.qDateYears(CO269,CO270,CR$13),0)</f>
        <v>0</v>
      </c>
      <c r="CS270" s="268">
        <f t="shared" si="69"/>
        <v>2185.174943791465</v>
      </c>
      <c r="DA270" s="526">
        <v>0</v>
      </c>
      <c r="DB270" s="151" t="str">
        <f t="shared" si="64"/>
        <v/>
      </c>
      <c r="DC270" s="386">
        <v>0</v>
      </c>
      <c r="DD270" s="268">
        <f>IF(DA270,_xll.qDateYears(DA269,DA270,DD$13),0)</f>
        <v>0</v>
      </c>
      <c r="DE270" s="268">
        <f t="shared" si="70"/>
        <v>1616.1787110556011</v>
      </c>
      <c r="DM270" s="526">
        <v>0</v>
      </c>
      <c r="DN270" s="151" t="str">
        <f t="shared" si="65"/>
        <v/>
      </c>
      <c r="DO270" s="386">
        <v>0</v>
      </c>
      <c r="DP270" s="268">
        <f>IF(DM270,_xll.qDateYears(DM269,DM270,DP$13),0)</f>
        <v>0</v>
      </c>
      <c r="DQ270" s="268">
        <f t="shared" si="71"/>
        <v>2183.1745733532407</v>
      </c>
    </row>
    <row r="271" spans="59:121">
      <c r="BG271" s="526">
        <v>0</v>
      </c>
      <c r="BH271" s="150" t="str">
        <f t="shared" ref="BH271:BH334" si="72">IF(BG271,ROUND((BG271-$BG$15)/365/0.25,0)*0.25&amp;"Y","")</f>
        <v/>
      </c>
      <c r="BI271" s="386">
        <v>0</v>
      </c>
      <c r="BJ271" s="268">
        <f>IF(BG271,_xll.qDateYears(BG270,BG271,$BJ$13),0)</f>
        <v>0</v>
      </c>
      <c r="BK271" s="268">
        <f t="shared" si="66"/>
        <v>2183.1745733532407</v>
      </c>
      <c r="BQ271" s="526">
        <v>0</v>
      </c>
      <c r="BR271" s="151" t="str">
        <f t="shared" ref="BR271:BR334" si="73">IF(BQ271,ROUND((BQ271-$BG$15)/365/0.25,0)*0.25&amp;"Y","")</f>
        <v/>
      </c>
      <c r="BS271" s="386">
        <v>0</v>
      </c>
      <c r="BT271" s="268">
        <f>IF(BQ271,_xll.qDateYears(BQ270,BQ271,BT$13),0)</f>
        <v>0</v>
      </c>
      <c r="BU271" s="268">
        <f t="shared" si="67"/>
        <v>1738.6030924697341</v>
      </c>
      <c r="CC271" s="526">
        <v>0</v>
      </c>
      <c r="CD271" s="151" t="str">
        <f t="shared" ref="CD271:CD334" si="74">IF(CC271,ROUND((CC271-$BG$15)/365/0.25,0)*0.25&amp;"Y","")</f>
        <v/>
      </c>
      <c r="CE271" s="386">
        <v>0</v>
      </c>
      <c r="CF271" s="268">
        <f>IF(CC271,_xll.qDateYears(CC270,CC271,CF$13),0)</f>
        <v>0</v>
      </c>
      <c r="CG271" s="268">
        <f t="shared" si="68"/>
        <v>2312.0085517586949</v>
      </c>
      <c r="CO271" s="526">
        <v>0</v>
      </c>
      <c r="CP271" s="151" t="str">
        <f t="shared" ref="CP271:CP334" si="75">IF(CO271,ROUND((CO271-$BG$15)/365/0.25,0)*0.25&amp;"Y","")</f>
        <v/>
      </c>
      <c r="CQ271" s="386">
        <v>0</v>
      </c>
      <c r="CR271" s="268">
        <f>IF(CO271,_xll.qDateYears(CO270,CO271,CR$13),0)</f>
        <v>0</v>
      </c>
      <c r="CS271" s="268">
        <f t="shared" si="69"/>
        <v>2185.174943791465</v>
      </c>
      <c r="DA271" s="526">
        <v>0</v>
      </c>
      <c r="DB271" s="151" t="str">
        <f t="shared" ref="DB271:DB334" si="76">IF(DA271,ROUND((DA271-$BG$15)/365/0.25,0)*0.25&amp;"Y","")</f>
        <v/>
      </c>
      <c r="DC271" s="386">
        <v>0</v>
      </c>
      <c r="DD271" s="268">
        <f>IF(DA271,_xll.qDateYears(DA270,DA271,DD$13),0)</f>
        <v>0</v>
      </c>
      <c r="DE271" s="268">
        <f t="shared" si="70"/>
        <v>1616.1787110556011</v>
      </c>
      <c r="DM271" s="526">
        <v>0</v>
      </c>
      <c r="DN271" s="151" t="str">
        <f t="shared" ref="DN271:DN334" si="77">IF(DM271,ROUND((DM271-$BG$15)/365/0.25,0)*0.25&amp;"Y","")</f>
        <v/>
      </c>
      <c r="DO271" s="386">
        <v>0</v>
      </c>
      <c r="DP271" s="268">
        <f>IF(DM271,_xll.qDateYears(DM270,DM271,DP$13),0)</f>
        <v>0</v>
      </c>
      <c r="DQ271" s="268">
        <f t="shared" si="71"/>
        <v>2183.1745733532407</v>
      </c>
    </row>
    <row r="272" spans="59:121">
      <c r="BG272" s="526">
        <v>0</v>
      </c>
      <c r="BH272" s="150" t="str">
        <f t="shared" si="72"/>
        <v/>
      </c>
      <c r="BI272" s="386">
        <v>0</v>
      </c>
      <c r="BJ272" s="268">
        <f>IF(BG272,_xll.qDateYears(BG271,BG272,$BJ$13),0)</f>
        <v>0</v>
      </c>
      <c r="BK272" s="268">
        <f t="shared" si="66"/>
        <v>2183.1745733532407</v>
      </c>
      <c r="BQ272" s="526">
        <v>0</v>
      </c>
      <c r="BR272" s="151" t="str">
        <f t="shared" si="73"/>
        <v/>
      </c>
      <c r="BS272" s="386">
        <v>0</v>
      </c>
      <c r="BT272" s="268">
        <f>IF(BQ272,_xll.qDateYears(BQ271,BQ272,BT$13),0)</f>
        <v>0</v>
      </c>
      <c r="BU272" s="268">
        <f t="shared" si="67"/>
        <v>1738.6030924697341</v>
      </c>
      <c r="CC272" s="526">
        <v>0</v>
      </c>
      <c r="CD272" s="151" t="str">
        <f t="shared" si="74"/>
        <v/>
      </c>
      <c r="CE272" s="386">
        <v>0</v>
      </c>
      <c r="CF272" s="268">
        <f>IF(CC272,_xll.qDateYears(CC271,CC272,CF$13),0)</f>
        <v>0</v>
      </c>
      <c r="CG272" s="268">
        <f t="shared" si="68"/>
        <v>2312.0085517586949</v>
      </c>
      <c r="CO272" s="526">
        <v>0</v>
      </c>
      <c r="CP272" s="151" t="str">
        <f t="shared" si="75"/>
        <v/>
      </c>
      <c r="CQ272" s="386">
        <v>0</v>
      </c>
      <c r="CR272" s="268">
        <f>IF(CO272,_xll.qDateYears(CO271,CO272,CR$13),0)</f>
        <v>0</v>
      </c>
      <c r="CS272" s="268">
        <f t="shared" si="69"/>
        <v>2185.174943791465</v>
      </c>
      <c r="DA272" s="526">
        <v>0</v>
      </c>
      <c r="DB272" s="151" t="str">
        <f t="shared" si="76"/>
        <v/>
      </c>
      <c r="DC272" s="386">
        <v>0</v>
      </c>
      <c r="DD272" s="268">
        <f>IF(DA272,_xll.qDateYears(DA271,DA272,DD$13),0)</f>
        <v>0</v>
      </c>
      <c r="DE272" s="268">
        <f t="shared" si="70"/>
        <v>1616.1787110556011</v>
      </c>
      <c r="DM272" s="526">
        <v>0</v>
      </c>
      <c r="DN272" s="151" t="str">
        <f t="shared" si="77"/>
        <v/>
      </c>
      <c r="DO272" s="386">
        <v>0</v>
      </c>
      <c r="DP272" s="268">
        <f>IF(DM272,_xll.qDateYears(DM271,DM272,DP$13),0)</f>
        <v>0</v>
      </c>
      <c r="DQ272" s="268">
        <f t="shared" si="71"/>
        <v>2183.1745733532407</v>
      </c>
    </row>
    <row r="273" spans="59:121">
      <c r="BG273" s="526">
        <v>0</v>
      </c>
      <c r="BH273" s="150" t="str">
        <f t="shared" si="72"/>
        <v/>
      </c>
      <c r="BI273" s="386">
        <v>0</v>
      </c>
      <c r="BJ273" s="268">
        <f>IF(BG273,_xll.qDateYears(BG272,BG273,$BJ$13),0)</f>
        <v>0</v>
      </c>
      <c r="BK273" s="268">
        <f t="shared" ref="BK273:BK336" si="78">BK272+BJ273*BI273*100</f>
        <v>2183.1745733532407</v>
      </c>
      <c r="BQ273" s="526">
        <v>0</v>
      </c>
      <c r="BR273" s="151" t="str">
        <f t="shared" si="73"/>
        <v/>
      </c>
      <c r="BS273" s="386">
        <v>0</v>
      </c>
      <c r="BT273" s="268">
        <f>IF(BQ273,_xll.qDateYears(BQ272,BQ273,BT$13),0)</f>
        <v>0</v>
      </c>
      <c r="BU273" s="268">
        <f t="shared" ref="BU273:BU336" si="79">BU272+BT273*BS273*100</f>
        <v>1738.6030924697341</v>
      </c>
      <c r="CC273" s="526">
        <v>0</v>
      </c>
      <c r="CD273" s="151" t="str">
        <f t="shared" si="74"/>
        <v/>
      </c>
      <c r="CE273" s="386">
        <v>0</v>
      </c>
      <c r="CF273" s="268">
        <f>IF(CC273,_xll.qDateYears(CC272,CC273,CF$13),0)</f>
        <v>0</v>
      </c>
      <c r="CG273" s="268">
        <f t="shared" ref="CG273:CG336" si="80">CG272+CF273*CE273*100</f>
        <v>2312.0085517586949</v>
      </c>
      <c r="CO273" s="526">
        <v>0</v>
      </c>
      <c r="CP273" s="151" t="str">
        <f t="shared" si="75"/>
        <v/>
      </c>
      <c r="CQ273" s="386">
        <v>0</v>
      </c>
      <c r="CR273" s="268">
        <f>IF(CO273,_xll.qDateYears(CO272,CO273,CR$13),0)</f>
        <v>0</v>
      </c>
      <c r="CS273" s="268">
        <f t="shared" ref="CS273:CS336" si="81">CS272+CR273*CQ273*100</f>
        <v>2185.174943791465</v>
      </c>
      <c r="DA273" s="526">
        <v>0</v>
      </c>
      <c r="DB273" s="151" t="str">
        <f t="shared" si="76"/>
        <v/>
      </c>
      <c r="DC273" s="386">
        <v>0</v>
      </c>
      <c r="DD273" s="268">
        <f>IF(DA273,_xll.qDateYears(DA272,DA273,DD$13),0)</f>
        <v>0</v>
      </c>
      <c r="DE273" s="268">
        <f t="shared" ref="DE273:DE336" si="82">DE272+DD273*DC273*100</f>
        <v>1616.1787110556011</v>
      </c>
      <c r="DM273" s="526">
        <v>0</v>
      </c>
      <c r="DN273" s="151" t="str">
        <f t="shared" si="77"/>
        <v/>
      </c>
      <c r="DO273" s="386">
        <v>0</v>
      </c>
      <c r="DP273" s="268">
        <f>IF(DM273,_xll.qDateYears(DM272,DM273,DP$13),0)</f>
        <v>0</v>
      </c>
      <c r="DQ273" s="268">
        <f t="shared" ref="DQ273:DQ336" si="83">DQ272+DP273*DO273*100</f>
        <v>2183.1745733532407</v>
      </c>
    </row>
    <row r="274" spans="59:121">
      <c r="BG274" s="526">
        <v>0</v>
      </c>
      <c r="BH274" s="150" t="str">
        <f t="shared" si="72"/>
        <v/>
      </c>
      <c r="BI274" s="386">
        <v>0</v>
      </c>
      <c r="BJ274" s="268">
        <f>IF(BG274,_xll.qDateYears(BG273,BG274,$BJ$13),0)</f>
        <v>0</v>
      </c>
      <c r="BK274" s="268">
        <f t="shared" si="78"/>
        <v>2183.1745733532407</v>
      </c>
      <c r="BQ274" s="526">
        <v>0</v>
      </c>
      <c r="BR274" s="151" t="str">
        <f t="shared" si="73"/>
        <v/>
      </c>
      <c r="BS274" s="386">
        <v>0</v>
      </c>
      <c r="BT274" s="268">
        <f>IF(BQ274,_xll.qDateYears(BQ273,BQ274,BT$13),0)</f>
        <v>0</v>
      </c>
      <c r="BU274" s="268">
        <f t="shared" si="79"/>
        <v>1738.6030924697341</v>
      </c>
      <c r="CC274" s="526">
        <v>0</v>
      </c>
      <c r="CD274" s="151" t="str">
        <f t="shared" si="74"/>
        <v/>
      </c>
      <c r="CE274" s="386">
        <v>0</v>
      </c>
      <c r="CF274" s="268">
        <f>IF(CC274,_xll.qDateYears(CC273,CC274,CF$13),0)</f>
        <v>0</v>
      </c>
      <c r="CG274" s="268">
        <f t="shared" si="80"/>
        <v>2312.0085517586949</v>
      </c>
      <c r="CO274" s="526">
        <v>0</v>
      </c>
      <c r="CP274" s="151" t="str">
        <f t="shared" si="75"/>
        <v/>
      </c>
      <c r="CQ274" s="386">
        <v>0</v>
      </c>
      <c r="CR274" s="268">
        <f>IF(CO274,_xll.qDateYears(CO273,CO274,CR$13),0)</f>
        <v>0</v>
      </c>
      <c r="CS274" s="268">
        <f t="shared" si="81"/>
        <v>2185.174943791465</v>
      </c>
      <c r="DA274" s="526">
        <v>0</v>
      </c>
      <c r="DB274" s="151" t="str">
        <f t="shared" si="76"/>
        <v/>
      </c>
      <c r="DC274" s="386">
        <v>0</v>
      </c>
      <c r="DD274" s="268">
        <f>IF(DA274,_xll.qDateYears(DA273,DA274,DD$13),0)</f>
        <v>0</v>
      </c>
      <c r="DE274" s="268">
        <f t="shared" si="82"/>
        <v>1616.1787110556011</v>
      </c>
      <c r="DM274" s="526">
        <v>0</v>
      </c>
      <c r="DN274" s="151" t="str">
        <f t="shared" si="77"/>
        <v/>
      </c>
      <c r="DO274" s="386">
        <v>0</v>
      </c>
      <c r="DP274" s="268">
        <f>IF(DM274,_xll.qDateYears(DM273,DM274,DP$13),0)</f>
        <v>0</v>
      </c>
      <c r="DQ274" s="268">
        <f t="shared" si="83"/>
        <v>2183.1745733532407</v>
      </c>
    </row>
    <row r="275" spans="59:121">
      <c r="BG275" s="526">
        <v>0</v>
      </c>
      <c r="BH275" s="150" t="str">
        <f t="shared" si="72"/>
        <v/>
      </c>
      <c r="BI275" s="386">
        <v>0</v>
      </c>
      <c r="BJ275" s="268">
        <f>IF(BG275,_xll.qDateYears(BG274,BG275,$BJ$13),0)</f>
        <v>0</v>
      </c>
      <c r="BK275" s="268">
        <f t="shared" si="78"/>
        <v>2183.1745733532407</v>
      </c>
      <c r="BQ275" s="526">
        <v>0</v>
      </c>
      <c r="BR275" s="151" t="str">
        <f t="shared" si="73"/>
        <v/>
      </c>
      <c r="BS275" s="386">
        <v>0</v>
      </c>
      <c r="BT275" s="268">
        <f>IF(BQ275,_xll.qDateYears(BQ274,BQ275,BT$13),0)</f>
        <v>0</v>
      </c>
      <c r="BU275" s="268">
        <f t="shared" si="79"/>
        <v>1738.6030924697341</v>
      </c>
      <c r="CC275" s="526">
        <v>0</v>
      </c>
      <c r="CD275" s="151" t="str">
        <f t="shared" si="74"/>
        <v/>
      </c>
      <c r="CE275" s="386">
        <v>0</v>
      </c>
      <c r="CF275" s="268">
        <f>IF(CC275,_xll.qDateYears(CC274,CC275,CF$13),0)</f>
        <v>0</v>
      </c>
      <c r="CG275" s="268">
        <f t="shared" si="80"/>
        <v>2312.0085517586949</v>
      </c>
      <c r="CO275" s="526">
        <v>0</v>
      </c>
      <c r="CP275" s="151" t="str">
        <f t="shared" si="75"/>
        <v/>
      </c>
      <c r="CQ275" s="386">
        <v>0</v>
      </c>
      <c r="CR275" s="268">
        <f>IF(CO275,_xll.qDateYears(CO274,CO275,CR$13),0)</f>
        <v>0</v>
      </c>
      <c r="CS275" s="268">
        <f t="shared" si="81"/>
        <v>2185.174943791465</v>
      </c>
      <c r="DA275" s="526">
        <v>0</v>
      </c>
      <c r="DB275" s="151" t="str">
        <f t="shared" si="76"/>
        <v/>
      </c>
      <c r="DC275" s="386">
        <v>0</v>
      </c>
      <c r="DD275" s="268">
        <f>IF(DA275,_xll.qDateYears(DA274,DA275,DD$13),0)</f>
        <v>0</v>
      </c>
      <c r="DE275" s="268">
        <f t="shared" si="82"/>
        <v>1616.1787110556011</v>
      </c>
      <c r="DM275" s="526">
        <v>0</v>
      </c>
      <c r="DN275" s="151" t="str">
        <f t="shared" si="77"/>
        <v/>
      </c>
      <c r="DO275" s="386">
        <v>0</v>
      </c>
      <c r="DP275" s="268">
        <f>IF(DM275,_xll.qDateYears(DM274,DM275,DP$13),0)</f>
        <v>0</v>
      </c>
      <c r="DQ275" s="268">
        <f t="shared" si="83"/>
        <v>2183.1745733532407</v>
      </c>
    </row>
    <row r="276" spans="59:121">
      <c r="BG276" s="526">
        <v>0</v>
      </c>
      <c r="BH276" s="150" t="str">
        <f t="shared" si="72"/>
        <v/>
      </c>
      <c r="BI276" s="386">
        <v>0</v>
      </c>
      <c r="BJ276" s="268">
        <f>IF(BG276,_xll.qDateYears(BG275,BG276,$BJ$13),0)</f>
        <v>0</v>
      </c>
      <c r="BK276" s="268">
        <f t="shared" si="78"/>
        <v>2183.1745733532407</v>
      </c>
      <c r="BQ276" s="526">
        <v>0</v>
      </c>
      <c r="BR276" s="151" t="str">
        <f t="shared" si="73"/>
        <v/>
      </c>
      <c r="BS276" s="386">
        <v>0</v>
      </c>
      <c r="BT276" s="268">
        <f>IF(BQ276,_xll.qDateYears(BQ275,BQ276,BT$13),0)</f>
        <v>0</v>
      </c>
      <c r="BU276" s="268">
        <f t="shared" si="79"/>
        <v>1738.6030924697341</v>
      </c>
      <c r="CC276" s="526">
        <v>0</v>
      </c>
      <c r="CD276" s="151" t="str">
        <f t="shared" si="74"/>
        <v/>
      </c>
      <c r="CE276" s="386">
        <v>0</v>
      </c>
      <c r="CF276" s="268">
        <f>IF(CC276,_xll.qDateYears(CC275,CC276,CF$13),0)</f>
        <v>0</v>
      </c>
      <c r="CG276" s="268">
        <f t="shared" si="80"/>
        <v>2312.0085517586949</v>
      </c>
      <c r="CO276" s="526">
        <v>0</v>
      </c>
      <c r="CP276" s="151" t="str">
        <f t="shared" si="75"/>
        <v/>
      </c>
      <c r="CQ276" s="386">
        <v>0</v>
      </c>
      <c r="CR276" s="268">
        <f>IF(CO276,_xll.qDateYears(CO275,CO276,CR$13),0)</f>
        <v>0</v>
      </c>
      <c r="CS276" s="268">
        <f t="shared" si="81"/>
        <v>2185.174943791465</v>
      </c>
      <c r="DA276" s="526">
        <v>0</v>
      </c>
      <c r="DB276" s="151" t="str">
        <f t="shared" si="76"/>
        <v/>
      </c>
      <c r="DC276" s="386">
        <v>0</v>
      </c>
      <c r="DD276" s="268">
        <f>IF(DA276,_xll.qDateYears(DA275,DA276,DD$13),0)</f>
        <v>0</v>
      </c>
      <c r="DE276" s="268">
        <f t="shared" si="82"/>
        <v>1616.1787110556011</v>
      </c>
      <c r="DM276" s="526">
        <v>0</v>
      </c>
      <c r="DN276" s="151" t="str">
        <f t="shared" si="77"/>
        <v/>
      </c>
      <c r="DO276" s="386">
        <v>0</v>
      </c>
      <c r="DP276" s="268">
        <f>IF(DM276,_xll.qDateYears(DM275,DM276,DP$13),0)</f>
        <v>0</v>
      </c>
      <c r="DQ276" s="268">
        <f t="shared" si="83"/>
        <v>2183.1745733532407</v>
      </c>
    </row>
    <row r="277" spans="59:121">
      <c r="BG277" s="526">
        <v>0</v>
      </c>
      <c r="BH277" s="150" t="str">
        <f t="shared" si="72"/>
        <v/>
      </c>
      <c r="BI277" s="386">
        <v>0</v>
      </c>
      <c r="BJ277" s="268">
        <f>IF(BG277,_xll.qDateYears(BG276,BG277,$BJ$13),0)</f>
        <v>0</v>
      </c>
      <c r="BK277" s="268">
        <f t="shared" si="78"/>
        <v>2183.1745733532407</v>
      </c>
      <c r="BQ277" s="526">
        <v>0</v>
      </c>
      <c r="BR277" s="151" t="str">
        <f t="shared" si="73"/>
        <v/>
      </c>
      <c r="BS277" s="386">
        <v>0</v>
      </c>
      <c r="BT277" s="268">
        <f>IF(BQ277,_xll.qDateYears(BQ276,BQ277,BT$13),0)</f>
        <v>0</v>
      </c>
      <c r="BU277" s="268">
        <f t="shared" si="79"/>
        <v>1738.6030924697341</v>
      </c>
      <c r="CC277" s="526">
        <v>0</v>
      </c>
      <c r="CD277" s="151" t="str">
        <f t="shared" si="74"/>
        <v/>
      </c>
      <c r="CE277" s="386">
        <v>0</v>
      </c>
      <c r="CF277" s="268">
        <f>IF(CC277,_xll.qDateYears(CC276,CC277,CF$13),0)</f>
        <v>0</v>
      </c>
      <c r="CG277" s="268">
        <f t="shared" si="80"/>
        <v>2312.0085517586949</v>
      </c>
      <c r="CO277" s="526">
        <v>0</v>
      </c>
      <c r="CP277" s="151" t="str">
        <f t="shared" si="75"/>
        <v/>
      </c>
      <c r="CQ277" s="386">
        <v>0</v>
      </c>
      <c r="CR277" s="268">
        <f>IF(CO277,_xll.qDateYears(CO276,CO277,CR$13),0)</f>
        <v>0</v>
      </c>
      <c r="CS277" s="268">
        <f t="shared" si="81"/>
        <v>2185.174943791465</v>
      </c>
      <c r="DA277" s="526">
        <v>0</v>
      </c>
      <c r="DB277" s="151" t="str">
        <f t="shared" si="76"/>
        <v/>
      </c>
      <c r="DC277" s="386">
        <v>0</v>
      </c>
      <c r="DD277" s="268">
        <f>IF(DA277,_xll.qDateYears(DA276,DA277,DD$13),0)</f>
        <v>0</v>
      </c>
      <c r="DE277" s="268">
        <f t="shared" si="82"/>
        <v>1616.1787110556011</v>
      </c>
      <c r="DM277" s="526">
        <v>0</v>
      </c>
      <c r="DN277" s="151" t="str">
        <f t="shared" si="77"/>
        <v/>
      </c>
      <c r="DO277" s="386">
        <v>0</v>
      </c>
      <c r="DP277" s="268">
        <f>IF(DM277,_xll.qDateYears(DM276,DM277,DP$13),0)</f>
        <v>0</v>
      </c>
      <c r="DQ277" s="268">
        <f t="shared" si="83"/>
        <v>2183.1745733532407</v>
      </c>
    </row>
    <row r="278" spans="59:121">
      <c r="BG278" s="526">
        <v>0</v>
      </c>
      <c r="BH278" s="150" t="str">
        <f t="shared" si="72"/>
        <v/>
      </c>
      <c r="BI278" s="386">
        <v>0</v>
      </c>
      <c r="BJ278" s="268">
        <f>IF(BG278,_xll.qDateYears(BG277,BG278,$BJ$13),0)</f>
        <v>0</v>
      </c>
      <c r="BK278" s="268">
        <f t="shared" si="78"/>
        <v>2183.1745733532407</v>
      </c>
      <c r="BQ278" s="526">
        <v>0</v>
      </c>
      <c r="BR278" s="151" t="str">
        <f t="shared" si="73"/>
        <v/>
      </c>
      <c r="BS278" s="386">
        <v>0</v>
      </c>
      <c r="BT278" s="268">
        <f>IF(BQ278,_xll.qDateYears(BQ277,BQ278,BT$13),0)</f>
        <v>0</v>
      </c>
      <c r="BU278" s="268">
        <f t="shared" si="79"/>
        <v>1738.6030924697341</v>
      </c>
      <c r="CC278" s="526">
        <v>0</v>
      </c>
      <c r="CD278" s="151" t="str">
        <f t="shared" si="74"/>
        <v/>
      </c>
      <c r="CE278" s="386">
        <v>0</v>
      </c>
      <c r="CF278" s="268">
        <f>IF(CC278,_xll.qDateYears(CC277,CC278,CF$13),0)</f>
        <v>0</v>
      </c>
      <c r="CG278" s="268">
        <f t="shared" si="80"/>
        <v>2312.0085517586949</v>
      </c>
      <c r="CO278" s="526">
        <v>0</v>
      </c>
      <c r="CP278" s="151" t="str">
        <f t="shared" si="75"/>
        <v/>
      </c>
      <c r="CQ278" s="386">
        <v>0</v>
      </c>
      <c r="CR278" s="268">
        <f>IF(CO278,_xll.qDateYears(CO277,CO278,CR$13),0)</f>
        <v>0</v>
      </c>
      <c r="CS278" s="268">
        <f t="shared" si="81"/>
        <v>2185.174943791465</v>
      </c>
      <c r="DA278" s="526">
        <v>0</v>
      </c>
      <c r="DB278" s="151" t="str">
        <f t="shared" si="76"/>
        <v/>
      </c>
      <c r="DC278" s="386">
        <v>0</v>
      </c>
      <c r="DD278" s="268">
        <f>IF(DA278,_xll.qDateYears(DA277,DA278,DD$13),0)</f>
        <v>0</v>
      </c>
      <c r="DE278" s="268">
        <f t="shared" si="82"/>
        <v>1616.1787110556011</v>
      </c>
      <c r="DM278" s="526">
        <v>0</v>
      </c>
      <c r="DN278" s="151" t="str">
        <f t="shared" si="77"/>
        <v/>
      </c>
      <c r="DO278" s="386">
        <v>0</v>
      </c>
      <c r="DP278" s="268">
        <f>IF(DM278,_xll.qDateYears(DM277,DM278,DP$13),0)</f>
        <v>0</v>
      </c>
      <c r="DQ278" s="268">
        <f t="shared" si="83"/>
        <v>2183.1745733532407</v>
      </c>
    </row>
    <row r="279" spans="59:121">
      <c r="BG279" s="526">
        <v>0</v>
      </c>
      <c r="BH279" s="150" t="str">
        <f t="shared" si="72"/>
        <v/>
      </c>
      <c r="BI279" s="386">
        <v>0</v>
      </c>
      <c r="BJ279" s="268">
        <f>IF(BG279,_xll.qDateYears(BG278,BG279,$BJ$13),0)</f>
        <v>0</v>
      </c>
      <c r="BK279" s="268">
        <f t="shared" si="78"/>
        <v>2183.1745733532407</v>
      </c>
      <c r="BQ279" s="526">
        <v>0</v>
      </c>
      <c r="BR279" s="151" t="str">
        <f t="shared" si="73"/>
        <v/>
      </c>
      <c r="BS279" s="386">
        <v>0</v>
      </c>
      <c r="BT279" s="268">
        <f>IF(BQ279,_xll.qDateYears(BQ278,BQ279,BT$13),0)</f>
        <v>0</v>
      </c>
      <c r="BU279" s="268">
        <f t="shared" si="79"/>
        <v>1738.6030924697341</v>
      </c>
      <c r="CC279" s="526">
        <v>0</v>
      </c>
      <c r="CD279" s="151" t="str">
        <f t="shared" si="74"/>
        <v/>
      </c>
      <c r="CE279" s="386">
        <v>0</v>
      </c>
      <c r="CF279" s="268">
        <f>IF(CC279,_xll.qDateYears(CC278,CC279,CF$13),0)</f>
        <v>0</v>
      </c>
      <c r="CG279" s="268">
        <f t="shared" si="80"/>
        <v>2312.0085517586949</v>
      </c>
      <c r="CO279" s="526">
        <v>0</v>
      </c>
      <c r="CP279" s="151" t="str">
        <f t="shared" si="75"/>
        <v/>
      </c>
      <c r="CQ279" s="386">
        <v>0</v>
      </c>
      <c r="CR279" s="268">
        <f>IF(CO279,_xll.qDateYears(CO278,CO279,CR$13),0)</f>
        <v>0</v>
      </c>
      <c r="CS279" s="268">
        <f t="shared" si="81"/>
        <v>2185.174943791465</v>
      </c>
      <c r="DA279" s="526">
        <v>0</v>
      </c>
      <c r="DB279" s="151" t="str">
        <f t="shared" si="76"/>
        <v/>
      </c>
      <c r="DC279" s="386">
        <v>0</v>
      </c>
      <c r="DD279" s="268">
        <f>IF(DA279,_xll.qDateYears(DA278,DA279,DD$13),0)</f>
        <v>0</v>
      </c>
      <c r="DE279" s="268">
        <f t="shared" si="82"/>
        <v>1616.1787110556011</v>
      </c>
      <c r="DM279" s="526">
        <v>0</v>
      </c>
      <c r="DN279" s="151" t="str">
        <f t="shared" si="77"/>
        <v/>
      </c>
      <c r="DO279" s="386">
        <v>0</v>
      </c>
      <c r="DP279" s="268">
        <f>IF(DM279,_xll.qDateYears(DM278,DM279,DP$13),0)</f>
        <v>0</v>
      </c>
      <c r="DQ279" s="268">
        <f t="shared" si="83"/>
        <v>2183.1745733532407</v>
      </c>
    </row>
    <row r="280" spans="59:121">
      <c r="BG280" s="526">
        <v>0</v>
      </c>
      <c r="BH280" s="150" t="str">
        <f t="shared" si="72"/>
        <v/>
      </c>
      <c r="BI280" s="386">
        <v>0</v>
      </c>
      <c r="BJ280" s="268">
        <f>IF(BG280,_xll.qDateYears(BG279,BG280,$BJ$13),0)</f>
        <v>0</v>
      </c>
      <c r="BK280" s="268">
        <f t="shared" si="78"/>
        <v>2183.1745733532407</v>
      </c>
      <c r="BQ280" s="526">
        <v>0</v>
      </c>
      <c r="BR280" s="151" t="str">
        <f t="shared" si="73"/>
        <v/>
      </c>
      <c r="BS280" s="386">
        <v>0</v>
      </c>
      <c r="BT280" s="268">
        <f>IF(BQ280,_xll.qDateYears(BQ279,BQ280,BT$13),0)</f>
        <v>0</v>
      </c>
      <c r="BU280" s="268">
        <f t="shared" si="79"/>
        <v>1738.6030924697341</v>
      </c>
      <c r="CC280" s="526">
        <v>0</v>
      </c>
      <c r="CD280" s="151" t="str">
        <f t="shared" si="74"/>
        <v/>
      </c>
      <c r="CE280" s="386">
        <v>0</v>
      </c>
      <c r="CF280" s="268">
        <f>IF(CC280,_xll.qDateYears(CC279,CC280,CF$13),0)</f>
        <v>0</v>
      </c>
      <c r="CG280" s="268">
        <f t="shared" si="80"/>
        <v>2312.0085517586949</v>
      </c>
      <c r="CO280" s="526">
        <v>0</v>
      </c>
      <c r="CP280" s="151" t="str">
        <f t="shared" si="75"/>
        <v/>
      </c>
      <c r="CQ280" s="386">
        <v>0</v>
      </c>
      <c r="CR280" s="268">
        <f>IF(CO280,_xll.qDateYears(CO279,CO280,CR$13),0)</f>
        <v>0</v>
      </c>
      <c r="CS280" s="268">
        <f t="shared" si="81"/>
        <v>2185.174943791465</v>
      </c>
      <c r="DA280" s="526">
        <v>0</v>
      </c>
      <c r="DB280" s="151" t="str">
        <f t="shared" si="76"/>
        <v/>
      </c>
      <c r="DC280" s="386">
        <v>0</v>
      </c>
      <c r="DD280" s="268">
        <f>IF(DA280,_xll.qDateYears(DA279,DA280,DD$13),0)</f>
        <v>0</v>
      </c>
      <c r="DE280" s="268">
        <f t="shared" si="82"/>
        <v>1616.1787110556011</v>
      </c>
      <c r="DM280" s="526">
        <v>0</v>
      </c>
      <c r="DN280" s="151" t="str">
        <f t="shared" si="77"/>
        <v/>
      </c>
      <c r="DO280" s="386">
        <v>0</v>
      </c>
      <c r="DP280" s="268">
        <f>IF(DM280,_xll.qDateYears(DM279,DM280,DP$13),0)</f>
        <v>0</v>
      </c>
      <c r="DQ280" s="268">
        <f t="shared" si="83"/>
        <v>2183.1745733532407</v>
      </c>
    </row>
    <row r="281" spans="59:121">
      <c r="BG281" s="526">
        <v>0</v>
      </c>
      <c r="BH281" s="150" t="str">
        <f t="shared" si="72"/>
        <v/>
      </c>
      <c r="BI281" s="386">
        <v>0</v>
      </c>
      <c r="BJ281" s="268">
        <f>IF(BG281,_xll.qDateYears(BG280,BG281,$BJ$13),0)</f>
        <v>0</v>
      </c>
      <c r="BK281" s="268">
        <f t="shared" si="78"/>
        <v>2183.1745733532407</v>
      </c>
      <c r="BQ281" s="526">
        <v>0</v>
      </c>
      <c r="BR281" s="151" t="str">
        <f t="shared" si="73"/>
        <v/>
      </c>
      <c r="BS281" s="386">
        <v>0</v>
      </c>
      <c r="BT281" s="268">
        <f>IF(BQ281,_xll.qDateYears(BQ280,BQ281,BT$13),0)</f>
        <v>0</v>
      </c>
      <c r="BU281" s="268">
        <f t="shared" si="79"/>
        <v>1738.6030924697341</v>
      </c>
      <c r="CC281" s="526">
        <v>0</v>
      </c>
      <c r="CD281" s="151" t="str">
        <f t="shared" si="74"/>
        <v/>
      </c>
      <c r="CE281" s="386">
        <v>0</v>
      </c>
      <c r="CF281" s="268">
        <f>IF(CC281,_xll.qDateYears(CC280,CC281,CF$13),0)</f>
        <v>0</v>
      </c>
      <c r="CG281" s="268">
        <f t="shared" si="80"/>
        <v>2312.0085517586949</v>
      </c>
      <c r="CO281" s="526">
        <v>0</v>
      </c>
      <c r="CP281" s="151" t="str">
        <f t="shared" si="75"/>
        <v/>
      </c>
      <c r="CQ281" s="386">
        <v>0</v>
      </c>
      <c r="CR281" s="268">
        <f>IF(CO281,_xll.qDateYears(CO280,CO281,CR$13),0)</f>
        <v>0</v>
      </c>
      <c r="CS281" s="268">
        <f t="shared" si="81"/>
        <v>2185.174943791465</v>
      </c>
      <c r="DA281" s="526">
        <v>0</v>
      </c>
      <c r="DB281" s="151" t="str">
        <f t="shared" si="76"/>
        <v/>
      </c>
      <c r="DC281" s="386">
        <v>0</v>
      </c>
      <c r="DD281" s="268">
        <f>IF(DA281,_xll.qDateYears(DA280,DA281,DD$13),0)</f>
        <v>0</v>
      </c>
      <c r="DE281" s="268">
        <f t="shared" si="82"/>
        <v>1616.1787110556011</v>
      </c>
      <c r="DM281" s="526">
        <v>0</v>
      </c>
      <c r="DN281" s="151" t="str">
        <f t="shared" si="77"/>
        <v/>
      </c>
      <c r="DO281" s="386">
        <v>0</v>
      </c>
      <c r="DP281" s="268">
        <f>IF(DM281,_xll.qDateYears(DM280,DM281,DP$13),0)</f>
        <v>0</v>
      </c>
      <c r="DQ281" s="268">
        <f t="shared" si="83"/>
        <v>2183.1745733532407</v>
      </c>
    </row>
    <row r="282" spans="59:121">
      <c r="BG282" s="526">
        <v>0</v>
      </c>
      <c r="BH282" s="150" t="str">
        <f t="shared" si="72"/>
        <v/>
      </c>
      <c r="BI282" s="386">
        <v>0</v>
      </c>
      <c r="BJ282" s="268">
        <f>IF(BG282,_xll.qDateYears(BG281,BG282,$BJ$13),0)</f>
        <v>0</v>
      </c>
      <c r="BK282" s="268">
        <f t="shared" si="78"/>
        <v>2183.1745733532407</v>
      </c>
      <c r="BQ282" s="526">
        <v>0</v>
      </c>
      <c r="BR282" s="151" t="str">
        <f t="shared" si="73"/>
        <v/>
      </c>
      <c r="BS282" s="386">
        <v>0</v>
      </c>
      <c r="BT282" s="268">
        <f>IF(BQ282,_xll.qDateYears(BQ281,BQ282,BT$13),0)</f>
        <v>0</v>
      </c>
      <c r="BU282" s="268">
        <f t="shared" si="79"/>
        <v>1738.6030924697341</v>
      </c>
      <c r="CC282" s="526">
        <v>0</v>
      </c>
      <c r="CD282" s="151" t="str">
        <f t="shared" si="74"/>
        <v/>
      </c>
      <c r="CE282" s="386">
        <v>0</v>
      </c>
      <c r="CF282" s="268">
        <f>IF(CC282,_xll.qDateYears(CC281,CC282,CF$13),0)</f>
        <v>0</v>
      </c>
      <c r="CG282" s="268">
        <f t="shared" si="80"/>
        <v>2312.0085517586949</v>
      </c>
      <c r="CO282" s="526">
        <v>0</v>
      </c>
      <c r="CP282" s="151" t="str">
        <f t="shared" si="75"/>
        <v/>
      </c>
      <c r="CQ282" s="386">
        <v>0</v>
      </c>
      <c r="CR282" s="268">
        <f>IF(CO282,_xll.qDateYears(CO281,CO282,CR$13),0)</f>
        <v>0</v>
      </c>
      <c r="CS282" s="268">
        <f t="shared" si="81"/>
        <v>2185.174943791465</v>
      </c>
      <c r="DA282" s="526">
        <v>0</v>
      </c>
      <c r="DB282" s="151" t="str">
        <f t="shared" si="76"/>
        <v/>
      </c>
      <c r="DC282" s="386">
        <v>0</v>
      </c>
      <c r="DD282" s="268">
        <f>IF(DA282,_xll.qDateYears(DA281,DA282,DD$13),0)</f>
        <v>0</v>
      </c>
      <c r="DE282" s="268">
        <f t="shared" si="82"/>
        <v>1616.1787110556011</v>
      </c>
      <c r="DM282" s="526">
        <v>0</v>
      </c>
      <c r="DN282" s="151" t="str">
        <f t="shared" si="77"/>
        <v/>
      </c>
      <c r="DO282" s="386">
        <v>0</v>
      </c>
      <c r="DP282" s="268">
        <f>IF(DM282,_xll.qDateYears(DM281,DM282,DP$13),0)</f>
        <v>0</v>
      </c>
      <c r="DQ282" s="268">
        <f t="shared" si="83"/>
        <v>2183.1745733532407</v>
      </c>
    </row>
    <row r="283" spans="59:121">
      <c r="BG283" s="526">
        <v>0</v>
      </c>
      <c r="BH283" s="150" t="str">
        <f t="shared" si="72"/>
        <v/>
      </c>
      <c r="BI283" s="386">
        <v>0</v>
      </c>
      <c r="BJ283" s="268">
        <f>IF(BG283,_xll.qDateYears(BG282,BG283,$BJ$13),0)</f>
        <v>0</v>
      </c>
      <c r="BK283" s="268">
        <f t="shared" si="78"/>
        <v>2183.1745733532407</v>
      </c>
      <c r="BQ283" s="526">
        <v>0</v>
      </c>
      <c r="BR283" s="151" t="str">
        <f t="shared" si="73"/>
        <v/>
      </c>
      <c r="BS283" s="386">
        <v>0</v>
      </c>
      <c r="BT283" s="268">
        <f>IF(BQ283,_xll.qDateYears(BQ282,BQ283,BT$13),0)</f>
        <v>0</v>
      </c>
      <c r="BU283" s="268">
        <f t="shared" si="79"/>
        <v>1738.6030924697341</v>
      </c>
      <c r="CC283" s="526">
        <v>0</v>
      </c>
      <c r="CD283" s="151" t="str">
        <f t="shared" si="74"/>
        <v/>
      </c>
      <c r="CE283" s="386">
        <v>0</v>
      </c>
      <c r="CF283" s="268">
        <f>IF(CC283,_xll.qDateYears(CC282,CC283,CF$13),0)</f>
        <v>0</v>
      </c>
      <c r="CG283" s="268">
        <f t="shared" si="80"/>
        <v>2312.0085517586949</v>
      </c>
      <c r="CO283" s="526">
        <v>0</v>
      </c>
      <c r="CP283" s="151" t="str">
        <f t="shared" si="75"/>
        <v/>
      </c>
      <c r="CQ283" s="386">
        <v>0</v>
      </c>
      <c r="CR283" s="268">
        <f>IF(CO283,_xll.qDateYears(CO282,CO283,CR$13),0)</f>
        <v>0</v>
      </c>
      <c r="CS283" s="268">
        <f t="shared" si="81"/>
        <v>2185.174943791465</v>
      </c>
      <c r="DA283" s="526">
        <v>0</v>
      </c>
      <c r="DB283" s="151" t="str">
        <f t="shared" si="76"/>
        <v/>
      </c>
      <c r="DC283" s="386">
        <v>0</v>
      </c>
      <c r="DD283" s="268">
        <f>IF(DA283,_xll.qDateYears(DA282,DA283,DD$13),0)</f>
        <v>0</v>
      </c>
      <c r="DE283" s="268">
        <f t="shared" si="82"/>
        <v>1616.1787110556011</v>
      </c>
      <c r="DM283" s="526">
        <v>0</v>
      </c>
      <c r="DN283" s="151" t="str">
        <f t="shared" si="77"/>
        <v/>
      </c>
      <c r="DO283" s="386">
        <v>0</v>
      </c>
      <c r="DP283" s="268">
        <f>IF(DM283,_xll.qDateYears(DM282,DM283,DP$13),0)</f>
        <v>0</v>
      </c>
      <c r="DQ283" s="268">
        <f t="shared" si="83"/>
        <v>2183.1745733532407</v>
      </c>
    </row>
    <row r="284" spans="59:121">
      <c r="BG284" s="526">
        <v>0</v>
      </c>
      <c r="BH284" s="150" t="str">
        <f t="shared" si="72"/>
        <v/>
      </c>
      <c r="BI284" s="386">
        <v>0</v>
      </c>
      <c r="BJ284" s="268">
        <f>IF(BG284,_xll.qDateYears(BG283,BG284,$BJ$13),0)</f>
        <v>0</v>
      </c>
      <c r="BK284" s="268">
        <f t="shared" si="78"/>
        <v>2183.1745733532407</v>
      </c>
      <c r="BQ284" s="526">
        <v>0</v>
      </c>
      <c r="BR284" s="151" t="str">
        <f t="shared" si="73"/>
        <v/>
      </c>
      <c r="BS284" s="386">
        <v>0</v>
      </c>
      <c r="BT284" s="268">
        <f>IF(BQ284,_xll.qDateYears(BQ283,BQ284,BT$13),0)</f>
        <v>0</v>
      </c>
      <c r="BU284" s="268">
        <f t="shared" si="79"/>
        <v>1738.6030924697341</v>
      </c>
      <c r="CC284" s="526">
        <v>0</v>
      </c>
      <c r="CD284" s="151" t="str">
        <f t="shared" si="74"/>
        <v/>
      </c>
      <c r="CE284" s="386">
        <v>0</v>
      </c>
      <c r="CF284" s="268">
        <f>IF(CC284,_xll.qDateYears(CC283,CC284,CF$13),0)</f>
        <v>0</v>
      </c>
      <c r="CG284" s="268">
        <f t="shared" si="80"/>
        <v>2312.0085517586949</v>
      </c>
      <c r="CO284" s="526">
        <v>0</v>
      </c>
      <c r="CP284" s="151" t="str">
        <f t="shared" si="75"/>
        <v/>
      </c>
      <c r="CQ284" s="386">
        <v>0</v>
      </c>
      <c r="CR284" s="268">
        <f>IF(CO284,_xll.qDateYears(CO283,CO284,CR$13),0)</f>
        <v>0</v>
      </c>
      <c r="CS284" s="268">
        <f t="shared" si="81"/>
        <v>2185.174943791465</v>
      </c>
      <c r="DA284" s="526">
        <v>0</v>
      </c>
      <c r="DB284" s="151" t="str">
        <f t="shared" si="76"/>
        <v/>
      </c>
      <c r="DC284" s="386">
        <v>0</v>
      </c>
      <c r="DD284" s="268">
        <f>IF(DA284,_xll.qDateYears(DA283,DA284,DD$13),0)</f>
        <v>0</v>
      </c>
      <c r="DE284" s="268">
        <f t="shared" si="82"/>
        <v>1616.1787110556011</v>
      </c>
      <c r="DM284" s="526">
        <v>0</v>
      </c>
      <c r="DN284" s="151" t="str">
        <f t="shared" si="77"/>
        <v/>
      </c>
      <c r="DO284" s="386">
        <v>0</v>
      </c>
      <c r="DP284" s="268">
        <f>IF(DM284,_xll.qDateYears(DM283,DM284,DP$13),0)</f>
        <v>0</v>
      </c>
      <c r="DQ284" s="268">
        <f t="shared" si="83"/>
        <v>2183.1745733532407</v>
      </c>
    </row>
    <row r="285" spans="59:121">
      <c r="BG285" s="526">
        <v>0</v>
      </c>
      <c r="BH285" s="150" t="str">
        <f t="shared" si="72"/>
        <v/>
      </c>
      <c r="BI285" s="386">
        <v>0</v>
      </c>
      <c r="BJ285" s="268">
        <f>IF(BG285,_xll.qDateYears(BG284,BG285,$BJ$13),0)</f>
        <v>0</v>
      </c>
      <c r="BK285" s="268">
        <f t="shared" si="78"/>
        <v>2183.1745733532407</v>
      </c>
      <c r="BQ285" s="526">
        <v>0</v>
      </c>
      <c r="BR285" s="151" t="str">
        <f t="shared" si="73"/>
        <v/>
      </c>
      <c r="BS285" s="386">
        <v>0</v>
      </c>
      <c r="BT285" s="268">
        <f>IF(BQ285,_xll.qDateYears(BQ284,BQ285,BT$13),0)</f>
        <v>0</v>
      </c>
      <c r="BU285" s="268">
        <f t="shared" si="79"/>
        <v>1738.6030924697341</v>
      </c>
      <c r="CC285" s="526">
        <v>0</v>
      </c>
      <c r="CD285" s="151" t="str">
        <f t="shared" si="74"/>
        <v/>
      </c>
      <c r="CE285" s="386">
        <v>0</v>
      </c>
      <c r="CF285" s="268">
        <f>IF(CC285,_xll.qDateYears(CC284,CC285,CF$13),0)</f>
        <v>0</v>
      </c>
      <c r="CG285" s="268">
        <f t="shared" si="80"/>
        <v>2312.0085517586949</v>
      </c>
      <c r="CO285" s="526">
        <v>0</v>
      </c>
      <c r="CP285" s="151" t="str">
        <f t="shared" si="75"/>
        <v/>
      </c>
      <c r="CQ285" s="386">
        <v>0</v>
      </c>
      <c r="CR285" s="268">
        <f>IF(CO285,_xll.qDateYears(CO284,CO285,CR$13),0)</f>
        <v>0</v>
      </c>
      <c r="CS285" s="268">
        <f t="shared" si="81"/>
        <v>2185.174943791465</v>
      </c>
      <c r="DA285" s="526">
        <v>0</v>
      </c>
      <c r="DB285" s="151" t="str">
        <f t="shared" si="76"/>
        <v/>
      </c>
      <c r="DC285" s="386">
        <v>0</v>
      </c>
      <c r="DD285" s="268">
        <f>IF(DA285,_xll.qDateYears(DA284,DA285,DD$13),0)</f>
        <v>0</v>
      </c>
      <c r="DE285" s="268">
        <f t="shared" si="82"/>
        <v>1616.1787110556011</v>
      </c>
      <c r="DM285" s="526">
        <v>0</v>
      </c>
      <c r="DN285" s="151" t="str">
        <f t="shared" si="77"/>
        <v/>
      </c>
      <c r="DO285" s="386">
        <v>0</v>
      </c>
      <c r="DP285" s="268">
        <f>IF(DM285,_xll.qDateYears(DM284,DM285,DP$13),0)</f>
        <v>0</v>
      </c>
      <c r="DQ285" s="268">
        <f t="shared" si="83"/>
        <v>2183.1745733532407</v>
      </c>
    </row>
    <row r="286" spans="59:121">
      <c r="BG286" s="526">
        <v>0</v>
      </c>
      <c r="BH286" s="150" t="str">
        <f t="shared" si="72"/>
        <v/>
      </c>
      <c r="BI286" s="386">
        <v>0</v>
      </c>
      <c r="BJ286" s="268">
        <f>IF(BG286,_xll.qDateYears(BG285,BG286,$BJ$13),0)</f>
        <v>0</v>
      </c>
      <c r="BK286" s="268">
        <f t="shared" si="78"/>
        <v>2183.1745733532407</v>
      </c>
      <c r="BQ286" s="526">
        <v>0</v>
      </c>
      <c r="BR286" s="151" t="str">
        <f t="shared" si="73"/>
        <v/>
      </c>
      <c r="BS286" s="386">
        <v>0</v>
      </c>
      <c r="BT286" s="268">
        <f>IF(BQ286,_xll.qDateYears(BQ285,BQ286,BT$13),0)</f>
        <v>0</v>
      </c>
      <c r="BU286" s="268">
        <f t="shared" si="79"/>
        <v>1738.6030924697341</v>
      </c>
      <c r="CC286" s="526">
        <v>0</v>
      </c>
      <c r="CD286" s="151" t="str">
        <f t="shared" si="74"/>
        <v/>
      </c>
      <c r="CE286" s="386">
        <v>0</v>
      </c>
      <c r="CF286" s="268">
        <f>IF(CC286,_xll.qDateYears(CC285,CC286,CF$13),0)</f>
        <v>0</v>
      </c>
      <c r="CG286" s="268">
        <f t="shared" si="80"/>
        <v>2312.0085517586949</v>
      </c>
      <c r="CO286" s="526">
        <v>0</v>
      </c>
      <c r="CP286" s="151" t="str">
        <f t="shared" si="75"/>
        <v/>
      </c>
      <c r="CQ286" s="386">
        <v>0</v>
      </c>
      <c r="CR286" s="268">
        <f>IF(CO286,_xll.qDateYears(CO285,CO286,CR$13),0)</f>
        <v>0</v>
      </c>
      <c r="CS286" s="268">
        <f t="shared" si="81"/>
        <v>2185.174943791465</v>
      </c>
      <c r="DA286" s="526">
        <v>0</v>
      </c>
      <c r="DB286" s="151" t="str">
        <f t="shared" si="76"/>
        <v/>
      </c>
      <c r="DC286" s="386">
        <v>0</v>
      </c>
      <c r="DD286" s="268">
        <f>IF(DA286,_xll.qDateYears(DA285,DA286,DD$13),0)</f>
        <v>0</v>
      </c>
      <c r="DE286" s="268">
        <f t="shared" si="82"/>
        <v>1616.1787110556011</v>
      </c>
      <c r="DM286" s="526">
        <v>0</v>
      </c>
      <c r="DN286" s="151" t="str">
        <f t="shared" si="77"/>
        <v/>
      </c>
      <c r="DO286" s="386">
        <v>0</v>
      </c>
      <c r="DP286" s="268">
        <f>IF(DM286,_xll.qDateYears(DM285,DM286,DP$13),0)</f>
        <v>0</v>
      </c>
      <c r="DQ286" s="268">
        <f t="shared" si="83"/>
        <v>2183.1745733532407</v>
      </c>
    </row>
    <row r="287" spans="59:121">
      <c r="BG287" s="526">
        <v>0</v>
      </c>
      <c r="BH287" s="150" t="str">
        <f t="shared" si="72"/>
        <v/>
      </c>
      <c r="BI287" s="386">
        <v>0</v>
      </c>
      <c r="BJ287" s="268">
        <f>IF(BG287,_xll.qDateYears(BG286,BG287,$BJ$13),0)</f>
        <v>0</v>
      </c>
      <c r="BK287" s="268">
        <f t="shared" si="78"/>
        <v>2183.1745733532407</v>
      </c>
      <c r="BQ287" s="526">
        <v>0</v>
      </c>
      <c r="BR287" s="151" t="str">
        <f t="shared" si="73"/>
        <v/>
      </c>
      <c r="BS287" s="386">
        <v>0</v>
      </c>
      <c r="BT287" s="268">
        <f>IF(BQ287,_xll.qDateYears(BQ286,BQ287,BT$13),0)</f>
        <v>0</v>
      </c>
      <c r="BU287" s="268">
        <f t="shared" si="79"/>
        <v>1738.6030924697341</v>
      </c>
      <c r="CC287" s="526">
        <v>0</v>
      </c>
      <c r="CD287" s="151" t="str">
        <f t="shared" si="74"/>
        <v/>
      </c>
      <c r="CE287" s="386">
        <v>0</v>
      </c>
      <c r="CF287" s="268">
        <f>IF(CC287,_xll.qDateYears(CC286,CC287,CF$13),0)</f>
        <v>0</v>
      </c>
      <c r="CG287" s="268">
        <f t="shared" si="80"/>
        <v>2312.0085517586949</v>
      </c>
      <c r="CO287" s="526">
        <v>0</v>
      </c>
      <c r="CP287" s="151" t="str">
        <f t="shared" si="75"/>
        <v/>
      </c>
      <c r="CQ287" s="386">
        <v>0</v>
      </c>
      <c r="CR287" s="268">
        <f>IF(CO287,_xll.qDateYears(CO286,CO287,CR$13),0)</f>
        <v>0</v>
      </c>
      <c r="CS287" s="268">
        <f t="shared" si="81"/>
        <v>2185.174943791465</v>
      </c>
      <c r="DA287" s="526">
        <v>0</v>
      </c>
      <c r="DB287" s="151" t="str">
        <f t="shared" si="76"/>
        <v/>
      </c>
      <c r="DC287" s="386">
        <v>0</v>
      </c>
      <c r="DD287" s="268">
        <f>IF(DA287,_xll.qDateYears(DA286,DA287,DD$13),0)</f>
        <v>0</v>
      </c>
      <c r="DE287" s="268">
        <f t="shared" si="82"/>
        <v>1616.1787110556011</v>
      </c>
      <c r="DM287" s="526">
        <v>0</v>
      </c>
      <c r="DN287" s="151" t="str">
        <f t="shared" si="77"/>
        <v/>
      </c>
      <c r="DO287" s="386">
        <v>0</v>
      </c>
      <c r="DP287" s="268">
        <f>IF(DM287,_xll.qDateYears(DM286,DM287,DP$13),0)</f>
        <v>0</v>
      </c>
      <c r="DQ287" s="268">
        <f t="shared" si="83"/>
        <v>2183.1745733532407</v>
      </c>
    </row>
    <row r="288" spans="59:121">
      <c r="BG288" s="526">
        <v>0</v>
      </c>
      <c r="BH288" s="150" t="str">
        <f t="shared" si="72"/>
        <v/>
      </c>
      <c r="BI288" s="386">
        <v>0</v>
      </c>
      <c r="BJ288" s="268">
        <f>IF(BG288,_xll.qDateYears(BG287,BG288,$BJ$13),0)</f>
        <v>0</v>
      </c>
      <c r="BK288" s="268">
        <f t="shared" si="78"/>
        <v>2183.1745733532407</v>
      </c>
      <c r="BQ288" s="526">
        <v>0</v>
      </c>
      <c r="BR288" s="151" t="str">
        <f t="shared" si="73"/>
        <v/>
      </c>
      <c r="BS288" s="386">
        <v>0</v>
      </c>
      <c r="BT288" s="268">
        <f>IF(BQ288,_xll.qDateYears(BQ287,BQ288,BT$13),0)</f>
        <v>0</v>
      </c>
      <c r="BU288" s="268">
        <f t="shared" si="79"/>
        <v>1738.6030924697341</v>
      </c>
      <c r="CC288" s="526">
        <v>0</v>
      </c>
      <c r="CD288" s="151" t="str">
        <f t="shared" si="74"/>
        <v/>
      </c>
      <c r="CE288" s="386">
        <v>0</v>
      </c>
      <c r="CF288" s="268">
        <f>IF(CC288,_xll.qDateYears(CC287,CC288,CF$13),0)</f>
        <v>0</v>
      </c>
      <c r="CG288" s="268">
        <f t="shared" si="80"/>
        <v>2312.0085517586949</v>
      </c>
      <c r="CO288" s="526">
        <v>0</v>
      </c>
      <c r="CP288" s="151" t="str">
        <f t="shared" si="75"/>
        <v/>
      </c>
      <c r="CQ288" s="386">
        <v>0</v>
      </c>
      <c r="CR288" s="268">
        <f>IF(CO288,_xll.qDateYears(CO287,CO288,CR$13),0)</f>
        <v>0</v>
      </c>
      <c r="CS288" s="268">
        <f t="shared" si="81"/>
        <v>2185.174943791465</v>
      </c>
      <c r="DA288" s="526">
        <v>0</v>
      </c>
      <c r="DB288" s="151" t="str">
        <f t="shared" si="76"/>
        <v/>
      </c>
      <c r="DC288" s="386">
        <v>0</v>
      </c>
      <c r="DD288" s="268">
        <f>IF(DA288,_xll.qDateYears(DA287,DA288,DD$13),0)</f>
        <v>0</v>
      </c>
      <c r="DE288" s="268">
        <f t="shared" si="82"/>
        <v>1616.1787110556011</v>
      </c>
      <c r="DM288" s="526">
        <v>0</v>
      </c>
      <c r="DN288" s="151" t="str">
        <f t="shared" si="77"/>
        <v/>
      </c>
      <c r="DO288" s="386">
        <v>0</v>
      </c>
      <c r="DP288" s="268">
        <f>IF(DM288,_xll.qDateYears(DM287,DM288,DP$13),0)</f>
        <v>0</v>
      </c>
      <c r="DQ288" s="268">
        <f t="shared" si="83"/>
        <v>2183.1745733532407</v>
      </c>
    </row>
    <row r="289" spans="59:121">
      <c r="BG289" s="526">
        <v>0</v>
      </c>
      <c r="BH289" s="150" t="str">
        <f t="shared" si="72"/>
        <v/>
      </c>
      <c r="BI289" s="386">
        <v>0</v>
      </c>
      <c r="BJ289" s="268">
        <f>IF(BG289,_xll.qDateYears(BG288,BG289,$BJ$13),0)</f>
        <v>0</v>
      </c>
      <c r="BK289" s="268">
        <f t="shared" si="78"/>
        <v>2183.1745733532407</v>
      </c>
      <c r="BQ289" s="526">
        <v>0</v>
      </c>
      <c r="BR289" s="151" t="str">
        <f t="shared" si="73"/>
        <v/>
      </c>
      <c r="BS289" s="386">
        <v>0</v>
      </c>
      <c r="BT289" s="268">
        <f>IF(BQ289,_xll.qDateYears(BQ288,BQ289,BT$13),0)</f>
        <v>0</v>
      </c>
      <c r="BU289" s="268">
        <f t="shared" si="79"/>
        <v>1738.6030924697341</v>
      </c>
      <c r="CC289" s="526">
        <v>0</v>
      </c>
      <c r="CD289" s="151" t="str">
        <f t="shared" si="74"/>
        <v/>
      </c>
      <c r="CE289" s="386">
        <v>0</v>
      </c>
      <c r="CF289" s="268">
        <f>IF(CC289,_xll.qDateYears(CC288,CC289,CF$13),0)</f>
        <v>0</v>
      </c>
      <c r="CG289" s="268">
        <f t="shared" si="80"/>
        <v>2312.0085517586949</v>
      </c>
      <c r="CO289" s="526">
        <v>0</v>
      </c>
      <c r="CP289" s="151" t="str">
        <f t="shared" si="75"/>
        <v/>
      </c>
      <c r="CQ289" s="386">
        <v>0</v>
      </c>
      <c r="CR289" s="268">
        <f>IF(CO289,_xll.qDateYears(CO288,CO289,CR$13),0)</f>
        <v>0</v>
      </c>
      <c r="CS289" s="268">
        <f t="shared" si="81"/>
        <v>2185.174943791465</v>
      </c>
      <c r="DA289" s="526">
        <v>0</v>
      </c>
      <c r="DB289" s="151" t="str">
        <f t="shared" si="76"/>
        <v/>
      </c>
      <c r="DC289" s="386">
        <v>0</v>
      </c>
      <c r="DD289" s="268">
        <f>IF(DA289,_xll.qDateYears(DA288,DA289,DD$13),0)</f>
        <v>0</v>
      </c>
      <c r="DE289" s="268">
        <f t="shared" si="82"/>
        <v>1616.1787110556011</v>
      </c>
      <c r="DM289" s="526">
        <v>0</v>
      </c>
      <c r="DN289" s="151" t="str">
        <f t="shared" si="77"/>
        <v/>
      </c>
      <c r="DO289" s="386">
        <v>0</v>
      </c>
      <c r="DP289" s="268">
        <f>IF(DM289,_xll.qDateYears(DM288,DM289,DP$13),0)</f>
        <v>0</v>
      </c>
      <c r="DQ289" s="268">
        <f t="shared" si="83"/>
        <v>2183.1745733532407</v>
      </c>
    </row>
    <row r="290" spans="59:121">
      <c r="BG290" s="526">
        <v>0</v>
      </c>
      <c r="BH290" s="150" t="str">
        <f t="shared" si="72"/>
        <v/>
      </c>
      <c r="BI290" s="386">
        <v>0</v>
      </c>
      <c r="BJ290" s="268">
        <f>IF(BG290,_xll.qDateYears(BG289,BG290,$BJ$13),0)</f>
        <v>0</v>
      </c>
      <c r="BK290" s="268">
        <f t="shared" si="78"/>
        <v>2183.1745733532407</v>
      </c>
      <c r="BQ290" s="526">
        <v>0</v>
      </c>
      <c r="BR290" s="151" t="str">
        <f t="shared" si="73"/>
        <v/>
      </c>
      <c r="BS290" s="386">
        <v>0</v>
      </c>
      <c r="BT290" s="268">
        <f>IF(BQ290,_xll.qDateYears(BQ289,BQ290,BT$13),0)</f>
        <v>0</v>
      </c>
      <c r="BU290" s="268">
        <f t="shared" si="79"/>
        <v>1738.6030924697341</v>
      </c>
      <c r="CC290" s="526">
        <v>0</v>
      </c>
      <c r="CD290" s="151" t="str">
        <f t="shared" si="74"/>
        <v/>
      </c>
      <c r="CE290" s="386">
        <v>0</v>
      </c>
      <c r="CF290" s="268">
        <f>IF(CC290,_xll.qDateYears(CC289,CC290,CF$13),0)</f>
        <v>0</v>
      </c>
      <c r="CG290" s="268">
        <f t="shared" si="80"/>
        <v>2312.0085517586949</v>
      </c>
      <c r="CO290" s="526">
        <v>0</v>
      </c>
      <c r="CP290" s="151" t="str">
        <f t="shared" si="75"/>
        <v/>
      </c>
      <c r="CQ290" s="386">
        <v>0</v>
      </c>
      <c r="CR290" s="268">
        <f>IF(CO290,_xll.qDateYears(CO289,CO290,CR$13),0)</f>
        <v>0</v>
      </c>
      <c r="CS290" s="268">
        <f t="shared" si="81"/>
        <v>2185.174943791465</v>
      </c>
      <c r="DA290" s="526">
        <v>0</v>
      </c>
      <c r="DB290" s="151" t="str">
        <f t="shared" si="76"/>
        <v/>
      </c>
      <c r="DC290" s="386">
        <v>0</v>
      </c>
      <c r="DD290" s="268">
        <f>IF(DA290,_xll.qDateYears(DA289,DA290,DD$13),0)</f>
        <v>0</v>
      </c>
      <c r="DE290" s="268">
        <f t="shared" si="82"/>
        <v>1616.1787110556011</v>
      </c>
      <c r="DM290" s="526">
        <v>0</v>
      </c>
      <c r="DN290" s="151" t="str">
        <f t="shared" si="77"/>
        <v/>
      </c>
      <c r="DO290" s="386">
        <v>0</v>
      </c>
      <c r="DP290" s="268">
        <f>IF(DM290,_xll.qDateYears(DM289,DM290,DP$13),0)</f>
        <v>0</v>
      </c>
      <c r="DQ290" s="268">
        <f t="shared" si="83"/>
        <v>2183.1745733532407</v>
      </c>
    </row>
    <row r="291" spans="59:121">
      <c r="BG291" s="526">
        <v>0</v>
      </c>
      <c r="BH291" s="150" t="str">
        <f t="shared" si="72"/>
        <v/>
      </c>
      <c r="BI291" s="386">
        <v>0</v>
      </c>
      <c r="BJ291" s="268">
        <f>IF(BG291,_xll.qDateYears(BG290,BG291,$BJ$13),0)</f>
        <v>0</v>
      </c>
      <c r="BK291" s="268">
        <f t="shared" si="78"/>
        <v>2183.1745733532407</v>
      </c>
      <c r="BQ291" s="526">
        <v>0</v>
      </c>
      <c r="BR291" s="151" t="str">
        <f t="shared" si="73"/>
        <v/>
      </c>
      <c r="BS291" s="386">
        <v>0</v>
      </c>
      <c r="BT291" s="268">
        <f>IF(BQ291,_xll.qDateYears(BQ290,BQ291,BT$13),0)</f>
        <v>0</v>
      </c>
      <c r="BU291" s="268">
        <f t="shared" si="79"/>
        <v>1738.6030924697341</v>
      </c>
      <c r="CC291" s="526">
        <v>0</v>
      </c>
      <c r="CD291" s="151" t="str">
        <f t="shared" si="74"/>
        <v/>
      </c>
      <c r="CE291" s="386">
        <v>0</v>
      </c>
      <c r="CF291" s="268">
        <f>IF(CC291,_xll.qDateYears(CC290,CC291,CF$13),0)</f>
        <v>0</v>
      </c>
      <c r="CG291" s="268">
        <f t="shared" si="80"/>
        <v>2312.0085517586949</v>
      </c>
      <c r="CO291" s="526">
        <v>0</v>
      </c>
      <c r="CP291" s="151" t="str">
        <f t="shared" si="75"/>
        <v/>
      </c>
      <c r="CQ291" s="386">
        <v>0</v>
      </c>
      <c r="CR291" s="268">
        <f>IF(CO291,_xll.qDateYears(CO290,CO291,CR$13),0)</f>
        <v>0</v>
      </c>
      <c r="CS291" s="268">
        <f t="shared" si="81"/>
        <v>2185.174943791465</v>
      </c>
      <c r="DA291" s="526">
        <v>0</v>
      </c>
      <c r="DB291" s="151" t="str">
        <f t="shared" si="76"/>
        <v/>
      </c>
      <c r="DC291" s="386">
        <v>0</v>
      </c>
      <c r="DD291" s="268">
        <f>IF(DA291,_xll.qDateYears(DA290,DA291,DD$13),0)</f>
        <v>0</v>
      </c>
      <c r="DE291" s="268">
        <f t="shared" si="82"/>
        <v>1616.1787110556011</v>
      </c>
      <c r="DM291" s="526">
        <v>0</v>
      </c>
      <c r="DN291" s="151" t="str">
        <f t="shared" si="77"/>
        <v/>
      </c>
      <c r="DO291" s="386">
        <v>0</v>
      </c>
      <c r="DP291" s="268">
        <f>IF(DM291,_xll.qDateYears(DM290,DM291,DP$13),0)</f>
        <v>0</v>
      </c>
      <c r="DQ291" s="268">
        <f t="shared" si="83"/>
        <v>2183.1745733532407</v>
      </c>
    </row>
    <row r="292" spans="59:121">
      <c r="BG292" s="526">
        <v>0</v>
      </c>
      <c r="BH292" s="150" t="str">
        <f t="shared" si="72"/>
        <v/>
      </c>
      <c r="BI292" s="386">
        <v>0</v>
      </c>
      <c r="BJ292" s="268">
        <f>IF(BG292,_xll.qDateYears(BG291,BG292,$BJ$13),0)</f>
        <v>0</v>
      </c>
      <c r="BK292" s="268">
        <f t="shared" si="78"/>
        <v>2183.1745733532407</v>
      </c>
      <c r="BQ292" s="526">
        <v>0</v>
      </c>
      <c r="BR292" s="151" t="str">
        <f t="shared" si="73"/>
        <v/>
      </c>
      <c r="BS292" s="386">
        <v>0</v>
      </c>
      <c r="BT292" s="268">
        <f>IF(BQ292,_xll.qDateYears(BQ291,BQ292,BT$13),0)</f>
        <v>0</v>
      </c>
      <c r="BU292" s="268">
        <f t="shared" si="79"/>
        <v>1738.6030924697341</v>
      </c>
      <c r="CC292" s="526">
        <v>0</v>
      </c>
      <c r="CD292" s="151" t="str">
        <f t="shared" si="74"/>
        <v/>
      </c>
      <c r="CE292" s="386">
        <v>0</v>
      </c>
      <c r="CF292" s="268">
        <f>IF(CC292,_xll.qDateYears(CC291,CC292,CF$13),0)</f>
        <v>0</v>
      </c>
      <c r="CG292" s="268">
        <f t="shared" si="80"/>
        <v>2312.0085517586949</v>
      </c>
      <c r="CO292" s="526">
        <v>0</v>
      </c>
      <c r="CP292" s="151" t="str">
        <f t="shared" si="75"/>
        <v/>
      </c>
      <c r="CQ292" s="386">
        <v>0</v>
      </c>
      <c r="CR292" s="268">
        <f>IF(CO292,_xll.qDateYears(CO291,CO292,CR$13),0)</f>
        <v>0</v>
      </c>
      <c r="CS292" s="268">
        <f t="shared" si="81"/>
        <v>2185.174943791465</v>
      </c>
      <c r="DA292" s="526">
        <v>0</v>
      </c>
      <c r="DB292" s="151" t="str">
        <f t="shared" si="76"/>
        <v/>
      </c>
      <c r="DC292" s="386">
        <v>0</v>
      </c>
      <c r="DD292" s="268">
        <f>IF(DA292,_xll.qDateYears(DA291,DA292,DD$13),0)</f>
        <v>0</v>
      </c>
      <c r="DE292" s="268">
        <f t="shared" si="82"/>
        <v>1616.1787110556011</v>
      </c>
      <c r="DM292" s="526">
        <v>0</v>
      </c>
      <c r="DN292" s="151" t="str">
        <f t="shared" si="77"/>
        <v/>
      </c>
      <c r="DO292" s="386">
        <v>0</v>
      </c>
      <c r="DP292" s="268">
        <f>IF(DM292,_xll.qDateYears(DM291,DM292,DP$13),0)</f>
        <v>0</v>
      </c>
      <c r="DQ292" s="268">
        <f t="shared" si="83"/>
        <v>2183.1745733532407</v>
      </c>
    </row>
    <row r="293" spans="59:121">
      <c r="BG293" s="526">
        <v>0</v>
      </c>
      <c r="BH293" s="150" t="str">
        <f t="shared" si="72"/>
        <v/>
      </c>
      <c r="BI293" s="386">
        <v>0</v>
      </c>
      <c r="BJ293" s="268">
        <f>IF(BG293,_xll.qDateYears(BG292,BG293,$BJ$13),0)</f>
        <v>0</v>
      </c>
      <c r="BK293" s="268">
        <f t="shared" si="78"/>
        <v>2183.1745733532407</v>
      </c>
      <c r="BQ293" s="526">
        <v>0</v>
      </c>
      <c r="BR293" s="151" t="str">
        <f t="shared" si="73"/>
        <v/>
      </c>
      <c r="BS293" s="386">
        <v>0</v>
      </c>
      <c r="BT293" s="268">
        <f>IF(BQ293,_xll.qDateYears(BQ292,BQ293,BT$13),0)</f>
        <v>0</v>
      </c>
      <c r="BU293" s="268">
        <f t="shared" si="79"/>
        <v>1738.6030924697341</v>
      </c>
      <c r="CC293" s="526">
        <v>0</v>
      </c>
      <c r="CD293" s="151" t="str">
        <f t="shared" si="74"/>
        <v/>
      </c>
      <c r="CE293" s="386">
        <v>0</v>
      </c>
      <c r="CF293" s="268">
        <f>IF(CC293,_xll.qDateYears(CC292,CC293,CF$13),0)</f>
        <v>0</v>
      </c>
      <c r="CG293" s="268">
        <f t="shared" si="80"/>
        <v>2312.0085517586949</v>
      </c>
      <c r="CO293" s="526">
        <v>0</v>
      </c>
      <c r="CP293" s="151" t="str">
        <f t="shared" si="75"/>
        <v/>
      </c>
      <c r="CQ293" s="386">
        <v>0</v>
      </c>
      <c r="CR293" s="268">
        <f>IF(CO293,_xll.qDateYears(CO292,CO293,CR$13),0)</f>
        <v>0</v>
      </c>
      <c r="CS293" s="268">
        <f t="shared" si="81"/>
        <v>2185.174943791465</v>
      </c>
      <c r="DA293" s="526">
        <v>0</v>
      </c>
      <c r="DB293" s="151" t="str">
        <f t="shared" si="76"/>
        <v/>
      </c>
      <c r="DC293" s="386">
        <v>0</v>
      </c>
      <c r="DD293" s="268">
        <f>IF(DA293,_xll.qDateYears(DA292,DA293,DD$13),0)</f>
        <v>0</v>
      </c>
      <c r="DE293" s="268">
        <f t="shared" si="82"/>
        <v>1616.1787110556011</v>
      </c>
      <c r="DM293" s="526">
        <v>0</v>
      </c>
      <c r="DN293" s="151" t="str">
        <f t="shared" si="77"/>
        <v/>
      </c>
      <c r="DO293" s="386">
        <v>0</v>
      </c>
      <c r="DP293" s="268">
        <f>IF(DM293,_xll.qDateYears(DM292,DM293,DP$13),0)</f>
        <v>0</v>
      </c>
      <c r="DQ293" s="268">
        <f t="shared" si="83"/>
        <v>2183.1745733532407</v>
      </c>
    </row>
    <row r="294" spans="59:121">
      <c r="BG294" s="526">
        <v>0</v>
      </c>
      <c r="BH294" s="150" t="str">
        <f t="shared" si="72"/>
        <v/>
      </c>
      <c r="BI294" s="386">
        <v>0</v>
      </c>
      <c r="BJ294" s="268">
        <f>IF(BG294,_xll.qDateYears(BG293,BG294,$BJ$13),0)</f>
        <v>0</v>
      </c>
      <c r="BK294" s="268">
        <f t="shared" si="78"/>
        <v>2183.1745733532407</v>
      </c>
      <c r="BQ294" s="526">
        <v>0</v>
      </c>
      <c r="BR294" s="151" t="str">
        <f t="shared" si="73"/>
        <v/>
      </c>
      <c r="BS294" s="386">
        <v>0</v>
      </c>
      <c r="BT294" s="268">
        <f>IF(BQ294,_xll.qDateYears(BQ293,BQ294,BT$13),0)</f>
        <v>0</v>
      </c>
      <c r="BU294" s="268">
        <f t="shared" si="79"/>
        <v>1738.6030924697341</v>
      </c>
      <c r="CC294" s="526">
        <v>0</v>
      </c>
      <c r="CD294" s="151" t="str">
        <f t="shared" si="74"/>
        <v/>
      </c>
      <c r="CE294" s="386">
        <v>0</v>
      </c>
      <c r="CF294" s="268">
        <f>IF(CC294,_xll.qDateYears(CC293,CC294,CF$13),0)</f>
        <v>0</v>
      </c>
      <c r="CG294" s="268">
        <f t="shared" si="80"/>
        <v>2312.0085517586949</v>
      </c>
      <c r="CO294" s="526">
        <v>0</v>
      </c>
      <c r="CP294" s="151" t="str">
        <f t="shared" si="75"/>
        <v/>
      </c>
      <c r="CQ294" s="386">
        <v>0</v>
      </c>
      <c r="CR294" s="268">
        <f>IF(CO294,_xll.qDateYears(CO293,CO294,CR$13),0)</f>
        <v>0</v>
      </c>
      <c r="CS294" s="268">
        <f t="shared" si="81"/>
        <v>2185.174943791465</v>
      </c>
      <c r="DA294" s="526">
        <v>0</v>
      </c>
      <c r="DB294" s="151" t="str">
        <f t="shared" si="76"/>
        <v/>
      </c>
      <c r="DC294" s="386">
        <v>0</v>
      </c>
      <c r="DD294" s="268">
        <f>IF(DA294,_xll.qDateYears(DA293,DA294,DD$13),0)</f>
        <v>0</v>
      </c>
      <c r="DE294" s="268">
        <f t="shared" si="82"/>
        <v>1616.1787110556011</v>
      </c>
      <c r="DM294" s="526">
        <v>0</v>
      </c>
      <c r="DN294" s="151" t="str">
        <f t="shared" si="77"/>
        <v/>
      </c>
      <c r="DO294" s="386">
        <v>0</v>
      </c>
      <c r="DP294" s="268">
        <f>IF(DM294,_xll.qDateYears(DM293,DM294,DP$13),0)</f>
        <v>0</v>
      </c>
      <c r="DQ294" s="268">
        <f t="shared" si="83"/>
        <v>2183.1745733532407</v>
      </c>
    </row>
    <row r="295" spans="59:121">
      <c r="BG295" s="526">
        <v>0</v>
      </c>
      <c r="BH295" s="150" t="str">
        <f t="shared" si="72"/>
        <v/>
      </c>
      <c r="BI295" s="386">
        <v>0</v>
      </c>
      <c r="BJ295" s="268">
        <f>IF(BG295,_xll.qDateYears(BG294,BG295,$BJ$13),0)</f>
        <v>0</v>
      </c>
      <c r="BK295" s="268">
        <f t="shared" si="78"/>
        <v>2183.1745733532407</v>
      </c>
      <c r="BQ295" s="526">
        <v>0</v>
      </c>
      <c r="BR295" s="151" t="str">
        <f t="shared" si="73"/>
        <v/>
      </c>
      <c r="BS295" s="386">
        <v>0</v>
      </c>
      <c r="BT295" s="268">
        <f>IF(BQ295,_xll.qDateYears(BQ294,BQ295,BT$13),0)</f>
        <v>0</v>
      </c>
      <c r="BU295" s="268">
        <f t="shared" si="79"/>
        <v>1738.6030924697341</v>
      </c>
      <c r="CC295" s="526">
        <v>0</v>
      </c>
      <c r="CD295" s="151" t="str">
        <f t="shared" si="74"/>
        <v/>
      </c>
      <c r="CE295" s="386">
        <v>0</v>
      </c>
      <c r="CF295" s="268">
        <f>IF(CC295,_xll.qDateYears(CC294,CC295,CF$13),0)</f>
        <v>0</v>
      </c>
      <c r="CG295" s="268">
        <f t="shared" si="80"/>
        <v>2312.0085517586949</v>
      </c>
      <c r="CO295" s="526">
        <v>0</v>
      </c>
      <c r="CP295" s="151" t="str">
        <f t="shared" si="75"/>
        <v/>
      </c>
      <c r="CQ295" s="386">
        <v>0</v>
      </c>
      <c r="CR295" s="268">
        <f>IF(CO295,_xll.qDateYears(CO294,CO295,CR$13),0)</f>
        <v>0</v>
      </c>
      <c r="CS295" s="268">
        <f t="shared" si="81"/>
        <v>2185.174943791465</v>
      </c>
      <c r="DA295" s="526">
        <v>0</v>
      </c>
      <c r="DB295" s="151" t="str">
        <f t="shared" si="76"/>
        <v/>
      </c>
      <c r="DC295" s="386">
        <v>0</v>
      </c>
      <c r="DD295" s="268">
        <f>IF(DA295,_xll.qDateYears(DA294,DA295,DD$13),0)</f>
        <v>0</v>
      </c>
      <c r="DE295" s="268">
        <f t="shared" si="82"/>
        <v>1616.1787110556011</v>
      </c>
      <c r="DM295" s="526">
        <v>0</v>
      </c>
      <c r="DN295" s="151" t="str">
        <f t="shared" si="77"/>
        <v/>
      </c>
      <c r="DO295" s="386">
        <v>0</v>
      </c>
      <c r="DP295" s="268">
        <f>IF(DM295,_xll.qDateYears(DM294,DM295,DP$13),0)</f>
        <v>0</v>
      </c>
      <c r="DQ295" s="268">
        <f t="shared" si="83"/>
        <v>2183.1745733532407</v>
      </c>
    </row>
    <row r="296" spans="59:121">
      <c r="BG296" s="526">
        <v>0</v>
      </c>
      <c r="BH296" s="150" t="str">
        <f t="shared" si="72"/>
        <v/>
      </c>
      <c r="BI296" s="386">
        <v>0</v>
      </c>
      <c r="BJ296" s="268">
        <f>IF(BG296,_xll.qDateYears(BG295,BG296,$BJ$13),0)</f>
        <v>0</v>
      </c>
      <c r="BK296" s="268">
        <f t="shared" si="78"/>
        <v>2183.1745733532407</v>
      </c>
      <c r="BQ296" s="526">
        <v>0</v>
      </c>
      <c r="BR296" s="151" t="str">
        <f t="shared" si="73"/>
        <v/>
      </c>
      <c r="BS296" s="386">
        <v>0</v>
      </c>
      <c r="BT296" s="268">
        <f>IF(BQ296,_xll.qDateYears(BQ295,BQ296,BT$13),0)</f>
        <v>0</v>
      </c>
      <c r="BU296" s="268">
        <f t="shared" si="79"/>
        <v>1738.6030924697341</v>
      </c>
      <c r="CC296" s="526">
        <v>0</v>
      </c>
      <c r="CD296" s="151" t="str">
        <f t="shared" si="74"/>
        <v/>
      </c>
      <c r="CE296" s="386">
        <v>0</v>
      </c>
      <c r="CF296" s="268">
        <f>IF(CC296,_xll.qDateYears(CC295,CC296,CF$13),0)</f>
        <v>0</v>
      </c>
      <c r="CG296" s="268">
        <f t="shared" si="80"/>
        <v>2312.0085517586949</v>
      </c>
      <c r="CO296" s="526">
        <v>0</v>
      </c>
      <c r="CP296" s="151" t="str">
        <f t="shared" si="75"/>
        <v/>
      </c>
      <c r="CQ296" s="386">
        <v>0</v>
      </c>
      <c r="CR296" s="268">
        <f>IF(CO296,_xll.qDateYears(CO295,CO296,CR$13),0)</f>
        <v>0</v>
      </c>
      <c r="CS296" s="268">
        <f t="shared" si="81"/>
        <v>2185.174943791465</v>
      </c>
      <c r="DA296" s="526">
        <v>0</v>
      </c>
      <c r="DB296" s="151" t="str">
        <f t="shared" si="76"/>
        <v/>
      </c>
      <c r="DC296" s="386">
        <v>0</v>
      </c>
      <c r="DD296" s="268">
        <f>IF(DA296,_xll.qDateYears(DA295,DA296,DD$13),0)</f>
        <v>0</v>
      </c>
      <c r="DE296" s="268">
        <f t="shared" si="82"/>
        <v>1616.1787110556011</v>
      </c>
      <c r="DM296" s="526">
        <v>0</v>
      </c>
      <c r="DN296" s="151" t="str">
        <f t="shared" si="77"/>
        <v/>
      </c>
      <c r="DO296" s="386">
        <v>0</v>
      </c>
      <c r="DP296" s="268">
        <f>IF(DM296,_xll.qDateYears(DM295,DM296,DP$13),0)</f>
        <v>0</v>
      </c>
      <c r="DQ296" s="268">
        <f t="shared" si="83"/>
        <v>2183.1745733532407</v>
      </c>
    </row>
    <row r="297" spans="59:121">
      <c r="BG297" s="526">
        <v>0</v>
      </c>
      <c r="BH297" s="150" t="str">
        <f t="shared" si="72"/>
        <v/>
      </c>
      <c r="BI297" s="386">
        <v>0</v>
      </c>
      <c r="BJ297" s="268">
        <f>IF(BG297,_xll.qDateYears(BG296,BG297,$BJ$13),0)</f>
        <v>0</v>
      </c>
      <c r="BK297" s="268">
        <f t="shared" si="78"/>
        <v>2183.1745733532407</v>
      </c>
      <c r="BQ297" s="526">
        <v>0</v>
      </c>
      <c r="BR297" s="151" t="str">
        <f t="shared" si="73"/>
        <v/>
      </c>
      <c r="BS297" s="386">
        <v>0</v>
      </c>
      <c r="BT297" s="268">
        <f>IF(BQ297,_xll.qDateYears(BQ296,BQ297,BT$13),0)</f>
        <v>0</v>
      </c>
      <c r="BU297" s="268">
        <f t="shared" si="79"/>
        <v>1738.6030924697341</v>
      </c>
      <c r="CC297" s="526">
        <v>0</v>
      </c>
      <c r="CD297" s="151" t="str">
        <f t="shared" si="74"/>
        <v/>
      </c>
      <c r="CE297" s="386">
        <v>0</v>
      </c>
      <c r="CF297" s="268">
        <f>IF(CC297,_xll.qDateYears(CC296,CC297,CF$13),0)</f>
        <v>0</v>
      </c>
      <c r="CG297" s="268">
        <f t="shared" si="80"/>
        <v>2312.0085517586949</v>
      </c>
      <c r="CO297" s="526">
        <v>0</v>
      </c>
      <c r="CP297" s="151" t="str">
        <f t="shared" si="75"/>
        <v/>
      </c>
      <c r="CQ297" s="386">
        <v>0</v>
      </c>
      <c r="CR297" s="268">
        <f>IF(CO297,_xll.qDateYears(CO296,CO297,CR$13),0)</f>
        <v>0</v>
      </c>
      <c r="CS297" s="268">
        <f t="shared" si="81"/>
        <v>2185.174943791465</v>
      </c>
      <c r="DA297" s="526">
        <v>0</v>
      </c>
      <c r="DB297" s="151" t="str">
        <f t="shared" si="76"/>
        <v/>
      </c>
      <c r="DC297" s="386">
        <v>0</v>
      </c>
      <c r="DD297" s="268">
        <f>IF(DA297,_xll.qDateYears(DA296,DA297,DD$13),0)</f>
        <v>0</v>
      </c>
      <c r="DE297" s="268">
        <f t="shared" si="82"/>
        <v>1616.1787110556011</v>
      </c>
      <c r="DM297" s="526">
        <v>0</v>
      </c>
      <c r="DN297" s="151" t="str">
        <f t="shared" si="77"/>
        <v/>
      </c>
      <c r="DO297" s="386">
        <v>0</v>
      </c>
      <c r="DP297" s="268">
        <f>IF(DM297,_xll.qDateYears(DM296,DM297,DP$13),0)</f>
        <v>0</v>
      </c>
      <c r="DQ297" s="268">
        <f t="shared" si="83"/>
        <v>2183.1745733532407</v>
      </c>
    </row>
    <row r="298" spans="59:121">
      <c r="BG298" s="526">
        <v>0</v>
      </c>
      <c r="BH298" s="150" t="str">
        <f t="shared" si="72"/>
        <v/>
      </c>
      <c r="BI298" s="386">
        <v>0</v>
      </c>
      <c r="BJ298" s="268">
        <f>IF(BG298,_xll.qDateYears(BG297,BG298,$BJ$13),0)</f>
        <v>0</v>
      </c>
      <c r="BK298" s="268">
        <f t="shared" si="78"/>
        <v>2183.1745733532407</v>
      </c>
      <c r="BQ298" s="526">
        <v>0</v>
      </c>
      <c r="BR298" s="151" t="str">
        <f t="shared" si="73"/>
        <v/>
      </c>
      <c r="BS298" s="386">
        <v>0</v>
      </c>
      <c r="BT298" s="268">
        <f>IF(BQ298,_xll.qDateYears(BQ297,BQ298,BT$13),0)</f>
        <v>0</v>
      </c>
      <c r="BU298" s="268">
        <f t="shared" si="79"/>
        <v>1738.6030924697341</v>
      </c>
      <c r="CC298" s="526">
        <v>0</v>
      </c>
      <c r="CD298" s="151" t="str">
        <f t="shared" si="74"/>
        <v/>
      </c>
      <c r="CE298" s="386">
        <v>0</v>
      </c>
      <c r="CF298" s="268">
        <f>IF(CC298,_xll.qDateYears(CC297,CC298,CF$13),0)</f>
        <v>0</v>
      </c>
      <c r="CG298" s="268">
        <f t="shared" si="80"/>
        <v>2312.0085517586949</v>
      </c>
      <c r="CO298" s="526">
        <v>0</v>
      </c>
      <c r="CP298" s="151" t="str">
        <f t="shared" si="75"/>
        <v/>
      </c>
      <c r="CQ298" s="386">
        <v>0</v>
      </c>
      <c r="CR298" s="268">
        <f>IF(CO298,_xll.qDateYears(CO297,CO298,CR$13),0)</f>
        <v>0</v>
      </c>
      <c r="CS298" s="268">
        <f t="shared" si="81"/>
        <v>2185.174943791465</v>
      </c>
      <c r="DA298" s="526">
        <v>0</v>
      </c>
      <c r="DB298" s="151" t="str">
        <f t="shared" si="76"/>
        <v/>
      </c>
      <c r="DC298" s="386">
        <v>0</v>
      </c>
      <c r="DD298" s="268">
        <f>IF(DA298,_xll.qDateYears(DA297,DA298,DD$13),0)</f>
        <v>0</v>
      </c>
      <c r="DE298" s="268">
        <f t="shared" si="82"/>
        <v>1616.1787110556011</v>
      </c>
      <c r="DM298" s="526">
        <v>0</v>
      </c>
      <c r="DN298" s="151" t="str">
        <f t="shared" si="77"/>
        <v/>
      </c>
      <c r="DO298" s="386">
        <v>0</v>
      </c>
      <c r="DP298" s="268">
        <f>IF(DM298,_xll.qDateYears(DM297,DM298,DP$13),0)</f>
        <v>0</v>
      </c>
      <c r="DQ298" s="268">
        <f t="shared" si="83"/>
        <v>2183.1745733532407</v>
      </c>
    </row>
    <row r="299" spans="59:121">
      <c r="BG299" s="526">
        <v>0</v>
      </c>
      <c r="BH299" s="150" t="str">
        <f t="shared" si="72"/>
        <v/>
      </c>
      <c r="BI299" s="386">
        <v>0</v>
      </c>
      <c r="BJ299" s="268">
        <f>IF(BG299,_xll.qDateYears(BG298,BG299,$BJ$13),0)</f>
        <v>0</v>
      </c>
      <c r="BK299" s="268">
        <f t="shared" si="78"/>
        <v>2183.1745733532407</v>
      </c>
      <c r="BQ299" s="526">
        <v>0</v>
      </c>
      <c r="BR299" s="151" t="str">
        <f t="shared" si="73"/>
        <v/>
      </c>
      <c r="BS299" s="386">
        <v>0</v>
      </c>
      <c r="BT299" s="268">
        <f>IF(BQ299,_xll.qDateYears(BQ298,BQ299,BT$13),0)</f>
        <v>0</v>
      </c>
      <c r="BU299" s="268">
        <f t="shared" si="79"/>
        <v>1738.6030924697341</v>
      </c>
      <c r="CC299" s="526">
        <v>0</v>
      </c>
      <c r="CD299" s="151" t="str">
        <f t="shared" si="74"/>
        <v/>
      </c>
      <c r="CE299" s="386">
        <v>0</v>
      </c>
      <c r="CF299" s="268">
        <f>IF(CC299,_xll.qDateYears(CC298,CC299,CF$13),0)</f>
        <v>0</v>
      </c>
      <c r="CG299" s="268">
        <f t="shared" si="80"/>
        <v>2312.0085517586949</v>
      </c>
      <c r="CO299" s="526">
        <v>0</v>
      </c>
      <c r="CP299" s="151" t="str">
        <f t="shared" si="75"/>
        <v/>
      </c>
      <c r="CQ299" s="386">
        <v>0</v>
      </c>
      <c r="CR299" s="268">
        <f>IF(CO299,_xll.qDateYears(CO298,CO299,CR$13),0)</f>
        <v>0</v>
      </c>
      <c r="CS299" s="268">
        <f t="shared" si="81"/>
        <v>2185.174943791465</v>
      </c>
      <c r="DA299" s="526">
        <v>0</v>
      </c>
      <c r="DB299" s="151" t="str">
        <f t="shared" si="76"/>
        <v/>
      </c>
      <c r="DC299" s="386">
        <v>0</v>
      </c>
      <c r="DD299" s="268">
        <f>IF(DA299,_xll.qDateYears(DA298,DA299,DD$13),0)</f>
        <v>0</v>
      </c>
      <c r="DE299" s="268">
        <f t="shared" si="82"/>
        <v>1616.1787110556011</v>
      </c>
      <c r="DM299" s="526">
        <v>0</v>
      </c>
      <c r="DN299" s="151" t="str">
        <f t="shared" si="77"/>
        <v/>
      </c>
      <c r="DO299" s="386">
        <v>0</v>
      </c>
      <c r="DP299" s="268">
        <f>IF(DM299,_xll.qDateYears(DM298,DM299,DP$13),0)</f>
        <v>0</v>
      </c>
      <c r="DQ299" s="268">
        <f t="shared" si="83"/>
        <v>2183.1745733532407</v>
      </c>
    </row>
    <row r="300" spans="59:121">
      <c r="BG300" s="526">
        <v>0</v>
      </c>
      <c r="BH300" s="150" t="str">
        <f t="shared" si="72"/>
        <v/>
      </c>
      <c r="BI300" s="386">
        <v>0</v>
      </c>
      <c r="BJ300" s="268">
        <f>IF(BG300,_xll.qDateYears(BG299,BG300,$BJ$13),0)</f>
        <v>0</v>
      </c>
      <c r="BK300" s="268">
        <f t="shared" si="78"/>
        <v>2183.1745733532407</v>
      </c>
      <c r="BQ300" s="526">
        <v>0</v>
      </c>
      <c r="BR300" s="151" t="str">
        <f t="shared" si="73"/>
        <v/>
      </c>
      <c r="BS300" s="386">
        <v>0</v>
      </c>
      <c r="BT300" s="268">
        <f>IF(BQ300,_xll.qDateYears(BQ299,BQ300,BT$13),0)</f>
        <v>0</v>
      </c>
      <c r="BU300" s="268">
        <f t="shared" si="79"/>
        <v>1738.6030924697341</v>
      </c>
      <c r="CC300" s="526">
        <v>0</v>
      </c>
      <c r="CD300" s="151" t="str">
        <f t="shared" si="74"/>
        <v/>
      </c>
      <c r="CE300" s="386">
        <v>0</v>
      </c>
      <c r="CF300" s="268">
        <f>IF(CC300,_xll.qDateYears(CC299,CC300,CF$13),0)</f>
        <v>0</v>
      </c>
      <c r="CG300" s="268">
        <f t="shared" si="80"/>
        <v>2312.0085517586949</v>
      </c>
      <c r="CO300" s="526">
        <v>0</v>
      </c>
      <c r="CP300" s="151" t="str">
        <f t="shared" si="75"/>
        <v/>
      </c>
      <c r="CQ300" s="386">
        <v>0</v>
      </c>
      <c r="CR300" s="268">
        <f>IF(CO300,_xll.qDateYears(CO299,CO300,CR$13),0)</f>
        <v>0</v>
      </c>
      <c r="CS300" s="268">
        <f t="shared" si="81"/>
        <v>2185.174943791465</v>
      </c>
      <c r="DA300" s="526">
        <v>0</v>
      </c>
      <c r="DB300" s="151" t="str">
        <f t="shared" si="76"/>
        <v/>
      </c>
      <c r="DC300" s="386">
        <v>0</v>
      </c>
      <c r="DD300" s="268">
        <f>IF(DA300,_xll.qDateYears(DA299,DA300,DD$13),0)</f>
        <v>0</v>
      </c>
      <c r="DE300" s="268">
        <f t="shared" si="82"/>
        <v>1616.1787110556011</v>
      </c>
      <c r="DM300" s="526">
        <v>0</v>
      </c>
      <c r="DN300" s="151" t="str">
        <f t="shared" si="77"/>
        <v/>
      </c>
      <c r="DO300" s="386">
        <v>0</v>
      </c>
      <c r="DP300" s="268">
        <f>IF(DM300,_xll.qDateYears(DM299,DM300,DP$13),0)</f>
        <v>0</v>
      </c>
      <c r="DQ300" s="268">
        <f t="shared" si="83"/>
        <v>2183.1745733532407</v>
      </c>
    </row>
    <row r="301" spans="59:121">
      <c r="BG301" s="526">
        <v>0</v>
      </c>
      <c r="BH301" s="150" t="str">
        <f t="shared" si="72"/>
        <v/>
      </c>
      <c r="BI301" s="386">
        <v>0</v>
      </c>
      <c r="BJ301" s="268">
        <f>IF(BG301,_xll.qDateYears(BG300,BG301,$BJ$13),0)</f>
        <v>0</v>
      </c>
      <c r="BK301" s="268">
        <f t="shared" si="78"/>
        <v>2183.1745733532407</v>
      </c>
      <c r="BQ301" s="526">
        <v>0</v>
      </c>
      <c r="BR301" s="151" t="str">
        <f t="shared" si="73"/>
        <v/>
      </c>
      <c r="BS301" s="386">
        <v>0</v>
      </c>
      <c r="BT301" s="268">
        <f>IF(BQ301,_xll.qDateYears(BQ300,BQ301,BT$13),0)</f>
        <v>0</v>
      </c>
      <c r="BU301" s="268">
        <f t="shared" si="79"/>
        <v>1738.6030924697341</v>
      </c>
      <c r="CC301" s="526">
        <v>0</v>
      </c>
      <c r="CD301" s="151" t="str">
        <f t="shared" si="74"/>
        <v/>
      </c>
      <c r="CE301" s="386">
        <v>0</v>
      </c>
      <c r="CF301" s="268">
        <f>IF(CC301,_xll.qDateYears(CC300,CC301,CF$13),0)</f>
        <v>0</v>
      </c>
      <c r="CG301" s="268">
        <f t="shared" si="80"/>
        <v>2312.0085517586949</v>
      </c>
      <c r="CO301" s="526">
        <v>0</v>
      </c>
      <c r="CP301" s="151" t="str">
        <f t="shared" si="75"/>
        <v/>
      </c>
      <c r="CQ301" s="386">
        <v>0</v>
      </c>
      <c r="CR301" s="268">
        <f>IF(CO301,_xll.qDateYears(CO300,CO301,CR$13),0)</f>
        <v>0</v>
      </c>
      <c r="CS301" s="268">
        <f t="shared" si="81"/>
        <v>2185.174943791465</v>
      </c>
      <c r="DA301" s="526">
        <v>0</v>
      </c>
      <c r="DB301" s="151" t="str">
        <f t="shared" si="76"/>
        <v/>
      </c>
      <c r="DC301" s="386">
        <v>0</v>
      </c>
      <c r="DD301" s="268">
        <f>IF(DA301,_xll.qDateYears(DA300,DA301,DD$13),0)</f>
        <v>0</v>
      </c>
      <c r="DE301" s="268">
        <f t="shared" si="82"/>
        <v>1616.1787110556011</v>
      </c>
      <c r="DM301" s="526">
        <v>0</v>
      </c>
      <c r="DN301" s="151" t="str">
        <f t="shared" si="77"/>
        <v/>
      </c>
      <c r="DO301" s="386">
        <v>0</v>
      </c>
      <c r="DP301" s="268">
        <f>IF(DM301,_xll.qDateYears(DM300,DM301,DP$13),0)</f>
        <v>0</v>
      </c>
      <c r="DQ301" s="268">
        <f t="shared" si="83"/>
        <v>2183.1745733532407</v>
      </c>
    </row>
    <row r="302" spans="59:121">
      <c r="BG302" s="526">
        <v>0</v>
      </c>
      <c r="BH302" s="150" t="str">
        <f t="shared" si="72"/>
        <v/>
      </c>
      <c r="BI302" s="386">
        <v>0</v>
      </c>
      <c r="BJ302" s="268">
        <f>IF(BG302,_xll.qDateYears(BG301,BG302,$BJ$13),0)</f>
        <v>0</v>
      </c>
      <c r="BK302" s="268">
        <f t="shared" si="78"/>
        <v>2183.1745733532407</v>
      </c>
      <c r="BQ302" s="526">
        <v>0</v>
      </c>
      <c r="BR302" s="151" t="str">
        <f t="shared" si="73"/>
        <v/>
      </c>
      <c r="BS302" s="386">
        <v>0</v>
      </c>
      <c r="BT302" s="268">
        <f>IF(BQ302,_xll.qDateYears(BQ301,BQ302,BT$13),0)</f>
        <v>0</v>
      </c>
      <c r="BU302" s="268">
        <f t="shared" si="79"/>
        <v>1738.6030924697341</v>
      </c>
      <c r="CC302" s="526">
        <v>0</v>
      </c>
      <c r="CD302" s="151" t="str">
        <f t="shared" si="74"/>
        <v/>
      </c>
      <c r="CE302" s="386">
        <v>0</v>
      </c>
      <c r="CF302" s="268">
        <f>IF(CC302,_xll.qDateYears(CC301,CC302,CF$13),0)</f>
        <v>0</v>
      </c>
      <c r="CG302" s="268">
        <f t="shared" si="80"/>
        <v>2312.0085517586949</v>
      </c>
      <c r="CO302" s="526">
        <v>0</v>
      </c>
      <c r="CP302" s="151" t="str">
        <f t="shared" si="75"/>
        <v/>
      </c>
      <c r="CQ302" s="386">
        <v>0</v>
      </c>
      <c r="CR302" s="268">
        <f>IF(CO302,_xll.qDateYears(CO301,CO302,CR$13),0)</f>
        <v>0</v>
      </c>
      <c r="CS302" s="268">
        <f t="shared" si="81"/>
        <v>2185.174943791465</v>
      </c>
      <c r="DA302" s="526">
        <v>0</v>
      </c>
      <c r="DB302" s="151" t="str">
        <f t="shared" si="76"/>
        <v/>
      </c>
      <c r="DC302" s="386">
        <v>0</v>
      </c>
      <c r="DD302" s="268">
        <f>IF(DA302,_xll.qDateYears(DA301,DA302,DD$13),0)</f>
        <v>0</v>
      </c>
      <c r="DE302" s="268">
        <f t="shared" si="82"/>
        <v>1616.1787110556011</v>
      </c>
      <c r="DM302" s="526">
        <v>0</v>
      </c>
      <c r="DN302" s="151" t="str">
        <f t="shared" si="77"/>
        <v/>
      </c>
      <c r="DO302" s="386">
        <v>0</v>
      </c>
      <c r="DP302" s="268">
        <f>IF(DM302,_xll.qDateYears(DM301,DM302,DP$13),0)</f>
        <v>0</v>
      </c>
      <c r="DQ302" s="268">
        <f t="shared" si="83"/>
        <v>2183.1745733532407</v>
      </c>
    </row>
    <row r="303" spans="59:121">
      <c r="BG303" s="526">
        <v>0</v>
      </c>
      <c r="BH303" s="150" t="str">
        <f t="shared" si="72"/>
        <v/>
      </c>
      <c r="BI303" s="386">
        <v>0</v>
      </c>
      <c r="BJ303" s="268">
        <f>IF(BG303,_xll.qDateYears(BG302,BG303,$BJ$13),0)</f>
        <v>0</v>
      </c>
      <c r="BK303" s="268">
        <f t="shared" si="78"/>
        <v>2183.1745733532407</v>
      </c>
      <c r="BQ303" s="526">
        <v>0</v>
      </c>
      <c r="BR303" s="151" t="str">
        <f t="shared" si="73"/>
        <v/>
      </c>
      <c r="BS303" s="386">
        <v>0</v>
      </c>
      <c r="BT303" s="268">
        <f>IF(BQ303,_xll.qDateYears(BQ302,BQ303,BT$13),0)</f>
        <v>0</v>
      </c>
      <c r="BU303" s="268">
        <f t="shared" si="79"/>
        <v>1738.6030924697341</v>
      </c>
      <c r="CC303" s="526">
        <v>0</v>
      </c>
      <c r="CD303" s="151" t="str">
        <f t="shared" si="74"/>
        <v/>
      </c>
      <c r="CE303" s="386">
        <v>0</v>
      </c>
      <c r="CF303" s="268">
        <f>IF(CC303,_xll.qDateYears(CC302,CC303,CF$13),0)</f>
        <v>0</v>
      </c>
      <c r="CG303" s="268">
        <f t="shared" si="80"/>
        <v>2312.0085517586949</v>
      </c>
      <c r="CO303" s="526">
        <v>0</v>
      </c>
      <c r="CP303" s="151" t="str">
        <f t="shared" si="75"/>
        <v/>
      </c>
      <c r="CQ303" s="386">
        <v>0</v>
      </c>
      <c r="CR303" s="268">
        <f>IF(CO303,_xll.qDateYears(CO302,CO303,CR$13),0)</f>
        <v>0</v>
      </c>
      <c r="CS303" s="268">
        <f t="shared" si="81"/>
        <v>2185.174943791465</v>
      </c>
      <c r="DA303" s="526">
        <v>0</v>
      </c>
      <c r="DB303" s="151" t="str">
        <f t="shared" si="76"/>
        <v/>
      </c>
      <c r="DC303" s="386">
        <v>0</v>
      </c>
      <c r="DD303" s="268">
        <f>IF(DA303,_xll.qDateYears(DA302,DA303,DD$13),0)</f>
        <v>0</v>
      </c>
      <c r="DE303" s="268">
        <f t="shared" si="82"/>
        <v>1616.1787110556011</v>
      </c>
      <c r="DM303" s="526">
        <v>0</v>
      </c>
      <c r="DN303" s="151" t="str">
        <f t="shared" si="77"/>
        <v/>
      </c>
      <c r="DO303" s="386">
        <v>0</v>
      </c>
      <c r="DP303" s="268">
        <f>IF(DM303,_xll.qDateYears(DM302,DM303,DP$13),0)</f>
        <v>0</v>
      </c>
      <c r="DQ303" s="268">
        <f t="shared" si="83"/>
        <v>2183.1745733532407</v>
      </c>
    </row>
    <row r="304" spans="59:121">
      <c r="BG304" s="526">
        <v>0</v>
      </c>
      <c r="BH304" s="150" t="str">
        <f t="shared" si="72"/>
        <v/>
      </c>
      <c r="BI304" s="386">
        <v>0</v>
      </c>
      <c r="BJ304" s="268">
        <f>IF(BG304,_xll.qDateYears(BG303,BG304,$BJ$13),0)</f>
        <v>0</v>
      </c>
      <c r="BK304" s="268">
        <f t="shared" si="78"/>
        <v>2183.1745733532407</v>
      </c>
      <c r="BQ304" s="526">
        <v>0</v>
      </c>
      <c r="BR304" s="151" t="str">
        <f t="shared" si="73"/>
        <v/>
      </c>
      <c r="BS304" s="386">
        <v>0</v>
      </c>
      <c r="BT304" s="268">
        <f>IF(BQ304,_xll.qDateYears(BQ303,BQ304,BT$13),0)</f>
        <v>0</v>
      </c>
      <c r="BU304" s="268">
        <f t="shared" si="79"/>
        <v>1738.6030924697341</v>
      </c>
      <c r="CC304" s="526">
        <v>0</v>
      </c>
      <c r="CD304" s="151" t="str">
        <f t="shared" si="74"/>
        <v/>
      </c>
      <c r="CE304" s="386">
        <v>0</v>
      </c>
      <c r="CF304" s="268">
        <f>IF(CC304,_xll.qDateYears(CC303,CC304,CF$13),0)</f>
        <v>0</v>
      </c>
      <c r="CG304" s="268">
        <f t="shared" si="80"/>
        <v>2312.0085517586949</v>
      </c>
      <c r="CO304" s="526">
        <v>0</v>
      </c>
      <c r="CP304" s="151" t="str">
        <f t="shared" si="75"/>
        <v/>
      </c>
      <c r="CQ304" s="386">
        <v>0</v>
      </c>
      <c r="CR304" s="268">
        <f>IF(CO304,_xll.qDateYears(CO303,CO304,CR$13),0)</f>
        <v>0</v>
      </c>
      <c r="CS304" s="268">
        <f t="shared" si="81"/>
        <v>2185.174943791465</v>
      </c>
      <c r="DA304" s="526">
        <v>0</v>
      </c>
      <c r="DB304" s="151" t="str">
        <f t="shared" si="76"/>
        <v/>
      </c>
      <c r="DC304" s="386">
        <v>0</v>
      </c>
      <c r="DD304" s="268">
        <f>IF(DA304,_xll.qDateYears(DA303,DA304,DD$13),0)</f>
        <v>0</v>
      </c>
      <c r="DE304" s="268">
        <f t="shared" si="82"/>
        <v>1616.1787110556011</v>
      </c>
      <c r="DM304" s="526">
        <v>0</v>
      </c>
      <c r="DN304" s="151" t="str">
        <f t="shared" si="77"/>
        <v/>
      </c>
      <c r="DO304" s="386">
        <v>0</v>
      </c>
      <c r="DP304" s="268">
        <f>IF(DM304,_xll.qDateYears(DM303,DM304,DP$13),0)</f>
        <v>0</v>
      </c>
      <c r="DQ304" s="268">
        <f t="shared" si="83"/>
        <v>2183.1745733532407</v>
      </c>
    </row>
    <row r="305" spans="59:121">
      <c r="BG305" s="526">
        <v>0</v>
      </c>
      <c r="BH305" s="150" t="str">
        <f t="shared" si="72"/>
        <v/>
      </c>
      <c r="BI305" s="386">
        <v>0</v>
      </c>
      <c r="BJ305" s="268">
        <f>IF(BG305,_xll.qDateYears(BG304,BG305,$BJ$13),0)</f>
        <v>0</v>
      </c>
      <c r="BK305" s="268">
        <f t="shared" si="78"/>
        <v>2183.1745733532407</v>
      </c>
      <c r="BQ305" s="526">
        <v>0</v>
      </c>
      <c r="BR305" s="151" t="str">
        <f t="shared" si="73"/>
        <v/>
      </c>
      <c r="BS305" s="386">
        <v>0</v>
      </c>
      <c r="BT305" s="268">
        <f>IF(BQ305,_xll.qDateYears(BQ304,BQ305,BT$13),0)</f>
        <v>0</v>
      </c>
      <c r="BU305" s="268">
        <f t="shared" si="79"/>
        <v>1738.6030924697341</v>
      </c>
      <c r="CC305" s="526">
        <v>0</v>
      </c>
      <c r="CD305" s="151" t="str">
        <f t="shared" si="74"/>
        <v/>
      </c>
      <c r="CE305" s="386">
        <v>0</v>
      </c>
      <c r="CF305" s="268">
        <f>IF(CC305,_xll.qDateYears(CC304,CC305,CF$13),0)</f>
        <v>0</v>
      </c>
      <c r="CG305" s="268">
        <f t="shared" si="80"/>
        <v>2312.0085517586949</v>
      </c>
      <c r="CO305" s="526">
        <v>0</v>
      </c>
      <c r="CP305" s="151" t="str">
        <f t="shared" si="75"/>
        <v/>
      </c>
      <c r="CQ305" s="386">
        <v>0</v>
      </c>
      <c r="CR305" s="268">
        <f>IF(CO305,_xll.qDateYears(CO304,CO305,CR$13),0)</f>
        <v>0</v>
      </c>
      <c r="CS305" s="268">
        <f t="shared" si="81"/>
        <v>2185.174943791465</v>
      </c>
      <c r="DA305" s="526">
        <v>0</v>
      </c>
      <c r="DB305" s="151" t="str">
        <f t="shared" si="76"/>
        <v/>
      </c>
      <c r="DC305" s="386">
        <v>0</v>
      </c>
      <c r="DD305" s="268">
        <f>IF(DA305,_xll.qDateYears(DA304,DA305,DD$13),0)</f>
        <v>0</v>
      </c>
      <c r="DE305" s="268">
        <f t="shared" si="82"/>
        <v>1616.1787110556011</v>
      </c>
      <c r="DM305" s="526">
        <v>0</v>
      </c>
      <c r="DN305" s="151" t="str">
        <f t="shared" si="77"/>
        <v/>
      </c>
      <c r="DO305" s="386">
        <v>0</v>
      </c>
      <c r="DP305" s="268">
        <f>IF(DM305,_xll.qDateYears(DM304,DM305,DP$13),0)</f>
        <v>0</v>
      </c>
      <c r="DQ305" s="268">
        <f t="shared" si="83"/>
        <v>2183.1745733532407</v>
      </c>
    </row>
    <row r="306" spans="59:121">
      <c r="BG306" s="526">
        <v>0</v>
      </c>
      <c r="BH306" s="150" t="str">
        <f t="shared" si="72"/>
        <v/>
      </c>
      <c r="BI306" s="386">
        <v>0</v>
      </c>
      <c r="BJ306" s="268">
        <f>IF(BG306,_xll.qDateYears(BG305,BG306,$BJ$13),0)</f>
        <v>0</v>
      </c>
      <c r="BK306" s="268">
        <f t="shared" si="78"/>
        <v>2183.1745733532407</v>
      </c>
      <c r="BQ306" s="526">
        <v>0</v>
      </c>
      <c r="BR306" s="151" t="str">
        <f t="shared" si="73"/>
        <v/>
      </c>
      <c r="BS306" s="386">
        <v>0</v>
      </c>
      <c r="BT306" s="268">
        <f>IF(BQ306,_xll.qDateYears(BQ305,BQ306,BT$13),0)</f>
        <v>0</v>
      </c>
      <c r="BU306" s="268">
        <f t="shared" si="79"/>
        <v>1738.6030924697341</v>
      </c>
      <c r="CC306" s="526">
        <v>0</v>
      </c>
      <c r="CD306" s="151" t="str">
        <f t="shared" si="74"/>
        <v/>
      </c>
      <c r="CE306" s="386">
        <v>0</v>
      </c>
      <c r="CF306" s="268">
        <f>IF(CC306,_xll.qDateYears(CC305,CC306,CF$13),0)</f>
        <v>0</v>
      </c>
      <c r="CG306" s="268">
        <f t="shared" si="80"/>
        <v>2312.0085517586949</v>
      </c>
      <c r="CO306" s="526">
        <v>0</v>
      </c>
      <c r="CP306" s="151" t="str">
        <f t="shared" si="75"/>
        <v/>
      </c>
      <c r="CQ306" s="386">
        <v>0</v>
      </c>
      <c r="CR306" s="268">
        <f>IF(CO306,_xll.qDateYears(CO305,CO306,CR$13),0)</f>
        <v>0</v>
      </c>
      <c r="CS306" s="268">
        <f t="shared" si="81"/>
        <v>2185.174943791465</v>
      </c>
      <c r="DA306" s="526">
        <v>0</v>
      </c>
      <c r="DB306" s="151" t="str">
        <f t="shared" si="76"/>
        <v/>
      </c>
      <c r="DC306" s="386">
        <v>0</v>
      </c>
      <c r="DD306" s="268">
        <f>IF(DA306,_xll.qDateYears(DA305,DA306,DD$13),0)</f>
        <v>0</v>
      </c>
      <c r="DE306" s="268">
        <f t="shared" si="82"/>
        <v>1616.1787110556011</v>
      </c>
      <c r="DM306" s="526">
        <v>0</v>
      </c>
      <c r="DN306" s="151" t="str">
        <f t="shared" si="77"/>
        <v/>
      </c>
      <c r="DO306" s="386">
        <v>0</v>
      </c>
      <c r="DP306" s="268">
        <f>IF(DM306,_xll.qDateYears(DM305,DM306,DP$13),0)</f>
        <v>0</v>
      </c>
      <c r="DQ306" s="268">
        <f t="shared" si="83"/>
        <v>2183.1745733532407</v>
      </c>
    </row>
    <row r="307" spans="59:121">
      <c r="BG307" s="526">
        <v>0</v>
      </c>
      <c r="BH307" s="150" t="str">
        <f t="shared" si="72"/>
        <v/>
      </c>
      <c r="BI307" s="386">
        <v>0</v>
      </c>
      <c r="BJ307" s="268">
        <f>IF(BG307,_xll.qDateYears(BG306,BG307,$BJ$13),0)</f>
        <v>0</v>
      </c>
      <c r="BK307" s="268">
        <f t="shared" si="78"/>
        <v>2183.1745733532407</v>
      </c>
      <c r="BQ307" s="526">
        <v>0</v>
      </c>
      <c r="BR307" s="151" t="str">
        <f t="shared" si="73"/>
        <v/>
      </c>
      <c r="BS307" s="386">
        <v>0</v>
      </c>
      <c r="BT307" s="268">
        <f>IF(BQ307,_xll.qDateYears(BQ306,BQ307,BT$13),0)</f>
        <v>0</v>
      </c>
      <c r="BU307" s="268">
        <f t="shared" si="79"/>
        <v>1738.6030924697341</v>
      </c>
      <c r="CC307" s="526">
        <v>0</v>
      </c>
      <c r="CD307" s="151" t="str">
        <f t="shared" si="74"/>
        <v/>
      </c>
      <c r="CE307" s="386">
        <v>0</v>
      </c>
      <c r="CF307" s="268">
        <f>IF(CC307,_xll.qDateYears(CC306,CC307,CF$13),0)</f>
        <v>0</v>
      </c>
      <c r="CG307" s="268">
        <f t="shared" si="80"/>
        <v>2312.0085517586949</v>
      </c>
      <c r="CO307" s="526">
        <v>0</v>
      </c>
      <c r="CP307" s="151" t="str">
        <f t="shared" si="75"/>
        <v/>
      </c>
      <c r="CQ307" s="386">
        <v>0</v>
      </c>
      <c r="CR307" s="268">
        <f>IF(CO307,_xll.qDateYears(CO306,CO307,CR$13),0)</f>
        <v>0</v>
      </c>
      <c r="CS307" s="268">
        <f t="shared" si="81"/>
        <v>2185.174943791465</v>
      </c>
      <c r="DA307" s="526">
        <v>0</v>
      </c>
      <c r="DB307" s="151" t="str">
        <f t="shared" si="76"/>
        <v/>
      </c>
      <c r="DC307" s="386">
        <v>0</v>
      </c>
      <c r="DD307" s="268">
        <f>IF(DA307,_xll.qDateYears(DA306,DA307,DD$13),0)</f>
        <v>0</v>
      </c>
      <c r="DE307" s="268">
        <f t="shared" si="82"/>
        <v>1616.1787110556011</v>
      </c>
      <c r="DM307" s="526">
        <v>0</v>
      </c>
      <c r="DN307" s="151" t="str">
        <f t="shared" si="77"/>
        <v/>
      </c>
      <c r="DO307" s="386">
        <v>0</v>
      </c>
      <c r="DP307" s="268">
        <f>IF(DM307,_xll.qDateYears(DM306,DM307,DP$13),0)</f>
        <v>0</v>
      </c>
      <c r="DQ307" s="268">
        <f t="shared" si="83"/>
        <v>2183.1745733532407</v>
      </c>
    </row>
    <row r="308" spans="59:121">
      <c r="BG308" s="526">
        <v>0</v>
      </c>
      <c r="BH308" s="150" t="str">
        <f t="shared" si="72"/>
        <v/>
      </c>
      <c r="BI308" s="386">
        <v>0</v>
      </c>
      <c r="BJ308" s="268">
        <f>IF(BG308,_xll.qDateYears(BG307,BG308,$BJ$13),0)</f>
        <v>0</v>
      </c>
      <c r="BK308" s="268">
        <f t="shared" si="78"/>
        <v>2183.1745733532407</v>
      </c>
      <c r="BQ308" s="526">
        <v>0</v>
      </c>
      <c r="BR308" s="151" t="str">
        <f t="shared" si="73"/>
        <v/>
      </c>
      <c r="BS308" s="386">
        <v>0</v>
      </c>
      <c r="BT308" s="268">
        <f>IF(BQ308,_xll.qDateYears(BQ307,BQ308,BT$13),0)</f>
        <v>0</v>
      </c>
      <c r="BU308" s="268">
        <f t="shared" si="79"/>
        <v>1738.6030924697341</v>
      </c>
      <c r="CC308" s="526">
        <v>0</v>
      </c>
      <c r="CD308" s="151" t="str">
        <f t="shared" si="74"/>
        <v/>
      </c>
      <c r="CE308" s="386">
        <v>0</v>
      </c>
      <c r="CF308" s="268">
        <f>IF(CC308,_xll.qDateYears(CC307,CC308,CF$13),0)</f>
        <v>0</v>
      </c>
      <c r="CG308" s="268">
        <f t="shared" si="80"/>
        <v>2312.0085517586949</v>
      </c>
      <c r="CO308" s="526">
        <v>0</v>
      </c>
      <c r="CP308" s="151" t="str">
        <f t="shared" si="75"/>
        <v/>
      </c>
      <c r="CQ308" s="386">
        <v>0</v>
      </c>
      <c r="CR308" s="268">
        <f>IF(CO308,_xll.qDateYears(CO307,CO308,CR$13),0)</f>
        <v>0</v>
      </c>
      <c r="CS308" s="268">
        <f t="shared" si="81"/>
        <v>2185.174943791465</v>
      </c>
      <c r="DA308" s="526">
        <v>0</v>
      </c>
      <c r="DB308" s="151" t="str">
        <f t="shared" si="76"/>
        <v/>
      </c>
      <c r="DC308" s="386">
        <v>0</v>
      </c>
      <c r="DD308" s="268">
        <f>IF(DA308,_xll.qDateYears(DA307,DA308,DD$13),0)</f>
        <v>0</v>
      </c>
      <c r="DE308" s="268">
        <f t="shared" si="82"/>
        <v>1616.1787110556011</v>
      </c>
      <c r="DM308" s="526">
        <v>0</v>
      </c>
      <c r="DN308" s="151" t="str">
        <f t="shared" si="77"/>
        <v/>
      </c>
      <c r="DO308" s="386">
        <v>0</v>
      </c>
      <c r="DP308" s="268">
        <f>IF(DM308,_xll.qDateYears(DM307,DM308,DP$13),0)</f>
        <v>0</v>
      </c>
      <c r="DQ308" s="268">
        <f t="shared" si="83"/>
        <v>2183.1745733532407</v>
      </c>
    </row>
    <row r="309" spans="59:121">
      <c r="BG309" s="526">
        <v>0</v>
      </c>
      <c r="BH309" s="150" t="str">
        <f t="shared" si="72"/>
        <v/>
      </c>
      <c r="BI309" s="386">
        <v>0</v>
      </c>
      <c r="BJ309" s="268">
        <f>IF(BG309,_xll.qDateYears(BG308,BG309,$BJ$13),0)</f>
        <v>0</v>
      </c>
      <c r="BK309" s="268">
        <f t="shared" si="78"/>
        <v>2183.1745733532407</v>
      </c>
      <c r="BQ309" s="526">
        <v>0</v>
      </c>
      <c r="BR309" s="151" t="str">
        <f t="shared" si="73"/>
        <v/>
      </c>
      <c r="BS309" s="386">
        <v>0</v>
      </c>
      <c r="BT309" s="268">
        <f>IF(BQ309,_xll.qDateYears(BQ308,BQ309,BT$13),0)</f>
        <v>0</v>
      </c>
      <c r="BU309" s="268">
        <f t="shared" si="79"/>
        <v>1738.6030924697341</v>
      </c>
      <c r="CC309" s="526">
        <v>0</v>
      </c>
      <c r="CD309" s="151" t="str">
        <f t="shared" si="74"/>
        <v/>
      </c>
      <c r="CE309" s="386">
        <v>0</v>
      </c>
      <c r="CF309" s="268">
        <f>IF(CC309,_xll.qDateYears(CC308,CC309,CF$13),0)</f>
        <v>0</v>
      </c>
      <c r="CG309" s="268">
        <f t="shared" si="80"/>
        <v>2312.0085517586949</v>
      </c>
      <c r="CO309" s="526">
        <v>0</v>
      </c>
      <c r="CP309" s="151" t="str">
        <f t="shared" si="75"/>
        <v/>
      </c>
      <c r="CQ309" s="386">
        <v>0</v>
      </c>
      <c r="CR309" s="268">
        <f>IF(CO309,_xll.qDateYears(CO308,CO309,CR$13),0)</f>
        <v>0</v>
      </c>
      <c r="CS309" s="268">
        <f t="shared" si="81"/>
        <v>2185.174943791465</v>
      </c>
      <c r="DA309" s="526">
        <v>0</v>
      </c>
      <c r="DB309" s="151" t="str">
        <f t="shared" si="76"/>
        <v/>
      </c>
      <c r="DC309" s="386">
        <v>0</v>
      </c>
      <c r="DD309" s="268">
        <f>IF(DA309,_xll.qDateYears(DA308,DA309,DD$13),0)</f>
        <v>0</v>
      </c>
      <c r="DE309" s="268">
        <f t="shared" si="82"/>
        <v>1616.1787110556011</v>
      </c>
      <c r="DM309" s="526">
        <v>0</v>
      </c>
      <c r="DN309" s="151" t="str">
        <f t="shared" si="77"/>
        <v/>
      </c>
      <c r="DO309" s="386">
        <v>0</v>
      </c>
      <c r="DP309" s="268">
        <f>IF(DM309,_xll.qDateYears(DM308,DM309,DP$13),0)</f>
        <v>0</v>
      </c>
      <c r="DQ309" s="268">
        <f t="shared" si="83"/>
        <v>2183.1745733532407</v>
      </c>
    </row>
    <row r="310" spans="59:121">
      <c r="BG310" s="526">
        <v>0</v>
      </c>
      <c r="BH310" s="150" t="str">
        <f t="shared" si="72"/>
        <v/>
      </c>
      <c r="BI310" s="386">
        <v>0</v>
      </c>
      <c r="BJ310" s="268">
        <f>IF(BG310,_xll.qDateYears(BG309,BG310,$BJ$13),0)</f>
        <v>0</v>
      </c>
      <c r="BK310" s="268">
        <f t="shared" si="78"/>
        <v>2183.1745733532407</v>
      </c>
      <c r="BQ310" s="526">
        <v>0</v>
      </c>
      <c r="BR310" s="151" t="str">
        <f t="shared" si="73"/>
        <v/>
      </c>
      <c r="BS310" s="386">
        <v>0</v>
      </c>
      <c r="BT310" s="268">
        <f>IF(BQ310,_xll.qDateYears(BQ309,BQ310,BT$13),0)</f>
        <v>0</v>
      </c>
      <c r="BU310" s="268">
        <f t="shared" si="79"/>
        <v>1738.6030924697341</v>
      </c>
      <c r="CC310" s="526">
        <v>0</v>
      </c>
      <c r="CD310" s="151" t="str">
        <f t="shared" si="74"/>
        <v/>
      </c>
      <c r="CE310" s="386">
        <v>0</v>
      </c>
      <c r="CF310" s="268">
        <f>IF(CC310,_xll.qDateYears(CC309,CC310,CF$13),0)</f>
        <v>0</v>
      </c>
      <c r="CG310" s="268">
        <f t="shared" si="80"/>
        <v>2312.0085517586949</v>
      </c>
      <c r="CO310" s="526">
        <v>0</v>
      </c>
      <c r="CP310" s="151" t="str">
        <f t="shared" si="75"/>
        <v/>
      </c>
      <c r="CQ310" s="386">
        <v>0</v>
      </c>
      <c r="CR310" s="268">
        <f>IF(CO310,_xll.qDateYears(CO309,CO310,CR$13),0)</f>
        <v>0</v>
      </c>
      <c r="CS310" s="268">
        <f t="shared" si="81"/>
        <v>2185.174943791465</v>
      </c>
      <c r="DA310" s="526">
        <v>0</v>
      </c>
      <c r="DB310" s="151" t="str">
        <f t="shared" si="76"/>
        <v/>
      </c>
      <c r="DC310" s="386">
        <v>0</v>
      </c>
      <c r="DD310" s="268">
        <f>IF(DA310,_xll.qDateYears(DA309,DA310,DD$13),0)</f>
        <v>0</v>
      </c>
      <c r="DE310" s="268">
        <f t="shared" si="82"/>
        <v>1616.1787110556011</v>
      </c>
      <c r="DM310" s="526">
        <v>0</v>
      </c>
      <c r="DN310" s="151" t="str">
        <f t="shared" si="77"/>
        <v/>
      </c>
      <c r="DO310" s="386">
        <v>0</v>
      </c>
      <c r="DP310" s="268">
        <f>IF(DM310,_xll.qDateYears(DM309,DM310,DP$13),0)</f>
        <v>0</v>
      </c>
      <c r="DQ310" s="268">
        <f t="shared" si="83"/>
        <v>2183.1745733532407</v>
      </c>
    </row>
    <row r="311" spans="59:121">
      <c r="BG311" s="526">
        <v>0</v>
      </c>
      <c r="BH311" s="150" t="str">
        <f t="shared" si="72"/>
        <v/>
      </c>
      <c r="BI311" s="386">
        <v>0</v>
      </c>
      <c r="BJ311" s="268">
        <f>IF(BG311,_xll.qDateYears(BG310,BG311,$BJ$13),0)</f>
        <v>0</v>
      </c>
      <c r="BK311" s="268">
        <f t="shared" si="78"/>
        <v>2183.1745733532407</v>
      </c>
      <c r="BQ311" s="526">
        <v>0</v>
      </c>
      <c r="BR311" s="151" t="str">
        <f t="shared" si="73"/>
        <v/>
      </c>
      <c r="BS311" s="386">
        <v>0</v>
      </c>
      <c r="BT311" s="268">
        <f>IF(BQ311,_xll.qDateYears(BQ310,BQ311,BT$13),0)</f>
        <v>0</v>
      </c>
      <c r="BU311" s="268">
        <f t="shared" si="79"/>
        <v>1738.6030924697341</v>
      </c>
      <c r="CC311" s="526">
        <v>0</v>
      </c>
      <c r="CD311" s="151" t="str">
        <f t="shared" si="74"/>
        <v/>
      </c>
      <c r="CE311" s="386">
        <v>0</v>
      </c>
      <c r="CF311" s="268">
        <f>IF(CC311,_xll.qDateYears(CC310,CC311,CF$13),0)</f>
        <v>0</v>
      </c>
      <c r="CG311" s="268">
        <f t="shared" si="80"/>
        <v>2312.0085517586949</v>
      </c>
      <c r="CO311" s="526">
        <v>0</v>
      </c>
      <c r="CP311" s="151" t="str">
        <f t="shared" si="75"/>
        <v/>
      </c>
      <c r="CQ311" s="386">
        <v>0</v>
      </c>
      <c r="CR311" s="268">
        <f>IF(CO311,_xll.qDateYears(CO310,CO311,CR$13),0)</f>
        <v>0</v>
      </c>
      <c r="CS311" s="268">
        <f t="shared" si="81"/>
        <v>2185.174943791465</v>
      </c>
      <c r="DA311" s="526">
        <v>0</v>
      </c>
      <c r="DB311" s="151" t="str">
        <f t="shared" si="76"/>
        <v/>
      </c>
      <c r="DC311" s="386">
        <v>0</v>
      </c>
      <c r="DD311" s="268">
        <f>IF(DA311,_xll.qDateYears(DA310,DA311,DD$13),0)</f>
        <v>0</v>
      </c>
      <c r="DE311" s="268">
        <f t="shared" si="82"/>
        <v>1616.1787110556011</v>
      </c>
      <c r="DM311" s="526">
        <v>0</v>
      </c>
      <c r="DN311" s="151" t="str">
        <f t="shared" si="77"/>
        <v/>
      </c>
      <c r="DO311" s="386">
        <v>0</v>
      </c>
      <c r="DP311" s="268">
        <f>IF(DM311,_xll.qDateYears(DM310,DM311,DP$13),0)</f>
        <v>0</v>
      </c>
      <c r="DQ311" s="268">
        <f t="shared" si="83"/>
        <v>2183.1745733532407</v>
      </c>
    </row>
    <row r="312" spans="59:121">
      <c r="BG312" s="526">
        <v>0</v>
      </c>
      <c r="BH312" s="150" t="str">
        <f t="shared" si="72"/>
        <v/>
      </c>
      <c r="BI312" s="386">
        <v>0</v>
      </c>
      <c r="BJ312" s="268">
        <f>IF(BG312,_xll.qDateYears(BG311,BG312,$BJ$13),0)</f>
        <v>0</v>
      </c>
      <c r="BK312" s="268">
        <f t="shared" si="78"/>
        <v>2183.1745733532407</v>
      </c>
      <c r="BQ312" s="526">
        <v>0</v>
      </c>
      <c r="BR312" s="151" t="str">
        <f t="shared" si="73"/>
        <v/>
      </c>
      <c r="BS312" s="386">
        <v>0</v>
      </c>
      <c r="BT312" s="268">
        <f>IF(BQ312,_xll.qDateYears(BQ311,BQ312,BT$13),0)</f>
        <v>0</v>
      </c>
      <c r="BU312" s="268">
        <f t="shared" si="79"/>
        <v>1738.6030924697341</v>
      </c>
      <c r="CC312" s="526">
        <v>0</v>
      </c>
      <c r="CD312" s="151" t="str">
        <f t="shared" si="74"/>
        <v/>
      </c>
      <c r="CE312" s="386">
        <v>0</v>
      </c>
      <c r="CF312" s="268">
        <f>IF(CC312,_xll.qDateYears(CC311,CC312,CF$13),0)</f>
        <v>0</v>
      </c>
      <c r="CG312" s="268">
        <f t="shared" si="80"/>
        <v>2312.0085517586949</v>
      </c>
      <c r="CO312" s="526">
        <v>0</v>
      </c>
      <c r="CP312" s="151" t="str">
        <f t="shared" si="75"/>
        <v/>
      </c>
      <c r="CQ312" s="386">
        <v>0</v>
      </c>
      <c r="CR312" s="268">
        <f>IF(CO312,_xll.qDateYears(CO311,CO312,CR$13),0)</f>
        <v>0</v>
      </c>
      <c r="CS312" s="268">
        <f t="shared" si="81"/>
        <v>2185.174943791465</v>
      </c>
      <c r="DA312" s="526">
        <v>0</v>
      </c>
      <c r="DB312" s="151" t="str">
        <f t="shared" si="76"/>
        <v/>
      </c>
      <c r="DC312" s="386">
        <v>0</v>
      </c>
      <c r="DD312" s="268">
        <f>IF(DA312,_xll.qDateYears(DA311,DA312,DD$13),0)</f>
        <v>0</v>
      </c>
      <c r="DE312" s="268">
        <f t="shared" si="82"/>
        <v>1616.1787110556011</v>
      </c>
      <c r="DM312" s="526">
        <v>0</v>
      </c>
      <c r="DN312" s="151" t="str">
        <f t="shared" si="77"/>
        <v/>
      </c>
      <c r="DO312" s="386">
        <v>0</v>
      </c>
      <c r="DP312" s="268">
        <f>IF(DM312,_xll.qDateYears(DM311,DM312,DP$13),0)</f>
        <v>0</v>
      </c>
      <c r="DQ312" s="268">
        <f t="shared" si="83"/>
        <v>2183.1745733532407</v>
      </c>
    </row>
    <row r="313" spans="59:121">
      <c r="BG313" s="526">
        <v>0</v>
      </c>
      <c r="BH313" s="150" t="str">
        <f t="shared" si="72"/>
        <v/>
      </c>
      <c r="BI313" s="386">
        <v>0</v>
      </c>
      <c r="BJ313" s="268">
        <f>IF(BG313,_xll.qDateYears(BG312,BG313,$BJ$13),0)</f>
        <v>0</v>
      </c>
      <c r="BK313" s="268">
        <f t="shared" si="78"/>
        <v>2183.1745733532407</v>
      </c>
      <c r="BQ313" s="526">
        <v>0</v>
      </c>
      <c r="BR313" s="151" t="str">
        <f t="shared" si="73"/>
        <v/>
      </c>
      <c r="BS313" s="386">
        <v>0</v>
      </c>
      <c r="BT313" s="268">
        <f>IF(BQ313,_xll.qDateYears(BQ312,BQ313,BT$13),0)</f>
        <v>0</v>
      </c>
      <c r="BU313" s="268">
        <f t="shared" si="79"/>
        <v>1738.6030924697341</v>
      </c>
      <c r="CC313" s="526">
        <v>0</v>
      </c>
      <c r="CD313" s="151" t="str">
        <f t="shared" si="74"/>
        <v/>
      </c>
      <c r="CE313" s="386">
        <v>0</v>
      </c>
      <c r="CF313" s="268">
        <f>IF(CC313,_xll.qDateYears(CC312,CC313,CF$13),0)</f>
        <v>0</v>
      </c>
      <c r="CG313" s="268">
        <f t="shared" si="80"/>
        <v>2312.0085517586949</v>
      </c>
      <c r="CO313" s="526">
        <v>0</v>
      </c>
      <c r="CP313" s="151" t="str">
        <f t="shared" si="75"/>
        <v/>
      </c>
      <c r="CQ313" s="386">
        <v>0</v>
      </c>
      <c r="CR313" s="268">
        <f>IF(CO313,_xll.qDateYears(CO312,CO313,CR$13),0)</f>
        <v>0</v>
      </c>
      <c r="CS313" s="268">
        <f t="shared" si="81"/>
        <v>2185.174943791465</v>
      </c>
      <c r="DA313" s="526">
        <v>0</v>
      </c>
      <c r="DB313" s="151" t="str">
        <f t="shared" si="76"/>
        <v/>
      </c>
      <c r="DC313" s="386">
        <v>0</v>
      </c>
      <c r="DD313" s="268">
        <f>IF(DA313,_xll.qDateYears(DA312,DA313,DD$13),0)</f>
        <v>0</v>
      </c>
      <c r="DE313" s="268">
        <f t="shared" si="82"/>
        <v>1616.1787110556011</v>
      </c>
      <c r="DM313" s="526">
        <v>0</v>
      </c>
      <c r="DN313" s="151" t="str">
        <f t="shared" si="77"/>
        <v/>
      </c>
      <c r="DO313" s="386">
        <v>0</v>
      </c>
      <c r="DP313" s="268">
        <f>IF(DM313,_xll.qDateYears(DM312,DM313,DP$13),0)</f>
        <v>0</v>
      </c>
      <c r="DQ313" s="268">
        <f t="shared" si="83"/>
        <v>2183.1745733532407</v>
      </c>
    </row>
    <row r="314" spans="59:121">
      <c r="BG314" s="526">
        <v>0</v>
      </c>
      <c r="BH314" s="150" t="str">
        <f t="shared" si="72"/>
        <v/>
      </c>
      <c r="BI314" s="386">
        <v>0</v>
      </c>
      <c r="BJ314" s="268">
        <f>IF(BG314,_xll.qDateYears(BG313,BG314,$BJ$13),0)</f>
        <v>0</v>
      </c>
      <c r="BK314" s="268">
        <f t="shared" si="78"/>
        <v>2183.1745733532407</v>
      </c>
      <c r="BQ314" s="526">
        <v>0</v>
      </c>
      <c r="BR314" s="151" t="str">
        <f t="shared" si="73"/>
        <v/>
      </c>
      <c r="BS314" s="386">
        <v>0</v>
      </c>
      <c r="BT314" s="268">
        <f>IF(BQ314,_xll.qDateYears(BQ313,BQ314,BT$13),0)</f>
        <v>0</v>
      </c>
      <c r="BU314" s="268">
        <f t="shared" si="79"/>
        <v>1738.6030924697341</v>
      </c>
      <c r="CC314" s="526">
        <v>0</v>
      </c>
      <c r="CD314" s="151" t="str">
        <f t="shared" si="74"/>
        <v/>
      </c>
      <c r="CE314" s="386">
        <v>0</v>
      </c>
      <c r="CF314" s="268">
        <f>IF(CC314,_xll.qDateYears(CC313,CC314,CF$13),0)</f>
        <v>0</v>
      </c>
      <c r="CG314" s="268">
        <f t="shared" si="80"/>
        <v>2312.0085517586949</v>
      </c>
      <c r="CO314" s="526">
        <v>0</v>
      </c>
      <c r="CP314" s="151" t="str">
        <f t="shared" si="75"/>
        <v/>
      </c>
      <c r="CQ314" s="386">
        <v>0</v>
      </c>
      <c r="CR314" s="268">
        <f>IF(CO314,_xll.qDateYears(CO313,CO314,CR$13),0)</f>
        <v>0</v>
      </c>
      <c r="CS314" s="268">
        <f t="shared" si="81"/>
        <v>2185.174943791465</v>
      </c>
      <c r="DA314" s="526">
        <v>0</v>
      </c>
      <c r="DB314" s="151" t="str">
        <f t="shared" si="76"/>
        <v/>
      </c>
      <c r="DC314" s="386">
        <v>0</v>
      </c>
      <c r="DD314" s="268">
        <f>IF(DA314,_xll.qDateYears(DA313,DA314,DD$13),0)</f>
        <v>0</v>
      </c>
      <c r="DE314" s="268">
        <f t="shared" si="82"/>
        <v>1616.1787110556011</v>
      </c>
      <c r="DM314" s="526">
        <v>0</v>
      </c>
      <c r="DN314" s="151" t="str">
        <f t="shared" si="77"/>
        <v/>
      </c>
      <c r="DO314" s="386">
        <v>0</v>
      </c>
      <c r="DP314" s="268">
        <f>IF(DM314,_xll.qDateYears(DM313,DM314,DP$13),0)</f>
        <v>0</v>
      </c>
      <c r="DQ314" s="268">
        <f t="shared" si="83"/>
        <v>2183.1745733532407</v>
      </c>
    </row>
    <row r="315" spans="59:121">
      <c r="BG315" s="526">
        <v>0</v>
      </c>
      <c r="BH315" s="150" t="str">
        <f t="shared" si="72"/>
        <v/>
      </c>
      <c r="BI315" s="386">
        <v>0</v>
      </c>
      <c r="BJ315" s="268">
        <f>IF(BG315,_xll.qDateYears(BG314,BG315,$BJ$13),0)</f>
        <v>0</v>
      </c>
      <c r="BK315" s="268">
        <f t="shared" si="78"/>
        <v>2183.1745733532407</v>
      </c>
      <c r="BQ315" s="526">
        <v>0</v>
      </c>
      <c r="BR315" s="151" t="str">
        <f t="shared" si="73"/>
        <v/>
      </c>
      <c r="BS315" s="386">
        <v>0</v>
      </c>
      <c r="BT315" s="268">
        <f>IF(BQ315,_xll.qDateYears(BQ314,BQ315,BT$13),0)</f>
        <v>0</v>
      </c>
      <c r="BU315" s="268">
        <f t="shared" si="79"/>
        <v>1738.6030924697341</v>
      </c>
      <c r="CC315" s="526">
        <v>0</v>
      </c>
      <c r="CD315" s="151" t="str">
        <f t="shared" si="74"/>
        <v/>
      </c>
      <c r="CE315" s="386">
        <v>0</v>
      </c>
      <c r="CF315" s="268">
        <f>IF(CC315,_xll.qDateYears(CC314,CC315,CF$13),0)</f>
        <v>0</v>
      </c>
      <c r="CG315" s="268">
        <f t="shared" si="80"/>
        <v>2312.0085517586949</v>
      </c>
      <c r="CO315" s="526">
        <v>0</v>
      </c>
      <c r="CP315" s="151" t="str">
        <f t="shared" si="75"/>
        <v/>
      </c>
      <c r="CQ315" s="386">
        <v>0</v>
      </c>
      <c r="CR315" s="268">
        <f>IF(CO315,_xll.qDateYears(CO314,CO315,CR$13),0)</f>
        <v>0</v>
      </c>
      <c r="CS315" s="268">
        <f t="shared" si="81"/>
        <v>2185.174943791465</v>
      </c>
      <c r="DA315" s="526">
        <v>0</v>
      </c>
      <c r="DB315" s="151" t="str">
        <f t="shared" si="76"/>
        <v/>
      </c>
      <c r="DC315" s="386">
        <v>0</v>
      </c>
      <c r="DD315" s="268">
        <f>IF(DA315,_xll.qDateYears(DA314,DA315,DD$13),0)</f>
        <v>0</v>
      </c>
      <c r="DE315" s="268">
        <f t="shared" si="82"/>
        <v>1616.1787110556011</v>
      </c>
      <c r="DM315" s="526">
        <v>0</v>
      </c>
      <c r="DN315" s="151" t="str">
        <f t="shared" si="77"/>
        <v/>
      </c>
      <c r="DO315" s="386">
        <v>0</v>
      </c>
      <c r="DP315" s="268">
        <f>IF(DM315,_xll.qDateYears(DM314,DM315,DP$13),0)</f>
        <v>0</v>
      </c>
      <c r="DQ315" s="268">
        <f t="shared" si="83"/>
        <v>2183.1745733532407</v>
      </c>
    </row>
    <row r="316" spans="59:121">
      <c r="BG316" s="526">
        <v>0</v>
      </c>
      <c r="BH316" s="150" t="str">
        <f t="shared" si="72"/>
        <v/>
      </c>
      <c r="BI316" s="386">
        <v>0</v>
      </c>
      <c r="BJ316" s="268">
        <f>IF(BG316,_xll.qDateYears(BG315,BG316,$BJ$13),0)</f>
        <v>0</v>
      </c>
      <c r="BK316" s="268">
        <f t="shared" si="78"/>
        <v>2183.1745733532407</v>
      </c>
      <c r="BQ316" s="526">
        <v>0</v>
      </c>
      <c r="BR316" s="151" t="str">
        <f t="shared" si="73"/>
        <v/>
      </c>
      <c r="BS316" s="386">
        <v>0</v>
      </c>
      <c r="BT316" s="268">
        <f>IF(BQ316,_xll.qDateYears(BQ315,BQ316,BT$13),0)</f>
        <v>0</v>
      </c>
      <c r="BU316" s="268">
        <f t="shared" si="79"/>
        <v>1738.6030924697341</v>
      </c>
      <c r="CC316" s="526">
        <v>0</v>
      </c>
      <c r="CD316" s="151" t="str">
        <f t="shared" si="74"/>
        <v/>
      </c>
      <c r="CE316" s="386">
        <v>0</v>
      </c>
      <c r="CF316" s="268">
        <f>IF(CC316,_xll.qDateYears(CC315,CC316,CF$13),0)</f>
        <v>0</v>
      </c>
      <c r="CG316" s="268">
        <f t="shared" si="80"/>
        <v>2312.0085517586949</v>
      </c>
      <c r="CO316" s="526">
        <v>0</v>
      </c>
      <c r="CP316" s="151" t="str">
        <f t="shared" si="75"/>
        <v/>
      </c>
      <c r="CQ316" s="386">
        <v>0</v>
      </c>
      <c r="CR316" s="268">
        <f>IF(CO316,_xll.qDateYears(CO315,CO316,CR$13),0)</f>
        <v>0</v>
      </c>
      <c r="CS316" s="268">
        <f t="shared" si="81"/>
        <v>2185.174943791465</v>
      </c>
      <c r="DA316" s="526">
        <v>0</v>
      </c>
      <c r="DB316" s="151" t="str">
        <f t="shared" si="76"/>
        <v/>
      </c>
      <c r="DC316" s="386">
        <v>0</v>
      </c>
      <c r="DD316" s="268">
        <f>IF(DA316,_xll.qDateYears(DA315,DA316,DD$13),0)</f>
        <v>0</v>
      </c>
      <c r="DE316" s="268">
        <f t="shared" si="82"/>
        <v>1616.1787110556011</v>
      </c>
      <c r="DM316" s="526">
        <v>0</v>
      </c>
      <c r="DN316" s="151" t="str">
        <f t="shared" si="77"/>
        <v/>
      </c>
      <c r="DO316" s="386">
        <v>0</v>
      </c>
      <c r="DP316" s="268">
        <f>IF(DM316,_xll.qDateYears(DM315,DM316,DP$13),0)</f>
        <v>0</v>
      </c>
      <c r="DQ316" s="268">
        <f t="shared" si="83"/>
        <v>2183.1745733532407</v>
      </c>
    </row>
    <row r="317" spans="59:121">
      <c r="BG317" s="526">
        <v>0</v>
      </c>
      <c r="BH317" s="150" t="str">
        <f t="shared" si="72"/>
        <v/>
      </c>
      <c r="BI317" s="386">
        <v>0</v>
      </c>
      <c r="BJ317" s="268">
        <f>IF(BG317,_xll.qDateYears(BG316,BG317,$BJ$13),0)</f>
        <v>0</v>
      </c>
      <c r="BK317" s="268">
        <f t="shared" si="78"/>
        <v>2183.1745733532407</v>
      </c>
      <c r="BQ317" s="526">
        <v>0</v>
      </c>
      <c r="BR317" s="151" t="str">
        <f t="shared" si="73"/>
        <v/>
      </c>
      <c r="BS317" s="386">
        <v>0</v>
      </c>
      <c r="BT317" s="268">
        <f>IF(BQ317,_xll.qDateYears(BQ316,BQ317,BT$13),0)</f>
        <v>0</v>
      </c>
      <c r="BU317" s="268">
        <f t="shared" si="79"/>
        <v>1738.6030924697341</v>
      </c>
      <c r="CC317" s="526">
        <v>0</v>
      </c>
      <c r="CD317" s="151" t="str">
        <f t="shared" si="74"/>
        <v/>
      </c>
      <c r="CE317" s="386">
        <v>0</v>
      </c>
      <c r="CF317" s="268">
        <f>IF(CC317,_xll.qDateYears(CC316,CC317,CF$13),0)</f>
        <v>0</v>
      </c>
      <c r="CG317" s="268">
        <f t="shared" si="80"/>
        <v>2312.0085517586949</v>
      </c>
      <c r="CO317" s="526">
        <v>0</v>
      </c>
      <c r="CP317" s="151" t="str">
        <f t="shared" si="75"/>
        <v/>
      </c>
      <c r="CQ317" s="386">
        <v>0</v>
      </c>
      <c r="CR317" s="268">
        <f>IF(CO317,_xll.qDateYears(CO316,CO317,CR$13),0)</f>
        <v>0</v>
      </c>
      <c r="CS317" s="268">
        <f t="shared" si="81"/>
        <v>2185.174943791465</v>
      </c>
      <c r="DA317" s="526">
        <v>0</v>
      </c>
      <c r="DB317" s="151" t="str">
        <f t="shared" si="76"/>
        <v/>
      </c>
      <c r="DC317" s="386">
        <v>0</v>
      </c>
      <c r="DD317" s="268">
        <f>IF(DA317,_xll.qDateYears(DA316,DA317,DD$13),0)</f>
        <v>0</v>
      </c>
      <c r="DE317" s="268">
        <f t="shared" si="82"/>
        <v>1616.1787110556011</v>
      </c>
      <c r="DM317" s="526">
        <v>0</v>
      </c>
      <c r="DN317" s="151" t="str">
        <f t="shared" si="77"/>
        <v/>
      </c>
      <c r="DO317" s="386">
        <v>0</v>
      </c>
      <c r="DP317" s="268">
        <f>IF(DM317,_xll.qDateYears(DM316,DM317,DP$13),0)</f>
        <v>0</v>
      </c>
      <c r="DQ317" s="268">
        <f t="shared" si="83"/>
        <v>2183.1745733532407</v>
      </c>
    </row>
    <row r="318" spans="59:121">
      <c r="BG318" s="526">
        <v>0</v>
      </c>
      <c r="BH318" s="150" t="str">
        <f t="shared" si="72"/>
        <v/>
      </c>
      <c r="BI318" s="386">
        <v>0</v>
      </c>
      <c r="BJ318" s="268">
        <f>IF(BG318,_xll.qDateYears(BG317,BG318,$BJ$13),0)</f>
        <v>0</v>
      </c>
      <c r="BK318" s="268">
        <f t="shared" si="78"/>
        <v>2183.1745733532407</v>
      </c>
      <c r="BQ318" s="526">
        <v>0</v>
      </c>
      <c r="BR318" s="151" t="str">
        <f t="shared" si="73"/>
        <v/>
      </c>
      <c r="BS318" s="386">
        <v>0</v>
      </c>
      <c r="BT318" s="268">
        <f>IF(BQ318,_xll.qDateYears(BQ317,BQ318,BT$13),0)</f>
        <v>0</v>
      </c>
      <c r="BU318" s="268">
        <f t="shared" si="79"/>
        <v>1738.6030924697341</v>
      </c>
      <c r="CC318" s="526">
        <v>0</v>
      </c>
      <c r="CD318" s="151" t="str">
        <f t="shared" si="74"/>
        <v/>
      </c>
      <c r="CE318" s="386">
        <v>0</v>
      </c>
      <c r="CF318" s="268">
        <f>IF(CC318,_xll.qDateYears(CC317,CC318,CF$13),0)</f>
        <v>0</v>
      </c>
      <c r="CG318" s="268">
        <f t="shared" si="80"/>
        <v>2312.0085517586949</v>
      </c>
      <c r="CO318" s="526">
        <v>0</v>
      </c>
      <c r="CP318" s="151" t="str">
        <f t="shared" si="75"/>
        <v/>
      </c>
      <c r="CQ318" s="386">
        <v>0</v>
      </c>
      <c r="CR318" s="268">
        <f>IF(CO318,_xll.qDateYears(CO317,CO318,CR$13),0)</f>
        <v>0</v>
      </c>
      <c r="CS318" s="268">
        <f t="shared" si="81"/>
        <v>2185.174943791465</v>
      </c>
      <c r="DA318" s="526">
        <v>0</v>
      </c>
      <c r="DB318" s="151" t="str">
        <f t="shared" si="76"/>
        <v/>
      </c>
      <c r="DC318" s="386">
        <v>0</v>
      </c>
      <c r="DD318" s="268">
        <f>IF(DA318,_xll.qDateYears(DA317,DA318,DD$13),0)</f>
        <v>0</v>
      </c>
      <c r="DE318" s="268">
        <f t="shared" si="82"/>
        <v>1616.1787110556011</v>
      </c>
      <c r="DM318" s="526">
        <v>0</v>
      </c>
      <c r="DN318" s="151" t="str">
        <f t="shared" si="77"/>
        <v/>
      </c>
      <c r="DO318" s="386">
        <v>0</v>
      </c>
      <c r="DP318" s="268">
        <f>IF(DM318,_xll.qDateYears(DM317,DM318,DP$13),0)</f>
        <v>0</v>
      </c>
      <c r="DQ318" s="268">
        <f t="shared" si="83"/>
        <v>2183.1745733532407</v>
      </c>
    </row>
    <row r="319" spans="59:121">
      <c r="BG319" s="526">
        <v>0</v>
      </c>
      <c r="BH319" s="150" t="str">
        <f t="shared" si="72"/>
        <v/>
      </c>
      <c r="BI319" s="386">
        <v>0</v>
      </c>
      <c r="BJ319" s="268">
        <f>IF(BG319,_xll.qDateYears(BG318,BG319,$BJ$13),0)</f>
        <v>0</v>
      </c>
      <c r="BK319" s="268">
        <f t="shared" si="78"/>
        <v>2183.1745733532407</v>
      </c>
      <c r="BQ319" s="526">
        <v>0</v>
      </c>
      <c r="BR319" s="151" t="str">
        <f t="shared" si="73"/>
        <v/>
      </c>
      <c r="BS319" s="386">
        <v>0</v>
      </c>
      <c r="BT319" s="268">
        <f>IF(BQ319,_xll.qDateYears(BQ318,BQ319,BT$13),0)</f>
        <v>0</v>
      </c>
      <c r="BU319" s="268">
        <f t="shared" si="79"/>
        <v>1738.6030924697341</v>
      </c>
      <c r="CC319" s="526">
        <v>0</v>
      </c>
      <c r="CD319" s="151" t="str">
        <f t="shared" si="74"/>
        <v/>
      </c>
      <c r="CE319" s="386">
        <v>0</v>
      </c>
      <c r="CF319" s="268">
        <f>IF(CC319,_xll.qDateYears(CC318,CC319,CF$13),0)</f>
        <v>0</v>
      </c>
      <c r="CG319" s="268">
        <f t="shared" si="80"/>
        <v>2312.0085517586949</v>
      </c>
      <c r="CO319" s="526">
        <v>0</v>
      </c>
      <c r="CP319" s="151" t="str">
        <f t="shared" si="75"/>
        <v/>
      </c>
      <c r="CQ319" s="386">
        <v>0</v>
      </c>
      <c r="CR319" s="268">
        <f>IF(CO319,_xll.qDateYears(CO318,CO319,CR$13),0)</f>
        <v>0</v>
      </c>
      <c r="CS319" s="268">
        <f t="shared" si="81"/>
        <v>2185.174943791465</v>
      </c>
      <c r="DA319" s="526">
        <v>0</v>
      </c>
      <c r="DB319" s="151" t="str">
        <f t="shared" si="76"/>
        <v/>
      </c>
      <c r="DC319" s="386">
        <v>0</v>
      </c>
      <c r="DD319" s="268">
        <f>IF(DA319,_xll.qDateYears(DA318,DA319,DD$13),0)</f>
        <v>0</v>
      </c>
      <c r="DE319" s="268">
        <f t="shared" si="82"/>
        <v>1616.1787110556011</v>
      </c>
      <c r="DM319" s="526">
        <v>0</v>
      </c>
      <c r="DN319" s="151" t="str">
        <f t="shared" si="77"/>
        <v/>
      </c>
      <c r="DO319" s="386">
        <v>0</v>
      </c>
      <c r="DP319" s="268">
        <f>IF(DM319,_xll.qDateYears(DM318,DM319,DP$13),0)</f>
        <v>0</v>
      </c>
      <c r="DQ319" s="268">
        <f t="shared" si="83"/>
        <v>2183.1745733532407</v>
      </c>
    </row>
    <row r="320" spans="59:121">
      <c r="BG320" s="526">
        <v>0</v>
      </c>
      <c r="BH320" s="150" t="str">
        <f t="shared" si="72"/>
        <v/>
      </c>
      <c r="BI320" s="386">
        <v>0</v>
      </c>
      <c r="BJ320" s="268">
        <f>IF(BG320,_xll.qDateYears(BG319,BG320,$BJ$13),0)</f>
        <v>0</v>
      </c>
      <c r="BK320" s="268">
        <f t="shared" si="78"/>
        <v>2183.1745733532407</v>
      </c>
      <c r="BQ320" s="526">
        <v>0</v>
      </c>
      <c r="BR320" s="151" t="str">
        <f t="shared" si="73"/>
        <v/>
      </c>
      <c r="BS320" s="386">
        <v>0</v>
      </c>
      <c r="BT320" s="268">
        <f>IF(BQ320,_xll.qDateYears(BQ319,BQ320,BT$13),0)</f>
        <v>0</v>
      </c>
      <c r="BU320" s="268">
        <f t="shared" si="79"/>
        <v>1738.6030924697341</v>
      </c>
      <c r="CC320" s="526">
        <v>0</v>
      </c>
      <c r="CD320" s="151" t="str">
        <f t="shared" si="74"/>
        <v/>
      </c>
      <c r="CE320" s="386">
        <v>0</v>
      </c>
      <c r="CF320" s="268">
        <f>IF(CC320,_xll.qDateYears(CC319,CC320,CF$13),0)</f>
        <v>0</v>
      </c>
      <c r="CG320" s="268">
        <f t="shared" si="80"/>
        <v>2312.0085517586949</v>
      </c>
      <c r="CO320" s="526">
        <v>0</v>
      </c>
      <c r="CP320" s="151" t="str">
        <f t="shared" si="75"/>
        <v/>
      </c>
      <c r="CQ320" s="386">
        <v>0</v>
      </c>
      <c r="CR320" s="268">
        <f>IF(CO320,_xll.qDateYears(CO319,CO320,CR$13),0)</f>
        <v>0</v>
      </c>
      <c r="CS320" s="268">
        <f t="shared" si="81"/>
        <v>2185.174943791465</v>
      </c>
      <c r="DA320" s="526">
        <v>0</v>
      </c>
      <c r="DB320" s="151" t="str">
        <f t="shared" si="76"/>
        <v/>
      </c>
      <c r="DC320" s="386">
        <v>0</v>
      </c>
      <c r="DD320" s="268">
        <f>IF(DA320,_xll.qDateYears(DA319,DA320,DD$13),0)</f>
        <v>0</v>
      </c>
      <c r="DE320" s="268">
        <f t="shared" si="82"/>
        <v>1616.1787110556011</v>
      </c>
      <c r="DM320" s="526">
        <v>0</v>
      </c>
      <c r="DN320" s="151" t="str">
        <f t="shared" si="77"/>
        <v/>
      </c>
      <c r="DO320" s="386">
        <v>0</v>
      </c>
      <c r="DP320" s="268">
        <f>IF(DM320,_xll.qDateYears(DM319,DM320,DP$13),0)</f>
        <v>0</v>
      </c>
      <c r="DQ320" s="268">
        <f t="shared" si="83"/>
        <v>2183.1745733532407</v>
      </c>
    </row>
    <row r="321" spans="59:121">
      <c r="BG321" s="526">
        <v>0</v>
      </c>
      <c r="BH321" s="150" t="str">
        <f t="shared" si="72"/>
        <v/>
      </c>
      <c r="BI321" s="386">
        <v>0</v>
      </c>
      <c r="BJ321" s="268">
        <f>IF(BG321,_xll.qDateYears(BG320,BG321,$BJ$13),0)</f>
        <v>0</v>
      </c>
      <c r="BK321" s="268">
        <f t="shared" si="78"/>
        <v>2183.1745733532407</v>
      </c>
      <c r="BQ321" s="526">
        <v>0</v>
      </c>
      <c r="BR321" s="151" t="str">
        <f t="shared" si="73"/>
        <v/>
      </c>
      <c r="BS321" s="386">
        <v>0</v>
      </c>
      <c r="BT321" s="268">
        <f>IF(BQ321,_xll.qDateYears(BQ320,BQ321,BT$13),0)</f>
        <v>0</v>
      </c>
      <c r="BU321" s="268">
        <f t="shared" si="79"/>
        <v>1738.6030924697341</v>
      </c>
      <c r="CC321" s="526">
        <v>0</v>
      </c>
      <c r="CD321" s="151" t="str">
        <f t="shared" si="74"/>
        <v/>
      </c>
      <c r="CE321" s="386">
        <v>0</v>
      </c>
      <c r="CF321" s="268">
        <f>IF(CC321,_xll.qDateYears(CC320,CC321,CF$13),0)</f>
        <v>0</v>
      </c>
      <c r="CG321" s="268">
        <f t="shared" si="80"/>
        <v>2312.0085517586949</v>
      </c>
      <c r="CO321" s="526">
        <v>0</v>
      </c>
      <c r="CP321" s="151" t="str">
        <f t="shared" si="75"/>
        <v/>
      </c>
      <c r="CQ321" s="386">
        <v>0</v>
      </c>
      <c r="CR321" s="268">
        <f>IF(CO321,_xll.qDateYears(CO320,CO321,CR$13),0)</f>
        <v>0</v>
      </c>
      <c r="CS321" s="268">
        <f t="shared" si="81"/>
        <v>2185.174943791465</v>
      </c>
      <c r="DA321" s="526">
        <v>0</v>
      </c>
      <c r="DB321" s="151" t="str">
        <f t="shared" si="76"/>
        <v/>
      </c>
      <c r="DC321" s="386">
        <v>0</v>
      </c>
      <c r="DD321" s="268">
        <f>IF(DA321,_xll.qDateYears(DA320,DA321,DD$13),0)</f>
        <v>0</v>
      </c>
      <c r="DE321" s="268">
        <f t="shared" si="82"/>
        <v>1616.1787110556011</v>
      </c>
      <c r="DM321" s="526">
        <v>0</v>
      </c>
      <c r="DN321" s="151" t="str">
        <f t="shared" si="77"/>
        <v/>
      </c>
      <c r="DO321" s="386">
        <v>0</v>
      </c>
      <c r="DP321" s="268">
        <f>IF(DM321,_xll.qDateYears(DM320,DM321,DP$13),0)</f>
        <v>0</v>
      </c>
      <c r="DQ321" s="268">
        <f t="shared" si="83"/>
        <v>2183.1745733532407</v>
      </c>
    </row>
    <row r="322" spans="59:121">
      <c r="BG322" s="526">
        <v>0</v>
      </c>
      <c r="BH322" s="150" t="str">
        <f t="shared" si="72"/>
        <v/>
      </c>
      <c r="BI322" s="386">
        <v>0</v>
      </c>
      <c r="BJ322" s="268">
        <f>IF(BG322,_xll.qDateYears(BG321,BG322,$BJ$13),0)</f>
        <v>0</v>
      </c>
      <c r="BK322" s="268">
        <f t="shared" si="78"/>
        <v>2183.1745733532407</v>
      </c>
      <c r="BQ322" s="526">
        <v>0</v>
      </c>
      <c r="BR322" s="151" t="str">
        <f t="shared" si="73"/>
        <v/>
      </c>
      <c r="BS322" s="386">
        <v>0</v>
      </c>
      <c r="BT322" s="268">
        <f>IF(BQ322,_xll.qDateYears(BQ321,BQ322,BT$13),0)</f>
        <v>0</v>
      </c>
      <c r="BU322" s="268">
        <f t="shared" si="79"/>
        <v>1738.6030924697341</v>
      </c>
      <c r="CC322" s="526">
        <v>0</v>
      </c>
      <c r="CD322" s="151" t="str">
        <f t="shared" si="74"/>
        <v/>
      </c>
      <c r="CE322" s="386">
        <v>0</v>
      </c>
      <c r="CF322" s="268">
        <f>IF(CC322,_xll.qDateYears(CC321,CC322,CF$13),0)</f>
        <v>0</v>
      </c>
      <c r="CG322" s="268">
        <f t="shared" si="80"/>
        <v>2312.0085517586949</v>
      </c>
      <c r="CO322" s="526">
        <v>0</v>
      </c>
      <c r="CP322" s="151" t="str">
        <f t="shared" si="75"/>
        <v/>
      </c>
      <c r="CQ322" s="386">
        <v>0</v>
      </c>
      <c r="CR322" s="268">
        <f>IF(CO322,_xll.qDateYears(CO321,CO322,CR$13),0)</f>
        <v>0</v>
      </c>
      <c r="CS322" s="268">
        <f t="shared" si="81"/>
        <v>2185.174943791465</v>
      </c>
      <c r="DA322" s="526">
        <v>0</v>
      </c>
      <c r="DB322" s="151" t="str">
        <f t="shared" si="76"/>
        <v/>
      </c>
      <c r="DC322" s="386">
        <v>0</v>
      </c>
      <c r="DD322" s="268">
        <f>IF(DA322,_xll.qDateYears(DA321,DA322,DD$13),0)</f>
        <v>0</v>
      </c>
      <c r="DE322" s="268">
        <f t="shared" si="82"/>
        <v>1616.1787110556011</v>
      </c>
      <c r="DM322" s="526">
        <v>0</v>
      </c>
      <c r="DN322" s="151" t="str">
        <f t="shared" si="77"/>
        <v/>
      </c>
      <c r="DO322" s="386">
        <v>0</v>
      </c>
      <c r="DP322" s="268">
        <f>IF(DM322,_xll.qDateYears(DM321,DM322,DP$13),0)</f>
        <v>0</v>
      </c>
      <c r="DQ322" s="268">
        <f t="shared" si="83"/>
        <v>2183.1745733532407</v>
      </c>
    </row>
    <row r="323" spans="59:121">
      <c r="BG323" s="526">
        <v>0</v>
      </c>
      <c r="BH323" s="150" t="str">
        <f t="shared" si="72"/>
        <v/>
      </c>
      <c r="BI323" s="386">
        <v>0</v>
      </c>
      <c r="BJ323" s="268">
        <f>IF(BG323,_xll.qDateYears(BG322,BG323,$BJ$13),0)</f>
        <v>0</v>
      </c>
      <c r="BK323" s="268">
        <f t="shared" si="78"/>
        <v>2183.1745733532407</v>
      </c>
      <c r="BQ323" s="526">
        <v>0</v>
      </c>
      <c r="BR323" s="151" t="str">
        <f t="shared" si="73"/>
        <v/>
      </c>
      <c r="BS323" s="386">
        <v>0</v>
      </c>
      <c r="BT323" s="268">
        <f>IF(BQ323,_xll.qDateYears(BQ322,BQ323,BT$13),0)</f>
        <v>0</v>
      </c>
      <c r="BU323" s="268">
        <f t="shared" si="79"/>
        <v>1738.6030924697341</v>
      </c>
      <c r="CC323" s="526">
        <v>0</v>
      </c>
      <c r="CD323" s="151" t="str">
        <f t="shared" si="74"/>
        <v/>
      </c>
      <c r="CE323" s="386">
        <v>0</v>
      </c>
      <c r="CF323" s="268">
        <f>IF(CC323,_xll.qDateYears(CC322,CC323,CF$13),0)</f>
        <v>0</v>
      </c>
      <c r="CG323" s="268">
        <f t="shared" si="80"/>
        <v>2312.0085517586949</v>
      </c>
      <c r="CO323" s="526">
        <v>0</v>
      </c>
      <c r="CP323" s="151" t="str">
        <f t="shared" si="75"/>
        <v/>
      </c>
      <c r="CQ323" s="386">
        <v>0</v>
      </c>
      <c r="CR323" s="268">
        <f>IF(CO323,_xll.qDateYears(CO322,CO323,CR$13),0)</f>
        <v>0</v>
      </c>
      <c r="CS323" s="268">
        <f t="shared" si="81"/>
        <v>2185.174943791465</v>
      </c>
      <c r="DA323" s="526">
        <v>0</v>
      </c>
      <c r="DB323" s="151" t="str">
        <f t="shared" si="76"/>
        <v/>
      </c>
      <c r="DC323" s="386">
        <v>0</v>
      </c>
      <c r="DD323" s="268">
        <f>IF(DA323,_xll.qDateYears(DA322,DA323,DD$13),0)</f>
        <v>0</v>
      </c>
      <c r="DE323" s="268">
        <f t="shared" si="82"/>
        <v>1616.1787110556011</v>
      </c>
      <c r="DM323" s="526">
        <v>0</v>
      </c>
      <c r="DN323" s="151" t="str">
        <f t="shared" si="77"/>
        <v/>
      </c>
      <c r="DO323" s="386">
        <v>0</v>
      </c>
      <c r="DP323" s="268">
        <f>IF(DM323,_xll.qDateYears(DM322,DM323,DP$13),0)</f>
        <v>0</v>
      </c>
      <c r="DQ323" s="268">
        <f t="shared" si="83"/>
        <v>2183.1745733532407</v>
      </c>
    </row>
    <row r="324" spans="59:121">
      <c r="BG324" s="526">
        <v>0</v>
      </c>
      <c r="BH324" s="150" t="str">
        <f t="shared" si="72"/>
        <v/>
      </c>
      <c r="BI324" s="386">
        <v>0</v>
      </c>
      <c r="BJ324" s="268">
        <f>IF(BG324,_xll.qDateYears(BG323,BG324,$BJ$13),0)</f>
        <v>0</v>
      </c>
      <c r="BK324" s="268">
        <f t="shared" si="78"/>
        <v>2183.1745733532407</v>
      </c>
      <c r="BQ324" s="526">
        <v>0</v>
      </c>
      <c r="BR324" s="151" t="str">
        <f t="shared" si="73"/>
        <v/>
      </c>
      <c r="BS324" s="386">
        <v>0</v>
      </c>
      <c r="BT324" s="268">
        <f>IF(BQ324,_xll.qDateYears(BQ323,BQ324,BT$13),0)</f>
        <v>0</v>
      </c>
      <c r="BU324" s="268">
        <f t="shared" si="79"/>
        <v>1738.6030924697341</v>
      </c>
      <c r="CC324" s="526">
        <v>0</v>
      </c>
      <c r="CD324" s="151" t="str">
        <f t="shared" si="74"/>
        <v/>
      </c>
      <c r="CE324" s="386">
        <v>0</v>
      </c>
      <c r="CF324" s="268">
        <f>IF(CC324,_xll.qDateYears(CC323,CC324,CF$13),0)</f>
        <v>0</v>
      </c>
      <c r="CG324" s="268">
        <f t="shared" si="80"/>
        <v>2312.0085517586949</v>
      </c>
      <c r="CO324" s="526">
        <v>0</v>
      </c>
      <c r="CP324" s="151" t="str">
        <f t="shared" si="75"/>
        <v/>
      </c>
      <c r="CQ324" s="386">
        <v>0</v>
      </c>
      <c r="CR324" s="268">
        <f>IF(CO324,_xll.qDateYears(CO323,CO324,CR$13),0)</f>
        <v>0</v>
      </c>
      <c r="CS324" s="268">
        <f t="shared" si="81"/>
        <v>2185.174943791465</v>
      </c>
      <c r="DA324" s="526">
        <v>0</v>
      </c>
      <c r="DB324" s="151" t="str">
        <f t="shared" si="76"/>
        <v/>
      </c>
      <c r="DC324" s="386">
        <v>0</v>
      </c>
      <c r="DD324" s="268">
        <f>IF(DA324,_xll.qDateYears(DA323,DA324,DD$13),0)</f>
        <v>0</v>
      </c>
      <c r="DE324" s="268">
        <f t="shared" si="82"/>
        <v>1616.1787110556011</v>
      </c>
      <c r="DM324" s="526">
        <v>0</v>
      </c>
      <c r="DN324" s="151" t="str">
        <f t="shared" si="77"/>
        <v/>
      </c>
      <c r="DO324" s="386">
        <v>0</v>
      </c>
      <c r="DP324" s="268">
        <f>IF(DM324,_xll.qDateYears(DM323,DM324,DP$13),0)</f>
        <v>0</v>
      </c>
      <c r="DQ324" s="268">
        <f t="shared" si="83"/>
        <v>2183.1745733532407</v>
      </c>
    </row>
    <row r="325" spans="59:121">
      <c r="BG325" s="526">
        <v>0</v>
      </c>
      <c r="BH325" s="150" t="str">
        <f t="shared" si="72"/>
        <v/>
      </c>
      <c r="BI325" s="386">
        <v>0</v>
      </c>
      <c r="BJ325" s="268">
        <f>IF(BG325,_xll.qDateYears(BG324,BG325,$BJ$13),0)</f>
        <v>0</v>
      </c>
      <c r="BK325" s="268">
        <f t="shared" si="78"/>
        <v>2183.1745733532407</v>
      </c>
      <c r="BQ325" s="526">
        <v>0</v>
      </c>
      <c r="BR325" s="151" t="str">
        <f t="shared" si="73"/>
        <v/>
      </c>
      <c r="BS325" s="386">
        <v>0</v>
      </c>
      <c r="BT325" s="268">
        <f>IF(BQ325,_xll.qDateYears(BQ324,BQ325,BT$13),0)</f>
        <v>0</v>
      </c>
      <c r="BU325" s="268">
        <f t="shared" si="79"/>
        <v>1738.6030924697341</v>
      </c>
      <c r="CC325" s="526">
        <v>0</v>
      </c>
      <c r="CD325" s="151" t="str">
        <f t="shared" si="74"/>
        <v/>
      </c>
      <c r="CE325" s="386">
        <v>0</v>
      </c>
      <c r="CF325" s="268">
        <f>IF(CC325,_xll.qDateYears(CC324,CC325,CF$13),0)</f>
        <v>0</v>
      </c>
      <c r="CG325" s="268">
        <f t="shared" si="80"/>
        <v>2312.0085517586949</v>
      </c>
      <c r="CO325" s="526">
        <v>0</v>
      </c>
      <c r="CP325" s="151" t="str">
        <f t="shared" si="75"/>
        <v/>
      </c>
      <c r="CQ325" s="386">
        <v>0</v>
      </c>
      <c r="CR325" s="268">
        <f>IF(CO325,_xll.qDateYears(CO324,CO325,CR$13),0)</f>
        <v>0</v>
      </c>
      <c r="CS325" s="268">
        <f t="shared" si="81"/>
        <v>2185.174943791465</v>
      </c>
      <c r="DA325" s="526">
        <v>0</v>
      </c>
      <c r="DB325" s="151" t="str">
        <f t="shared" si="76"/>
        <v/>
      </c>
      <c r="DC325" s="386">
        <v>0</v>
      </c>
      <c r="DD325" s="268">
        <f>IF(DA325,_xll.qDateYears(DA324,DA325,DD$13),0)</f>
        <v>0</v>
      </c>
      <c r="DE325" s="268">
        <f t="shared" si="82"/>
        <v>1616.1787110556011</v>
      </c>
      <c r="DM325" s="526">
        <v>0</v>
      </c>
      <c r="DN325" s="151" t="str">
        <f t="shared" si="77"/>
        <v/>
      </c>
      <c r="DO325" s="386">
        <v>0</v>
      </c>
      <c r="DP325" s="268">
        <f>IF(DM325,_xll.qDateYears(DM324,DM325,DP$13),0)</f>
        <v>0</v>
      </c>
      <c r="DQ325" s="268">
        <f t="shared" si="83"/>
        <v>2183.1745733532407</v>
      </c>
    </row>
    <row r="326" spans="59:121">
      <c r="BG326" s="526">
        <v>0</v>
      </c>
      <c r="BH326" s="150" t="str">
        <f t="shared" si="72"/>
        <v/>
      </c>
      <c r="BI326" s="386">
        <v>0</v>
      </c>
      <c r="BJ326" s="268">
        <f>IF(BG326,_xll.qDateYears(BG325,BG326,$BJ$13),0)</f>
        <v>0</v>
      </c>
      <c r="BK326" s="268">
        <f t="shared" si="78"/>
        <v>2183.1745733532407</v>
      </c>
      <c r="BQ326" s="526">
        <v>0</v>
      </c>
      <c r="BR326" s="151" t="str">
        <f t="shared" si="73"/>
        <v/>
      </c>
      <c r="BS326" s="386">
        <v>0</v>
      </c>
      <c r="BT326" s="268">
        <f>IF(BQ326,_xll.qDateYears(BQ325,BQ326,BT$13),0)</f>
        <v>0</v>
      </c>
      <c r="BU326" s="268">
        <f t="shared" si="79"/>
        <v>1738.6030924697341</v>
      </c>
      <c r="CC326" s="526">
        <v>0</v>
      </c>
      <c r="CD326" s="151" t="str">
        <f t="shared" si="74"/>
        <v/>
      </c>
      <c r="CE326" s="386">
        <v>0</v>
      </c>
      <c r="CF326" s="268">
        <f>IF(CC326,_xll.qDateYears(CC325,CC326,CF$13),0)</f>
        <v>0</v>
      </c>
      <c r="CG326" s="268">
        <f t="shared" si="80"/>
        <v>2312.0085517586949</v>
      </c>
      <c r="CO326" s="526">
        <v>0</v>
      </c>
      <c r="CP326" s="151" t="str">
        <f t="shared" si="75"/>
        <v/>
      </c>
      <c r="CQ326" s="386">
        <v>0</v>
      </c>
      <c r="CR326" s="268">
        <f>IF(CO326,_xll.qDateYears(CO325,CO326,CR$13),0)</f>
        <v>0</v>
      </c>
      <c r="CS326" s="268">
        <f t="shared" si="81"/>
        <v>2185.174943791465</v>
      </c>
      <c r="DA326" s="526">
        <v>0</v>
      </c>
      <c r="DB326" s="151" t="str">
        <f t="shared" si="76"/>
        <v/>
      </c>
      <c r="DC326" s="386">
        <v>0</v>
      </c>
      <c r="DD326" s="268">
        <f>IF(DA326,_xll.qDateYears(DA325,DA326,DD$13),0)</f>
        <v>0</v>
      </c>
      <c r="DE326" s="268">
        <f t="shared" si="82"/>
        <v>1616.1787110556011</v>
      </c>
      <c r="DM326" s="526">
        <v>0</v>
      </c>
      <c r="DN326" s="151" t="str">
        <f t="shared" si="77"/>
        <v/>
      </c>
      <c r="DO326" s="386">
        <v>0</v>
      </c>
      <c r="DP326" s="268">
        <f>IF(DM326,_xll.qDateYears(DM325,DM326,DP$13),0)</f>
        <v>0</v>
      </c>
      <c r="DQ326" s="268">
        <f t="shared" si="83"/>
        <v>2183.1745733532407</v>
      </c>
    </row>
    <row r="327" spans="59:121">
      <c r="BG327" s="526">
        <v>0</v>
      </c>
      <c r="BH327" s="150" t="str">
        <f t="shared" si="72"/>
        <v/>
      </c>
      <c r="BI327" s="386">
        <v>0</v>
      </c>
      <c r="BJ327" s="268">
        <f>IF(BG327,_xll.qDateYears(BG326,BG327,$BJ$13),0)</f>
        <v>0</v>
      </c>
      <c r="BK327" s="268">
        <f t="shared" si="78"/>
        <v>2183.1745733532407</v>
      </c>
      <c r="BQ327" s="526">
        <v>0</v>
      </c>
      <c r="BR327" s="151" t="str">
        <f t="shared" si="73"/>
        <v/>
      </c>
      <c r="BS327" s="386">
        <v>0</v>
      </c>
      <c r="BT327" s="268">
        <f>IF(BQ327,_xll.qDateYears(BQ326,BQ327,BT$13),0)</f>
        <v>0</v>
      </c>
      <c r="BU327" s="268">
        <f t="shared" si="79"/>
        <v>1738.6030924697341</v>
      </c>
      <c r="CC327" s="526">
        <v>0</v>
      </c>
      <c r="CD327" s="151" t="str">
        <f t="shared" si="74"/>
        <v/>
      </c>
      <c r="CE327" s="386">
        <v>0</v>
      </c>
      <c r="CF327" s="268">
        <f>IF(CC327,_xll.qDateYears(CC326,CC327,CF$13),0)</f>
        <v>0</v>
      </c>
      <c r="CG327" s="268">
        <f t="shared" si="80"/>
        <v>2312.0085517586949</v>
      </c>
      <c r="CO327" s="526">
        <v>0</v>
      </c>
      <c r="CP327" s="151" t="str">
        <f t="shared" si="75"/>
        <v/>
      </c>
      <c r="CQ327" s="386">
        <v>0</v>
      </c>
      <c r="CR327" s="268">
        <f>IF(CO327,_xll.qDateYears(CO326,CO327,CR$13),0)</f>
        <v>0</v>
      </c>
      <c r="CS327" s="268">
        <f t="shared" si="81"/>
        <v>2185.174943791465</v>
      </c>
      <c r="DA327" s="526">
        <v>0</v>
      </c>
      <c r="DB327" s="151" t="str">
        <f t="shared" si="76"/>
        <v/>
      </c>
      <c r="DC327" s="386">
        <v>0</v>
      </c>
      <c r="DD327" s="268">
        <f>IF(DA327,_xll.qDateYears(DA326,DA327,DD$13),0)</f>
        <v>0</v>
      </c>
      <c r="DE327" s="268">
        <f t="shared" si="82"/>
        <v>1616.1787110556011</v>
      </c>
      <c r="DM327" s="526">
        <v>0</v>
      </c>
      <c r="DN327" s="151" t="str">
        <f t="shared" si="77"/>
        <v/>
      </c>
      <c r="DO327" s="386">
        <v>0</v>
      </c>
      <c r="DP327" s="268">
        <f>IF(DM327,_xll.qDateYears(DM326,DM327,DP$13),0)</f>
        <v>0</v>
      </c>
      <c r="DQ327" s="268">
        <f t="shared" si="83"/>
        <v>2183.1745733532407</v>
      </c>
    </row>
    <row r="328" spans="59:121">
      <c r="BG328" s="526">
        <v>0</v>
      </c>
      <c r="BH328" s="150" t="str">
        <f t="shared" si="72"/>
        <v/>
      </c>
      <c r="BI328" s="386">
        <v>0</v>
      </c>
      <c r="BJ328" s="268">
        <f>IF(BG328,_xll.qDateYears(BG327,BG328,$BJ$13),0)</f>
        <v>0</v>
      </c>
      <c r="BK328" s="268">
        <f t="shared" si="78"/>
        <v>2183.1745733532407</v>
      </c>
      <c r="BQ328" s="526">
        <v>0</v>
      </c>
      <c r="BR328" s="151" t="str">
        <f t="shared" si="73"/>
        <v/>
      </c>
      <c r="BS328" s="386">
        <v>0</v>
      </c>
      <c r="BT328" s="268">
        <f>IF(BQ328,_xll.qDateYears(BQ327,BQ328,BT$13),0)</f>
        <v>0</v>
      </c>
      <c r="BU328" s="268">
        <f t="shared" si="79"/>
        <v>1738.6030924697341</v>
      </c>
      <c r="CC328" s="526">
        <v>0</v>
      </c>
      <c r="CD328" s="151" t="str">
        <f t="shared" si="74"/>
        <v/>
      </c>
      <c r="CE328" s="386">
        <v>0</v>
      </c>
      <c r="CF328" s="268">
        <f>IF(CC328,_xll.qDateYears(CC327,CC328,CF$13),0)</f>
        <v>0</v>
      </c>
      <c r="CG328" s="268">
        <f t="shared" si="80"/>
        <v>2312.0085517586949</v>
      </c>
      <c r="CO328" s="526">
        <v>0</v>
      </c>
      <c r="CP328" s="151" t="str">
        <f t="shared" si="75"/>
        <v/>
      </c>
      <c r="CQ328" s="386">
        <v>0</v>
      </c>
      <c r="CR328" s="268">
        <f>IF(CO328,_xll.qDateYears(CO327,CO328,CR$13),0)</f>
        <v>0</v>
      </c>
      <c r="CS328" s="268">
        <f t="shared" si="81"/>
        <v>2185.174943791465</v>
      </c>
      <c r="DA328" s="526">
        <v>0</v>
      </c>
      <c r="DB328" s="151" t="str">
        <f t="shared" si="76"/>
        <v/>
      </c>
      <c r="DC328" s="386">
        <v>0</v>
      </c>
      <c r="DD328" s="268">
        <f>IF(DA328,_xll.qDateYears(DA327,DA328,DD$13),0)</f>
        <v>0</v>
      </c>
      <c r="DE328" s="268">
        <f t="shared" si="82"/>
        <v>1616.1787110556011</v>
      </c>
      <c r="DM328" s="526">
        <v>0</v>
      </c>
      <c r="DN328" s="151" t="str">
        <f t="shared" si="77"/>
        <v/>
      </c>
      <c r="DO328" s="386">
        <v>0</v>
      </c>
      <c r="DP328" s="268">
        <f>IF(DM328,_xll.qDateYears(DM327,DM328,DP$13),0)</f>
        <v>0</v>
      </c>
      <c r="DQ328" s="268">
        <f t="shared" si="83"/>
        <v>2183.1745733532407</v>
      </c>
    </row>
    <row r="329" spans="59:121">
      <c r="BG329" s="526">
        <v>0</v>
      </c>
      <c r="BH329" s="150" t="str">
        <f t="shared" si="72"/>
        <v/>
      </c>
      <c r="BI329" s="386">
        <v>0</v>
      </c>
      <c r="BJ329" s="268">
        <f>IF(BG329,_xll.qDateYears(BG328,BG329,$BJ$13),0)</f>
        <v>0</v>
      </c>
      <c r="BK329" s="268">
        <f t="shared" si="78"/>
        <v>2183.1745733532407</v>
      </c>
      <c r="BQ329" s="526">
        <v>0</v>
      </c>
      <c r="BR329" s="151" t="str">
        <f t="shared" si="73"/>
        <v/>
      </c>
      <c r="BS329" s="386">
        <v>0</v>
      </c>
      <c r="BT329" s="268">
        <f>IF(BQ329,_xll.qDateYears(BQ328,BQ329,BT$13),0)</f>
        <v>0</v>
      </c>
      <c r="BU329" s="268">
        <f t="shared" si="79"/>
        <v>1738.6030924697341</v>
      </c>
      <c r="CC329" s="526">
        <v>0</v>
      </c>
      <c r="CD329" s="151" t="str">
        <f t="shared" si="74"/>
        <v/>
      </c>
      <c r="CE329" s="386">
        <v>0</v>
      </c>
      <c r="CF329" s="268">
        <f>IF(CC329,_xll.qDateYears(CC328,CC329,CF$13),0)</f>
        <v>0</v>
      </c>
      <c r="CG329" s="268">
        <f t="shared" si="80"/>
        <v>2312.0085517586949</v>
      </c>
      <c r="CO329" s="526">
        <v>0</v>
      </c>
      <c r="CP329" s="151" t="str">
        <f t="shared" si="75"/>
        <v/>
      </c>
      <c r="CQ329" s="386">
        <v>0</v>
      </c>
      <c r="CR329" s="268">
        <f>IF(CO329,_xll.qDateYears(CO328,CO329,CR$13),0)</f>
        <v>0</v>
      </c>
      <c r="CS329" s="268">
        <f t="shared" si="81"/>
        <v>2185.174943791465</v>
      </c>
      <c r="DA329" s="526">
        <v>0</v>
      </c>
      <c r="DB329" s="151" t="str">
        <f t="shared" si="76"/>
        <v/>
      </c>
      <c r="DC329" s="386">
        <v>0</v>
      </c>
      <c r="DD329" s="268">
        <f>IF(DA329,_xll.qDateYears(DA328,DA329,DD$13),0)</f>
        <v>0</v>
      </c>
      <c r="DE329" s="268">
        <f t="shared" si="82"/>
        <v>1616.1787110556011</v>
      </c>
      <c r="DM329" s="526">
        <v>0</v>
      </c>
      <c r="DN329" s="151" t="str">
        <f t="shared" si="77"/>
        <v/>
      </c>
      <c r="DO329" s="386">
        <v>0</v>
      </c>
      <c r="DP329" s="268">
        <f>IF(DM329,_xll.qDateYears(DM328,DM329,DP$13),0)</f>
        <v>0</v>
      </c>
      <c r="DQ329" s="268">
        <f t="shared" si="83"/>
        <v>2183.1745733532407</v>
      </c>
    </row>
    <row r="330" spans="59:121">
      <c r="BG330" s="526">
        <v>0</v>
      </c>
      <c r="BH330" s="150" t="str">
        <f t="shared" si="72"/>
        <v/>
      </c>
      <c r="BI330" s="386">
        <v>0</v>
      </c>
      <c r="BJ330" s="268">
        <f>IF(BG330,_xll.qDateYears(BG329,BG330,$BJ$13),0)</f>
        <v>0</v>
      </c>
      <c r="BK330" s="268">
        <f t="shared" si="78"/>
        <v>2183.1745733532407</v>
      </c>
      <c r="BQ330" s="526">
        <v>0</v>
      </c>
      <c r="BR330" s="151" t="str">
        <f t="shared" si="73"/>
        <v/>
      </c>
      <c r="BS330" s="386">
        <v>0</v>
      </c>
      <c r="BT330" s="268">
        <f>IF(BQ330,_xll.qDateYears(BQ329,BQ330,BT$13),0)</f>
        <v>0</v>
      </c>
      <c r="BU330" s="268">
        <f t="shared" si="79"/>
        <v>1738.6030924697341</v>
      </c>
      <c r="CC330" s="526">
        <v>0</v>
      </c>
      <c r="CD330" s="151" t="str">
        <f t="shared" si="74"/>
        <v/>
      </c>
      <c r="CE330" s="386">
        <v>0</v>
      </c>
      <c r="CF330" s="268">
        <f>IF(CC330,_xll.qDateYears(CC329,CC330,CF$13),0)</f>
        <v>0</v>
      </c>
      <c r="CG330" s="268">
        <f t="shared" si="80"/>
        <v>2312.0085517586949</v>
      </c>
      <c r="CO330" s="526">
        <v>0</v>
      </c>
      <c r="CP330" s="151" t="str">
        <f t="shared" si="75"/>
        <v/>
      </c>
      <c r="CQ330" s="386">
        <v>0</v>
      </c>
      <c r="CR330" s="268">
        <f>IF(CO330,_xll.qDateYears(CO329,CO330,CR$13),0)</f>
        <v>0</v>
      </c>
      <c r="CS330" s="268">
        <f t="shared" si="81"/>
        <v>2185.174943791465</v>
      </c>
      <c r="DA330" s="526">
        <v>0</v>
      </c>
      <c r="DB330" s="151" t="str">
        <f t="shared" si="76"/>
        <v/>
      </c>
      <c r="DC330" s="386">
        <v>0</v>
      </c>
      <c r="DD330" s="268">
        <f>IF(DA330,_xll.qDateYears(DA329,DA330,DD$13),0)</f>
        <v>0</v>
      </c>
      <c r="DE330" s="268">
        <f t="shared" si="82"/>
        <v>1616.1787110556011</v>
      </c>
      <c r="DM330" s="526">
        <v>0</v>
      </c>
      <c r="DN330" s="151" t="str">
        <f t="shared" si="77"/>
        <v/>
      </c>
      <c r="DO330" s="386">
        <v>0</v>
      </c>
      <c r="DP330" s="268">
        <f>IF(DM330,_xll.qDateYears(DM329,DM330,DP$13),0)</f>
        <v>0</v>
      </c>
      <c r="DQ330" s="268">
        <f t="shared" si="83"/>
        <v>2183.1745733532407</v>
      </c>
    </row>
    <row r="331" spans="59:121">
      <c r="BG331" s="526">
        <v>0</v>
      </c>
      <c r="BH331" s="150" t="str">
        <f t="shared" si="72"/>
        <v/>
      </c>
      <c r="BI331" s="386">
        <v>0</v>
      </c>
      <c r="BJ331" s="268">
        <f>IF(BG331,_xll.qDateYears(BG330,BG331,$BJ$13),0)</f>
        <v>0</v>
      </c>
      <c r="BK331" s="268">
        <f t="shared" si="78"/>
        <v>2183.1745733532407</v>
      </c>
      <c r="BQ331" s="526">
        <v>0</v>
      </c>
      <c r="BR331" s="151" t="str">
        <f t="shared" si="73"/>
        <v/>
      </c>
      <c r="BS331" s="386">
        <v>0</v>
      </c>
      <c r="BT331" s="268">
        <f>IF(BQ331,_xll.qDateYears(BQ330,BQ331,BT$13),0)</f>
        <v>0</v>
      </c>
      <c r="BU331" s="268">
        <f t="shared" si="79"/>
        <v>1738.6030924697341</v>
      </c>
      <c r="CC331" s="526">
        <v>0</v>
      </c>
      <c r="CD331" s="151" t="str">
        <f t="shared" si="74"/>
        <v/>
      </c>
      <c r="CE331" s="386">
        <v>0</v>
      </c>
      <c r="CF331" s="268">
        <f>IF(CC331,_xll.qDateYears(CC330,CC331,CF$13),0)</f>
        <v>0</v>
      </c>
      <c r="CG331" s="268">
        <f t="shared" si="80"/>
        <v>2312.0085517586949</v>
      </c>
      <c r="CO331" s="526">
        <v>0</v>
      </c>
      <c r="CP331" s="151" t="str">
        <f t="shared" si="75"/>
        <v/>
      </c>
      <c r="CQ331" s="386">
        <v>0</v>
      </c>
      <c r="CR331" s="268">
        <f>IF(CO331,_xll.qDateYears(CO330,CO331,CR$13),0)</f>
        <v>0</v>
      </c>
      <c r="CS331" s="268">
        <f t="shared" si="81"/>
        <v>2185.174943791465</v>
      </c>
      <c r="DA331" s="526">
        <v>0</v>
      </c>
      <c r="DB331" s="151" t="str">
        <f t="shared" si="76"/>
        <v/>
      </c>
      <c r="DC331" s="386">
        <v>0</v>
      </c>
      <c r="DD331" s="268">
        <f>IF(DA331,_xll.qDateYears(DA330,DA331,DD$13),0)</f>
        <v>0</v>
      </c>
      <c r="DE331" s="268">
        <f t="shared" si="82"/>
        <v>1616.1787110556011</v>
      </c>
      <c r="DM331" s="526">
        <v>0</v>
      </c>
      <c r="DN331" s="151" t="str">
        <f t="shared" si="77"/>
        <v/>
      </c>
      <c r="DO331" s="386">
        <v>0</v>
      </c>
      <c r="DP331" s="268">
        <f>IF(DM331,_xll.qDateYears(DM330,DM331,DP$13),0)</f>
        <v>0</v>
      </c>
      <c r="DQ331" s="268">
        <f t="shared" si="83"/>
        <v>2183.1745733532407</v>
      </c>
    </row>
    <row r="332" spans="59:121">
      <c r="BG332" s="526">
        <v>0</v>
      </c>
      <c r="BH332" s="150" t="str">
        <f t="shared" si="72"/>
        <v/>
      </c>
      <c r="BI332" s="386">
        <v>0</v>
      </c>
      <c r="BJ332" s="268">
        <f>IF(BG332,_xll.qDateYears(BG331,BG332,$BJ$13),0)</f>
        <v>0</v>
      </c>
      <c r="BK332" s="268">
        <f t="shared" si="78"/>
        <v>2183.1745733532407</v>
      </c>
      <c r="BQ332" s="526">
        <v>0</v>
      </c>
      <c r="BR332" s="151" t="str">
        <f t="shared" si="73"/>
        <v/>
      </c>
      <c r="BS332" s="386">
        <v>0</v>
      </c>
      <c r="BT332" s="268">
        <f>IF(BQ332,_xll.qDateYears(BQ331,BQ332,BT$13),0)</f>
        <v>0</v>
      </c>
      <c r="BU332" s="268">
        <f t="shared" si="79"/>
        <v>1738.6030924697341</v>
      </c>
      <c r="CC332" s="526">
        <v>0</v>
      </c>
      <c r="CD332" s="151" t="str">
        <f t="shared" si="74"/>
        <v/>
      </c>
      <c r="CE332" s="386">
        <v>0</v>
      </c>
      <c r="CF332" s="268">
        <f>IF(CC332,_xll.qDateYears(CC331,CC332,CF$13),0)</f>
        <v>0</v>
      </c>
      <c r="CG332" s="268">
        <f t="shared" si="80"/>
        <v>2312.0085517586949</v>
      </c>
      <c r="CO332" s="526">
        <v>0</v>
      </c>
      <c r="CP332" s="151" t="str">
        <f t="shared" si="75"/>
        <v/>
      </c>
      <c r="CQ332" s="386">
        <v>0</v>
      </c>
      <c r="CR332" s="268">
        <f>IF(CO332,_xll.qDateYears(CO331,CO332,CR$13),0)</f>
        <v>0</v>
      </c>
      <c r="CS332" s="268">
        <f t="shared" si="81"/>
        <v>2185.174943791465</v>
      </c>
      <c r="DA332" s="526">
        <v>0</v>
      </c>
      <c r="DB332" s="151" t="str">
        <f t="shared" si="76"/>
        <v/>
      </c>
      <c r="DC332" s="386">
        <v>0</v>
      </c>
      <c r="DD332" s="268">
        <f>IF(DA332,_xll.qDateYears(DA331,DA332,DD$13),0)</f>
        <v>0</v>
      </c>
      <c r="DE332" s="268">
        <f t="shared" si="82"/>
        <v>1616.1787110556011</v>
      </c>
      <c r="DM332" s="526">
        <v>0</v>
      </c>
      <c r="DN332" s="151" t="str">
        <f t="shared" si="77"/>
        <v/>
      </c>
      <c r="DO332" s="386">
        <v>0</v>
      </c>
      <c r="DP332" s="268">
        <f>IF(DM332,_xll.qDateYears(DM331,DM332,DP$13),0)</f>
        <v>0</v>
      </c>
      <c r="DQ332" s="268">
        <f t="shared" si="83"/>
        <v>2183.1745733532407</v>
      </c>
    </row>
    <row r="333" spans="59:121">
      <c r="BG333" s="526">
        <v>0</v>
      </c>
      <c r="BH333" s="150" t="str">
        <f t="shared" si="72"/>
        <v/>
      </c>
      <c r="BI333" s="386">
        <v>0</v>
      </c>
      <c r="BJ333" s="268">
        <f>IF(BG333,_xll.qDateYears(BG332,BG333,$BJ$13),0)</f>
        <v>0</v>
      </c>
      <c r="BK333" s="268">
        <f t="shared" si="78"/>
        <v>2183.1745733532407</v>
      </c>
      <c r="BQ333" s="526">
        <v>0</v>
      </c>
      <c r="BR333" s="151" t="str">
        <f t="shared" si="73"/>
        <v/>
      </c>
      <c r="BS333" s="386">
        <v>0</v>
      </c>
      <c r="BT333" s="268">
        <f>IF(BQ333,_xll.qDateYears(BQ332,BQ333,BT$13),0)</f>
        <v>0</v>
      </c>
      <c r="BU333" s="268">
        <f t="shared" si="79"/>
        <v>1738.6030924697341</v>
      </c>
      <c r="CC333" s="526">
        <v>0</v>
      </c>
      <c r="CD333" s="151" t="str">
        <f t="shared" si="74"/>
        <v/>
      </c>
      <c r="CE333" s="386">
        <v>0</v>
      </c>
      <c r="CF333" s="268">
        <f>IF(CC333,_xll.qDateYears(CC332,CC333,CF$13),0)</f>
        <v>0</v>
      </c>
      <c r="CG333" s="268">
        <f t="shared" si="80"/>
        <v>2312.0085517586949</v>
      </c>
      <c r="CO333" s="526">
        <v>0</v>
      </c>
      <c r="CP333" s="151" t="str">
        <f t="shared" si="75"/>
        <v/>
      </c>
      <c r="CQ333" s="386">
        <v>0</v>
      </c>
      <c r="CR333" s="268">
        <f>IF(CO333,_xll.qDateYears(CO332,CO333,CR$13),0)</f>
        <v>0</v>
      </c>
      <c r="CS333" s="268">
        <f t="shared" si="81"/>
        <v>2185.174943791465</v>
      </c>
      <c r="DA333" s="526">
        <v>0</v>
      </c>
      <c r="DB333" s="151" t="str">
        <f t="shared" si="76"/>
        <v/>
      </c>
      <c r="DC333" s="386">
        <v>0</v>
      </c>
      <c r="DD333" s="268">
        <f>IF(DA333,_xll.qDateYears(DA332,DA333,DD$13),0)</f>
        <v>0</v>
      </c>
      <c r="DE333" s="268">
        <f t="shared" si="82"/>
        <v>1616.1787110556011</v>
      </c>
      <c r="DM333" s="526">
        <v>0</v>
      </c>
      <c r="DN333" s="151" t="str">
        <f t="shared" si="77"/>
        <v/>
      </c>
      <c r="DO333" s="386">
        <v>0</v>
      </c>
      <c r="DP333" s="268">
        <f>IF(DM333,_xll.qDateYears(DM332,DM333,DP$13),0)</f>
        <v>0</v>
      </c>
      <c r="DQ333" s="268">
        <f t="shared" si="83"/>
        <v>2183.1745733532407</v>
      </c>
    </row>
    <row r="334" spans="59:121">
      <c r="BG334" s="526">
        <v>0</v>
      </c>
      <c r="BH334" s="150" t="str">
        <f t="shared" si="72"/>
        <v/>
      </c>
      <c r="BI334" s="386">
        <v>0</v>
      </c>
      <c r="BJ334" s="268">
        <f>IF(BG334,_xll.qDateYears(BG333,BG334,$BJ$13),0)</f>
        <v>0</v>
      </c>
      <c r="BK334" s="268">
        <f t="shared" si="78"/>
        <v>2183.1745733532407</v>
      </c>
      <c r="BQ334" s="526">
        <v>0</v>
      </c>
      <c r="BR334" s="151" t="str">
        <f t="shared" si="73"/>
        <v/>
      </c>
      <c r="BS334" s="386">
        <v>0</v>
      </c>
      <c r="BT334" s="268">
        <f>IF(BQ334,_xll.qDateYears(BQ333,BQ334,BT$13),0)</f>
        <v>0</v>
      </c>
      <c r="BU334" s="268">
        <f t="shared" si="79"/>
        <v>1738.6030924697341</v>
      </c>
      <c r="CC334" s="526">
        <v>0</v>
      </c>
      <c r="CD334" s="151" t="str">
        <f t="shared" si="74"/>
        <v/>
      </c>
      <c r="CE334" s="386">
        <v>0</v>
      </c>
      <c r="CF334" s="268">
        <f>IF(CC334,_xll.qDateYears(CC333,CC334,CF$13),0)</f>
        <v>0</v>
      </c>
      <c r="CG334" s="268">
        <f t="shared" si="80"/>
        <v>2312.0085517586949</v>
      </c>
      <c r="CO334" s="526">
        <v>0</v>
      </c>
      <c r="CP334" s="151" t="str">
        <f t="shared" si="75"/>
        <v/>
      </c>
      <c r="CQ334" s="386">
        <v>0</v>
      </c>
      <c r="CR334" s="268">
        <f>IF(CO334,_xll.qDateYears(CO333,CO334,CR$13),0)</f>
        <v>0</v>
      </c>
      <c r="CS334" s="268">
        <f t="shared" si="81"/>
        <v>2185.174943791465</v>
      </c>
      <c r="DA334" s="526">
        <v>0</v>
      </c>
      <c r="DB334" s="151" t="str">
        <f t="shared" si="76"/>
        <v/>
      </c>
      <c r="DC334" s="386">
        <v>0</v>
      </c>
      <c r="DD334" s="268">
        <f>IF(DA334,_xll.qDateYears(DA333,DA334,DD$13),0)</f>
        <v>0</v>
      </c>
      <c r="DE334" s="268">
        <f t="shared" si="82"/>
        <v>1616.1787110556011</v>
      </c>
      <c r="DM334" s="526">
        <v>0</v>
      </c>
      <c r="DN334" s="151" t="str">
        <f t="shared" si="77"/>
        <v/>
      </c>
      <c r="DO334" s="386">
        <v>0</v>
      </c>
      <c r="DP334" s="268">
        <f>IF(DM334,_xll.qDateYears(DM333,DM334,DP$13),0)</f>
        <v>0</v>
      </c>
      <c r="DQ334" s="268">
        <f t="shared" si="83"/>
        <v>2183.1745733532407</v>
      </c>
    </row>
    <row r="335" spans="59:121">
      <c r="BG335" s="526">
        <v>0</v>
      </c>
      <c r="BH335" s="150" t="str">
        <f t="shared" ref="BH335:BH398" si="84">IF(BG335,ROUND((BG335-$BG$15)/365/0.25,0)*0.25&amp;"Y","")</f>
        <v/>
      </c>
      <c r="BI335" s="386">
        <v>0</v>
      </c>
      <c r="BJ335" s="268">
        <f>IF(BG335,_xll.qDateYears(BG334,BG335,$BJ$13),0)</f>
        <v>0</v>
      </c>
      <c r="BK335" s="268">
        <f t="shared" si="78"/>
        <v>2183.1745733532407</v>
      </c>
      <c r="BQ335" s="526">
        <v>0</v>
      </c>
      <c r="BR335" s="151" t="str">
        <f t="shared" ref="BR335:BR398" si="85">IF(BQ335,ROUND((BQ335-$BG$15)/365/0.25,0)*0.25&amp;"Y","")</f>
        <v/>
      </c>
      <c r="BS335" s="386">
        <v>0</v>
      </c>
      <c r="BT335" s="268">
        <f>IF(BQ335,_xll.qDateYears(BQ334,BQ335,BT$13),0)</f>
        <v>0</v>
      </c>
      <c r="BU335" s="268">
        <f t="shared" si="79"/>
        <v>1738.6030924697341</v>
      </c>
      <c r="CC335" s="526">
        <v>0</v>
      </c>
      <c r="CD335" s="151" t="str">
        <f t="shared" ref="CD335:CD398" si="86">IF(CC335,ROUND((CC335-$BG$15)/365/0.25,0)*0.25&amp;"Y","")</f>
        <v/>
      </c>
      <c r="CE335" s="386">
        <v>0</v>
      </c>
      <c r="CF335" s="268">
        <f>IF(CC335,_xll.qDateYears(CC334,CC335,CF$13),0)</f>
        <v>0</v>
      </c>
      <c r="CG335" s="268">
        <f t="shared" si="80"/>
        <v>2312.0085517586949</v>
      </c>
      <c r="CO335" s="526">
        <v>0</v>
      </c>
      <c r="CP335" s="151" t="str">
        <f t="shared" ref="CP335:CP398" si="87">IF(CO335,ROUND((CO335-$BG$15)/365/0.25,0)*0.25&amp;"Y","")</f>
        <v/>
      </c>
      <c r="CQ335" s="386">
        <v>0</v>
      </c>
      <c r="CR335" s="268">
        <f>IF(CO335,_xll.qDateYears(CO334,CO335,CR$13),0)</f>
        <v>0</v>
      </c>
      <c r="CS335" s="268">
        <f t="shared" si="81"/>
        <v>2185.174943791465</v>
      </c>
      <c r="DA335" s="526">
        <v>0</v>
      </c>
      <c r="DB335" s="151" t="str">
        <f t="shared" ref="DB335:DB398" si="88">IF(DA335,ROUND((DA335-$BG$15)/365/0.25,0)*0.25&amp;"Y","")</f>
        <v/>
      </c>
      <c r="DC335" s="386">
        <v>0</v>
      </c>
      <c r="DD335" s="268">
        <f>IF(DA335,_xll.qDateYears(DA334,DA335,DD$13),0)</f>
        <v>0</v>
      </c>
      <c r="DE335" s="268">
        <f t="shared" si="82"/>
        <v>1616.1787110556011</v>
      </c>
      <c r="DM335" s="526">
        <v>0</v>
      </c>
      <c r="DN335" s="151" t="str">
        <f t="shared" ref="DN335:DN398" si="89">IF(DM335,ROUND((DM335-$BG$15)/365/0.25,0)*0.25&amp;"Y","")</f>
        <v/>
      </c>
      <c r="DO335" s="386">
        <v>0</v>
      </c>
      <c r="DP335" s="268">
        <f>IF(DM335,_xll.qDateYears(DM334,DM335,DP$13),0)</f>
        <v>0</v>
      </c>
      <c r="DQ335" s="268">
        <f t="shared" si="83"/>
        <v>2183.1745733532407</v>
      </c>
    </row>
    <row r="336" spans="59:121">
      <c r="BG336" s="526">
        <v>0</v>
      </c>
      <c r="BH336" s="150" t="str">
        <f t="shared" si="84"/>
        <v/>
      </c>
      <c r="BI336" s="386">
        <v>0</v>
      </c>
      <c r="BJ336" s="268">
        <f>IF(BG336,_xll.qDateYears(BG335,BG336,$BJ$13),0)</f>
        <v>0</v>
      </c>
      <c r="BK336" s="268">
        <f t="shared" si="78"/>
        <v>2183.1745733532407</v>
      </c>
      <c r="BQ336" s="526">
        <v>0</v>
      </c>
      <c r="BR336" s="151" t="str">
        <f t="shared" si="85"/>
        <v/>
      </c>
      <c r="BS336" s="386">
        <v>0</v>
      </c>
      <c r="BT336" s="268">
        <f>IF(BQ336,_xll.qDateYears(BQ335,BQ336,BT$13),0)</f>
        <v>0</v>
      </c>
      <c r="BU336" s="268">
        <f t="shared" si="79"/>
        <v>1738.6030924697341</v>
      </c>
      <c r="CC336" s="526">
        <v>0</v>
      </c>
      <c r="CD336" s="151" t="str">
        <f t="shared" si="86"/>
        <v/>
      </c>
      <c r="CE336" s="386">
        <v>0</v>
      </c>
      <c r="CF336" s="268">
        <f>IF(CC336,_xll.qDateYears(CC335,CC336,CF$13),0)</f>
        <v>0</v>
      </c>
      <c r="CG336" s="268">
        <f t="shared" si="80"/>
        <v>2312.0085517586949</v>
      </c>
      <c r="CO336" s="526">
        <v>0</v>
      </c>
      <c r="CP336" s="151" t="str">
        <f t="shared" si="87"/>
        <v/>
      </c>
      <c r="CQ336" s="386">
        <v>0</v>
      </c>
      <c r="CR336" s="268">
        <f>IF(CO336,_xll.qDateYears(CO335,CO336,CR$13),0)</f>
        <v>0</v>
      </c>
      <c r="CS336" s="268">
        <f t="shared" si="81"/>
        <v>2185.174943791465</v>
      </c>
      <c r="DA336" s="526">
        <v>0</v>
      </c>
      <c r="DB336" s="151" t="str">
        <f t="shared" si="88"/>
        <v/>
      </c>
      <c r="DC336" s="386">
        <v>0</v>
      </c>
      <c r="DD336" s="268">
        <f>IF(DA336,_xll.qDateYears(DA335,DA336,DD$13),0)</f>
        <v>0</v>
      </c>
      <c r="DE336" s="268">
        <f t="shared" si="82"/>
        <v>1616.1787110556011</v>
      </c>
      <c r="DM336" s="526">
        <v>0</v>
      </c>
      <c r="DN336" s="151" t="str">
        <f t="shared" si="89"/>
        <v/>
      </c>
      <c r="DO336" s="386">
        <v>0</v>
      </c>
      <c r="DP336" s="268">
        <f>IF(DM336,_xll.qDateYears(DM335,DM336,DP$13),0)</f>
        <v>0</v>
      </c>
      <c r="DQ336" s="268">
        <f t="shared" si="83"/>
        <v>2183.1745733532407</v>
      </c>
    </row>
    <row r="337" spans="59:121">
      <c r="BG337" s="526">
        <v>0</v>
      </c>
      <c r="BH337" s="150" t="str">
        <f t="shared" si="84"/>
        <v/>
      </c>
      <c r="BI337" s="386">
        <v>0</v>
      </c>
      <c r="BJ337" s="268">
        <f>IF(BG337,_xll.qDateYears(BG336,BG337,$BJ$13),0)</f>
        <v>0</v>
      </c>
      <c r="BK337" s="268">
        <f t="shared" ref="BK337:BK400" si="90">BK336+BJ337*BI337*100</f>
        <v>2183.1745733532407</v>
      </c>
      <c r="BQ337" s="526">
        <v>0</v>
      </c>
      <c r="BR337" s="151" t="str">
        <f t="shared" si="85"/>
        <v/>
      </c>
      <c r="BS337" s="386">
        <v>0</v>
      </c>
      <c r="BT337" s="268">
        <f>IF(BQ337,_xll.qDateYears(BQ336,BQ337,BT$13),0)</f>
        <v>0</v>
      </c>
      <c r="BU337" s="268">
        <f t="shared" ref="BU337:BU400" si="91">BU336+BT337*BS337*100</f>
        <v>1738.6030924697341</v>
      </c>
      <c r="CC337" s="526">
        <v>0</v>
      </c>
      <c r="CD337" s="151" t="str">
        <f t="shared" si="86"/>
        <v/>
      </c>
      <c r="CE337" s="386">
        <v>0</v>
      </c>
      <c r="CF337" s="268">
        <f>IF(CC337,_xll.qDateYears(CC336,CC337,CF$13),0)</f>
        <v>0</v>
      </c>
      <c r="CG337" s="268">
        <f t="shared" ref="CG337:CG400" si="92">CG336+CF337*CE337*100</f>
        <v>2312.0085517586949</v>
      </c>
      <c r="CO337" s="526">
        <v>0</v>
      </c>
      <c r="CP337" s="151" t="str">
        <f t="shared" si="87"/>
        <v/>
      </c>
      <c r="CQ337" s="386">
        <v>0</v>
      </c>
      <c r="CR337" s="268">
        <f>IF(CO337,_xll.qDateYears(CO336,CO337,CR$13),0)</f>
        <v>0</v>
      </c>
      <c r="CS337" s="268">
        <f t="shared" ref="CS337:CS400" si="93">CS336+CR337*CQ337*100</f>
        <v>2185.174943791465</v>
      </c>
      <c r="DA337" s="526">
        <v>0</v>
      </c>
      <c r="DB337" s="151" t="str">
        <f t="shared" si="88"/>
        <v/>
      </c>
      <c r="DC337" s="386">
        <v>0</v>
      </c>
      <c r="DD337" s="268">
        <f>IF(DA337,_xll.qDateYears(DA336,DA337,DD$13),0)</f>
        <v>0</v>
      </c>
      <c r="DE337" s="268">
        <f t="shared" ref="DE337:DE400" si="94">DE336+DD337*DC337*100</f>
        <v>1616.1787110556011</v>
      </c>
      <c r="DM337" s="526">
        <v>0</v>
      </c>
      <c r="DN337" s="151" t="str">
        <f t="shared" si="89"/>
        <v/>
      </c>
      <c r="DO337" s="386">
        <v>0</v>
      </c>
      <c r="DP337" s="268">
        <f>IF(DM337,_xll.qDateYears(DM336,DM337,DP$13),0)</f>
        <v>0</v>
      </c>
      <c r="DQ337" s="268">
        <f t="shared" ref="DQ337:DQ400" si="95">DQ336+DP337*DO337*100</f>
        <v>2183.1745733532407</v>
      </c>
    </row>
    <row r="338" spans="59:121">
      <c r="BG338" s="526">
        <v>0</v>
      </c>
      <c r="BH338" s="150" t="str">
        <f t="shared" si="84"/>
        <v/>
      </c>
      <c r="BI338" s="386">
        <v>0</v>
      </c>
      <c r="BJ338" s="268">
        <f>IF(BG338,_xll.qDateYears(BG337,BG338,$BJ$13),0)</f>
        <v>0</v>
      </c>
      <c r="BK338" s="268">
        <f t="shared" si="90"/>
        <v>2183.1745733532407</v>
      </c>
      <c r="BQ338" s="526">
        <v>0</v>
      </c>
      <c r="BR338" s="151" t="str">
        <f t="shared" si="85"/>
        <v/>
      </c>
      <c r="BS338" s="386">
        <v>0</v>
      </c>
      <c r="BT338" s="268">
        <f>IF(BQ338,_xll.qDateYears(BQ337,BQ338,BT$13),0)</f>
        <v>0</v>
      </c>
      <c r="BU338" s="268">
        <f t="shared" si="91"/>
        <v>1738.6030924697341</v>
      </c>
      <c r="CC338" s="526">
        <v>0</v>
      </c>
      <c r="CD338" s="151" t="str">
        <f t="shared" si="86"/>
        <v/>
      </c>
      <c r="CE338" s="386">
        <v>0</v>
      </c>
      <c r="CF338" s="268">
        <f>IF(CC338,_xll.qDateYears(CC337,CC338,CF$13),0)</f>
        <v>0</v>
      </c>
      <c r="CG338" s="268">
        <f t="shared" si="92"/>
        <v>2312.0085517586949</v>
      </c>
      <c r="CO338" s="526">
        <v>0</v>
      </c>
      <c r="CP338" s="151" t="str">
        <f t="shared" si="87"/>
        <v/>
      </c>
      <c r="CQ338" s="386">
        <v>0</v>
      </c>
      <c r="CR338" s="268">
        <f>IF(CO338,_xll.qDateYears(CO337,CO338,CR$13),0)</f>
        <v>0</v>
      </c>
      <c r="CS338" s="268">
        <f t="shared" si="93"/>
        <v>2185.174943791465</v>
      </c>
      <c r="DA338" s="526">
        <v>0</v>
      </c>
      <c r="DB338" s="151" t="str">
        <f t="shared" si="88"/>
        <v/>
      </c>
      <c r="DC338" s="386">
        <v>0</v>
      </c>
      <c r="DD338" s="268">
        <f>IF(DA338,_xll.qDateYears(DA337,DA338,DD$13),0)</f>
        <v>0</v>
      </c>
      <c r="DE338" s="268">
        <f t="shared" si="94"/>
        <v>1616.1787110556011</v>
      </c>
      <c r="DM338" s="526">
        <v>0</v>
      </c>
      <c r="DN338" s="151" t="str">
        <f t="shared" si="89"/>
        <v/>
      </c>
      <c r="DO338" s="386">
        <v>0</v>
      </c>
      <c r="DP338" s="268">
        <f>IF(DM338,_xll.qDateYears(DM337,DM338,DP$13),0)</f>
        <v>0</v>
      </c>
      <c r="DQ338" s="268">
        <f t="shared" si="95"/>
        <v>2183.1745733532407</v>
      </c>
    </row>
    <row r="339" spans="59:121">
      <c r="BG339" s="526">
        <v>0</v>
      </c>
      <c r="BH339" s="150" t="str">
        <f t="shared" si="84"/>
        <v/>
      </c>
      <c r="BI339" s="386">
        <v>0</v>
      </c>
      <c r="BJ339" s="268">
        <f>IF(BG339,_xll.qDateYears(BG338,BG339,$BJ$13),0)</f>
        <v>0</v>
      </c>
      <c r="BK339" s="268">
        <f t="shared" si="90"/>
        <v>2183.1745733532407</v>
      </c>
      <c r="BQ339" s="526">
        <v>0</v>
      </c>
      <c r="BR339" s="151" t="str">
        <f t="shared" si="85"/>
        <v/>
      </c>
      <c r="BS339" s="386">
        <v>0</v>
      </c>
      <c r="BT339" s="268">
        <f>IF(BQ339,_xll.qDateYears(BQ338,BQ339,BT$13),0)</f>
        <v>0</v>
      </c>
      <c r="BU339" s="268">
        <f t="shared" si="91"/>
        <v>1738.6030924697341</v>
      </c>
      <c r="CC339" s="526">
        <v>0</v>
      </c>
      <c r="CD339" s="151" t="str">
        <f t="shared" si="86"/>
        <v/>
      </c>
      <c r="CE339" s="386">
        <v>0</v>
      </c>
      <c r="CF339" s="268">
        <f>IF(CC339,_xll.qDateYears(CC338,CC339,CF$13),0)</f>
        <v>0</v>
      </c>
      <c r="CG339" s="268">
        <f t="shared" si="92"/>
        <v>2312.0085517586949</v>
      </c>
      <c r="CO339" s="526">
        <v>0</v>
      </c>
      <c r="CP339" s="151" t="str">
        <f t="shared" si="87"/>
        <v/>
      </c>
      <c r="CQ339" s="386">
        <v>0</v>
      </c>
      <c r="CR339" s="268">
        <f>IF(CO339,_xll.qDateYears(CO338,CO339,CR$13),0)</f>
        <v>0</v>
      </c>
      <c r="CS339" s="268">
        <f t="shared" si="93"/>
        <v>2185.174943791465</v>
      </c>
      <c r="DA339" s="526">
        <v>0</v>
      </c>
      <c r="DB339" s="151" t="str">
        <f t="shared" si="88"/>
        <v/>
      </c>
      <c r="DC339" s="386">
        <v>0</v>
      </c>
      <c r="DD339" s="268">
        <f>IF(DA339,_xll.qDateYears(DA338,DA339,DD$13),0)</f>
        <v>0</v>
      </c>
      <c r="DE339" s="268">
        <f t="shared" si="94"/>
        <v>1616.1787110556011</v>
      </c>
      <c r="DM339" s="526">
        <v>0</v>
      </c>
      <c r="DN339" s="151" t="str">
        <f t="shared" si="89"/>
        <v/>
      </c>
      <c r="DO339" s="386">
        <v>0</v>
      </c>
      <c r="DP339" s="268">
        <f>IF(DM339,_xll.qDateYears(DM338,DM339,DP$13),0)</f>
        <v>0</v>
      </c>
      <c r="DQ339" s="268">
        <f t="shared" si="95"/>
        <v>2183.1745733532407</v>
      </c>
    </row>
    <row r="340" spans="59:121">
      <c r="BG340" s="526">
        <v>0</v>
      </c>
      <c r="BH340" s="150" t="str">
        <f t="shared" si="84"/>
        <v/>
      </c>
      <c r="BI340" s="386">
        <v>0</v>
      </c>
      <c r="BJ340" s="268">
        <f>IF(BG340,_xll.qDateYears(BG339,BG340,$BJ$13),0)</f>
        <v>0</v>
      </c>
      <c r="BK340" s="268">
        <f t="shared" si="90"/>
        <v>2183.1745733532407</v>
      </c>
      <c r="BQ340" s="526">
        <v>0</v>
      </c>
      <c r="BR340" s="151" t="str">
        <f t="shared" si="85"/>
        <v/>
      </c>
      <c r="BS340" s="386">
        <v>0</v>
      </c>
      <c r="BT340" s="268">
        <f>IF(BQ340,_xll.qDateYears(BQ339,BQ340,BT$13),0)</f>
        <v>0</v>
      </c>
      <c r="BU340" s="268">
        <f t="shared" si="91"/>
        <v>1738.6030924697341</v>
      </c>
      <c r="CC340" s="526">
        <v>0</v>
      </c>
      <c r="CD340" s="151" t="str">
        <f t="shared" si="86"/>
        <v/>
      </c>
      <c r="CE340" s="386">
        <v>0</v>
      </c>
      <c r="CF340" s="268">
        <f>IF(CC340,_xll.qDateYears(CC339,CC340,CF$13),0)</f>
        <v>0</v>
      </c>
      <c r="CG340" s="268">
        <f t="shared" si="92"/>
        <v>2312.0085517586949</v>
      </c>
      <c r="CO340" s="526">
        <v>0</v>
      </c>
      <c r="CP340" s="151" t="str">
        <f t="shared" si="87"/>
        <v/>
      </c>
      <c r="CQ340" s="386">
        <v>0</v>
      </c>
      <c r="CR340" s="268">
        <f>IF(CO340,_xll.qDateYears(CO339,CO340,CR$13),0)</f>
        <v>0</v>
      </c>
      <c r="CS340" s="268">
        <f t="shared" si="93"/>
        <v>2185.174943791465</v>
      </c>
      <c r="DA340" s="526">
        <v>0</v>
      </c>
      <c r="DB340" s="151" t="str">
        <f t="shared" si="88"/>
        <v/>
      </c>
      <c r="DC340" s="386">
        <v>0</v>
      </c>
      <c r="DD340" s="268">
        <f>IF(DA340,_xll.qDateYears(DA339,DA340,DD$13),0)</f>
        <v>0</v>
      </c>
      <c r="DE340" s="268">
        <f t="shared" si="94"/>
        <v>1616.1787110556011</v>
      </c>
      <c r="DM340" s="526">
        <v>0</v>
      </c>
      <c r="DN340" s="151" t="str">
        <f t="shared" si="89"/>
        <v/>
      </c>
      <c r="DO340" s="386">
        <v>0</v>
      </c>
      <c r="DP340" s="268">
        <f>IF(DM340,_xll.qDateYears(DM339,DM340,DP$13),0)</f>
        <v>0</v>
      </c>
      <c r="DQ340" s="268">
        <f t="shared" si="95"/>
        <v>2183.1745733532407</v>
      </c>
    </row>
    <row r="341" spans="59:121">
      <c r="BG341" s="526">
        <v>0</v>
      </c>
      <c r="BH341" s="150" t="str">
        <f t="shared" si="84"/>
        <v/>
      </c>
      <c r="BI341" s="386">
        <v>0</v>
      </c>
      <c r="BJ341" s="268">
        <f>IF(BG341,_xll.qDateYears(BG340,BG341,$BJ$13),0)</f>
        <v>0</v>
      </c>
      <c r="BK341" s="268">
        <f t="shared" si="90"/>
        <v>2183.1745733532407</v>
      </c>
      <c r="BQ341" s="526">
        <v>0</v>
      </c>
      <c r="BR341" s="151" t="str">
        <f t="shared" si="85"/>
        <v/>
      </c>
      <c r="BS341" s="386">
        <v>0</v>
      </c>
      <c r="BT341" s="268">
        <f>IF(BQ341,_xll.qDateYears(BQ340,BQ341,BT$13),0)</f>
        <v>0</v>
      </c>
      <c r="BU341" s="268">
        <f t="shared" si="91"/>
        <v>1738.6030924697341</v>
      </c>
      <c r="CC341" s="526">
        <v>0</v>
      </c>
      <c r="CD341" s="151" t="str">
        <f t="shared" si="86"/>
        <v/>
      </c>
      <c r="CE341" s="386">
        <v>0</v>
      </c>
      <c r="CF341" s="268">
        <f>IF(CC341,_xll.qDateYears(CC340,CC341,CF$13),0)</f>
        <v>0</v>
      </c>
      <c r="CG341" s="268">
        <f t="shared" si="92"/>
        <v>2312.0085517586949</v>
      </c>
      <c r="CO341" s="526">
        <v>0</v>
      </c>
      <c r="CP341" s="151" t="str">
        <f t="shared" si="87"/>
        <v/>
      </c>
      <c r="CQ341" s="386">
        <v>0</v>
      </c>
      <c r="CR341" s="268">
        <f>IF(CO341,_xll.qDateYears(CO340,CO341,CR$13),0)</f>
        <v>0</v>
      </c>
      <c r="CS341" s="268">
        <f t="shared" si="93"/>
        <v>2185.174943791465</v>
      </c>
      <c r="DA341" s="526">
        <v>0</v>
      </c>
      <c r="DB341" s="151" t="str">
        <f t="shared" si="88"/>
        <v/>
      </c>
      <c r="DC341" s="386">
        <v>0</v>
      </c>
      <c r="DD341" s="268">
        <f>IF(DA341,_xll.qDateYears(DA340,DA341,DD$13),0)</f>
        <v>0</v>
      </c>
      <c r="DE341" s="268">
        <f t="shared" si="94"/>
        <v>1616.1787110556011</v>
      </c>
      <c r="DM341" s="526">
        <v>0</v>
      </c>
      <c r="DN341" s="151" t="str">
        <f t="shared" si="89"/>
        <v/>
      </c>
      <c r="DO341" s="386">
        <v>0</v>
      </c>
      <c r="DP341" s="268">
        <f>IF(DM341,_xll.qDateYears(DM340,DM341,DP$13),0)</f>
        <v>0</v>
      </c>
      <c r="DQ341" s="268">
        <f t="shared" si="95"/>
        <v>2183.1745733532407</v>
      </c>
    </row>
    <row r="342" spans="59:121">
      <c r="BG342" s="526">
        <v>0</v>
      </c>
      <c r="BH342" s="150" t="str">
        <f t="shared" si="84"/>
        <v/>
      </c>
      <c r="BI342" s="386">
        <v>0</v>
      </c>
      <c r="BJ342" s="268">
        <f>IF(BG342,_xll.qDateYears(BG341,BG342,$BJ$13),0)</f>
        <v>0</v>
      </c>
      <c r="BK342" s="268">
        <f t="shared" si="90"/>
        <v>2183.1745733532407</v>
      </c>
      <c r="BQ342" s="526">
        <v>0</v>
      </c>
      <c r="BR342" s="151" t="str">
        <f t="shared" si="85"/>
        <v/>
      </c>
      <c r="BS342" s="386">
        <v>0</v>
      </c>
      <c r="BT342" s="268">
        <f>IF(BQ342,_xll.qDateYears(BQ341,BQ342,BT$13),0)</f>
        <v>0</v>
      </c>
      <c r="BU342" s="268">
        <f t="shared" si="91"/>
        <v>1738.6030924697341</v>
      </c>
      <c r="CC342" s="526">
        <v>0</v>
      </c>
      <c r="CD342" s="151" t="str">
        <f t="shared" si="86"/>
        <v/>
      </c>
      <c r="CE342" s="386">
        <v>0</v>
      </c>
      <c r="CF342" s="268">
        <f>IF(CC342,_xll.qDateYears(CC341,CC342,CF$13),0)</f>
        <v>0</v>
      </c>
      <c r="CG342" s="268">
        <f t="shared" si="92"/>
        <v>2312.0085517586949</v>
      </c>
      <c r="CO342" s="526">
        <v>0</v>
      </c>
      <c r="CP342" s="151" t="str">
        <f t="shared" si="87"/>
        <v/>
      </c>
      <c r="CQ342" s="386">
        <v>0</v>
      </c>
      <c r="CR342" s="268">
        <f>IF(CO342,_xll.qDateYears(CO341,CO342,CR$13),0)</f>
        <v>0</v>
      </c>
      <c r="CS342" s="268">
        <f t="shared" si="93"/>
        <v>2185.174943791465</v>
      </c>
      <c r="DA342" s="526">
        <v>0</v>
      </c>
      <c r="DB342" s="151" t="str">
        <f t="shared" si="88"/>
        <v/>
      </c>
      <c r="DC342" s="386">
        <v>0</v>
      </c>
      <c r="DD342" s="268">
        <f>IF(DA342,_xll.qDateYears(DA341,DA342,DD$13),0)</f>
        <v>0</v>
      </c>
      <c r="DE342" s="268">
        <f t="shared" si="94"/>
        <v>1616.1787110556011</v>
      </c>
      <c r="DM342" s="526">
        <v>0</v>
      </c>
      <c r="DN342" s="151" t="str">
        <f t="shared" si="89"/>
        <v/>
      </c>
      <c r="DO342" s="386">
        <v>0</v>
      </c>
      <c r="DP342" s="268">
        <f>IF(DM342,_xll.qDateYears(DM341,DM342,DP$13),0)</f>
        <v>0</v>
      </c>
      <c r="DQ342" s="268">
        <f t="shared" si="95"/>
        <v>2183.1745733532407</v>
      </c>
    </row>
    <row r="343" spans="59:121">
      <c r="BG343" s="526">
        <v>0</v>
      </c>
      <c r="BH343" s="150" t="str">
        <f t="shared" si="84"/>
        <v/>
      </c>
      <c r="BI343" s="386">
        <v>0</v>
      </c>
      <c r="BJ343" s="268">
        <f>IF(BG343,_xll.qDateYears(BG342,BG343,$BJ$13),0)</f>
        <v>0</v>
      </c>
      <c r="BK343" s="268">
        <f t="shared" si="90"/>
        <v>2183.1745733532407</v>
      </c>
      <c r="BQ343" s="526">
        <v>0</v>
      </c>
      <c r="BR343" s="151" t="str">
        <f t="shared" si="85"/>
        <v/>
      </c>
      <c r="BS343" s="386">
        <v>0</v>
      </c>
      <c r="BT343" s="268">
        <f>IF(BQ343,_xll.qDateYears(BQ342,BQ343,BT$13),0)</f>
        <v>0</v>
      </c>
      <c r="BU343" s="268">
        <f t="shared" si="91"/>
        <v>1738.6030924697341</v>
      </c>
      <c r="CC343" s="526">
        <v>0</v>
      </c>
      <c r="CD343" s="151" t="str">
        <f t="shared" si="86"/>
        <v/>
      </c>
      <c r="CE343" s="386">
        <v>0</v>
      </c>
      <c r="CF343" s="268">
        <f>IF(CC343,_xll.qDateYears(CC342,CC343,CF$13),0)</f>
        <v>0</v>
      </c>
      <c r="CG343" s="268">
        <f t="shared" si="92"/>
        <v>2312.0085517586949</v>
      </c>
      <c r="CO343" s="526">
        <v>0</v>
      </c>
      <c r="CP343" s="151" t="str">
        <f t="shared" si="87"/>
        <v/>
      </c>
      <c r="CQ343" s="386">
        <v>0</v>
      </c>
      <c r="CR343" s="268">
        <f>IF(CO343,_xll.qDateYears(CO342,CO343,CR$13),0)</f>
        <v>0</v>
      </c>
      <c r="CS343" s="268">
        <f t="shared" si="93"/>
        <v>2185.174943791465</v>
      </c>
      <c r="DA343" s="526">
        <v>0</v>
      </c>
      <c r="DB343" s="151" t="str">
        <f t="shared" si="88"/>
        <v/>
      </c>
      <c r="DC343" s="386">
        <v>0</v>
      </c>
      <c r="DD343" s="268">
        <f>IF(DA343,_xll.qDateYears(DA342,DA343,DD$13),0)</f>
        <v>0</v>
      </c>
      <c r="DE343" s="268">
        <f t="shared" si="94"/>
        <v>1616.1787110556011</v>
      </c>
      <c r="DM343" s="526">
        <v>0</v>
      </c>
      <c r="DN343" s="151" t="str">
        <f t="shared" si="89"/>
        <v/>
      </c>
      <c r="DO343" s="386">
        <v>0</v>
      </c>
      <c r="DP343" s="268">
        <f>IF(DM343,_xll.qDateYears(DM342,DM343,DP$13),0)</f>
        <v>0</v>
      </c>
      <c r="DQ343" s="268">
        <f t="shared" si="95"/>
        <v>2183.1745733532407</v>
      </c>
    </row>
    <row r="344" spans="59:121">
      <c r="BG344" s="526">
        <v>0</v>
      </c>
      <c r="BH344" s="150" t="str">
        <f t="shared" si="84"/>
        <v/>
      </c>
      <c r="BI344" s="386">
        <v>0</v>
      </c>
      <c r="BJ344" s="268">
        <f>IF(BG344,_xll.qDateYears(BG343,BG344,$BJ$13),0)</f>
        <v>0</v>
      </c>
      <c r="BK344" s="268">
        <f t="shared" si="90"/>
        <v>2183.1745733532407</v>
      </c>
      <c r="BQ344" s="526">
        <v>0</v>
      </c>
      <c r="BR344" s="151" t="str">
        <f t="shared" si="85"/>
        <v/>
      </c>
      <c r="BS344" s="386">
        <v>0</v>
      </c>
      <c r="BT344" s="268">
        <f>IF(BQ344,_xll.qDateYears(BQ343,BQ344,BT$13),0)</f>
        <v>0</v>
      </c>
      <c r="BU344" s="268">
        <f t="shared" si="91"/>
        <v>1738.6030924697341</v>
      </c>
      <c r="CC344" s="526">
        <v>0</v>
      </c>
      <c r="CD344" s="151" t="str">
        <f t="shared" si="86"/>
        <v/>
      </c>
      <c r="CE344" s="386">
        <v>0</v>
      </c>
      <c r="CF344" s="268">
        <f>IF(CC344,_xll.qDateYears(CC343,CC344,CF$13),0)</f>
        <v>0</v>
      </c>
      <c r="CG344" s="268">
        <f t="shared" si="92"/>
        <v>2312.0085517586949</v>
      </c>
      <c r="CO344" s="526">
        <v>0</v>
      </c>
      <c r="CP344" s="151" t="str">
        <f t="shared" si="87"/>
        <v/>
      </c>
      <c r="CQ344" s="386">
        <v>0</v>
      </c>
      <c r="CR344" s="268">
        <f>IF(CO344,_xll.qDateYears(CO343,CO344,CR$13),0)</f>
        <v>0</v>
      </c>
      <c r="CS344" s="268">
        <f t="shared" si="93"/>
        <v>2185.174943791465</v>
      </c>
      <c r="DA344" s="526">
        <v>0</v>
      </c>
      <c r="DB344" s="151" t="str">
        <f t="shared" si="88"/>
        <v/>
      </c>
      <c r="DC344" s="386">
        <v>0</v>
      </c>
      <c r="DD344" s="268">
        <f>IF(DA344,_xll.qDateYears(DA343,DA344,DD$13),0)</f>
        <v>0</v>
      </c>
      <c r="DE344" s="268">
        <f t="shared" si="94"/>
        <v>1616.1787110556011</v>
      </c>
      <c r="DM344" s="526">
        <v>0</v>
      </c>
      <c r="DN344" s="151" t="str">
        <f t="shared" si="89"/>
        <v/>
      </c>
      <c r="DO344" s="386">
        <v>0</v>
      </c>
      <c r="DP344" s="268">
        <f>IF(DM344,_xll.qDateYears(DM343,DM344,DP$13),0)</f>
        <v>0</v>
      </c>
      <c r="DQ344" s="268">
        <f t="shared" si="95"/>
        <v>2183.1745733532407</v>
      </c>
    </row>
    <row r="345" spans="59:121">
      <c r="BG345" s="526">
        <v>0</v>
      </c>
      <c r="BH345" s="150" t="str">
        <f t="shared" si="84"/>
        <v/>
      </c>
      <c r="BI345" s="386">
        <v>0</v>
      </c>
      <c r="BJ345" s="268">
        <f>IF(BG345,_xll.qDateYears(BG344,BG345,$BJ$13),0)</f>
        <v>0</v>
      </c>
      <c r="BK345" s="268">
        <f t="shared" si="90"/>
        <v>2183.1745733532407</v>
      </c>
      <c r="BQ345" s="526">
        <v>0</v>
      </c>
      <c r="BR345" s="151" t="str">
        <f t="shared" si="85"/>
        <v/>
      </c>
      <c r="BS345" s="386">
        <v>0</v>
      </c>
      <c r="BT345" s="268">
        <f>IF(BQ345,_xll.qDateYears(BQ344,BQ345,BT$13),0)</f>
        <v>0</v>
      </c>
      <c r="BU345" s="268">
        <f t="shared" si="91"/>
        <v>1738.6030924697341</v>
      </c>
      <c r="CC345" s="526">
        <v>0</v>
      </c>
      <c r="CD345" s="151" t="str">
        <f t="shared" si="86"/>
        <v/>
      </c>
      <c r="CE345" s="386">
        <v>0</v>
      </c>
      <c r="CF345" s="268">
        <f>IF(CC345,_xll.qDateYears(CC344,CC345,CF$13),0)</f>
        <v>0</v>
      </c>
      <c r="CG345" s="268">
        <f t="shared" si="92"/>
        <v>2312.0085517586949</v>
      </c>
      <c r="CO345" s="526">
        <v>0</v>
      </c>
      <c r="CP345" s="151" t="str">
        <f t="shared" si="87"/>
        <v/>
      </c>
      <c r="CQ345" s="386">
        <v>0</v>
      </c>
      <c r="CR345" s="268">
        <f>IF(CO345,_xll.qDateYears(CO344,CO345,CR$13),0)</f>
        <v>0</v>
      </c>
      <c r="CS345" s="268">
        <f t="shared" si="93"/>
        <v>2185.174943791465</v>
      </c>
      <c r="DA345" s="526">
        <v>0</v>
      </c>
      <c r="DB345" s="151" t="str">
        <f t="shared" si="88"/>
        <v/>
      </c>
      <c r="DC345" s="386">
        <v>0</v>
      </c>
      <c r="DD345" s="268">
        <f>IF(DA345,_xll.qDateYears(DA344,DA345,DD$13),0)</f>
        <v>0</v>
      </c>
      <c r="DE345" s="268">
        <f t="shared" si="94"/>
        <v>1616.1787110556011</v>
      </c>
      <c r="DM345" s="526">
        <v>0</v>
      </c>
      <c r="DN345" s="151" t="str">
        <f t="shared" si="89"/>
        <v/>
      </c>
      <c r="DO345" s="386">
        <v>0</v>
      </c>
      <c r="DP345" s="268">
        <f>IF(DM345,_xll.qDateYears(DM344,DM345,DP$13),0)</f>
        <v>0</v>
      </c>
      <c r="DQ345" s="268">
        <f t="shared" si="95"/>
        <v>2183.1745733532407</v>
      </c>
    </row>
    <row r="346" spans="59:121">
      <c r="BG346" s="526">
        <v>0</v>
      </c>
      <c r="BH346" s="150" t="str">
        <f t="shared" si="84"/>
        <v/>
      </c>
      <c r="BI346" s="386">
        <v>0</v>
      </c>
      <c r="BJ346" s="268">
        <f>IF(BG346,_xll.qDateYears(BG345,BG346,$BJ$13),0)</f>
        <v>0</v>
      </c>
      <c r="BK346" s="268">
        <f t="shared" si="90"/>
        <v>2183.1745733532407</v>
      </c>
      <c r="BQ346" s="526">
        <v>0</v>
      </c>
      <c r="BR346" s="151" t="str">
        <f t="shared" si="85"/>
        <v/>
      </c>
      <c r="BS346" s="386">
        <v>0</v>
      </c>
      <c r="BT346" s="268">
        <f>IF(BQ346,_xll.qDateYears(BQ345,BQ346,BT$13),0)</f>
        <v>0</v>
      </c>
      <c r="BU346" s="268">
        <f t="shared" si="91"/>
        <v>1738.6030924697341</v>
      </c>
      <c r="CC346" s="526">
        <v>0</v>
      </c>
      <c r="CD346" s="151" t="str">
        <f t="shared" si="86"/>
        <v/>
      </c>
      <c r="CE346" s="386">
        <v>0</v>
      </c>
      <c r="CF346" s="268">
        <f>IF(CC346,_xll.qDateYears(CC345,CC346,CF$13),0)</f>
        <v>0</v>
      </c>
      <c r="CG346" s="268">
        <f t="shared" si="92"/>
        <v>2312.0085517586949</v>
      </c>
      <c r="CO346" s="526">
        <v>0</v>
      </c>
      <c r="CP346" s="151" t="str">
        <f t="shared" si="87"/>
        <v/>
      </c>
      <c r="CQ346" s="386">
        <v>0</v>
      </c>
      <c r="CR346" s="268">
        <f>IF(CO346,_xll.qDateYears(CO345,CO346,CR$13),0)</f>
        <v>0</v>
      </c>
      <c r="CS346" s="268">
        <f t="shared" si="93"/>
        <v>2185.174943791465</v>
      </c>
      <c r="DA346" s="526">
        <v>0</v>
      </c>
      <c r="DB346" s="151" t="str">
        <f t="shared" si="88"/>
        <v/>
      </c>
      <c r="DC346" s="386">
        <v>0</v>
      </c>
      <c r="DD346" s="268">
        <f>IF(DA346,_xll.qDateYears(DA345,DA346,DD$13),0)</f>
        <v>0</v>
      </c>
      <c r="DE346" s="268">
        <f t="shared" si="94"/>
        <v>1616.1787110556011</v>
      </c>
      <c r="DM346" s="526">
        <v>0</v>
      </c>
      <c r="DN346" s="151" t="str">
        <f t="shared" si="89"/>
        <v/>
      </c>
      <c r="DO346" s="386">
        <v>0</v>
      </c>
      <c r="DP346" s="268">
        <f>IF(DM346,_xll.qDateYears(DM345,DM346,DP$13),0)</f>
        <v>0</v>
      </c>
      <c r="DQ346" s="268">
        <f t="shared" si="95"/>
        <v>2183.1745733532407</v>
      </c>
    </row>
    <row r="347" spans="59:121">
      <c r="BG347" s="526">
        <v>0</v>
      </c>
      <c r="BH347" s="150" t="str">
        <f t="shared" si="84"/>
        <v/>
      </c>
      <c r="BI347" s="386">
        <v>0</v>
      </c>
      <c r="BJ347" s="268">
        <f>IF(BG347,_xll.qDateYears(BG346,BG347,$BJ$13),0)</f>
        <v>0</v>
      </c>
      <c r="BK347" s="268">
        <f t="shared" si="90"/>
        <v>2183.1745733532407</v>
      </c>
      <c r="BQ347" s="526">
        <v>0</v>
      </c>
      <c r="BR347" s="151" t="str">
        <f t="shared" si="85"/>
        <v/>
      </c>
      <c r="BS347" s="386">
        <v>0</v>
      </c>
      <c r="BT347" s="268">
        <f>IF(BQ347,_xll.qDateYears(BQ346,BQ347,BT$13),0)</f>
        <v>0</v>
      </c>
      <c r="BU347" s="268">
        <f t="shared" si="91"/>
        <v>1738.6030924697341</v>
      </c>
      <c r="CC347" s="526">
        <v>0</v>
      </c>
      <c r="CD347" s="151" t="str">
        <f t="shared" si="86"/>
        <v/>
      </c>
      <c r="CE347" s="386">
        <v>0</v>
      </c>
      <c r="CF347" s="268">
        <f>IF(CC347,_xll.qDateYears(CC346,CC347,CF$13),0)</f>
        <v>0</v>
      </c>
      <c r="CG347" s="268">
        <f t="shared" si="92"/>
        <v>2312.0085517586949</v>
      </c>
      <c r="CO347" s="526">
        <v>0</v>
      </c>
      <c r="CP347" s="151" t="str">
        <f t="shared" si="87"/>
        <v/>
      </c>
      <c r="CQ347" s="386">
        <v>0</v>
      </c>
      <c r="CR347" s="268">
        <f>IF(CO347,_xll.qDateYears(CO346,CO347,CR$13),0)</f>
        <v>0</v>
      </c>
      <c r="CS347" s="268">
        <f t="shared" si="93"/>
        <v>2185.174943791465</v>
      </c>
      <c r="DA347" s="526">
        <v>0</v>
      </c>
      <c r="DB347" s="151" t="str">
        <f t="shared" si="88"/>
        <v/>
      </c>
      <c r="DC347" s="386">
        <v>0</v>
      </c>
      <c r="DD347" s="268">
        <f>IF(DA347,_xll.qDateYears(DA346,DA347,DD$13),0)</f>
        <v>0</v>
      </c>
      <c r="DE347" s="268">
        <f t="shared" si="94"/>
        <v>1616.1787110556011</v>
      </c>
      <c r="DM347" s="526">
        <v>0</v>
      </c>
      <c r="DN347" s="151" t="str">
        <f t="shared" si="89"/>
        <v/>
      </c>
      <c r="DO347" s="386">
        <v>0</v>
      </c>
      <c r="DP347" s="268">
        <f>IF(DM347,_xll.qDateYears(DM346,DM347,DP$13),0)</f>
        <v>0</v>
      </c>
      <c r="DQ347" s="268">
        <f t="shared" si="95"/>
        <v>2183.1745733532407</v>
      </c>
    </row>
    <row r="348" spans="59:121">
      <c r="BG348" s="526">
        <v>0</v>
      </c>
      <c r="BH348" s="150" t="str">
        <f t="shared" si="84"/>
        <v/>
      </c>
      <c r="BI348" s="386">
        <v>0</v>
      </c>
      <c r="BJ348" s="268">
        <f>IF(BG348,_xll.qDateYears(BG347,BG348,$BJ$13),0)</f>
        <v>0</v>
      </c>
      <c r="BK348" s="268">
        <f t="shared" si="90"/>
        <v>2183.1745733532407</v>
      </c>
      <c r="BQ348" s="526">
        <v>0</v>
      </c>
      <c r="BR348" s="151" t="str">
        <f t="shared" si="85"/>
        <v/>
      </c>
      <c r="BS348" s="386">
        <v>0</v>
      </c>
      <c r="BT348" s="268">
        <f>IF(BQ348,_xll.qDateYears(BQ347,BQ348,BT$13),0)</f>
        <v>0</v>
      </c>
      <c r="BU348" s="268">
        <f t="shared" si="91"/>
        <v>1738.6030924697341</v>
      </c>
      <c r="CC348" s="526">
        <v>0</v>
      </c>
      <c r="CD348" s="151" t="str">
        <f t="shared" si="86"/>
        <v/>
      </c>
      <c r="CE348" s="386">
        <v>0</v>
      </c>
      <c r="CF348" s="268">
        <f>IF(CC348,_xll.qDateYears(CC347,CC348,CF$13),0)</f>
        <v>0</v>
      </c>
      <c r="CG348" s="268">
        <f t="shared" si="92"/>
        <v>2312.0085517586949</v>
      </c>
      <c r="CO348" s="526">
        <v>0</v>
      </c>
      <c r="CP348" s="151" t="str">
        <f t="shared" si="87"/>
        <v/>
      </c>
      <c r="CQ348" s="386">
        <v>0</v>
      </c>
      <c r="CR348" s="268">
        <f>IF(CO348,_xll.qDateYears(CO347,CO348,CR$13),0)</f>
        <v>0</v>
      </c>
      <c r="CS348" s="268">
        <f t="shared" si="93"/>
        <v>2185.174943791465</v>
      </c>
      <c r="DA348" s="526">
        <v>0</v>
      </c>
      <c r="DB348" s="151" t="str">
        <f t="shared" si="88"/>
        <v/>
      </c>
      <c r="DC348" s="386">
        <v>0</v>
      </c>
      <c r="DD348" s="268">
        <f>IF(DA348,_xll.qDateYears(DA347,DA348,DD$13),0)</f>
        <v>0</v>
      </c>
      <c r="DE348" s="268">
        <f t="shared" si="94"/>
        <v>1616.1787110556011</v>
      </c>
      <c r="DM348" s="526">
        <v>0</v>
      </c>
      <c r="DN348" s="151" t="str">
        <f t="shared" si="89"/>
        <v/>
      </c>
      <c r="DO348" s="386">
        <v>0</v>
      </c>
      <c r="DP348" s="268">
        <f>IF(DM348,_xll.qDateYears(DM347,DM348,DP$13),0)</f>
        <v>0</v>
      </c>
      <c r="DQ348" s="268">
        <f t="shared" si="95"/>
        <v>2183.1745733532407</v>
      </c>
    </row>
    <row r="349" spans="59:121">
      <c r="BG349" s="526">
        <v>0</v>
      </c>
      <c r="BH349" s="150" t="str">
        <f t="shared" si="84"/>
        <v/>
      </c>
      <c r="BI349" s="386">
        <v>0</v>
      </c>
      <c r="BJ349" s="268">
        <f>IF(BG349,_xll.qDateYears(BG348,BG349,$BJ$13),0)</f>
        <v>0</v>
      </c>
      <c r="BK349" s="268">
        <f t="shared" si="90"/>
        <v>2183.1745733532407</v>
      </c>
      <c r="BQ349" s="526">
        <v>0</v>
      </c>
      <c r="BR349" s="151" t="str">
        <f t="shared" si="85"/>
        <v/>
      </c>
      <c r="BS349" s="386">
        <v>0</v>
      </c>
      <c r="BT349" s="268">
        <f>IF(BQ349,_xll.qDateYears(BQ348,BQ349,BT$13),0)</f>
        <v>0</v>
      </c>
      <c r="BU349" s="268">
        <f t="shared" si="91"/>
        <v>1738.6030924697341</v>
      </c>
      <c r="CC349" s="526">
        <v>0</v>
      </c>
      <c r="CD349" s="151" t="str">
        <f t="shared" si="86"/>
        <v/>
      </c>
      <c r="CE349" s="386">
        <v>0</v>
      </c>
      <c r="CF349" s="268">
        <f>IF(CC349,_xll.qDateYears(CC348,CC349,CF$13),0)</f>
        <v>0</v>
      </c>
      <c r="CG349" s="268">
        <f t="shared" si="92"/>
        <v>2312.0085517586949</v>
      </c>
      <c r="CO349" s="526">
        <v>0</v>
      </c>
      <c r="CP349" s="151" t="str">
        <f t="shared" si="87"/>
        <v/>
      </c>
      <c r="CQ349" s="386">
        <v>0</v>
      </c>
      <c r="CR349" s="268">
        <f>IF(CO349,_xll.qDateYears(CO348,CO349,CR$13),0)</f>
        <v>0</v>
      </c>
      <c r="CS349" s="268">
        <f t="shared" si="93"/>
        <v>2185.174943791465</v>
      </c>
      <c r="DA349" s="526">
        <v>0</v>
      </c>
      <c r="DB349" s="151" t="str">
        <f t="shared" si="88"/>
        <v/>
      </c>
      <c r="DC349" s="386">
        <v>0</v>
      </c>
      <c r="DD349" s="268">
        <f>IF(DA349,_xll.qDateYears(DA348,DA349,DD$13),0)</f>
        <v>0</v>
      </c>
      <c r="DE349" s="268">
        <f t="shared" si="94"/>
        <v>1616.1787110556011</v>
      </c>
      <c r="DM349" s="526">
        <v>0</v>
      </c>
      <c r="DN349" s="151" t="str">
        <f t="shared" si="89"/>
        <v/>
      </c>
      <c r="DO349" s="386">
        <v>0</v>
      </c>
      <c r="DP349" s="268">
        <f>IF(DM349,_xll.qDateYears(DM348,DM349,DP$13),0)</f>
        <v>0</v>
      </c>
      <c r="DQ349" s="268">
        <f t="shared" si="95"/>
        <v>2183.1745733532407</v>
      </c>
    </row>
    <row r="350" spans="59:121">
      <c r="BG350" s="526">
        <v>0</v>
      </c>
      <c r="BH350" s="150" t="str">
        <f t="shared" si="84"/>
        <v/>
      </c>
      <c r="BI350" s="386">
        <v>0</v>
      </c>
      <c r="BJ350" s="268">
        <f>IF(BG350,_xll.qDateYears(BG349,BG350,$BJ$13),0)</f>
        <v>0</v>
      </c>
      <c r="BK350" s="268">
        <f t="shared" si="90"/>
        <v>2183.1745733532407</v>
      </c>
      <c r="BQ350" s="526">
        <v>0</v>
      </c>
      <c r="BR350" s="151" t="str">
        <f t="shared" si="85"/>
        <v/>
      </c>
      <c r="BS350" s="386">
        <v>0</v>
      </c>
      <c r="BT350" s="268">
        <f>IF(BQ350,_xll.qDateYears(BQ349,BQ350,BT$13),0)</f>
        <v>0</v>
      </c>
      <c r="BU350" s="268">
        <f t="shared" si="91"/>
        <v>1738.6030924697341</v>
      </c>
      <c r="CC350" s="526">
        <v>0</v>
      </c>
      <c r="CD350" s="151" t="str">
        <f t="shared" si="86"/>
        <v/>
      </c>
      <c r="CE350" s="386">
        <v>0</v>
      </c>
      <c r="CF350" s="268">
        <f>IF(CC350,_xll.qDateYears(CC349,CC350,CF$13),0)</f>
        <v>0</v>
      </c>
      <c r="CG350" s="268">
        <f t="shared" si="92"/>
        <v>2312.0085517586949</v>
      </c>
      <c r="CO350" s="526">
        <v>0</v>
      </c>
      <c r="CP350" s="151" t="str">
        <f t="shared" si="87"/>
        <v/>
      </c>
      <c r="CQ350" s="386">
        <v>0</v>
      </c>
      <c r="CR350" s="268">
        <f>IF(CO350,_xll.qDateYears(CO349,CO350,CR$13),0)</f>
        <v>0</v>
      </c>
      <c r="CS350" s="268">
        <f t="shared" si="93"/>
        <v>2185.174943791465</v>
      </c>
      <c r="DA350" s="526">
        <v>0</v>
      </c>
      <c r="DB350" s="151" t="str">
        <f t="shared" si="88"/>
        <v/>
      </c>
      <c r="DC350" s="386">
        <v>0</v>
      </c>
      <c r="DD350" s="268">
        <f>IF(DA350,_xll.qDateYears(DA349,DA350,DD$13),0)</f>
        <v>0</v>
      </c>
      <c r="DE350" s="268">
        <f t="shared" si="94"/>
        <v>1616.1787110556011</v>
      </c>
      <c r="DM350" s="526">
        <v>0</v>
      </c>
      <c r="DN350" s="151" t="str">
        <f t="shared" si="89"/>
        <v/>
      </c>
      <c r="DO350" s="386">
        <v>0</v>
      </c>
      <c r="DP350" s="268">
        <f>IF(DM350,_xll.qDateYears(DM349,DM350,DP$13),0)</f>
        <v>0</v>
      </c>
      <c r="DQ350" s="268">
        <f t="shared" si="95"/>
        <v>2183.1745733532407</v>
      </c>
    </row>
    <row r="351" spans="59:121">
      <c r="BG351" s="526">
        <v>0</v>
      </c>
      <c r="BH351" s="150" t="str">
        <f t="shared" si="84"/>
        <v/>
      </c>
      <c r="BI351" s="386">
        <v>0</v>
      </c>
      <c r="BJ351" s="268">
        <f>IF(BG351,_xll.qDateYears(BG350,BG351,$BJ$13),0)</f>
        <v>0</v>
      </c>
      <c r="BK351" s="268">
        <f t="shared" si="90"/>
        <v>2183.1745733532407</v>
      </c>
      <c r="BQ351" s="526">
        <v>0</v>
      </c>
      <c r="BR351" s="151" t="str">
        <f t="shared" si="85"/>
        <v/>
      </c>
      <c r="BS351" s="386">
        <v>0</v>
      </c>
      <c r="BT351" s="268">
        <f>IF(BQ351,_xll.qDateYears(BQ350,BQ351,BT$13),0)</f>
        <v>0</v>
      </c>
      <c r="BU351" s="268">
        <f t="shared" si="91"/>
        <v>1738.6030924697341</v>
      </c>
      <c r="CC351" s="526">
        <v>0</v>
      </c>
      <c r="CD351" s="151" t="str">
        <f t="shared" si="86"/>
        <v/>
      </c>
      <c r="CE351" s="386">
        <v>0</v>
      </c>
      <c r="CF351" s="268">
        <f>IF(CC351,_xll.qDateYears(CC350,CC351,CF$13),0)</f>
        <v>0</v>
      </c>
      <c r="CG351" s="268">
        <f t="shared" si="92"/>
        <v>2312.0085517586949</v>
      </c>
      <c r="CO351" s="526">
        <v>0</v>
      </c>
      <c r="CP351" s="151" t="str">
        <f t="shared" si="87"/>
        <v/>
      </c>
      <c r="CQ351" s="386">
        <v>0</v>
      </c>
      <c r="CR351" s="268">
        <f>IF(CO351,_xll.qDateYears(CO350,CO351,CR$13),0)</f>
        <v>0</v>
      </c>
      <c r="CS351" s="268">
        <f t="shared" si="93"/>
        <v>2185.174943791465</v>
      </c>
      <c r="DA351" s="526">
        <v>0</v>
      </c>
      <c r="DB351" s="151" t="str">
        <f t="shared" si="88"/>
        <v/>
      </c>
      <c r="DC351" s="386">
        <v>0</v>
      </c>
      <c r="DD351" s="268">
        <f>IF(DA351,_xll.qDateYears(DA350,DA351,DD$13),0)</f>
        <v>0</v>
      </c>
      <c r="DE351" s="268">
        <f t="shared" si="94"/>
        <v>1616.1787110556011</v>
      </c>
      <c r="DM351" s="526">
        <v>0</v>
      </c>
      <c r="DN351" s="151" t="str">
        <f t="shared" si="89"/>
        <v/>
      </c>
      <c r="DO351" s="386">
        <v>0</v>
      </c>
      <c r="DP351" s="268">
        <f>IF(DM351,_xll.qDateYears(DM350,DM351,DP$13),0)</f>
        <v>0</v>
      </c>
      <c r="DQ351" s="268">
        <f t="shared" si="95"/>
        <v>2183.1745733532407</v>
      </c>
    </row>
    <row r="352" spans="59:121">
      <c r="BG352" s="526">
        <v>0</v>
      </c>
      <c r="BH352" s="150" t="str">
        <f t="shared" si="84"/>
        <v/>
      </c>
      <c r="BI352" s="386">
        <v>0</v>
      </c>
      <c r="BJ352" s="268">
        <f>IF(BG352,_xll.qDateYears(BG351,BG352,$BJ$13),0)</f>
        <v>0</v>
      </c>
      <c r="BK352" s="268">
        <f t="shared" si="90"/>
        <v>2183.1745733532407</v>
      </c>
      <c r="BQ352" s="526">
        <v>0</v>
      </c>
      <c r="BR352" s="151" t="str">
        <f t="shared" si="85"/>
        <v/>
      </c>
      <c r="BS352" s="386">
        <v>0</v>
      </c>
      <c r="BT352" s="268">
        <f>IF(BQ352,_xll.qDateYears(BQ351,BQ352,BT$13),0)</f>
        <v>0</v>
      </c>
      <c r="BU352" s="268">
        <f t="shared" si="91"/>
        <v>1738.6030924697341</v>
      </c>
      <c r="CC352" s="526">
        <v>0</v>
      </c>
      <c r="CD352" s="151" t="str">
        <f t="shared" si="86"/>
        <v/>
      </c>
      <c r="CE352" s="386">
        <v>0</v>
      </c>
      <c r="CF352" s="268">
        <f>IF(CC352,_xll.qDateYears(CC351,CC352,CF$13),0)</f>
        <v>0</v>
      </c>
      <c r="CG352" s="268">
        <f t="shared" si="92"/>
        <v>2312.0085517586949</v>
      </c>
      <c r="CO352" s="526">
        <v>0</v>
      </c>
      <c r="CP352" s="151" t="str">
        <f t="shared" si="87"/>
        <v/>
      </c>
      <c r="CQ352" s="386">
        <v>0</v>
      </c>
      <c r="CR352" s="268">
        <f>IF(CO352,_xll.qDateYears(CO351,CO352,CR$13),0)</f>
        <v>0</v>
      </c>
      <c r="CS352" s="268">
        <f t="shared" si="93"/>
        <v>2185.174943791465</v>
      </c>
      <c r="DA352" s="526">
        <v>0</v>
      </c>
      <c r="DB352" s="151" t="str">
        <f t="shared" si="88"/>
        <v/>
      </c>
      <c r="DC352" s="386">
        <v>0</v>
      </c>
      <c r="DD352" s="268">
        <f>IF(DA352,_xll.qDateYears(DA351,DA352,DD$13),0)</f>
        <v>0</v>
      </c>
      <c r="DE352" s="268">
        <f t="shared" si="94"/>
        <v>1616.1787110556011</v>
      </c>
      <c r="DM352" s="526">
        <v>0</v>
      </c>
      <c r="DN352" s="151" t="str">
        <f t="shared" si="89"/>
        <v/>
      </c>
      <c r="DO352" s="386">
        <v>0</v>
      </c>
      <c r="DP352" s="268">
        <f>IF(DM352,_xll.qDateYears(DM351,DM352,DP$13),0)</f>
        <v>0</v>
      </c>
      <c r="DQ352" s="268">
        <f t="shared" si="95"/>
        <v>2183.1745733532407</v>
      </c>
    </row>
    <row r="353" spans="59:121">
      <c r="BG353" s="526">
        <v>0</v>
      </c>
      <c r="BH353" s="150" t="str">
        <f t="shared" si="84"/>
        <v/>
      </c>
      <c r="BI353" s="386">
        <v>0</v>
      </c>
      <c r="BJ353" s="268">
        <f>IF(BG353,_xll.qDateYears(BG352,BG353,$BJ$13),0)</f>
        <v>0</v>
      </c>
      <c r="BK353" s="268">
        <f t="shared" si="90"/>
        <v>2183.1745733532407</v>
      </c>
      <c r="BQ353" s="526">
        <v>0</v>
      </c>
      <c r="BR353" s="151" t="str">
        <f t="shared" si="85"/>
        <v/>
      </c>
      <c r="BS353" s="386">
        <v>0</v>
      </c>
      <c r="BT353" s="268">
        <f>IF(BQ353,_xll.qDateYears(BQ352,BQ353,BT$13),0)</f>
        <v>0</v>
      </c>
      <c r="BU353" s="268">
        <f t="shared" si="91"/>
        <v>1738.6030924697341</v>
      </c>
      <c r="CC353" s="526">
        <v>0</v>
      </c>
      <c r="CD353" s="151" t="str">
        <f t="shared" si="86"/>
        <v/>
      </c>
      <c r="CE353" s="386">
        <v>0</v>
      </c>
      <c r="CF353" s="268">
        <f>IF(CC353,_xll.qDateYears(CC352,CC353,CF$13),0)</f>
        <v>0</v>
      </c>
      <c r="CG353" s="268">
        <f t="shared" si="92"/>
        <v>2312.0085517586949</v>
      </c>
      <c r="CO353" s="526">
        <v>0</v>
      </c>
      <c r="CP353" s="151" t="str">
        <f t="shared" si="87"/>
        <v/>
      </c>
      <c r="CQ353" s="386">
        <v>0</v>
      </c>
      <c r="CR353" s="268">
        <f>IF(CO353,_xll.qDateYears(CO352,CO353,CR$13),0)</f>
        <v>0</v>
      </c>
      <c r="CS353" s="268">
        <f t="shared" si="93"/>
        <v>2185.174943791465</v>
      </c>
      <c r="DA353" s="526">
        <v>0</v>
      </c>
      <c r="DB353" s="151" t="str">
        <f t="shared" si="88"/>
        <v/>
      </c>
      <c r="DC353" s="386">
        <v>0</v>
      </c>
      <c r="DD353" s="268">
        <f>IF(DA353,_xll.qDateYears(DA352,DA353,DD$13),0)</f>
        <v>0</v>
      </c>
      <c r="DE353" s="268">
        <f t="shared" si="94"/>
        <v>1616.1787110556011</v>
      </c>
      <c r="DM353" s="526">
        <v>0</v>
      </c>
      <c r="DN353" s="151" t="str">
        <f t="shared" si="89"/>
        <v/>
      </c>
      <c r="DO353" s="386">
        <v>0</v>
      </c>
      <c r="DP353" s="268">
        <f>IF(DM353,_xll.qDateYears(DM352,DM353,DP$13),0)</f>
        <v>0</v>
      </c>
      <c r="DQ353" s="268">
        <f t="shared" si="95"/>
        <v>2183.1745733532407</v>
      </c>
    </row>
    <row r="354" spans="59:121">
      <c r="BG354" s="526">
        <v>0</v>
      </c>
      <c r="BH354" s="150" t="str">
        <f t="shared" si="84"/>
        <v/>
      </c>
      <c r="BI354" s="386">
        <v>0</v>
      </c>
      <c r="BJ354" s="268">
        <f>IF(BG354,_xll.qDateYears(BG353,BG354,$BJ$13),0)</f>
        <v>0</v>
      </c>
      <c r="BK354" s="268">
        <f t="shared" si="90"/>
        <v>2183.1745733532407</v>
      </c>
      <c r="BQ354" s="526">
        <v>0</v>
      </c>
      <c r="BR354" s="151" t="str">
        <f t="shared" si="85"/>
        <v/>
      </c>
      <c r="BS354" s="386">
        <v>0</v>
      </c>
      <c r="BT354" s="268">
        <f>IF(BQ354,_xll.qDateYears(BQ353,BQ354,BT$13),0)</f>
        <v>0</v>
      </c>
      <c r="BU354" s="268">
        <f t="shared" si="91"/>
        <v>1738.6030924697341</v>
      </c>
      <c r="CC354" s="526">
        <v>0</v>
      </c>
      <c r="CD354" s="151" t="str">
        <f t="shared" si="86"/>
        <v/>
      </c>
      <c r="CE354" s="386">
        <v>0</v>
      </c>
      <c r="CF354" s="268">
        <f>IF(CC354,_xll.qDateYears(CC353,CC354,CF$13),0)</f>
        <v>0</v>
      </c>
      <c r="CG354" s="268">
        <f t="shared" si="92"/>
        <v>2312.0085517586949</v>
      </c>
      <c r="CO354" s="526">
        <v>0</v>
      </c>
      <c r="CP354" s="151" t="str">
        <f t="shared" si="87"/>
        <v/>
      </c>
      <c r="CQ354" s="386">
        <v>0</v>
      </c>
      <c r="CR354" s="268">
        <f>IF(CO354,_xll.qDateYears(CO353,CO354,CR$13),0)</f>
        <v>0</v>
      </c>
      <c r="CS354" s="268">
        <f t="shared" si="93"/>
        <v>2185.174943791465</v>
      </c>
      <c r="DA354" s="526">
        <v>0</v>
      </c>
      <c r="DB354" s="151" t="str">
        <f t="shared" si="88"/>
        <v/>
      </c>
      <c r="DC354" s="386">
        <v>0</v>
      </c>
      <c r="DD354" s="268">
        <f>IF(DA354,_xll.qDateYears(DA353,DA354,DD$13),0)</f>
        <v>0</v>
      </c>
      <c r="DE354" s="268">
        <f t="shared" si="94"/>
        <v>1616.1787110556011</v>
      </c>
      <c r="DM354" s="526">
        <v>0</v>
      </c>
      <c r="DN354" s="151" t="str">
        <f t="shared" si="89"/>
        <v/>
      </c>
      <c r="DO354" s="386">
        <v>0</v>
      </c>
      <c r="DP354" s="268">
        <f>IF(DM354,_xll.qDateYears(DM353,DM354,DP$13),0)</f>
        <v>0</v>
      </c>
      <c r="DQ354" s="268">
        <f t="shared" si="95"/>
        <v>2183.1745733532407</v>
      </c>
    </row>
    <row r="355" spans="59:121">
      <c r="BG355" s="526">
        <v>0</v>
      </c>
      <c r="BH355" s="150" t="str">
        <f t="shared" si="84"/>
        <v/>
      </c>
      <c r="BI355" s="386">
        <v>0</v>
      </c>
      <c r="BJ355" s="268">
        <f>IF(BG355,_xll.qDateYears(BG354,BG355,$BJ$13),0)</f>
        <v>0</v>
      </c>
      <c r="BK355" s="268">
        <f t="shared" si="90"/>
        <v>2183.1745733532407</v>
      </c>
      <c r="BQ355" s="526">
        <v>0</v>
      </c>
      <c r="BR355" s="151" t="str">
        <f t="shared" si="85"/>
        <v/>
      </c>
      <c r="BS355" s="386">
        <v>0</v>
      </c>
      <c r="BT355" s="268">
        <f>IF(BQ355,_xll.qDateYears(BQ354,BQ355,BT$13),0)</f>
        <v>0</v>
      </c>
      <c r="BU355" s="268">
        <f t="shared" si="91"/>
        <v>1738.6030924697341</v>
      </c>
      <c r="CC355" s="526">
        <v>0</v>
      </c>
      <c r="CD355" s="151" t="str">
        <f t="shared" si="86"/>
        <v/>
      </c>
      <c r="CE355" s="386">
        <v>0</v>
      </c>
      <c r="CF355" s="268">
        <f>IF(CC355,_xll.qDateYears(CC354,CC355,CF$13),0)</f>
        <v>0</v>
      </c>
      <c r="CG355" s="268">
        <f t="shared" si="92"/>
        <v>2312.0085517586949</v>
      </c>
      <c r="CO355" s="526">
        <v>0</v>
      </c>
      <c r="CP355" s="151" t="str">
        <f t="shared" si="87"/>
        <v/>
      </c>
      <c r="CQ355" s="386">
        <v>0</v>
      </c>
      <c r="CR355" s="268">
        <f>IF(CO355,_xll.qDateYears(CO354,CO355,CR$13),0)</f>
        <v>0</v>
      </c>
      <c r="CS355" s="268">
        <f t="shared" si="93"/>
        <v>2185.174943791465</v>
      </c>
      <c r="DA355" s="526">
        <v>0</v>
      </c>
      <c r="DB355" s="151" t="str">
        <f t="shared" si="88"/>
        <v/>
      </c>
      <c r="DC355" s="386">
        <v>0</v>
      </c>
      <c r="DD355" s="268">
        <f>IF(DA355,_xll.qDateYears(DA354,DA355,DD$13),0)</f>
        <v>0</v>
      </c>
      <c r="DE355" s="268">
        <f t="shared" si="94"/>
        <v>1616.1787110556011</v>
      </c>
      <c r="DM355" s="526">
        <v>0</v>
      </c>
      <c r="DN355" s="151" t="str">
        <f t="shared" si="89"/>
        <v/>
      </c>
      <c r="DO355" s="386">
        <v>0</v>
      </c>
      <c r="DP355" s="268">
        <f>IF(DM355,_xll.qDateYears(DM354,DM355,DP$13),0)</f>
        <v>0</v>
      </c>
      <c r="DQ355" s="268">
        <f t="shared" si="95"/>
        <v>2183.1745733532407</v>
      </c>
    </row>
    <row r="356" spans="59:121">
      <c r="BG356" s="526">
        <v>0</v>
      </c>
      <c r="BH356" s="150" t="str">
        <f t="shared" si="84"/>
        <v/>
      </c>
      <c r="BI356" s="386">
        <v>0</v>
      </c>
      <c r="BJ356" s="268">
        <f>IF(BG356,_xll.qDateYears(BG355,BG356,$BJ$13),0)</f>
        <v>0</v>
      </c>
      <c r="BK356" s="268">
        <f t="shared" si="90"/>
        <v>2183.1745733532407</v>
      </c>
      <c r="BQ356" s="526">
        <v>0</v>
      </c>
      <c r="BR356" s="151" t="str">
        <f t="shared" si="85"/>
        <v/>
      </c>
      <c r="BS356" s="386">
        <v>0</v>
      </c>
      <c r="BT356" s="268">
        <f>IF(BQ356,_xll.qDateYears(BQ355,BQ356,BT$13),0)</f>
        <v>0</v>
      </c>
      <c r="BU356" s="268">
        <f t="shared" si="91"/>
        <v>1738.6030924697341</v>
      </c>
      <c r="CC356" s="526">
        <v>0</v>
      </c>
      <c r="CD356" s="151" t="str">
        <f t="shared" si="86"/>
        <v/>
      </c>
      <c r="CE356" s="386">
        <v>0</v>
      </c>
      <c r="CF356" s="268">
        <f>IF(CC356,_xll.qDateYears(CC355,CC356,CF$13),0)</f>
        <v>0</v>
      </c>
      <c r="CG356" s="268">
        <f t="shared" si="92"/>
        <v>2312.0085517586949</v>
      </c>
      <c r="CO356" s="526">
        <v>0</v>
      </c>
      <c r="CP356" s="151" t="str">
        <f t="shared" si="87"/>
        <v/>
      </c>
      <c r="CQ356" s="386">
        <v>0</v>
      </c>
      <c r="CR356" s="268">
        <f>IF(CO356,_xll.qDateYears(CO355,CO356,CR$13),0)</f>
        <v>0</v>
      </c>
      <c r="CS356" s="268">
        <f t="shared" si="93"/>
        <v>2185.174943791465</v>
      </c>
      <c r="DA356" s="526">
        <v>0</v>
      </c>
      <c r="DB356" s="151" t="str">
        <f t="shared" si="88"/>
        <v/>
      </c>
      <c r="DC356" s="386">
        <v>0</v>
      </c>
      <c r="DD356" s="268">
        <f>IF(DA356,_xll.qDateYears(DA355,DA356,DD$13),0)</f>
        <v>0</v>
      </c>
      <c r="DE356" s="268">
        <f t="shared" si="94"/>
        <v>1616.1787110556011</v>
      </c>
      <c r="DM356" s="526">
        <v>0</v>
      </c>
      <c r="DN356" s="151" t="str">
        <f t="shared" si="89"/>
        <v/>
      </c>
      <c r="DO356" s="386">
        <v>0</v>
      </c>
      <c r="DP356" s="268">
        <f>IF(DM356,_xll.qDateYears(DM355,DM356,DP$13),0)</f>
        <v>0</v>
      </c>
      <c r="DQ356" s="268">
        <f t="shared" si="95"/>
        <v>2183.1745733532407</v>
      </c>
    </row>
    <row r="357" spans="59:121">
      <c r="BG357" s="526">
        <v>0</v>
      </c>
      <c r="BH357" s="150" t="str">
        <f t="shared" si="84"/>
        <v/>
      </c>
      <c r="BI357" s="386">
        <v>0</v>
      </c>
      <c r="BJ357" s="268">
        <f>IF(BG357,_xll.qDateYears(BG356,BG357,$BJ$13),0)</f>
        <v>0</v>
      </c>
      <c r="BK357" s="268">
        <f t="shared" si="90"/>
        <v>2183.1745733532407</v>
      </c>
      <c r="BQ357" s="526">
        <v>0</v>
      </c>
      <c r="BR357" s="151" t="str">
        <f t="shared" si="85"/>
        <v/>
      </c>
      <c r="BS357" s="386">
        <v>0</v>
      </c>
      <c r="BT357" s="268">
        <f>IF(BQ357,_xll.qDateYears(BQ356,BQ357,BT$13),0)</f>
        <v>0</v>
      </c>
      <c r="BU357" s="268">
        <f t="shared" si="91"/>
        <v>1738.6030924697341</v>
      </c>
      <c r="CC357" s="526">
        <v>0</v>
      </c>
      <c r="CD357" s="151" t="str">
        <f t="shared" si="86"/>
        <v/>
      </c>
      <c r="CE357" s="386">
        <v>0</v>
      </c>
      <c r="CF357" s="268">
        <f>IF(CC357,_xll.qDateYears(CC356,CC357,CF$13),0)</f>
        <v>0</v>
      </c>
      <c r="CG357" s="268">
        <f t="shared" si="92"/>
        <v>2312.0085517586949</v>
      </c>
      <c r="CO357" s="526">
        <v>0</v>
      </c>
      <c r="CP357" s="151" t="str">
        <f t="shared" si="87"/>
        <v/>
      </c>
      <c r="CQ357" s="386">
        <v>0</v>
      </c>
      <c r="CR357" s="268">
        <f>IF(CO357,_xll.qDateYears(CO356,CO357,CR$13),0)</f>
        <v>0</v>
      </c>
      <c r="CS357" s="268">
        <f t="shared" si="93"/>
        <v>2185.174943791465</v>
      </c>
      <c r="DA357" s="526">
        <v>0</v>
      </c>
      <c r="DB357" s="151" t="str">
        <f t="shared" si="88"/>
        <v/>
      </c>
      <c r="DC357" s="386">
        <v>0</v>
      </c>
      <c r="DD357" s="268">
        <f>IF(DA357,_xll.qDateYears(DA356,DA357,DD$13),0)</f>
        <v>0</v>
      </c>
      <c r="DE357" s="268">
        <f t="shared" si="94"/>
        <v>1616.1787110556011</v>
      </c>
      <c r="DM357" s="526">
        <v>0</v>
      </c>
      <c r="DN357" s="151" t="str">
        <f t="shared" si="89"/>
        <v/>
      </c>
      <c r="DO357" s="386">
        <v>0</v>
      </c>
      <c r="DP357" s="268">
        <f>IF(DM357,_xll.qDateYears(DM356,DM357,DP$13),0)</f>
        <v>0</v>
      </c>
      <c r="DQ357" s="268">
        <f t="shared" si="95"/>
        <v>2183.1745733532407</v>
      </c>
    </row>
    <row r="358" spans="59:121">
      <c r="BG358" s="526">
        <v>0</v>
      </c>
      <c r="BH358" s="150" t="str">
        <f t="shared" si="84"/>
        <v/>
      </c>
      <c r="BI358" s="386">
        <v>0</v>
      </c>
      <c r="BJ358" s="268">
        <f>IF(BG358,_xll.qDateYears(BG357,BG358,$BJ$13),0)</f>
        <v>0</v>
      </c>
      <c r="BK358" s="268">
        <f t="shared" si="90"/>
        <v>2183.1745733532407</v>
      </c>
      <c r="BQ358" s="526">
        <v>0</v>
      </c>
      <c r="BR358" s="151" t="str">
        <f t="shared" si="85"/>
        <v/>
      </c>
      <c r="BS358" s="386">
        <v>0</v>
      </c>
      <c r="BT358" s="268">
        <f>IF(BQ358,_xll.qDateYears(BQ357,BQ358,BT$13),0)</f>
        <v>0</v>
      </c>
      <c r="BU358" s="268">
        <f t="shared" si="91"/>
        <v>1738.6030924697341</v>
      </c>
      <c r="CC358" s="526">
        <v>0</v>
      </c>
      <c r="CD358" s="151" t="str">
        <f t="shared" si="86"/>
        <v/>
      </c>
      <c r="CE358" s="386">
        <v>0</v>
      </c>
      <c r="CF358" s="268">
        <f>IF(CC358,_xll.qDateYears(CC357,CC358,CF$13),0)</f>
        <v>0</v>
      </c>
      <c r="CG358" s="268">
        <f t="shared" si="92"/>
        <v>2312.0085517586949</v>
      </c>
      <c r="CO358" s="526">
        <v>0</v>
      </c>
      <c r="CP358" s="151" t="str">
        <f t="shared" si="87"/>
        <v/>
      </c>
      <c r="CQ358" s="386">
        <v>0</v>
      </c>
      <c r="CR358" s="268">
        <f>IF(CO358,_xll.qDateYears(CO357,CO358,CR$13),0)</f>
        <v>0</v>
      </c>
      <c r="CS358" s="268">
        <f t="shared" si="93"/>
        <v>2185.174943791465</v>
      </c>
      <c r="DA358" s="526">
        <v>0</v>
      </c>
      <c r="DB358" s="151" t="str">
        <f t="shared" si="88"/>
        <v/>
      </c>
      <c r="DC358" s="386">
        <v>0</v>
      </c>
      <c r="DD358" s="268">
        <f>IF(DA358,_xll.qDateYears(DA357,DA358,DD$13),0)</f>
        <v>0</v>
      </c>
      <c r="DE358" s="268">
        <f t="shared" si="94"/>
        <v>1616.1787110556011</v>
      </c>
      <c r="DM358" s="526">
        <v>0</v>
      </c>
      <c r="DN358" s="151" t="str">
        <f t="shared" si="89"/>
        <v/>
      </c>
      <c r="DO358" s="386">
        <v>0</v>
      </c>
      <c r="DP358" s="268">
        <f>IF(DM358,_xll.qDateYears(DM357,DM358,DP$13),0)</f>
        <v>0</v>
      </c>
      <c r="DQ358" s="268">
        <f t="shared" si="95"/>
        <v>2183.1745733532407</v>
      </c>
    </row>
    <row r="359" spans="59:121">
      <c r="BG359" s="526">
        <v>0</v>
      </c>
      <c r="BH359" s="150" t="str">
        <f t="shared" si="84"/>
        <v/>
      </c>
      <c r="BI359" s="386">
        <v>0</v>
      </c>
      <c r="BJ359" s="268">
        <f>IF(BG359,_xll.qDateYears(BG358,BG359,$BJ$13),0)</f>
        <v>0</v>
      </c>
      <c r="BK359" s="268">
        <f t="shared" si="90"/>
        <v>2183.1745733532407</v>
      </c>
      <c r="BQ359" s="526">
        <v>0</v>
      </c>
      <c r="BR359" s="151" t="str">
        <f t="shared" si="85"/>
        <v/>
      </c>
      <c r="BS359" s="386">
        <v>0</v>
      </c>
      <c r="BT359" s="268">
        <f>IF(BQ359,_xll.qDateYears(BQ358,BQ359,BT$13),0)</f>
        <v>0</v>
      </c>
      <c r="BU359" s="268">
        <f t="shared" si="91"/>
        <v>1738.6030924697341</v>
      </c>
      <c r="CC359" s="526">
        <v>0</v>
      </c>
      <c r="CD359" s="151" t="str">
        <f t="shared" si="86"/>
        <v/>
      </c>
      <c r="CE359" s="386">
        <v>0</v>
      </c>
      <c r="CF359" s="268">
        <f>IF(CC359,_xll.qDateYears(CC358,CC359,CF$13),0)</f>
        <v>0</v>
      </c>
      <c r="CG359" s="268">
        <f t="shared" si="92"/>
        <v>2312.0085517586949</v>
      </c>
      <c r="CO359" s="526">
        <v>0</v>
      </c>
      <c r="CP359" s="151" t="str">
        <f t="shared" si="87"/>
        <v/>
      </c>
      <c r="CQ359" s="386">
        <v>0</v>
      </c>
      <c r="CR359" s="268">
        <f>IF(CO359,_xll.qDateYears(CO358,CO359,CR$13),0)</f>
        <v>0</v>
      </c>
      <c r="CS359" s="268">
        <f t="shared" si="93"/>
        <v>2185.174943791465</v>
      </c>
      <c r="DA359" s="526">
        <v>0</v>
      </c>
      <c r="DB359" s="151" t="str">
        <f t="shared" si="88"/>
        <v/>
      </c>
      <c r="DC359" s="386">
        <v>0</v>
      </c>
      <c r="DD359" s="268">
        <f>IF(DA359,_xll.qDateYears(DA358,DA359,DD$13),0)</f>
        <v>0</v>
      </c>
      <c r="DE359" s="268">
        <f t="shared" si="94"/>
        <v>1616.1787110556011</v>
      </c>
      <c r="DM359" s="526">
        <v>0</v>
      </c>
      <c r="DN359" s="151" t="str">
        <f t="shared" si="89"/>
        <v/>
      </c>
      <c r="DO359" s="386">
        <v>0</v>
      </c>
      <c r="DP359" s="268">
        <f>IF(DM359,_xll.qDateYears(DM358,DM359,DP$13),0)</f>
        <v>0</v>
      </c>
      <c r="DQ359" s="268">
        <f t="shared" si="95"/>
        <v>2183.1745733532407</v>
      </c>
    </row>
    <row r="360" spans="59:121">
      <c r="BG360" s="526">
        <v>0</v>
      </c>
      <c r="BH360" s="150" t="str">
        <f t="shared" si="84"/>
        <v/>
      </c>
      <c r="BI360" s="386">
        <v>0</v>
      </c>
      <c r="BJ360" s="268">
        <f>IF(BG360,_xll.qDateYears(BG359,BG360,$BJ$13),0)</f>
        <v>0</v>
      </c>
      <c r="BK360" s="268">
        <f t="shared" si="90"/>
        <v>2183.1745733532407</v>
      </c>
      <c r="BQ360" s="526">
        <v>0</v>
      </c>
      <c r="BR360" s="151" t="str">
        <f t="shared" si="85"/>
        <v/>
      </c>
      <c r="BS360" s="386">
        <v>0</v>
      </c>
      <c r="BT360" s="268">
        <f>IF(BQ360,_xll.qDateYears(BQ359,BQ360,BT$13),0)</f>
        <v>0</v>
      </c>
      <c r="BU360" s="268">
        <f t="shared" si="91"/>
        <v>1738.6030924697341</v>
      </c>
      <c r="CC360" s="526">
        <v>0</v>
      </c>
      <c r="CD360" s="151" t="str">
        <f t="shared" si="86"/>
        <v/>
      </c>
      <c r="CE360" s="386">
        <v>0</v>
      </c>
      <c r="CF360" s="268">
        <f>IF(CC360,_xll.qDateYears(CC359,CC360,CF$13),0)</f>
        <v>0</v>
      </c>
      <c r="CG360" s="268">
        <f t="shared" si="92"/>
        <v>2312.0085517586949</v>
      </c>
      <c r="CO360" s="526">
        <v>0</v>
      </c>
      <c r="CP360" s="151" t="str">
        <f t="shared" si="87"/>
        <v/>
      </c>
      <c r="CQ360" s="386">
        <v>0</v>
      </c>
      <c r="CR360" s="268">
        <f>IF(CO360,_xll.qDateYears(CO359,CO360,CR$13),0)</f>
        <v>0</v>
      </c>
      <c r="CS360" s="268">
        <f t="shared" si="93"/>
        <v>2185.174943791465</v>
      </c>
      <c r="DA360" s="526">
        <v>0</v>
      </c>
      <c r="DB360" s="151" t="str">
        <f t="shared" si="88"/>
        <v/>
      </c>
      <c r="DC360" s="386">
        <v>0</v>
      </c>
      <c r="DD360" s="268">
        <f>IF(DA360,_xll.qDateYears(DA359,DA360,DD$13),0)</f>
        <v>0</v>
      </c>
      <c r="DE360" s="268">
        <f t="shared" si="94"/>
        <v>1616.1787110556011</v>
      </c>
      <c r="DM360" s="526">
        <v>0</v>
      </c>
      <c r="DN360" s="151" t="str">
        <f t="shared" si="89"/>
        <v/>
      </c>
      <c r="DO360" s="386">
        <v>0</v>
      </c>
      <c r="DP360" s="268">
        <f>IF(DM360,_xll.qDateYears(DM359,DM360,DP$13),0)</f>
        <v>0</v>
      </c>
      <c r="DQ360" s="268">
        <f t="shared" si="95"/>
        <v>2183.1745733532407</v>
      </c>
    </row>
    <row r="361" spans="59:121">
      <c r="BG361" s="526">
        <v>0</v>
      </c>
      <c r="BH361" s="150" t="str">
        <f t="shared" si="84"/>
        <v/>
      </c>
      <c r="BI361" s="386">
        <v>0</v>
      </c>
      <c r="BJ361" s="268">
        <f>IF(BG361,_xll.qDateYears(BG360,BG361,$BJ$13),0)</f>
        <v>0</v>
      </c>
      <c r="BK361" s="268">
        <f t="shared" si="90"/>
        <v>2183.1745733532407</v>
      </c>
      <c r="BQ361" s="526">
        <v>0</v>
      </c>
      <c r="BR361" s="151" t="str">
        <f t="shared" si="85"/>
        <v/>
      </c>
      <c r="BS361" s="386">
        <v>0</v>
      </c>
      <c r="BT361" s="268">
        <f>IF(BQ361,_xll.qDateYears(BQ360,BQ361,BT$13),0)</f>
        <v>0</v>
      </c>
      <c r="BU361" s="268">
        <f t="shared" si="91"/>
        <v>1738.6030924697341</v>
      </c>
      <c r="CC361" s="526">
        <v>0</v>
      </c>
      <c r="CD361" s="151" t="str">
        <f t="shared" si="86"/>
        <v/>
      </c>
      <c r="CE361" s="386">
        <v>0</v>
      </c>
      <c r="CF361" s="268">
        <f>IF(CC361,_xll.qDateYears(CC360,CC361,CF$13),0)</f>
        <v>0</v>
      </c>
      <c r="CG361" s="268">
        <f t="shared" si="92"/>
        <v>2312.0085517586949</v>
      </c>
      <c r="CO361" s="526">
        <v>0</v>
      </c>
      <c r="CP361" s="151" t="str">
        <f t="shared" si="87"/>
        <v/>
      </c>
      <c r="CQ361" s="386">
        <v>0</v>
      </c>
      <c r="CR361" s="268">
        <f>IF(CO361,_xll.qDateYears(CO360,CO361,CR$13),0)</f>
        <v>0</v>
      </c>
      <c r="CS361" s="268">
        <f t="shared" si="93"/>
        <v>2185.174943791465</v>
      </c>
      <c r="DA361" s="526">
        <v>0</v>
      </c>
      <c r="DB361" s="151" t="str">
        <f t="shared" si="88"/>
        <v/>
      </c>
      <c r="DC361" s="386">
        <v>0</v>
      </c>
      <c r="DD361" s="268">
        <f>IF(DA361,_xll.qDateYears(DA360,DA361,DD$13),0)</f>
        <v>0</v>
      </c>
      <c r="DE361" s="268">
        <f t="shared" si="94"/>
        <v>1616.1787110556011</v>
      </c>
      <c r="DM361" s="526">
        <v>0</v>
      </c>
      <c r="DN361" s="151" t="str">
        <f t="shared" si="89"/>
        <v/>
      </c>
      <c r="DO361" s="386">
        <v>0</v>
      </c>
      <c r="DP361" s="268">
        <f>IF(DM361,_xll.qDateYears(DM360,DM361,DP$13),0)</f>
        <v>0</v>
      </c>
      <c r="DQ361" s="268">
        <f t="shared" si="95"/>
        <v>2183.1745733532407</v>
      </c>
    </row>
    <row r="362" spans="59:121">
      <c r="BG362" s="526">
        <v>0</v>
      </c>
      <c r="BH362" s="150" t="str">
        <f t="shared" si="84"/>
        <v/>
      </c>
      <c r="BI362" s="386">
        <v>0</v>
      </c>
      <c r="BJ362" s="268">
        <f>IF(BG362,_xll.qDateYears(BG361,BG362,$BJ$13),0)</f>
        <v>0</v>
      </c>
      <c r="BK362" s="268">
        <f t="shared" si="90"/>
        <v>2183.1745733532407</v>
      </c>
      <c r="BQ362" s="526">
        <v>0</v>
      </c>
      <c r="BR362" s="151" t="str">
        <f t="shared" si="85"/>
        <v/>
      </c>
      <c r="BS362" s="386">
        <v>0</v>
      </c>
      <c r="BT362" s="268">
        <f>IF(BQ362,_xll.qDateYears(BQ361,BQ362,BT$13),0)</f>
        <v>0</v>
      </c>
      <c r="BU362" s="268">
        <f t="shared" si="91"/>
        <v>1738.6030924697341</v>
      </c>
      <c r="CC362" s="526">
        <v>0</v>
      </c>
      <c r="CD362" s="151" t="str">
        <f t="shared" si="86"/>
        <v/>
      </c>
      <c r="CE362" s="386">
        <v>0</v>
      </c>
      <c r="CF362" s="268">
        <f>IF(CC362,_xll.qDateYears(CC361,CC362,CF$13),0)</f>
        <v>0</v>
      </c>
      <c r="CG362" s="268">
        <f t="shared" si="92"/>
        <v>2312.0085517586949</v>
      </c>
      <c r="CO362" s="526">
        <v>0</v>
      </c>
      <c r="CP362" s="151" t="str">
        <f t="shared" si="87"/>
        <v/>
      </c>
      <c r="CQ362" s="386">
        <v>0</v>
      </c>
      <c r="CR362" s="268">
        <f>IF(CO362,_xll.qDateYears(CO361,CO362,CR$13),0)</f>
        <v>0</v>
      </c>
      <c r="CS362" s="268">
        <f t="shared" si="93"/>
        <v>2185.174943791465</v>
      </c>
      <c r="DA362" s="526">
        <v>0</v>
      </c>
      <c r="DB362" s="151" t="str">
        <f t="shared" si="88"/>
        <v/>
      </c>
      <c r="DC362" s="386">
        <v>0</v>
      </c>
      <c r="DD362" s="268">
        <f>IF(DA362,_xll.qDateYears(DA361,DA362,DD$13),0)</f>
        <v>0</v>
      </c>
      <c r="DE362" s="268">
        <f t="shared" si="94"/>
        <v>1616.1787110556011</v>
      </c>
      <c r="DM362" s="526">
        <v>0</v>
      </c>
      <c r="DN362" s="151" t="str">
        <f t="shared" si="89"/>
        <v/>
      </c>
      <c r="DO362" s="386">
        <v>0</v>
      </c>
      <c r="DP362" s="268">
        <f>IF(DM362,_xll.qDateYears(DM361,DM362,DP$13),0)</f>
        <v>0</v>
      </c>
      <c r="DQ362" s="268">
        <f t="shared" si="95"/>
        <v>2183.1745733532407</v>
      </c>
    </row>
    <row r="363" spans="59:121">
      <c r="BG363" s="526">
        <v>0</v>
      </c>
      <c r="BH363" s="150" t="str">
        <f t="shared" si="84"/>
        <v/>
      </c>
      <c r="BI363" s="386">
        <v>0</v>
      </c>
      <c r="BJ363" s="268">
        <f>IF(BG363,_xll.qDateYears(BG362,BG363,$BJ$13),0)</f>
        <v>0</v>
      </c>
      <c r="BK363" s="268">
        <f t="shared" si="90"/>
        <v>2183.1745733532407</v>
      </c>
      <c r="BQ363" s="526">
        <v>0</v>
      </c>
      <c r="BR363" s="151" t="str">
        <f t="shared" si="85"/>
        <v/>
      </c>
      <c r="BS363" s="386">
        <v>0</v>
      </c>
      <c r="BT363" s="268">
        <f>IF(BQ363,_xll.qDateYears(BQ362,BQ363,BT$13),0)</f>
        <v>0</v>
      </c>
      <c r="BU363" s="268">
        <f t="shared" si="91"/>
        <v>1738.6030924697341</v>
      </c>
      <c r="CC363" s="526">
        <v>0</v>
      </c>
      <c r="CD363" s="151" t="str">
        <f t="shared" si="86"/>
        <v/>
      </c>
      <c r="CE363" s="386">
        <v>0</v>
      </c>
      <c r="CF363" s="268">
        <f>IF(CC363,_xll.qDateYears(CC362,CC363,CF$13),0)</f>
        <v>0</v>
      </c>
      <c r="CG363" s="268">
        <f t="shared" si="92"/>
        <v>2312.0085517586949</v>
      </c>
      <c r="CO363" s="526">
        <v>0</v>
      </c>
      <c r="CP363" s="151" t="str">
        <f t="shared" si="87"/>
        <v/>
      </c>
      <c r="CQ363" s="386">
        <v>0</v>
      </c>
      <c r="CR363" s="268">
        <f>IF(CO363,_xll.qDateYears(CO362,CO363,CR$13),0)</f>
        <v>0</v>
      </c>
      <c r="CS363" s="268">
        <f t="shared" si="93"/>
        <v>2185.174943791465</v>
      </c>
      <c r="DA363" s="526">
        <v>0</v>
      </c>
      <c r="DB363" s="151" t="str">
        <f t="shared" si="88"/>
        <v/>
      </c>
      <c r="DC363" s="386">
        <v>0</v>
      </c>
      <c r="DD363" s="268">
        <f>IF(DA363,_xll.qDateYears(DA362,DA363,DD$13),0)</f>
        <v>0</v>
      </c>
      <c r="DE363" s="268">
        <f t="shared" si="94"/>
        <v>1616.1787110556011</v>
      </c>
      <c r="DM363" s="526">
        <v>0</v>
      </c>
      <c r="DN363" s="151" t="str">
        <f t="shared" si="89"/>
        <v/>
      </c>
      <c r="DO363" s="386">
        <v>0</v>
      </c>
      <c r="DP363" s="268">
        <f>IF(DM363,_xll.qDateYears(DM362,DM363,DP$13),0)</f>
        <v>0</v>
      </c>
      <c r="DQ363" s="268">
        <f t="shared" si="95"/>
        <v>2183.1745733532407</v>
      </c>
    </row>
    <row r="364" spans="59:121">
      <c r="BG364" s="526">
        <v>0</v>
      </c>
      <c r="BH364" s="150" t="str">
        <f t="shared" si="84"/>
        <v/>
      </c>
      <c r="BI364" s="386">
        <v>0</v>
      </c>
      <c r="BJ364" s="268">
        <f>IF(BG364,_xll.qDateYears(BG363,BG364,$BJ$13),0)</f>
        <v>0</v>
      </c>
      <c r="BK364" s="268">
        <f t="shared" si="90"/>
        <v>2183.1745733532407</v>
      </c>
      <c r="BQ364" s="526">
        <v>0</v>
      </c>
      <c r="BR364" s="151" t="str">
        <f t="shared" si="85"/>
        <v/>
      </c>
      <c r="BS364" s="386">
        <v>0</v>
      </c>
      <c r="BT364" s="268">
        <f>IF(BQ364,_xll.qDateYears(BQ363,BQ364,BT$13),0)</f>
        <v>0</v>
      </c>
      <c r="BU364" s="268">
        <f t="shared" si="91"/>
        <v>1738.6030924697341</v>
      </c>
      <c r="CC364" s="526">
        <v>0</v>
      </c>
      <c r="CD364" s="151" t="str">
        <f t="shared" si="86"/>
        <v/>
      </c>
      <c r="CE364" s="386">
        <v>0</v>
      </c>
      <c r="CF364" s="268">
        <f>IF(CC364,_xll.qDateYears(CC363,CC364,CF$13),0)</f>
        <v>0</v>
      </c>
      <c r="CG364" s="268">
        <f t="shared" si="92"/>
        <v>2312.0085517586949</v>
      </c>
      <c r="CO364" s="526">
        <v>0</v>
      </c>
      <c r="CP364" s="151" t="str">
        <f t="shared" si="87"/>
        <v/>
      </c>
      <c r="CQ364" s="386">
        <v>0</v>
      </c>
      <c r="CR364" s="268">
        <f>IF(CO364,_xll.qDateYears(CO363,CO364,CR$13),0)</f>
        <v>0</v>
      </c>
      <c r="CS364" s="268">
        <f t="shared" si="93"/>
        <v>2185.174943791465</v>
      </c>
      <c r="DA364" s="526">
        <v>0</v>
      </c>
      <c r="DB364" s="151" t="str">
        <f t="shared" si="88"/>
        <v/>
      </c>
      <c r="DC364" s="386">
        <v>0</v>
      </c>
      <c r="DD364" s="268">
        <f>IF(DA364,_xll.qDateYears(DA363,DA364,DD$13),0)</f>
        <v>0</v>
      </c>
      <c r="DE364" s="268">
        <f t="shared" si="94"/>
        <v>1616.1787110556011</v>
      </c>
      <c r="DM364" s="526">
        <v>0</v>
      </c>
      <c r="DN364" s="151" t="str">
        <f t="shared" si="89"/>
        <v/>
      </c>
      <c r="DO364" s="386">
        <v>0</v>
      </c>
      <c r="DP364" s="268">
        <f>IF(DM364,_xll.qDateYears(DM363,DM364,DP$13),0)</f>
        <v>0</v>
      </c>
      <c r="DQ364" s="268">
        <f t="shared" si="95"/>
        <v>2183.1745733532407</v>
      </c>
    </row>
    <row r="365" spans="59:121">
      <c r="BG365" s="526">
        <v>0</v>
      </c>
      <c r="BH365" s="150" t="str">
        <f t="shared" si="84"/>
        <v/>
      </c>
      <c r="BI365" s="386">
        <v>0</v>
      </c>
      <c r="BJ365" s="268">
        <f>IF(BG365,_xll.qDateYears(BG364,BG365,$BJ$13),0)</f>
        <v>0</v>
      </c>
      <c r="BK365" s="268">
        <f t="shared" si="90"/>
        <v>2183.1745733532407</v>
      </c>
      <c r="BQ365" s="526">
        <v>0</v>
      </c>
      <c r="BR365" s="151" t="str">
        <f t="shared" si="85"/>
        <v/>
      </c>
      <c r="BS365" s="386">
        <v>0</v>
      </c>
      <c r="BT365" s="268">
        <f>IF(BQ365,_xll.qDateYears(BQ364,BQ365,BT$13),0)</f>
        <v>0</v>
      </c>
      <c r="BU365" s="268">
        <f t="shared" si="91"/>
        <v>1738.6030924697341</v>
      </c>
      <c r="CC365" s="526">
        <v>0</v>
      </c>
      <c r="CD365" s="151" t="str">
        <f t="shared" si="86"/>
        <v/>
      </c>
      <c r="CE365" s="386">
        <v>0</v>
      </c>
      <c r="CF365" s="268">
        <f>IF(CC365,_xll.qDateYears(CC364,CC365,CF$13),0)</f>
        <v>0</v>
      </c>
      <c r="CG365" s="268">
        <f t="shared" si="92"/>
        <v>2312.0085517586949</v>
      </c>
      <c r="CO365" s="526">
        <v>0</v>
      </c>
      <c r="CP365" s="151" t="str">
        <f t="shared" si="87"/>
        <v/>
      </c>
      <c r="CQ365" s="386">
        <v>0</v>
      </c>
      <c r="CR365" s="268">
        <f>IF(CO365,_xll.qDateYears(CO364,CO365,CR$13),0)</f>
        <v>0</v>
      </c>
      <c r="CS365" s="268">
        <f t="shared" si="93"/>
        <v>2185.174943791465</v>
      </c>
      <c r="DA365" s="526">
        <v>0</v>
      </c>
      <c r="DB365" s="151" t="str">
        <f t="shared" si="88"/>
        <v/>
      </c>
      <c r="DC365" s="386">
        <v>0</v>
      </c>
      <c r="DD365" s="268">
        <f>IF(DA365,_xll.qDateYears(DA364,DA365,DD$13),0)</f>
        <v>0</v>
      </c>
      <c r="DE365" s="268">
        <f t="shared" si="94"/>
        <v>1616.1787110556011</v>
      </c>
      <c r="DM365" s="526">
        <v>0</v>
      </c>
      <c r="DN365" s="151" t="str">
        <f t="shared" si="89"/>
        <v/>
      </c>
      <c r="DO365" s="386">
        <v>0</v>
      </c>
      <c r="DP365" s="268">
        <f>IF(DM365,_xll.qDateYears(DM364,DM365,DP$13),0)</f>
        <v>0</v>
      </c>
      <c r="DQ365" s="268">
        <f t="shared" si="95"/>
        <v>2183.1745733532407</v>
      </c>
    </row>
    <row r="366" spans="59:121">
      <c r="BG366" s="526">
        <v>0</v>
      </c>
      <c r="BH366" s="150" t="str">
        <f t="shared" si="84"/>
        <v/>
      </c>
      <c r="BI366" s="386">
        <v>0</v>
      </c>
      <c r="BJ366" s="268">
        <f>IF(BG366,_xll.qDateYears(BG365,BG366,$BJ$13),0)</f>
        <v>0</v>
      </c>
      <c r="BK366" s="268">
        <f t="shared" si="90"/>
        <v>2183.1745733532407</v>
      </c>
      <c r="BQ366" s="526">
        <v>0</v>
      </c>
      <c r="BR366" s="151" t="str">
        <f t="shared" si="85"/>
        <v/>
      </c>
      <c r="BS366" s="386">
        <v>0</v>
      </c>
      <c r="BT366" s="268">
        <f>IF(BQ366,_xll.qDateYears(BQ365,BQ366,BT$13),0)</f>
        <v>0</v>
      </c>
      <c r="BU366" s="268">
        <f t="shared" si="91"/>
        <v>1738.6030924697341</v>
      </c>
      <c r="CC366" s="526">
        <v>0</v>
      </c>
      <c r="CD366" s="151" t="str">
        <f t="shared" si="86"/>
        <v/>
      </c>
      <c r="CE366" s="386">
        <v>0</v>
      </c>
      <c r="CF366" s="268">
        <f>IF(CC366,_xll.qDateYears(CC365,CC366,CF$13),0)</f>
        <v>0</v>
      </c>
      <c r="CG366" s="268">
        <f t="shared" si="92"/>
        <v>2312.0085517586949</v>
      </c>
      <c r="CO366" s="526">
        <v>0</v>
      </c>
      <c r="CP366" s="151" t="str">
        <f t="shared" si="87"/>
        <v/>
      </c>
      <c r="CQ366" s="386">
        <v>0</v>
      </c>
      <c r="CR366" s="268">
        <f>IF(CO366,_xll.qDateYears(CO365,CO366,CR$13),0)</f>
        <v>0</v>
      </c>
      <c r="CS366" s="268">
        <f t="shared" si="93"/>
        <v>2185.174943791465</v>
      </c>
      <c r="DA366" s="526">
        <v>0</v>
      </c>
      <c r="DB366" s="151" t="str">
        <f t="shared" si="88"/>
        <v/>
      </c>
      <c r="DC366" s="386">
        <v>0</v>
      </c>
      <c r="DD366" s="268">
        <f>IF(DA366,_xll.qDateYears(DA365,DA366,DD$13),0)</f>
        <v>0</v>
      </c>
      <c r="DE366" s="268">
        <f t="shared" si="94"/>
        <v>1616.1787110556011</v>
      </c>
      <c r="DM366" s="526">
        <v>0</v>
      </c>
      <c r="DN366" s="151" t="str">
        <f t="shared" si="89"/>
        <v/>
      </c>
      <c r="DO366" s="386">
        <v>0</v>
      </c>
      <c r="DP366" s="268">
        <f>IF(DM366,_xll.qDateYears(DM365,DM366,DP$13),0)</f>
        <v>0</v>
      </c>
      <c r="DQ366" s="268">
        <f t="shared" si="95"/>
        <v>2183.1745733532407</v>
      </c>
    </row>
    <row r="367" spans="59:121">
      <c r="BG367" s="526">
        <v>0</v>
      </c>
      <c r="BH367" s="150" t="str">
        <f t="shared" si="84"/>
        <v/>
      </c>
      <c r="BI367" s="386">
        <v>0</v>
      </c>
      <c r="BJ367" s="268">
        <f>IF(BG367,_xll.qDateYears(BG366,BG367,$BJ$13),0)</f>
        <v>0</v>
      </c>
      <c r="BK367" s="268">
        <f t="shared" si="90"/>
        <v>2183.1745733532407</v>
      </c>
      <c r="BQ367" s="526">
        <v>0</v>
      </c>
      <c r="BR367" s="151" t="str">
        <f t="shared" si="85"/>
        <v/>
      </c>
      <c r="BS367" s="386">
        <v>0</v>
      </c>
      <c r="BT367" s="268">
        <f>IF(BQ367,_xll.qDateYears(BQ366,BQ367,BT$13),0)</f>
        <v>0</v>
      </c>
      <c r="BU367" s="268">
        <f t="shared" si="91"/>
        <v>1738.6030924697341</v>
      </c>
      <c r="CC367" s="526">
        <v>0</v>
      </c>
      <c r="CD367" s="151" t="str">
        <f t="shared" si="86"/>
        <v/>
      </c>
      <c r="CE367" s="386">
        <v>0</v>
      </c>
      <c r="CF367" s="268">
        <f>IF(CC367,_xll.qDateYears(CC366,CC367,CF$13),0)</f>
        <v>0</v>
      </c>
      <c r="CG367" s="268">
        <f t="shared" si="92"/>
        <v>2312.0085517586949</v>
      </c>
      <c r="CO367" s="526">
        <v>0</v>
      </c>
      <c r="CP367" s="151" t="str">
        <f t="shared" si="87"/>
        <v/>
      </c>
      <c r="CQ367" s="386">
        <v>0</v>
      </c>
      <c r="CR367" s="268">
        <f>IF(CO367,_xll.qDateYears(CO366,CO367,CR$13),0)</f>
        <v>0</v>
      </c>
      <c r="CS367" s="268">
        <f t="shared" si="93"/>
        <v>2185.174943791465</v>
      </c>
      <c r="DA367" s="526">
        <v>0</v>
      </c>
      <c r="DB367" s="151" t="str">
        <f t="shared" si="88"/>
        <v/>
      </c>
      <c r="DC367" s="386">
        <v>0</v>
      </c>
      <c r="DD367" s="268">
        <f>IF(DA367,_xll.qDateYears(DA366,DA367,DD$13),0)</f>
        <v>0</v>
      </c>
      <c r="DE367" s="268">
        <f t="shared" si="94"/>
        <v>1616.1787110556011</v>
      </c>
      <c r="DM367" s="526">
        <v>0</v>
      </c>
      <c r="DN367" s="151" t="str">
        <f t="shared" si="89"/>
        <v/>
      </c>
      <c r="DO367" s="386">
        <v>0</v>
      </c>
      <c r="DP367" s="268">
        <f>IF(DM367,_xll.qDateYears(DM366,DM367,DP$13),0)</f>
        <v>0</v>
      </c>
      <c r="DQ367" s="268">
        <f t="shared" si="95"/>
        <v>2183.1745733532407</v>
      </c>
    </row>
    <row r="368" spans="59:121">
      <c r="BG368" s="526">
        <v>0</v>
      </c>
      <c r="BH368" s="150" t="str">
        <f t="shared" si="84"/>
        <v/>
      </c>
      <c r="BI368" s="386">
        <v>0</v>
      </c>
      <c r="BJ368" s="268">
        <f>IF(BG368,_xll.qDateYears(BG367,BG368,$BJ$13),0)</f>
        <v>0</v>
      </c>
      <c r="BK368" s="268">
        <f t="shared" si="90"/>
        <v>2183.1745733532407</v>
      </c>
      <c r="BQ368" s="526">
        <v>0</v>
      </c>
      <c r="BR368" s="151" t="str">
        <f t="shared" si="85"/>
        <v/>
      </c>
      <c r="BS368" s="386">
        <v>0</v>
      </c>
      <c r="BT368" s="268">
        <f>IF(BQ368,_xll.qDateYears(BQ367,BQ368,BT$13),0)</f>
        <v>0</v>
      </c>
      <c r="BU368" s="268">
        <f t="shared" si="91"/>
        <v>1738.6030924697341</v>
      </c>
      <c r="CC368" s="526">
        <v>0</v>
      </c>
      <c r="CD368" s="151" t="str">
        <f t="shared" si="86"/>
        <v/>
      </c>
      <c r="CE368" s="386">
        <v>0</v>
      </c>
      <c r="CF368" s="268">
        <f>IF(CC368,_xll.qDateYears(CC367,CC368,CF$13),0)</f>
        <v>0</v>
      </c>
      <c r="CG368" s="268">
        <f t="shared" si="92"/>
        <v>2312.0085517586949</v>
      </c>
      <c r="CO368" s="526">
        <v>0</v>
      </c>
      <c r="CP368" s="151" t="str">
        <f t="shared" si="87"/>
        <v/>
      </c>
      <c r="CQ368" s="386">
        <v>0</v>
      </c>
      <c r="CR368" s="268">
        <f>IF(CO368,_xll.qDateYears(CO367,CO368,CR$13),0)</f>
        <v>0</v>
      </c>
      <c r="CS368" s="268">
        <f t="shared" si="93"/>
        <v>2185.174943791465</v>
      </c>
      <c r="DA368" s="526">
        <v>0</v>
      </c>
      <c r="DB368" s="151" t="str">
        <f t="shared" si="88"/>
        <v/>
      </c>
      <c r="DC368" s="386">
        <v>0</v>
      </c>
      <c r="DD368" s="268">
        <f>IF(DA368,_xll.qDateYears(DA367,DA368,DD$13),0)</f>
        <v>0</v>
      </c>
      <c r="DE368" s="268">
        <f t="shared" si="94"/>
        <v>1616.1787110556011</v>
      </c>
      <c r="DM368" s="526">
        <v>0</v>
      </c>
      <c r="DN368" s="151" t="str">
        <f t="shared" si="89"/>
        <v/>
      </c>
      <c r="DO368" s="386">
        <v>0</v>
      </c>
      <c r="DP368" s="268">
        <f>IF(DM368,_xll.qDateYears(DM367,DM368,DP$13),0)</f>
        <v>0</v>
      </c>
      <c r="DQ368" s="268">
        <f t="shared" si="95"/>
        <v>2183.1745733532407</v>
      </c>
    </row>
    <row r="369" spans="59:121">
      <c r="BG369" s="526">
        <v>0</v>
      </c>
      <c r="BH369" s="150" t="str">
        <f t="shared" si="84"/>
        <v/>
      </c>
      <c r="BI369" s="386">
        <v>0</v>
      </c>
      <c r="BJ369" s="268">
        <f>IF(BG369,_xll.qDateYears(BG368,BG369,$BJ$13),0)</f>
        <v>0</v>
      </c>
      <c r="BK369" s="268">
        <f t="shared" si="90"/>
        <v>2183.1745733532407</v>
      </c>
      <c r="BQ369" s="526">
        <v>0</v>
      </c>
      <c r="BR369" s="151" t="str">
        <f t="shared" si="85"/>
        <v/>
      </c>
      <c r="BS369" s="386">
        <v>0</v>
      </c>
      <c r="BT369" s="268">
        <f>IF(BQ369,_xll.qDateYears(BQ368,BQ369,BT$13),0)</f>
        <v>0</v>
      </c>
      <c r="BU369" s="268">
        <f t="shared" si="91"/>
        <v>1738.6030924697341</v>
      </c>
      <c r="CC369" s="526">
        <v>0</v>
      </c>
      <c r="CD369" s="151" t="str">
        <f t="shared" si="86"/>
        <v/>
      </c>
      <c r="CE369" s="386">
        <v>0</v>
      </c>
      <c r="CF369" s="268">
        <f>IF(CC369,_xll.qDateYears(CC368,CC369,CF$13),0)</f>
        <v>0</v>
      </c>
      <c r="CG369" s="268">
        <f t="shared" si="92"/>
        <v>2312.0085517586949</v>
      </c>
      <c r="CO369" s="526">
        <v>0</v>
      </c>
      <c r="CP369" s="151" t="str">
        <f t="shared" si="87"/>
        <v/>
      </c>
      <c r="CQ369" s="386">
        <v>0</v>
      </c>
      <c r="CR369" s="268">
        <f>IF(CO369,_xll.qDateYears(CO368,CO369,CR$13),0)</f>
        <v>0</v>
      </c>
      <c r="CS369" s="268">
        <f t="shared" si="93"/>
        <v>2185.174943791465</v>
      </c>
      <c r="DA369" s="526">
        <v>0</v>
      </c>
      <c r="DB369" s="151" t="str">
        <f t="shared" si="88"/>
        <v/>
      </c>
      <c r="DC369" s="386">
        <v>0</v>
      </c>
      <c r="DD369" s="268">
        <f>IF(DA369,_xll.qDateYears(DA368,DA369,DD$13),0)</f>
        <v>0</v>
      </c>
      <c r="DE369" s="268">
        <f t="shared" si="94"/>
        <v>1616.1787110556011</v>
      </c>
      <c r="DM369" s="526">
        <v>0</v>
      </c>
      <c r="DN369" s="151" t="str">
        <f t="shared" si="89"/>
        <v/>
      </c>
      <c r="DO369" s="386">
        <v>0</v>
      </c>
      <c r="DP369" s="268">
        <f>IF(DM369,_xll.qDateYears(DM368,DM369,DP$13),0)</f>
        <v>0</v>
      </c>
      <c r="DQ369" s="268">
        <f t="shared" si="95"/>
        <v>2183.1745733532407</v>
      </c>
    </row>
    <row r="370" spans="59:121">
      <c r="BG370" s="526">
        <v>0</v>
      </c>
      <c r="BH370" s="150" t="str">
        <f t="shared" si="84"/>
        <v/>
      </c>
      <c r="BI370" s="386">
        <v>0</v>
      </c>
      <c r="BJ370" s="268">
        <f>IF(BG370,_xll.qDateYears(BG369,BG370,$BJ$13),0)</f>
        <v>0</v>
      </c>
      <c r="BK370" s="268">
        <f t="shared" si="90"/>
        <v>2183.1745733532407</v>
      </c>
      <c r="BQ370" s="526">
        <v>0</v>
      </c>
      <c r="BR370" s="151" t="str">
        <f t="shared" si="85"/>
        <v/>
      </c>
      <c r="BS370" s="386">
        <v>0</v>
      </c>
      <c r="BT370" s="268">
        <f>IF(BQ370,_xll.qDateYears(BQ369,BQ370,BT$13),0)</f>
        <v>0</v>
      </c>
      <c r="BU370" s="268">
        <f t="shared" si="91"/>
        <v>1738.6030924697341</v>
      </c>
      <c r="CC370" s="526">
        <v>0</v>
      </c>
      <c r="CD370" s="151" t="str">
        <f t="shared" si="86"/>
        <v/>
      </c>
      <c r="CE370" s="386">
        <v>0</v>
      </c>
      <c r="CF370" s="268">
        <f>IF(CC370,_xll.qDateYears(CC369,CC370,CF$13),0)</f>
        <v>0</v>
      </c>
      <c r="CG370" s="268">
        <f t="shared" si="92"/>
        <v>2312.0085517586949</v>
      </c>
      <c r="CO370" s="526">
        <v>0</v>
      </c>
      <c r="CP370" s="151" t="str">
        <f t="shared" si="87"/>
        <v/>
      </c>
      <c r="CQ370" s="386">
        <v>0</v>
      </c>
      <c r="CR370" s="268">
        <f>IF(CO370,_xll.qDateYears(CO369,CO370,CR$13),0)</f>
        <v>0</v>
      </c>
      <c r="CS370" s="268">
        <f t="shared" si="93"/>
        <v>2185.174943791465</v>
      </c>
      <c r="DA370" s="526">
        <v>0</v>
      </c>
      <c r="DB370" s="151" t="str">
        <f t="shared" si="88"/>
        <v/>
      </c>
      <c r="DC370" s="386">
        <v>0</v>
      </c>
      <c r="DD370" s="268">
        <f>IF(DA370,_xll.qDateYears(DA369,DA370,DD$13),0)</f>
        <v>0</v>
      </c>
      <c r="DE370" s="268">
        <f t="shared" si="94"/>
        <v>1616.1787110556011</v>
      </c>
      <c r="DM370" s="526">
        <v>0</v>
      </c>
      <c r="DN370" s="151" t="str">
        <f t="shared" si="89"/>
        <v/>
      </c>
      <c r="DO370" s="386">
        <v>0</v>
      </c>
      <c r="DP370" s="268">
        <f>IF(DM370,_xll.qDateYears(DM369,DM370,DP$13),0)</f>
        <v>0</v>
      </c>
      <c r="DQ370" s="268">
        <f t="shared" si="95"/>
        <v>2183.1745733532407</v>
      </c>
    </row>
    <row r="371" spans="59:121">
      <c r="BG371" s="526">
        <v>0</v>
      </c>
      <c r="BH371" s="150" t="str">
        <f t="shared" si="84"/>
        <v/>
      </c>
      <c r="BI371" s="386">
        <v>0</v>
      </c>
      <c r="BJ371" s="268">
        <f>IF(BG371,_xll.qDateYears(BG370,BG371,$BJ$13),0)</f>
        <v>0</v>
      </c>
      <c r="BK371" s="268">
        <f t="shared" si="90"/>
        <v>2183.1745733532407</v>
      </c>
      <c r="BQ371" s="526">
        <v>0</v>
      </c>
      <c r="BR371" s="151" t="str">
        <f t="shared" si="85"/>
        <v/>
      </c>
      <c r="BS371" s="386">
        <v>0</v>
      </c>
      <c r="BT371" s="268">
        <f>IF(BQ371,_xll.qDateYears(BQ370,BQ371,BT$13),0)</f>
        <v>0</v>
      </c>
      <c r="BU371" s="268">
        <f t="shared" si="91"/>
        <v>1738.6030924697341</v>
      </c>
      <c r="CC371" s="526">
        <v>0</v>
      </c>
      <c r="CD371" s="151" t="str">
        <f t="shared" si="86"/>
        <v/>
      </c>
      <c r="CE371" s="386">
        <v>0</v>
      </c>
      <c r="CF371" s="268">
        <f>IF(CC371,_xll.qDateYears(CC370,CC371,CF$13),0)</f>
        <v>0</v>
      </c>
      <c r="CG371" s="268">
        <f t="shared" si="92"/>
        <v>2312.0085517586949</v>
      </c>
      <c r="CO371" s="526">
        <v>0</v>
      </c>
      <c r="CP371" s="151" t="str">
        <f t="shared" si="87"/>
        <v/>
      </c>
      <c r="CQ371" s="386">
        <v>0</v>
      </c>
      <c r="CR371" s="268">
        <f>IF(CO371,_xll.qDateYears(CO370,CO371,CR$13),0)</f>
        <v>0</v>
      </c>
      <c r="CS371" s="268">
        <f t="shared" si="93"/>
        <v>2185.174943791465</v>
      </c>
      <c r="DA371" s="526">
        <v>0</v>
      </c>
      <c r="DB371" s="151" t="str">
        <f t="shared" si="88"/>
        <v/>
      </c>
      <c r="DC371" s="386">
        <v>0</v>
      </c>
      <c r="DD371" s="268">
        <f>IF(DA371,_xll.qDateYears(DA370,DA371,DD$13),0)</f>
        <v>0</v>
      </c>
      <c r="DE371" s="268">
        <f t="shared" si="94"/>
        <v>1616.1787110556011</v>
      </c>
      <c r="DM371" s="526">
        <v>0</v>
      </c>
      <c r="DN371" s="151" t="str">
        <f t="shared" si="89"/>
        <v/>
      </c>
      <c r="DO371" s="386">
        <v>0</v>
      </c>
      <c r="DP371" s="268">
        <f>IF(DM371,_xll.qDateYears(DM370,DM371,DP$13),0)</f>
        <v>0</v>
      </c>
      <c r="DQ371" s="268">
        <f t="shared" si="95"/>
        <v>2183.1745733532407</v>
      </c>
    </row>
    <row r="372" spans="59:121">
      <c r="BG372" s="526">
        <v>0</v>
      </c>
      <c r="BH372" s="150" t="str">
        <f t="shared" si="84"/>
        <v/>
      </c>
      <c r="BI372" s="386">
        <v>0</v>
      </c>
      <c r="BJ372" s="268">
        <f>IF(BG372,_xll.qDateYears(BG371,BG372,$BJ$13),0)</f>
        <v>0</v>
      </c>
      <c r="BK372" s="268">
        <f t="shared" si="90"/>
        <v>2183.1745733532407</v>
      </c>
      <c r="BQ372" s="526">
        <v>0</v>
      </c>
      <c r="BR372" s="151" t="str">
        <f t="shared" si="85"/>
        <v/>
      </c>
      <c r="BS372" s="386">
        <v>0</v>
      </c>
      <c r="BT372" s="268">
        <f>IF(BQ372,_xll.qDateYears(BQ371,BQ372,BT$13),0)</f>
        <v>0</v>
      </c>
      <c r="BU372" s="268">
        <f t="shared" si="91"/>
        <v>1738.6030924697341</v>
      </c>
      <c r="CC372" s="526">
        <v>0</v>
      </c>
      <c r="CD372" s="151" t="str">
        <f t="shared" si="86"/>
        <v/>
      </c>
      <c r="CE372" s="386">
        <v>0</v>
      </c>
      <c r="CF372" s="268">
        <f>IF(CC372,_xll.qDateYears(CC371,CC372,CF$13),0)</f>
        <v>0</v>
      </c>
      <c r="CG372" s="268">
        <f t="shared" si="92"/>
        <v>2312.0085517586949</v>
      </c>
      <c r="CO372" s="526">
        <v>0</v>
      </c>
      <c r="CP372" s="151" t="str">
        <f t="shared" si="87"/>
        <v/>
      </c>
      <c r="CQ372" s="386">
        <v>0</v>
      </c>
      <c r="CR372" s="268">
        <f>IF(CO372,_xll.qDateYears(CO371,CO372,CR$13),0)</f>
        <v>0</v>
      </c>
      <c r="CS372" s="268">
        <f t="shared" si="93"/>
        <v>2185.174943791465</v>
      </c>
      <c r="DA372" s="526">
        <v>0</v>
      </c>
      <c r="DB372" s="151" t="str">
        <f t="shared" si="88"/>
        <v/>
      </c>
      <c r="DC372" s="386">
        <v>0</v>
      </c>
      <c r="DD372" s="268">
        <f>IF(DA372,_xll.qDateYears(DA371,DA372,DD$13),0)</f>
        <v>0</v>
      </c>
      <c r="DE372" s="268">
        <f t="shared" si="94"/>
        <v>1616.1787110556011</v>
      </c>
      <c r="DM372" s="526">
        <v>0</v>
      </c>
      <c r="DN372" s="151" t="str">
        <f t="shared" si="89"/>
        <v/>
      </c>
      <c r="DO372" s="386">
        <v>0</v>
      </c>
      <c r="DP372" s="268">
        <f>IF(DM372,_xll.qDateYears(DM371,DM372,DP$13),0)</f>
        <v>0</v>
      </c>
      <c r="DQ372" s="268">
        <f t="shared" si="95"/>
        <v>2183.1745733532407</v>
      </c>
    </row>
    <row r="373" spans="59:121">
      <c r="BG373" s="526">
        <v>0</v>
      </c>
      <c r="BH373" s="150" t="str">
        <f t="shared" si="84"/>
        <v/>
      </c>
      <c r="BI373" s="386">
        <v>0</v>
      </c>
      <c r="BJ373" s="268">
        <f>IF(BG373,_xll.qDateYears(BG372,BG373,$BJ$13),0)</f>
        <v>0</v>
      </c>
      <c r="BK373" s="268">
        <f t="shared" si="90"/>
        <v>2183.1745733532407</v>
      </c>
      <c r="BQ373" s="526">
        <v>0</v>
      </c>
      <c r="BR373" s="151" t="str">
        <f t="shared" si="85"/>
        <v/>
      </c>
      <c r="BS373" s="386">
        <v>0</v>
      </c>
      <c r="BT373" s="268">
        <f>IF(BQ373,_xll.qDateYears(BQ372,BQ373,BT$13),0)</f>
        <v>0</v>
      </c>
      <c r="BU373" s="268">
        <f t="shared" si="91"/>
        <v>1738.6030924697341</v>
      </c>
      <c r="CC373" s="526">
        <v>0</v>
      </c>
      <c r="CD373" s="151" t="str">
        <f t="shared" si="86"/>
        <v/>
      </c>
      <c r="CE373" s="386">
        <v>0</v>
      </c>
      <c r="CF373" s="268">
        <f>IF(CC373,_xll.qDateYears(CC372,CC373,CF$13),0)</f>
        <v>0</v>
      </c>
      <c r="CG373" s="268">
        <f t="shared" si="92"/>
        <v>2312.0085517586949</v>
      </c>
      <c r="CO373" s="526">
        <v>0</v>
      </c>
      <c r="CP373" s="151" t="str">
        <f t="shared" si="87"/>
        <v/>
      </c>
      <c r="CQ373" s="386">
        <v>0</v>
      </c>
      <c r="CR373" s="268">
        <f>IF(CO373,_xll.qDateYears(CO372,CO373,CR$13),0)</f>
        <v>0</v>
      </c>
      <c r="CS373" s="268">
        <f t="shared" si="93"/>
        <v>2185.174943791465</v>
      </c>
      <c r="DA373" s="526">
        <v>0</v>
      </c>
      <c r="DB373" s="151" t="str">
        <f t="shared" si="88"/>
        <v/>
      </c>
      <c r="DC373" s="386">
        <v>0</v>
      </c>
      <c r="DD373" s="268">
        <f>IF(DA373,_xll.qDateYears(DA372,DA373,DD$13),0)</f>
        <v>0</v>
      </c>
      <c r="DE373" s="268">
        <f t="shared" si="94"/>
        <v>1616.1787110556011</v>
      </c>
      <c r="DM373" s="526">
        <v>0</v>
      </c>
      <c r="DN373" s="151" t="str">
        <f t="shared" si="89"/>
        <v/>
      </c>
      <c r="DO373" s="386">
        <v>0</v>
      </c>
      <c r="DP373" s="268">
        <f>IF(DM373,_xll.qDateYears(DM372,DM373,DP$13),0)</f>
        <v>0</v>
      </c>
      <c r="DQ373" s="268">
        <f t="shared" si="95"/>
        <v>2183.1745733532407</v>
      </c>
    </row>
    <row r="374" spans="59:121">
      <c r="BG374" s="526">
        <v>0</v>
      </c>
      <c r="BH374" s="150" t="str">
        <f t="shared" si="84"/>
        <v/>
      </c>
      <c r="BI374" s="386">
        <v>0</v>
      </c>
      <c r="BJ374" s="268">
        <f>IF(BG374,_xll.qDateYears(BG373,BG374,$BJ$13),0)</f>
        <v>0</v>
      </c>
      <c r="BK374" s="268">
        <f t="shared" si="90"/>
        <v>2183.1745733532407</v>
      </c>
      <c r="BQ374" s="526">
        <v>0</v>
      </c>
      <c r="BR374" s="151" t="str">
        <f t="shared" si="85"/>
        <v/>
      </c>
      <c r="BS374" s="386">
        <v>0</v>
      </c>
      <c r="BT374" s="268">
        <f>IF(BQ374,_xll.qDateYears(BQ373,BQ374,BT$13),0)</f>
        <v>0</v>
      </c>
      <c r="BU374" s="268">
        <f t="shared" si="91"/>
        <v>1738.6030924697341</v>
      </c>
      <c r="CC374" s="526">
        <v>0</v>
      </c>
      <c r="CD374" s="151" t="str">
        <f t="shared" si="86"/>
        <v/>
      </c>
      <c r="CE374" s="386">
        <v>0</v>
      </c>
      <c r="CF374" s="268">
        <f>IF(CC374,_xll.qDateYears(CC373,CC374,CF$13),0)</f>
        <v>0</v>
      </c>
      <c r="CG374" s="268">
        <f t="shared" si="92"/>
        <v>2312.0085517586949</v>
      </c>
      <c r="CO374" s="526">
        <v>0</v>
      </c>
      <c r="CP374" s="151" t="str">
        <f t="shared" si="87"/>
        <v/>
      </c>
      <c r="CQ374" s="386">
        <v>0</v>
      </c>
      <c r="CR374" s="268">
        <f>IF(CO374,_xll.qDateYears(CO373,CO374,CR$13),0)</f>
        <v>0</v>
      </c>
      <c r="CS374" s="268">
        <f t="shared" si="93"/>
        <v>2185.174943791465</v>
      </c>
      <c r="DA374" s="526">
        <v>0</v>
      </c>
      <c r="DB374" s="151" t="str">
        <f t="shared" si="88"/>
        <v/>
      </c>
      <c r="DC374" s="386">
        <v>0</v>
      </c>
      <c r="DD374" s="268">
        <f>IF(DA374,_xll.qDateYears(DA373,DA374,DD$13),0)</f>
        <v>0</v>
      </c>
      <c r="DE374" s="268">
        <f t="shared" si="94"/>
        <v>1616.1787110556011</v>
      </c>
      <c r="DM374" s="526">
        <v>0</v>
      </c>
      <c r="DN374" s="151" t="str">
        <f t="shared" si="89"/>
        <v/>
      </c>
      <c r="DO374" s="386">
        <v>0</v>
      </c>
      <c r="DP374" s="268">
        <f>IF(DM374,_xll.qDateYears(DM373,DM374,DP$13),0)</f>
        <v>0</v>
      </c>
      <c r="DQ374" s="268">
        <f t="shared" si="95"/>
        <v>2183.1745733532407</v>
      </c>
    </row>
    <row r="375" spans="59:121">
      <c r="BG375" s="526">
        <v>0</v>
      </c>
      <c r="BH375" s="150" t="str">
        <f t="shared" si="84"/>
        <v/>
      </c>
      <c r="BI375" s="386">
        <v>0</v>
      </c>
      <c r="BJ375" s="268">
        <f>IF(BG375,_xll.qDateYears(BG374,BG375,$BJ$13),0)</f>
        <v>0</v>
      </c>
      <c r="BK375" s="268">
        <f t="shared" si="90"/>
        <v>2183.1745733532407</v>
      </c>
      <c r="BQ375" s="526">
        <v>0</v>
      </c>
      <c r="BR375" s="151" t="str">
        <f t="shared" si="85"/>
        <v/>
      </c>
      <c r="BS375" s="386">
        <v>0</v>
      </c>
      <c r="BT375" s="268">
        <f>IF(BQ375,_xll.qDateYears(BQ374,BQ375,BT$13),0)</f>
        <v>0</v>
      </c>
      <c r="BU375" s="268">
        <f t="shared" si="91"/>
        <v>1738.6030924697341</v>
      </c>
      <c r="CC375" s="526">
        <v>0</v>
      </c>
      <c r="CD375" s="151" t="str">
        <f t="shared" si="86"/>
        <v/>
      </c>
      <c r="CE375" s="386">
        <v>0</v>
      </c>
      <c r="CF375" s="268">
        <f>IF(CC375,_xll.qDateYears(CC374,CC375,CF$13),0)</f>
        <v>0</v>
      </c>
      <c r="CG375" s="268">
        <f t="shared" si="92"/>
        <v>2312.0085517586949</v>
      </c>
      <c r="CO375" s="526">
        <v>0</v>
      </c>
      <c r="CP375" s="151" t="str">
        <f t="shared" si="87"/>
        <v/>
      </c>
      <c r="CQ375" s="386">
        <v>0</v>
      </c>
      <c r="CR375" s="268">
        <f>IF(CO375,_xll.qDateYears(CO374,CO375,CR$13),0)</f>
        <v>0</v>
      </c>
      <c r="CS375" s="268">
        <f t="shared" si="93"/>
        <v>2185.174943791465</v>
      </c>
      <c r="DA375" s="526">
        <v>0</v>
      </c>
      <c r="DB375" s="151" t="str">
        <f t="shared" si="88"/>
        <v/>
      </c>
      <c r="DC375" s="386">
        <v>0</v>
      </c>
      <c r="DD375" s="268">
        <f>IF(DA375,_xll.qDateYears(DA374,DA375,DD$13),0)</f>
        <v>0</v>
      </c>
      <c r="DE375" s="268">
        <f t="shared" si="94"/>
        <v>1616.1787110556011</v>
      </c>
      <c r="DM375" s="526">
        <v>0</v>
      </c>
      <c r="DN375" s="151" t="str">
        <f t="shared" si="89"/>
        <v/>
      </c>
      <c r="DO375" s="386">
        <v>0</v>
      </c>
      <c r="DP375" s="268">
        <f>IF(DM375,_xll.qDateYears(DM374,DM375,DP$13),0)</f>
        <v>0</v>
      </c>
      <c r="DQ375" s="268">
        <f t="shared" si="95"/>
        <v>2183.1745733532407</v>
      </c>
    </row>
    <row r="376" spans="59:121">
      <c r="BG376" s="526">
        <v>0</v>
      </c>
      <c r="BH376" s="150" t="str">
        <f t="shared" si="84"/>
        <v/>
      </c>
      <c r="BI376" s="386">
        <v>0</v>
      </c>
      <c r="BJ376" s="268">
        <f>IF(BG376,_xll.qDateYears(BG375,BG376,$BJ$13),0)</f>
        <v>0</v>
      </c>
      <c r="BK376" s="268">
        <f t="shared" si="90"/>
        <v>2183.1745733532407</v>
      </c>
      <c r="BQ376" s="526">
        <v>0</v>
      </c>
      <c r="BR376" s="151" t="str">
        <f t="shared" si="85"/>
        <v/>
      </c>
      <c r="BS376" s="386">
        <v>0</v>
      </c>
      <c r="BT376" s="268">
        <f>IF(BQ376,_xll.qDateYears(BQ375,BQ376,BT$13),0)</f>
        <v>0</v>
      </c>
      <c r="BU376" s="268">
        <f t="shared" si="91"/>
        <v>1738.6030924697341</v>
      </c>
      <c r="CC376" s="526">
        <v>0</v>
      </c>
      <c r="CD376" s="151" t="str">
        <f t="shared" si="86"/>
        <v/>
      </c>
      <c r="CE376" s="386">
        <v>0</v>
      </c>
      <c r="CF376" s="268">
        <f>IF(CC376,_xll.qDateYears(CC375,CC376,CF$13),0)</f>
        <v>0</v>
      </c>
      <c r="CG376" s="268">
        <f t="shared" si="92"/>
        <v>2312.0085517586949</v>
      </c>
      <c r="CO376" s="526">
        <v>0</v>
      </c>
      <c r="CP376" s="151" t="str">
        <f t="shared" si="87"/>
        <v/>
      </c>
      <c r="CQ376" s="386">
        <v>0</v>
      </c>
      <c r="CR376" s="268">
        <f>IF(CO376,_xll.qDateYears(CO375,CO376,CR$13),0)</f>
        <v>0</v>
      </c>
      <c r="CS376" s="268">
        <f t="shared" si="93"/>
        <v>2185.174943791465</v>
      </c>
      <c r="DA376" s="526">
        <v>0</v>
      </c>
      <c r="DB376" s="151" t="str">
        <f t="shared" si="88"/>
        <v/>
      </c>
      <c r="DC376" s="386">
        <v>0</v>
      </c>
      <c r="DD376" s="268">
        <f>IF(DA376,_xll.qDateYears(DA375,DA376,DD$13),0)</f>
        <v>0</v>
      </c>
      <c r="DE376" s="268">
        <f t="shared" si="94"/>
        <v>1616.1787110556011</v>
      </c>
      <c r="DM376" s="526">
        <v>0</v>
      </c>
      <c r="DN376" s="151" t="str">
        <f t="shared" si="89"/>
        <v/>
      </c>
      <c r="DO376" s="386">
        <v>0</v>
      </c>
      <c r="DP376" s="268">
        <f>IF(DM376,_xll.qDateYears(DM375,DM376,DP$13),0)</f>
        <v>0</v>
      </c>
      <c r="DQ376" s="268">
        <f t="shared" si="95"/>
        <v>2183.1745733532407</v>
      </c>
    </row>
    <row r="377" spans="59:121">
      <c r="BG377" s="526">
        <v>0</v>
      </c>
      <c r="BH377" s="150" t="str">
        <f t="shared" si="84"/>
        <v/>
      </c>
      <c r="BI377" s="386">
        <v>0</v>
      </c>
      <c r="BJ377" s="268">
        <f>IF(BG377,_xll.qDateYears(BG376,BG377,$BJ$13),0)</f>
        <v>0</v>
      </c>
      <c r="BK377" s="268">
        <f t="shared" si="90"/>
        <v>2183.1745733532407</v>
      </c>
      <c r="BQ377" s="526">
        <v>0</v>
      </c>
      <c r="BR377" s="151" t="str">
        <f t="shared" si="85"/>
        <v/>
      </c>
      <c r="BS377" s="386">
        <v>0</v>
      </c>
      <c r="BT377" s="268">
        <f>IF(BQ377,_xll.qDateYears(BQ376,BQ377,BT$13),0)</f>
        <v>0</v>
      </c>
      <c r="BU377" s="268">
        <f t="shared" si="91"/>
        <v>1738.6030924697341</v>
      </c>
      <c r="CC377" s="526">
        <v>0</v>
      </c>
      <c r="CD377" s="151" t="str">
        <f t="shared" si="86"/>
        <v/>
      </c>
      <c r="CE377" s="386">
        <v>0</v>
      </c>
      <c r="CF377" s="268">
        <f>IF(CC377,_xll.qDateYears(CC376,CC377,CF$13),0)</f>
        <v>0</v>
      </c>
      <c r="CG377" s="268">
        <f t="shared" si="92"/>
        <v>2312.0085517586949</v>
      </c>
      <c r="CO377" s="526">
        <v>0</v>
      </c>
      <c r="CP377" s="151" t="str">
        <f t="shared" si="87"/>
        <v/>
      </c>
      <c r="CQ377" s="386">
        <v>0</v>
      </c>
      <c r="CR377" s="268">
        <f>IF(CO377,_xll.qDateYears(CO376,CO377,CR$13),0)</f>
        <v>0</v>
      </c>
      <c r="CS377" s="268">
        <f t="shared" si="93"/>
        <v>2185.174943791465</v>
      </c>
      <c r="DA377" s="526">
        <v>0</v>
      </c>
      <c r="DB377" s="151" t="str">
        <f t="shared" si="88"/>
        <v/>
      </c>
      <c r="DC377" s="386">
        <v>0</v>
      </c>
      <c r="DD377" s="268">
        <f>IF(DA377,_xll.qDateYears(DA376,DA377,DD$13),0)</f>
        <v>0</v>
      </c>
      <c r="DE377" s="268">
        <f t="shared" si="94"/>
        <v>1616.1787110556011</v>
      </c>
      <c r="DM377" s="526">
        <v>0</v>
      </c>
      <c r="DN377" s="151" t="str">
        <f t="shared" si="89"/>
        <v/>
      </c>
      <c r="DO377" s="386">
        <v>0</v>
      </c>
      <c r="DP377" s="268">
        <f>IF(DM377,_xll.qDateYears(DM376,DM377,DP$13),0)</f>
        <v>0</v>
      </c>
      <c r="DQ377" s="268">
        <f t="shared" si="95"/>
        <v>2183.1745733532407</v>
      </c>
    </row>
    <row r="378" spans="59:121">
      <c r="BG378" s="526">
        <v>0</v>
      </c>
      <c r="BH378" s="150" t="str">
        <f t="shared" si="84"/>
        <v/>
      </c>
      <c r="BI378" s="386">
        <v>0</v>
      </c>
      <c r="BJ378" s="268">
        <f>IF(BG378,_xll.qDateYears(BG377,BG378,$BJ$13),0)</f>
        <v>0</v>
      </c>
      <c r="BK378" s="268">
        <f t="shared" si="90"/>
        <v>2183.1745733532407</v>
      </c>
      <c r="BQ378" s="526">
        <v>0</v>
      </c>
      <c r="BR378" s="151" t="str">
        <f t="shared" si="85"/>
        <v/>
      </c>
      <c r="BS378" s="386">
        <v>0</v>
      </c>
      <c r="BT378" s="268">
        <f>IF(BQ378,_xll.qDateYears(BQ377,BQ378,BT$13),0)</f>
        <v>0</v>
      </c>
      <c r="BU378" s="268">
        <f t="shared" si="91"/>
        <v>1738.6030924697341</v>
      </c>
      <c r="CC378" s="526">
        <v>0</v>
      </c>
      <c r="CD378" s="151" t="str">
        <f t="shared" si="86"/>
        <v/>
      </c>
      <c r="CE378" s="386">
        <v>0</v>
      </c>
      <c r="CF378" s="268">
        <f>IF(CC378,_xll.qDateYears(CC377,CC378,CF$13),0)</f>
        <v>0</v>
      </c>
      <c r="CG378" s="268">
        <f t="shared" si="92"/>
        <v>2312.0085517586949</v>
      </c>
      <c r="CO378" s="526">
        <v>0</v>
      </c>
      <c r="CP378" s="151" t="str">
        <f t="shared" si="87"/>
        <v/>
      </c>
      <c r="CQ378" s="386">
        <v>0</v>
      </c>
      <c r="CR378" s="268">
        <f>IF(CO378,_xll.qDateYears(CO377,CO378,CR$13),0)</f>
        <v>0</v>
      </c>
      <c r="CS378" s="268">
        <f t="shared" si="93"/>
        <v>2185.174943791465</v>
      </c>
      <c r="DA378" s="526">
        <v>0</v>
      </c>
      <c r="DB378" s="151" t="str">
        <f t="shared" si="88"/>
        <v/>
      </c>
      <c r="DC378" s="386">
        <v>0</v>
      </c>
      <c r="DD378" s="268">
        <f>IF(DA378,_xll.qDateYears(DA377,DA378,DD$13),0)</f>
        <v>0</v>
      </c>
      <c r="DE378" s="268">
        <f t="shared" si="94"/>
        <v>1616.1787110556011</v>
      </c>
      <c r="DM378" s="526">
        <v>0</v>
      </c>
      <c r="DN378" s="151" t="str">
        <f t="shared" si="89"/>
        <v/>
      </c>
      <c r="DO378" s="386">
        <v>0</v>
      </c>
      <c r="DP378" s="268">
        <f>IF(DM378,_xll.qDateYears(DM377,DM378,DP$13),0)</f>
        <v>0</v>
      </c>
      <c r="DQ378" s="268">
        <f t="shared" si="95"/>
        <v>2183.1745733532407</v>
      </c>
    </row>
    <row r="379" spans="59:121">
      <c r="BG379" s="526">
        <v>0</v>
      </c>
      <c r="BH379" s="150" t="str">
        <f t="shared" si="84"/>
        <v/>
      </c>
      <c r="BI379" s="386">
        <v>0</v>
      </c>
      <c r="BJ379" s="268">
        <f>IF(BG379,_xll.qDateYears(BG378,BG379,$BJ$13),0)</f>
        <v>0</v>
      </c>
      <c r="BK379" s="268">
        <f t="shared" si="90"/>
        <v>2183.1745733532407</v>
      </c>
      <c r="BQ379" s="526">
        <v>0</v>
      </c>
      <c r="BR379" s="151" t="str">
        <f t="shared" si="85"/>
        <v/>
      </c>
      <c r="BS379" s="386">
        <v>0</v>
      </c>
      <c r="BT379" s="268">
        <f>IF(BQ379,_xll.qDateYears(BQ378,BQ379,BT$13),0)</f>
        <v>0</v>
      </c>
      <c r="BU379" s="268">
        <f t="shared" si="91"/>
        <v>1738.6030924697341</v>
      </c>
      <c r="CC379" s="526">
        <v>0</v>
      </c>
      <c r="CD379" s="151" t="str">
        <f t="shared" si="86"/>
        <v/>
      </c>
      <c r="CE379" s="386">
        <v>0</v>
      </c>
      <c r="CF379" s="268">
        <f>IF(CC379,_xll.qDateYears(CC378,CC379,CF$13),0)</f>
        <v>0</v>
      </c>
      <c r="CG379" s="268">
        <f t="shared" si="92"/>
        <v>2312.0085517586949</v>
      </c>
      <c r="CO379" s="526">
        <v>0</v>
      </c>
      <c r="CP379" s="151" t="str">
        <f t="shared" si="87"/>
        <v/>
      </c>
      <c r="CQ379" s="386">
        <v>0</v>
      </c>
      <c r="CR379" s="268">
        <f>IF(CO379,_xll.qDateYears(CO378,CO379,CR$13),0)</f>
        <v>0</v>
      </c>
      <c r="CS379" s="268">
        <f t="shared" si="93"/>
        <v>2185.174943791465</v>
      </c>
      <c r="DA379" s="526">
        <v>0</v>
      </c>
      <c r="DB379" s="151" t="str">
        <f t="shared" si="88"/>
        <v/>
      </c>
      <c r="DC379" s="386">
        <v>0</v>
      </c>
      <c r="DD379" s="268">
        <f>IF(DA379,_xll.qDateYears(DA378,DA379,DD$13),0)</f>
        <v>0</v>
      </c>
      <c r="DE379" s="268">
        <f t="shared" si="94"/>
        <v>1616.1787110556011</v>
      </c>
      <c r="DM379" s="526">
        <v>0</v>
      </c>
      <c r="DN379" s="151" t="str">
        <f t="shared" si="89"/>
        <v/>
      </c>
      <c r="DO379" s="386">
        <v>0</v>
      </c>
      <c r="DP379" s="268">
        <f>IF(DM379,_xll.qDateYears(DM378,DM379,DP$13),0)</f>
        <v>0</v>
      </c>
      <c r="DQ379" s="268">
        <f t="shared" si="95"/>
        <v>2183.1745733532407</v>
      </c>
    </row>
    <row r="380" spans="59:121">
      <c r="BG380" s="526">
        <v>0</v>
      </c>
      <c r="BH380" s="150" t="str">
        <f t="shared" si="84"/>
        <v/>
      </c>
      <c r="BI380" s="386">
        <v>0</v>
      </c>
      <c r="BJ380" s="268">
        <f>IF(BG380,_xll.qDateYears(BG379,BG380,$BJ$13),0)</f>
        <v>0</v>
      </c>
      <c r="BK380" s="268">
        <f t="shared" si="90"/>
        <v>2183.1745733532407</v>
      </c>
      <c r="BQ380" s="526">
        <v>0</v>
      </c>
      <c r="BR380" s="151" t="str">
        <f t="shared" si="85"/>
        <v/>
      </c>
      <c r="BS380" s="386">
        <v>0</v>
      </c>
      <c r="BT380" s="268">
        <f>IF(BQ380,_xll.qDateYears(BQ379,BQ380,BT$13),0)</f>
        <v>0</v>
      </c>
      <c r="BU380" s="268">
        <f t="shared" si="91"/>
        <v>1738.6030924697341</v>
      </c>
      <c r="CC380" s="526">
        <v>0</v>
      </c>
      <c r="CD380" s="151" t="str">
        <f t="shared" si="86"/>
        <v/>
      </c>
      <c r="CE380" s="386">
        <v>0</v>
      </c>
      <c r="CF380" s="268">
        <f>IF(CC380,_xll.qDateYears(CC379,CC380,CF$13),0)</f>
        <v>0</v>
      </c>
      <c r="CG380" s="268">
        <f t="shared" si="92"/>
        <v>2312.0085517586949</v>
      </c>
      <c r="CO380" s="526">
        <v>0</v>
      </c>
      <c r="CP380" s="151" t="str">
        <f t="shared" si="87"/>
        <v/>
      </c>
      <c r="CQ380" s="386">
        <v>0</v>
      </c>
      <c r="CR380" s="268">
        <f>IF(CO380,_xll.qDateYears(CO379,CO380,CR$13),0)</f>
        <v>0</v>
      </c>
      <c r="CS380" s="268">
        <f t="shared" si="93"/>
        <v>2185.174943791465</v>
      </c>
      <c r="DA380" s="526">
        <v>0</v>
      </c>
      <c r="DB380" s="151" t="str">
        <f t="shared" si="88"/>
        <v/>
      </c>
      <c r="DC380" s="386">
        <v>0</v>
      </c>
      <c r="DD380" s="268">
        <f>IF(DA380,_xll.qDateYears(DA379,DA380,DD$13),0)</f>
        <v>0</v>
      </c>
      <c r="DE380" s="268">
        <f t="shared" si="94"/>
        <v>1616.1787110556011</v>
      </c>
      <c r="DM380" s="526">
        <v>0</v>
      </c>
      <c r="DN380" s="151" t="str">
        <f t="shared" si="89"/>
        <v/>
      </c>
      <c r="DO380" s="386">
        <v>0</v>
      </c>
      <c r="DP380" s="268">
        <f>IF(DM380,_xll.qDateYears(DM379,DM380,DP$13),0)</f>
        <v>0</v>
      </c>
      <c r="DQ380" s="268">
        <f t="shared" si="95"/>
        <v>2183.1745733532407</v>
      </c>
    </row>
    <row r="381" spans="59:121">
      <c r="BG381" s="526">
        <v>0</v>
      </c>
      <c r="BH381" s="150" t="str">
        <f t="shared" si="84"/>
        <v/>
      </c>
      <c r="BI381" s="386">
        <v>0</v>
      </c>
      <c r="BJ381" s="268">
        <f>IF(BG381,_xll.qDateYears(BG380,BG381,$BJ$13),0)</f>
        <v>0</v>
      </c>
      <c r="BK381" s="268">
        <f t="shared" si="90"/>
        <v>2183.1745733532407</v>
      </c>
      <c r="BQ381" s="526">
        <v>0</v>
      </c>
      <c r="BR381" s="151" t="str">
        <f t="shared" si="85"/>
        <v/>
      </c>
      <c r="BS381" s="386">
        <v>0</v>
      </c>
      <c r="BT381" s="268">
        <f>IF(BQ381,_xll.qDateYears(BQ380,BQ381,BT$13),0)</f>
        <v>0</v>
      </c>
      <c r="BU381" s="268">
        <f t="shared" si="91"/>
        <v>1738.6030924697341</v>
      </c>
      <c r="CC381" s="526">
        <v>0</v>
      </c>
      <c r="CD381" s="151" t="str">
        <f t="shared" si="86"/>
        <v/>
      </c>
      <c r="CE381" s="386">
        <v>0</v>
      </c>
      <c r="CF381" s="268">
        <f>IF(CC381,_xll.qDateYears(CC380,CC381,CF$13),0)</f>
        <v>0</v>
      </c>
      <c r="CG381" s="268">
        <f t="shared" si="92"/>
        <v>2312.0085517586949</v>
      </c>
      <c r="CO381" s="526">
        <v>0</v>
      </c>
      <c r="CP381" s="151" t="str">
        <f t="shared" si="87"/>
        <v/>
      </c>
      <c r="CQ381" s="386">
        <v>0</v>
      </c>
      <c r="CR381" s="268">
        <f>IF(CO381,_xll.qDateYears(CO380,CO381,CR$13),0)</f>
        <v>0</v>
      </c>
      <c r="CS381" s="268">
        <f t="shared" si="93"/>
        <v>2185.174943791465</v>
      </c>
      <c r="DA381" s="526">
        <v>0</v>
      </c>
      <c r="DB381" s="151" t="str">
        <f t="shared" si="88"/>
        <v/>
      </c>
      <c r="DC381" s="386">
        <v>0</v>
      </c>
      <c r="DD381" s="268">
        <f>IF(DA381,_xll.qDateYears(DA380,DA381,DD$13),0)</f>
        <v>0</v>
      </c>
      <c r="DE381" s="268">
        <f t="shared" si="94"/>
        <v>1616.1787110556011</v>
      </c>
      <c r="DM381" s="526">
        <v>0</v>
      </c>
      <c r="DN381" s="151" t="str">
        <f t="shared" si="89"/>
        <v/>
      </c>
      <c r="DO381" s="386">
        <v>0</v>
      </c>
      <c r="DP381" s="268">
        <f>IF(DM381,_xll.qDateYears(DM380,DM381,DP$13),0)</f>
        <v>0</v>
      </c>
      <c r="DQ381" s="268">
        <f t="shared" si="95"/>
        <v>2183.1745733532407</v>
      </c>
    </row>
    <row r="382" spans="59:121">
      <c r="BG382" s="526">
        <v>0</v>
      </c>
      <c r="BH382" s="150" t="str">
        <f t="shared" si="84"/>
        <v/>
      </c>
      <c r="BI382" s="386">
        <v>0</v>
      </c>
      <c r="BJ382" s="268">
        <f>IF(BG382,_xll.qDateYears(BG381,BG382,$BJ$13),0)</f>
        <v>0</v>
      </c>
      <c r="BK382" s="268">
        <f t="shared" si="90"/>
        <v>2183.1745733532407</v>
      </c>
      <c r="BQ382" s="526">
        <v>0</v>
      </c>
      <c r="BR382" s="151" t="str">
        <f t="shared" si="85"/>
        <v/>
      </c>
      <c r="BS382" s="386">
        <v>0</v>
      </c>
      <c r="BT382" s="268">
        <f>IF(BQ382,_xll.qDateYears(BQ381,BQ382,BT$13),0)</f>
        <v>0</v>
      </c>
      <c r="BU382" s="268">
        <f t="shared" si="91"/>
        <v>1738.6030924697341</v>
      </c>
      <c r="CC382" s="526">
        <v>0</v>
      </c>
      <c r="CD382" s="151" t="str">
        <f t="shared" si="86"/>
        <v/>
      </c>
      <c r="CE382" s="386">
        <v>0</v>
      </c>
      <c r="CF382" s="268">
        <f>IF(CC382,_xll.qDateYears(CC381,CC382,CF$13),0)</f>
        <v>0</v>
      </c>
      <c r="CG382" s="268">
        <f t="shared" si="92"/>
        <v>2312.0085517586949</v>
      </c>
      <c r="CO382" s="526">
        <v>0</v>
      </c>
      <c r="CP382" s="151" t="str">
        <f t="shared" si="87"/>
        <v/>
      </c>
      <c r="CQ382" s="386">
        <v>0</v>
      </c>
      <c r="CR382" s="268">
        <f>IF(CO382,_xll.qDateYears(CO381,CO382,CR$13),0)</f>
        <v>0</v>
      </c>
      <c r="CS382" s="268">
        <f t="shared" si="93"/>
        <v>2185.174943791465</v>
      </c>
      <c r="DA382" s="526">
        <v>0</v>
      </c>
      <c r="DB382" s="151" t="str">
        <f t="shared" si="88"/>
        <v/>
      </c>
      <c r="DC382" s="386">
        <v>0</v>
      </c>
      <c r="DD382" s="268">
        <f>IF(DA382,_xll.qDateYears(DA381,DA382,DD$13),0)</f>
        <v>0</v>
      </c>
      <c r="DE382" s="268">
        <f t="shared" si="94"/>
        <v>1616.1787110556011</v>
      </c>
      <c r="DM382" s="526">
        <v>0</v>
      </c>
      <c r="DN382" s="151" t="str">
        <f t="shared" si="89"/>
        <v/>
      </c>
      <c r="DO382" s="386">
        <v>0</v>
      </c>
      <c r="DP382" s="268">
        <f>IF(DM382,_xll.qDateYears(DM381,DM382,DP$13),0)</f>
        <v>0</v>
      </c>
      <c r="DQ382" s="268">
        <f t="shared" si="95"/>
        <v>2183.1745733532407</v>
      </c>
    </row>
    <row r="383" spans="59:121">
      <c r="BG383" s="526">
        <v>0</v>
      </c>
      <c r="BH383" s="150" t="str">
        <f t="shared" si="84"/>
        <v/>
      </c>
      <c r="BI383" s="386">
        <v>0</v>
      </c>
      <c r="BJ383" s="268">
        <f>IF(BG383,_xll.qDateYears(BG382,BG383,$BJ$13),0)</f>
        <v>0</v>
      </c>
      <c r="BK383" s="268">
        <f t="shared" si="90"/>
        <v>2183.1745733532407</v>
      </c>
      <c r="BQ383" s="526">
        <v>0</v>
      </c>
      <c r="BR383" s="151" t="str">
        <f t="shared" si="85"/>
        <v/>
      </c>
      <c r="BS383" s="386">
        <v>0</v>
      </c>
      <c r="BT383" s="268">
        <f>IF(BQ383,_xll.qDateYears(BQ382,BQ383,BT$13),0)</f>
        <v>0</v>
      </c>
      <c r="BU383" s="268">
        <f t="shared" si="91"/>
        <v>1738.6030924697341</v>
      </c>
      <c r="CC383" s="526">
        <v>0</v>
      </c>
      <c r="CD383" s="151" t="str">
        <f t="shared" si="86"/>
        <v/>
      </c>
      <c r="CE383" s="386">
        <v>0</v>
      </c>
      <c r="CF383" s="268">
        <f>IF(CC383,_xll.qDateYears(CC382,CC383,CF$13),0)</f>
        <v>0</v>
      </c>
      <c r="CG383" s="268">
        <f t="shared" si="92"/>
        <v>2312.0085517586949</v>
      </c>
      <c r="CO383" s="526">
        <v>0</v>
      </c>
      <c r="CP383" s="151" t="str">
        <f t="shared" si="87"/>
        <v/>
      </c>
      <c r="CQ383" s="386">
        <v>0</v>
      </c>
      <c r="CR383" s="268">
        <f>IF(CO383,_xll.qDateYears(CO382,CO383,CR$13),0)</f>
        <v>0</v>
      </c>
      <c r="CS383" s="268">
        <f t="shared" si="93"/>
        <v>2185.174943791465</v>
      </c>
      <c r="DA383" s="526">
        <v>0</v>
      </c>
      <c r="DB383" s="151" t="str">
        <f t="shared" si="88"/>
        <v/>
      </c>
      <c r="DC383" s="386">
        <v>0</v>
      </c>
      <c r="DD383" s="268">
        <f>IF(DA383,_xll.qDateYears(DA382,DA383,DD$13),0)</f>
        <v>0</v>
      </c>
      <c r="DE383" s="268">
        <f t="shared" si="94"/>
        <v>1616.1787110556011</v>
      </c>
      <c r="DM383" s="526">
        <v>0</v>
      </c>
      <c r="DN383" s="151" t="str">
        <f t="shared" si="89"/>
        <v/>
      </c>
      <c r="DO383" s="386">
        <v>0</v>
      </c>
      <c r="DP383" s="268">
        <f>IF(DM383,_xll.qDateYears(DM382,DM383,DP$13),0)</f>
        <v>0</v>
      </c>
      <c r="DQ383" s="268">
        <f t="shared" si="95"/>
        <v>2183.1745733532407</v>
      </c>
    </row>
    <row r="384" spans="59:121">
      <c r="BG384" s="526">
        <v>0</v>
      </c>
      <c r="BH384" s="150" t="str">
        <f t="shared" si="84"/>
        <v/>
      </c>
      <c r="BI384" s="386">
        <v>0</v>
      </c>
      <c r="BJ384" s="268">
        <f>IF(BG384,_xll.qDateYears(BG383,BG384,$BJ$13),0)</f>
        <v>0</v>
      </c>
      <c r="BK384" s="268">
        <f t="shared" si="90"/>
        <v>2183.1745733532407</v>
      </c>
      <c r="BQ384" s="526">
        <v>0</v>
      </c>
      <c r="BR384" s="151" t="str">
        <f t="shared" si="85"/>
        <v/>
      </c>
      <c r="BS384" s="386">
        <v>0</v>
      </c>
      <c r="BT384" s="268">
        <f>IF(BQ384,_xll.qDateYears(BQ383,BQ384,BT$13),0)</f>
        <v>0</v>
      </c>
      <c r="BU384" s="268">
        <f t="shared" si="91"/>
        <v>1738.6030924697341</v>
      </c>
      <c r="CC384" s="526">
        <v>0</v>
      </c>
      <c r="CD384" s="151" t="str">
        <f t="shared" si="86"/>
        <v/>
      </c>
      <c r="CE384" s="386">
        <v>0</v>
      </c>
      <c r="CF384" s="268">
        <f>IF(CC384,_xll.qDateYears(CC383,CC384,CF$13),0)</f>
        <v>0</v>
      </c>
      <c r="CG384" s="268">
        <f t="shared" si="92"/>
        <v>2312.0085517586949</v>
      </c>
      <c r="CO384" s="526">
        <v>0</v>
      </c>
      <c r="CP384" s="151" t="str">
        <f t="shared" si="87"/>
        <v/>
      </c>
      <c r="CQ384" s="386">
        <v>0</v>
      </c>
      <c r="CR384" s="268">
        <f>IF(CO384,_xll.qDateYears(CO383,CO384,CR$13),0)</f>
        <v>0</v>
      </c>
      <c r="CS384" s="268">
        <f t="shared" si="93"/>
        <v>2185.174943791465</v>
      </c>
      <c r="DA384" s="526">
        <v>0</v>
      </c>
      <c r="DB384" s="151" t="str">
        <f t="shared" si="88"/>
        <v/>
      </c>
      <c r="DC384" s="386">
        <v>0</v>
      </c>
      <c r="DD384" s="268">
        <f>IF(DA384,_xll.qDateYears(DA383,DA384,DD$13),0)</f>
        <v>0</v>
      </c>
      <c r="DE384" s="268">
        <f t="shared" si="94"/>
        <v>1616.1787110556011</v>
      </c>
      <c r="DM384" s="526">
        <v>0</v>
      </c>
      <c r="DN384" s="151" t="str">
        <f t="shared" si="89"/>
        <v/>
      </c>
      <c r="DO384" s="386">
        <v>0</v>
      </c>
      <c r="DP384" s="268">
        <f>IF(DM384,_xll.qDateYears(DM383,DM384,DP$13),0)</f>
        <v>0</v>
      </c>
      <c r="DQ384" s="268">
        <f t="shared" si="95"/>
        <v>2183.1745733532407</v>
      </c>
    </row>
    <row r="385" spans="59:121">
      <c r="BG385" s="526">
        <v>0</v>
      </c>
      <c r="BH385" s="150" t="str">
        <f t="shared" si="84"/>
        <v/>
      </c>
      <c r="BI385" s="386">
        <v>0</v>
      </c>
      <c r="BJ385" s="268">
        <f>IF(BG385,_xll.qDateYears(BG384,BG385,$BJ$13),0)</f>
        <v>0</v>
      </c>
      <c r="BK385" s="268">
        <f t="shared" si="90"/>
        <v>2183.1745733532407</v>
      </c>
      <c r="BQ385" s="526">
        <v>0</v>
      </c>
      <c r="BR385" s="151" t="str">
        <f t="shared" si="85"/>
        <v/>
      </c>
      <c r="BS385" s="386">
        <v>0</v>
      </c>
      <c r="BT385" s="268">
        <f>IF(BQ385,_xll.qDateYears(BQ384,BQ385,BT$13),0)</f>
        <v>0</v>
      </c>
      <c r="BU385" s="268">
        <f t="shared" si="91"/>
        <v>1738.6030924697341</v>
      </c>
      <c r="CC385" s="526">
        <v>0</v>
      </c>
      <c r="CD385" s="151" t="str">
        <f t="shared" si="86"/>
        <v/>
      </c>
      <c r="CE385" s="386">
        <v>0</v>
      </c>
      <c r="CF385" s="268">
        <f>IF(CC385,_xll.qDateYears(CC384,CC385,CF$13),0)</f>
        <v>0</v>
      </c>
      <c r="CG385" s="268">
        <f t="shared" si="92"/>
        <v>2312.0085517586949</v>
      </c>
      <c r="CO385" s="526">
        <v>0</v>
      </c>
      <c r="CP385" s="151" t="str">
        <f t="shared" si="87"/>
        <v/>
      </c>
      <c r="CQ385" s="386">
        <v>0</v>
      </c>
      <c r="CR385" s="268">
        <f>IF(CO385,_xll.qDateYears(CO384,CO385,CR$13),0)</f>
        <v>0</v>
      </c>
      <c r="CS385" s="268">
        <f t="shared" si="93"/>
        <v>2185.174943791465</v>
      </c>
      <c r="DA385" s="526">
        <v>0</v>
      </c>
      <c r="DB385" s="151" t="str">
        <f t="shared" si="88"/>
        <v/>
      </c>
      <c r="DC385" s="386">
        <v>0</v>
      </c>
      <c r="DD385" s="268">
        <f>IF(DA385,_xll.qDateYears(DA384,DA385,DD$13),0)</f>
        <v>0</v>
      </c>
      <c r="DE385" s="268">
        <f t="shared" si="94"/>
        <v>1616.1787110556011</v>
      </c>
      <c r="DM385" s="526">
        <v>0</v>
      </c>
      <c r="DN385" s="151" t="str">
        <f t="shared" si="89"/>
        <v/>
      </c>
      <c r="DO385" s="386">
        <v>0</v>
      </c>
      <c r="DP385" s="268">
        <f>IF(DM385,_xll.qDateYears(DM384,DM385,DP$13),0)</f>
        <v>0</v>
      </c>
      <c r="DQ385" s="268">
        <f t="shared" si="95"/>
        <v>2183.1745733532407</v>
      </c>
    </row>
    <row r="386" spans="59:121">
      <c r="BG386" s="526">
        <v>0</v>
      </c>
      <c r="BH386" s="150" t="str">
        <f t="shared" si="84"/>
        <v/>
      </c>
      <c r="BI386" s="386">
        <v>0</v>
      </c>
      <c r="BJ386" s="268">
        <f>IF(BG386,_xll.qDateYears(BG385,BG386,$BJ$13),0)</f>
        <v>0</v>
      </c>
      <c r="BK386" s="268">
        <f t="shared" si="90"/>
        <v>2183.1745733532407</v>
      </c>
      <c r="BQ386" s="526">
        <v>0</v>
      </c>
      <c r="BR386" s="151" t="str">
        <f t="shared" si="85"/>
        <v/>
      </c>
      <c r="BS386" s="386">
        <v>0</v>
      </c>
      <c r="BT386" s="268">
        <f>IF(BQ386,_xll.qDateYears(BQ385,BQ386,BT$13),0)</f>
        <v>0</v>
      </c>
      <c r="BU386" s="268">
        <f t="shared" si="91"/>
        <v>1738.6030924697341</v>
      </c>
      <c r="CC386" s="526">
        <v>0</v>
      </c>
      <c r="CD386" s="151" t="str">
        <f t="shared" si="86"/>
        <v/>
      </c>
      <c r="CE386" s="386">
        <v>0</v>
      </c>
      <c r="CF386" s="268">
        <f>IF(CC386,_xll.qDateYears(CC385,CC386,CF$13),0)</f>
        <v>0</v>
      </c>
      <c r="CG386" s="268">
        <f t="shared" si="92"/>
        <v>2312.0085517586949</v>
      </c>
      <c r="CO386" s="526">
        <v>0</v>
      </c>
      <c r="CP386" s="151" t="str">
        <f t="shared" si="87"/>
        <v/>
      </c>
      <c r="CQ386" s="386">
        <v>0</v>
      </c>
      <c r="CR386" s="268">
        <f>IF(CO386,_xll.qDateYears(CO385,CO386,CR$13),0)</f>
        <v>0</v>
      </c>
      <c r="CS386" s="268">
        <f t="shared" si="93"/>
        <v>2185.174943791465</v>
      </c>
      <c r="DA386" s="526">
        <v>0</v>
      </c>
      <c r="DB386" s="151" t="str">
        <f t="shared" si="88"/>
        <v/>
      </c>
      <c r="DC386" s="386">
        <v>0</v>
      </c>
      <c r="DD386" s="268">
        <f>IF(DA386,_xll.qDateYears(DA385,DA386,DD$13),0)</f>
        <v>0</v>
      </c>
      <c r="DE386" s="268">
        <f t="shared" si="94"/>
        <v>1616.1787110556011</v>
      </c>
      <c r="DM386" s="526">
        <v>0</v>
      </c>
      <c r="DN386" s="151" t="str">
        <f t="shared" si="89"/>
        <v/>
      </c>
      <c r="DO386" s="386">
        <v>0</v>
      </c>
      <c r="DP386" s="268">
        <f>IF(DM386,_xll.qDateYears(DM385,DM386,DP$13),0)</f>
        <v>0</v>
      </c>
      <c r="DQ386" s="268">
        <f t="shared" si="95"/>
        <v>2183.1745733532407</v>
      </c>
    </row>
    <row r="387" spans="59:121">
      <c r="BG387" s="526">
        <v>0</v>
      </c>
      <c r="BH387" s="150" t="str">
        <f t="shared" si="84"/>
        <v/>
      </c>
      <c r="BI387" s="386">
        <v>0</v>
      </c>
      <c r="BJ387" s="268">
        <f>IF(BG387,_xll.qDateYears(BG386,BG387,$BJ$13),0)</f>
        <v>0</v>
      </c>
      <c r="BK387" s="268">
        <f t="shared" si="90"/>
        <v>2183.1745733532407</v>
      </c>
      <c r="BQ387" s="526">
        <v>0</v>
      </c>
      <c r="BR387" s="151" t="str">
        <f t="shared" si="85"/>
        <v/>
      </c>
      <c r="BS387" s="386">
        <v>0</v>
      </c>
      <c r="BT387" s="268">
        <f>IF(BQ387,_xll.qDateYears(BQ386,BQ387,BT$13),0)</f>
        <v>0</v>
      </c>
      <c r="BU387" s="268">
        <f t="shared" si="91"/>
        <v>1738.6030924697341</v>
      </c>
      <c r="CC387" s="526">
        <v>0</v>
      </c>
      <c r="CD387" s="151" t="str">
        <f t="shared" si="86"/>
        <v/>
      </c>
      <c r="CE387" s="386">
        <v>0</v>
      </c>
      <c r="CF387" s="268">
        <f>IF(CC387,_xll.qDateYears(CC386,CC387,CF$13),0)</f>
        <v>0</v>
      </c>
      <c r="CG387" s="268">
        <f t="shared" si="92"/>
        <v>2312.0085517586949</v>
      </c>
      <c r="CO387" s="526">
        <v>0</v>
      </c>
      <c r="CP387" s="151" t="str">
        <f t="shared" si="87"/>
        <v/>
      </c>
      <c r="CQ387" s="386">
        <v>0</v>
      </c>
      <c r="CR387" s="268">
        <f>IF(CO387,_xll.qDateYears(CO386,CO387,CR$13),0)</f>
        <v>0</v>
      </c>
      <c r="CS387" s="268">
        <f t="shared" si="93"/>
        <v>2185.174943791465</v>
      </c>
      <c r="DA387" s="526">
        <v>0</v>
      </c>
      <c r="DB387" s="151" t="str">
        <f t="shared" si="88"/>
        <v/>
      </c>
      <c r="DC387" s="386">
        <v>0</v>
      </c>
      <c r="DD387" s="268">
        <f>IF(DA387,_xll.qDateYears(DA386,DA387,DD$13),0)</f>
        <v>0</v>
      </c>
      <c r="DE387" s="268">
        <f t="shared" si="94"/>
        <v>1616.1787110556011</v>
      </c>
      <c r="DM387" s="526">
        <v>0</v>
      </c>
      <c r="DN387" s="151" t="str">
        <f t="shared" si="89"/>
        <v/>
      </c>
      <c r="DO387" s="386">
        <v>0</v>
      </c>
      <c r="DP387" s="268">
        <f>IF(DM387,_xll.qDateYears(DM386,DM387,DP$13),0)</f>
        <v>0</v>
      </c>
      <c r="DQ387" s="268">
        <f t="shared" si="95"/>
        <v>2183.1745733532407</v>
      </c>
    </row>
    <row r="388" spans="59:121">
      <c r="BG388" s="526">
        <v>0</v>
      </c>
      <c r="BH388" s="150" t="str">
        <f t="shared" si="84"/>
        <v/>
      </c>
      <c r="BI388" s="386">
        <v>0</v>
      </c>
      <c r="BJ388" s="268">
        <f>IF(BG388,_xll.qDateYears(BG387,BG388,$BJ$13),0)</f>
        <v>0</v>
      </c>
      <c r="BK388" s="268">
        <f t="shared" si="90"/>
        <v>2183.1745733532407</v>
      </c>
      <c r="BQ388" s="526">
        <v>0</v>
      </c>
      <c r="BR388" s="151" t="str">
        <f t="shared" si="85"/>
        <v/>
      </c>
      <c r="BS388" s="386">
        <v>0</v>
      </c>
      <c r="BT388" s="268">
        <f>IF(BQ388,_xll.qDateYears(BQ387,BQ388,BT$13),0)</f>
        <v>0</v>
      </c>
      <c r="BU388" s="268">
        <f t="shared" si="91"/>
        <v>1738.6030924697341</v>
      </c>
      <c r="CC388" s="526">
        <v>0</v>
      </c>
      <c r="CD388" s="151" t="str">
        <f t="shared" si="86"/>
        <v/>
      </c>
      <c r="CE388" s="386">
        <v>0</v>
      </c>
      <c r="CF388" s="268">
        <f>IF(CC388,_xll.qDateYears(CC387,CC388,CF$13),0)</f>
        <v>0</v>
      </c>
      <c r="CG388" s="268">
        <f t="shared" si="92"/>
        <v>2312.0085517586949</v>
      </c>
      <c r="CO388" s="526">
        <v>0</v>
      </c>
      <c r="CP388" s="151" t="str">
        <f t="shared" si="87"/>
        <v/>
      </c>
      <c r="CQ388" s="386">
        <v>0</v>
      </c>
      <c r="CR388" s="268">
        <f>IF(CO388,_xll.qDateYears(CO387,CO388,CR$13),0)</f>
        <v>0</v>
      </c>
      <c r="CS388" s="268">
        <f t="shared" si="93"/>
        <v>2185.174943791465</v>
      </c>
      <c r="DA388" s="526">
        <v>0</v>
      </c>
      <c r="DB388" s="151" t="str">
        <f t="shared" si="88"/>
        <v/>
      </c>
      <c r="DC388" s="386">
        <v>0</v>
      </c>
      <c r="DD388" s="268">
        <f>IF(DA388,_xll.qDateYears(DA387,DA388,DD$13),0)</f>
        <v>0</v>
      </c>
      <c r="DE388" s="268">
        <f t="shared" si="94"/>
        <v>1616.1787110556011</v>
      </c>
      <c r="DM388" s="526">
        <v>0</v>
      </c>
      <c r="DN388" s="151" t="str">
        <f t="shared" si="89"/>
        <v/>
      </c>
      <c r="DO388" s="386">
        <v>0</v>
      </c>
      <c r="DP388" s="268">
        <f>IF(DM388,_xll.qDateYears(DM387,DM388,DP$13),0)</f>
        <v>0</v>
      </c>
      <c r="DQ388" s="268">
        <f t="shared" si="95"/>
        <v>2183.1745733532407</v>
      </c>
    </row>
    <row r="389" spans="59:121">
      <c r="BG389" s="526">
        <v>0</v>
      </c>
      <c r="BH389" s="150" t="str">
        <f t="shared" si="84"/>
        <v/>
      </c>
      <c r="BI389" s="386">
        <v>0</v>
      </c>
      <c r="BJ389" s="268">
        <f>IF(BG389,_xll.qDateYears(BG388,BG389,$BJ$13),0)</f>
        <v>0</v>
      </c>
      <c r="BK389" s="268">
        <f t="shared" si="90"/>
        <v>2183.1745733532407</v>
      </c>
      <c r="BQ389" s="526">
        <v>0</v>
      </c>
      <c r="BR389" s="151" t="str">
        <f t="shared" si="85"/>
        <v/>
      </c>
      <c r="BS389" s="386">
        <v>0</v>
      </c>
      <c r="BT389" s="268">
        <f>IF(BQ389,_xll.qDateYears(BQ388,BQ389,BT$13),0)</f>
        <v>0</v>
      </c>
      <c r="BU389" s="268">
        <f t="shared" si="91"/>
        <v>1738.6030924697341</v>
      </c>
      <c r="CC389" s="526">
        <v>0</v>
      </c>
      <c r="CD389" s="151" t="str">
        <f t="shared" si="86"/>
        <v/>
      </c>
      <c r="CE389" s="386">
        <v>0</v>
      </c>
      <c r="CF389" s="268">
        <f>IF(CC389,_xll.qDateYears(CC388,CC389,CF$13),0)</f>
        <v>0</v>
      </c>
      <c r="CG389" s="268">
        <f t="shared" si="92"/>
        <v>2312.0085517586949</v>
      </c>
      <c r="CO389" s="526">
        <v>0</v>
      </c>
      <c r="CP389" s="151" t="str">
        <f t="shared" si="87"/>
        <v/>
      </c>
      <c r="CQ389" s="386">
        <v>0</v>
      </c>
      <c r="CR389" s="268">
        <f>IF(CO389,_xll.qDateYears(CO388,CO389,CR$13),0)</f>
        <v>0</v>
      </c>
      <c r="CS389" s="268">
        <f t="shared" si="93"/>
        <v>2185.174943791465</v>
      </c>
      <c r="DA389" s="526">
        <v>0</v>
      </c>
      <c r="DB389" s="151" t="str">
        <f t="shared" si="88"/>
        <v/>
      </c>
      <c r="DC389" s="386">
        <v>0</v>
      </c>
      <c r="DD389" s="268">
        <f>IF(DA389,_xll.qDateYears(DA388,DA389,DD$13),0)</f>
        <v>0</v>
      </c>
      <c r="DE389" s="268">
        <f t="shared" si="94"/>
        <v>1616.1787110556011</v>
      </c>
      <c r="DM389" s="526">
        <v>0</v>
      </c>
      <c r="DN389" s="151" t="str">
        <f t="shared" si="89"/>
        <v/>
      </c>
      <c r="DO389" s="386">
        <v>0</v>
      </c>
      <c r="DP389" s="268">
        <f>IF(DM389,_xll.qDateYears(DM388,DM389,DP$13),0)</f>
        <v>0</v>
      </c>
      <c r="DQ389" s="268">
        <f t="shared" si="95"/>
        <v>2183.1745733532407</v>
      </c>
    </row>
    <row r="390" spans="59:121">
      <c r="BG390" s="526">
        <v>0</v>
      </c>
      <c r="BH390" s="150" t="str">
        <f t="shared" si="84"/>
        <v/>
      </c>
      <c r="BI390" s="386">
        <v>0</v>
      </c>
      <c r="BJ390" s="268">
        <f>IF(BG390,_xll.qDateYears(BG389,BG390,$BJ$13),0)</f>
        <v>0</v>
      </c>
      <c r="BK390" s="268">
        <f t="shared" si="90"/>
        <v>2183.1745733532407</v>
      </c>
      <c r="BQ390" s="526">
        <v>0</v>
      </c>
      <c r="BR390" s="151" t="str">
        <f t="shared" si="85"/>
        <v/>
      </c>
      <c r="BS390" s="386">
        <v>0</v>
      </c>
      <c r="BT390" s="268">
        <f>IF(BQ390,_xll.qDateYears(BQ389,BQ390,BT$13),0)</f>
        <v>0</v>
      </c>
      <c r="BU390" s="268">
        <f t="shared" si="91"/>
        <v>1738.6030924697341</v>
      </c>
      <c r="CC390" s="526">
        <v>0</v>
      </c>
      <c r="CD390" s="151" t="str">
        <f t="shared" si="86"/>
        <v/>
      </c>
      <c r="CE390" s="386">
        <v>0</v>
      </c>
      <c r="CF390" s="268">
        <f>IF(CC390,_xll.qDateYears(CC389,CC390,CF$13),0)</f>
        <v>0</v>
      </c>
      <c r="CG390" s="268">
        <f t="shared" si="92"/>
        <v>2312.0085517586949</v>
      </c>
      <c r="CO390" s="526">
        <v>0</v>
      </c>
      <c r="CP390" s="151" t="str">
        <f t="shared" si="87"/>
        <v/>
      </c>
      <c r="CQ390" s="386">
        <v>0</v>
      </c>
      <c r="CR390" s="268">
        <f>IF(CO390,_xll.qDateYears(CO389,CO390,CR$13),0)</f>
        <v>0</v>
      </c>
      <c r="CS390" s="268">
        <f t="shared" si="93"/>
        <v>2185.174943791465</v>
      </c>
      <c r="DA390" s="526">
        <v>0</v>
      </c>
      <c r="DB390" s="151" t="str">
        <f t="shared" si="88"/>
        <v/>
      </c>
      <c r="DC390" s="386">
        <v>0</v>
      </c>
      <c r="DD390" s="268">
        <f>IF(DA390,_xll.qDateYears(DA389,DA390,DD$13),0)</f>
        <v>0</v>
      </c>
      <c r="DE390" s="268">
        <f t="shared" si="94"/>
        <v>1616.1787110556011</v>
      </c>
      <c r="DM390" s="526">
        <v>0</v>
      </c>
      <c r="DN390" s="151" t="str">
        <f t="shared" si="89"/>
        <v/>
      </c>
      <c r="DO390" s="386">
        <v>0</v>
      </c>
      <c r="DP390" s="268">
        <f>IF(DM390,_xll.qDateYears(DM389,DM390,DP$13),0)</f>
        <v>0</v>
      </c>
      <c r="DQ390" s="268">
        <f t="shared" si="95"/>
        <v>2183.1745733532407</v>
      </c>
    </row>
    <row r="391" spans="59:121">
      <c r="BG391" s="526">
        <v>0</v>
      </c>
      <c r="BH391" s="150" t="str">
        <f t="shared" si="84"/>
        <v/>
      </c>
      <c r="BI391" s="386">
        <v>0</v>
      </c>
      <c r="BJ391" s="268">
        <f>IF(BG391,_xll.qDateYears(BG390,BG391,$BJ$13),0)</f>
        <v>0</v>
      </c>
      <c r="BK391" s="268">
        <f t="shared" si="90"/>
        <v>2183.1745733532407</v>
      </c>
      <c r="BQ391" s="526">
        <v>0</v>
      </c>
      <c r="BR391" s="151" t="str">
        <f t="shared" si="85"/>
        <v/>
      </c>
      <c r="BS391" s="386">
        <v>0</v>
      </c>
      <c r="BT391" s="268">
        <f>IF(BQ391,_xll.qDateYears(BQ390,BQ391,BT$13),0)</f>
        <v>0</v>
      </c>
      <c r="BU391" s="268">
        <f t="shared" si="91"/>
        <v>1738.6030924697341</v>
      </c>
      <c r="CC391" s="526">
        <v>0</v>
      </c>
      <c r="CD391" s="151" t="str">
        <f t="shared" si="86"/>
        <v/>
      </c>
      <c r="CE391" s="386">
        <v>0</v>
      </c>
      <c r="CF391" s="268">
        <f>IF(CC391,_xll.qDateYears(CC390,CC391,CF$13),0)</f>
        <v>0</v>
      </c>
      <c r="CG391" s="268">
        <f t="shared" si="92"/>
        <v>2312.0085517586949</v>
      </c>
      <c r="CO391" s="526">
        <v>0</v>
      </c>
      <c r="CP391" s="151" t="str">
        <f t="shared" si="87"/>
        <v/>
      </c>
      <c r="CQ391" s="386">
        <v>0</v>
      </c>
      <c r="CR391" s="268">
        <f>IF(CO391,_xll.qDateYears(CO390,CO391,CR$13),0)</f>
        <v>0</v>
      </c>
      <c r="CS391" s="268">
        <f t="shared" si="93"/>
        <v>2185.174943791465</v>
      </c>
      <c r="DA391" s="526">
        <v>0</v>
      </c>
      <c r="DB391" s="151" t="str">
        <f t="shared" si="88"/>
        <v/>
      </c>
      <c r="DC391" s="386">
        <v>0</v>
      </c>
      <c r="DD391" s="268">
        <f>IF(DA391,_xll.qDateYears(DA390,DA391,DD$13),0)</f>
        <v>0</v>
      </c>
      <c r="DE391" s="268">
        <f t="shared" si="94"/>
        <v>1616.1787110556011</v>
      </c>
      <c r="DM391" s="526">
        <v>0</v>
      </c>
      <c r="DN391" s="151" t="str">
        <f t="shared" si="89"/>
        <v/>
      </c>
      <c r="DO391" s="386">
        <v>0</v>
      </c>
      <c r="DP391" s="268">
        <f>IF(DM391,_xll.qDateYears(DM390,DM391,DP$13),0)</f>
        <v>0</v>
      </c>
      <c r="DQ391" s="268">
        <f t="shared" si="95"/>
        <v>2183.1745733532407</v>
      </c>
    </row>
    <row r="392" spans="59:121">
      <c r="BG392" s="526">
        <v>0</v>
      </c>
      <c r="BH392" s="150" t="str">
        <f t="shared" si="84"/>
        <v/>
      </c>
      <c r="BI392" s="386">
        <v>0</v>
      </c>
      <c r="BJ392" s="268">
        <f>IF(BG392,_xll.qDateYears(BG391,BG392,$BJ$13),0)</f>
        <v>0</v>
      </c>
      <c r="BK392" s="268">
        <f t="shared" si="90"/>
        <v>2183.1745733532407</v>
      </c>
      <c r="BQ392" s="526">
        <v>0</v>
      </c>
      <c r="BR392" s="151" t="str">
        <f t="shared" si="85"/>
        <v/>
      </c>
      <c r="BS392" s="386">
        <v>0</v>
      </c>
      <c r="BT392" s="268">
        <f>IF(BQ392,_xll.qDateYears(BQ391,BQ392,BT$13),0)</f>
        <v>0</v>
      </c>
      <c r="BU392" s="268">
        <f t="shared" si="91"/>
        <v>1738.6030924697341</v>
      </c>
      <c r="CC392" s="526">
        <v>0</v>
      </c>
      <c r="CD392" s="151" t="str">
        <f t="shared" si="86"/>
        <v/>
      </c>
      <c r="CE392" s="386">
        <v>0</v>
      </c>
      <c r="CF392" s="268">
        <f>IF(CC392,_xll.qDateYears(CC391,CC392,CF$13),0)</f>
        <v>0</v>
      </c>
      <c r="CG392" s="268">
        <f t="shared" si="92"/>
        <v>2312.0085517586949</v>
      </c>
      <c r="CO392" s="526">
        <v>0</v>
      </c>
      <c r="CP392" s="151" t="str">
        <f t="shared" si="87"/>
        <v/>
      </c>
      <c r="CQ392" s="386">
        <v>0</v>
      </c>
      <c r="CR392" s="268">
        <f>IF(CO392,_xll.qDateYears(CO391,CO392,CR$13),0)</f>
        <v>0</v>
      </c>
      <c r="CS392" s="268">
        <f t="shared" si="93"/>
        <v>2185.174943791465</v>
      </c>
      <c r="DA392" s="526">
        <v>0</v>
      </c>
      <c r="DB392" s="151" t="str">
        <f t="shared" si="88"/>
        <v/>
      </c>
      <c r="DC392" s="386">
        <v>0</v>
      </c>
      <c r="DD392" s="268">
        <f>IF(DA392,_xll.qDateYears(DA391,DA392,DD$13),0)</f>
        <v>0</v>
      </c>
      <c r="DE392" s="268">
        <f t="shared" si="94"/>
        <v>1616.1787110556011</v>
      </c>
      <c r="DM392" s="526">
        <v>0</v>
      </c>
      <c r="DN392" s="151" t="str">
        <f t="shared" si="89"/>
        <v/>
      </c>
      <c r="DO392" s="386">
        <v>0</v>
      </c>
      <c r="DP392" s="268">
        <f>IF(DM392,_xll.qDateYears(DM391,DM392,DP$13),0)</f>
        <v>0</v>
      </c>
      <c r="DQ392" s="268">
        <f t="shared" si="95"/>
        <v>2183.1745733532407</v>
      </c>
    </row>
    <row r="393" spans="59:121">
      <c r="BG393" s="526">
        <v>0</v>
      </c>
      <c r="BH393" s="150" t="str">
        <f t="shared" si="84"/>
        <v/>
      </c>
      <c r="BI393" s="386">
        <v>0</v>
      </c>
      <c r="BJ393" s="268">
        <f>IF(BG393,_xll.qDateYears(BG392,BG393,$BJ$13),0)</f>
        <v>0</v>
      </c>
      <c r="BK393" s="268">
        <f t="shared" si="90"/>
        <v>2183.1745733532407</v>
      </c>
      <c r="BQ393" s="526">
        <v>0</v>
      </c>
      <c r="BR393" s="151" t="str">
        <f t="shared" si="85"/>
        <v/>
      </c>
      <c r="BS393" s="386">
        <v>0</v>
      </c>
      <c r="BT393" s="268">
        <f>IF(BQ393,_xll.qDateYears(BQ392,BQ393,BT$13),0)</f>
        <v>0</v>
      </c>
      <c r="BU393" s="268">
        <f t="shared" si="91"/>
        <v>1738.6030924697341</v>
      </c>
      <c r="CC393" s="526">
        <v>0</v>
      </c>
      <c r="CD393" s="151" t="str">
        <f t="shared" si="86"/>
        <v/>
      </c>
      <c r="CE393" s="386">
        <v>0</v>
      </c>
      <c r="CF393" s="268">
        <f>IF(CC393,_xll.qDateYears(CC392,CC393,CF$13),0)</f>
        <v>0</v>
      </c>
      <c r="CG393" s="268">
        <f t="shared" si="92"/>
        <v>2312.0085517586949</v>
      </c>
      <c r="CO393" s="526">
        <v>0</v>
      </c>
      <c r="CP393" s="151" t="str">
        <f t="shared" si="87"/>
        <v/>
      </c>
      <c r="CQ393" s="386">
        <v>0</v>
      </c>
      <c r="CR393" s="268">
        <f>IF(CO393,_xll.qDateYears(CO392,CO393,CR$13),0)</f>
        <v>0</v>
      </c>
      <c r="CS393" s="268">
        <f t="shared" si="93"/>
        <v>2185.174943791465</v>
      </c>
      <c r="DA393" s="526">
        <v>0</v>
      </c>
      <c r="DB393" s="151" t="str">
        <f t="shared" si="88"/>
        <v/>
      </c>
      <c r="DC393" s="386">
        <v>0</v>
      </c>
      <c r="DD393" s="268">
        <f>IF(DA393,_xll.qDateYears(DA392,DA393,DD$13),0)</f>
        <v>0</v>
      </c>
      <c r="DE393" s="268">
        <f t="shared" si="94"/>
        <v>1616.1787110556011</v>
      </c>
      <c r="DM393" s="526">
        <v>0</v>
      </c>
      <c r="DN393" s="151" t="str">
        <f t="shared" si="89"/>
        <v/>
      </c>
      <c r="DO393" s="386">
        <v>0</v>
      </c>
      <c r="DP393" s="268">
        <f>IF(DM393,_xll.qDateYears(DM392,DM393,DP$13),0)</f>
        <v>0</v>
      </c>
      <c r="DQ393" s="268">
        <f t="shared" si="95"/>
        <v>2183.1745733532407</v>
      </c>
    </row>
    <row r="394" spans="59:121">
      <c r="BG394" s="526">
        <v>0</v>
      </c>
      <c r="BH394" s="150" t="str">
        <f t="shared" si="84"/>
        <v/>
      </c>
      <c r="BI394" s="386">
        <v>0</v>
      </c>
      <c r="BJ394" s="268">
        <f>IF(BG394,_xll.qDateYears(BG393,BG394,$BJ$13),0)</f>
        <v>0</v>
      </c>
      <c r="BK394" s="268">
        <f t="shared" si="90"/>
        <v>2183.1745733532407</v>
      </c>
      <c r="BQ394" s="526">
        <v>0</v>
      </c>
      <c r="BR394" s="151" t="str">
        <f t="shared" si="85"/>
        <v/>
      </c>
      <c r="BS394" s="386">
        <v>0</v>
      </c>
      <c r="BT394" s="268">
        <f>IF(BQ394,_xll.qDateYears(BQ393,BQ394,BT$13),0)</f>
        <v>0</v>
      </c>
      <c r="BU394" s="268">
        <f t="shared" si="91"/>
        <v>1738.6030924697341</v>
      </c>
      <c r="CC394" s="526">
        <v>0</v>
      </c>
      <c r="CD394" s="151" t="str">
        <f t="shared" si="86"/>
        <v/>
      </c>
      <c r="CE394" s="386">
        <v>0</v>
      </c>
      <c r="CF394" s="268">
        <f>IF(CC394,_xll.qDateYears(CC393,CC394,CF$13),0)</f>
        <v>0</v>
      </c>
      <c r="CG394" s="268">
        <f t="shared" si="92"/>
        <v>2312.0085517586949</v>
      </c>
      <c r="CO394" s="526">
        <v>0</v>
      </c>
      <c r="CP394" s="151" t="str">
        <f t="shared" si="87"/>
        <v/>
      </c>
      <c r="CQ394" s="386">
        <v>0</v>
      </c>
      <c r="CR394" s="268">
        <f>IF(CO394,_xll.qDateYears(CO393,CO394,CR$13),0)</f>
        <v>0</v>
      </c>
      <c r="CS394" s="268">
        <f t="shared" si="93"/>
        <v>2185.174943791465</v>
      </c>
      <c r="DA394" s="526">
        <v>0</v>
      </c>
      <c r="DB394" s="151" t="str">
        <f t="shared" si="88"/>
        <v/>
      </c>
      <c r="DC394" s="386">
        <v>0</v>
      </c>
      <c r="DD394" s="268">
        <f>IF(DA394,_xll.qDateYears(DA393,DA394,DD$13),0)</f>
        <v>0</v>
      </c>
      <c r="DE394" s="268">
        <f t="shared" si="94"/>
        <v>1616.1787110556011</v>
      </c>
      <c r="DM394" s="526">
        <v>0</v>
      </c>
      <c r="DN394" s="151" t="str">
        <f t="shared" si="89"/>
        <v/>
      </c>
      <c r="DO394" s="386">
        <v>0</v>
      </c>
      <c r="DP394" s="268">
        <f>IF(DM394,_xll.qDateYears(DM393,DM394,DP$13),0)</f>
        <v>0</v>
      </c>
      <c r="DQ394" s="268">
        <f t="shared" si="95"/>
        <v>2183.1745733532407</v>
      </c>
    </row>
    <row r="395" spans="59:121">
      <c r="BG395" s="526">
        <v>0</v>
      </c>
      <c r="BH395" s="150" t="str">
        <f t="shared" si="84"/>
        <v/>
      </c>
      <c r="BI395" s="386">
        <v>0</v>
      </c>
      <c r="BJ395" s="268">
        <f>IF(BG395,_xll.qDateYears(BG394,BG395,$BJ$13),0)</f>
        <v>0</v>
      </c>
      <c r="BK395" s="268">
        <f t="shared" si="90"/>
        <v>2183.1745733532407</v>
      </c>
      <c r="BQ395" s="526">
        <v>0</v>
      </c>
      <c r="BR395" s="151" t="str">
        <f t="shared" si="85"/>
        <v/>
      </c>
      <c r="BS395" s="386">
        <v>0</v>
      </c>
      <c r="BT395" s="268">
        <f>IF(BQ395,_xll.qDateYears(BQ394,BQ395,BT$13),0)</f>
        <v>0</v>
      </c>
      <c r="BU395" s="268">
        <f t="shared" si="91"/>
        <v>1738.6030924697341</v>
      </c>
      <c r="CC395" s="526">
        <v>0</v>
      </c>
      <c r="CD395" s="151" t="str">
        <f t="shared" si="86"/>
        <v/>
      </c>
      <c r="CE395" s="386">
        <v>0</v>
      </c>
      <c r="CF395" s="268">
        <f>IF(CC395,_xll.qDateYears(CC394,CC395,CF$13),0)</f>
        <v>0</v>
      </c>
      <c r="CG395" s="268">
        <f t="shared" si="92"/>
        <v>2312.0085517586949</v>
      </c>
      <c r="CO395" s="526">
        <v>0</v>
      </c>
      <c r="CP395" s="151" t="str">
        <f t="shared" si="87"/>
        <v/>
      </c>
      <c r="CQ395" s="386">
        <v>0</v>
      </c>
      <c r="CR395" s="268">
        <f>IF(CO395,_xll.qDateYears(CO394,CO395,CR$13),0)</f>
        <v>0</v>
      </c>
      <c r="CS395" s="268">
        <f t="shared" si="93"/>
        <v>2185.174943791465</v>
      </c>
      <c r="DA395" s="526">
        <v>0</v>
      </c>
      <c r="DB395" s="151" t="str">
        <f t="shared" si="88"/>
        <v/>
      </c>
      <c r="DC395" s="386">
        <v>0</v>
      </c>
      <c r="DD395" s="268">
        <f>IF(DA395,_xll.qDateYears(DA394,DA395,DD$13),0)</f>
        <v>0</v>
      </c>
      <c r="DE395" s="268">
        <f t="shared" si="94"/>
        <v>1616.1787110556011</v>
      </c>
      <c r="DM395" s="526">
        <v>0</v>
      </c>
      <c r="DN395" s="151" t="str">
        <f t="shared" si="89"/>
        <v/>
      </c>
      <c r="DO395" s="386">
        <v>0</v>
      </c>
      <c r="DP395" s="268">
        <f>IF(DM395,_xll.qDateYears(DM394,DM395,DP$13),0)</f>
        <v>0</v>
      </c>
      <c r="DQ395" s="268">
        <f t="shared" si="95"/>
        <v>2183.1745733532407</v>
      </c>
    </row>
    <row r="396" spans="59:121">
      <c r="BG396" s="526">
        <v>0</v>
      </c>
      <c r="BH396" s="150" t="str">
        <f t="shared" si="84"/>
        <v/>
      </c>
      <c r="BI396" s="386">
        <v>0</v>
      </c>
      <c r="BJ396" s="268">
        <f>IF(BG396,_xll.qDateYears(BG395,BG396,$BJ$13),0)</f>
        <v>0</v>
      </c>
      <c r="BK396" s="268">
        <f t="shared" si="90"/>
        <v>2183.1745733532407</v>
      </c>
      <c r="BQ396" s="526">
        <v>0</v>
      </c>
      <c r="BR396" s="151" t="str">
        <f t="shared" si="85"/>
        <v/>
      </c>
      <c r="BS396" s="386">
        <v>0</v>
      </c>
      <c r="BT396" s="268">
        <f>IF(BQ396,_xll.qDateYears(BQ395,BQ396,BT$13),0)</f>
        <v>0</v>
      </c>
      <c r="BU396" s="268">
        <f t="shared" si="91"/>
        <v>1738.6030924697341</v>
      </c>
      <c r="CC396" s="526">
        <v>0</v>
      </c>
      <c r="CD396" s="151" t="str">
        <f t="shared" si="86"/>
        <v/>
      </c>
      <c r="CE396" s="386">
        <v>0</v>
      </c>
      <c r="CF396" s="268">
        <f>IF(CC396,_xll.qDateYears(CC395,CC396,CF$13),0)</f>
        <v>0</v>
      </c>
      <c r="CG396" s="268">
        <f t="shared" si="92"/>
        <v>2312.0085517586949</v>
      </c>
      <c r="CO396" s="526">
        <v>0</v>
      </c>
      <c r="CP396" s="151" t="str">
        <f t="shared" si="87"/>
        <v/>
      </c>
      <c r="CQ396" s="386">
        <v>0</v>
      </c>
      <c r="CR396" s="268">
        <f>IF(CO396,_xll.qDateYears(CO395,CO396,CR$13),0)</f>
        <v>0</v>
      </c>
      <c r="CS396" s="268">
        <f t="shared" si="93"/>
        <v>2185.174943791465</v>
      </c>
      <c r="DA396" s="526">
        <v>0</v>
      </c>
      <c r="DB396" s="151" t="str">
        <f t="shared" si="88"/>
        <v/>
      </c>
      <c r="DC396" s="386">
        <v>0</v>
      </c>
      <c r="DD396" s="268">
        <f>IF(DA396,_xll.qDateYears(DA395,DA396,DD$13),0)</f>
        <v>0</v>
      </c>
      <c r="DE396" s="268">
        <f t="shared" si="94"/>
        <v>1616.1787110556011</v>
      </c>
      <c r="DM396" s="526">
        <v>0</v>
      </c>
      <c r="DN396" s="151" t="str">
        <f t="shared" si="89"/>
        <v/>
      </c>
      <c r="DO396" s="386">
        <v>0</v>
      </c>
      <c r="DP396" s="268">
        <f>IF(DM396,_xll.qDateYears(DM395,DM396,DP$13),0)</f>
        <v>0</v>
      </c>
      <c r="DQ396" s="268">
        <f t="shared" si="95"/>
        <v>2183.1745733532407</v>
      </c>
    </row>
    <row r="397" spans="59:121">
      <c r="BG397" s="526">
        <v>0</v>
      </c>
      <c r="BH397" s="150" t="str">
        <f t="shared" si="84"/>
        <v/>
      </c>
      <c r="BI397" s="386">
        <v>0</v>
      </c>
      <c r="BJ397" s="268">
        <f>IF(BG397,_xll.qDateYears(BG396,BG397,$BJ$13),0)</f>
        <v>0</v>
      </c>
      <c r="BK397" s="268">
        <f t="shared" si="90"/>
        <v>2183.1745733532407</v>
      </c>
      <c r="BQ397" s="526">
        <v>0</v>
      </c>
      <c r="BR397" s="151" t="str">
        <f t="shared" si="85"/>
        <v/>
      </c>
      <c r="BS397" s="386">
        <v>0</v>
      </c>
      <c r="BT397" s="268">
        <f>IF(BQ397,_xll.qDateYears(BQ396,BQ397,BT$13),0)</f>
        <v>0</v>
      </c>
      <c r="BU397" s="268">
        <f t="shared" si="91"/>
        <v>1738.6030924697341</v>
      </c>
      <c r="CC397" s="526">
        <v>0</v>
      </c>
      <c r="CD397" s="151" t="str">
        <f t="shared" si="86"/>
        <v/>
      </c>
      <c r="CE397" s="386">
        <v>0</v>
      </c>
      <c r="CF397" s="268">
        <f>IF(CC397,_xll.qDateYears(CC396,CC397,CF$13),0)</f>
        <v>0</v>
      </c>
      <c r="CG397" s="268">
        <f t="shared" si="92"/>
        <v>2312.0085517586949</v>
      </c>
      <c r="CO397" s="526">
        <v>0</v>
      </c>
      <c r="CP397" s="151" t="str">
        <f t="shared" si="87"/>
        <v/>
      </c>
      <c r="CQ397" s="386">
        <v>0</v>
      </c>
      <c r="CR397" s="268">
        <f>IF(CO397,_xll.qDateYears(CO396,CO397,CR$13),0)</f>
        <v>0</v>
      </c>
      <c r="CS397" s="268">
        <f t="shared" si="93"/>
        <v>2185.174943791465</v>
      </c>
      <c r="DA397" s="526">
        <v>0</v>
      </c>
      <c r="DB397" s="151" t="str">
        <f t="shared" si="88"/>
        <v/>
      </c>
      <c r="DC397" s="386">
        <v>0</v>
      </c>
      <c r="DD397" s="268">
        <f>IF(DA397,_xll.qDateYears(DA396,DA397,DD$13),0)</f>
        <v>0</v>
      </c>
      <c r="DE397" s="268">
        <f t="shared" si="94"/>
        <v>1616.1787110556011</v>
      </c>
      <c r="DM397" s="526">
        <v>0</v>
      </c>
      <c r="DN397" s="151" t="str">
        <f t="shared" si="89"/>
        <v/>
      </c>
      <c r="DO397" s="386">
        <v>0</v>
      </c>
      <c r="DP397" s="268">
        <f>IF(DM397,_xll.qDateYears(DM396,DM397,DP$13),0)</f>
        <v>0</v>
      </c>
      <c r="DQ397" s="268">
        <f t="shared" si="95"/>
        <v>2183.1745733532407</v>
      </c>
    </row>
    <row r="398" spans="59:121">
      <c r="BG398" s="526">
        <v>0</v>
      </c>
      <c r="BH398" s="150" t="str">
        <f t="shared" si="84"/>
        <v/>
      </c>
      <c r="BI398" s="386">
        <v>0</v>
      </c>
      <c r="BJ398" s="268">
        <f>IF(BG398,_xll.qDateYears(BG397,BG398,$BJ$13),0)</f>
        <v>0</v>
      </c>
      <c r="BK398" s="268">
        <f t="shared" si="90"/>
        <v>2183.1745733532407</v>
      </c>
      <c r="BQ398" s="526">
        <v>0</v>
      </c>
      <c r="BR398" s="151" t="str">
        <f t="shared" si="85"/>
        <v/>
      </c>
      <c r="BS398" s="386">
        <v>0</v>
      </c>
      <c r="BT398" s="268">
        <f>IF(BQ398,_xll.qDateYears(BQ397,BQ398,BT$13),0)</f>
        <v>0</v>
      </c>
      <c r="BU398" s="268">
        <f t="shared" si="91"/>
        <v>1738.6030924697341</v>
      </c>
      <c r="CC398" s="526">
        <v>0</v>
      </c>
      <c r="CD398" s="151" t="str">
        <f t="shared" si="86"/>
        <v/>
      </c>
      <c r="CE398" s="386">
        <v>0</v>
      </c>
      <c r="CF398" s="268">
        <f>IF(CC398,_xll.qDateYears(CC397,CC398,CF$13),0)</f>
        <v>0</v>
      </c>
      <c r="CG398" s="268">
        <f t="shared" si="92"/>
        <v>2312.0085517586949</v>
      </c>
      <c r="CO398" s="526">
        <v>0</v>
      </c>
      <c r="CP398" s="151" t="str">
        <f t="shared" si="87"/>
        <v/>
      </c>
      <c r="CQ398" s="386">
        <v>0</v>
      </c>
      <c r="CR398" s="268">
        <f>IF(CO398,_xll.qDateYears(CO397,CO398,CR$13),0)</f>
        <v>0</v>
      </c>
      <c r="CS398" s="268">
        <f t="shared" si="93"/>
        <v>2185.174943791465</v>
      </c>
      <c r="DA398" s="526">
        <v>0</v>
      </c>
      <c r="DB398" s="151" t="str">
        <f t="shared" si="88"/>
        <v/>
      </c>
      <c r="DC398" s="386">
        <v>0</v>
      </c>
      <c r="DD398" s="268">
        <f>IF(DA398,_xll.qDateYears(DA397,DA398,DD$13),0)</f>
        <v>0</v>
      </c>
      <c r="DE398" s="268">
        <f t="shared" si="94"/>
        <v>1616.1787110556011</v>
      </c>
      <c r="DM398" s="526">
        <v>0</v>
      </c>
      <c r="DN398" s="151" t="str">
        <f t="shared" si="89"/>
        <v/>
      </c>
      <c r="DO398" s="386">
        <v>0</v>
      </c>
      <c r="DP398" s="268">
        <f>IF(DM398,_xll.qDateYears(DM397,DM398,DP$13),0)</f>
        <v>0</v>
      </c>
      <c r="DQ398" s="268">
        <f t="shared" si="95"/>
        <v>2183.1745733532407</v>
      </c>
    </row>
    <row r="399" spans="59:121">
      <c r="BG399" s="526">
        <v>0</v>
      </c>
      <c r="BH399" s="150" t="str">
        <f t="shared" ref="BH399:BH462" si="96">IF(BG399,ROUND((BG399-$BG$15)/365/0.25,0)*0.25&amp;"Y","")</f>
        <v/>
      </c>
      <c r="BI399" s="386">
        <v>0</v>
      </c>
      <c r="BJ399" s="268">
        <f>IF(BG399,_xll.qDateYears(BG398,BG399,$BJ$13),0)</f>
        <v>0</v>
      </c>
      <c r="BK399" s="268">
        <f t="shared" si="90"/>
        <v>2183.1745733532407</v>
      </c>
      <c r="BQ399" s="526">
        <v>0</v>
      </c>
      <c r="BR399" s="151" t="str">
        <f t="shared" ref="BR399:BR462" si="97">IF(BQ399,ROUND((BQ399-$BG$15)/365/0.25,0)*0.25&amp;"Y","")</f>
        <v/>
      </c>
      <c r="BS399" s="386">
        <v>0</v>
      </c>
      <c r="BT399" s="268">
        <f>IF(BQ399,_xll.qDateYears(BQ398,BQ399,BT$13),0)</f>
        <v>0</v>
      </c>
      <c r="BU399" s="268">
        <f t="shared" si="91"/>
        <v>1738.6030924697341</v>
      </c>
      <c r="CC399" s="526">
        <v>0</v>
      </c>
      <c r="CD399" s="151" t="str">
        <f t="shared" ref="CD399:CD462" si="98">IF(CC399,ROUND((CC399-$BG$15)/365/0.25,0)*0.25&amp;"Y","")</f>
        <v/>
      </c>
      <c r="CE399" s="386">
        <v>0</v>
      </c>
      <c r="CF399" s="268">
        <f>IF(CC399,_xll.qDateYears(CC398,CC399,CF$13),0)</f>
        <v>0</v>
      </c>
      <c r="CG399" s="268">
        <f t="shared" si="92"/>
        <v>2312.0085517586949</v>
      </c>
      <c r="CO399" s="526">
        <v>0</v>
      </c>
      <c r="CP399" s="151" t="str">
        <f t="shared" ref="CP399:CP462" si="99">IF(CO399,ROUND((CO399-$BG$15)/365/0.25,0)*0.25&amp;"Y","")</f>
        <v/>
      </c>
      <c r="CQ399" s="386">
        <v>0</v>
      </c>
      <c r="CR399" s="268">
        <f>IF(CO399,_xll.qDateYears(CO398,CO399,CR$13),0)</f>
        <v>0</v>
      </c>
      <c r="CS399" s="268">
        <f t="shared" si="93"/>
        <v>2185.174943791465</v>
      </c>
      <c r="DA399" s="526">
        <v>0</v>
      </c>
      <c r="DB399" s="151" t="str">
        <f t="shared" ref="DB399:DB462" si="100">IF(DA399,ROUND((DA399-$BG$15)/365/0.25,0)*0.25&amp;"Y","")</f>
        <v/>
      </c>
      <c r="DC399" s="386">
        <v>0</v>
      </c>
      <c r="DD399" s="268">
        <f>IF(DA399,_xll.qDateYears(DA398,DA399,DD$13),0)</f>
        <v>0</v>
      </c>
      <c r="DE399" s="268">
        <f t="shared" si="94"/>
        <v>1616.1787110556011</v>
      </c>
      <c r="DM399" s="526">
        <v>0</v>
      </c>
      <c r="DN399" s="151" t="str">
        <f t="shared" ref="DN399:DN462" si="101">IF(DM399,ROUND((DM399-$BG$15)/365/0.25,0)*0.25&amp;"Y","")</f>
        <v/>
      </c>
      <c r="DO399" s="386">
        <v>0</v>
      </c>
      <c r="DP399" s="268">
        <f>IF(DM399,_xll.qDateYears(DM398,DM399,DP$13),0)</f>
        <v>0</v>
      </c>
      <c r="DQ399" s="268">
        <f t="shared" si="95"/>
        <v>2183.1745733532407</v>
      </c>
    </row>
    <row r="400" spans="59:121">
      <c r="BG400" s="526">
        <v>0</v>
      </c>
      <c r="BH400" s="150" t="str">
        <f t="shared" si="96"/>
        <v/>
      </c>
      <c r="BI400" s="386">
        <v>0</v>
      </c>
      <c r="BJ400" s="268">
        <f>IF(BG400,_xll.qDateYears(BG399,BG400,$BJ$13),0)</f>
        <v>0</v>
      </c>
      <c r="BK400" s="268">
        <f t="shared" si="90"/>
        <v>2183.1745733532407</v>
      </c>
      <c r="BQ400" s="526">
        <v>0</v>
      </c>
      <c r="BR400" s="151" t="str">
        <f t="shared" si="97"/>
        <v/>
      </c>
      <c r="BS400" s="386">
        <v>0</v>
      </c>
      <c r="BT400" s="268">
        <f>IF(BQ400,_xll.qDateYears(BQ399,BQ400,BT$13),0)</f>
        <v>0</v>
      </c>
      <c r="BU400" s="268">
        <f t="shared" si="91"/>
        <v>1738.6030924697341</v>
      </c>
      <c r="CC400" s="526">
        <v>0</v>
      </c>
      <c r="CD400" s="151" t="str">
        <f t="shared" si="98"/>
        <v/>
      </c>
      <c r="CE400" s="386">
        <v>0</v>
      </c>
      <c r="CF400" s="268">
        <f>IF(CC400,_xll.qDateYears(CC399,CC400,CF$13),0)</f>
        <v>0</v>
      </c>
      <c r="CG400" s="268">
        <f t="shared" si="92"/>
        <v>2312.0085517586949</v>
      </c>
      <c r="CO400" s="526">
        <v>0</v>
      </c>
      <c r="CP400" s="151" t="str">
        <f t="shared" si="99"/>
        <v/>
      </c>
      <c r="CQ400" s="386">
        <v>0</v>
      </c>
      <c r="CR400" s="268">
        <f>IF(CO400,_xll.qDateYears(CO399,CO400,CR$13),0)</f>
        <v>0</v>
      </c>
      <c r="CS400" s="268">
        <f t="shared" si="93"/>
        <v>2185.174943791465</v>
      </c>
      <c r="DA400" s="526">
        <v>0</v>
      </c>
      <c r="DB400" s="151" t="str">
        <f t="shared" si="100"/>
        <v/>
      </c>
      <c r="DC400" s="386">
        <v>0</v>
      </c>
      <c r="DD400" s="268">
        <f>IF(DA400,_xll.qDateYears(DA399,DA400,DD$13),0)</f>
        <v>0</v>
      </c>
      <c r="DE400" s="268">
        <f t="shared" si="94"/>
        <v>1616.1787110556011</v>
      </c>
      <c r="DM400" s="526">
        <v>0</v>
      </c>
      <c r="DN400" s="151" t="str">
        <f t="shared" si="101"/>
        <v/>
      </c>
      <c r="DO400" s="386">
        <v>0</v>
      </c>
      <c r="DP400" s="268">
        <f>IF(DM400,_xll.qDateYears(DM399,DM400,DP$13),0)</f>
        <v>0</v>
      </c>
      <c r="DQ400" s="268">
        <f t="shared" si="95"/>
        <v>2183.1745733532407</v>
      </c>
    </row>
    <row r="401" spans="59:121">
      <c r="BG401" s="526">
        <v>0</v>
      </c>
      <c r="BH401" s="150" t="str">
        <f t="shared" si="96"/>
        <v/>
      </c>
      <c r="BI401" s="386">
        <v>0</v>
      </c>
      <c r="BJ401" s="268">
        <f>IF(BG401,_xll.qDateYears(BG400,BG401,$BJ$13),0)</f>
        <v>0</v>
      </c>
      <c r="BK401" s="268">
        <f t="shared" ref="BK401:BK464" si="102">BK400+BJ401*BI401*100</f>
        <v>2183.1745733532407</v>
      </c>
      <c r="BQ401" s="526">
        <v>0</v>
      </c>
      <c r="BR401" s="151" t="str">
        <f t="shared" si="97"/>
        <v/>
      </c>
      <c r="BS401" s="386">
        <v>0</v>
      </c>
      <c r="BT401" s="268">
        <f>IF(BQ401,_xll.qDateYears(BQ400,BQ401,BT$13),0)</f>
        <v>0</v>
      </c>
      <c r="BU401" s="268">
        <f t="shared" ref="BU401:BU464" si="103">BU400+BT401*BS401*100</f>
        <v>1738.6030924697341</v>
      </c>
      <c r="CC401" s="526">
        <v>0</v>
      </c>
      <c r="CD401" s="151" t="str">
        <f t="shared" si="98"/>
        <v/>
      </c>
      <c r="CE401" s="386">
        <v>0</v>
      </c>
      <c r="CF401" s="268">
        <f>IF(CC401,_xll.qDateYears(CC400,CC401,CF$13),0)</f>
        <v>0</v>
      </c>
      <c r="CG401" s="268">
        <f t="shared" ref="CG401:CG464" si="104">CG400+CF401*CE401*100</f>
        <v>2312.0085517586949</v>
      </c>
      <c r="CO401" s="526">
        <v>0</v>
      </c>
      <c r="CP401" s="151" t="str">
        <f t="shared" si="99"/>
        <v/>
      </c>
      <c r="CQ401" s="386">
        <v>0</v>
      </c>
      <c r="CR401" s="268">
        <f>IF(CO401,_xll.qDateYears(CO400,CO401,CR$13),0)</f>
        <v>0</v>
      </c>
      <c r="CS401" s="268">
        <f t="shared" ref="CS401:CS464" si="105">CS400+CR401*CQ401*100</f>
        <v>2185.174943791465</v>
      </c>
      <c r="DA401" s="526">
        <v>0</v>
      </c>
      <c r="DB401" s="151" t="str">
        <f t="shared" si="100"/>
        <v/>
      </c>
      <c r="DC401" s="386">
        <v>0</v>
      </c>
      <c r="DD401" s="268">
        <f>IF(DA401,_xll.qDateYears(DA400,DA401,DD$13),0)</f>
        <v>0</v>
      </c>
      <c r="DE401" s="268">
        <f t="shared" ref="DE401:DE464" si="106">DE400+DD401*DC401*100</f>
        <v>1616.1787110556011</v>
      </c>
      <c r="DM401" s="526">
        <v>0</v>
      </c>
      <c r="DN401" s="151" t="str">
        <f t="shared" si="101"/>
        <v/>
      </c>
      <c r="DO401" s="386">
        <v>0</v>
      </c>
      <c r="DP401" s="268">
        <f>IF(DM401,_xll.qDateYears(DM400,DM401,DP$13),0)</f>
        <v>0</v>
      </c>
      <c r="DQ401" s="268">
        <f t="shared" ref="DQ401:DQ464" si="107">DQ400+DP401*DO401*100</f>
        <v>2183.1745733532407</v>
      </c>
    </row>
    <row r="402" spans="59:121">
      <c r="BG402" s="526">
        <v>0</v>
      </c>
      <c r="BH402" s="150" t="str">
        <f t="shared" si="96"/>
        <v/>
      </c>
      <c r="BI402" s="386">
        <v>0</v>
      </c>
      <c r="BJ402" s="268">
        <f>IF(BG402,_xll.qDateYears(BG401,BG402,$BJ$13),0)</f>
        <v>0</v>
      </c>
      <c r="BK402" s="268">
        <f t="shared" si="102"/>
        <v>2183.1745733532407</v>
      </c>
      <c r="BQ402" s="526">
        <v>0</v>
      </c>
      <c r="BR402" s="151" t="str">
        <f t="shared" si="97"/>
        <v/>
      </c>
      <c r="BS402" s="386">
        <v>0</v>
      </c>
      <c r="BT402" s="268">
        <f>IF(BQ402,_xll.qDateYears(BQ401,BQ402,BT$13),0)</f>
        <v>0</v>
      </c>
      <c r="BU402" s="268">
        <f t="shared" si="103"/>
        <v>1738.6030924697341</v>
      </c>
      <c r="CC402" s="526">
        <v>0</v>
      </c>
      <c r="CD402" s="151" t="str">
        <f t="shared" si="98"/>
        <v/>
      </c>
      <c r="CE402" s="386">
        <v>0</v>
      </c>
      <c r="CF402" s="268">
        <f>IF(CC402,_xll.qDateYears(CC401,CC402,CF$13),0)</f>
        <v>0</v>
      </c>
      <c r="CG402" s="268">
        <f t="shared" si="104"/>
        <v>2312.0085517586949</v>
      </c>
      <c r="CO402" s="526">
        <v>0</v>
      </c>
      <c r="CP402" s="151" t="str">
        <f t="shared" si="99"/>
        <v/>
      </c>
      <c r="CQ402" s="386">
        <v>0</v>
      </c>
      <c r="CR402" s="268">
        <f>IF(CO402,_xll.qDateYears(CO401,CO402,CR$13),0)</f>
        <v>0</v>
      </c>
      <c r="CS402" s="268">
        <f t="shared" si="105"/>
        <v>2185.174943791465</v>
      </c>
      <c r="DA402" s="526">
        <v>0</v>
      </c>
      <c r="DB402" s="151" t="str">
        <f t="shared" si="100"/>
        <v/>
      </c>
      <c r="DC402" s="386">
        <v>0</v>
      </c>
      <c r="DD402" s="268">
        <f>IF(DA402,_xll.qDateYears(DA401,DA402,DD$13),0)</f>
        <v>0</v>
      </c>
      <c r="DE402" s="268">
        <f t="shared" si="106"/>
        <v>1616.1787110556011</v>
      </c>
      <c r="DM402" s="526">
        <v>0</v>
      </c>
      <c r="DN402" s="151" t="str">
        <f t="shared" si="101"/>
        <v/>
      </c>
      <c r="DO402" s="386">
        <v>0</v>
      </c>
      <c r="DP402" s="268">
        <f>IF(DM402,_xll.qDateYears(DM401,DM402,DP$13),0)</f>
        <v>0</v>
      </c>
      <c r="DQ402" s="268">
        <f t="shared" si="107"/>
        <v>2183.1745733532407</v>
      </c>
    </row>
    <row r="403" spans="59:121">
      <c r="BG403" s="526">
        <v>0</v>
      </c>
      <c r="BH403" s="150" t="str">
        <f t="shared" si="96"/>
        <v/>
      </c>
      <c r="BI403" s="386">
        <v>0</v>
      </c>
      <c r="BJ403" s="268">
        <f>IF(BG403,_xll.qDateYears(BG402,BG403,$BJ$13),0)</f>
        <v>0</v>
      </c>
      <c r="BK403" s="268">
        <f t="shared" si="102"/>
        <v>2183.1745733532407</v>
      </c>
      <c r="BQ403" s="526">
        <v>0</v>
      </c>
      <c r="BR403" s="151" t="str">
        <f t="shared" si="97"/>
        <v/>
      </c>
      <c r="BS403" s="386">
        <v>0</v>
      </c>
      <c r="BT403" s="268">
        <f>IF(BQ403,_xll.qDateYears(BQ402,BQ403,BT$13),0)</f>
        <v>0</v>
      </c>
      <c r="BU403" s="268">
        <f t="shared" si="103"/>
        <v>1738.6030924697341</v>
      </c>
      <c r="CC403" s="526">
        <v>0</v>
      </c>
      <c r="CD403" s="151" t="str">
        <f t="shared" si="98"/>
        <v/>
      </c>
      <c r="CE403" s="386">
        <v>0</v>
      </c>
      <c r="CF403" s="268">
        <f>IF(CC403,_xll.qDateYears(CC402,CC403,CF$13),0)</f>
        <v>0</v>
      </c>
      <c r="CG403" s="268">
        <f t="shared" si="104"/>
        <v>2312.0085517586949</v>
      </c>
      <c r="CO403" s="526">
        <v>0</v>
      </c>
      <c r="CP403" s="151" t="str">
        <f t="shared" si="99"/>
        <v/>
      </c>
      <c r="CQ403" s="386">
        <v>0</v>
      </c>
      <c r="CR403" s="268">
        <f>IF(CO403,_xll.qDateYears(CO402,CO403,CR$13),0)</f>
        <v>0</v>
      </c>
      <c r="CS403" s="268">
        <f t="shared" si="105"/>
        <v>2185.174943791465</v>
      </c>
      <c r="DA403" s="526">
        <v>0</v>
      </c>
      <c r="DB403" s="151" t="str">
        <f t="shared" si="100"/>
        <v/>
      </c>
      <c r="DC403" s="386">
        <v>0</v>
      </c>
      <c r="DD403" s="268">
        <f>IF(DA403,_xll.qDateYears(DA402,DA403,DD$13),0)</f>
        <v>0</v>
      </c>
      <c r="DE403" s="268">
        <f t="shared" si="106"/>
        <v>1616.1787110556011</v>
      </c>
      <c r="DM403" s="526">
        <v>0</v>
      </c>
      <c r="DN403" s="151" t="str">
        <f t="shared" si="101"/>
        <v/>
      </c>
      <c r="DO403" s="386">
        <v>0</v>
      </c>
      <c r="DP403" s="268">
        <f>IF(DM403,_xll.qDateYears(DM402,DM403,DP$13),0)</f>
        <v>0</v>
      </c>
      <c r="DQ403" s="268">
        <f t="shared" si="107"/>
        <v>2183.1745733532407</v>
      </c>
    </row>
    <row r="404" spans="59:121">
      <c r="BG404" s="526">
        <v>0</v>
      </c>
      <c r="BH404" s="150" t="str">
        <f t="shared" si="96"/>
        <v/>
      </c>
      <c r="BI404" s="386">
        <v>0</v>
      </c>
      <c r="BJ404" s="268">
        <f>IF(BG404,_xll.qDateYears(BG403,BG404,$BJ$13),0)</f>
        <v>0</v>
      </c>
      <c r="BK404" s="268">
        <f t="shared" si="102"/>
        <v>2183.1745733532407</v>
      </c>
      <c r="BQ404" s="526">
        <v>0</v>
      </c>
      <c r="BR404" s="151" t="str">
        <f t="shared" si="97"/>
        <v/>
      </c>
      <c r="BS404" s="386">
        <v>0</v>
      </c>
      <c r="BT404" s="268">
        <f>IF(BQ404,_xll.qDateYears(BQ403,BQ404,BT$13),0)</f>
        <v>0</v>
      </c>
      <c r="BU404" s="268">
        <f t="shared" si="103"/>
        <v>1738.6030924697341</v>
      </c>
      <c r="CC404" s="526">
        <v>0</v>
      </c>
      <c r="CD404" s="151" t="str">
        <f t="shared" si="98"/>
        <v/>
      </c>
      <c r="CE404" s="386">
        <v>0</v>
      </c>
      <c r="CF404" s="268">
        <f>IF(CC404,_xll.qDateYears(CC403,CC404,CF$13),0)</f>
        <v>0</v>
      </c>
      <c r="CG404" s="268">
        <f t="shared" si="104"/>
        <v>2312.0085517586949</v>
      </c>
      <c r="CO404" s="526">
        <v>0</v>
      </c>
      <c r="CP404" s="151" t="str">
        <f t="shared" si="99"/>
        <v/>
      </c>
      <c r="CQ404" s="386">
        <v>0</v>
      </c>
      <c r="CR404" s="268">
        <f>IF(CO404,_xll.qDateYears(CO403,CO404,CR$13),0)</f>
        <v>0</v>
      </c>
      <c r="CS404" s="268">
        <f t="shared" si="105"/>
        <v>2185.174943791465</v>
      </c>
      <c r="DA404" s="526">
        <v>0</v>
      </c>
      <c r="DB404" s="151" t="str">
        <f t="shared" si="100"/>
        <v/>
      </c>
      <c r="DC404" s="386">
        <v>0</v>
      </c>
      <c r="DD404" s="268">
        <f>IF(DA404,_xll.qDateYears(DA403,DA404,DD$13),0)</f>
        <v>0</v>
      </c>
      <c r="DE404" s="268">
        <f t="shared" si="106"/>
        <v>1616.1787110556011</v>
      </c>
      <c r="DM404" s="526">
        <v>0</v>
      </c>
      <c r="DN404" s="151" t="str">
        <f t="shared" si="101"/>
        <v/>
      </c>
      <c r="DO404" s="386">
        <v>0</v>
      </c>
      <c r="DP404" s="268">
        <f>IF(DM404,_xll.qDateYears(DM403,DM404,DP$13),0)</f>
        <v>0</v>
      </c>
      <c r="DQ404" s="268">
        <f t="shared" si="107"/>
        <v>2183.1745733532407</v>
      </c>
    </row>
    <row r="405" spans="59:121">
      <c r="BG405" s="526">
        <v>0</v>
      </c>
      <c r="BH405" s="150" t="str">
        <f t="shared" si="96"/>
        <v/>
      </c>
      <c r="BI405" s="386">
        <v>0</v>
      </c>
      <c r="BJ405" s="268">
        <f>IF(BG405,_xll.qDateYears(BG404,BG405,$BJ$13),0)</f>
        <v>0</v>
      </c>
      <c r="BK405" s="268">
        <f t="shared" si="102"/>
        <v>2183.1745733532407</v>
      </c>
      <c r="BQ405" s="526">
        <v>0</v>
      </c>
      <c r="BR405" s="151" t="str">
        <f t="shared" si="97"/>
        <v/>
      </c>
      <c r="BS405" s="386">
        <v>0</v>
      </c>
      <c r="BT405" s="268">
        <f>IF(BQ405,_xll.qDateYears(BQ404,BQ405,BT$13),0)</f>
        <v>0</v>
      </c>
      <c r="BU405" s="268">
        <f t="shared" si="103"/>
        <v>1738.6030924697341</v>
      </c>
      <c r="CC405" s="526">
        <v>0</v>
      </c>
      <c r="CD405" s="151" t="str">
        <f t="shared" si="98"/>
        <v/>
      </c>
      <c r="CE405" s="386">
        <v>0</v>
      </c>
      <c r="CF405" s="268">
        <f>IF(CC405,_xll.qDateYears(CC404,CC405,CF$13),0)</f>
        <v>0</v>
      </c>
      <c r="CG405" s="268">
        <f t="shared" si="104"/>
        <v>2312.0085517586949</v>
      </c>
      <c r="CO405" s="526">
        <v>0</v>
      </c>
      <c r="CP405" s="151" t="str">
        <f t="shared" si="99"/>
        <v/>
      </c>
      <c r="CQ405" s="386">
        <v>0</v>
      </c>
      <c r="CR405" s="268">
        <f>IF(CO405,_xll.qDateYears(CO404,CO405,CR$13),0)</f>
        <v>0</v>
      </c>
      <c r="CS405" s="268">
        <f t="shared" si="105"/>
        <v>2185.174943791465</v>
      </c>
      <c r="DA405" s="526">
        <v>0</v>
      </c>
      <c r="DB405" s="151" t="str">
        <f t="shared" si="100"/>
        <v/>
      </c>
      <c r="DC405" s="386">
        <v>0</v>
      </c>
      <c r="DD405" s="268">
        <f>IF(DA405,_xll.qDateYears(DA404,DA405,DD$13),0)</f>
        <v>0</v>
      </c>
      <c r="DE405" s="268">
        <f t="shared" si="106"/>
        <v>1616.1787110556011</v>
      </c>
      <c r="DM405" s="526">
        <v>0</v>
      </c>
      <c r="DN405" s="151" t="str">
        <f t="shared" si="101"/>
        <v/>
      </c>
      <c r="DO405" s="386">
        <v>0</v>
      </c>
      <c r="DP405" s="268">
        <f>IF(DM405,_xll.qDateYears(DM404,DM405,DP$13),0)</f>
        <v>0</v>
      </c>
      <c r="DQ405" s="268">
        <f t="shared" si="107"/>
        <v>2183.1745733532407</v>
      </c>
    </row>
    <row r="406" spans="59:121">
      <c r="BG406" s="526">
        <v>0</v>
      </c>
      <c r="BH406" s="150" t="str">
        <f t="shared" si="96"/>
        <v/>
      </c>
      <c r="BI406" s="386">
        <v>0</v>
      </c>
      <c r="BJ406" s="268">
        <f>IF(BG406,_xll.qDateYears(BG405,BG406,$BJ$13),0)</f>
        <v>0</v>
      </c>
      <c r="BK406" s="268">
        <f t="shared" si="102"/>
        <v>2183.1745733532407</v>
      </c>
      <c r="BQ406" s="526">
        <v>0</v>
      </c>
      <c r="BR406" s="151" t="str">
        <f t="shared" si="97"/>
        <v/>
      </c>
      <c r="BS406" s="386">
        <v>0</v>
      </c>
      <c r="BT406" s="268">
        <f>IF(BQ406,_xll.qDateYears(BQ405,BQ406,BT$13),0)</f>
        <v>0</v>
      </c>
      <c r="BU406" s="268">
        <f t="shared" si="103"/>
        <v>1738.6030924697341</v>
      </c>
      <c r="CC406" s="526">
        <v>0</v>
      </c>
      <c r="CD406" s="151" t="str">
        <f t="shared" si="98"/>
        <v/>
      </c>
      <c r="CE406" s="386">
        <v>0</v>
      </c>
      <c r="CF406" s="268">
        <f>IF(CC406,_xll.qDateYears(CC405,CC406,CF$13),0)</f>
        <v>0</v>
      </c>
      <c r="CG406" s="268">
        <f t="shared" si="104"/>
        <v>2312.0085517586949</v>
      </c>
      <c r="CO406" s="526">
        <v>0</v>
      </c>
      <c r="CP406" s="151" t="str">
        <f t="shared" si="99"/>
        <v/>
      </c>
      <c r="CQ406" s="386">
        <v>0</v>
      </c>
      <c r="CR406" s="268">
        <f>IF(CO406,_xll.qDateYears(CO405,CO406,CR$13),0)</f>
        <v>0</v>
      </c>
      <c r="CS406" s="268">
        <f t="shared" si="105"/>
        <v>2185.174943791465</v>
      </c>
      <c r="DA406" s="526">
        <v>0</v>
      </c>
      <c r="DB406" s="151" t="str">
        <f t="shared" si="100"/>
        <v/>
      </c>
      <c r="DC406" s="386">
        <v>0</v>
      </c>
      <c r="DD406" s="268">
        <f>IF(DA406,_xll.qDateYears(DA405,DA406,DD$13),0)</f>
        <v>0</v>
      </c>
      <c r="DE406" s="268">
        <f t="shared" si="106"/>
        <v>1616.1787110556011</v>
      </c>
      <c r="DM406" s="526">
        <v>0</v>
      </c>
      <c r="DN406" s="151" t="str">
        <f t="shared" si="101"/>
        <v/>
      </c>
      <c r="DO406" s="386">
        <v>0</v>
      </c>
      <c r="DP406" s="268">
        <f>IF(DM406,_xll.qDateYears(DM405,DM406,DP$13),0)</f>
        <v>0</v>
      </c>
      <c r="DQ406" s="268">
        <f t="shared" si="107"/>
        <v>2183.1745733532407</v>
      </c>
    </row>
    <row r="407" spans="59:121">
      <c r="BG407" s="526">
        <v>0</v>
      </c>
      <c r="BH407" s="150" t="str">
        <f t="shared" si="96"/>
        <v/>
      </c>
      <c r="BI407" s="386">
        <v>0</v>
      </c>
      <c r="BJ407" s="268">
        <f>IF(BG407,_xll.qDateYears(BG406,BG407,$BJ$13),0)</f>
        <v>0</v>
      </c>
      <c r="BK407" s="268">
        <f t="shared" si="102"/>
        <v>2183.1745733532407</v>
      </c>
      <c r="BQ407" s="526">
        <v>0</v>
      </c>
      <c r="BR407" s="151" t="str">
        <f t="shared" si="97"/>
        <v/>
      </c>
      <c r="BS407" s="386">
        <v>0</v>
      </c>
      <c r="BT407" s="268">
        <f>IF(BQ407,_xll.qDateYears(BQ406,BQ407,BT$13),0)</f>
        <v>0</v>
      </c>
      <c r="BU407" s="268">
        <f t="shared" si="103"/>
        <v>1738.6030924697341</v>
      </c>
      <c r="CC407" s="526">
        <v>0</v>
      </c>
      <c r="CD407" s="151" t="str">
        <f t="shared" si="98"/>
        <v/>
      </c>
      <c r="CE407" s="386">
        <v>0</v>
      </c>
      <c r="CF407" s="268">
        <f>IF(CC407,_xll.qDateYears(CC406,CC407,CF$13),0)</f>
        <v>0</v>
      </c>
      <c r="CG407" s="268">
        <f t="shared" si="104"/>
        <v>2312.0085517586949</v>
      </c>
      <c r="CO407" s="526">
        <v>0</v>
      </c>
      <c r="CP407" s="151" t="str">
        <f t="shared" si="99"/>
        <v/>
      </c>
      <c r="CQ407" s="386">
        <v>0</v>
      </c>
      <c r="CR407" s="268">
        <f>IF(CO407,_xll.qDateYears(CO406,CO407,CR$13),0)</f>
        <v>0</v>
      </c>
      <c r="CS407" s="268">
        <f t="shared" si="105"/>
        <v>2185.174943791465</v>
      </c>
      <c r="DA407" s="526">
        <v>0</v>
      </c>
      <c r="DB407" s="151" t="str">
        <f t="shared" si="100"/>
        <v/>
      </c>
      <c r="DC407" s="386">
        <v>0</v>
      </c>
      <c r="DD407" s="268">
        <f>IF(DA407,_xll.qDateYears(DA406,DA407,DD$13),0)</f>
        <v>0</v>
      </c>
      <c r="DE407" s="268">
        <f t="shared" si="106"/>
        <v>1616.1787110556011</v>
      </c>
      <c r="DM407" s="526">
        <v>0</v>
      </c>
      <c r="DN407" s="151" t="str">
        <f t="shared" si="101"/>
        <v/>
      </c>
      <c r="DO407" s="386">
        <v>0</v>
      </c>
      <c r="DP407" s="268">
        <f>IF(DM407,_xll.qDateYears(DM406,DM407,DP$13),0)</f>
        <v>0</v>
      </c>
      <c r="DQ407" s="268">
        <f t="shared" si="107"/>
        <v>2183.1745733532407</v>
      </c>
    </row>
    <row r="408" spans="59:121">
      <c r="BG408" s="526">
        <v>0</v>
      </c>
      <c r="BH408" s="150" t="str">
        <f t="shared" si="96"/>
        <v/>
      </c>
      <c r="BI408" s="386">
        <v>0</v>
      </c>
      <c r="BJ408" s="268">
        <f>IF(BG408,_xll.qDateYears(BG407,BG408,$BJ$13),0)</f>
        <v>0</v>
      </c>
      <c r="BK408" s="268">
        <f t="shared" si="102"/>
        <v>2183.1745733532407</v>
      </c>
      <c r="BQ408" s="526">
        <v>0</v>
      </c>
      <c r="BR408" s="151" t="str">
        <f t="shared" si="97"/>
        <v/>
      </c>
      <c r="BS408" s="386">
        <v>0</v>
      </c>
      <c r="BT408" s="268">
        <f>IF(BQ408,_xll.qDateYears(BQ407,BQ408,BT$13),0)</f>
        <v>0</v>
      </c>
      <c r="BU408" s="268">
        <f t="shared" si="103"/>
        <v>1738.6030924697341</v>
      </c>
      <c r="CC408" s="526">
        <v>0</v>
      </c>
      <c r="CD408" s="151" t="str">
        <f t="shared" si="98"/>
        <v/>
      </c>
      <c r="CE408" s="386">
        <v>0</v>
      </c>
      <c r="CF408" s="268">
        <f>IF(CC408,_xll.qDateYears(CC407,CC408,CF$13),0)</f>
        <v>0</v>
      </c>
      <c r="CG408" s="268">
        <f t="shared" si="104"/>
        <v>2312.0085517586949</v>
      </c>
      <c r="CO408" s="526">
        <v>0</v>
      </c>
      <c r="CP408" s="151" t="str">
        <f t="shared" si="99"/>
        <v/>
      </c>
      <c r="CQ408" s="386">
        <v>0</v>
      </c>
      <c r="CR408" s="268">
        <f>IF(CO408,_xll.qDateYears(CO407,CO408,CR$13),0)</f>
        <v>0</v>
      </c>
      <c r="CS408" s="268">
        <f t="shared" si="105"/>
        <v>2185.174943791465</v>
      </c>
      <c r="DA408" s="526">
        <v>0</v>
      </c>
      <c r="DB408" s="151" t="str">
        <f t="shared" si="100"/>
        <v/>
      </c>
      <c r="DC408" s="386">
        <v>0</v>
      </c>
      <c r="DD408" s="268">
        <f>IF(DA408,_xll.qDateYears(DA407,DA408,DD$13),0)</f>
        <v>0</v>
      </c>
      <c r="DE408" s="268">
        <f t="shared" si="106"/>
        <v>1616.1787110556011</v>
      </c>
      <c r="DM408" s="526">
        <v>0</v>
      </c>
      <c r="DN408" s="151" t="str">
        <f t="shared" si="101"/>
        <v/>
      </c>
      <c r="DO408" s="386">
        <v>0</v>
      </c>
      <c r="DP408" s="268">
        <f>IF(DM408,_xll.qDateYears(DM407,DM408,DP$13),0)</f>
        <v>0</v>
      </c>
      <c r="DQ408" s="268">
        <f t="shared" si="107"/>
        <v>2183.1745733532407</v>
      </c>
    </row>
    <row r="409" spans="59:121">
      <c r="BG409" s="526">
        <v>0</v>
      </c>
      <c r="BH409" s="150" t="str">
        <f t="shared" si="96"/>
        <v/>
      </c>
      <c r="BI409" s="386">
        <v>0</v>
      </c>
      <c r="BJ409" s="268">
        <f>IF(BG409,_xll.qDateYears(BG408,BG409,$BJ$13),0)</f>
        <v>0</v>
      </c>
      <c r="BK409" s="268">
        <f t="shared" si="102"/>
        <v>2183.1745733532407</v>
      </c>
      <c r="BQ409" s="526">
        <v>0</v>
      </c>
      <c r="BR409" s="151" t="str">
        <f t="shared" si="97"/>
        <v/>
      </c>
      <c r="BS409" s="386">
        <v>0</v>
      </c>
      <c r="BT409" s="268">
        <f>IF(BQ409,_xll.qDateYears(BQ408,BQ409,BT$13),0)</f>
        <v>0</v>
      </c>
      <c r="BU409" s="268">
        <f t="shared" si="103"/>
        <v>1738.6030924697341</v>
      </c>
      <c r="CC409" s="526">
        <v>0</v>
      </c>
      <c r="CD409" s="151" t="str">
        <f t="shared" si="98"/>
        <v/>
      </c>
      <c r="CE409" s="386">
        <v>0</v>
      </c>
      <c r="CF409" s="268">
        <f>IF(CC409,_xll.qDateYears(CC408,CC409,CF$13),0)</f>
        <v>0</v>
      </c>
      <c r="CG409" s="268">
        <f t="shared" si="104"/>
        <v>2312.0085517586949</v>
      </c>
      <c r="CO409" s="526">
        <v>0</v>
      </c>
      <c r="CP409" s="151" t="str">
        <f t="shared" si="99"/>
        <v/>
      </c>
      <c r="CQ409" s="386">
        <v>0</v>
      </c>
      <c r="CR409" s="268">
        <f>IF(CO409,_xll.qDateYears(CO408,CO409,CR$13),0)</f>
        <v>0</v>
      </c>
      <c r="CS409" s="268">
        <f t="shared" si="105"/>
        <v>2185.174943791465</v>
      </c>
      <c r="DA409" s="526">
        <v>0</v>
      </c>
      <c r="DB409" s="151" t="str">
        <f t="shared" si="100"/>
        <v/>
      </c>
      <c r="DC409" s="386">
        <v>0</v>
      </c>
      <c r="DD409" s="268">
        <f>IF(DA409,_xll.qDateYears(DA408,DA409,DD$13),0)</f>
        <v>0</v>
      </c>
      <c r="DE409" s="268">
        <f t="shared" si="106"/>
        <v>1616.1787110556011</v>
      </c>
      <c r="DM409" s="526">
        <v>0</v>
      </c>
      <c r="DN409" s="151" t="str">
        <f t="shared" si="101"/>
        <v/>
      </c>
      <c r="DO409" s="386">
        <v>0</v>
      </c>
      <c r="DP409" s="268">
        <f>IF(DM409,_xll.qDateYears(DM408,DM409,DP$13),0)</f>
        <v>0</v>
      </c>
      <c r="DQ409" s="268">
        <f t="shared" si="107"/>
        <v>2183.1745733532407</v>
      </c>
    </row>
    <row r="410" spans="59:121">
      <c r="BG410" s="526">
        <v>0</v>
      </c>
      <c r="BH410" s="150" t="str">
        <f t="shared" si="96"/>
        <v/>
      </c>
      <c r="BI410" s="386">
        <v>0</v>
      </c>
      <c r="BJ410" s="268">
        <f>IF(BG410,_xll.qDateYears(BG409,BG410,$BJ$13),0)</f>
        <v>0</v>
      </c>
      <c r="BK410" s="268">
        <f t="shared" si="102"/>
        <v>2183.1745733532407</v>
      </c>
      <c r="BQ410" s="526">
        <v>0</v>
      </c>
      <c r="BR410" s="151" t="str">
        <f t="shared" si="97"/>
        <v/>
      </c>
      <c r="BS410" s="386">
        <v>0</v>
      </c>
      <c r="BT410" s="268">
        <f>IF(BQ410,_xll.qDateYears(BQ409,BQ410,BT$13),0)</f>
        <v>0</v>
      </c>
      <c r="BU410" s="268">
        <f t="shared" si="103"/>
        <v>1738.6030924697341</v>
      </c>
      <c r="CC410" s="526">
        <v>0</v>
      </c>
      <c r="CD410" s="151" t="str">
        <f t="shared" si="98"/>
        <v/>
      </c>
      <c r="CE410" s="386">
        <v>0</v>
      </c>
      <c r="CF410" s="268">
        <f>IF(CC410,_xll.qDateYears(CC409,CC410,CF$13),0)</f>
        <v>0</v>
      </c>
      <c r="CG410" s="268">
        <f t="shared" si="104"/>
        <v>2312.0085517586949</v>
      </c>
      <c r="CO410" s="526">
        <v>0</v>
      </c>
      <c r="CP410" s="151" t="str">
        <f t="shared" si="99"/>
        <v/>
      </c>
      <c r="CQ410" s="386">
        <v>0</v>
      </c>
      <c r="CR410" s="268">
        <f>IF(CO410,_xll.qDateYears(CO409,CO410,CR$13),0)</f>
        <v>0</v>
      </c>
      <c r="CS410" s="268">
        <f t="shared" si="105"/>
        <v>2185.174943791465</v>
      </c>
      <c r="DA410" s="526">
        <v>0</v>
      </c>
      <c r="DB410" s="151" t="str">
        <f t="shared" si="100"/>
        <v/>
      </c>
      <c r="DC410" s="386">
        <v>0</v>
      </c>
      <c r="DD410" s="268">
        <f>IF(DA410,_xll.qDateYears(DA409,DA410,DD$13),0)</f>
        <v>0</v>
      </c>
      <c r="DE410" s="268">
        <f t="shared" si="106"/>
        <v>1616.1787110556011</v>
      </c>
      <c r="DM410" s="526">
        <v>0</v>
      </c>
      <c r="DN410" s="151" t="str">
        <f t="shared" si="101"/>
        <v/>
      </c>
      <c r="DO410" s="386">
        <v>0</v>
      </c>
      <c r="DP410" s="268">
        <f>IF(DM410,_xll.qDateYears(DM409,DM410,DP$13),0)</f>
        <v>0</v>
      </c>
      <c r="DQ410" s="268">
        <f t="shared" si="107"/>
        <v>2183.1745733532407</v>
      </c>
    </row>
    <row r="411" spans="59:121">
      <c r="BG411" s="526">
        <v>0</v>
      </c>
      <c r="BH411" s="150" t="str">
        <f t="shared" si="96"/>
        <v/>
      </c>
      <c r="BI411" s="386">
        <v>0</v>
      </c>
      <c r="BJ411" s="268">
        <f>IF(BG411,_xll.qDateYears(BG410,BG411,$BJ$13),0)</f>
        <v>0</v>
      </c>
      <c r="BK411" s="268">
        <f t="shared" si="102"/>
        <v>2183.1745733532407</v>
      </c>
      <c r="BQ411" s="526">
        <v>0</v>
      </c>
      <c r="BR411" s="151" t="str">
        <f t="shared" si="97"/>
        <v/>
      </c>
      <c r="BS411" s="386">
        <v>0</v>
      </c>
      <c r="BT411" s="268">
        <f>IF(BQ411,_xll.qDateYears(BQ410,BQ411,BT$13),0)</f>
        <v>0</v>
      </c>
      <c r="BU411" s="268">
        <f t="shared" si="103"/>
        <v>1738.6030924697341</v>
      </c>
      <c r="CC411" s="526">
        <v>0</v>
      </c>
      <c r="CD411" s="151" t="str">
        <f t="shared" si="98"/>
        <v/>
      </c>
      <c r="CE411" s="386">
        <v>0</v>
      </c>
      <c r="CF411" s="268">
        <f>IF(CC411,_xll.qDateYears(CC410,CC411,CF$13),0)</f>
        <v>0</v>
      </c>
      <c r="CG411" s="268">
        <f t="shared" si="104"/>
        <v>2312.0085517586949</v>
      </c>
      <c r="CO411" s="526">
        <v>0</v>
      </c>
      <c r="CP411" s="151" t="str">
        <f t="shared" si="99"/>
        <v/>
      </c>
      <c r="CQ411" s="386">
        <v>0</v>
      </c>
      <c r="CR411" s="268">
        <f>IF(CO411,_xll.qDateYears(CO410,CO411,CR$13),0)</f>
        <v>0</v>
      </c>
      <c r="CS411" s="268">
        <f t="shared" si="105"/>
        <v>2185.174943791465</v>
      </c>
      <c r="DA411" s="526">
        <v>0</v>
      </c>
      <c r="DB411" s="151" t="str">
        <f t="shared" si="100"/>
        <v/>
      </c>
      <c r="DC411" s="386">
        <v>0</v>
      </c>
      <c r="DD411" s="268">
        <f>IF(DA411,_xll.qDateYears(DA410,DA411,DD$13),0)</f>
        <v>0</v>
      </c>
      <c r="DE411" s="268">
        <f t="shared" si="106"/>
        <v>1616.1787110556011</v>
      </c>
      <c r="DM411" s="526">
        <v>0</v>
      </c>
      <c r="DN411" s="151" t="str">
        <f t="shared" si="101"/>
        <v/>
      </c>
      <c r="DO411" s="386">
        <v>0</v>
      </c>
      <c r="DP411" s="268">
        <f>IF(DM411,_xll.qDateYears(DM410,DM411,DP$13),0)</f>
        <v>0</v>
      </c>
      <c r="DQ411" s="268">
        <f t="shared" si="107"/>
        <v>2183.1745733532407</v>
      </c>
    </row>
    <row r="412" spans="59:121">
      <c r="BG412" s="526">
        <v>0</v>
      </c>
      <c r="BH412" s="150" t="str">
        <f t="shared" si="96"/>
        <v/>
      </c>
      <c r="BI412" s="386">
        <v>0</v>
      </c>
      <c r="BJ412" s="268">
        <f>IF(BG412,_xll.qDateYears(BG411,BG412,$BJ$13),0)</f>
        <v>0</v>
      </c>
      <c r="BK412" s="268">
        <f t="shared" si="102"/>
        <v>2183.1745733532407</v>
      </c>
      <c r="BQ412" s="526">
        <v>0</v>
      </c>
      <c r="BR412" s="151" t="str">
        <f t="shared" si="97"/>
        <v/>
      </c>
      <c r="BS412" s="386">
        <v>0</v>
      </c>
      <c r="BT412" s="268">
        <f>IF(BQ412,_xll.qDateYears(BQ411,BQ412,BT$13),0)</f>
        <v>0</v>
      </c>
      <c r="BU412" s="268">
        <f t="shared" si="103"/>
        <v>1738.6030924697341</v>
      </c>
      <c r="CC412" s="526">
        <v>0</v>
      </c>
      <c r="CD412" s="151" t="str">
        <f t="shared" si="98"/>
        <v/>
      </c>
      <c r="CE412" s="386">
        <v>0</v>
      </c>
      <c r="CF412" s="268">
        <f>IF(CC412,_xll.qDateYears(CC411,CC412,CF$13),0)</f>
        <v>0</v>
      </c>
      <c r="CG412" s="268">
        <f t="shared" si="104"/>
        <v>2312.0085517586949</v>
      </c>
      <c r="CO412" s="526">
        <v>0</v>
      </c>
      <c r="CP412" s="151" t="str">
        <f t="shared" si="99"/>
        <v/>
      </c>
      <c r="CQ412" s="386">
        <v>0</v>
      </c>
      <c r="CR412" s="268">
        <f>IF(CO412,_xll.qDateYears(CO411,CO412,CR$13),0)</f>
        <v>0</v>
      </c>
      <c r="CS412" s="268">
        <f t="shared" si="105"/>
        <v>2185.174943791465</v>
      </c>
      <c r="DA412" s="526">
        <v>0</v>
      </c>
      <c r="DB412" s="151" t="str">
        <f t="shared" si="100"/>
        <v/>
      </c>
      <c r="DC412" s="386">
        <v>0</v>
      </c>
      <c r="DD412" s="268">
        <f>IF(DA412,_xll.qDateYears(DA411,DA412,DD$13),0)</f>
        <v>0</v>
      </c>
      <c r="DE412" s="268">
        <f t="shared" si="106"/>
        <v>1616.1787110556011</v>
      </c>
      <c r="DM412" s="526">
        <v>0</v>
      </c>
      <c r="DN412" s="151" t="str">
        <f t="shared" si="101"/>
        <v/>
      </c>
      <c r="DO412" s="386">
        <v>0</v>
      </c>
      <c r="DP412" s="268">
        <f>IF(DM412,_xll.qDateYears(DM411,DM412,DP$13),0)</f>
        <v>0</v>
      </c>
      <c r="DQ412" s="268">
        <f t="shared" si="107"/>
        <v>2183.1745733532407</v>
      </c>
    </row>
    <row r="413" spans="59:121">
      <c r="BG413" s="526">
        <v>0</v>
      </c>
      <c r="BH413" s="150" t="str">
        <f t="shared" si="96"/>
        <v/>
      </c>
      <c r="BI413" s="386">
        <v>0</v>
      </c>
      <c r="BJ413" s="268">
        <f>IF(BG413,_xll.qDateYears(BG412,BG413,$BJ$13),0)</f>
        <v>0</v>
      </c>
      <c r="BK413" s="268">
        <f t="shared" si="102"/>
        <v>2183.1745733532407</v>
      </c>
      <c r="BQ413" s="526">
        <v>0</v>
      </c>
      <c r="BR413" s="151" t="str">
        <f t="shared" si="97"/>
        <v/>
      </c>
      <c r="BS413" s="386">
        <v>0</v>
      </c>
      <c r="BT413" s="268">
        <f>IF(BQ413,_xll.qDateYears(BQ412,BQ413,BT$13),0)</f>
        <v>0</v>
      </c>
      <c r="BU413" s="268">
        <f t="shared" si="103"/>
        <v>1738.6030924697341</v>
      </c>
      <c r="CC413" s="526">
        <v>0</v>
      </c>
      <c r="CD413" s="151" t="str">
        <f t="shared" si="98"/>
        <v/>
      </c>
      <c r="CE413" s="386">
        <v>0</v>
      </c>
      <c r="CF413" s="268">
        <f>IF(CC413,_xll.qDateYears(CC412,CC413,CF$13),0)</f>
        <v>0</v>
      </c>
      <c r="CG413" s="268">
        <f t="shared" si="104"/>
        <v>2312.0085517586949</v>
      </c>
      <c r="CO413" s="526">
        <v>0</v>
      </c>
      <c r="CP413" s="151" t="str">
        <f t="shared" si="99"/>
        <v/>
      </c>
      <c r="CQ413" s="386">
        <v>0</v>
      </c>
      <c r="CR413" s="268">
        <f>IF(CO413,_xll.qDateYears(CO412,CO413,CR$13),0)</f>
        <v>0</v>
      </c>
      <c r="CS413" s="268">
        <f t="shared" si="105"/>
        <v>2185.174943791465</v>
      </c>
      <c r="DA413" s="526">
        <v>0</v>
      </c>
      <c r="DB413" s="151" t="str">
        <f t="shared" si="100"/>
        <v/>
      </c>
      <c r="DC413" s="386">
        <v>0</v>
      </c>
      <c r="DD413" s="268">
        <f>IF(DA413,_xll.qDateYears(DA412,DA413,DD$13),0)</f>
        <v>0</v>
      </c>
      <c r="DE413" s="268">
        <f t="shared" si="106"/>
        <v>1616.1787110556011</v>
      </c>
      <c r="DM413" s="526">
        <v>0</v>
      </c>
      <c r="DN413" s="151" t="str">
        <f t="shared" si="101"/>
        <v/>
      </c>
      <c r="DO413" s="386">
        <v>0</v>
      </c>
      <c r="DP413" s="268">
        <f>IF(DM413,_xll.qDateYears(DM412,DM413,DP$13),0)</f>
        <v>0</v>
      </c>
      <c r="DQ413" s="268">
        <f t="shared" si="107"/>
        <v>2183.1745733532407</v>
      </c>
    </row>
    <row r="414" spans="59:121">
      <c r="BG414" s="526">
        <v>0</v>
      </c>
      <c r="BH414" s="150" t="str">
        <f t="shared" si="96"/>
        <v/>
      </c>
      <c r="BI414" s="386">
        <v>0</v>
      </c>
      <c r="BJ414" s="268">
        <f>IF(BG414,_xll.qDateYears(BG413,BG414,$BJ$13),0)</f>
        <v>0</v>
      </c>
      <c r="BK414" s="268">
        <f t="shared" si="102"/>
        <v>2183.1745733532407</v>
      </c>
      <c r="BQ414" s="526">
        <v>0</v>
      </c>
      <c r="BR414" s="151" t="str">
        <f t="shared" si="97"/>
        <v/>
      </c>
      <c r="BS414" s="386">
        <v>0</v>
      </c>
      <c r="BT414" s="268">
        <f>IF(BQ414,_xll.qDateYears(BQ413,BQ414,BT$13),0)</f>
        <v>0</v>
      </c>
      <c r="BU414" s="268">
        <f t="shared" si="103"/>
        <v>1738.6030924697341</v>
      </c>
      <c r="CC414" s="526">
        <v>0</v>
      </c>
      <c r="CD414" s="151" t="str">
        <f t="shared" si="98"/>
        <v/>
      </c>
      <c r="CE414" s="386">
        <v>0</v>
      </c>
      <c r="CF414" s="268">
        <f>IF(CC414,_xll.qDateYears(CC413,CC414,CF$13),0)</f>
        <v>0</v>
      </c>
      <c r="CG414" s="268">
        <f t="shared" si="104"/>
        <v>2312.0085517586949</v>
      </c>
      <c r="CO414" s="526">
        <v>0</v>
      </c>
      <c r="CP414" s="151" t="str">
        <f t="shared" si="99"/>
        <v/>
      </c>
      <c r="CQ414" s="386">
        <v>0</v>
      </c>
      <c r="CR414" s="268">
        <f>IF(CO414,_xll.qDateYears(CO413,CO414,CR$13),0)</f>
        <v>0</v>
      </c>
      <c r="CS414" s="268">
        <f t="shared" si="105"/>
        <v>2185.174943791465</v>
      </c>
      <c r="DA414" s="526">
        <v>0</v>
      </c>
      <c r="DB414" s="151" t="str">
        <f t="shared" si="100"/>
        <v/>
      </c>
      <c r="DC414" s="386">
        <v>0</v>
      </c>
      <c r="DD414" s="268">
        <f>IF(DA414,_xll.qDateYears(DA413,DA414,DD$13),0)</f>
        <v>0</v>
      </c>
      <c r="DE414" s="268">
        <f t="shared" si="106"/>
        <v>1616.1787110556011</v>
      </c>
      <c r="DM414" s="526">
        <v>0</v>
      </c>
      <c r="DN414" s="151" t="str">
        <f t="shared" si="101"/>
        <v/>
      </c>
      <c r="DO414" s="386">
        <v>0</v>
      </c>
      <c r="DP414" s="268">
        <f>IF(DM414,_xll.qDateYears(DM413,DM414,DP$13),0)</f>
        <v>0</v>
      </c>
      <c r="DQ414" s="268">
        <f t="shared" si="107"/>
        <v>2183.1745733532407</v>
      </c>
    </row>
    <row r="415" spans="59:121">
      <c r="BG415" s="526">
        <v>0</v>
      </c>
      <c r="BH415" s="150" t="str">
        <f t="shared" si="96"/>
        <v/>
      </c>
      <c r="BI415" s="386">
        <v>0</v>
      </c>
      <c r="BJ415" s="268">
        <f>IF(BG415,_xll.qDateYears(BG414,BG415,$BJ$13),0)</f>
        <v>0</v>
      </c>
      <c r="BK415" s="268">
        <f t="shared" si="102"/>
        <v>2183.1745733532407</v>
      </c>
      <c r="BQ415" s="526">
        <v>0</v>
      </c>
      <c r="BR415" s="151" t="str">
        <f t="shared" si="97"/>
        <v/>
      </c>
      <c r="BS415" s="386">
        <v>0</v>
      </c>
      <c r="BT415" s="268">
        <f>IF(BQ415,_xll.qDateYears(BQ414,BQ415,BT$13),0)</f>
        <v>0</v>
      </c>
      <c r="BU415" s="268">
        <f t="shared" si="103"/>
        <v>1738.6030924697341</v>
      </c>
      <c r="CC415" s="526">
        <v>0</v>
      </c>
      <c r="CD415" s="151" t="str">
        <f t="shared" si="98"/>
        <v/>
      </c>
      <c r="CE415" s="386">
        <v>0</v>
      </c>
      <c r="CF415" s="268">
        <f>IF(CC415,_xll.qDateYears(CC414,CC415,CF$13),0)</f>
        <v>0</v>
      </c>
      <c r="CG415" s="268">
        <f t="shared" si="104"/>
        <v>2312.0085517586949</v>
      </c>
      <c r="CO415" s="526">
        <v>0</v>
      </c>
      <c r="CP415" s="151" t="str">
        <f t="shared" si="99"/>
        <v/>
      </c>
      <c r="CQ415" s="386">
        <v>0</v>
      </c>
      <c r="CR415" s="268">
        <f>IF(CO415,_xll.qDateYears(CO414,CO415,CR$13),0)</f>
        <v>0</v>
      </c>
      <c r="CS415" s="268">
        <f t="shared" si="105"/>
        <v>2185.174943791465</v>
      </c>
      <c r="DA415" s="526">
        <v>0</v>
      </c>
      <c r="DB415" s="151" t="str">
        <f t="shared" si="100"/>
        <v/>
      </c>
      <c r="DC415" s="386">
        <v>0</v>
      </c>
      <c r="DD415" s="268">
        <f>IF(DA415,_xll.qDateYears(DA414,DA415,DD$13),0)</f>
        <v>0</v>
      </c>
      <c r="DE415" s="268">
        <f t="shared" si="106"/>
        <v>1616.1787110556011</v>
      </c>
      <c r="DM415" s="526">
        <v>0</v>
      </c>
      <c r="DN415" s="151" t="str">
        <f t="shared" si="101"/>
        <v/>
      </c>
      <c r="DO415" s="386">
        <v>0</v>
      </c>
      <c r="DP415" s="268">
        <f>IF(DM415,_xll.qDateYears(DM414,DM415,DP$13),0)</f>
        <v>0</v>
      </c>
      <c r="DQ415" s="268">
        <f t="shared" si="107"/>
        <v>2183.1745733532407</v>
      </c>
    </row>
    <row r="416" spans="59:121">
      <c r="BG416" s="526">
        <v>0</v>
      </c>
      <c r="BH416" s="150" t="str">
        <f t="shared" si="96"/>
        <v/>
      </c>
      <c r="BI416" s="386">
        <v>0</v>
      </c>
      <c r="BJ416" s="268">
        <f>IF(BG416,_xll.qDateYears(BG415,BG416,$BJ$13),0)</f>
        <v>0</v>
      </c>
      <c r="BK416" s="268">
        <f t="shared" si="102"/>
        <v>2183.1745733532407</v>
      </c>
      <c r="BQ416" s="526">
        <v>0</v>
      </c>
      <c r="BR416" s="151" t="str">
        <f t="shared" si="97"/>
        <v/>
      </c>
      <c r="BS416" s="386">
        <v>0</v>
      </c>
      <c r="BT416" s="268">
        <f>IF(BQ416,_xll.qDateYears(BQ415,BQ416,BT$13),0)</f>
        <v>0</v>
      </c>
      <c r="BU416" s="268">
        <f t="shared" si="103"/>
        <v>1738.6030924697341</v>
      </c>
      <c r="CC416" s="526">
        <v>0</v>
      </c>
      <c r="CD416" s="151" t="str">
        <f t="shared" si="98"/>
        <v/>
      </c>
      <c r="CE416" s="386">
        <v>0</v>
      </c>
      <c r="CF416" s="268">
        <f>IF(CC416,_xll.qDateYears(CC415,CC416,CF$13),0)</f>
        <v>0</v>
      </c>
      <c r="CG416" s="268">
        <f t="shared" si="104"/>
        <v>2312.0085517586949</v>
      </c>
      <c r="CO416" s="526">
        <v>0</v>
      </c>
      <c r="CP416" s="151" t="str">
        <f t="shared" si="99"/>
        <v/>
      </c>
      <c r="CQ416" s="386">
        <v>0</v>
      </c>
      <c r="CR416" s="268">
        <f>IF(CO416,_xll.qDateYears(CO415,CO416,CR$13),0)</f>
        <v>0</v>
      </c>
      <c r="CS416" s="268">
        <f t="shared" si="105"/>
        <v>2185.174943791465</v>
      </c>
      <c r="DA416" s="526">
        <v>0</v>
      </c>
      <c r="DB416" s="151" t="str">
        <f t="shared" si="100"/>
        <v/>
      </c>
      <c r="DC416" s="386">
        <v>0</v>
      </c>
      <c r="DD416" s="268">
        <f>IF(DA416,_xll.qDateYears(DA415,DA416,DD$13),0)</f>
        <v>0</v>
      </c>
      <c r="DE416" s="268">
        <f t="shared" si="106"/>
        <v>1616.1787110556011</v>
      </c>
      <c r="DM416" s="526">
        <v>0</v>
      </c>
      <c r="DN416" s="151" t="str">
        <f t="shared" si="101"/>
        <v/>
      </c>
      <c r="DO416" s="386">
        <v>0</v>
      </c>
      <c r="DP416" s="268">
        <f>IF(DM416,_xll.qDateYears(DM415,DM416,DP$13),0)</f>
        <v>0</v>
      </c>
      <c r="DQ416" s="268">
        <f t="shared" si="107"/>
        <v>2183.1745733532407</v>
      </c>
    </row>
    <row r="417" spans="59:121">
      <c r="BG417" s="526">
        <v>0</v>
      </c>
      <c r="BH417" s="150" t="str">
        <f t="shared" si="96"/>
        <v/>
      </c>
      <c r="BI417" s="386">
        <v>0</v>
      </c>
      <c r="BJ417" s="268">
        <f>IF(BG417,_xll.qDateYears(BG416,BG417,$BJ$13),0)</f>
        <v>0</v>
      </c>
      <c r="BK417" s="268">
        <f t="shared" si="102"/>
        <v>2183.1745733532407</v>
      </c>
      <c r="BQ417" s="526">
        <v>0</v>
      </c>
      <c r="BR417" s="151" t="str">
        <f t="shared" si="97"/>
        <v/>
      </c>
      <c r="BS417" s="386">
        <v>0</v>
      </c>
      <c r="BT417" s="268">
        <f>IF(BQ417,_xll.qDateYears(BQ416,BQ417,BT$13),0)</f>
        <v>0</v>
      </c>
      <c r="BU417" s="268">
        <f t="shared" si="103"/>
        <v>1738.6030924697341</v>
      </c>
      <c r="CC417" s="526">
        <v>0</v>
      </c>
      <c r="CD417" s="151" t="str">
        <f t="shared" si="98"/>
        <v/>
      </c>
      <c r="CE417" s="386">
        <v>0</v>
      </c>
      <c r="CF417" s="268">
        <f>IF(CC417,_xll.qDateYears(CC416,CC417,CF$13),0)</f>
        <v>0</v>
      </c>
      <c r="CG417" s="268">
        <f t="shared" si="104"/>
        <v>2312.0085517586949</v>
      </c>
      <c r="CO417" s="526">
        <v>0</v>
      </c>
      <c r="CP417" s="151" t="str">
        <f t="shared" si="99"/>
        <v/>
      </c>
      <c r="CQ417" s="386">
        <v>0</v>
      </c>
      <c r="CR417" s="268">
        <f>IF(CO417,_xll.qDateYears(CO416,CO417,CR$13),0)</f>
        <v>0</v>
      </c>
      <c r="CS417" s="268">
        <f t="shared" si="105"/>
        <v>2185.174943791465</v>
      </c>
      <c r="DA417" s="526">
        <v>0</v>
      </c>
      <c r="DB417" s="151" t="str">
        <f t="shared" si="100"/>
        <v/>
      </c>
      <c r="DC417" s="386">
        <v>0</v>
      </c>
      <c r="DD417" s="268">
        <f>IF(DA417,_xll.qDateYears(DA416,DA417,DD$13),0)</f>
        <v>0</v>
      </c>
      <c r="DE417" s="268">
        <f t="shared" si="106"/>
        <v>1616.1787110556011</v>
      </c>
      <c r="DM417" s="526">
        <v>0</v>
      </c>
      <c r="DN417" s="151" t="str">
        <f t="shared" si="101"/>
        <v/>
      </c>
      <c r="DO417" s="386">
        <v>0</v>
      </c>
      <c r="DP417" s="268">
        <f>IF(DM417,_xll.qDateYears(DM416,DM417,DP$13),0)</f>
        <v>0</v>
      </c>
      <c r="DQ417" s="268">
        <f t="shared" si="107"/>
        <v>2183.1745733532407</v>
      </c>
    </row>
    <row r="418" spans="59:121">
      <c r="BG418" s="526">
        <v>0</v>
      </c>
      <c r="BH418" s="150" t="str">
        <f t="shared" si="96"/>
        <v/>
      </c>
      <c r="BI418" s="386">
        <v>0</v>
      </c>
      <c r="BJ418" s="268">
        <f>IF(BG418,_xll.qDateYears(BG417,BG418,$BJ$13),0)</f>
        <v>0</v>
      </c>
      <c r="BK418" s="268">
        <f t="shared" si="102"/>
        <v>2183.1745733532407</v>
      </c>
      <c r="BQ418" s="526">
        <v>0</v>
      </c>
      <c r="BR418" s="151" t="str">
        <f t="shared" si="97"/>
        <v/>
      </c>
      <c r="BS418" s="386">
        <v>0</v>
      </c>
      <c r="BT418" s="268">
        <f>IF(BQ418,_xll.qDateYears(BQ417,BQ418,BT$13),0)</f>
        <v>0</v>
      </c>
      <c r="BU418" s="268">
        <f t="shared" si="103"/>
        <v>1738.6030924697341</v>
      </c>
      <c r="CC418" s="526">
        <v>0</v>
      </c>
      <c r="CD418" s="151" t="str">
        <f t="shared" si="98"/>
        <v/>
      </c>
      <c r="CE418" s="386">
        <v>0</v>
      </c>
      <c r="CF418" s="268">
        <f>IF(CC418,_xll.qDateYears(CC417,CC418,CF$13),0)</f>
        <v>0</v>
      </c>
      <c r="CG418" s="268">
        <f t="shared" si="104"/>
        <v>2312.0085517586949</v>
      </c>
      <c r="CO418" s="526">
        <v>0</v>
      </c>
      <c r="CP418" s="151" t="str">
        <f t="shared" si="99"/>
        <v/>
      </c>
      <c r="CQ418" s="386">
        <v>0</v>
      </c>
      <c r="CR418" s="268">
        <f>IF(CO418,_xll.qDateYears(CO417,CO418,CR$13),0)</f>
        <v>0</v>
      </c>
      <c r="CS418" s="268">
        <f t="shared" si="105"/>
        <v>2185.174943791465</v>
      </c>
      <c r="DA418" s="526">
        <v>0</v>
      </c>
      <c r="DB418" s="151" t="str">
        <f t="shared" si="100"/>
        <v/>
      </c>
      <c r="DC418" s="386">
        <v>0</v>
      </c>
      <c r="DD418" s="268">
        <f>IF(DA418,_xll.qDateYears(DA417,DA418,DD$13),0)</f>
        <v>0</v>
      </c>
      <c r="DE418" s="268">
        <f t="shared" si="106"/>
        <v>1616.1787110556011</v>
      </c>
      <c r="DM418" s="526">
        <v>0</v>
      </c>
      <c r="DN418" s="151" t="str">
        <f t="shared" si="101"/>
        <v/>
      </c>
      <c r="DO418" s="386">
        <v>0</v>
      </c>
      <c r="DP418" s="268">
        <f>IF(DM418,_xll.qDateYears(DM417,DM418,DP$13),0)</f>
        <v>0</v>
      </c>
      <c r="DQ418" s="268">
        <f t="shared" si="107"/>
        <v>2183.1745733532407</v>
      </c>
    </row>
    <row r="419" spans="59:121">
      <c r="BG419" s="526">
        <v>0</v>
      </c>
      <c r="BH419" s="150" t="str">
        <f t="shared" si="96"/>
        <v/>
      </c>
      <c r="BI419" s="386">
        <v>0</v>
      </c>
      <c r="BJ419" s="268">
        <f>IF(BG419,_xll.qDateYears(BG418,BG419,$BJ$13),0)</f>
        <v>0</v>
      </c>
      <c r="BK419" s="268">
        <f t="shared" si="102"/>
        <v>2183.1745733532407</v>
      </c>
      <c r="BQ419" s="526">
        <v>0</v>
      </c>
      <c r="BR419" s="151" t="str">
        <f t="shared" si="97"/>
        <v/>
      </c>
      <c r="BS419" s="386">
        <v>0</v>
      </c>
      <c r="BT419" s="268">
        <f>IF(BQ419,_xll.qDateYears(BQ418,BQ419,BT$13),0)</f>
        <v>0</v>
      </c>
      <c r="BU419" s="268">
        <f t="shared" si="103"/>
        <v>1738.6030924697341</v>
      </c>
      <c r="CC419" s="526">
        <v>0</v>
      </c>
      <c r="CD419" s="151" t="str">
        <f t="shared" si="98"/>
        <v/>
      </c>
      <c r="CE419" s="386">
        <v>0</v>
      </c>
      <c r="CF419" s="268">
        <f>IF(CC419,_xll.qDateYears(CC418,CC419,CF$13),0)</f>
        <v>0</v>
      </c>
      <c r="CG419" s="268">
        <f t="shared" si="104"/>
        <v>2312.0085517586949</v>
      </c>
      <c r="CO419" s="526">
        <v>0</v>
      </c>
      <c r="CP419" s="151" t="str">
        <f t="shared" si="99"/>
        <v/>
      </c>
      <c r="CQ419" s="386">
        <v>0</v>
      </c>
      <c r="CR419" s="268">
        <f>IF(CO419,_xll.qDateYears(CO418,CO419,CR$13),0)</f>
        <v>0</v>
      </c>
      <c r="CS419" s="268">
        <f t="shared" si="105"/>
        <v>2185.174943791465</v>
      </c>
      <c r="DA419" s="526">
        <v>0</v>
      </c>
      <c r="DB419" s="151" t="str">
        <f t="shared" si="100"/>
        <v/>
      </c>
      <c r="DC419" s="386">
        <v>0</v>
      </c>
      <c r="DD419" s="268">
        <f>IF(DA419,_xll.qDateYears(DA418,DA419,DD$13),0)</f>
        <v>0</v>
      </c>
      <c r="DE419" s="268">
        <f t="shared" si="106"/>
        <v>1616.1787110556011</v>
      </c>
      <c r="DM419" s="526">
        <v>0</v>
      </c>
      <c r="DN419" s="151" t="str">
        <f t="shared" si="101"/>
        <v/>
      </c>
      <c r="DO419" s="386">
        <v>0</v>
      </c>
      <c r="DP419" s="268">
        <f>IF(DM419,_xll.qDateYears(DM418,DM419,DP$13),0)</f>
        <v>0</v>
      </c>
      <c r="DQ419" s="268">
        <f t="shared" si="107"/>
        <v>2183.1745733532407</v>
      </c>
    </row>
    <row r="420" spans="59:121">
      <c r="BG420" s="526">
        <v>0</v>
      </c>
      <c r="BH420" s="150" t="str">
        <f t="shared" si="96"/>
        <v/>
      </c>
      <c r="BI420" s="386">
        <v>0</v>
      </c>
      <c r="BJ420" s="268">
        <f>IF(BG420,_xll.qDateYears(BG419,BG420,$BJ$13),0)</f>
        <v>0</v>
      </c>
      <c r="BK420" s="268">
        <f t="shared" si="102"/>
        <v>2183.1745733532407</v>
      </c>
      <c r="BQ420" s="526">
        <v>0</v>
      </c>
      <c r="BR420" s="151" t="str">
        <f t="shared" si="97"/>
        <v/>
      </c>
      <c r="BS420" s="386">
        <v>0</v>
      </c>
      <c r="BT420" s="268">
        <f>IF(BQ420,_xll.qDateYears(BQ419,BQ420,BT$13),0)</f>
        <v>0</v>
      </c>
      <c r="BU420" s="268">
        <f t="shared" si="103"/>
        <v>1738.6030924697341</v>
      </c>
      <c r="CC420" s="526">
        <v>0</v>
      </c>
      <c r="CD420" s="151" t="str">
        <f t="shared" si="98"/>
        <v/>
      </c>
      <c r="CE420" s="386">
        <v>0</v>
      </c>
      <c r="CF420" s="268">
        <f>IF(CC420,_xll.qDateYears(CC419,CC420,CF$13),0)</f>
        <v>0</v>
      </c>
      <c r="CG420" s="268">
        <f t="shared" si="104"/>
        <v>2312.0085517586949</v>
      </c>
      <c r="CO420" s="526">
        <v>0</v>
      </c>
      <c r="CP420" s="151" t="str">
        <f t="shared" si="99"/>
        <v/>
      </c>
      <c r="CQ420" s="386">
        <v>0</v>
      </c>
      <c r="CR420" s="268">
        <f>IF(CO420,_xll.qDateYears(CO419,CO420,CR$13),0)</f>
        <v>0</v>
      </c>
      <c r="CS420" s="268">
        <f t="shared" si="105"/>
        <v>2185.174943791465</v>
      </c>
      <c r="DA420" s="526">
        <v>0</v>
      </c>
      <c r="DB420" s="151" t="str">
        <f t="shared" si="100"/>
        <v/>
      </c>
      <c r="DC420" s="386">
        <v>0</v>
      </c>
      <c r="DD420" s="268">
        <f>IF(DA420,_xll.qDateYears(DA419,DA420,DD$13),0)</f>
        <v>0</v>
      </c>
      <c r="DE420" s="268">
        <f t="shared" si="106"/>
        <v>1616.1787110556011</v>
      </c>
      <c r="DM420" s="526">
        <v>0</v>
      </c>
      <c r="DN420" s="151" t="str">
        <f t="shared" si="101"/>
        <v/>
      </c>
      <c r="DO420" s="386">
        <v>0</v>
      </c>
      <c r="DP420" s="268">
        <f>IF(DM420,_xll.qDateYears(DM419,DM420,DP$13),0)</f>
        <v>0</v>
      </c>
      <c r="DQ420" s="268">
        <f t="shared" si="107"/>
        <v>2183.1745733532407</v>
      </c>
    </row>
    <row r="421" spans="59:121">
      <c r="BG421" s="526">
        <v>0</v>
      </c>
      <c r="BH421" s="150" t="str">
        <f t="shared" si="96"/>
        <v/>
      </c>
      <c r="BI421" s="386">
        <v>0</v>
      </c>
      <c r="BJ421" s="268">
        <f>IF(BG421,_xll.qDateYears(BG420,BG421,$BJ$13),0)</f>
        <v>0</v>
      </c>
      <c r="BK421" s="268">
        <f t="shared" si="102"/>
        <v>2183.1745733532407</v>
      </c>
      <c r="BQ421" s="526">
        <v>0</v>
      </c>
      <c r="BR421" s="151" t="str">
        <f t="shared" si="97"/>
        <v/>
      </c>
      <c r="BS421" s="386">
        <v>0</v>
      </c>
      <c r="BT421" s="268">
        <f>IF(BQ421,_xll.qDateYears(BQ420,BQ421,BT$13),0)</f>
        <v>0</v>
      </c>
      <c r="BU421" s="268">
        <f t="shared" si="103"/>
        <v>1738.6030924697341</v>
      </c>
      <c r="CC421" s="526">
        <v>0</v>
      </c>
      <c r="CD421" s="151" t="str">
        <f t="shared" si="98"/>
        <v/>
      </c>
      <c r="CE421" s="386">
        <v>0</v>
      </c>
      <c r="CF421" s="268">
        <f>IF(CC421,_xll.qDateYears(CC420,CC421,CF$13),0)</f>
        <v>0</v>
      </c>
      <c r="CG421" s="268">
        <f t="shared" si="104"/>
        <v>2312.0085517586949</v>
      </c>
      <c r="CO421" s="526">
        <v>0</v>
      </c>
      <c r="CP421" s="151" t="str">
        <f t="shared" si="99"/>
        <v/>
      </c>
      <c r="CQ421" s="386">
        <v>0</v>
      </c>
      <c r="CR421" s="268">
        <f>IF(CO421,_xll.qDateYears(CO420,CO421,CR$13),0)</f>
        <v>0</v>
      </c>
      <c r="CS421" s="268">
        <f t="shared" si="105"/>
        <v>2185.174943791465</v>
      </c>
      <c r="DA421" s="526">
        <v>0</v>
      </c>
      <c r="DB421" s="151" t="str">
        <f t="shared" si="100"/>
        <v/>
      </c>
      <c r="DC421" s="386">
        <v>0</v>
      </c>
      <c r="DD421" s="268">
        <f>IF(DA421,_xll.qDateYears(DA420,DA421,DD$13),0)</f>
        <v>0</v>
      </c>
      <c r="DE421" s="268">
        <f t="shared" si="106"/>
        <v>1616.1787110556011</v>
      </c>
      <c r="DM421" s="526">
        <v>0</v>
      </c>
      <c r="DN421" s="151" t="str">
        <f t="shared" si="101"/>
        <v/>
      </c>
      <c r="DO421" s="386">
        <v>0</v>
      </c>
      <c r="DP421" s="268">
        <f>IF(DM421,_xll.qDateYears(DM420,DM421,DP$13),0)</f>
        <v>0</v>
      </c>
      <c r="DQ421" s="268">
        <f t="shared" si="107"/>
        <v>2183.1745733532407</v>
      </c>
    </row>
    <row r="422" spans="59:121">
      <c r="BG422" s="526">
        <v>0</v>
      </c>
      <c r="BH422" s="150" t="str">
        <f t="shared" si="96"/>
        <v/>
      </c>
      <c r="BI422" s="386">
        <v>0</v>
      </c>
      <c r="BJ422" s="268">
        <f>IF(BG422,_xll.qDateYears(BG421,BG422,$BJ$13),0)</f>
        <v>0</v>
      </c>
      <c r="BK422" s="268">
        <f t="shared" si="102"/>
        <v>2183.1745733532407</v>
      </c>
      <c r="BQ422" s="526">
        <v>0</v>
      </c>
      <c r="BR422" s="151" t="str">
        <f t="shared" si="97"/>
        <v/>
      </c>
      <c r="BS422" s="386">
        <v>0</v>
      </c>
      <c r="BT422" s="268">
        <f>IF(BQ422,_xll.qDateYears(BQ421,BQ422,BT$13),0)</f>
        <v>0</v>
      </c>
      <c r="BU422" s="268">
        <f t="shared" si="103"/>
        <v>1738.6030924697341</v>
      </c>
      <c r="CC422" s="526">
        <v>0</v>
      </c>
      <c r="CD422" s="151" t="str">
        <f t="shared" si="98"/>
        <v/>
      </c>
      <c r="CE422" s="386">
        <v>0</v>
      </c>
      <c r="CF422" s="268">
        <f>IF(CC422,_xll.qDateYears(CC421,CC422,CF$13),0)</f>
        <v>0</v>
      </c>
      <c r="CG422" s="268">
        <f t="shared" si="104"/>
        <v>2312.0085517586949</v>
      </c>
      <c r="CO422" s="526">
        <v>0</v>
      </c>
      <c r="CP422" s="151" t="str">
        <f t="shared" si="99"/>
        <v/>
      </c>
      <c r="CQ422" s="386">
        <v>0</v>
      </c>
      <c r="CR422" s="268">
        <f>IF(CO422,_xll.qDateYears(CO421,CO422,CR$13),0)</f>
        <v>0</v>
      </c>
      <c r="CS422" s="268">
        <f t="shared" si="105"/>
        <v>2185.174943791465</v>
      </c>
      <c r="DA422" s="526">
        <v>0</v>
      </c>
      <c r="DB422" s="151" t="str">
        <f t="shared" si="100"/>
        <v/>
      </c>
      <c r="DC422" s="386">
        <v>0</v>
      </c>
      <c r="DD422" s="268">
        <f>IF(DA422,_xll.qDateYears(DA421,DA422,DD$13),0)</f>
        <v>0</v>
      </c>
      <c r="DE422" s="268">
        <f t="shared" si="106"/>
        <v>1616.1787110556011</v>
      </c>
      <c r="DM422" s="526">
        <v>0</v>
      </c>
      <c r="DN422" s="151" t="str">
        <f t="shared" si="101"/>
        <v/>
      </c>
      <c r="DO422" s="386">
        <v>0</v>
      </c>
      <c r="DP422" s="268">
        <f>IF(DM422,_xll.qDateYears(DM421,DM422,DP$13),0)</f>
        <v>0</v>
      </c>
      <c r="DQ422" s="268">
        <f t="shared" si="107"/>
        <v>2183.1745733532407</v>
      </c>
    </row>
    <row r="423" spans="59:121">
      <c r="BG423" s="526">
        <v>0</v>
      </c>
      <c r="BH423" s="150" t="str">
        <f t="shared" si="96"/>
        <v/>
      </c>
      <c r="BI423" s="386">
        <v>0</v>
      </c>
      <c r="BJ423" s="268">
        <f>IF(BG423,_xll.qDateYears(BG422,BG423,$BJ$13),0)</f>
        <v>0</v>
      </c>
      <c r="BK423" s="268">
        <f t="shared" si="102"/>
        <v>2183.1745733532407</v>
      </c>
      <c r="BQ423" s="526">
        <v>0</v>
      </c>
      <c r="BR423" s="151" t="str">
        <f t="shared" si="97"/>
        <v/>
      </c>
      <c r="BS423" s="386">
        <v>0</v>
      </c>
      <c r="BT423" s="268">
        <f>IF(BQ423,_xll.qDateYears(BQ422,BQ423,BT$13),0)</f>
        <v>0</v>
      </c>
      <c r="BU423" s="268">
        <f t="shared" si="103"/>
        <v>1738.6030924697341</v>
      </c>
      <c r="CC423" s="526">
        <v>0</v>
      </c>
      <c r="CD423" s="151" t="str">
        <f t="shared" si="98"/>
        <v/>
      </c>
      <c r="CE423" s="386">
        <v>0</v>
      </c>
      <c r="CF423" s="268">
        <f>IF(CC423,_xll.qDateYears(CC422,CC423,CF$13),0)</f>
        <v>0</v>
      </c>
      <c r="CG423" s="268">
        <f t="shared" si="104"/>
        <v>2312.0085517586949</v>
      </c>
      <c r="CO423" s="526">
        <v>0</v>
      </c>
      <c r="CP423" s="151" t="str">
        <f t="shared" si="99"/>
        <v/>
      </c>
      <c r="CQ423" s="386">
        <v>0</v>
      </c>
      <c r="CR423" s="268">
        <f>IF(CO423,_xll.qDateYears(CO422,CO423,CR$13),0)</f>
        <v>0</v>
      </c>
      <c r="CS423" s="268">
        <f t="shared" si="105"/>
        <v>2185.174943791465</v>
      </c>
      <c r="DA423" s="526">
        <v>0</v>
      </c>
      <c r="DB423" s="151" t="str">
        <f t="shared" si="100"/>
        <v/>
      </c>
      <c r="DC423" s="386">
        <v>0</v>
      </c>
      <c r="DD423" s="268">
        <f>IF(DA423,_xll.qDateYears(DA422,DA423,DD$13),0)</f>
        <v>0</v>
      </c>
      <c r="DE423" s="268">
        <f t="shared" si="106"/>
        <v>1616.1787110556011</v>
      </c>
      <c r="DM423" s="526">
        <v>0</v>
      </c>
      <c r="DN423" s="151" t="str">
        <f t="shared" si="101"/>
        <v/>
      </c>
      <c r="DO423" s="386">
        <v>0</v>
      </c>
      <c r="DP423" s="268">
        <f>IF(DM423,_xll.qDateYears(DM422,DM423,DP$13),0)</f>
        <v>0</v>
      </c>
      <c r="DQ423" s="268">
        <f t="shared" si="107"/>
        <v>2183.1745733532407</v>
      </c>
    </row>
    <row r="424" spans="59:121">
      <c r="BG424" s="526">
        <v>0</v>
      </c>
      <c r="BH424" s="150" t="str">
        <f t="shared" si="96"/>
        <v/>
      </c>
      <c r="BI424" s="386">
        <v>0</v>
      </c>
      <c r="BJ424" s="268">
        <f>IF(BG424,_xll.qDateYears(BG423,BG424,$BJ$13),0)</f>
        <v>0</v>
      </c>
      <c r="BK424" s="268">
        <f t="shared" si="102"/>
        <v>2183.1745733532407</v>
      </c>
      <c r="BQ424" s="526">
        <v>0</v>
      </c>
      <c r="BR424" s="151" t="str">
        <f t="shared" si="97"/>
        <v/>
      </c>
      <c r="BS424" s="386">
        <v>0</v>
      </c>
      <c r="BT424" s="268">
        <f>IF(BQ424,_xll.qDateYears(BQ423,BQ424,BT$13),0)</f>
        <v>0</v>
      </c>
      <c r="BU424" s="268">
        <f t="shared" si="103"/>
        <v>1738.6030924697341</v>
      </c>
      <c r="CC424" s="526">
        <v>0</v>
      </c>
      <c r="CD424" s="151" t="str">
        <f t="shared" si="98"/>
        <v/>
      </c>
      <c r="CE424" s="386">
        <v>0</v>
      </c>
      <c r="CF424" s="268">
        <f>IF(CC424,_xll.qDateYears(CC423,CC424,CF$13),0)</f>
        <v>0</v>
      </c>
      <c r="CG424" s="268">
        <f t="shared" si="104"/>
        <v>2312.0085517586949</v>
      </c>
      <c r="CO424" s="526">
        <v>0</v>
      </c>
      <c r="CP424" s="151" t="str">
        <f t="shared" si="99"/>
        <v/>
      </c>
      <c r="CQ424" s="386">
        <v>0</v>
      </c>
      <c r="CR424" s="268">
        <f>IF(CO424,_xll.qDateYears(CO423,CO424,CR$13),0)</f>
        <v>0</v>
      </c>
      <c r="CS424" s="268">
        <f t="shared" si="105"/>
        <v>2185.174943791465</v>
      </c>
      <c r="DA424" s="526">
        <v>0</v>
      </c>
      <c r="DB424" s="151" t="str">
        <f t="shared" si="100"/>
        <v/>
      </c>
      <c r="DC424" s="386">
        <v>0</v>
      </c>
      <c r="DD424" s="268">
        <f>IF(DA424,_xll.qDateYears(DA423,DA424,DD$13),0)</f>
        <v>0</v>
      </c>
      <c r="DE424" s="268">
        <f t="shared" si="106"/>
        <v>1616.1787110556011</v>
      </c>
      <c r="DM424" s="526">
        <v>0</v>
      </c>
      <c r="DN424" s="151" t="str">
        <f t="shared" si="101"/>
        <v/>
      </c>
      <c r="DO424" s="386">
        <v>0</v>
      </c>
      <c r="DP424" s="268">
        <f>IF(DM424,_xll.qDateYears(DM423,DM424,DP$13),0)</f>
        <v>0</v>
      </c>
      <c r="DQ424" s="268">
        <f t="shared" si="107"/>
        <v>2183.1745733532407</v>
      </c>
    </row>
    <row r="425" spans="59:121">
      <c r="BG425" s="526">
        <v>0</v>
      </c>
      <c r="BH425" s="150" t="str">
        <f t="shared" si="96"/>
        <v/>
      </c>
      <c r="BI425" s="386">
        <v>0</v>
      </c>
      <c r="BJ425" s="268">
        <f>IF(BG425,_xll.qDateYears(BG424,BG425,$BJ$13),0)</f>
        <v>0</v>
      </c>
      <c r="BK425" s="268">
        <f t="shared" si="102"/>
        <v>2183.1745733532407</v>
      </c>
      <c r="BQ425" s="526">
        <v>0</v>
      </c>
      <c r="BR425" s="151" t="str">
        <f t="shared" si="97"/>
        <v/>
      </c>
      <c r="BS425" s="386">
        <v>0</v>
      </c>
      <c r="BT425" s="268">
        <f>IF(BQ425,_xll.qDateYears(BQ424,BQ425,BT$13),0)</f>
        <v>0</v>
      </c>
      <c r="BU425" s="268">
        <f t="shared" si="103"/>
        <v>1738.6030924697341</v>
      </c>
      <c r="CC425" s="526">
        <v>0</v>
      </c>
      <c r="CD425" s="151" t="str">
        <f t="shared" si="98"/>
        <v/>
      </c>
      <c r="CE425" s="386">
        <v>0</v>
      </c>
      <c r="CF425" s="268">
        <f>IF(CC425,_xll.qDateYears(CC424,CC425,CF$13),0)</f>
        <v>0</v>
      </c>
      <c r="CG425" s="268">
        <f t="shared" si="104"/>
        <v>2312.0085517586949</v>
      </c>
      <c r="CO425" s="526">
        <v>0</v>
      </c>
      <c r="CP425" s="151" t="str">
        <f t="shared" si="99"/>
        <v/>
      </c>
      <c r="CQ425" s="386">
        <v>0</v>
      </c>
      <c r="CR425" s="268">
        <f>IF(CO425,_xll.qDateYears(CO424,CO425,CR$13),0)</f>
        <v>0</v>
      </c>
      <c r="CS425" s="268">
        <f t="shared" si="105"/>
        <v>2185.174943791465</v>
      </c>
      <c r="DA425" s="526">
        <v>0</v>
      </c>
      <c r="DB425" s="151" t="str">
        <f t="shared" si="100"/>
        <v/>
      </c>
      <c r="DC425" s="386">
        <v>0</v>
      </c>
      <c r="DD425" s="268">
        <f>IF(DA425,_xll.qDateYears(DA424,DA425,DD$13),0)</f>
        <v>0</v>
      </c>
      <c r="DE425" s="268">
        <f t="shared" si="106"/>
        <v>1616.1787110556011</v>
      </c>
      <c r="DM425" s="526">
        <v>0</v>
      </c>
      <c r="DN425" s="151" t="str">
        <f t="shared" si="101"/>
        <v/>
      </c>
      <c r="DO425" s="386">
        <v>0</v>
      </c>
      <c r="DP425" s="268">
        <f>IF(DM425,_xll.qDateYears(DM424,DM425,DP$13),0)</f>
        <v>0</v>
      </c>
      <c r="DQ425" s="268">
        <f t="shared" si="107"/>
        <v>2183.1745733532407</v>
      </c>
    </row>
    <row r="426" spans="59:121">
      <c r="BG426" s="526">
        <v>0</v>
      </c>
      <c r="BH426" s="150" t="str">
        <f t="shared" si="96"/>
        <v/>
      </c>
      <c r="BI426" s="386">
        <v>0</v>
      </c>
      <c r="BJ426" s="268">
        <f>IF(BG426,_xll.qDateYears(BG425,BG426,$BJ$13),0)</f>
        <v>0</v>
      </c>
      <c r="BK426" s="268">
        <f t="shared" si="102"/>
        <v>2183.1745733532407</v>
      </c>
      <c r="BQ426" s="526">
        <v>0</v>
      </c>
      <c r="BR426" s="151" t="str">
        <f t="shared" si="97"/>
        <v/>
      </c>
      <c r="BS426" s="386">
        <v>0</v>
      </c>
      <c r="BT426" s="268">
        <f>IF(BQ426,_xll.qDateYears(BQ425,BQ426,BT$13),0)</f>
        <v>0</v>
      </c>
      <c r="BU426" s="268">
        <f t="shared" si="103"/>
        <v>1738.6030924697341</v>
      </c>
      <c r="CC426" s="526">
        <v>0</v>
      </c>
      <c r="CD426" s="151" t="str">
        <f t="shared" si="98"/>
        <v/>
      </c>
      <c r="CE426" s="386">
        <v>0</v>
      </c>
      <c r="CF426" s="268">
        <f>IF(CC426,_xll.qDateYears(CC425,CC426,CF$13),0)</f>
        <v>0</v>
      </c>
      <c r="CG426" s="268">
        <f t="shared" si="104"/>
        <v>2312.0085517586949</v>
      </c>
      <c r="CO426" s="526">
        <v>0</v>
      </c>
      <c r="CP426" s="151" t="str">
        <f t="shared" si="99"/>
        <v/>
      </c>
      <c r="CQ426" s="386">
        <v>0</v>
      </c>
      <c r="CR426" s="268">
        <f>IF(CO426,_xll.qDateYears(CO425,CO426,CR$13),0)</f>
        <v>0</v>
      </c>
      <c r="CS426" s="268">
        <f t="shared" si="105"/>
        <v>2185.174943791465</v>
      </c>
      <c r="DA426" s="526">
        <v>0</v>
      </c>
      <c r="DB426" s="151" t="str">
        <f t="shared" si="100"/>
        <v/>
      </c>
      <c r="DC426" s="386">
        <v>0</v>
      </c>
      <c r="DD426" s="268">
        <f>IF(DA426,_xll.qDateYears(DA425,DA426,DD$13),0)</f>
        <v>0</v>
      </c>
      <c r="DE426" s="268">
        <f t="shared" si="106"/>
        <v>1616.1787110556011</v>
      </c>
      <c r="DM426" s="526">
        <v>0</v>
      </c>
      <c r="DN426" s="151" t="str">
        <f t="shared" si="101"/>
        <v/>
      </c>
      <c r="DO426" s="386">
        <v>0</v>
      </c>
      <c r="DP426" s="268">
        <f>IF(DM426,_xll.qDateYears(DM425,DM426,DP$13),0)</f>
        <v>0</v>
      </c>
      <c r="DQ426" s="268">
        <f t="shared" si="107"/>
        <v>2183.1745733532407</v>
      </c>
    </row>
    <row r="427" spans="59:121">
      <c r="BG427" s="526">
        <v>0</v>
      </c>
      <c r="BH427" s="150" t="str">
        <f t="shared" si="96"/>
        <v/>
      </c>
      <c r="BI427" s="386">
        <v>0</v>
      </c>
      <c r="BJ427" s="268">
        <f>IF(BG427,_xll.qDateYears(BG426,BG427,$BJ$13),0)</f>
        <v>0</v>
      </c>
      <c r="BK427" s="268">
        <f t="shared" si="102"/>
        <v>2183.1745733532407</v>
      </c>
      <c r="BQ427" s="526">
        <v>0</v>
      </c>
      <c r="BR427" s="151" t="str">
        <f t="shared" si="97"/>
        <v/>
      </c>
      <c r="BS427" s="386">
        <v>0</v>
      </c>
      <c r="BT427" s="268">
        <f>IF(BQ427,_xll.qDateYears(BQ426,BQ427,BT$13),0)</f>
        <v>0</v>
      </c>
      <c r="BU427" s="268">
        <f t="shared" si="103"/>
        <v>1738.6030924697341</v>
      </c>
      <c r="CC427" s="526">
        <v>0</v>
      </c>
      <c r="CD427" s="151" t="str">
        <f t="shared" si="98"/>
        <v/>
      </c>
      <c r="CE427" s="386">
        <v>0</v>
      </c>
      <c r="CF427" s="268">
        <f>IF(CC427,_xll.qDateYears(CC426,CC427,CF$13),0)</f>
        <v>0</v>
      </c>
      <c r="CG427" s="268">
        <f t="shared" si="104"/>
        <v>2312.0085517586949</v>
      </c>
      <c r="CO427" s="526">
        <v>0</v>
      </c>
      <c r="CP427" s="151" t="str">
        <f t="shared" si="99"/>
        <v/>
      </c>
      <c r="CQ427" s="386">
        <v>0</v>
      </c>
      <c r="CR427" s="268">
        <f>IF(CO427,_xll.qDateYears(CO426,CO427,CR$13),0)</f>
        <v>0</v>
      </c>
      <c r="CS427" s="268">
        <f t="shared" si="105"/>
        <v>2185.174943791465</v>
      </c>
      <c r="DA427" s="526">
        <v>0</v>
      </c>
      <c r="DB427" s="151" t="str">
        <f t="shared" si="100"/>
        <v/>
      </c>
      <c r="DC427" s="386">
        <v>0</v>
      </c>
      <c r="DD427" s="268">
        <f>IF(DA427,_xll.qDateYears(DA426,DA427,DD$13),0)</f>
        <v>0</v>
      </c>
      <c r="DE427" s="268">
        <f t="shared" si="106"/>
        <v>1616.1787110556011</v>
      </c>
      <c r="DM427" s="526">
        <v>0</v>
      </c>
      <c r="DN427" s="151" t="str">
        <f t="shared" si="101"/>
        <v/>
      </c>
      <c r="DO427" s="386">
        <v>0</v>
      </c>
      <c r="DP427" s="268">
        <f>IF(DM427,_xll.qDateYears(DM426,DM427,DP$13),0)</f>
        <v>0</v>
      </c>
      <c r="DQ427" s="268">
        <f t="shared" si="107"/>
        <v>2183.1745733532407</v>
      </c>
    </row>
    <row r="428" spans="59:121">
      <c r="BG428" s="526">
        <v>0</v>
      </c>
      <c r="BH428" s="150" t="str">
        <f t="shared" si="96"/>
        <v/>
      </c>
      <c r="BI428" s="386">
        <v>0</v>
      </c>
      <c r="BJ428" s="268">
        <f>IF(BG428,_xll.qDateYears(BG427,BG428,$BJ$13),0)</f>
        <v>0</v>
      </c>
      <c r="BK428" s="268">
        <f t="shared" si="102"/>
        <v>2183.1745733532407</v>
      </c>
      <c r="BQ428" s="526">
        <v>0</v>
      </c>
      <c r="BR428" s="151" t="str">
        <f t="shared" si="97"/>
        <v/>
      </c>
      <c r="BS428" s="386">
        <v>0</v>
      </c>
      <c r="BT428" s="268">
        <f>IF(BQ428,_xll.qDateYears(BQ427,BQ428,BT$13),0)</f>
        <v>0</v>
      </c>
      <c r="BU428" s="268">
        <f t="shared" si="103"/>
        <v>1738.6030924697341</v>
      </c>
      <c r="CC428" s="526">
        <v>0</v>
      </c>
      <c r="CD428" s="151" t="str">
        <f t="shared" si="98"/>
        <v/>
      </c>
      <c r="CE428" s="386">
        <v>0</v>
      </c>
      <c r="CF428" s="268">
        <f>IF(CC428,_xll.qDateYears(CC427,CC428,CF$13),0)</f>
        <v>0</v>
      </c>
      <c r="CG428" s="268">
        <f t="shared" si="104"/>
        <v>2312.0085517586949</v>
      </c>
      <c r="CO428" s="526">
        <v>0</v>
      </c>
      <c r="CP428" s="151" t="str">
        <f t="shared" si="99"/>
        <v/>
      </c>
      <c r="CQ428" s="386">
        <v>0</v>
      </c>
      <c r="CR428" s="268">
        <f>IF(CO428,_xll.qDateYears(CO427,CO428,CR$13),0)</f>
        <v>0</v>
      </c>
      <c r="CS428" s="268">
        <f t="shared" si="105"/>
        <v>2185.174943791465</v>
      </c>
      <c r="DA428" s="526">
        <v>0</v>
      </c>
      <c r="DB428" s="151" t="str">
        <f t="shared" si="100"/>
        <v/>
      </c>
      <c r="DC428" s="386">
        <v>0</v>
      </c>
      <c r="DD428" s="268">
        <f>IF(DA428,_xll.qDateYears(DA427,DA428,DD$13),0)</f>
        <v>0</v>
      </c>
      <c r="DE428" s="268">
        <f t="shared" si="106"/>
        <v>1616.1787110556011</v>
      </c>
      <c r="DM428" s="526">
        <v>0</v>
      </c>
      <c r="DN428" s="151" t="str">
        <f t="shared" si="101"/>
        <v/>
      </c>
      <c r="DO428" s="386">
        <v>0</v>
      </c>
      <c r="DP428" s="268">
        <f>IF(DM428,_xll.qDateYears(DM427,DM428,DP$13),0)</f>
        <v>0</v>
      </c>
      <c r="DQ428" s="268">
        <f t="shared" si="107"/>
        <v>2183.1745733532407</v>
      </c>
    </row>
    <row r="429" spans="59:121">
      <c r="BG429" s="526">
        <v>0</v>
      </c>
      <c r="BH429" s="150" t="str">
        <f t="shared" si="96"/>
        <v/>
      </c>
      <c r="BI429" s="386">
        <v>0</v>
      </c>
      <c r="BJ429" s="268">
        <f>IF(BG429,_xll.qDateYears(BG428,BG429,$BJ$13),0)</f>
        <v>0</v>
      </c>
      <c r="BK429" s="268">
        <f t="shared" si="102"/>
        <v>2183.1745733532407</v>
      </c>
      <c r="BQ429" s="526">
        <v>0</v>
      </c>
      <c r="BR429" s="151" t="str">
        <f t="shared" si="97"/>
        <v/>
      </c>
      <c r="BS429" s="386">
        <v>0</v>
      </c>
      <c r="BT429" s="268">
        <f>IF(BQ429,_xll.qDateYears(BQ428,BQ429,BT$13),0)</f>
        <v>0</v>
      </c>
      <c r="BU429" s="268">
        <f t="shared" si="103"/>
        <v>1738.6030924697341</v>
      </c>
      <c r="CC429" s="526">
        <v>0</v>
      </c>
      <c r="CD429" s="151" t="str">
        <f t="shared" si="98"/>
        <v/>
      </c>
      <c r="CE429" s="386">
        <v>0</v>
      </c>
      <c r="CF429" s="268">
        <f>IF(CC429,_xll.qDateYears(CC428,CC429,CF$13),0)</f>
        <v>0</v>
      </c>
      <c r="CG429" s="268">
        <f t="shared" si="104"/>
        <v>2312.0085517586949</v>
      </c>
      <c r="CO429" s="526">
        <v>0</v>
      </c>
      <c r="CP429" s="151" t="str">
        <f t="shared" si="99"/>
        <v/>
      </c>
      <c r="CQ429" s="386">
        <v>0</v>
      </c>
      <c r="CR429" s="268">
        <f>IF(CO429,_xll.qDateYears(CO428,CO429,CR$13),0)</f>
        <v>0</v>
      </c>
      <c r="CS429" s="268">
        <f t="shared" si="105"/>
        <v>2185.174943791465</v>
      </c>
      <c r="DA429" s="526">
        <v>0</v>
      </c>
      <c r="DB429" s="151" t="str">
        <f t="shared" si="100"/>
        <v/>
      </c>
      <c r="DC429" s="386">
        <v>0</v>
      </c>
      <c r="DD429" s="268">
        <f>IF(DA429,_xll.qDateYears(DA428,DA429,DD$13),0)</f>
        <v>0</v>
      </c>
      <c r="DE429" s="268">
        <f t="shared" si="106"/>
        <v>1616.1787110556011</v>
      </c>
      <c r="DM429" s="526">
        <v>0</v>
      </c>
      <c r="DN429" s="151" t="str">
        <f t="shared" si="101"/>
        <v/>
      </c>
      <c r="DO429" s="386">
        <v>0</v>
      </c>
      <c r="DP429" s="268">
        <f>IF(DM429,_xll.qDateYears(DM428,DM429,DP$13),0)</f>
        <v>0</v>
      </c>
      <c r="DQ429" s="268">
        <f t="shared" si="107"/>
        <v>2183.1745733532407</v>
      </c>
    </row>
    <row r="430" spans="59:121">
      <c r="BG430" s="526">
        <v>0</v>
      </c>
      <c r="BH430" s="150" t="str">
        <f t="shared" si="96"/>
        <v/>
      </c>
      <c r="BI430" s="386">
        <v>0</v>
      </c>
      <c r="BJ430" s="268">
        <f>IF(BG430,_xll.qDateYears(BG429,BG430,$BJ$13),0)</f>
        <v>0</v>
      </c>
      <c r="BK430" s="268">
        <f t="shared" si="102"/>
        <v>2183.1745733532407</v>
      </c>
      <c r="BQ430" s="526">
        <v>0</v>
      </c>
      <c r="BR430" s="151" t="str">
        <f t="shared" si="97"/>
        <v/>
      </c>
      <c r="BS430" s="386">
        <v>0</v>
      </c>
      <c r="BT430" s="268">
        <f>IF(BQ430,_xll.qDateYears(BQ429,BQ430,BT$13),0)</f>
        <v>0</v>
      </c>
      <c r="BU430" s="268">
        <f t="shared" si="103"/>
        <v>1738.6030924697341</v>
      </c>
      <c r="CC430" s="526">
        <v>0</v>
      </c>
      <c r="CD430" s="151" t="str">
        <f t="shared" si="98"/>
        <v/>
      </c>
      <c r="CE430" s="386">
        <v>0</v>
      </c>
      <c r="CF430" s="268">
        <f>IF(CC430,_xll.qDateYears(CC429,CC430,CF$13),0)</f>
        <v>0</v>
      </c>
      <c r="CG430" s="268">
        <f t="shared" si="104"/>
        <v>2312.0085517586949</v>
      </c>
      <c r="CO430" s="526">
        <v>0</v>
      </c>
      <c r="CP430" s="151" t="str">
        <f t="shared" si="99"/>
        <v/>
      </c>
      <c r="CQ430" s="386">
        <v>0</v>
      </c>
      <c r="CR430" s="268">
        <f>IF(CO430,_xll.qDateYears(CO429,CO430,CR$13),0)</f>
        <v>0</v>
      </c>
      <c r="CS430" s="268">
        <f t="shared" si="105"/>
        <v>2185.174943791465</v>
      </c>
      <c r="DA430" s="526">
        <v>0</v>
      </c>
      <c r="DB430" s="151" t="str">
        <f t="shared" si="100"/>
        <v/>
      </c>
      <c r="DC430" s="386">
        <v>0</v>
      </c>
      <c r="DD430" s="268">
        <f>IF(DA430,_xll.qDateYears(DA429,DA430,DD$13),0)</f>
        <v>0</v>
      </c>
      <c r="DE430" s="268">
        <f t="shared" si="106"/>
        <v>1616.1787110556011</v>
      </c>
      <c r="DM430" s="526">
        <v>0</v>
      </c>
      <c r="DN430" s="151" t="str">
        <f t="shared" si="101"/>
        <v/>
      </c>
      <c r="DO430" s="386">
        <v>0</v>
      </c>
      <c r="DP430" s="268">
        <f>IF(DM430,_xll.qDateYears(DM429,DM430,DP$13),0)</f>
        <v>0</v>
      </c>
      <c r="DQ430" s="268">
        <f t="shared" si="107"/>
        <v>2183.1745733532407</v>
      </c>
    </row>
    <row r="431" spans="59:121">
      <c r="BG431" s="526">
        <v>0</v>
      </c>
      <c r="BH431" s="150" t="str">
        <f t="shared" si="96"/>
        <v/>
      </c>
      <c r="BI431" s="386">
        <v>0</v>
      </c>
      <c r="BJ431" s="268">
        <f>IF(BG431,_xll.qDateYears(BG430,BG431,$BJ$13),0)</f>
        <v>0</v>
      </c>
      <c r="BK431" s="268">
        <f t="shared" si="102"/>
        <v>2183.1745733532407</v>
      </c>
      <c r="BQ431" s="526">
        <v>0</v>
      </c>
      <c r="BR431" s="151" t="str">
        <f t="shared" si="97"/>
        <v/>
      </c>
      <c r="BS431" s="386">
        <v>0</v>
      </c>
      <c r="BT431" s="268">
        <f>IF(BQ431,_xll.qDateYears(BQ430,BQ431,BT$13),0)</f>
        <v>0</v>
      </c>
      <c r="BU431" s="268">
        <f t="shared" si="103"/>
        <v>1738.6030924697341</v>
      </c>
      <c r="CC431" s="526">
        <v>0</v>
      </c>
      <c r="CD431" s="151" t="str">
        <f t="shared" si="98"/>
        <v/>
      </c>
      <c r="CE431" s="386">
        <v>0</v>
      </c>
      <c r="CF431" s="268">
        <f>IF(CC431,_xll.qDateYears(CC430,CC431,CF$13),0)</f>
        <v>0</v>
      </c>
      <c r="CG431" s="268">
        <f t="shared" si="104"/>
        <v>2312.0085517586949</v>
      </c>
      <c r="CO431" s="526">
        <v>0</v>
      </c>
      <c r="CP431" s="151" t="str">
        <f t="shared" si="99"/>
        <v/>
      </c>
      <c r="CQ431" s="386">
        <v>0</v>
      </c>
      <c r="CR431" s="268">
        <f>IF(CO431,_xll.qDateYears(CO430,CO431,CR$13),0)</f>
        <v>0</v>
      </c>
      <c r="CS431" s="268">
        <f t="shared" si="105"/>
        <v>2185.174943791465</v>
      </c>
      <c r="DA431" s="526">
        <v>0</v>
      </c>
      <c r="DB431" s="151" t="str">
        <f t="shared" si="100"/>
        <v/>
      </c>
      <c r="DC431" s="386">
        <v>0</v>
      </c>
      <c r="DD431" s="268">
        <f>IF(DA431,_xll.qDateYears(DA430,DA431,DD$13),0)</f>
        <v>0</v>
      </c>
      <c r="DE431" s="268">
        <f t="shared" si="106"/>
        <v>1616.1787110556011</v>
      </c>
      <c r="DM431" s="526">
        <v>0</v>
      </c>
      <c r="DN431" s="151" t="str">
        <f t="shared" si="101"/>
        <v/>
      </c>
      <c r="DO431" s="386">
        <v>0</v>
      </c>
      <c r="DP431" s="268">
        <f>IF(DM431,_xll.qDateYears(DM430,DM431,DP$13),0)</f>
        <v>0</v>
      </c>
      <c r="DQ431" s="268">
        <f t="shared" si="107"/>
        <v>2183.1745733532407</v>
      </c>
    </row>
    <row r="432" spans="59:121">
      <c r="BG432" s="526">
        <v>0</v>
      </c>
      <c r="BH432" s="150" t="str">
        <f t="shared" si="96"/>
        <v/>
      </c>
      <c r="BI432" s="386">
        <v>0</v>
      </c>
      <c r="BJ432" s="268">
        <f>IF(BG432,_xll.qDateYears(BG431,BG432,$BJ$13),0)</f>
        <v>0</v>
      </c>
      <c r="BK432" s="268">
        <f t="shared" si="102"/>
        <v>2183.1745733532407</v>
      </c>
      <c r="BQ432" s="526">
        <v>0</v>
      </c>
      <c r="BR432" s="151" t="str">
        <f t="shared" si="97"/>
        <v/>
      </c>
      <c r="BS432" s="386">
        <v>0</v>
      </c>
      <c r="BT432" s="268">
        <f>IF(BQ432,_xll.qDateYears(BQ431,BQ432,BT$13),0)</f>
        <v>0</v>
      </c>
      <c r="BU432" s="268">
        <f t="shared" si="103"/>
        <v>1738.6030924697341</v>
      </c>
      <c r="CC432" s="526">
        <v>0</v>
      </c>
      <c r="CD432" s="151" t="str">
        <f t="shared" si="98"/>
        <v/>
      </c>
      <c r="CE432" s="386">
        <v>0</v>
      </c>
      <c r="CF432" s="268">
        <f>IF(CC432,_xll.qDateYears(CC431,CC432,CF$13),0)</f>
        <v>0</v>
      </c>
      <c r="CG432" s="268">
        <f t="shared" si="104"/>
        <v>2312.0085517586949</v>
      </c>
      <c r="CO432" s="526">
        <v>0</v>
      </c>
      <c r="CP432" s="151" t="str">
        <f t="shared" si="99"/>
        <v/>
      </c>
      <c r="CQ432" s="386">
        <v>0</v>
      </c>
      <c r="CR432" s="268">
        <f>IF(CO432,_xll.qDateYears(CO431,CO432,CR$13),0)</f>
        <v>0</v>
      </c>
      <c r="CS432" s="268">
        <f t="shared" si="105"/>
        <v>2185.174943791465</v>
      </c>
      <c r="DA432" s="526">
        <v>0</v>
      </c>
      <c r="DB432" s="151" t="str">
        <f t="shared" si="100"/>
        <v/>
      </c>
      <c r="DC432" s="386">
        <v>0</v>
      </c>
      <c r="DD432" s="268">
        <f>IF(DA432,_xll.qDateYears(DA431,DA432,DD$13),0)</f>
        <v>0</v>
      </c>
      <c r="DE432" s="268">
        <f t="shared" si="106"/>
        <v>1616.1787110556011</v>
      </c>
      <c r="DM432" s="526">
        <v>0</v>
      </c>
      <c r="DN432" s="151" t="str">
        <f t="shared" si="101"/>
        <v/>
      </c>
      <c r="DO432" s="386">
        <v>0</v>
      </c>
      <c r="DP432" s="268">
        <f>IF(DM432,_xll.qDateYears(DM431,DM432,DP$13),0)</f>
        <v>0</v>
      </c>
      <c r="DQ432" s="268">
        <f t="shared" si="107"/>
        <v>2183.1745733532407</v>
      </c>
    </row>
    <row r="433" spans="59:121">
      <c r="BG433" s="526">
        <v>0</v>
      </c>
      <c r="BH433" s="150" t="str">
        <f t="shared" si="96"/>
        <v/>
      </c>
      <c r="BI433" s="386">
        <v>0</v>
      </c>
      <c r="BJ433" s="268">
        <f>IF(BG433,_xll.qDateYears(BG432,BG433,$BJ$13),0)</f>
        <v>0</v>
      </c>
      <c r="BK433" s="268">
        <f t="shared" si="102"/>
        <v>2183.1745733532407</v>
      </c>
      <c r="BQ433" s="526">
        <v>0</v>
      </c>
      <c r="BR433" s="151" t="str">
        <f t="shared" si="97"/>
        <v/>
      </c>
      <c r="BS433" s="386">
        <v>0</v>
      </c>
      <c r="BT433" s="268">
        <f>IF(BQ433,_xll.qDateYears(BQ432,BQ433,BT$13),0)</f>
        <v>0</v>
      </c>
      <c r="BU433" s="268">
        <f t="shared" si="103"/>
        <v>1738.6030924697341</v>
      </c>
      <c r="CC433" s="526">
        <v>0</v>
      </c>
      <c r="CD433" s="151" t="str">
        <f t="shared" si="98"/>
        <v/>
      </c>
      <c r="CE433" s="386">
        <v>0</v>
      </c>
      <c r="CF433" s="268">
        <f>IF(CC433,_xll.qDateYears(CC432,CC433,CF$13),0)</f>
        <v>0</v>
      </c>
      <c r="CG433" s="268">
        <f t="shared" si="104"/>
        <v>2312.0085517586949</v>
      </c>
      <c r="CO433" s="526">
        <v>0</v>
      </c>
      <c r="CP433" s="151" t="str">
        <f t="shared" si="99"/>
        <v/>
      </c>
      <c r="CQ433" s="386">
        <v>0</v>
      </c>
      <c r="CR433" s="268">
        <f>IF(CO433,_xll.qDateYears(CO432,CO433,CR$13),0)</f>
        <v>0</v>
      </c>
      <c r="CS433" s="268">
        <f t="shared" si="105"/>
        <v>2185.174943791465</v>
      </c>
      <c r="DA433" s="526">
        <v>0</v>
      </c>
      <c r="DB433" s="151" t="str">
        <f t="shared" si="100"/>
        <v/>
      </c>
      <c r="DC433" s="386">
        <v>0</v>
      </c>
      <c r="DD433" s="268">
        <f>IF(DA433,_xll.qDateYears(DA432,DA433,DD$13),0)</f>
        <v>0</v>
      </c>
      <c r="DE433" s="268">
        <f t="shared" si="106"/>
        <v>1616.1787110556011</v>
      </c>
      <c r="DM433" s="526">
        <v>0</v>
      </c>
      <c r="DN433" s="151" t="str">
        <f t="shared" si="101"/>
        <v/>
      </c>
      <c r="DO433" s="386">
        <v>0</v>
      </c>
      <c r="DP433" s="268">
        <f>IF(DM433,_xll.qDateYears(DM432,DM433,DP$13),0)</f>
        <v>0</v>
      </c>
      <c r="DQ433" s="268">
        <f t="shared" si="107"/>
        <v>2183.1745733532407</v>
      </c>
    </row>
    <row r="434" spans="59:121">
      <c r="BG434" s="526">
        <v>0</v>
      </c>
      <c r="BH434" s="150" t="str">
        <f t="shared" si="96"/>
        <v/>
      </c>
      <c r="BI434" s="386">
        <v>0</v>
      </c>
      <c r="BJ434" s="268">
        <f>IF(BG434,_xll.qDateYears(BG433,BG434,$BJ$13),0)</f>
        <v>0</v>
      </c>
      <c r="BK434" s="268">
        <f t="shared" si="102"/>
        <v>2183.1745733532407</v>
      </c>
      <c r="BQ434" s="526">
        <v>0</v>
      </c>
      <c r="BR434" s="151" t="str">
        <f t="shared" si="97"/>
        <v/>
      </c>
      <c r="BS434" s="386">
        <v>0</v>
      </c>
      <c r="BT434" s="268">
        <f>IF(BQ434,_xll.qDateYears(BQ433,BQ434,BT$13),0)</f>
        <v>0</v>
      </c>
      <c r="BU434" s="268">
        <f t="shared" si="103"/>
        <v>1738.6030924697341</v>
      </c>
      <c r="CC434" s="526">
        <v>0</v>
      </c>
      <c r="CD434" s="151" t="str">
        <f t="shared" si="98"/>
        <v/>
      </c>
      <c r="CE434" s="386">
        <v>0</v>
      </c>
      <c r="CF434" s="268">
        <f>IF(CC434,_xll.qDateYears(CC433,CC434,CF$13),0)</f>
        <v>0</v>
      </c>
      <c r="CG434" s="268">
        <f t="shared" si="104"/>
        <v>2312.0085517586949</v>
      </c>
      <c r="CO434" s="526">
        <v>0</v>
      </c>
      <c r="CP434" s="151" t="str">
        <f t="shared" si="99"/>
        <v/>
      </c>
      <c r="CQ434" s="386">
        <v>0</v>
      </c>
      <c r="CR434" s="268">
        <f>IF(CO434,_xll.qDateYears(CO433,CO434,CR$13),0)</f>
        <v>0</v>
      </c>
      <c r="CS434" s="268">
        <f t="shared" si="105"/>
        <v>2185.174943791465</v>
      </c>
      <c r="DA434" s="526">
        <v>0</v>
      </c>
      <c r="DB434" s="151" t="str">
        <f t="shared" si="100"/>
        <v/>
      </c>
      <c r="DC434" s="386">
        <v>0</v>
      </c>
      <c r="DD434" s="268">
        <f>IF(DA434,_xll.qDateYears(DA433,DA434,DD$13),0)</f>
        <v>0</v>
      </c>
      <c r="DE434" s="268">
        <f t="shared" si="106"/>
        <v>1616.1787110556011</v>
      </c>
      <c r="DM434" s="526">
        <v>0</v>
      </c>
      <c r="DN434" s="151" t="str">
        <f t="shared" si="101"/>
        <v/>
      </c>
      <c r="DO434" s="386">
        <v>0</v>
      </c>
      <c r="DP434" s="268">
        <f>IF(DM434,_xll.qDateYears(DM433,DM434,DP$13),0)</f>
        <v>0</v>
      </c>
      <c r="DQ434" s="268">
        <f t="shared" si="107"/>
        <v>2183.1745733532407</v>
      </c>
    </row>
    <row r="435" spans="59:121">
      <c r="BG435" s="526">
        <v>0</v>
      </c>
      <c r="BH435" s="150" t="str">
        <f t="shared" si="96"/>
        <v/>
      </c>
      <c r="BI435" s="386">
        <v>0</v>
      </c>
      <c r="BJ435" s="268">
        <f>IF(BG435,_xll.qDateYears(BG434,BG435,$BJ$13),0)</f>
        <v>0</v>
      </c>
      <c r="BK435" s="268">
        <f t="shared" si="102"/>
        <v>2183.1745733532407</v>
      </c>
      <c r="BQ435" s="526">
        <v>0</v>
      </c>
      <c r="BR435" s="151" t="str">
        <f t="shared" si="97"/>
        <v/>
      </c>
      <c r="BS435" s="386">
        <v>0</v>
      </c>
      <c r="BT435" s="268">
        <f>IF(BQ435,_xll.qDateYears(BQ434,BQ435,BT$13),0)</f>
        <v>0</v>
      </c>
      <c r="BU435" s="268">
        <f t="shared" si="103"/>
        <v>1738.6030924697341</v>
      </c>
      <c r="CC435" s="526">
        <v>0</v>
      </c>
      <c r="CD435" s="151" t="str">
        <f t="shared" si="98"/>
        <v/>
      </c>
      <c r="CE435" s="386">
        <v>0</v>
      </c>
      <c r="CF435" s="268">
        <f>IF(CC435,_xll.qDateYears(CC434,CC435,CF$13),0)</f>
        <v>0</v>
      </c>
      <c r="CG435" s="268">
        <f t="shared" si="104"/>
        <v>2312.0085517586949</v>
      </c>
      <c r="CO435" s="526">
        <v>0</v>
      </c>
      <c r="CP435" s="151" t="str">
        <f t="shared" si="99"/>
        <v/>
      </c>
      <c r="CQ435" s="386">
        <v>0</v>
      </c>
      <c r="CR435" s="268">
        <f>IF(CO435,_xll.qDateYears(CO434,CO435,CR$13),0)</f>
        <v>0</v>
      </c>
      <c r="CS435" s="268">
        <f t="shared" si="105"/>
        <v>2185.174943791465</v>
      </c>
      <c r="DA435" s="526">
        <v>0</v>
      </c>
      <c r="DB435" s="151" t="str">
        <f t="shared" si="100"/>
        <v/>
      </c>
      <c r="DC435" s="386">
        <v>0</v>
      </c>
      <c r="DD435" s="268">
        <f>IF(DA435,_xll.qDateYears(DA434,DA435,DD$13),0)</f>
        <v>0</v>
      </c>
      <c r="DE435" s="268">
        <f t="shared" si="106"/>
        <v>1616.1787110556011</v>
      </c>
      <c r="DM435" s="526">
        <v>0</v>
      </c>
      <c r="DN435" s="151" t="str">
        <f t="shared" si="101"/>
        <v/>
      </c>
      <c r="DO435" s="386">
        <v>0</v>
      </c>
      <c r="DP435" s="268">
        <f>IF(DM435,_xll.qDateYears(DM434,DM435,DP$13),0)</f>
        <v>0</v>
      </c>
      <c r="DQ435" s="268">
        <f t="shared" si="107"/>
        <v>2183.1745733532407</v>
      </c>
    </row>
    <row r="436" spans="59:121">
      <c r="BG436" s="526">
        <v>0</v>
      </c>
      <c r="BH436" s="150" t="str">
        <f t="shared" si="96"/>
        <v/>
      </c>
      <c r="BI436" s="386">
        <v>0</v>
      </c>
      <c r="BJ436" s="268">
        <f>IF(BG436,_xll.qDateYears(BG435,BG436,$BJ$13),0)</f>
        <v>0</v>
      </c>
      <c r="BK436" s="268">
        <f t="shared" si="102"/>
        <v>2183.1745733532407</v>
      </c>
      <c r="BQ436" s="526">
        <v>0</v>
      </c>
      <c r="BR436" s="151" t="str">
        <f t="shared" si="97"/>
        <v/>
      </c>
      <c r="BS436" s="386">
        <v>0</v>
      </c>
      <c r="BT436" s="268">
        <f>IF(BQ436,_xll.qDateYears(BQ435,BQ436,BT$13),0)</f>
        <v>0</v>
      </c>
      <c r="BU436" s="268">
        <f t="shared" si="103"/>
        <v>1738.6030924697341</v>
      </c>
      <c r="CC436" s="526">
        <v>0</v>
      </c>
      <c r="CD436" s="151" t="str">
        <f t="shared" si="98"/>
        <v/>
      </c>
      <c r="CE436" s="386">
        <v>0</v>
      </c>
      <c r="CF436" s="268">
        <f>IF(CC436,_xll.qDateYears(CC435,CC436,CF$13),0)</f>
        <v>0</v>
      </c>
      <c r="CG436" s="268">
        <f t="shared" si="104"/>
        <v>2312.0085517586949</v>
      </c>
      <c r="CO436" s="526">
        <v>0</v>
      </c>
      <c r="CP436" s="151" t="str">
        <f t="shared" si="99"/>
        <v/>
      </c>
      <c r="CQ436" s="386">
        <v>0</v>
      </c>
      <c r="CR436" s="268">
        <f>IF(CO436,_xll.qDateYears(CO435,CO436,CR$13),0)</f>
        <v>0</v>
      </c>
      <c r="CS436" s="268">
        <f t="shared" si="105"/>
        <v>2185.174943791465</v>
      </c>
      <c r="DA436" s="526">
        <v>0</v>
      </c>
      <c r="DB436" s="151" t="str">
        <f t="shared" si="100"/>
        <v/>
      </c>
      <c r="DC436" s="386">
        <v>0</v>
      </c>
      <c r="DD436" s="268">
        <f>IF(DA436,_xll.qDateYears(DA435,DA436,DD$13),0)</f>
        <v>0</v>
      </c>
      <c r="DE436" s="268">
        <f t="shared" si="106"/>
        <v>1616.1787110556011</v>
      </c>
      <c r="DM436" s="526">
        <v>0</v>
      </c>
      <c r="DN436" s="151" t="str">
        <f t="shared" si="101"/>
        <v/>
      </c>
      <c r="DO436" s="386">
        <v>0</v>
      </c>
      <c r="DP436" s="268">
        <f>IF(DM436,_xll.qDateYears(DM435,DM436,DP$13),0)</f>
        <v>0</v>
      </c>
      <c r="DQ436" s="268">
        <f t="shared" si="107"/>
        <v>2183.1745733532407</v>
      </c>
    </row>
    <row r="437" spans="59:121">
      <c r="BG437" s="526">
        <v>0</v>
      </c>
      <c r="BH437" s="150" t="str">
        <f t="shared" si="96"/>
        <v/>
      </c>
      <c r="BI437" s="386">
        <v>0</v>
      </c>
      <c r="BJ437" s="268">
        <f>IF(BG437,_xll.qDateYears(BG436,BG437,$BJ$13),0)</f>
        <v>0</v>
      </c>
      <c r="BK437" s="268">
        <f t="shared" si="102"/>
        <v>2183.1745733532407</v>
      </c>
      <c r="BQ437" s="526">
        <v>0</v>
      </c>
      <c r="BR437" s="151" t="str">
        <f t="shared" si="97"/>
        <v/>
      </c>
      <c r="BS437" s="386">
        <v>0</v>
      </c>
      <c r="BT437" s="268">
        <f>IF(BQ437,_xll.qDateYears(BQ436,BQ437,BT$13),0)</f>
        <v>0</v>
      </c>
      <c r="BU437" s="268">
        <f t="shared" si="103"/>
        <v>1738.6030924697341</v>
      </c>
      <c r="CC437" s="526">
        <v>0</v>
      </c>
      <c r="CD437" s="151" t="str">
        <f t="shared" si="98"/>
        <v/>
      </c>
      <c r="CE437" s="386">
        <v>0</v>
      </c>
      <c r="CF437" s="268">
        <f>IF(CC437,_xll.qDateYears(CC436,CC437,CF$13),0)</f>
        <v>0</v>
      </c>
      <c r="CG437" s="268">
        <f t="shared" si="104"/>
        <v>2312.0085517586949</v>
      </c>
      <c r="CO437" s="526">
        <v>0</v>
      </c>
      <c r="CP437" s="151" t="str">
        <f t="shared" si="99"/>
        <v/>
      </c>
      <c r="CQ437" s="386">
        <v>0</v>
      </c>
      <c r="CR437" s="268">
        <f>IF(CO437,_xll.qDateYears(CO436,CO437,CR$13),0)</f>
        <v>0</v>
      </c>
      <c r="CS437" s="268">
        <f t="shared" si="105"/>
        <v>2185.174943791465</v>
      </c>
      <c r="DA437" s="526">
        <v>0</v>
      </c>
      <c r="DB437" s="151" t="str">
        <f t="shared" si="100"/>
        <v/>
      </c>
      <c r="DC437" s="386">
        <v>0</v>
      </c>
      <c r="DD437" s="268">
        <f>IF(DA437,_xll.qDateYears(DA436,DA437,DD$13),0)</f>
        <v>0</v>
      </c>
      <c r="DE437" s="268">
        <f t="shared" si="106"/>
        <v>1616.1787110556011</v>
      </c>
      <c r="DM437" s="526">
        <v>0</v>
      </c>
      <c r="DN437" s="151" t="str">
        <f t="shared" si="101"/>
        <v/>
      </c>
      <c r="DO437" s="386">
        <v>0</v>
      </c>
      <c r="DP437" s="268">
        <f>IF(DM437,_xll.qDateYears(DM436,DM437,DP$13),0)</f>
        <v>0</v>
      </c>
      <c r="DQ437" s="268">
        <f t="shared" si="107"/>
        <v>2183.1745733532407</v>
      </c>
    </row>
    <row r="438" spans="59:121">
      <c r="BG438" s="526">
        <v>0</v>
      </c>
      <c r="BH438" s="150" t="str">
        <f t="shared" si="96"/>
        <v/>
      </c>
      <c r="BI438" s="386">
        <v>0</v>
      </c>
      <c r="BJ438" s="268">
        <f>IF(BG438,_xll.qDateYears(BG437,BG438,$BJ$13),0)</f>
        <v>0</v>
      </c>
      <c r="BK438" s="268">
        <f t="shared" si="102"/>
        <v>2183.1745733532407</v>
      </c>
      <c r="BQ438" s="526">
        <v>0</v>
      </c>
      <c r="BR438" s="151" t="str">
        <f t="shared" si="97"/>
        <v/>
      </c>
      <c r="BS438" s="386">
        <v>0</v>
      </c>
      <c r="BT438" s="268">
        <f>IF(BQ438,_xll.qDateYears(BQ437,BQ438,BT$13),0)</f>
        <v>0</v>
      </c>
      <c r="BU438" s="268">
        <f t="shared" si="103"/>
        <v>1738.6030924697341</v>
      </c>
      <c r="CC438" s="526">
        <v>0</v>
      </c>
      <c r="CD438" s="151" t="str">
        <f t="shared" si="98"/>
        <v/>
      </c>
      <c r="CE438" s="386">
        <v>0</v>
      </c>
      <c r="CF438" s="268">
        <f>IF(CC438,_xll.qDateYears(CC437,CC438,CF$13),0)</f>
        <v>0</v>
      </c>
      <c r="CG438" s="268">
        <f t="shared" si="104"/>
        <v>2312.0085517586949</v>
      </c>
      <c r="CO438" s="526">
        <v>0</v>
      </c>
      <c r="CP438" s="151" t="str">
        <f t="shared" si="99"/>
        <v/>
      </c>
      <c r="CQ438" s="386">
        <v>0</v>
      </c>
      <c r="CR438" s="268">
        <f>IF(CO438,_xll.qDateYears(CO437,CO438,CR$13),0)</f>
        <v>0</v>
      </c>
      <c r="CS438" s="268">
        <f t="shared" si="105"/>
        <v>2185.174943791465</v>
      </c>
      <c r="DA438" s="526">
        <v>0</v>
      </c>
      <c r="DB438" s="151" t="str">
        <f t="shared" si="100"/>
        <v/>
      </c>
      <c r="DC438" s="386">
        <v>0</v>
      </c>
      <c r="DD438" s="268">
        <f>IF(DA438,_xll.qDateYears(DA437,DA438,DD$13),0)</f>
        <v>0</v>
      </c>
      <c r="DE438" s="268">
        <f t="shared" si="106"/>
        <v>1616.1787110556011</v>
      </c>
      <c r="DM438" s="526">
        <v>0</v>
      </c>
      <c r="DN438" s="151" t="str">
        <f t="shared" si="101"/>
        <v/>
      </c>
      <c r="DO438" s="386">
        <v>0</v>
      </c>
      <c r="DP438" s="268">
        <f>IF(DM438,_xll.qDateYears(DM437,DM438,DP$13),0)</f>
        <v>0</v>
      </c>
      <c r="DQ438" s="268">
        <f t="shared" si="107"/>
        <v>2183.1745733532407</v>
      </c>
    </row>
    <row r="439" spans="59:121">
      <c r="BG439" s="526">
        <v>0</v>
      </c>
      <c r="BH439" s="150" t="str">
        <f t="shared" si="96"/>
        <v/>
      </c>
      <c r="BI439" s="386">
        <v>0</v>
      </c>
      <c r="BJ439" s="268">
        <f>IF(BG439,_xll.qDateYears(BG438,BG439,$BJ$13),0)</f>
        <v>0</v>
      </c>
      <c r="BK439" s="268">
        <f t="shared" si="102"/>
        <v>2183.1745733532407</v>
      </c>
      <c r="BQ439" s="526">
        <v>0</v>
      </c>
      <c r="BR439" s="151" t="str">
        <f t="shared" si="97"/>
        <v/>
      </c>
      <c r="BS439" s="386">
        <v>0</v>
      </c>
      <c r="BT439" s="268">
        <f>IF(BQ439,_xll.qDateYears(BQ438,BQ439,BT$13),0)</f>
        <v>0</v>
      </c>
      <c r="BU439" s="268">
        <f t="shared" si="103"/>
        <v>1738.6030924697341</v>
      </c>
      <c r="CC439" s="526">
        <v>0</v>
      </c>
      <c r="CD439" s="151" t="str">
        <f t="shared" si="98"/>
        <v/>
      </c>
      <c r="CE439" s="386">
        <v>0</v>
      </c>
      <c r="CF439" s="268">
        <f>IF(CC439,_xll.qDateYears(CC438,CC439,CF$13),0)</f>
        <v>0</v>
      </c>
      <c r="CG439" s="268">
        <f t="shared" si="104"/>
        <v>2312.0085517586949</v>
      </c>
      <c r="CO439" s="526">
        <v>0</v>
      </c>
      <c r="CP439" s="151" t="str">
        <f t="shared" si="99"/>
        <v/>
      </c>
      <c r="CQ439" s="386">
        <v>0</v>
      </c>
      <c r="CR439" s="268">
        <f>IF(CO439,_xll.qDateYears(CO438,CO439,CR$13),0)</f>
        <v>0</v>
      </c>
      <c r="CS439" s="268">
        <f t="shared" si="105"/>
        <v>2185.174943791465</v>
      </c>
      <c r="DA439" s="526">
        <v>0</v>
      </c>
      <c r="DB439" s="151" t="str">
        <f t="shared" si="100"/>
        <v/>
      </c>
      <c r="DC439" s="386">
        <v>0</v>
      </c>
      <c r="DD439" s="268">
        <f>IF(DA439,_xll.qDateYears(DA438,DA439,DD$13),0)</f>
        <v>0</v>
      </c>
      <c r="DE439" s="268">
        <f t="shared" si="106"/>
        <v>1616.1787110556011</v>
      </c>
      <c r="DM439" s="526">
        <v>0</v>
      </c>
      <c r="DN439" s="151" t="str">
        <f t="shared" si="101"/>
        <v/>
      </c>
      <c r="DO439" s="386">
        <v>0</v>
      </c>
      <c r="DP439" s="268">
        <f>IF(DM439,_xll.qDateYears(DM438,DM439,DP$13),0)</f>
        <v>0</v>
      </c>
      <c r="DQ439" s="268">
        <f t="shared" si="107"/>
        <v>2183.1745733532407</v>
      </c>
    </row>
    <row r="440" spans="59:121">
      <c r="BG440" s="526">
        <v>0</v>
      </c>
      <c r="BH440" s="150" t="str">
        <f t="shared" si="96"/>
        <v/>
      </c>
      <c r="BI440" s="386">
        <v>0</v>
      </c>
      <c r="BJ440" s="268">
        <f>IF(BG440,_xll.qDateYears(BG439,BG440,$BJ$13),0)</f>
        <v>0</v>
      </c>
      <c r="BK440" s="268">
        <f t="shared" si="102"/>
        <v>2183.1745733532407</v>
      </c>
      <c r="BQ440" s="526">
        <v>0</v>
      </c>
      <c r="BR440" s="151" t="str">
        <f t="shared" si="97"/>
        <v/>
      </c>
      <c r="BS440" s="386">
        <v>0</v>
      </c>
      <c r="BT440" s="268">
        <f>IF(BQ440,_xll.qDateYears(BQ439,BQ440,BT$13),0)</f>
        <v>0</v>
      </c>
      <c r="BU440" s="268">
        <f t="shared" si="103"/>
        <v>1738.6030924697341</v>
      </c>
      <c r="CC440" s="526">
        <v>0</v>
      </c>
      <c r="CD440" s="151" t="str">
        <f t="shared" si="98"/>
        <v/>
      </c>
      <c r="CE440" s="386">
        <v>0</v>
      </c>
      <c r="CF440" s="268">
        <f>IF(CC440,_xll.qDateYears(CC439,CC440,CF$13),0)</f>
        <v>0</v>
      </c>
      <c r="CG440" s="268">
        <f t="shared" si="104"/>
        <v>2312.0085517586949</v>
      </c>
      <c r="CO440" s="526">
        <v>0</v>
      </c>
      <c r="CP440" s="151" t="str">
        <f t="shared" si="99"/>
        <v/>
      </c>
      <c r="CQ440" s="386">
        <v>0</v>
      </c>
      <c r="CR440" s="268">
        <f>IF(CO440,_xll.qDateYears(CO439,CO440,CR$13),0)</f>
        <v>0</v>
      </c>
      <c r="CS440" s="268">
        <f t="shared" si="105"/>
        <v>2185.174943791465</v>
      </c>
      <c r="DA440" s="526">
        <v>0</v>
      </c>
      <c r="DB440" s="151" t="str">
        <f t="shared" si="100"/>
        <v/>
      </c>
      <c r="DC440" s="386">
        <v>0</v>
      </c>
      <c r="DD440" s="268">
        <f>IF(DA440,_xll.qDateYears(DA439,DA440,DD$13),0)</f>
        <v>0</v>
      </c>
      <c r="DE440" s="268">
        <f t="shared" si="106"/>
        <v>1616.1787110556011</v>
      </c>
      <c r="DM440" s="526">
        <v>0</v>
      </c>
      <c r="DN440" s="151" t="str">
        <f t="shared" si="101"/>
        <v/>
      </c>
      <c r="DO440" s="386">
        <v>0</v>
      </c>
      <c r="DP440" s="268">
        <f>IF(DM440,_xll.qDateYears(DM439,DM440,DP$13),0)</f>
        <v>0</v>
      </c>
      <c r="DQ440" s="268">
        <f t="shared" si="107"/>
        <v>2183.1745733532407</v>
      </c>
    </row>
    <row r="441" spans="59:121">
      <c r="BG441" s="526">
        <v>0</v>
      </c>
      <c r="BH441" s="150" t="str">
        <f t="shared" si="96"/>
        <v/>
      </c>
      <c r="BI441" s="386">
        <v>0</v>
      </c>
      <c r="BJ441" s="268">
        <f>IF(BG441,_xll.qDateYears(BG440,BG441,$BJ$13),0)</f>
        <v>0</v>
      </c>
      <c r="BK441" s="268">
        <f t="shared" si="102"/>
        <v>2183.1745733532407</v>
      </c>
      <c r="BQ441" s="526">
        <v>0</v>
      </c>
      <c r="BR441" s="151" t="str">
        <f t="shared" si="97"/>
        <v/>
      </c>
      <c r="BS441" s="386">
        <v>0</v>
      </c>
      <c r="BT441" s="268">
        <f>IF(BQ441,_xll.qDateYears(BQ440,BQ441,BT$13),0)</f>
        <v>0</v>
      </c>
      <c r="BU441" s="268">
        <f t="shared" si="103"/>
        <v>1738.6030924697341</v>
      </c>
      <c r="CC441" s="526">
        <v>0</v>
      </c>
      <c r="CD441" s="151" t="str">
        <f t="shared" si="98"/>
        <v/>
      </c>
      <c r="CE441" s="386">
        <v>0</v>
      </c>
      <c r="CF441" s="268">
        <f>IF(CC441,_xll.qDateYears(CC440,CC441,CF$13),0)</f>
        <v>0</v>
      </c>
      <c r="CG441" s="268">
        <f t="shared" si="104"/>
        <v>2312.0085517586949</v>
      </c>
      <c r="CO441" s="526">
        <v>0</v>
      </c>
      <c r="CP441" s="151" t="str">
        <f t="shared" si="99"/>
        <v/>
      </c>
      <c r="CQ441" s="386">
        <v>0</v>
      </c>
      <c r="CR441" s="268">
        <f>IF(CO441,_xll.qDateYears(CO440,CO441,CR$13),0)</f>
        <v>0</v>
      </c>
      <c r="CS441" s="268">
        <f t="shared" si="105"/>
        <v>2185.174943791465</v>
      </c>
      <c r="DA441" s="526">
        <v>0</v>
      </c>
      <c r="DB441" s="151" t="str">
        <f t="shared" si="100"/>
        <v/>
      </c>
      <c r="DC441" s="386">
        <v>0</v>
      </c>
      <c r="DD441" s="268">
        <f>IF(DA441,_xll.qDateYears(DA440,DA441,DD$13),0)</f>
        <v>0</v>
      </c>
      <c r="DE441" s="268">
        <f t="shared" si="106"/>
        <v>1616.1787110556011</v>
      </c>
      <c r="DM441" s="526">
        <v>0</v>
      </c>
      <c r="DN441" s="151" t="str">
        <f t="shared" si="101"/>
        <v/>
      </c>
      <c r="DO441" s="386">
        <v>0</v>
      </c>
      <c r="DP441" s="268">
        <f>IF(DM441,_xll.qDateYears(DM440,DM441,DP$13),0)</f>
        <v>0</v>
      </c>
      <c r="DQ441" s="268">
        <f t="shared" si="107"/>
        <v>2183.1745733532407</v>
      </c>
    </row>
    <row r="442" spans="59:121">
      <c r="BG442" s="526">
        <v>0</v>
      </c>
      <c r="BH442" s="150" t="str">
        <f t="shared" si="96"/>
        <v/>
      </c>
      <c r="BI442" s="386">
        <v>0</v>
      </c>
      <c r="BJ442" s="268">
        <f>IF(BG442,_xll.qDateYears(BG441,BG442,$BJ$13),0)</f>
        <v>0</v>
      </c>
      <c r="BK442" s="268">
        <f t="shared" si="102"/>
        <v>2183.1745733532407</v>
      </c>
      <c r="BQ442" s="526">
        <v>0</v>
      </c>
      <c r="BR442" s="151" t="str">
        <f t="shared" si="97"/>
        <v/>
      </c>
      <c r="BS442" s="386">
        <v>0</v>
      </c>
      <c r="BT442" s="268">
        <f>IF(BQ442,_xll.qDateYears(BQ441,BQ442,BT$13),0)</f>
        <v>0</v>
      </c>
      <c r="BU442" s="268">
        <f t="shared" si="103"/>
        <v>1738.6030924697341</v>
      </c>
      <c r="CC442" s="526">
        <v>0</v>
      </c>
      <c r="CD442" s="151" t="str">
        <f t="shared" si="98"/>
        <v/>
      </c>
      <c r="CE442" s="386">
        <v>0</v>
      </c>
      <c r="CF442" s="268">
        <f>IF(CC442,_xll.qDateYears(CC441,CC442,CF$13),0)</f>
        <v>0</v>
      </c>
      <c r="CG442" s="268">
        <f t="shared" si="104"/>
        <v>2312.0085517586949</v>
      </c>
      <c r="CO442" s="526">
        <v>0</v>
      </c>
      <c r="CP442" s="151" t="str">
        <f t="shared" si="99"/>
        <v/>
      </c>
      <c r="CQ442" s="386">
        <v>0</v>
      </c>
      <c r="CR442" s="268">
        <f>IF(CO442,_xll.qDateYears(CO441,CO442,CR$13),0)</f>
        <v>0</v>
      </c>
      <c r="CS442" s="268">
        <f t="shared" si="105"/>
        <v>2185.174943791465</v>
      </c>
      <c r="DA442" s="526">
        <v>0</v>
      </c>
      <c r="DB442" s="151" t="str">
        <f t="shared" si="100"/>
        <v/>
      </c>
      <c r="DC442" s="386">
        <v>0</v>
      </c>
      <c r="DD442" s="268">
        <f>IF(DA442,_xll.qDateYears(DA441,DA442,DD$13),0)</f>
        <v>0</v>
      </c>
      <c r="DE442" s="268">
        <f t="shared" si="106"/>
        <v>1616.1787110556011</v>
      </c>
      <c r="DM442" s="526">
        <v>0</v>
      </c>
      <c r="DN442" s="151" t="str">
        <f t="shared" si="101"/>
        <v/>
      </c>
      <c r="DO442" s="386">
        <v>0</v>
      </c>
      <c r="DP442" s="268">
        <f>IF(DM442,_xll.qDateYears(DM441,DM442,DP$13),0)</f>
        <v>0</v>
      </c>
      <c r="DQ442" s="268">
        <f t="shared" si="107"/>
        <v>2183.1745733532407</v>
      </c>
    </row>
    <row r="443" spans="59:121">
      <c r="BG443" s="526">
        <v>0</v>
      </c>
      <c r="BH443" s="150" t="str">
        <f t="shared" si="96"/>
        <v/>
      </c>
      <c r="BI443" s="386">
        <v>0</v>
      </c>
      <c r="BJ443" s="268">
        <f>IF(BG443,_xll.qDateYears(BG442,BG443,$BJ$13),0)</f>
        <v>0</v>
      </c>
      <c r="BK443" s="268">
        <f t="shared" si="102"/>
        <v>2183.1745733532407</v>
      </c>
      <c r="BQ443" s="526">
        <v>0</v>
      </c>
      <c r="BR443" s="151" t="str">
        <f t="shared" si="97"/>
        <v/>
      </c>
      <c r="BS443" s="386">
        <v>0</v>
      </c>
      <c r="BT443" s="268">
        <f>IF(BQ443,_xll.qDateYears(BQ442,BQ443,BT$13),0)</f>
        <v>0</v>
      </c>
      <c r="BU443" s="268">
        <f t="shared" si="103"/>
        <v>1738.6030924697341</v>
      </c>
      <c r="CC443" s="526">
        <v>0</v>
      </c>
      <c r="CD443" s="151" t="str">
        <f t="shared" si="98"/>
        <v/>
      </c>
      <c r="CE443" s="386">
        <v>0</v>
      </c>
      <c r="CF443" s="268">
        <f>IF(CC443,_xll.qDateYears(CC442,CC443,CF$13),0)</f>
        <v>0</v>
      </c>
      <c r="CG443" s="268">
        <f t="shared" si="104"/>
        <v>2312.0085517586949</v>
      </c>
      <c r="CO443" s="526">
        <v>0</v>
      </c>
      <c r="CP443" s="151" t="str">
        <f t="shared" si="99"/>
        <v/>
      </c>
      <c r="CQ443" s="386">
        <v>0</v>
      </c>
      <c r="CR443" s="268">
        <f>IF(CO443,_xll.qDateYears(CO442,CO443,CR$13),0)</f>
        <v>0</v>
      </c>
      <c r="CS443" s="268">
        <f t="shared" si="105"/>
        <v>2185.174943791465</v>
      </c>
      <c r="DA443" s="526">
        <v>0</v>
      </c>
      <c r="DB443" s="151" t="str">
        <f t="shared" si="100"/>
        <v/>
      </c>
      <c r="DC443" s="386">
        <v>0</v>
      </c>
      <c r="DD443" s="268">
        <f>IF(DA443,_xll.qDateYears(DA442,DA443,DD$13),0)</f>
        <v>0</v>
      </c>
      <c r="DE443" s="268">
        <f t="shared" si="106"/>
        <v>1616.1787110556011</v>
      </c>
      <c r="DM443" s="526">
        <v>0</v>
      </c>
      <c r="DN443" s="151" t="str">
        <f t="shared" si="101"/>
        <v/>
      </c>
      <c r="DO443" s="386">
        <v>0</v>
      </c>
      <c r="DP443" s="268">
        <f>IF(DM443,_xll.qDateYears(DM442,DM443,DP$13),0)</f>
        <v>0</v>
      </c>
      <c r="DQ443" s="268">
        <f t="shared" si="107"/>
        <v>2183.1745733532407</v>
      </c>
    </row>
    <row r="444" spans="59:121">
      <c r="BG444" s="526">
        <v>0</v>
      </c>
      <c r="BH444" s="150" t="str">
        <f t="shared" si="96"/>
        <v/>
      </c>
      <c r="BI444" s="386">
        <v>0</v>
      </c>
      <c r="BJ444" s="268">
        <f>IF(BG444,_xll.qDateYears(BG443,BG444,$BJ$13),0)</f>
        <v>0</v>
      </c>
      <c r="BK444" s="268">
        <f t="shared" si="102"/>
        <v>2183.1745733532407</v>
      </c>
      <c r="BQ444" s="526">
        <v>0</v>
      </c>
      <c r="BR444" s="151" t="str">
        <f t="shared" si="97"/>
        <v/>
      </c>
      <c r="BS444" s="386">
        <v>0</v>
      </c>
      <c r="BT444" s="268">
        <f>IF(BQ444,_xll.qDateYears(BQ443,BQ444,BT$13),0)</f>
        <v>0</v>
      </c>
      <c r="BU444" s="268">
        <f t="shared" si="103"/>
        <v>1738.6030924697341</v>
      </c>
      <c r="CC444" s="526">
        <v>0</v>
      </c>
      <c r="CD444" s="151" t="str">
        <f t="shared" si="98"/>
        <v/>
      </c>
      <c r="CE444" s="386">
        <v>0</v>
      </c>
      <c r="CF444" s="268">
        <f>IF(CC444,_xll.qDateYears(CC443,CC444,CF$13),0)</f>
        <v>0</v>
      </c>
      <c r="CG444" s="268">
        <f t="shared" si="104"/>
        <v>2312.0085517586949</v>
      </c>
      <c r="CO444" s="526">
        <v>0</v>
      </c>
      <c r="CP444" s="151" t="str">
        <f t="shared" si="99"/>
        <v/>
      </c>
      <c r="CQ444" s="386">
        <v>0</v>
      </c>
      <c r="CR444" s="268">
        <f>IF(CO444,_xll.qDateYears(CO443,CO444,CR$13),0)</f>
        <v>0</v>
      </c>
      <c r="CS444" s="268">
        <f t="shared" si="105"/>
        <v>2185.174943791465</v>
      </c>
      <c r="DA444" s="526">
        <v>0</v>
      </c>
      <c r="DB444" s="151" t="str">
        <f t="shared" si="100"/>
        <v/>
      </c>
      <c r="DC444" s="386">
        <v>0</v>
      </c>
      <c r="DD444" s="268">
        <f>IF(DA444,_xll.qDateYears(DA443,DA444,DD$13),0)</f>
        <v>0</v>
      </c>
      <c r="DE444" s="268">
        <f t="shared" si="106"/>
        <v>1616.1787110556011</v>
      </c>
      <c r="DM444" s="526">
        <v>0</v>
      </c>
      <c r="DN444" s="151" t="str">
        <f t="shared" si="101"/>
        <v/>
      </c>
      <c r="DO444" s="386">
        <v>0</v>
      </c>
      <c r="DP444" s="268">
        <f>IF(DM444,_xll.qDateYears(DM443,DM444,DP$13),0)</f>
        <v>0</v>
      </c>
      <c r="DQ444" s="268">
        <f t="shared" si="107"/>
        <v>2183.1745733532407</v>
      </c>
    </row>
    <row r="445" spans="59:121">
      <c r="BG445" s="526">
        <v>0</v>
      </c>
      <c r="BH445" s="150" t="str">
        <f t="shared" si="96"/>
        <v/>
      </c>
      <c r="BI445" s="386">
        <v>0</v>
      </c>
      <c r="BJ445" s="268">
        <f>IF(BG445,_xll.qDateYears(BG444,BG445,$BJ$13),0)</f>
        <v>0</v>
      </c>
      <c r="BK445" s="268">
        <f t="shared" si="102"/>
        <v>2183.1745733532407</v>
      </c>
      <c r="BQ445" s="526">
        <v>0</v>
      </c>
      <c r="BR445" s="151" t="str">
        <f t="shared" si="97"/>
        <v/>
      </c>
      <c r="BS445" s="386">
        <v>0</v>
      </c>
      <c r="BT445" s="268">
        <f>IF(BQ445,_xll.qDateYears(BQ444,BQ445,BT$13),0)</f>
        <v>0</v>
      </c>
      <c r="BU445" s="268">
        <f t="shared" si="103"/>
        <v>1738.6030924697341</v>
      </c>
      <c r="CC445" s="526">
        <v>0</v>
      </c>
      <c r="CD445" s="151" t="str">
        <f t="shared" si="98"/>
        <v/>
      </c>
      <c r="CE445" s="386">
        <v>0</v>
      </c>
      <c r="CF445" s="268">
        <f>IF(CC445,_xll.qDateYears(CC444,CC445,CF$13),0)</f>
        <v>0</v>
      </c>
      <c r="CG445" s="268">
        <f t="shared" si="104"/>
        <v>2312.0085517586949</v>
      </c>
      <c r="CO445" s="526">
        <v>0</v>
      </c>
      <c r="CP445" s="151" t="str">
        <f t="shared" si="99"/>
        <v/>
      </c>
      <c r="CQ445" s="386">
        <v>0</v>
      </c>
      <c r="CR445" s="268">
        <f>IF(CO445,_xll.qDateYears(CO444,CO445,CR$13),0)</f>
        <v>0</v>
      </c>
      <c r="CS445" s="268">
        <f t="shared" si="105"/>
        <v>2185.174943791465</v>
      </c>
      <c r="DA445" s="526">
        <v>0</v>
      </c>
      <c r="DB445" s="151" t="str">
        <f t="shared" si="100"/>
        <v/>
      </c>
      <c r="DC445" s="386">
        <v>0</v>
      </c>
      <c r="DD445" s="268">
        <f>IF(DA445,_xll.qDateYears(DA444,DA445,DD$13),0)</f>
        <v>0</v>
      </c>
      <c r="DE445" s="268">
        <f t="shared" si="106"/>
        <v>1616.1787110556011</v>
      </c>
      <c r="DM445" s="526">
        <v>0</v>
      </c>
      <c r="DN445" s="151" t="str">
        <f t="shared" si="101"/>
        <v/>
      </c>
      <c r="DO445" s="386">
        <v>0</v>
      </c>
      <c r="DP445" s="268">
        <f>IF(DM445,_xll.qDateYears(DM444,DM445,DP$13),0)</f>
        <v>0</v>
      </c>
      <c r="DQ445" s="268">
        <f t="shared" si="107"/>
        <v>2183.1745733532407</v>
      </c>
    </row>
    <row r="446" spans="59:121">
      <c r="BG446" s="526">
        <v>0</v>
      </c>
      <c r="BH446" s="150" t="str">
        <f t="shared" si="96"/>
        <v/>
      </c>
      <c r="BI446" s="386">
        <v>0</v>
      </c>
      <c r="BJ446" s="268">
        <f>IF(BG446,_xll.qDateYears(BG445,BG446,$BJ$13),0)</f>
        <v>0</v>
      </c>
      <c r="BK446" s="268">
        <f t="shared" si="102"/>
        <v>2183.1745733532407</v>
      </c>
      <c r="BQ446" s="526">
        <v>0</v>
      </c>
      <c r="BR446" s="151" t="str">
        <f t="shared" si="97"/>
        <v/>
      </c>
      <c r="BS446" s="386">
        <v>0</v>
      </c>
      <c r="BT446" s="268">
        <f>IF(BQ446,_xll.qDateYears(BQ445,BQ446,BT$13),0)</f>
        <v>0</v>
      </c>
      <c r="BU446" s="268">
        <f t="shared" si="103"/>
        <v>1738.6030924697341</v>
      </c>
      <c r="CC446" s="526">
        <v>0</v>
      </c>
      <c r="CD446" s="151" t="str">
        <f t="shared" si="98"/>
        <v/>
      </c>
      <c r="CE446" s="386">
        <v>0</v>
      </c>
      <c r="CF446" s="268">
        <f>IF(CC446,_xll.qDateYears(CC445,CC446,CF$13),0)</f>
        <v>0</v>
      </c>
      <c r="CG446" s="268">
        <f t="shared" si="104"/>
        <v>2312.0085517586949</v>
      </c>
      <c r="CO446" s="526">
        <v>0</v>
      </c>
      <c r="CP446" s="151" t="str">
        <f t="shared" si="99"/>
        <v/>
      </c>
      <c r="CQ446" s="386">
        <v>0</v>
      </c>
      <c r="CR446" s="268">
        <f>IF(CO446,_xll.qDateYears(CO445,CO446,CR$13),0)</f>
        <v>0</v>
      </c>
      <c r="CS446" s="268">
        <f t="shared" si="105"/>
        <v>2185.174943791465</v>
      </c>
      <c r="DA446" s="526">
        <v>0</v>
      </c>
      <c r="DB446" s="151" t="str">
        <f t="shared" si="100"/>
        <v/>
      </c>
      <c r="DC446" s="386">
        <v>0</v>
      </c>
      <c r="DD446" s="268">
        <f>IF(DA446,_xll.qDateYears(DA445,DA446,DD$13),0)</f>
        <v>0</v>
      </c>
      <c r="DE446" s="268">
        <f t="shared" si="106"/>
        <v>1616.1787110556011</v>
      </c>
      <c r="DM446" s="526">
        <v>0</v>
      </c>
      <c r="DN446" s="151" t="str">
        <f t="shared" si="101"/>
        <v/>
      </c>
      <c r="DO446" s="386">
        <v>0</v>
      </c>
      <c r="DP446" s="268">
        <f>IF(DM446,_xll.qDateYears(DM445,DM446,DP$13),0)</f>
        <v>0</v>
      </c>
      <c r="DQ446" s="268">
        <f t="shared" si="107"/>
        <v>2183.1745733532407</v>
      </c>
    </row>
    <row r="447" spans="59:121">
      <c r="BG447" s="526">
        <v>0</v>
      </c>
      <c r="BH447" s="150" t="str">
        <f t="shared" si="96"/>
        <v/>
      </c>
      <c r="BI447" s="386">
        <v>0</v>
      </c>
      <c r="BJ447" s="268">
        <f>IF(BG447,_xll.qDateYears(BG446,BG447,$BJ$13),0)</f>
        <v>0</v>
      </c>
      <c r="BK447" s="268">
        <f t="shared" si="102"/>
        <v>2183.1745733532407</v>
      </c>
      <c r="BQ447" s="526">
        <v>0</v>
      </c>
      <c r="BR447" s="151" t="str">
        <f t="shared" si="97"/>
        <v/>
      </c>
      <c r="BS447" s="386">
        <v>0</v>
      </c>
      <c r="BT447" s="268">
        <f>IF(BQ447,_xll.qDateYears(BQ446,BQ447,BT$13),0)</f>
        <v>0</v>
      </c>
      <c r="BU447" s="268">
        <f t="shared" si="103"/>
        <v>1738.6030924697341</v>
      </c>
      <c r="CC447" s="526">
        <v>0</v>
      </c>
      <c r="CD447" s="151" t="str">
        <f t="shared" si="98"/>
        <v/>
      </c>
      <c r="CE447" s="386">
        <v>0</v>
      </c>
      <c r="CF447" s="268">
        <f>IF(CC447,_xll.qDateYears(CC446,CC447,CF$13),0)</f>
        <v>0</v>
      </c>
      <c r="CG447" s="268">
        <f t="shared" si="104"/>
        <v>2312.0085517586949</v>
      </c>
      <c r="CO447" s="526">
        <v>0</v>
      </c>
      <c r="CP447" s="151" t="str">
        <f t="shared" si="99"/>
        <v/>
      </c>
      <c r="CQ447" s="386">
        <v>0</v>
      </c>
      <c r="CR447" s="268">
        <f>IF(CO447,_xll.qDateYears(CO446,CO447,CR$13),0)</f>
        <v>0</v>
      </c>
      <c r="CS447" s="268">
        <f t="shared" si="105"/>
        <v>2185.174943791465</v>
      </c>
      <c r="DA447" s="526">
        <v>0</v>
      </c>
      <c r="DB447" s="151" t="str">
        <f t="shared" si="100"/>
        <v/>
      </c>
      <c r="DC447" s="386">
        <v>0</v>
      </c>
      <c r="DD447" s="268">
        <f>IF(DA447,_xll.qDateYears(DA446,DA447,DD$13),0)</f>
        <v>0</v>
      </c>
      <c r="DE447" s="268">
        <f t="shared" si="106"/>
        <v>1616.1787110556011</v>
      </c>
      <c r="DM447" s="526">
        <v>0</v>
      </c>
      <c r="DN447" s="151" t="str">
        <f t="shared" si="101"/>
        <v/>
      </c>
      <c r="DO447" s="386">
        <v>0</v>
      </c>
      <c r="DP447" s="268">
        <f>IF(DM447,_xll.qDateYears(DM446,DM447,DP$13),0)</f>
        <v>0</v>
      </c>
      <c r="DQ447" s="268">
        <f t="shared" si="107"/>
        <v>2183.1745733532407</v>
      </c>
    </row>
    <row r="448" spans="59:121">
      <c r="BG448" s="526">
        <v>0</v>
      </c>
      <c r="BH448" s="150" t="str">
        <f t="shared" si="96"/>
        <v/>
      </c>
      <c r="BI448" s="386">
        <v>0</v>
      </c>
      <c r="BJ448" s="268">
        <f>IF(BG448,_xll.qDateYears(BG447,BG448,$BJ$13),0)</f>
        <v>0</v>
      </c>
      <c r="BK448" s="268">
        <f t="shared" si="102"/>
        <v>2183.1745733532407</v>
      </c>
      <c r="BQ448" s="526">
        <v>0</v>
      </c>
      <c r="BR448" s="151" t="str">
        <f t="shared" si="97"/>
        <v/>
      </c>
      <c r="BS448" s="386">
        <v>0</v>
      </c>
      <c r="BT448" s="268">
        <f>IF(BQ448,_xll.qDateYears(BQ447,BQ448,BT$13),0)</f>
        <v>0</v>
      </c>
      <c r="BU448" s="268">
        <f t="shared" si="103"/>
        <v>1738.6030924697341</v>
      </c>
      <c r="CC448" s="526">
        <v>0</v>
      </c>
      <c r="CD448" s="151" t="str">
        <f t="shared" si="98"/>
        <v/>
      </c>
      <c r="CE448" s="386">
        <v>0</v>
      </c>
      <c r="CF448" s="268">
        <f>IF(CC448,_xll.qDateYears(CC447,CC448,CF$13),0)</f>
        <v>0</v>
      </c>
      <c r="CG448" s="268">
        <f t="shared" si="104"/>
        <v>2312.0085517586949</v>
      </c>
      <c r="CO448" s="526">
        <v>0</v>
      </c>
      <c r="CP448" s="151" t="str">
        <f t="shared" si="99"/>
        <v/>
      </c>
      <c r="CQ448" s="386">
        <v>0</v>
      </c>
      <c r="CR448" s="268">
        <f>IF(CO448,_xll.qDateYears(CO447,CO448,CR$13),0)</f>
        <v>0</v>
      </c>
      <c r="CS448" s="268">
        <f t="shared" si="105"/>
        <v>2185.174943791465</v>
      </c>
      <c r="DA448" s="526">
        <v>0</v>
      </c>
      <c r="DB448" s="151" t="str">
        <f t="shared" si="100"/>
        <v/>
      </c>
      <c r="DC448" s="386">
        <v>0</v>
      </c>
      <c r="DD448" s="268">
        <f>IF(DA448,_xll.qDateYears(DA447,DA448,DD$13),0)</f>
        <v>0</v>
      </c>
      <c r="DE448" s="268">
        <f t="shared" si="106"/>
        <v>1616.1787110556011</v>
      </c>
      <c r="DM448" s="526">
        <v>0</v>
      </c>
      <c r="DN448" s="151" t="str">
        <f t="shared" si="101"/>
        <v/>
      </c>
      <c r="DO448" s="386">
        <v>0</v>
      </c>
      <c r="DP448" s="268">
        <f>IF(DM448,_xll.qDateYears(DM447,DM448,DP$13),0)</f>
        <v>0</v>
      </c>
      <c r="DQ448" s="268">
        <f t="shared" si="107"/>
        <v>2183.1745733532407</v>
      </c>
    </row>
    <row r="449" spans="59:121">
      <c r="BG449" s="526">
        <v>0</v>
      </c>
      <c r="BH449" s="150" t="str">
        <f t="shared" si="96"/>
        <v/>
      </c>
      <c r="BI449" s="386">
        <v>0</v>
      </c>
      <c r="BJ449" s="268">
        <f>IF(BG449,_xll.qDateYears(BG448,BG449,$BJ$13),0)</f>
        <v>0</v>
      </c>
      <c r="BK449" s="268">
        <f t="shared" si="102"/>
        <v>2183.1745733532407</v>
      </c>
      <c r="BQ449" s="526">
        <v>0</v>
      </c>
      <c r="BR449" s="151" t="str">
        <f t="shared" si="97"/>
        <v/>
      </c>
      <c r="BS449" s="386">
        <v>0</v>
      </c>
      <c r="BT449" s="268">
        <f>IF(BQ449,_xll.qDateYears(BQ448,BQ449,BT$13),0)</f>
        <v>0</v>
      </c>
      <c r="BU449" s="268">
        <f t="shared" si="103"/>
        <v>1738.6030924697341</v>
      </c>
      <c r="CC449" s="526">
        <v>0</v>
      </c>
      <c r="CD449" s="151" t="str">
        <f t="shared" si="98"/>
        <v/>
      </c>
      <c r="CE449" s="386">
        <v>0</v>
      </c>
      <c r="CF449" s="268">
        <f>IF(CC449,_xll.qDateYears(CC448,CC449,CF$13),0)</f>
        <v>0</v>
      </c>
      <c r="CG449" s="268">
        <f t="shared" si="104"/>
        <v>2312.0085517586949</v>
      </c>
      <c r="CO449" s="526">
        <v>0</v>
      </c>
      <c r="CP449" s="151" t="str">
        <f t="shared" si="99"/>
        <v/>
      </c>
      <c r="CQ449" s="386">
        <v>0</v>
      </c>
      <c r="CR449" s="268">
        <f>IF(CO449,_xll.qDateYears(CO448,CO449,CR$13),0)</f>
        <v>0</v>
      </c>
      <c r="CS449" s="268">
        <f t="shared" si="105"/>
        <v>2185.174943791465</v>
      </c>
      <c r="DA449" s="526">
        <v>0</v>
      </c>
      <c r="DB449" s="151" t="str">
        <f t="shared" si="100"/>
        <v/>
      </c>
      <c r="DC449" s="386">
        <v>0</v>
      </c>
      <c r="DD449" s="268">
        <f>IF(DA449,_xll.qDateYears(DA448,DA449,DD$13),0)</f>
        <v>0</v>
      </c>
      <c r="DE449" s="268">
        <f t="shared" si="106"/>
        <v>1616.1787110556011</v>
      </c>
      <c r="DM449" s="526">
        <v>0</v>
      </c>
      <c r="DN449" s="151" t="str">
        <f t="shared" si="101"/>
        <v/>
      </c>
      <c r="DO449" s="386">
        <v>0</v>
      </c>
      <c r="DP449" s="268">
        <f>IF(DM449,_xll.qDateYears(DM448,DM449,DP$13),0)</f>
        <v>0</v>
      </c>
      <c r="DQ449" s="268">
        <f t="shared" si="107"/>
        <v>2183.1745733532407</v>
      </c>
    </row>
    <row r="450" spans="59:121">
      <c r="BG450" s="526">
        <v>0</v>
      </c>
      <c r="BH450" s="150" t="str">
        <f t="shared" si="96"/>
        <v/>
      </c>
      <c r="BI450" s="386">
        <v>0</v>
      </c>
      <c r="BJ450" s="268">
        <f>IF(BG450,_xll.qDateYears(BG449,BG450,$BJ$13),0)</f>
        <v>0</v>
      </c>
      <c r="BK450" s="268">
        <f t="shared" si="102"/>
        <v>2183.1745733532407</v>
      </c>
      <c r="BQ450" s="526">
        <v>0</v>
      </c>
      <c r="BR450" s="151" t="str">
        <f t="shared" si="97"/>
        <v/>
      </c>
      <c r="BS450" s="386">
        <v>0</v>
      </c>
      <c r="BT450" s="268">
        <f>IF(BQ450,_xll.qDateYears(BQ449,BQ450,BT$13),0)</f>
        <v>0</v>
      </c>
      <c r="BU450" s="268">
        <f t="shared" si="103"/>
        <v>1738.6030924697341</v>
      </c>
      <c r="CC450" s="526">
        <v>0</v>
      </c>
      <c r="CD450" s="151" t="str">
        <f t="shared" si="98"/>
        <v/>
      </c>
      <c r="CE450" s="386">
        <v>0</v>
      </c>
      <c r="CF450" s="268">
        <f>IF(CC450,_xll.qDateYears(CC449,CC450,CF$13),0)</f>
        <v>0</v>
      </c>
      <c r="CG450" s="268">
        <f t="shared" si="104"/>
        <v>2312.0085517586949</v>
      </c>
      <c r="CO450" s="526">
        <v>0</v>
      </c>
      <c r="CP450" s="151" t="str">
        <f t="shared" si="99"/>
        <v/>
      </c>
      <c r="CQ450" s="386">
        <v>0</v>
      </c>
      <c r="CR450" s="268">
        <f>IF(CO450,_xll.qDateYears(CO449,CO450,CR$13),0)</f>
        <v>0</v>
      </c>
      <c r="CS450" s="268">
        <f t="shared" si="105"/>
        <v>2185.174943791465</v>
      </c>
      <c r="DA450" s="526">
        <v>0</v>
      </c>
      <c r="DB450" s="151" t="str">
        <f t="shared" si="100"/>
        <v/>
      </c>
      <c r="DC450" s="386">
        <v>0</v>
      </c>
      <c r="DD450" s="268">
        <f>IF(DA450,_xll.qDateYears(DA449,DA450,DD$13),0)</f>
        <v>0</v>
      </c>
      <c r="DE450" s="268">
        <f t="shared" si="106"/>
        <v>1616.1787110556011</v>
      </c>
      <c r="DM450" s="526">
        <v>0</v>
      </c>
      <c r="DN450" s="151" t="str">
        <f t="shared" si="101"/>
        <v/>
      </c>
      <c r="DO450" s="386">
        <v>0</v>
      </c>
      <c r="DP450" s="268">
        <f>IF(DM450,_xll.qDateYears(DM449,DM450,DP$13),0)</f>
        <v>0</v>
      </c>
      <c r="DQ450" s="268">
        <f t="shared" si="107"/>
        <v>2183.1745733532407</v>
      </c>
    </row>
    <row r="451" spans="59:121">
      <c r="BG451" s="526">
        <v>0</v>
      </c>
      <c r="BH451" s="150" t="str">
        <f t="shared" si="96"/>
        <v/>
      </c>
      <c r="BI451" s="386">
        <v>0</v>
      </c>
      <c r="BJ451" s="268">
        <f>IF(BG451,_xll.qDateYears(BG450,BG451,$BJ$13),0)</f>
        <v>0</v>
      </c>
      <c r="BK451" s="268">
        <f t="shared" si="102"/>
        <v>2183.1745733532407</v>
      </c>
      <c r="BQ451" s="526">
        <v>0</v>
      </c>
      <c r="BR451" s="151" t="str">
        <f t="shared" si="97"/>
        <v/>
      </c>
      <c r="BS451" s="386">
        <v>0</v>
      </c>
      <c r="BT451" s="268">
        <f>IF(BQ451,_xll.qDateYears(BQ450,BQ451,BT$13),0)</f>
        <v>0</v>
      </c>
      <c r="BU451" s="268">
        <f t="shared" si="103"/>
        <v>1738.6030924697341</v>
      </c>
      <c r="CC451" s="526">
        <v>0</v>
      </c>
      <c r="CD451" s="151" t="str">
        <f t="shared" si="98"/>
        <v/>
      </c>
      <c r="CE451" s="386">
        <v>0</v>
      </c>
      <c r="CF451" s="268">
        <f>IF(CC451,_xll.qDateYears(CC450,CC451,CF$13),0)</f>
        <v>0</v>
      </c>
      <c r="CG451" s="268">
        <f t="shared" si="104"/>
        <v>2312.0085517586949</v>
      </c>
      <c r="CO451" s="526">
        <v>0</v>
      </c>
      <c r="CP451" s="151" t="str">
        <f t="shared" si="99"/>
        <v/>
      </c>
      <c r="CQ451" s="386">
        <v>0</v>
      </c>
      <c r="CR451" s="268">
        <f>IF(CO451,_xll.qDateYears(CO450,CO451,CR$13),0)</f>
        <v>0</v>
      </c>
      <c r="CS451" s="268">
        <f t="shared" si="105"/>
        <v>2185.174943791465</v>
      </c>
      <c r="DA451" s="526">
        <v>0</v>
      </c>
      <c r="DB451" s="151" t="str">
        <f t="shared" si="100"/>
        <v/>
      </c>
      <c r="DC451" s="386">
        <v>0</v>
      </c>
      <c r="DD451" s="268">
        <f>IF(DA451,_xll.qDateYears(DA450,DA451,DD$13),0)</f>
        <v>0</v>
      </c>
      <c r="DE451" s="268">
        <f t="shared" si="106"/>
        <v>1616.1787110556011</v>
      </c>
      <c r="DM451" s="526">
        <v>0</v>
      </c>
      <c r="DN451" s="151" t="str">
        <f t="shared" si="101"/>
        <v/>
      </c>
      <c r="DO451" s="386">
        <v>0</v>
      </c>
      <c r="DP451" s="268">
        <f>IF(DM451,_xll.qDateYears(DM450,DM451,DP$13),0)</f>
        <v>0</v>
      </c>
      <c r="DQ451" s="268">
        <f t="shared" si="107"/>
        <v>2183.1745733532407</v>
      </c>
    </row>
    <row r="452" spans="59:121">
      <c r="BG452" s="526">
        <v>0</v>
      </c>
      <c r="BH452" s="150" t="str">
        <f t="shared" si="96"/>
        <v/>
      </c>
      <c r="BI452" s="386">
        <v>0</v>
      </c>
      <c r="BJ452" s="268">
        <f>IF(BG452,_xll.qDateYears(BG451,BG452,$BJ$13),0)</f>
        <v>0</v>
      </c>
      <c r="BK452" s="268">
        <f t="shared" si="102"/>
        <v>2183.1745733532407</v>
      </c>
      <c r="BQ452" s="526">
        <v>0</v>
      </c>
      <c r="BR452" s="151" t="str">
        <f t="shared" si="97"/>
        <v/>
      </c>
      <c r="BS452" s="386">
        <v>0</v>
      </c>
      <c r="BT452" s="268">
        <f>IF(BQ452,_xll.qDateYears(BQ451,BQ452,BT$13),0)</f>
        <v>0</v>
      </c>
      <c r="BU452" s="268">
        <f t="shared" si="103"/>
        <v>1738.6030924697341</v>
      </c>
      <c r="CC452" s="526">
        <v>0</v>
      </c>
      <c r="CD452" s="151" t="str">
        <f t="shared" si="98"/>
        <v/>
      </c>
      <c r="CE452" s="386">
        <v>0</v>
      </c>
      <c r="CF452" s="268">
        <f>IF(CC452,_xll.qDateYears(CC451,CC452,CF$13),0)</f>
        <v>0</v>
      </c>
      <c r="CG452" s="268">
        <f t="shared" si="104"/>
        <v>2312.0085517586949</v>
      </c>
      <c r="CO452" s="526">
        <v>0</v>
      </c>
      <c r="CP452" s="151" t="str">
        <f t="shared" si="99"/>
        <v/>
      </c>
      <c r="CQ452" s="386">
        <v>0</v>
      </c>
      <c r="CR452" s="268">
        <f>IF(CO452,_xll.qDateYears(CO451,CO452,CR$13),0)</f>
        <v>0</v>
      </c>
      <c r="CS452" s="268">
        <f t="shared" si="105"/>
        <v>2185.174943791465</v>
      </c>
      <c r="DA452" s="526">
        <v>0</v>
      </c>
      <c r="DB452" s="151" t="str">
        <f t="shared" si="100"/>
        <v/>
      </c>
      <c r="DC452" s="386">
        <v>0</v>
      </c>
      <c r="DD452" s="268">
        <f>IF(DA452,_xll.qDateYears(DA451,DA452,DD$13),0)</f>
        <v>0</v>
      </c>
      <c r="DE452" s="268">
        <f t="shared" si="106"/>
        <v>1616.1787110556011</v>
      </c>
      <c r="DM452" s="526">
        <v>0</v>
      </c>
      <c r="DN452" s="151" t="str">
        <f t="shared" si="101"/>
        <v/>
      </c>
      <c r="DO452" s="386">
        <v>0</v>
      </c>
      <c r="DP452" s="268">
        <f>IF(DM452,_xll.qDateYears(DM451,DM452,DP$13),0)</f>
        <v>0</v>
      </c>
      <c r="DQ452" s="268">
        <f t="shared" si="107"/>
        <v>2183.1745733532407</v>
      </c>
    </row>
    <row r="453" spans="59:121">
      <c r="BG453" s="526">
        <v>0</v>
      </c>
      <c r="BH453" s="150" t="str">
        <f t="shared" si="96"/>
        <v/>
      </c>
      <c r="BI453" s="386">
        <v>0</v>
      </c>
      <c r="BJ453" s="268">
        <f>IF(BG453,_xll.qDateYears(BG452,BG453,$BJ$13),0)</f>
        <v>0</v>
      </c>
      <c r="BK453" s="268">
        <f t="shared" si="102"/>
        <v>2183.1745733532407</v>
      </c>
      <c r="BQ453" s="526">
        <v>0</v>
      </c>
      <c r="BR453" s="151" t="str">
        <f t="shared" si="97"/>
        <v/>
      </c>
      <c r="BS453" s="386">
        <v>0</v>
      </c>
      <c r="BT453" s="268">
        <f>IF(BQ453,_xll.qDateYears(BQ452,BQ453,BT$13),0)</f>
        <v>0</v>
      </c>
      <c r="BU453" s="268">
        <f t="shared" si="103"/>
        <v>1738.6030924697341</v>
      </c>
      <c r="CC453" s="526">
        <v>0</v>
      </c>
      <c r="CD453" s="151" t="str">
        <f t="shared" si="98"/>
        <v/>
      </c>
      <c r="CE453" s="386">
        <v>0</v>
      </c>
      <c r="CF453" s="268">
        <f>IF(CC453,_xll.qDateYears(CC452,CC453,CF$13),0)</f>
        <v>0</v>
      </c>
      <c r="CG453" s="268">
        <f t="shared" si="104"/>
        <v>2312.0085517586949</v>
      </c>
      <c r="CO453" s="526">
        <v>0</v>
      </c>
      <c r="CP453" s="151" t="str">
        <f t="shared" si="99"/>
        <v/>
      </c>
      <c r="CQ453" s="386">
        <v>0</v>
      </c>
      <c r="CR453" s="268">
        <f>IF(CO453,_xll.qDateYears(CO452,CO453,CR$13),0)</f>
        <v>0</v>
      </c>
      <c r="CS453" s="268">
        <f t="shared" si="105"/>
        <v>2185.174943791465</v>
      </c>
      <c r="DA453" s="526">
        <v>0</v>
      </c>
      <c r="DB453" s="151" t="str">
        <f t="shared" si="100"/>
        <v/>
      </c>
      <c r="DC453" s="386">
        <v>0</v>
      </c>
      <c r="DD453" s="268">
        <f>IF(DA453,_xll.qDateYears(DA452,DA453,DD$13),0)</f>
        <v>0</v>
      </c>
      <c r="DE453" s="268">
        <f t="shared" si="106"/>
        <v>1616.1787110556011</v>
      </c>
      <c r="DM453" s="526">
        <v>0</v>
      </c>
      <c r="DN453" s="151" t="str">
        <f t="shared" si="101"/>
        <v/>
      </c>
      <c r="DO453" s="386">
        <v>0</v>
      </c>
      <c r="DP453" s="268">
        <f>IF(DM453,_xll.qDateYears(DM452,DM453,DP$13),0)</f>
        <v>0</v>
      </c>
      <c r="DQ453" s="268">
        <f t="shared" si="107"/>
        <v>2183.1745733532407</v>
      </c>
    </row>
    <row r="454" spans="59:121">
      <c r="BG454" s="526">
        <v>0</v>
      </c>
      <c r="BH454" s="150" t="str">
        <f t="shared" si="96"/>
        <v/>
      </c>
      <c r="BI454" s="386">
        <v>0</v>
      </c>
      <c r="BJ454" s="268">
        <f>IF(BG454,_xll.qDateYears(BG453,BG454,$BJ$13),0)</f>
        <v>0</v>
      </c>
      <c r="BK454" s="268">
        <f t="shared" si="102"/>
        <v>2183.1745733532407</v>
      </c>
      <c r="BQ454" s="526">
        <v>0</v>
      </c>
      <c r="BR454" s="151" t="str">
        <f t="shared" si="97"/>
        <v/>
      </c>
      <c r="BS454" s="386">
        <v>0</v>
      </c>
      <c r="BT454" s="268">
        <f>IF(BQ454,_xll.qDateYears(BQ453,BQ454,BT$13),0)</f>
        <v>0</v>
      </c>
      <c r="BU454" s="268">
        <f t="shared" si="103"/>
        <v>1738.6030924697341</v>
      </c>
      <c r="CC454" s="526">
        <v>0</v>
      </c>
      <c r="CD454" s="151" t="str">
        <f t="shared" si="98"/>
        <v/>
      </c>
      <c r="CE454" s="386">
        <v>0</v>
      </c>
      <c r="CF454" s="268">
        <f>IF(CC454,_xll.qDateYears(CC453,CC454,CF$13),0)</f>
        <v>0</v>
      </c>
      <c r="CG454" s="268">
        <f t="shared" si="104"/>
        <v>2312.0085517586949</v>
      </c>
      <c r="CO454" s="526">
        <v>0</v>
      </c>
      <c r="CP454" s="151" t="str">
        <f t="shared" si="99"/>
        <v/>
      </c>
      <c r="CQ454" s="386">
        <v>0</v>
      </c>
      <c r="CR454" s="268">
        <f>IF(CO454,_xll.qDateYears(CO453,CO454,CR$13),0)</f>
        <v>0</v>
      </c>
      <c r="CS454" s="268">
        <f t="shared" si="105"/>
        <v>2185.174943791465</v>
      </c>
      <c r="DA454" s="526">
        <v>0</v>
      </c>
      <c r="DB454" s="151" t="str">
        <f t="shared" si="100"/>
        <v/>
      </c>
      <c r="DC454" s="386">
        <v>0</v>
      </c>
      <c r="DD454" s="268">
        <f>IF(DA454,_xll.qDateYears(DA453,DA454,DD$13),0)</f>
        <v>0</v>
      </c>
      <c r="DE454" s="268">
        <f t="shared" si="106"/>
        <v>1616.1787110556011</v>
      </c>
      <c r="DM454" s="526">
        <v>0</v>
      </c>
      <c r="DN454" s="151" t="str">
        <f t="shared" si="101"/>
        <v/>
      </c>
      <c r="DO454" s="386">
        <v>0</v>
      </c>
      <c r="DP454" s="268">
        <f>IF(DM454,_xll.qDateYears(DM453,DM454,DP$13),0)</f>
        <v>0</v>
      </c>
      <c r="DQ454" s="268">
        <f t="shared" si="107"/>
        <v>2183.1745733532407</v>
      </c>
    </row>
    <row r="455" spans="59:121">
      <c r="BG455" s="526">
        <v>0</v>
      </c>
      <c r="BH455" s="150" t="str">
        <f t="shared" si="96"/>
        <v/>
      </c>
      <c r="BI455" s="386">
        <v>0</v>
      </c>
      <c r="BJ455" s="268">
        <f>IF(BG455,_xll.qDateYears(BG454,BG455,$BJ$13),0)</f>
        <v>0</v>
      </c>
      <c r="BK455" s="268">
        <f t="shared" si="102"/>
        <v>2183.1745733532407</v>
      </c>
      <c r="BQ455" s="526">
        <v>0</v>
      </c>
      <c r="BR455" s="151" t="str">
        <f t="shared" si="97"/>
        <v/>
      </c>
      <c r="BS455" s="386">
        <v>0</v>
      </c>
      <c r="BT455" s="268">
        <f>IF(BQ455,_xll.qDateYears(BQ454,BQ455,BT$13),0)</f>
        <v>0</v>
      </c>
      <c r="BU455" s="268">
        <f t="shared" si="103"/>
        <v>1738.6030924697341</v>
      </c>
      <c r="CC455" s="526">
        <v>0</v>
      </c>
      <c r="CD455" s="151" t="str">
        <f t="shared" si="98"/>
        <v/>
      </c>
      <c r="CE455" s="386">
        <v>0</v>
      </c>
      <c r="CF455" s="268">
        <f>IF(CC455,_xll.qDateYears(CC454,CC455,CF$13),0)</f>
        <v>0</v>
      </c>
      <c r="CG455" s="268">
        <f t="shared" si="104"/>
        <v>2312.0085517586949</v>
      </c>
      <c r="CO455" s="526">
        <v>0</v>
      </c>
      <c r="CP455" s="151" t="str">
        <f t="shared" si="99"/>
        <v/>
      </c>
      <c r="CQ455" s="386">
        <v>0</v>
      </c>
      <c r="CR455" s="268">
        <f>IF(CO455,_xll.qDateYears(CO454,CO455,CR$13),0)</f>
        <v>0</v>
      </c>
      <c r="CS455" s="268">
        <f t="shared" si="105"/>
        <v>2185.174943791465</v>
      </c>
      <c r="DA455" s="526">
        <v>0</v>
      </c>
      <c r="DB455" s="151" t="str">
        <f t="shared" si="100"/>
        <v/>
      </c>
      <c r="DC455" s="386">
        <v>0</v>
      </c>
      <c r="DD455" s="268">
        <f>IF(DA455,_xll.qDateYears(DA454,DA455,DD$13),0)</f>
        <v>0</v>
      </c>
      <c r="DE455" s="268">
        <f t="shared" si="106"/>
        <v>1616.1787110556011</v>
      </c>
      <c r="DM455" s="526">
        <v>0</v>
      </c>
      <c r="DN455" s="151" t="str">
        <f t="shared" si="101"/>
        <v/>
      </c>
      <c r="DO455" s="386">
        <v>0</v>
      </c>
      <c r="DP455" s="268">
        <f>IF(DM455,_xll.qDateYears(DM454,DM455,DP$13),0)</f>
        <v>0</v>
      </c>
      <c r="DQ455" s="268">
        <f t="shared" si="107"/>
        <v>2183.1745733532407</v>
      </c>
    </row>
    <row r="456" spans="59:121">
      <c r="BG456" s="526">
        <v>0</v>
      </c>
      <c r="BH456" s="150" t="str">
        <f t="shared" si="96"/>
        <v/>
      </c>
      <c r="BI456" s="386">
        <v>0</v>
      </c>
      <c r="BJ456" s="268">
        <f>IF(BG456,_xll.qDateYears(BG455,BG456,$BJ$13),0)</f>
        <v>0</v>
      </c>
      <c r="BK456" s="268">
        <f t="shared" si="102"/>
        <v>2183.1745733532407</v>
      </c>
      <c r="BQ456" s="526">
        <v>0</v>
      </c>
      <c r="BR456" s="151" t="str">
        <f t="shared" si="97"/>
        <v/>
      </c>
      <c r="BS456" s="386">
        <v>0</v>
      </c>
      <c r="BT456" s="268">
        <f>IF(BQ456,_xll.qDateYears(BQ455,BQ456,BT$13),0)</f>
        <v>0</v>
      </c>
      <c r="BU456" s="268">
        <f t="shared" si="103"/>
        <v>1738.6030924697341</v>
      </c>
      <c r="CC456" s="526">
        <v>0</v>
      </c>
      <c r="CD456" s="151" t="str">
        <f t="shared" si="98"/>
        <v/>
      </c>
      <c r="CE456" s="386">
        <v>0</v>
      </c>
      <c r="CF456" s="268">
        <f>IF(CC456,_xll.qDateYears(CC455,CC456,CF$13),0)</f>
        <v>0</v>
      </c>
      <c r="CG456" s="268">
        <f t="shared" si="104"/>
        <v>2312.0085517586949</v>
      </c>
      <c r="CO456" s="526">
        <v>0</v>
      </c>
      <c r="CP456" s="151" t="str">
        <f t="shared" si="99"/>
        <v/>
      </c>
      <c r="CQ456" s="386">
        <v>0</v>
      </c>
      <c r="CR456" s="268">
        <f>IF(CO456,_xll.qDateYears(CO455,CO456,CR$13),0)</f>
        <v>0</v>
      </c>
      <c r="CS456" s="268">
        <f t="shared" si="105"/>
        <v>2185.174943791465</v>
      </c>
      <c r="DA456" s="526">
        <v>0</v>
      </c>
      <c r="DB456" s="151" t="str">
        <f t="shared" si="100"/>
        <v/>
      </c>
      <c r="DC456" s="386">
        <v>0</v>
      </c>
      <c r="DD456" s="268">
        <f>IF(DA456,_xll.qDateYears(DA455,DA456,DD$13),0)</f>
        <v>0</v>
      </c>
      <c r="DE456" s="268">
        <f t="shared" si="106"/>
        <v>1616.1787110556011</v>
      </c>
      <c r="DM456" s="526">
        <v>0</v>
      </c>
      <c r="DN456" s="151" t="str">
        <f t="shared" si="101"/>
        <v/>
      </c>
      <c r="DO456" s="386">
        <v>0</v>
      </c>
      <c r="DP456" s="268">
        <f>IF(DM456,_xll.qDateYears(DM455,DM456,DP$13),0)</f>
        <v>0</v>
      </c>
      <c r="DQ456" s="268">
        <f t="shared" si="107"/>
        <v>2183.1745733532407</v>
      </c>
    </row>
    <row r="457" spans="59:121">
      <c r="BG457" s="526">
        <v>0</v>
      </c>
      <c r="BH457" s="150" t="str">
        <f t="shared" si="96"/>
        <v/>
      </c>
      <c r="BI457" s="386">
        <v>0</v>
      </c>
      <c r="BJ457" s="268">
        <f>IF(BG457,_xll.qDateYears(BG456,BG457,$BJ$13),0)</f>
        <v>0</v>
      </c>
      <c r="BK457" s="268">
        <f t="shared" si="102"/>
        <v>2183.1745733532407</v>
      </c>
      <c r="BQ457" s="526">
        <v>0</v>
      </c>
      <c r="BR457" s="151" t="str">
        <f t="shared" si="97"/>
        <v/>
      </c>
      <c r="BS457" s="386">
        <v>0</v>
      </c>
      <c r="BT457" s="268">
        <f>IF(BQ457,_xll.qDateYears(BQ456,BQ457,BT$13),0)</f>
        <v>0</v>
      </c>
      <c r="BU457" s="268">
        <f t="shared" si="103"/>
        <v>1738.6030924697341</v>
      </c>
      <c r="CC457" s="526">
        <v>0</v>
      </c>
      <c r="CD457" s="151" t="str">
        <f t="shared" si="98"/>
        <v/>
      </c>
      <c r="CE457" s="386">
        <v>0</v>
      </c>
      <c r="CF457" s="268">
        <f>IF(CC457,_xll.qDateYears(CC456,CC457,CF$13),0)</f>
        <v>0</v>
      </c>
      <c r="CG457" s="268">
        <f t="shared" si="104"/>
        <v>2312.0085517586949</v>
      </c>
      <c r="CO457" s="526">
        <v>0</v>
      </c>
      <c r="CP457" s="151" t="str">
        <f t="shared" si="99"/>
        <v/>
      </c>
      <c r="CQ457" s="386">
        <v>0</v>
      </c>
      <c r="CR457" s="268">
        <f>IF(CO457,_xll.qDateYears(CO456,CO457,CR$13),0)</f>
        <v>0</v>
      </c>
      <c r="CS457" s="268">
        <f t="shared" si="105"/>
        <v>2185.174943791465</v>
      </c>
      <c r="DA457" s="526">
        <v>0</v>
      </c>
      <c r="DB457" s="151" t="str">
        <f t="shared" si="100"/>
        <v/>
      </c>
      <c r="DC457" s="386">
        <v>0</v>
      </c>
      <c r="DD457" s="268">
        <f>IF(DA457,_xll.qDateYears(DA456,DA457,DD$13),0)</f>
        <v>0</v>
      </c>
      <c r="DE457" s="268">
        <f t="shared" si="106"/>
        <v>1616.1787110556011</v>
      </c>
      <c r="DM457" s="526">
        <v>0</v>
      </c>
      <c r="DN457" s="151" t="str">
        <f t="shared" si="101"/>
        <v/>
      </c>
      <c r="DO457" s="386">
        <v>0</v>
      </c>
      <c r="DP457" s="268">
        <f>IF(DM457,_xll.qDateYears(DM456,DM457,DP$13),0)</f>
        <v>0</v>
      </c>
      <c r="DQ457" s="268">
        <f t="shared" si="107"/>
        <v>2183.1745733532407</v>
      </c>
    </row>
    <row r="458" spans="59:121">
      <c r="BG458" s="526">
        <v>0</v>
      </c>
      <c r="BH458" s="150" t="str">
        <f t="shared" si="96"/>
        <v/>
      </c>
      <c r="BI458" s="386">
        <v>0</v>
      </c>
      <c r="BJ458" s="268">
        <f>IF(BG458,_xll.qDateYears(BG457,BG458,$BJ$13),0)</f>
        <v>0</v>
      </c>
      <c r="BK458" s="268">
        <f t="shared" si="102"/>
        <v>2183.1745733532407</v>
      </c>
      <c r="BQ458" s="526">
        <v>0</v>
      </c>
      <c r="BR458" s="151" t="str">
        <f t="shared" si="97"/>
        <v/>
      </c>
      <c r="BS458" s="386">
        <v>0</v>
      </c>
      <c r="BT458" s="268">
        <f>IF(BQ458,_xll.qDateYears(BQ457,BQ458,BT$13),0)</f>
        <v>0</v>
      </c>
      <c r="BU458" s="268">
        <f t="shared" si="103"/>
        <v>1738.6030924697341</v>
      </c>
      <c r="CC458" s="526">
        <v>0</v>
      </c>
      <c r="CD458" s="151" t="str">
        <f t="shared" si="98"/>
        <v/>
      </c>
      <c r="CE458" s="386">
        <v>0</v>
      </c>
      <c r="CF458" s="268">
        <f>IF(CC458,_xll.qDateYears(CC457,CC458,CF$13),0)</f>
        <v>0</v>
      </c>
      <c r="CG458" s="268">
        <f t="shared" si="104"/>
        <v>2312.0085517586949</v>
      </c>
      <c r="CO458" s="526">
        <v>0</v>
      </c>
      <c r="CP458" s="151" t="str">
        <f t="shared" si="99"/>
        <v/>
      </c>
      <c r="CQ458" s="386">
        <v>0</v>
      </c>
      <c r="CR458" s="268">
        <f>IF(CO458,_xll.qDateYears(CO457,CO458,CR$13),0)</f>
        <v>0</v>
      </c>
      <c r="CS458" s="268">
        <f t="shared" si="105"/>
        <v>2185.174943791465</v>
      </c>
      <c r="DA458" s="526">
        <v>0</v>
      </c>
      <c r="DB458" s="151" t="str">
        <f t="shared" si="100"/>
        <v/>
      </c>
      <c r="DC458" s="386">
        <v>0</v>
      </c>
      <c r="DD458" s="268">
        <f>IF(DA458,_xll.qDateYears(DA457,DA458,DD$13),0)</f>
        <v>0</v>
      </c>
      <c r="DE458" s="268">
        <f t="shared" si="106"/>
        <v>1616.1787110556011</v>
      </c>
      <c r="DM458" s="526">
        <v>0</v>
      </c>
      <c r="DN458" s="151" t="str">
        <f t="shared" si="101"/>
        <v/>
      </c>
      <c r="DO458" s="386">
        <v>0</v>
      </c>
      <c r="DP458" s="268">
        <f>IF(DM458,_xll.qDateYears(DM457,DM458,DP$13),0)</f>
        <v>0</v>
      </c>
      <c r="DQ458" s="268">
        <f t="shared" si="107"/>
        <v>2183.1745733532407</v>
      </c>
    </row>
    <row r="459" spans="59:121">
      <c r="BG459" s="526">
        <v>0</v>
      </c>
      <c r="BH459" s="150" t="str">
        <f t="shared" si="96"/>
        <v/>
      </c>
      <c r="BI459" s="386">
        <v>0</v>
      </c>
      <c r="BJ459" s="268">
        <f>IF(BG459,_xll.qDateYears(BG458,BG459,$BJ$13),0)</f>
        <v>0</v>
      </c>
      <c r="BK459" s="268">
        <f t="shared" si="102"/>
        <v>2183.1745733532407</v>
      </c>
      <c r="BQ459" s="526">
        <v>0</v>
      </c>
      <c r="BR459" s="151" t="str">
        <f t="shared" si="97"/>
        <v/>
      </c>
      <c r="BS459" s="386">
        <v>0</v>
      </c>
      <c r="BT459" s="268">
        <f>IF(BQ459,_xll.qDateYears(BQ458,BQ459,BT$13),0)</f>
        <v>0</v>
      </c>
      <c r="BU459" s="268">
        <f t="shared" si="103"/>
        <v>1738.6030924697341</v>
      </c>
      <c r="CC459" s="526">
        <v>0</v>
      </c>
      <c r="CD459" s="151" t="str">
        <f t="shared" si="98"/>
        <v/>
      </c>
      <c r="CE459" s="386">
        <v>0</v>
      </c>
      <c r="CF459" s="268">
        <f>IF(CC459,_xll.qDateYears(CC458,CC459,CF$13),0)</f>
        <v>0</v>
      </c>
      <c r="CG459" s="268">
        <f t="shared" si="104"/>
        <v>2312.0085517586949</v>
      </c>
      <c r="CO459" s="526">
        <v>0</v>
      </c>
      <c r="CP459" s="151" t="str">
        <f t="shared" si="99"/>
        <v/>
      </c>
      <c r="CQ459" s="386">
        <v>0</v>
      </c>
      <c r="CR459" s="268">
        <f>IF(CO459,_xll.qDateYears(CO458,CO459,CR$13),0)</f>
        <v>0</v>
      </c>
      <c r="CS459" s="268">
        <f t="shared" si="105"/>
        <v>2185.174943791465</v>
      </c>
      <c r="DA459" s="526">
        <v>0</v>
      </c>
      <c r="DB459" s="151" t="str">
        <f t="shared" si="100"/>
        <v/>
      </c>
      <c r="DC459" s="386">
        <v>0</v>
      </c>
      <c r="DD459" s="268">
        <f>IF(DA459,_xll.qDateYears(DA458,DA459,DD$13),0)</f>
        <v>0</v>
      </c>
      <c r="DE459" s="268">
        <f t="shared" si="106"/>
        <v>1616.1787110556011</v>
      </c>
      <c r="DM459" s="526">
        <v>0</v>
      </c>
      <c r="DN459" s="151" t="str">
        <f t="shared" si="101"/>
        <v/>
      </c>
      <c r="DO459" s="386">
        <v>0</v>
      </c>
      <c r="DP459" s="268">
        <f>IF(DM459,_xll.qDateYears(DM458,DM459,DP$13),0)</f>
        <v>0</v>
      </c>
      <c r="DQ459" s="268">
        <f t="shared" si="107"/>
        <v>2183.1745733532407</v>
      </c>
    </row>
    <row r="460" spans="59:121">
      <c r="BG460" s="526">
        <v>0</v>
      </c>
      <c r="BH460" s="150" t="str">
        <f t="shared" si="96"/>
        <v/>
      </c>
      <c r="BI460" s="386">
        <v>0</v>
      </c>
      <c r="BJ460" s="268">
        <f>IF(BG460,_xll.qDateYears(BG459,BG460,$BJ$13),0)</f>
        <v>0</v>
      </c>
      <c r="BK460" s="268">
        <f t="shared" si="102"/>
        <v>2183.1745733532407</v>
      </c>
      <c r="BQ460" s="526">
        <v>0</v>
      </c>
      <c r="BR460" s="151" t="str">
        <f t="shared" si="97"/>
        <v/>
      </c>
      <c r="BS460" s="386">
        <v>0</v>
      </c>
      <c r="BT460" s="268">
        <f>IF(BQ460,_xll.qDateYears(BQ459,BQ460,BT$13),0)</f>
        <v>0</v>
      </c>
      <c r="BU460" s="268">
        <f t="shared" si="103"/>
        <v>1738.6030924697341</v>
      </c>
      <c r="CC460" s="526">
        <v>0</v>
      </c>
      <c r="CD460" s="151" t="str">
        <f t="shared" si="98"/>
        <v/>
      </c>
      <c r="CE460" s="386">
        <v>0</v>
      </c>
      <c r="CF460" s="268">
        <f>IF(CC460,_xll.qDateYears(CC459,CC460,CF$13),0)</f>
        <v>0</v>
      </c>
      <c r="CG460" s="268">
        <f t="shared" si="104"/>
        <v>2312.0085517586949</v>
      </c>
      <c r="CO460" s="526">
        <v>0</v>
      </c>
      <c r="CP460" s="151" t="str">
        <f t="shared" si="99"/>
        <v/>
      </c>
      <c r="CQ460" s="386">
        <v>0</v>
      </c>
      <c r="CR460" s="268">
        <f>IF(CO460,_xll.qDateYears(CO459,CO460,CR$13),0)</f>
        <v>0</v>
      </c>
      <c r="CS460" s="268">
        <f t="shared" si="105"/>
        <v>2185.174943791465</v>
      </c>
      <c r="DA460" s="526">
        <v>0</v>
      </c>
      <c r="DB460" s="151" t="str">
        <f t="shared" si="100"/>
        <v/>
      </c>
      <c r="DC460" s="386">
        <v>0</v>
      </c>
      <c r="DD460" s="268">
        <f>IF(DA460,_xll.qDateYears(DA459,DA460,DD$13),0)</f>
        <v>0</v>
      </c>
      <c r="DE460" s="268">
        <f t="shared" si="106"/>
        <v>1616.1787110556011</v>
      </c>
      <c r="DM460" s="526">
        <v>0</v>
      </c>
      <c r="DN460" s="151" t="str">
        <f t="shared" si="101"/>
        <v/>
      </c>
      <c r="DO460" s="386">
        <v>0</v>
      </c>
      <c r="DP460" s="268">
        <f>IF(DM460,_xll.qDateYears(DM459,DM460,DP$13),0)</f>
        <v>0</v>
      </c>
      <c r="DQ460" s="268">
        <f t="shared" si="107"/>
        <v>2183.1745733532407</v>
      </c>
    </row>
    <row r="461" spans="59:121">
      <c r="BG461" s="526">
        <v>0</v>
      </c>
      <c r="BH461" s="150" t="str">
        <f t="shared" si="96"/>
        <v/>
      </c>
      <c r="BI461" s="386">
        <v>0</v>
      </c>
      <c r="BJ461" s="268">
        <f>IF(BG461,_xll.qDateYears(BG460,BG461,$BJ$13),0)</f>
        <v>0</v>
      </c>
      <c r="BK461" s="268">
        <f t="shared" si="102"/>
        <v>2183.1745733532407</v>
      </c>
      <c r="BQ461" s="526">
        <v>0</v>
      </c>
      <c r="BR461" s="151" t="str">
        <f t="shared" si="97"/>
        <v/>
      </c>
      <c r="BS461" s="386">
        <v>0</v>
      </c>
      <c r="BT461" s="268">
        <f>IF(BQ461,_xll.qDateYears(BQ460,BQ461,BT$13),0)</f>
        <v>0</v>
      </c>
      <c r="BU461" s="268">
        <f t="shared" si="103"/>
        <v>1738.6030924697341</v>
      </c>
      <c r="CC461" s="526">
        <v>0</v>
      </c>
      <c r="CD461" s="151" t="str">
        <f t="shared" si="98"/>
        <v/>
      </c>
      <c r="CE461" s="386">
        <v>0</v>
      </c>
      <c r="CF461" s="268">
        <f>IF(CC461,_xll.qDateYears(CC460,CC461,CF$13),0)</f>
        <v>0</v>
      </c>
      <c r="CG461" s="268">
        <f t="shared" si="104"/>
        <v>2312.0085517586949</v>
      </c>
      <c r="CO461" s="526">
        <v>0</v>
      </c>
      <c r="CP461" s="151" t="str">
        <f t="shared" si="99"/>
        <v/>
      </c>
      <c r="CQ461" s="386">
        <v>0</v>
      </c>
      <c r="CR461" s="268">
        <f>IF(CO461,_xll.qDateYears(CO460,CO461,CR$13),0)</f>
        <v>0</v>
      </c>
      <c r="CS461" s="268">
        <f t="shared" si="105"/>
        <v>2185.174943791465</v>
      </c>
      <c r="DA461" s="526">
        <v>0</v>
      </c>
      <c r="DB461" s="151" t="str">
        <f t="shared" si="100"/>
        <v/>
      </c>
      <c r="DC461" s="386">
        <v>0</v>
      </c>
      <c r="DD461" s="268">
        <f>IF(DA461,_xll.qDateYears(DA460,DA461,DD$13),0)</f>
        <v>0</v>
      </c>
      <c r="DE461" s="268">
        <f t="shared" si="106"/>
        <v>1616.1787110556011</v>
      </c>
      <c r="DM461" s="526">
        <v>0</v>
      </c>
      <c r="DN461" s="151" t="str">
        <f t="shared" si="101"/>
        <v/>
      </c>
      <c r="DO461" s="386">
        <v>0</v>
      </c>
      <c r="DP461" s="268">
        <f>IF(DM461,_xll.qDateYears(DM460,DM461,DP$13),0)</f>
        <v>0</v>
      </c>
      <c r="DQ461" s="268">
        <f t="shared" si="107"/>
        <v>2183.1745733532407</v>
      </c>
    </row>
    <row r="462" spans="59:121">
      <c r="BG462" s="526">
        <v>0</v>
      </c>
      <c r="BH462" s="150" t="str">
        <f t="shared" si="96"/>
        <v/>
      </c>
      <c r="BI462" s="386">
        <v>0</v>
      </c>
      <c r="BJ462" s="268">
        <f>IF(BG462,_xll.qDateYears(BG461,BG462,$BJ$13),0)</f>
        <v>0</v>
      </c>
      <c r="BK462" s="268">
        <f t="shared" si="102"/>
        <v>2183.1745733532407</v>
      </c>
      <c r="BQ462" s="526">
        <v>0</v>
      </c>
      <c r="BR462" s="151" t="str">
        <f t="shared" si="97"/>
        <v/>
      </c>
      <c r="BS462" s="386">
        <v>0</v>
      </c>
      <c r="BT462" s="268">
        <f>IF(BQ462,_xll.qDateYears(BQ461,BQ462,BT$13),0)</f>
        <v>0</v>
      </c>
      <c r="BU462" s="268">
        <f t="shared" si="103"/>
        <v>1738.6030924697341</v>
      </c>
      <c r="CC462" s="526">
        <v>0</v>
      </c>
      <c r="CD462" s="151" t="str">
        <f t="shared" si="98"/>
        <v/>
      </c>
      <c r="CE462" s="386">
        <v>0</v>
      </c>
      <c r="CF462" s="268">
        <f>IF(CC462,_xll.qDateYears(CC461,CC462,CF$13),0)</f>
        <v>0</v>
      </c>
      <c r="CG462" s="268">
        <f t="shared" si="104"/>
        <v>2312.0085517586949</v>
      </c>
      <c r="CO462" s="526">
        <v>0</v>
      </c>
      <c r="CP462" s="151" t="str">
        <f t="shared" si="99"/>
        <v/>
      </c>
      <c r="CQ462" s="386">
        <v>0</v>
      </c>
      <c r="CR462" s="268">
        <f>IF(CO462,_xll.qDateYears(CO461,CO462,CR$13),0)</f>
        <v>0</v>
      </c>
      <c r="CS462" s="268">
        <f t="shared" si="105"/>
        <v>2185.174943791465</v>
      </c>
      <c r="DA462" s="526">
        <v>0</v>
      </c>
      <c r="DB462" s="151" t="str">
        <f t="shared" si="100"/>
        <v/>
      </c>
      <c r="DC462" s="386">
        <v>0</v>
      </c>
      <c r="DD462" s="268">
        <f>IF(DA462,_xll.qDateYears(DA461,DA462,DD$13),0)</f>
        <v>0</v>
      </c>
      <c r="DE462" s="268">
        <f t="shared" si="106"/>
        <v>1616.1787110556011</v>
      </c>
      <c r="DM462" s="526">
        <v>0</v>
      </c>
      <c r="DN462" s="151" t="str">
        <f t="shared" si="101"/>
        <v/>
      </c>
      <c r="DO462" s="386">
        <v>0</v>
      </c>
      <c r="DP462" s="268">
        <f>IF(DM462,_xll.qDateYears(DM461,DM462,DP$13),0)</f>
        <v>0</v>
      </c>
      <c r="DQ462" s="268">
        <f t="shared" si="107"/>
        <v>2183.1745733532407</v>
      </c>
    </row>
    <row r="463" spans="59:121">
      <c r="BG463" s="526">
        <v>0</v>
      </c>
      <c r="BH463" s="150" t="str">
        <f t="shared" ref="BH463:BH514" si="108">IF(BG463,ROUND((BG463-$BG$15)/365/0.25,0)*0.25&amp;"Y","")</f>
        <v/>
      </c>
      <c r="BI463" s="386">
        <v>0</v>
      </c>
      <c r="BJ463" s="268">
        <f>IF(BG463,_xll.qDateYears(BG462,BG463,$BJ$13),0)</f>
        <v>0</v>
      </c>
      <c r="BK463" s="268">
        <f t="shared" si="102"/>
        <v>2183.1745733532407</v>
      </c>
      <c r="BQ463" s="526">
        <v>0</v>
      </c>
      <c r="BR463" s="151" t="str">
        <f t="shared" ref="BR463:BR514" si="109">IF(BQ463,ROUND((BQ463-$BG$15)/365/0.25,0)*0.25&amp;"Y","")</f>
        <v/>
      </c>
      <c r="BS463" s="386">
        <v>0</v>
      </c>
      <c r="BT463" s="268">
        <f>IF(BQ463,_xll.qDateYears(BQ462,BQ463,BT$13),0)</f>
        <v>0</v>
      </c>
      <c r="BU463" s="268">
        <f t="shared" si="103"/>
        <v>1738.6030924697341</v>
      </c>
      <c r="CC463" s="526">
        <v>0</v>
      </c>
      <c r="CD463" s="151" t="str">
        <f t="shared" ref="CD463:CD514" si="110">IF(CC463,ROUND((CC463-$BG$15)/365/0.25,0)*0.25&amp;"Y","")</f>
        <v/>
      </c>
      <c r="CE463" s="386">
        <v>0</v>
      </c>
      <c r="CF463" s="268">
        <f>IF(CC463,_xll.qDateYears(CC462,CC463,CF$13),0)</f>
        <v>0</v>
      </c>
      <c r="CG463" s="268">
        <f t="shared" si="104"/>
        <v>2312.0085517586949</v>
      </c>
      <c r="CO463" s="526">
        <v>0</v>
      </c>
      <c r="CP463" s="151" t="str">
        <f t="shared" ref="CP463:CP514" si="111">IF(CO463,ROUND((CO463-$BG$15)/365/0.25,0)*0.25&amp;"Y","")</f>
        <v/>
      </c>
      <c r="CQ463" s="386">
        <v>0</v>
      </c>
      <c r="CR463" s="268">
        <f>IF(CO463,_xll.qDateYears(CO462,CO463,CR$13),0)</f>
        <v>0</v>
      </c>
      <c r="CS463" s="268">
        <f t="shared" si="105"/>
        <v>2185.174943791465</v>
      </c>
      <c r="DA463" s="526">
        <v>0</v>
      </c>
      <c r="DB463" s="151" t="str">
        <f t="shared" ref="DB463:DB514" si="112">IF(DA463,ROUND((DA463-$BG$15)/365/0.25,0)*0.25&amp;"Y","")</f>
        <v/>
      </c>
      <c r="DC463" s="386">
        <v>0</v>
      </c>
      <c r="DD463" s="268">
        <f>IF(DA463,_xll.qDateYears(DA462,DA463,DD$13),0)</f>
        <v>0</v>
      </c>
      <c r="DE463" s="268">
        <f t="shared" si="106"/>
        <v>1616.1787110556011</v>
      </c>
      <c r="DM463" s="526">
        <v>0</v>
      </c>
      <c r="DN463" s="151" t="str">
        <f t="shared" ref="DN463:DN514" si="113">IF(DM463,ROUND((DM463-$BG$15)/365/0.25,0)*0.25&amp;"Y","")</f>
        <v/>
      </c>
      <c r="DO463" s="386">
        <v>0</v>
      </c>
      <c r="DP463" s="268">
        <f>IF(DM463,_xll.qDateYears(DM462,DM463,DP$13),0)</f>
        <v>0</v>
      </c>
      <c r="DQ463" s="268">
        <f t="shared" si="107"/>
        <v>2183.1745733532407</v>
      </c>
    </row>
    <row r="464" spans="59:121">
      <c r="BG464" s="526">
        <v>0</v>
      </c>
      <c r="BH464" s="150" t="str">
        <f t="shared" si="108"/>
        <v/>
      </c>
      <c r="BI464" s="386">
        <v>0</v>
      </c>
      <c r="BJ464" s="268">
        <f>IF(BG464,_xll.qDateYears(BG463,BG464,$BJ$13),0)</f>
        <v>0</v>
      </c>
      <c r="BK464" s="268">
        <f t="shared" si="102"/>
        <v>2183.1745733532407</v>
      </c>
      <c r="BQ464" s="526">
        <v>0</v>
      </c>
      <c r="BR464" s="151" t="str">
        <f t="shared" si="109"/>
        <v/>
      </c>
      <c r="BS464" s="386">
        <v>0</v>
      </c>
      <c r="BT464" s="268">
        <f>IF(BQ464,_xll.qDateYears(BQ463,BQ464,BT$13),0)</f>
        <v>0</v>
      </c>
      <c r="BU464" s="268">
        <f t="shared" si="103"/>
        <v>1738.6030924697341</v>
      </c>
      <c r="CC464" s="526">
        <v>0</v>
      </c>
      <c r="CD464" s="151" t="str">
        <f t="shared" si="110"/>
        <v/>
      </c>
      <c r="CE464" s="386">
        <v>0</v>
      </c>
      <c r="CF464" s="268">
        <f>IF(CC464,_xll.qDateYears(CC463,CC464,CF$13),0)</f>
        <v>0</v>
      </c>
      <c r="CG464" s="268">
        <f t="shared" si="104"/>
        <v>2312.0085517586949</v>
      </c>
      <c r="CO464" s="526">
        <v>0</v>
      </c>
      <c r="CP464" s="151" t="str">
        <f t="shared" si="111"/>
        <v/>
      </c>
      <c r="CQ464" s="386">
        <v>0</v>
      </c>
      <c r="CR464" s="268">
        <f>IF(CO464,_xll.qDateYears(CO463,CO464,CR$13),0)</f>
        <v>0</v>
      </c>
      <c r="CS464" s="268">
        <f t="shared" si="105"/>
        <v>2185.174943791465</v>
      </c>
      <c r="DA464" s="526">
        <v>0</v>
      </c>
      <c r="DB464" s="151" t="str">
        <f t="shared" si="112"/>
        <v/>
      </c>
      <c r="DC464" s="386">
        <v>0</v>
      </c>
      <c r="DD464" s="268">
        <f>IF(DA464,_xll.qDateYears(DA463,DA464,DD$13),0)</f>
        <v>0</v>
      </c>
      <c r="DE464" s="268">
        <f t="shared" si="106"/>
        <v>1616.1787110556011</v>
      </c>
      <c r="DM464" s="526">
        <v>0</v>
      </c>
      <c r="DN464" s="151" t="str">
        <f t="shared" si="113"/>
        <v/>
      </c>
      <c r="DO464" s="386">
        <v>0</v>
      </c>
      <c r="DP464" s="268">
        <f>IF(DM464,_xll.qDateYears(DM463,DM464,DP$13),0)</f>
        <v>0</v>
      </c>
      <c r="DQ464" s="268">
        <f t="shared" si="107"/>
        <v>2183.1745733532407</v>
      </c>
    </row>
    <row r="465" spans="59:121">
      <c r="BG465" s="526">
        <v>0</v>
      </c>
      <c r="BH465" s="150" t="str">
        <f t="shared" si="108"/>
        <v/>
      </c>
      <c r="BI465" s="386">
        <v>0</v>
      </c>
      <c r="BJ465" s="268">
        <f>IF(BG465,_xll.qDateYears(BG464,BG465,$BJ$13),0)</f>
        <v>0</v>
      </c>
      <c r="BK465" s="268">
        <f t="shared" ref="BK465:BK514" si="114">BK464+BJ465*BI465*100</f>
        <v>2183.1745733532407</v>
      </c>
      <c r="BQ465" s="526">
        <v>0</v>
      </c>
      <c r="BR465" s="151" t="str">
        <f t="shared" si="109"/>
        <v/>
      </c>
      <c r="BS465" s="386">
        <v>0</v>
      </c>
      <c r="BT465" s="268">
        <f>IF(BQ465,_xll.qDateYears(BQ464,BQ465,BT$13),0)</f>
        <v>0</v>
      </c>
      <c r="BU465" s="268">
        <f t="shared" ref="BU465:BU514" si="115">BU464+BT465*BS465*100</f>
        <v>1738.6030924697341</v>
      </c>
      <c r="CC465" s="526">
        <v>0</v>
      </c>
      <c r="CD465" s="151" t="str">
        <f t="shared" si="110"/>
        <v/>
      </c>
      <c r="CE465" s="386">
        <v>0</v>
      </c>
      <c r="CF465" s="268">
        <f>IF(CC465,_xll.qDateYears(CC464,CC465,CF$13),0)</f>
        <v>0</v>
      </c>
      <c r="CG465" s="268">
        <f t="shared" ref="CG465:CG514" si="116">CG464+CF465*CE465*100</f>
        <v>2312.0085517586949</v>
      </c>
      <c r="CO465" s="526">
        <v>0</v>
      </c>
      <c r="CP465" s="151" t="str">
        <f t="shared" si="111"/>
        <v/>
      </c>
      <c r="CQ465" s="386">
        <v>0</v>
      </c>
      <c r="CR465" s="268">
        <f>IF(CO465,_xll.qDateYears(CO464,CO465,CR$13),0)</f>
        <v>0</v>
      </c>
      <c r="CS465" s="268">
        <f t="shared" ref="CS465:CS514" si="117">CS464+CR465*CQ465*100</f>
        <v>2185.174943791465</v>
      </c>
      <c r="DA465" s="526">
        <v>0</v>
      </c>
      <c r="DB465" s="151" t="str">
        <f t="shared" si="112"/>
        <v/>
      </c>
      <c r="DC465" s="386">
        <v>0</v>
      </c>
      <c r="DD465" s="268">
        <f>IF(DA465,_xll.qDateYears(DA464,DA465,DD$13),0)</f>
        <v>0</v>
      </c>
      <c r="DE465" s="268">
        <f t="shared" ref="DE465:DE514" si="118">DE464+DD465*DC465*100</f>
        <v>1616.1787110556011</v>
      </c>
      <c r="DM465" s="526">
        <v>0</v>
      </c>
      <c r="DN465" s="151" t="str">
        <f t="shared" si="113"/>
        <v/>
      </c>
      <c r="DO465" s="386">
        <v>0</v>
      </c>
      <c r="DP465" s="268">
        <f>IF(DM465,_xll.qDateYears(DM464,DM465,DP$13),0)</f>
        <v>0</v>
      </c>
      <c r="DQ465" s="268">
        <f t="shared" ref="DQ465:DQ514" si="119">DQ464+DP465*DO465*100</f>
        <v>2183.1745733532407</v>
      </c>
    </row>
    <row r="466" spans="59:121">
      <c r="BG466" s="526">
        <v>0</v>
      </c>
      <c r="BH466" s="150" t="str">
        <f t="shared" si="108"/>
        <v/>
      </c>
      <c r="BI466" s="386">
        <v>0</v>
      </c>
      <c r="BJ466" s="268">
        <f>IF(BG466,_xll.qDateYears(BG465,BG466,$BJ$13),0)</f>
        <v>0</v>
      </c>
      <c r="BK466" s="268">
        <f t="shared" si="114"/>
        <v>2183.1745733532407</v>
      </c>
      <c r="BQ466" s="526">
        <v>0</v>
      </c>
      <c r="BR466" s="151" t="str">
        <f t="shared" si="109"/>
        <v/>
      </c>
      <c r="BS466" s="386">
        <v>0</v>
      </c>
      <c r="BT466" s="268">
        <f>IF(BQ466,_xll.qDateYears(BQ465,BQ466,BT$13),0)</f>
        <v>0</v>
      </c>
      <c r="BU466" s="268">
        <f t="shared" si="115"/>
        <v>1738.6030924697341</v>
      </c>
      <c r="CC466" s="526">
        <v>0</v>
      </c>
      <c r="CD466" s="151" t="str">
        <f t="shared" si="110"/>
        <v/>
      </c>
      <c r="CE466" s="386">
        <v>0</v>
      </c>
      <c r="CF466" s="268">
        <f>IF(CC466,_xll.qDateYears(CC465,CC466,CF$13),0)</f>
        <v>0</v>
      </c>
      <c r="CG466" s="268">
        <f t="shared" si="116"/>
        <v>2312.0085517586949</v>
      </c>
      <c r="CO466" s="526">
        <v>0</v>
      </c>
      <c r="CP466" s="151" t="str">
        <f t="shared" si="111"/>
        <v/>
      </c>
      <c r="CQ466" s="386">
        <v>0</v>
      </c>
      <c r="CR466" s="268">
        <f>IF(CO466,_xll.qDateYears(CO465,CO466,CR$13),0)</f>
        <v>0</v>
      </c>
      <c r="CS466" s="268">
        <f t="shared" si="117"/>
        <v>2185.174943791465</v>
      </c>
      <c r="DA466" s="526">
        <v>0</v>
      </c>
      <c r="DB466" s="151" t="str">
        <f t="shared" si="112"/>
        <v/>
      </c>
      <c r="DC466" s="386">
        <v>0</v>
      </c>
      <c r="DD466" s="268">
        <f>IF(DA466,_xll.qDateYears(DA465,DA466,DD$13),0)</f>
        <v>0</v>
      </c>
      <c r="DE466" s="268">
        <f t="shared" si="118"/>
        <v>1616.1787110556011</v>
      </c>
      <c r="DM466" s="526">
        <v>0</v>
      </c>
      <c r="DN466" s="151" t="str">
        <f t="shared" si="113"/>
        <v/>
      </c>
      <c r="DO466" s="386">
        <v>0</v>
      </c>
      <c r="DP466" s="268">
        <f>IF(DM466,_xll.qDateYears(DM465,DM466,DP$13),0)</f>
        <v>0</v>
      </c>
      <c r="DQ466" s="268">
        <f t="shared" si="119"/>
        <v>2183.1745733532407</v>
      </c>
    </row>
    <row r="467" spans="59:121">
      <c r="BG467" s="526">
        <v>0</v>
      </c>
      <c r="BH467" s="150" t="str">
        <f t="shared" si="108"/>
        <v/>
      </c>
      <c r="BI467" s="386">
        <v>0</v>
      </c>
      <c r="BJ467" s="268">
        <f>IF(BG467,_xll.qDateYears(BG466,BG467,$BJ$13),0)</f>
        <v>0</v>
      </c>
      <c r="BK467" s="268">
        <f t="shared" si="114"/>
        <v>2183.1745733532407</v>
      </c>
      <c r="BQ467" s="526">
        <v>0</v>
      </c>
      <c r="BR467" s="151" t="str">
        <f t="shared" si="109"/>
        <v/>
      </c>
      <c r="BS467" s="386">
        <v>0</v>
      </c>
      <c r="BT467" s="268">
        <f>IF(BQ467,_xll.qDateYears(BQ466,BQ467,BT$13),0)</f>
        <v>0</v>
      </c>
      <c r="BU467" s="268">
        <f t="shared" si="115"/>
        <v>1738.6030924697341</v>
      </c>
      <c r="CC467" s="526">
        <v>0</v>
      </c>
      <c r="CD467" s="151" t="str">
        <f t="shared" si="110"/>
        <v/>
      </c>
      <c r="CE467" s="386">
        <v>0</v>
      </c>
      <c r="CF467" s="268">
        <f>IF(CC467,_xll.qDateYears(CC466,CC467,CF$13),0)</f>
        <v>0</v>
      </c>
      <c r="CG467" s="268">
        <f t="shared" si="116"/>
        <v>2312.0085517586949</v>
      </c>
      <c r="CO467" s="526">
        <v>0</v>
      </c>
      <c r="CP467" s="151" t="str">
        <f t="shared" si="111"/>
        <v/>
      </c>
      <c r="CQ467" s="386">
        <v>0</v>
      </c>
      <c r="CR467" s="268">
        <f>IF(CO467,_xll.qDateYears(CO466,CO467,CR$13),0)</f>
        <v>0</v>
      </c>
      <c r="CS467" s="268">
        <f t="shared" si="117"/>
        <v>2185.174943791465</v>
      </c>
      <c r="DA467" s="526">
        <v>0</v>
      </c>
      <c r="DB467" s="151" t="str">
        <f t="shared" si="112"/>
        <v/>
      </c>
      <c r="DC467" s="386">
        <v>0</v>
      </c>
      <c r="DD467" s="268">
        <f>IF(DA467,_xll.qDateYears(DA466,DA467,DD$13),0)</f>
        <v>0</v>
      </c>
      <c r="DE467" s="268">
        <f t="shared" si="118"/>
        <v>1616.1787110556011</v>
      </c>
      <c r="DM467" s="526">
        <v>0</v>
      </c>
      <c r="DN467" s="151" t="str">
        <f t="shared" si="113"/>
        <v/>
      </c>
      <c r="DO467" s="386">
        <v>0</v>
      </c>
      <c r="DP467" s="268">
        <f>IF(DM467,_xll.qDateYears(DM466,DM467,DP$13),0)</f>
        <v>0</v>
      </c>
      <c r="DQ467" s="268">
        <f t="shared" si="119"/>
        <v>2183.1745733532407</v>
      </c>
    </row>
    <row r="468" spans="59:121">
      <c r="BG468" s="526">
        <v>0</v>
      </c>
      <c r="BH468" s="150" t="str">
        <f t="shared" si="108"/>
        <v/>
      </c>
      <c r="BI468" s="386">
        <v>0</v>
      </c>
      <c r="BJ468" s="268">
        <f>IF(BG468,_xll.qDateYears(BG467,BG468,$BJ$13),0)</f>
        <v>0</v>
      </c>
      <c r="BK468" s="268">
        <f t="shared" si="114"/>
        <v>2183.1745733532407</v>
      </c>
      <c r="BQ468" s="526">
        <v>0</v>
      </c>
      <c r="BR468" s="151" t="str">
        <f t="shared" si="109"/>
        <v/>
      </c>
      <c r="BS468" s="386">
        <v>0</v>
      </c>
      <c r="BT468" s="268">
        <f>IF(BQ468,_xll.qDateYears(BQ467,BQ468,BT$13),0)</f>
        <v>0</v>
      </c>
      <c r="BU468" s="268">
        <f t="shared" si="115"/>
        <v>1738.6030924697341</v>
      </c>
      <c r="CC468" s="526">
        <v>0</v>
      </c>
      <c r="CD468" s="151" t="str">
        <f t="shared" si="110"/>
        <v/>
      </c>
      <c r="CE468" s="386">
        <v>0</v>
      </c>
      <c r="CF468" s="268">
        <f>IF(CC468,_xll.qDateYears(CC467,CC468,CF$13),0)</f>
        <v>0</v>
      </c>
      <c r="CG468" s="268">
        <f t="shared" si="116"/>
        <v>2312.0085517586949</v>
      </c>
      <c r="CO468" s="526">
        <v>0</v>
      </c>
      <c r="CP468" s="151" t="str">
        <f t="shared" si="111"/>
        <v/>
      </c>
      <c r="CQ468" s="386">
        <v>0</v>
      </c>
      <c r="CR468" s="268">
        <f>IF(CO468,_xll.qDateYears(CO467,CO468,CR$13),0)</f>
        <v>0</v>
      </c>
      <c r="CS468" s="268">
        <f t="shared" si="117"/>
        <v>2185.174943791465</v>
      </c>
      <c r="DA468" s="526">
        <v>0</v>
      </c>
      <c r="DB468" s="151" t="str">
        <f t="shared" si="112"/>
        <v/>
      </c>
      <c r="DC468" s="386">
        <v>0</v>
      </c>
      <c r="DD468" s="268">
        <f>IF(DA468,_xll.qDateYears(DA467,DA468,DD$13),0)</f>
        <v>0</v>
      </c>
      <c r="DE468" s="268">
        <f t="shared" si="118"/>
        <v>1616.1787110556011</v>
      </c>
      <c r="DM468" s="526">
        <v>0</v>
      </c>
      <c r="DN468" s="151" t="str">
        <f t="shared" si="113"/>
        <v/>
      </c>
      <c r="DO468" s="386">
        <v>0</v>
      </c>
      <c r="DP468" s="268">
        <f>IF(DM468,_xll.qDateYears(DM467,DM468,DP$13),0)</f>
        <v>0</v>
      </c>
      <c r="DQ468" s="268">
        <f t="shared" si="119"/>
        <v>2183.1745733532407</v>
      </c>
    </row>
    <row r="469" spans="59:121">
      <c r="BG469" s="526">
        <v>0</v>
      </c>
      <c r="BH469" s="150" t="str">
        <f t="shared" si="108"/>
        <v/>
      </c>
      <c r="BI469" s="386">
        <v>0</v>
      </c>
      <c r="BJ469" s="268">
        <f>IF(BG469,_xll.qDateYears(BG468,BG469,$BJ$13),0)</f>
        <v>0</v>
      </c>
      <c r="BK469" s="268">
        <f t="shared" si="114"/>
        <v>2183.1745733532407</v>
      </c>
      <c r="BQ469" s="526">
        <v>0</v>
      </c>
      <c r="BR469" s="151" t="str">
        <f t="shared" si="109"/>
        <v/>
      </c>
      <c r="BS469" s="386">
        <v>0</v>
      </c>
      <c r="BT469" s="268">
        <f>IF(BQ469,_xll.qDateYears(BQ468,BQ469,BT$13),0)</f>
        <v>0</v>
      </c>
      <c r="BU469" s="268">
        <f t="shared" si="115"/>
        <v>1738.6030924697341</v>
      </c>
      <c r="CC469" s="526">
        <v>0</v>
      </c>
      <c r="CD469" s="151" t="str">
        <f t="shared" si="110"/>
        <v/>
      </c>
      <c r="CE469" s="386">
        <v>0</v>
      </c>
      <c r="CF469" s="268">
        <f>IF(CC469,_xll.qDateYears(CC468,CC469,CF$13),0)</f>
        <v>0</v>
      </c>
      <c r="CG469" s="268">
        <f t="shared" si="116"/>
        <v>2312.0085517586949</v>
      </c>
      <c r="CO469" s="526">
        <v>0</v>
      </c>
      <c r="CP469" s="151" t="str">
        <f t="shared" si="111"/>
        <v/>
      </c>
      <c r="CQ469" s="386">
        <v>0</v>
      </c>
      <c r="CR469" s="268">
        <f>IF(CO469,_xll.qDateYears(CO468,CO469,CR$13),0)</f>
        <v>0</v>
      </c>
      <c r="CS469" s="268">
        <f t="shared" si="117"/>
        <v>2185.174943791465</v>
      </c>
      <c r="DA469" s="526">
        <v>0</v>
      </c>
      <c r="DB469" s="151" t="str">
        <f t="shared" si="112"/>
        <v/>
      </c>
      <c r="DC469" s="386">
        <v>0</v>
      </c>
      <c r="DD469" s="268">
        <f>IF(DA469,_xll.qDateYears(DA468,DA469,DD$13),0)</f>
        <v>0</v>
      </c>
      <c r="DE469" s="268">
        <f t="shared" si="118"/>
        <v>1616.1787110556011</v>
      </c>
      <c r="DM469" s="526">
        <v>0</v>
      </c>
      <c r="DN469" s="151" t="str">
        <f t="shared" si="113"/>
        <v/>
      </c>
      <c r="DO469" s="386">
        <v>0</v>
      </c>
      <c r="DP469" s="268">
        <f>IF(DM469,_xll.qDateYears(DM468,DM469,DP$13),0)</f>
        <v>0</v>
      </c>
      <c r="DQ469" s="268">
        <f t="shared" si="119"/>
        <v>2183.1745733532407</v>
      </c>
    </row>
    <row r="470" spans="59:121">
      <c r="BG470" s="526">
        <v>0</v>
      </c>
      <c r="BH470" s="150" t="str">
        <f t="shared" si="108"/>
        <v/>
      </c>
      <c r="BI470" s="386">
        <v>0</v>
      </c>
      <c r="BJ470" s="268">
        <f>IF(BG470,_xll.qDateYears(BG469,BG470,$BJ$13),0)</f>
        <v>0</v>
      </c>
      <c r="BK470" s="268">
        <f t="shared" si="114"/>
        <v>2183.1745733532407</v>
      </c>
      <c r="BQ470" s="526">
        <v>0</v>
      </c>
      <c r="BR470" s="151" t="str">
        <f t="shared" si="109"/>
        <v/>
      </c>
      <c r="BS470" s="386">
        <v>0</v>
      </c>
      <c r="BT470" s="268">
        <f>IF(BQ470,_xll.qDateYears(BQ469,BQ470,BT$13),0)</f>
        <v>0</v>
      </c>
      <c r="BU470" s="268">
        <f t="shared" si="115"/>
        <v>1738.6030924697341</v>
      </c>
      <c r="CC470" s="526">
        <v>0</v>
      </c>
      <c r="CD470" s="151" t="str">
        <f t="shared" si="110"/>
        <v/>
      </c>
      <c r="CE470" s="386">
        <v>0</v>
      </c>
      <c r="CF470" s="268">
        <f>IF(CC470,_xll.qDateYears(CC469,CC470,CF$13),0)</f>
        <v>0</v>
      </c>
      <c r="CG470" s="268">
        <f t="shared" si="116"/>
        <v>2312.0085517586949</v>
      </c>
      <c r="CO470" s="526">
        <v>0</v>
      </c>
      <c r="CP470" s="151" t="str">
        <f t="shared" si="111"/>
        <v/>
      </c>
      <c r="CQ470" s="386">
        <v>0</v>
      </c>
      <c r="CR470" s="268">
        <f>IF(CO470,_xll.qDateYears(CO469,CO470,CR$13),0)</f>
        <v>0</v>
      </c>
      <c r="CS470" s="268">
        <f t="shared" si="117"/>
        <v>2185.174943791465</v>
      </c>
      <c r="DA470" s="526">
        <v>0</v>
      </c>
      <c r="DB470" s="151" t="str">
        <f t="shared" si="112"/>
        <v/>
      </c>
      <c r="DC470" s="386">
        <v>0</v>
      </c>
      <c r="DD470" s="268">
        <f>IF(DA470,_xll.qDateYears(DA469,DA470,DD$13),0)</f>
        <v>0</v>
      </c>
      <c r="DE470" s="268">
        <f t="shared" si="118"/>
        <v>1616.1787110556011</v>
      </c>
      <c r="DM470" s="526">
        <v>0</v>
      </c>
      <c r="DN470" s="151" t="str">
        <f t="shared" si="113"/>
        <v/>
      </c>
      <c r="DO470" s="386">
        <v>0</v>
      </c>
      <c r="DP470" s="268">
        <f>IF(DM470,_xll.qDateYears(DM469,DM470,DP$13),0)</f>
        <v>0</v>
      </c>
      <c r="DQ470" s="268">
        <f t="shared" si="119"/>
        <v>2183.1745733532407</v>
      </c>
    </row>
    <row r="471" spans="59:121">
      <c r="BG471" s="526">
        <v>0</v>
      </c>
      <c r="BH471" s="150" t="str">
        <f t="shared" si="108"/>
        <v/>
      </c>
      <c r="BI471" s="386">
        <v>0</v>
      </c>
      <c r="BJ471" s="268">
        <f>IF(BG471,_xll.qDateYears(BG470,BG471,$BJ$13),0)</f>
        <v>0</v>
      </c>
      <c r="BK471" s="268">
        <f t="shared" si="114"/>
        <v>2183.1745733532407</v>
      </c>
      <c r="BQ471" s="526">
        <v>0</v>
      </c>
      <c r="BR471" s="151" t="str">
        <f t="shared" si="109"/>
        <v/>
      </c>
      <c r="BS471" s="386">
        <v>0</v>
      </c>
      <c r="BT471" s="268">
        <f>IF(BQ471,_xll.qDateYears(BQ470,BQ471,BT$13),0)</f>
        <v>0</v>
      </c>
      <c r="BU471" s="268">
        <f t="shared" si="115"/>
        <v>1738.6030924697341</v>
      </c>
      <c r="CC471" s="526">
        <v>0</v>
      </c>
      <c r="CD471" s="151" t="str">
        <f t="shared" si="110"/>
        <v/>
      </c>
      <c r="CE471" s="386">
        <v>0</v>
      </c>
      <c r="CF471" s="268">
        <f>IF(CC471,_xll.qDateYears(CC470,CC471,CF$13),0)</f>
        <v>0</v>
      </c>
      <c r="CG471" s="268">
        <f t="shared" si="116"/>
        <v>2312.0085517586949</v>
      </c>
      <c r="CO471" s="526">
        <v>0</v>
      </c>
      <c r="CP471" s="151" t="str">
        <f t="shared" si="111"/>
        <v/>
      </c>
      <c r="CQ471" s="386">
        <v>0</v>
      </c>
      <c r="CR471" s="268">
        <f>IF(CO471,_xll.qDateYears(CO470,CO471,CR$13),0)</f>
        <v>0</v>
      </c>
      <c r="CS471" s="268">
        <f t="shared" si="117"/>
        <v>2185.174943791465</v>
      </c>
      <c r="DA471" s="526">
        <v>0</v>
      </c>
      <c r="DB471" s="151" t="str">
        <f t="shared" si="112"/>
        <v/>
      </c>
      <c r="DC471" s="386">
        <v>0</v>
      </c>
      <c r="DD471" s="268">
        <f>IF(DA471,_xll.qDateYears(DA470,DA471,DD$13),0)</f>
        <v>0</v>
      </c>
      <c r="DE471" s="268">
        <f t="shared" si="118"/>
        <v>1616.1787110556011</v>
      </c>
      <c r="DM471" s="526">
        <v>0</v>
      </c>
      <c r="DN471" s="151" t="str">
        <f t="shared" si="113"/>
        <v/>
      </c>
      <c r="DO471" s="386">
        <v>0</v>
      </c>
      <c r="DP471" s="268">
        <f>IF(DM471,_xll.qDateYears(DM470,DM471,DP$13),0)</f>
        <v>0</v>
      </c>
      <c r="DQ471" s="268">
        <f t="shared" si="119"/>
        <v>2183.1745733532407</v>
      </c>
    </row>
    <row r="472" spans="59:121">
      <c r="BG472" s="526">
        <v>0</v>
      </c>
      <c r="BH472" s="150" t="str">
        <f t="shared" si="108"/>
        <v/>
      </c>
      <c r="BI472" s="386">
        <v>0</v>
      </c>
      <c r="BJ472" s="268">
        <f>IF(BG472,_xll.qDateYears(BG471,BG472,$BJ$13),0)</f>
        <v>0</v>
      </c>
      <c r="BK472" s="268">
        <f t="shared" si="114"/>
        <v>2183.1745733532407</v>
      </c>
      <c r="BQ472" s="526">
        <v>0</v>
      </c>
      <c r="BR472" s="151" t="str">
        <f t="shared" si="109"/>
        <v/>
      </c>
      <c r="BS472" s="386">
        <v>0</v>
      </c>
      <c r="BT472" s="268">
        <f>IF(BQ472,_xll.qDateYears(BQ471,BQ472,BT$13),0)</f>
        <v>0</v>
      </c>
      <c r="BU472" s="268">
        <f t="shared" si="115"/>
        <v>1738.6030924697341</v>
      </c>
      <c r="CC472" s="526">
        <v>0</v>
      </c>
      <c r="CD472" s="151" t="str">
        <f t="shared" si="110"/>
        <v/>
      </c>
      <c r="CE472" s="386">
        <v>0</v>
      </c>
      <c r="CF472" s="268">
        <f>IF(CC472,_xll.qDateYears(CC471,CC472,CF$13),0)</f>
        <v>0</v>
      </c>
      <c r="CG472" s="268">
        <f t="shared" si="116"/>
        <v>2312.0085517586949</v>
      </c>
      <c r="CO472" s="526">
        <v>0</v>
      </c>
      <c r="CP472" s="151" t="str">
        <f t="shared" si="111"/>
        <v/>
      </c>
      <c r="CQ472" s="386">
        <v>0</v>
      </c>
      <c r="CR472" s="268">
        <f>IF(CO472,_xll.qDateYears(CO471,CO472,CR$13),0)</f>
        <v>0</v>
      </c>
      <c r="CS472" s="268">
        <f t="shared" si="117"/>
        <v>2185.174943791465</v>
      </c>
      <c r="DA472" s="526">
        <v>0</v>
      </c>
      <c r="DB472" s="151" t="str">
        <f t="shared" si="112"/>
        <v/>
      </c>
      <c r="DC472" s="386">
        <v>0</v>
      </c>
      <c r="DD472" s="268">
        <f>IF(DA472,_xll.qDateYears(DA471,DA472,DD$13),0)</f>
        <v>0</v>
      </c>
      <c r="DE472" s="268">
        <f t="shared" si="118"/>
        <v>1616.1787110556011</v>
      </c>
      <c r="DM472" s="526">
        <v>0</v>
      </c>
      <c r="DN472" s="151" t="str">
        <f t="shared" si="113"/>
        <v/>
      </c>
      <c r="DO472" s="386">
        <v>0</v>
      </c>
      <c r="DP472" s="268">
        <f>IF(DM472,_xll.qDateYears(DM471,DM472,DP$13),0)</f>
        <v>0</v>
      </c>
      <c r="DQ472" s="268">
        <f t="shared" si="119"/>
        <v>2183.1745733532407</v>
      </c>
    </row>
    <row r="473" spans="59:121">
      <c r="BG473" s="526">
        <v>0</v>
      </c>
      <c r="BH473" s="150" t="str">
        <f t="shared" si="108"/>
        <v/>
      </c>
      <c r="BI473" s="386">
        <v>0</v>
      </c>
      <c r="BJ473" s="268">
        <f>IF(BG473,_xll.qDateYears(BG472,BG473,$BJ$13),0)</f>
        <v>0</v>
      </c>
      <c r="BK473" s="268">
        <f t="shared" si="114"/>
        <v>2183.1745733532407</v>
      </c>
      <c r="BQ473" s="526">
        <v>0</v>
      </c>
      <c r="BR473" s="151" t="str">
        <f t="shared" si="109"/>
        <v/>
      </c>
      <c r="BS473" s="386">
        <v>0</v>
      </c>
      <c r="BT473" s="268">
        <f>IF(BQ473,_xll.qDateYears(BQ472,BQ473,BT$13),0)</f>
        <v>0</v>
      </c>
      <c r="BU473" s="268">
        <f t="shared" si="115"/>
        <v>1738.6030924697341</v>
      </c>
      <c r="CC473" s="526">
        <v>0</v>
      </c>
      <c r="CD473" s="151" t="str">
        <f t="shared" si="110"/>
        <v/>
      </c>
      <c r="CE473" s="386">
        <v>0</v>
      </c>
      <c r="CF473" s="268">
        <f>IF(CC473,_xll.qDateYears(CC472,CC473,CF$13),0)</f>
        <v>0</v>
      </c>
      <c r="CG473" s="268">
        <f t="shared" si="116"/>
        <v>2312.0085517586949</v>
      </c>
      <c r="CO473" s="526">
        <v>0</v>
      </c>
      <c r="CP473" s="151" t="str">
        <f t="shared" si="111"/>
        <v/>
      </c>
      <c r="CQ473" s="386">
        <v>0</v>
      </c>
      <c r="CR473" s="268">
        <f>IF(CO473,_xll.qDateYears(CO472,CO473,CR$13),0)</f>
        <v>0</v>
      </c>
      <c r="CS473" s="268">
        <f t="shared" si="117"/>
        <v>2185.174943791465</v>
      </c>
      <c r="DA473" s="526">
        <v>0</v>
      </c>
      <c r="DB473" s="151" t="str">
        <f t="shared" si="112"/>
        <v/>
      </c>
      <c r="DC473" s="386">
        <v>0</v>
      </c>
      <c r="DD473" s="268">
        <f>IF(DA473,_xll.qDateYears(DA472,DA473,DD$13),0)</f>
        <v>0</v>
      </c>
      <c r="DE473" s="268">
        <f t="shared" si="118"/>
        <v>1616.1787110556011</v>
      </c>
      <c r="DM473" s="526">
        <v>0</v>
      </c>
      <c r="DN473" s="151" t="str">
        <f t="shared" si="113"/>
        <v/>
      </c>
      <c r="DO473" s="386">
        <v>0</v>
      </c>
      <c r="DP473" s="268">
        <f>IF(DM473,_xll.qDateYears(DM472,DM473,DP$13),0)</f>
        <v>0</v>
      </c>
      <c r="DQ473" s="268">
        <f t="shared" si="119"/>
        <v>2183.1745733532407</v>
      </c>
    </row>
    <row r="474" spans="59:121">
      <c r="BG474" s="526">
        <v>0</v>
      </c>
      <c r="BH474" s="150" t="str">
        <f t="shared" si="108"/>
        <v/>
      </c>
      <c r="BI474" s="386">
        <v>0</v>
      </c>
      <c r="BJ474" s="268">
        <f>IF(BG474,_xll.qDateYears(BG473,BG474,$BJ$13),0)</f>
        <v>0</v>
      </c>
      <c r="BK474" s="268">
        <f t="shared" si="114"/>
        <v>2183.1745733532407</v>
      </c>
      <c r="BQ474" s="526">
        <v>0</v>
      </c>
      <c r="BR474" s="151" t="str">
        <f t="shared" si="109"/>
        <v/>
      </c>
      <c r="BS474" s="386">
        <v>0</v>
      </c>
      <c r="BT474" s="268">
        <f>IF(BQ474,_xll.qDateYears(BQ473,BQ474,BT$13),0)</f>
        <v>0</v>
      </c>
      <c r="BU474" s="268">
        <f t="shared" si="115"/>
        <v>1738.6030924697341</v>
      </c>
      <c r="CC474" s="526">
        <v>0</v>
      </c>
      <c r="CD474" s="151" t="str">
        <f t="shared" si="110"/>
        <v/>
      </c>
      <c r="CE474" s="386">
        <v>0</v>
      </c>
      <c r="CF474" s="268">
        <f>IF(CC474,_xll.qDateYears(CC473,CC474,CF$13),0)</f>
        <v>0</v>
      </c>
      <c r="CG474" s="268">
        <f t="shared" si="116"/>
        <v>2312.0085517586949</v>
      </c>
      <c r="CO474" s="526">
        <v>0</v>
      </c>
      <c r="CP474" s="151" t="str">
        <f t="shared" si="111"/>
        <v/>
      </c>
      <c r="CQ474" s="386">
        <v>0</v>
      </c>
      <c r="CR474" s="268">
        <f>IF(CO474,_xll.qDateYears(CO473,CO474,CR$13),0)</f>
        <v>0</v>
      </c>
      <c r="CS474" s="268">
        <f t="shared" si="117"/>
        <v>2185.174943791465</v>
      </c>
      <c r="DA474" s="526">
        <v>0</v>
      </c>
      <c r="DB474" s="151" t="str">
        <f t="shared" si="112"/>
        <v/>
      </c>
      <c r="DC474" s="386">
        <v>0</v>
      </c>
      <c r="DD474" s="268">
        <f>IF(DA474,_xll.qDateYears(DA473,DA474,DD$13),0)</f>
        <v>0</v>
      </c>
      <c r="DE474" s="268">
        <f t="shared" si="118"/>
        <v>1616.1787110556011</v>
      </c>
      <c r="DM474" s="526">
        <v>0</v>
      </c>
      <c r="DN474" s="151" t="str">
        <f t="shared" si="113"/>
        <v/>
      </c>
      <c r="DO474" s="386">
        <v>0</v>
      </c>
      <c r="DP474" s="268">
        <f>IF(DM474,_xll.qDateYears(DM473,DM474,DP$13),0)</f>
        <v>0</v>
      </c>
      <c r="DQ474" s="268">
        <f t="shared" si="119"/>
        <v>2183.1745733532407</v>
      </c>
    </row>
    <row r="475" spans="59:121">
      <c r="BG475" s="526">
        <v>0</v>
      </c>
      <c r="BH475" s="150" t="str">
        <f t="shared" si="108"/>
        <v/>
      </c>
      <c r="BI475" s="386">
        <v>0</v>
      </c>
      <c r="BJ475" s="268">
        <f>IF(BG475,_xll.qDateYears(BG474,BG475,$BJ$13),0)</f>
        <v>0</v>
      </c>
      <c r="BK475" s="268">
        <f t="shared" si="114"/>
        <v>2183.1745733532407</v>
      </c>
      <c r="BQ475" s="526">
        <v>0</v>
      </c>
      <c r="BR475" s="151" t="str">
        <f t="shared" si="109"/>
        <v/>
      </c>
      <c r="BS475" s="386">
        <v>0</v>
      </c>
      <c r="BT475" s="268">
        <f>IF(BQ475,_xll.qDateYears(BQ474,BQ475,BT$13),0)</f>
        <v>0</v>
      </c>
      <c r="BU475" s="268">
        <f t="shared" si="115"/>
        <v>1738.6030924697341</v>
      </c>
      <c r="CC475" s="526">
        <v>0</v>
      </c>
      <c r="CD475" s="151" t="str">
        <f t="shared" si="110"/>
        <v/>
      </c>
      <c r="CE475" s="386">
        <v>0</v>
      </c>
      <c r="CF475" s="268">
        <f>IF(CC475,_xll.qDateYears(CC474,CC475,CF$13),0)</f>
        <v>0</v>
      </c>
      <c r="CG475" s="268">
        <f t="shared" si="116"/>
        <v>2312.0085517586949</v>
      </c>
      <c r="CO475" s="526">
        <v>0</v>
      </c>
      <c r="CP475" s="151" t="str">
        <f t="shared" si="111"/>
        <v/>
      </c>
      <c r="CQ475" s="386">
        <v>0</v>
      </c>
      <c r="CR475" s="268">
        <f>IF(CO475,_xll.qDateYears(CO474,CO475,CR$13),0)</f>
        <v>0</v>
      </c>
      <c r="CS475" s="268">
        <f t="shared" si="117"/>
        <v>2185.174943791465</v>
      </c>
      <c r="DA475" s="526">
        <v>0</v>
      </c>
      <c r="DB475" s="151" t="str">
        <f t="shared" si="112"/>
        <v/>
      </c>
      <c r="DC475" s="386">
        <v>0</v>
      </c>
      <c r="DD475" s="268">
        <f>IF(DA475,_xll.qDateYears(DA474,DA475,DD$13),0)</f>
        <v>0</v>
      </c>
      <c r="DE475" s="268">
        <f t="shared" si="118"/>
        <v>1616.1787110556011</v>
      </c>
      <c r="DM475" s="526">
        <v>0</v>
      </c>
      <c r="DN475" s="151" t="str">
        <f t="shared" si="113"/>
        <v/>
      </c>
      <c r="DO475" s="386">
        <v>0</v>
      </c>
      <c r="DP475" s="268">
        <f>IF(DM475,_xll.qDateYears(DM474,DM475,DP$13),0)</f>
        <v>0</v>
      </c>
      <c r="DQ475" s="268">
        <f t="shared" si="119"/>
        <v>2183.1745733532407</v>
      </c>
    </row>
    <row r="476" spans="59:121">
      <c r="BG476" s="526">
        <v>0</v>
      </c>
      <c r="BH476" s="150" t="str">
        <f t="shared" si="108"/>
        <v/>
      </c>
      <c r="BI476" s="386">
        <v>0</v>
      </c>
      <c r="BJ476" s="268">
        <f>IF(BG476,_xll.qDateYears(BG475,BG476,$BJ$13),0)</f>
        <v>0</v>
      </c>
      <c r="BK476" s="268">
        <f t="shared" si="114"/>
        <v>2183.1745733532407</v>
      </c>
      <c r="BQ476" s="526">
        <v>0</v>
      </c>
      <c r="BR476" s="151" t="str">
        <f t="shared" si="109"/>
        <v/>
      </c>
      <c r="BS476" s="386">
        <v>0</v>
      </c>
      <c r="BT476" s="268">
        <f>IF(BQ476,_xll.qDateYears(BQ475,BQ476,BT$13),0)</f>
        <v>0</v>
      </c>
      <c r="BU476" s="268">
        <f t="shared" si="115"/>
        <v>1738.6030924697341</v>
      </c>
      <c r="CC476" s="526">
        <v>0</v>
      </c>
      <c r="CD476" s="151" t="str">
        <f t="shared" si="110"/>
        <v/>
      </c>
      <c r="CE476" s="386">
        <v>0</v>
      </c>
      <c r="CF476" s="268">
        <f>IF(CC476,_xll.qDateYears(CC475,CC476,CF$13),0)</f>
        <v>0</v>
      </c>
      <c r="CG476" s="268">
        <f t="shared" si="116"/>
        <v>2312.0085517586949</v>
      </c>
      <c r="CO476" s="526">
        <v>0</v>
      </c>
      <c r="CP476" s="151" t="str">
        <f t="shared" si="111"/>
        <v/>
      </c>
      <c r="CQ476" s="386">
        <v>0</v>
      </c>
      <c r="CR476" s="268">
        <f>IF(CO476,_xll.qDateYears(CO475,CO476,CR$13),0)</f>
        <v>0</v>
      </c>
      <c r="CS476" s="268">
        <f t="shared" si="117"/>
        <v>2185.174943791465</v>
      </c>
      <c r="DA476" s="526">
        <v>0</v>
      </c>
      <c r="DB476" s="151" t="str">
        <f t="shared" si="112"/>
        <v/>
      </c>
      <c r="DC476" s="386">
        <v>0</v>
      </c>
      <c r="DD476" s="268">
        <f>IF(DA476,_xll.qDateYears(DA475,DA476,DD$13),0)</f>
        <v>0</v>
      </c>
      <c r="DE476" s="268">
        <f t="shared" si="118"/>
        <v>1616.1787110556011</v>
      </c>
      <c r="DM476" s="526">
        <v>0</v>
      </c>
      <c r="DN476" s="151" t="str">
        <f t="shared" si="113"/>
        <v/>
      </c>
      <c r="DO476" s="386">
        <v>0</v>
      </c>
      <c r="DP476" s="268">
        <f>IF(DM476,_xll.qDateYears(DM475,DM476,DP$13),0)</f>
        <v>0</v>
      </c>
      <c r="DQ476" s="268">
        <f t="shared" si="119"/>
        <v>2183.1745733532407</v>
      </c>
    </row>
    <row r="477" spans="59:121">
      <c r="BG477" s="526">
        <v>0</v>
      </c>
      <c r="BH477" s="150" t="str">
        <f t="shared" si="108"/>
        <v/>
      </c>
      <c r="BI477" s="386">
        <v>0</v>
      </c>
      <c r="BJ477" s="268">
        <f>IF(BG477,_xll.qDateYears(BG476,BG477,$BJ$13),0)</f>
        <v>0</v>
      </c>
      <c r="BK477" s="268">
        <f t="shared" si="114"/>
        <v>2183.1745733532407</v>
      </c>
      <c r="BQ477" s="526">
        <v>0</v>
      </c>
      <c r="BR477" s="151" t="str">
        <f t="shared" si="109"/>
        <v/>
      </c>
      <c r="BS477" s="386">
        <v>0</v>
      </c>
      <c r="BT477" s="268">
        <f>IF(BQ477,_xll.qDateYears(BQ476,BQ477,BT$13),0)</f>
        <v>0</v>
      </c>
      <c r="BU477" s="268">
        <f t="shared" si="115"/>
        <v>1738.6030924697341</v>
      </c>
      <c r="CC477" s="526">
        <v>0</v>
      </c>
      <c r="CD477" s="151" t="str">
        <f t="shared" si="110"/>
        <v/>
      </c>
      <c r="CE477" s="386">
        <v>0</v>
      </c>
      <c r="CF477" s="268">
        <f>IF(CC477,_xll.qDateYears(CC476,CC477,CF$13),0)</f>
        <v>0</v>
      </c>
      <c r="CG477" s="268">
        <f t="shared" si="116"/>
        <v>2312.0085517586949</v>
      </c>
      <c r="CO477" s="526">
        <v>0</v>
      </c>
      <c r="CP477" s="151" t="str">
        <f t="shared" si="111"/>
        <v/>
      </c>
      <c r="CQ477" s="386">
        <v>0</v>
      </c>
      <c r="CR477" s="268">
        <f>IF(CO477,_xll.qDateYears(CO476,CO477,CR$13),0)</f>
        <v>0</v>
      </c>
      <c r="CS477" s="268">
        <f t="shared" si="117"/>
        <v>2185.174943791465</v>
      </c>
      <c r="DA477" s="526">
        <v>0</v>
      </c>
      <c r="DB477" s="151" t="str">
        <f t="shared" si="112"/>
        <v/>
      </c>
      <c r="DC477" s="386">
        <v>0</v>
      </c>
      <c r="DD477" s="268">
        <f>IF(DA477,_xll.qDateYears(DA476,DA477,DD$13),0)</f>
        <v>0</v>
      </c>
      <c r="DE477" s="268">
        <f t="shared" si="118"/>
        <v>1616.1787110556011</v>
      </c>
      <c r="DM477" s="526">
        <v>0</v>
      </c>
      <c r="DN477" s="151" t="str">
        <f t="shared" si="113"/>
        <v/>
      </c>
      <c r="DO477" s="386">
        <v>0</v>
      </c>
      <c r="DP477" s="268">
        <f>IF(DM477,_xll.qDateYears(DM476,DM477,DP$13),0)</f>
        <v>0</v>
      </c>
      <c r="DQ477" s="268">
        <f t="shared" si="119"/>
        <v>2183.1745733532407</v>
      </c>
    </row>
    <row r="478" spans="59:121">
      <c r="BG478" s="526">
        <v>0</v>
      </c>
      <c r="BH478" s="150" t="str">
        <f t="shared" si="108"/>
        <v/>
      </c>
      <c r="BI478" s="386">
        <v>0</v>
      </c>
      <c r="BJ478" s="268">
        <f>IF(BG478,_xll.qDateYears(BG477,BG478,$BJ$13),0)</f>
        <v>0</v>
      </c>
      <c r="BK478" s="268">
        <f t="shared" si="114"/>
        <v>2183.1745733532407</v>
      </c>
      <c r="BQ478" s="526">
        <v>0</v>
      </c>
      <c r="BR478" s="151" t="str">
        <f t="shared" si="109"/>
        <v/>
      </c>
      <c r="BS478" s="386">
        <v>0</v>
      </c>
      <c r="BT478" s="268">
        <f>IF(BQ478,_xll.qDateYears(BQ477,BQ478,BT$13),0)</f>
        <v>0</v>
      </c>
      <c r="BU478" s="268">
        <f t="shared" si="115"/>
        <v>1738.6030924697341</v>
      </c>
      <c r="CC478" s="526">
        <v>0</v>
      </c>
      <c r="CD478" s="151" t="str">
        <f t="shared" si="110"/>
        <v/>
      </c>
      <c r="CE478" s="386">
        <v>0</v>
      </c>
      <c r="CF478" s="268">
        <f>IF(CC478,_xll.qDateYears(CC477,CC478,CF$13),0)</f>
        <v>0</v>
      </c>
      <c r="CG478" s="268">
        <f t="shared" si="116"/>
        <v>2312.0085517586949</v>
      </c>
      <c r="CO478" s="526">
        <v>0</v>
      </c>
      <c r="CP478" s="151" t="str">
        <f t="shared" si="111"/>
        <v/>
      </c>
      <c r="CQ478" s="386">
        <v>0</v>
      </c>
      <c r="CR478" s="268">
        <f>IF(CO478,_xll.qDateYears(CO477,CO478,CR$13),0)</f>
        <v>0</v>
      </c>
      <c r="CS478" s="268">
        <f t="shared" si="117"/>
        <v>2185.174943791465</v>
      </c>
      <c r="DA478" s="526">
        <v>0</v>
      </c>
      <c r="DB478" s="151" t="str">
        <f t="shared" si="112"/>
        <v/>
      </c>
      <c r="DC478" s="386">
        <v>0</v>
      </c>
      <c r="DD478" s="268">
        <f>IF(DA478,_xll.qDateYears(DA477,DA478,DD$13),0)</f>
        <v>0</v>
      </c>
      <c r="DE478" s="268">
        <f t="shared" si="118"/>
        <v>1616.1787110556011</v>
      </c>
      <c r="DM478" s="526">
        <v>0</v>
      </c>
      <c r="DN478" s="151" t="str">
        <f t="shared" si="113"/>
        <v/>
      </c>
      <c r="DO478" s="386">
        <v>0</v>
      </c>
      <c r="DP478" s="268">
        <f>IF(DM478,_xll.qDateYears(DM477,DM478,DP$13),0)</f>
        <v>0</v>
      </c>
      <c r="DQ478" s="268">
        <f t="shared" si="119"/>
        <v>2183.1745733532407</v>
      </c>
    </row>
    <row r="479" spans="59:121">
      <c r="BG479" s="526">
        <v>0</v>
      </c>
      <c r="BH479" s="150" t="str">
        <f t="shared" si="108"/>
        <v/>
      </c>
      <c r="BI479" s="386">
        <v>0</v>
      </c>
      <c r="BJ479" s="268">
        <f>IF(BG479,_xll.qDateYears(BG478,BG479,$BJ$13),0)</f>
        <v>0</v>
      </c>
      <c r="BK479" s="268">
        <f t="shared" si="114"/>
        <v>2183.1745733532407</v>
      </c>
      <c r="BQ479" s="526">
        <v>0</v>
      </c>
      <c r="BR479" s="151" t="str">
        <f t="shared" si="109"/>
        <v/>
      </c>
      <c r="BS479" s="386">
        <v>0</v>
      </c>
      <c r="BT479" s="268">
        <f>IF(BQ479,_xll.qDateYears(BQ478,BQ479,BT$13),0)</f>
        <v>0</v>
      </c>
      <c r="BU479" s="268">
        <f t="shared" si="115"/>
        <v>1738.6030924697341</v>
      </c>
      <c r="CC479" s="526">
        <v>0</v>
      </c>
      <c r="CD479" s="151" t="str">
        <f t="shared" si="110"/>
        <v/>
      </c>
      <c r="CE479" s="386">
        <v>0</v>
      </c>
      <c r="CF479" s="268">
        <f>IF(CC479,_xll.qDateYears(CC478,CC479,CF$13),0)</f>
        <v>0</v>
      </c>
      <c r="CG479" s="268">
        <f t="shared" si="116"/>
        <v>2312.0085517586949</v>
      </c>
      <c r="CO479" s="526">
        <v>0</v>
      </c>
      <c r="CP479" s="151" t="str">
        <f t="shared" si="111"/>
        <v/>
      </c>
      <c r="CQ479" s="386">
        <v>0</v>
      </c>
      <c r="CR479" s="268">
        <f>IF(CO479,_xll.qDateYears(CO478,CO479,CR$13),0)</f>
        <v>0</v>
      </c>
      <c r="CS479" s="268">
        <f t="shared" si="117"/>
        <v>2185.174943791465</v>
      </c>
      <c r="DA479" s="526">
        <v>0</v>
      </c>
      <c r="DB479" s="151" t="str">
        <f t="shared" si="112"/>
        <v/>
      </c>
      <c r="DC479" s="386">
        <v>0</v>
      </c>
      <c r="DD479" s="268">
        <f>IF(DA479,_xll.qDateYears(DA478,DA479,DD$13),0)</f>
        <v>0</v>
      </c>
      <c r="DE479" s="268">
        <f t="shared" si="118"/>
        <v>1616.1787110556011</v>
      </c>
      <c r="DM479" s="526">
        <v>0</v>
      </c>
      <c r="DN479" s="151" t="str">
        <f t="shared" si="113"/>
        <v/>
      </c>
      <c r="DO479" s="386">
        <v>0</v>
      </c>
      <c r="DP479" s="268">
        <f>IF(DM479,_xll.qDateYears(DM478,DM479,DP$13),0)</f>
        <v>0</v>
      </c>
      <c r="DQ479" s="268">
        <f t="shared" si="119"/>
        <v>2183.1745733532407</v>
      </c>
    </row>
    <row r="480" spans="59:121">
      <c r="BG480" s="526">
        <v>0</v>
      </c>
      <c r="BH480" s="150" t="str">
        <f t="shared" si="108"/>
        <v/>
      </c>
      <c r="BI480" s="386">
        <v>0</v>
      </c>
      <c r="BJ480" s="268">
        <f>IF(BG480,_xll.qDateYears(BG479,BG480,$BJ$13),0)</f>
        <v>0</v>
      </c>
      <c r="BK480" s="268">
        <f t="shared" si="114"/>
        <v>2183.1745733532407</v>
      </c>
      <c r="BQ480" s="526">
        <v>0</v>
      </c>
      <c r="BR480" s="151" t="str">
        <f t="shared" si="109"/>
        <v/>
      </c>
      <c r="BS480" s="386">
        <v>0</v>
      </c>
      <c r="BT480" s="268">
        <f>IF(BQ480,_xll.qDateYears(BQ479,BQ480,BT$13),0)</f>
        <v>0</v>
      </c>
      <c r="BU480" s="268">
        <f t="shared" si="115"/>
        <v>1738.6030924697341</v>
      </c>
      <c r="CC480" s="526">
        <v>0</v>
      </c>
      <c r="CD480" s="151" t="str">
        <f t="shared" si="110"/>
        <v/>
      </c>
      <c r="CE480" s="386">
        <v>0</v>
      </c>
      <c r="CF480" s="268">
        <f>IF(CC480,_xll.qDateYears(CC479,CC480,CF$13),0)</f>
        <v>0</v>
      </c>
      <c r="CG480" s="268">
        <f t="shared" si="116"/>
        <v>2312.0085517586949</v>
      </c>
      <c r="CO480" s="526">
        <v>0</v>
      </c>
      <c r="CP480" s="151" t="str">
        <f t="shared" si="111"/>
        <v/>
      </c>
      <c r="CQ480" s="386">
        <v>0</v>
      </c>
      <c r="CR480" s="268">
        <f>IF(CO480,_xll.qDateYears(CO479,CO480,CR$13),0)</f>
        <v>0</v>
      </c>
      <c r="CS480" s="268">
        <f t="shared" si="117"/>
        <v>2185.174943791465</v>
      </c>
      <c r="DA480" s="526">
        <v>0</v>
      </c>
      <c r="DB480" s="151" t="str">
        <f t="shared" si="112"/>
        <v/>
      </c>
      <c r="DC480" s="386">
        <v>0</v>
      </c>
      <c r="DD480" s="268">
        <f>IF(DA480,_xll.qDateYears(DA479,DA480,DD$13),0)</f>
        <v>0</v>
      </c>
      <c r="DE480" s="268">
        <f t="shared" si="118"/>
        <v>1616.1787110556011</v>
      </c>
      <c r="DM480" s="526">
        <v>0</v>
      </c>
      <c r="DN480" s="151" t="str">
        <f t="shared" si="113"/>
        <v/>
      </c>
      <c r="DO480" s="386">
        <v>0</v>
      </c>
      <c r="DP480" s="268">
        <f>IF(DM480,_xll.qDateYears(DM479,DM480,DP$13),0)</f>
        <v>0</v>
      </c>
      <c r="DQ480" s="268">
        <f t="shared" si="119"/>
        <v>2183.1745733532407</v>
      </c>
    </row>
    <row r="481" spans="59:121">
      <c r="BG481" s="526">
        <v>0</v>
      </c>
      <c r="BH481" s="150" t="str">
        <f t="shared" si="108"/>
        <v/>
      </c>
      <c r="BI481" s="386">
        <v>0</v>
      </c>
      <c r="BJ481" s="268">
        <f>IF(BG481,_xll.qDateYears(BG480,BG481,$BJ$13),0)</f>
        <v>0</v>
      </c>
      <c r="BK481" s="268">
        <f t="shared" si="114"/>
        <v>2183.1745733532407</v>
      </c>
      <c r="BQ481" s="526">
        <v>0</v>
      </c>
      <c r="BR481" s="151" t="str">
        <f t="shared" si="109"/>
        <v/>
      </c>
      <c r="BS481" s="386">
        <v>0</v>
      </c>
      <c r="BT481" s="268">
        <f>IF(BQ481,_xll.qDateYears(BQ480,BQ481,BT$13),0)</f>
        <v>0</v>
      </c>
      <c r="BU481" s="268">
        <f t="shared" si="115"/>
        <v>1738.6030924697341</v>
      </c>
      <c r="CC481" s="526">
        <v>0</v>
      </c>
      <c r="CD481" s="151" t="str">
        <f t="shared" si="110"/>
        <v/>
      </c>
      <c r="CE481" s="386">
        <v>0</v>
      </c>
      <c r="CF481" s="268">
        <f>IF(CC481,_xll.qDateYears(CC480,CC481,CF$13),0)</f>
        <v>0</v>
      </c>
      <c r="CG481" s="268">
        <f t="shared" si="116"/>
        <v>2312.0085517586949</v>
      </c>
      <c r="CO481" s="526">
        <v>0</v>
      </c>
      <c r="CP481" s="151" t="str">
        <f t="shared" si="111"/>
        <v/>
      </c>
      <c r="CQ481" s="386">
        <v>0</v>
      </c>
      <c r="CR481" s="268">
        <f>IF(CO481,_xll.qDateYears(CO480,CO481,CR$13),0)</f>
        <v>0</v>
      </c>
      <c r="CS481" s="268">
        <f t="shared" si="117"/>
        <v>2185.174943791465</v>
      </c>
      <c r="DA481" s="526">
        <v>0</v>
      </c>
      <c r="DB481" s="151" t="str">
        <f t="shared" si="112"/>
        <v/>
      </c>
      <c r="DC481" s="386">
        <v>0</v>
      </c>
      <c r="DD481" s="268">
        <f>IF(DA481,_xll.qDateYears(DA480,DA481,DD$13),0)</f>
        <v>0</v>
      </c>
      <c r="DE481" s="268">
        <f t="shared" si="118"/>
        <v>1616.1787110556011</v>
      </c>
      <c r="DM481" s="526">
        <v>0</v>
      </c>
      <c r="DN481" s="151" t="str">
        <f t="shared" si="113"/>
        <v/>
      </c>
      <c r="DO481" s="386">
        <v>0</v>
      </c>
      <c r="DP481" s="268">
        <f>IF(DM481,_xll.qDateYears(DM480,DM481,DP$13),0)</f>
        <v>0</v>
      </c>
      <c r="DQ481" s="268">
        <f t="shared" si="119"/>
        <v>2183.1745733532407</v>
      </c>
    </row>
    <row r="482" spans="59:121">
      <c r="BG482" s="526">
        <v>0</v>
      </c>
      <c r="BH482" s="150" t="str">
        <f t="shared" si="108"/>
        <v/>
      </c>
      <c r="BI482" s="386">
        <v>0</v>
      </c>
      <c r="BJ482" s="268">
        <f>IF(BG482,_xll.qDateYears(BG481,BG482,$BJ$13),0)</f>
        <v>0</v>
      </c>
      <c r="BK482" s="268">
        <f t="shared" si="114"/>
        <v>2183.1745733532407</v>
      </c>
      <c r="BQ482" s="526">
        <v>0</v>
      </c>
      <c r="BR482" s="151" t="str">
        <f t="shared" si="109"/>
        <v/>
      </c>
      <c r="BS482" s="386">
        <v>0</v>
      </c>
      <c r="BT482" s="268">
        <f>IF(BQ482,_xll.qDateYears(BQ481,BQ482,BT$13),0)</f>
        <v>0</v>
      </c>
      <c r="BU482" s="268">
        <f t="shared" si="115"/>
        <v>1738.6030924697341</v>
      </c>
      <c r="CC482" s="526">
        <v>0</v>
      </c>
      <c r="CD482" s="151" t="str">
        <f t="shared" si="110"/>
        <v/>
      </c>
      <c r="CE482" s="386">
        <v>0</v>
      </c>
      <c r="CF482" s="268">
        <f>IF(CC482,_xll.qDateYears(CC481,CC482,CF$13),0)</f>
        <v>0</v>
      </c>
      <c r="CG482" s="268">
        <f t="shared" si="116"/>
        <v>2312.0085517586949</v>
      </c>
      <c r="CO482" s="526">
        <v>0</v>
      </c>
      <c r="CP482" s="151" t="str">
        <f t="shared" si="111"/>
        <v/>
      </c>
      <c r="CQ482" s="386">
        <v>0</v>
      </c>
      <c r="CR482" s="268">
        <f>IF(CO482,_xll.qDateYears(CO481,CO482,CR$13),0)</f>
        <v>0</v>
      </c>
      <c r="CS482" s="268">
        <f t="shared" si="117"/>
        <v>2185.174943791465</v>
      </c>
      <c r="DA482" s="526">
        <v>0</v>
      </c>
      <c r="DB482" s="151" t="str">
        <f t="shared" si="112"/>
        <v/>
      </c>
      <c r="DC482" s="386">
        <v>0</v>
      </c>
      <c r="DD482" s="268">
        <f>IF(DA482,_xll.qDateYears(DA481,DA482,DD$13),0)</f>
        <v>0</v>
      </c>
      <c r="DE482" s="268">
        <f t="shared" si="118"/>
        <v>1616.1787110556011</v>
      </c>
      <c r="DM482" s="526">
        <v>0</v>
      </c>
      <c r="DN482" s="151" t="str">
        <f t="shared" si="113"/>
        <v/>
      </c>
      <c r="DO482" s="386">
        <v>0</v>
      </c>
      <c r="DP482" s="268">
        <f>IF(DM482,_xll.qDateYears(DM481,DM482,DP$13),0)</f>
        <v>0</v>
      </c>
      <c r="DQ482" s="268">
        <f t="shared" si="119"/>
        <v>2183.1745733532407</v>
      </c>
    </row>
    <row r="483" spans="59:121">
      <c r="BG483" s="526">
        <v>0</v>
      </c>
      <c r="BH483" s="150" t="str">
        <f t="shared" si="108"/>
        <v/>
      </c>
      <c r="BI483" s="386">
        <v>0</v>
      </c>
      <c r="BJ483" s="268">
        <f>IF(BG483,_xll.qDateYears(BG482,BG483,$BJ$13),0)</f>
        <v>0</v>
      </c>
      <c r="BK483" s="268">
        <f t="shared" si="114"/>
        <v>2183.1745733532407</v>
      </c>
      <c r="BQ483" s="526">
        <v>0</v>
      </c>
      <c r="BR483" s="151" t="str">
        <f t="shared" si="109"/>
        <v/>
      </c>
      <c r="BS483" s="386">
        <v>0</v>
      </c>
      <c r="BT483" s="268">
        <f>IF(BQ483,_xll.qDateYears(BQ482,BQ483,BT$13),0)</f>
        <v>0</v>
      </c>
      <c r="BU483" s="268">
        <f t="shared" si="115"/>
        <v>1738.6030924697341</v>
      </c>
      <c r="CC483" s="526">
        <v>0</v>
      </c>
      <c r="CD483" s="151" t="str">
        <f t="shared" si="110"/>
        <v/>
      </c>
      <c r="CE483" s="386">
        <v>0</v>
      </c>
      <c r="CF483" s="268">
        <f>IF(CC483,_xll.qDateYears(CC482,CC483,CF$13),0)</f>
        <v>0</v>
      </c>
      <c r="CG483" s="268">
        <f t="shared" si="116"/>
        <v>2312.0085517586949</v>
      </c>
      <c r="CO483" s="526">
        <v>0</v>
      </c>
      <c r="CP483" s="151" t="str">
        <f t="shared" si="111"/>
        <v/>
      </c>
      <c r="CQ483" s="386">
        <v>0</v>
      </c>
      <c r="CR483" s="268">
        <f>IF(CO483,_xll.qDateYears(CO482,CO483,CR$13),0)</f>
        <v>0</v>
      </c>
      <c r="CS483" s="268">
        <f t="shared" si="117"/>
        <v>2185.174943791465</v>
      </c>
      <c r="DA483" s="526">
        <v>0</v>
      </c>
      <c r="DB483" s="151" t="str">
        <f t="shared" si="112"/>
        <v/>
      </c>
      <c r="DC483" s="386">
        <v>0</v>
      </c>
      <c r="DD483" s="268">
        <f>IF(DA483,_xll.qDateYears(DA482,DA483,DD$13),0)</f>
        <v>0</v>
      </c>
      <c r="DE483" s="268">
        <f t="shared" si="118"/>
        <v>1616.1787110556011</v>
      </c>
      <c r="DM483" s="526">
        <v>0</v>
      </c>
      <c r="DN483" s="151" t="str">
        <f t="shared" si="113"/>
        <v/>
      </c>
      <c r="DO483" s="386">
        <v>0</v>
      </c>
      <c r="DP483" s="268">
        <f>IF(DM483,_xll.qDateYears(DM482,DM483,DP$13),0)</f>
        <v>0</v>
      </c>
      <c r="DQ483" s="268">
        <f t="shared" si="119"/>
        <v>2183.1745733532407</v>
      </c>
    </row>
    <row r="484" spans="59:121">
      <c r="BG484" s="526">
        <v>0</v>
      </c>
      <c r="BH484" s="150" t="str">
        <f t="shared" si="108"/>
        <v/>
      </c>
      <c r="BI484" s="386">
        <v>0</v>
      </c>
      <c r="BJ484" s="268">
        <f>IF(BG484,_xll.qDateYears(BG483,BG484,$BJ$13),0)</f>
        <v>0</v>
      </c>
      <c r="BK484" s="268">
        <f t="shared" si="114"/>
        <v>2183.1745733532407</v>
      </c>
      <c r="BQ484" s="526">
        <v>0</v>
      </c>
      <c r="BR484" s="151" t="str">
        <f t="shared" si="109"/>
        <v/>
      </c>
      <c r="BS484" s="386">
        <v>0</v>
      </c>
      <c r="BT484" s="268">
        <f>IF(BQ484,_xll.qDateYears(BQ483,BQ484,BT$13),0)</f>
        <v>0</v>
      </c>
      <c r="BU484" s="268">
        <f t="shared" si="115"/>
        <v>1738.6030924697341</v>
      </c>
      <c r="CC484" s="526">
        <v>0</v>
      </c>
      <c r="CD484" s="151" t="str">
        <f t="shared" si="110"/>
        <v/>
      </c>
      <c r="CE484" s="386">
        <v>0</v>
      </c>
      <c r="CF484" s="268">
        <f>IF(CC484,_xll.qDateYears(CC483,CC484,CF$13),0)</f>
        <v>0</v>
      </c>
      <c r="CG484" s="268">
        <f t="shared" si="116"/>
        <v>2312.0085517586949</v>
      </c>
      <c r="CO484" s="526">
        <v>0</v>
      </c>
      <c r="CP484" s="151" t="str">
        <f t="shared" si="111"/>
        <v/>
      </c>
      <c r="CQ484" s="386">
        <v>0</v>
      </c>
      <c r="CR484" s="268">
        <f>IF(CO484,_xll.qDateYears(CO483,CO484,CR$13),0)</f>
        <v>0</v>
      </c>
      <c r="CS484" s="268">
        <f t="shared" si="117"/>
        <v>2185.174943791465</v>
      </c>
      <c r="DA484" s="526">
        <v>0</v>
      </c>
      <c r="DB484" s="151" t="str">
        <f t="shared" si="112"/>
        <v/>
      </c>
      <c r="DC484" s="386">
        <v>0</v>
      </c>
      <c r="DD484" s="268">
        <f>IF(DA484,_xll.qDateYears(DA483,DA484,DD$13),0)</f>
        <v>0</v>
      </c>
      <c r="DE484" s="268">
        <f t="shared" si="118"/>
        <v>1616.1787110556011</v>
      </c>
      <c r="DM484" s="526">
        <v>0</v>
      </c>
      <c r="DN484" s="151" t="str">
        <f t="shared" si="113"/>
        <v/>
      </c>
      <c r="DO484" s="386">
        <v>0</v>
      </c>
      <c r="DP484" s="268">
        <f>IF(DM484,_xll.qDateYears(DM483,DM484,DP$13),0)</f>
        <v>0</v>
      </c>
      <c r="DQ484" s="268">
        <f t="shared" si="119"/>
        <v>2183.1745733532407</v>
      </c>
    </row>
    <row r="485" spans="59:121">
      <c r="BG485" s="526">
        <v>0</v>
      </c>
      <c r="BH485" s="150" t="str">
        <f t="shared" si="108"/>
        <v/>
      </c>
      <c r="BI485" s="386">
        <v>0</v>
      </c>
      <c r="BJ485" s="268">
        <f>IF(BG485,_xll.qDateYears(BG484,BG485,$BJ$13),0)</f>
        <v>0</v>
      </c>
      <c r="BK485" s="268">
        <f t="shared" si="114"/>
        <v>2183.1745733532407</v>
      </c>
      <c r="BQ485" s="526">
        <v>0</v>
      </c>
      <c r="BR485" s="151" t="str">
        <f t="shared" si="109"/>
        <v/>
      </c>
      <c r="BS485" s="386">
        <v>0</v>
      </c>
      <c r="BT485" s="268">
        <f>IF(BQ485,_xll.qDateYears(BQ484,BQ485,BT$13),0)</f>
        <v>0</v>
      </c>
      <c r="BU485" s="268">
        <f t="shared" si="115"/>
        <v>1738.6030924697341</v>
      </c>
      <c r="CC485" s="526">
        <v>0</v>
      </c>
      <c r="CD485" s="151" t="str">
        <f t="shared" si="110"/>
        <v/>
      </c>
      <c r="CE485" s="386">
        <v>0</v>
      </c>
      <c r="CF485" s="268">
        <f>IF(CC485,_xll.qDateYears(CC484,CC485,CF$13),0)</f>
        <v>0</v>
      </c>
      <c r="CG485" s="268">
        <f t="shared" si="116"/>
        <v>2312.0085517586949</v>
      </c>
      <c r="CO485" s="526">
        <v>0</v>
      </c>
      <c r="CP485" s="151" t="str">
        <f t="shared" si="111"/>
        <v/>
      </c>
      <c r="CQ485" s="386">
        <v>0</v>
      </c>
      <c r="CR485" s="268">
        <f>IF(CO485,_xll.qDateYears(CO484,CO485,CR$13),0)</f>
        <v>0</v>
      </c>
      <c r="CS485" s="268">
        <f t="shared" si="117"/>
        <v>2185.174943791465</v>
      </c>
      <c r="DA485" s="526">
        <v>0</v>
      </c>
      <c r="DB485" s="151" t="str">
        <f t="shared" si="112"/>
        <v/>
      </c>
      <c r="DC485" s="386">
        <v>0</v>
      </c>
      <c r="DD485" s="268">
        <f>IF(DA485,_xll.qDateYears(DA484,DA485,DD$13),0)</f>
        <v>0</v>
      </c>
      <c r="DE485" s="268">
        <f t="shared" si="118"/>
        <v>1616.1787110556011</v>
      </c>
      <c r="DM485" s="526">
        <v>0</v>
      </c>
      <c r="DN485" s="151" t="str">
        <f t="shared" si="113"/>
        <v/>
      </c>
      <c r="DO485" s="386">
        <v>0</v>
      </c>
      <c r="DP485" s="268">
        <f>IF(DM485,_xll.qDateYears(DM484,DM485,DP$13),0)</f>
        <v>0</v>
      </c>
      <c r="DQ485" s="268">
        <f t="shared" si="119"/>
        <v>2183.1745733532407</v>
      </c>
    </row>
    <row r="486" spans="59:121">
      <c r="BG486" s="526">
        <v>0</v>
      </c>
      <c r="BH486" s="150" t="str">
        <f t="shared" si="108"/>
        <v/>
      </c>
      <c r="BI486" s="386">
        <v>0</v>
      </c>
      <c r="BJ486" s="268">
        <f>IF(BG486,_xll.qDateYears(BG485,BG486,$BJ$13),0)</f>
        <v>0</v>
      </c>
      <c r="BK486" s="268">
        <f t="shared" si="114"/>
        <v>2183.1745733532407</v>
      </c>
      <c r="BQ486" s="526">
        <v>0</v>
      </c>
      <c r="BR486" s="151" t="str">
        <f t="shared" si="109"/>
        <v/>
      </c>
      <c r="BS486" s="386">
        <v>0</v>
      </c>
      <c r="BT486" s="268">
        <f>IF(BQ486,_xll.qDateYears(BQ485,BQ486,BT$13),0)</f>
        <v>0</v>
      </c>
      <c r="BU486" s="268">
        <f t="shared" si="115"/>
        <v>1738.6030924697341</v>
      </c>
      <c r="CC486" s="526">
        <v>0</v>
      </c>
      <c r="CD486" s="151" t="str">
        <f t="shared" si="110"/>
        <v/>
      </c>
      <c r="CE486" s="386">
        <v>0</v>
      </c>
      <c r="CF486" s="268">
        <f>IF(CC486,_xll.qDateYears(CC485,CC486,CF$13),0)</f>
        <v>0</v>
      </c>
      <c r="CG486" s="268">
        <f t="shared" si="116"/>
        <v>2312.0085517586949</v>
      </c>
      <c r="CO486" s="526">
        <v>0</v>
      </c>
      <c r="CP486" s="151" t="str">
        <f t="shared" si="111"/>
        <v/>
      </c>
      <c r="CQ486" s="386">
        <v>0</v>
      </c>
      <c r="CR486" s="268">
        <f>IF(CO486,_xll.qDateYears(CO485,CO486,CR$13),0)</f>
        <v>0</v>
      </c>
      <c r="CS486" s="268">
        <f t="shared" si="117"/>
        <v>2185.174943791465</v>
      </c>
      <c r="DA486" s="526">
        <v>0</v>
      </c>
      <c r="DB486" s="151" t="str">
        <f t="shared" si="112"/>
        <v/>
      </c>
      <c r="DC486" s="386">
        <v>0</v>
      </c>
      <c r="DD486" s="268">
        <f>IF(DA486,_xll.qDateYears(DA485,DA486,DD$13),0)</f>
        <v>0</v>
      </c>
      <c r="DE486" s="268">
        <f t="shared" si="118"/>
        <v>1616.1787110556011</v>
      </c>
      <c r="DM486" s="526">
        <v>0</v>
      </c>
      <c r="DN486" s="151" t="str">
        <f t="shared" si="113"/>
        <v/>
      </c>
      <c r="DO486" s="386">
        <v>0</v>
      </c>
      <c r="DP486" s="268">
        <f>IF(DM486,_xll.qDateYears(DM485,DM486,DP$13),0)</f>
        <v>0</v>
      </c>
      <c r="DQ486" s="268">
        <f t="shared" si="119"/>
        <v>2183.1745733532407</v>
      </c>
    </row>
    <row r="487" spans="59:121">
      <c r="BG487" s="526">
        <v>0</v>
      </c>
      <c r="BH487" s="150" t="str">
        <f t="shared" si="108"/>
        <v/>
      </c>
      <c r="BI487" s="386">
        <v>0</v>
      </c>
      <c r="BJ487" s="268">
        <f>IF(BG487,_xll.qDateYears(BG486,BG487,$BJ$13),0)</f>
        <v>0</v>
      </c>
      <c r="BK487" s="268">
        <f t="shared" si="114"/>
        <v>2183.1745733532407</v>
      </c>
      <c r="BQ487" s="526">
        <v>0</v>
      </c>
      <c r="BR487" s="151" t="str">
        <f t="shared" si="109"/>
        <v/>
      </c>
      <c r="BS487" s="386">
        <v>0</v>
      </c>
      <c r="BT487" s="268">
        <f>IF(BQ487,_xll.qDateYears(BQ486,BQ487,BT$13),0)</f>
        <v>0</v>
      </c>
      <c r="BU487" s="268">
        <f t="shared" si="115"/>
        <v>1738.6030924697341</v>
      </c>
      <c r="CC487" s="526">
        <v>0</v>
      </c>
      <c r="CD487" s="151" t="str">
        <f t="shared" si="110"/>
        <v/>
      </c>
      <c r="CE487" s="386">
        <v>0</v>
      </c>
      <c r="CF487" s="268">
        <f>IF(CC487,_xll.qDateYears(CC486,CC487,CF$13),0)</f>
        <v>0</v>
      </c>
      <c r="CG487" s="268">
        <f t="shared" si="116"/>
        <v>2312.0085517586949</v>
      </c>
      <c r="CO487" s="526">
        <v>0</v>
      </c>
      <c r="CP487" s="151" t="str">
        <f t="shared" si="111"/>
        <v/>
      </c>
      <c r="CQ487" s="386">
        <v>0</v>
      </c>
      <c r="CR487" s="268">
        <f>IF(CO487,_xll.qDateYears(CO486,CO487,CR$13),0)</f>
        <v>0</v>
      </c>
      <c r="CS487" s="268">
        <f t="shared" si="117"/>
        <v>2185.174943791465</v>
      </c>
      <c r="DA487" s="526">
        <v>0</v>
      </c>
      <c r="DB487" s="151" t="str">
        <f t="shared" si="112"/>
        <v/>
      </c>
      <c r="DC487" s="386">
        <v>0</v>
      </c>
      <c r="DD487" s="268">
        <f>IF(DA487,_xll.qDateYears(DA486,DA487,DD$13),0)</f>
        <v>0</v>
      </c>
      <c r="DE487" s="268">
        <f t="shared" si="118"/>
        <v>1616.1787110556011</v>
      </c>
      <c r="DM487" s="526">
        <v>0</v>
      </c>
      <c r="DN487" s="151" t="str">
        <f t="shared" si="113"/>
        <v/>
      </c>
      <c r="DO487" s="386">
        <v>0</v>
      </c>
      <c r="DP487" s="268">
        <f>IF(DM487,_xll.qDateYears(DM486,DM487,DP$13),0)</f>
        <v>0</v>
      </c>
      <c r="DQ487" s="268">
        <f t="shared" si="119"/>
        <v>2183.1745733532407</v>
      </c>
    </row>
    <row r="488" spans="59:121">
      <c r="BG488" s="526">
        <v>0</v>
      </c>
      <c r="BH488" s="150" t="str">
        <f t="shared" si="108"/>
        <v/>
      </c>
      <c r="BI488" s="386">
        <v>0</v>
      </c>
      <c r="BJ488" s="268">
        <f>IF(BG488,_xll.qDateYears(BG487,BG488,$BJ$13),0)</f>
        <v>0</v>
      </c>
      <c r="BK488" s="268">
        <f t="shared" si="114"/>
        <v>2183.1745733532407</v>
      </c>
      <c r="BQ488" s="526">
        <v>0</v>
      </c>
      <c r="BR488" s="151" t="str">
        <f t="shared" si="109"/>
        <v/>
      </c>
      <c r="BS488" s="386">
        <v>0</v>
      </c>
      <c r="BT488" s="268">
        <f>IF(BQ488,_xll.qDateYears(BQ487,BQ488,BT$13),0)</f>
        <v>0</v>
      </c>
      <c r="BU488" s="268">
        <f t="shared" si="115"/>
        <v>1738.6030924697341</v>
      </c>
      <c r="CC488" s="526">
        <v>0</v>
      </c>
      <c r="CD488" s="151" t="str">
        <f t="shared" si="110"/>
        <v/>
      </c>
      <c r="CE488" s="386">
        <v>0</v>
      </c>
      <c r="CF488" s="268">
        <f>IF(CC488,_xll.qDateYears(CC487,CC488,CF$13),0)</f>
        <v>0</v>
      </c>
      <c r="CG488" s="268">
        <f t="shared" si="116"/>
        <v>2312.0085517586949</v>
      </c>
      <c r="CO488" s="526">
        <v>0</v>
      </c>
      <c r="CP488" s="151" t="str">
        <f t="shared" si="111"/>
        <v/>
      </c>
      <c r="CQ488" s="386">
        <v>0</v>
      </c>
      <c r="CR488" s="268">
        <f>IF(CO488,_xll.qDateYears(CO487,CO488,CR$13),0)</f>
        <v>0</v>
      </c>
      <c r="CS488" s="268">
        <f t="shared" si="117"/>
        <v>2185.174943791465</v>
      </c>
      <c r="DA488" s="526">
        <v>0</v>
      </c>
      <c r="DB488" s="151" t="str">
        <f t="shared" si="112"/>
        <v/>
      </c>
      <c r="DC488" s="386">
        <v>0</v>
      </c>
      <c r="DD488" s="268">
        <f>IF(DA488,_xll.qDateYears(DA487,DA488,DD$13),0)</f>
        <v>0</v>
      </c>
      <c r="DE488" s="268">
        <f t="shared" si="118"/>
        <v>1616.1787110556011</v>
      </c>
      <c r="DM488" s="526">
        <v>0</v>
      </c>
      <c r="DN488" s="151" t="str">
        <f t="shared" si="113"/>
        <v/>
      </c>
      <c r="DO488" s="386">
        <v>0</v>
      </c>
      <c r="DP488" s="268">
        <f>IF(DM488,_xll.qDateYears(DM487,DM488,DP$13),0)</f>
        <v>0</v>
      </c>
      <c r="DQ488" s="268">
        <f t="shared" si="119"/>
        <v>2183.1745733532407</v>
      </c>
    </row>
    <row r="489" spans="59:121">
      <c r="BG489" s="526">
        <v>0</v>
      </c>
      <c r="BH489" s="150" t="str">
        <f t="shared" si="108"/>
        <v/>
      </c>
      <c r="BI489" s="386">
        <v>0</v>
      </c>
      <c r="BJ489" s="268">
        <f>IF(BG489,_xll.qDateYears(BG488,BG489,$BJ$13),0)</f>
        <v>0</v>
      </c>
      <c r="BK489" s="268">
        <f t="shared" si="114"/>
        <v>2183.1745733532407</v>
      </c>
      <c r="BQ489" s="526">
        <v>0</v>
      </c>
      <c r="BR489" s="151" t="str">
        <f t="shared" si="109"/>
        <v/>
      </c>
      <c r="BS489" s="386">
        <v>0</v>
      </c>
      <c r="BT489" s="268">
        <f>IF(BQ489,_xll.qDateYears(BQ488,BQ489,BT$13),0)</f>
        <v>0</v>
      </c>
      <c r="BU489" s="268">
        <f t="shared" si="115"/>
        <v>1738.6030924697341</v>
      </c>
      <c r="CC489" s="526">
        <v>0</v>
      </c>
      <c r="CD489" s="151" t="str">
        <f t="shared" si="110"/>
        <v/>
      </c>
      <c r="CE489" s="386">
        <v>0</v>
      </c>
      <c r="CF489" s="268">
        <f>IF(CC489,_xll.qDateYears(CC488,CC489,CF$13),0)</f>
        <v>0</v>
      </c>
      <c r="CG489" s="268">
        <f t="shared" si="116"/>
        <v>2312.0085517586949</v>
      </c>
      <c r="CO489" s="526">
        <v>0</v>
      </c>
      <c r="CP489" s="151" t="str">
        <f t="shared" si="111"/>
        <v/>
      </c>
      <c r="CQ489" s="386">
        <v>0</v>
      </c>
      <c r="CR489" s="268">
        <f>IF(CO489,_xll.qDateYears(CO488,CO489,CR$13),0)</f>
        <v>0</v>
      </c>
      <c r="CS489" s="268">
        <f t="shared" si="117"/>
        <v>2185.174943791465</v>
      </c>
      <c r="DA489" s="526">
        <v>0</v>
      </c>
      <c r="DB489" s="151" t="str">
        <f t="shared" si="112"/>
        <v/>
      </c>
      <c r="DC489" s="386">
        <v>0</v>
      </c>
      <c r="DD489" s="268">
        <f>IF(DA489,_xll.qDateYears(DA488,DA489,DD$13),0)</f>
        <v>0</v>
      </c>
      <c r="DE489" s="268">
        <f t="shared" si="118"/>
        <v>1616.1787110556011</v>
      </c>
      <c r="DM489" s="526">
        <v>0</v>
      </c>
      <c r="DN489" s="151" t="str">
        <f t="shared" si="113"/>
        <v/>
      </c>
      <c r="DO489" s="386">
        <v>0</v>
      </c>
      <c r="DP489" s="268">
        <f>IF(DM489,_xll.qDateYears(DM488,DM489,DP$13),0)</f>
        <v>0</v>
      </c>
      <c r="DQ489" s="268">
        <f t="shared" si="119"/>
        <v>2183.1745733532407</v>
      </c>
    </row>
    <row r="490" spans="59:121">
      <c r="BG490" s="526">
        <v>0</v>
      </c>
      <c r="BH490" s="150" t="str">
        <f t="shared" si="108"/>
        <v/>
      </c>
      <c r="BI490" s="386">
        <v>0</v>
      </c>
      <c r="BJ490" s="268">
        <f>IF(BG490,_xll.qDateYears(BG489,BG490,$BJ$13),0)</f>
        <v>0</v>
      </c>
      <c r="BK490" s="268">
        <f t="shared" si="114"/>
        <v>2183.1745733532407</v>
      </c>
      <c r="BQ490" s="526">
        <v>0</v>
      </c>
      <c r="BR490" s="151" t="str">
        <f t="shared" si="109"/>
        <v/>
      </c>
      <c r="BS490" s="386">
        <v>0</v>
      </c>
      <c r="BT490" s="268">
        <f>IF(BQ490,_xll.qDateYears(BQ489,BQ490,BT$13),0)</f>
        <v>0</v>
      </c>
      <c r="BU490" s="268">
        <f t="shared" si="115"/>
        <v>1738.6030924697341</v>
      </c>
      <c r="CC490" s="526">
        <v>0</v>
      </c>
      <c r="CD490" s="151" t="str">
        <f t="shared" si="110"/>
        <v/>
      </c>
      <c r="CE490" s="386">
        <v>0</v>
      </c>
      <c r="CF490" s="268">
        <f>IF(CC490,_xll.qDateYears(CC489,CC490,CF$13),0)</f>
        <v>0</v>
      </c>
      <c r="CG490" s="268">
        <f t="shared" si="116"/>
        <v>2312.0085517586949</v>
      </c>
      <c r="CO490" s="526">
        <v>0</v>
      </c>
      <c r="CP490" s="151" t="str">
        <f t="shared" si="111"/>
        <v/>
      </c>
      <c r="CQ490" s="386">
        <v>0</v>
      </c>
      <c r="CR490" s="268">
        <f>IF(CO490,_xll.qDateYears(CO489,CO490,CR$13),0)</f>
        <v>0</v>
      </c>
      <c r="CS490" s="268">
        <f t="shared" si="117"/>
        <v>2185.174943791465</v>
      </c>
      <c r="DA490" s="526">
        <v>0</v>
      </c>
      <c r="DB490" s="151" t="str">
        <f t="shared" si="112"/>
        <v/>
      </c>
      <c r="DC490" s="386">
        <v>0</v>
      </c>
      <c r="DD490" s="268">
        <f>IF(DA490,_xll.qDateYears(DA489,DA490,DD$13),0)</f>
        <v>0</v>
      </c>
      <c r="DE490" s="268">
        <f t="shared" si="118"/>
        <v>1616.1787110556011</v>
      </c>
      <c r="DM490" s="526">
        <v>0</v>
      </c>
      <c r="DN490" s="151" t="str">
        <f t="shared" si="113"/>
        <v/>
      </c>
      <c r="DO490" s="386">
        <v>0</v>
      </c>
      <c r="DP490" s="268">
        <f>IF(DM490,_xll.qDateYears(DM489,DM490,DP$13),0)</f>
        <v>0</v>
      </c>
      <c r="DQ490" s="268">
        <f t="shared" si="119"/>
        <v>2183.1745733532407</v>
      </c>
    </row>
    <row r="491" spans="59:121">
      <c r="BG491" s="526">
        <v>0</v>
      </c>
      <c r="BH491" s="150" t="str">
        <f t="shared" si="108"/>
        <v/>
      </c>
      <c r="BI491" s="386">
        <v>0</v>
      </c>
      <c r="BJ491" s="268">
        <f>IF(BG491,_xll.qDateYears(BG490,BG491,$BJ$13),0)</f>
        <v>0</v>
      </c>
      <c r="BK491" s="268">
        <f t="shared" si="114"/>
        <v>2183.1745733532407</v>
      </c>
      <c r="BQ491" s="526">
        <v>0</v>
      </c>
      <c r="BR491" s="151" t="str">
        <f t="shared" si="109"/>
        <v/>
      </c>
      <c r="BS491" s="386">
        <v>0</v>
      </c>
      <c r="BT491" s="268">
        <f>IF(BQ491,_xll.qDateYears(BQ490,BQ491,BT$13),0)</f>
        <v>0</v>
      </c>
      <c r="BU491" s="268">
        <f t="shared" si="115"/>
        <v>1738.6030924697341</v>
      </c>
      <c r="CC491" s="526">
        <v>0</v>
      </c>
      <c r="CD491" s="151" t="str">
        <f t="shared" si="110"/>
        <v/>
      </c>
      <c r="CE491" s="386">
        <v>0</v>
      </c>
      <c r="CF491" s="268">
        <f>IF(CC491,_xll.qDateYears(CC490,CC491,CF$13),0)</f>
        <v>0</v>
      </c>
      <c r="CG491" s="268">
        <f t="shared" si="116"/>
        <v>2312.0085517586949</v>
      </c>
      <c r="CO491" s="526">
        <v>0</v>
      </c>
      <c r="CP491" s="151" t="str">
        <f t="shared" si="111"/>
        <v/>
      </c>
      <c r="CQ491" s="386">
        <v>0</v>
      </c>
      <c r="CR491" s="268">
        <f>IF(CO491,_xll.qDateYears(CO490,CO491,CR$13),0)</f>
        <v>0</v>
      </c>
      <c r="CS491" s="268">
        <f t="shared" si="117"/>
        <v>2185.174943791465</v>
      </c>
      <c r="DA491" s="526">
        <v>0</v>
      </c>
      <c r="DB491" s="151" t="str">
        <f t="shared" si="112"/>
        <v/>
      </c>
      <c r="DC491" s="386">
        <v>0</v>
      </c>
      <c r="DD491" s="268">
        <f>IF(DA491,_xll.qDateYears(DA490,DA491,DD$13),0)</f>
        <v>0</v>
      </c>
      <c r="DE491" s="268">
        <f t="shared" si="118"/>
        <v>1616.1787110556011</v>
      </c>
      <c r="DM491" s="526">
        <v>0</v>
      </c>
      <c r="DN491" s="151" t="str">
        <f t="shared" si="113"/>
        <v/>
      </c>
      <c r="DO491" s="386">
        <v>0</v>
      </c>
      <c r="DP491" s="268">
        <f>IF(DM491,_xll.qDateYears(DM490,DM491,DP$13),0)</f>
        <v>0</v>
      </c>
      <c r="DQ491" s="268">
        <f t="shared" si="119"/>
        <v>2183.1745733532407</v>
      </c>
    </row>
    <row r="492" spans="59:121">
      <c r="BG492" s="526">
        <v>0</v>
      </c>
      <c r="BH492" s="150" t="str">
        <f t="shared" si="108"/>
        <v/>
      </c>
      <c r="BI492" s="386">
        <v>0</v>
      </c>
      <c r="BJ492" s="268">
        <f>IF(BG492,_xll.qDateYears(BG491,BG492,$BJ$13),0)</f>
        <v>0</v>
      </c>
      <c r="BK492" s="268">
        <f t="shared" si="114"/>
        <v>2183.1745733532407</v>
      </c>
      <c r="BQ492" s="526">
        <v>0</v>
      </c>
      <c r="BR492" s="151" t="str">
        <f t="shared" si="109"/>
        <v/>
      </c>
      <c r="BS492" s="386">
        <v>0</v>
      </c>
      <c r="BT492" s="268">
        <f>IF(BQ492,_xll.qDateYears(BQ491,BQ492,BT$13),0)</f>
        <v>0</v>
      </c>
      <c r="BU492" s="268">
        <f t="shared" si="115"/>
        <v>1738.6030924697341</v>
      </c>
      <c r="CC492" s="526">
        <v>0</v>
      </c>
      <c r="CD492" s="151" t="str">
        <f t="shared" si="110"/>
        <v/>
      </c>
      <c r="CE492" s="386">
        <v>0</v>
      </c>
      <c r="CF492" s="268">
        <f>IF(CC492,_xll.qDateYears(CC491,CC492,CF$13),0)</f>
        <v>0</v>
      </c>
      <c r="CG492" s="268">
        <f t="shared" si="116"/>
        <v>2312.0085517586949</v>
      </c>
      <c r="CO492" s="526">
        <v>0</v>
      </c>
      <c r="CP492" s="151" t="str">
        <f t="shared" si="111"/>
        <v/>
      </c>
      <c r="CQ492" s="386">
        <v>0</v>
      </c>
      <c r="CR492" s="268">
        <f>IF(CO492,_xll.qDateYears(CO491,CO492,CR$13),0)</f>
        <v>0</v>
      </c>
      <c r="CS492" s="268">
        <f t="shared" si="117"/>
        <v>2185.174943791465</v>
      </c>
      <c r="DA492" s="526">
        <v>0</v>
      </c>
      <c r="DB492" s="151" t="str">
        <f t="shared" si="112"/>
        <v/>
      </c>
      <c r="DC492" s="386">
        <v>0</v>
      </c>
      <c r="DD492" s="268">
        <f>IF(DA492,_xll.qDateYears(DA491,DA492,DD$13),0)</f>
        <v>0</v>
      </c>
      <c r="DE492" s="268">
        <f t="shared" si="118"/>
        <v>1616.1787110556011</v>
      </c>
      <c r="DM492" s="526">
        <v>0</v>
      </c>
      <c r="DN492" s="151" t="str">
        <f t="shared" si="113"/>
        <v/>
      </c>
      <c r="DO492" s="386">
        <v>0</v>
      </c>
      <c r="DP492" s="268">
        <f>IF(DM492,_xll.qDateYears(DM491,DM492,DP$13),0)</f>
        <v>0</v>
      </c>
      <c r="DQ492" s="268">
        <f t="shared" si="119"/>
        <v>2183.1745733532407</v>
      </c>
    </row>
    <row r="493" spans="59:121">
      <c r="BG493" s="526">
        <v>0</v>
      </c>
      <c r="BH493" s="150" t="str">
        <f t="shared" si="108"/>
        <v/>
      </c>
      <c r="BI493" s="386">
        <v>0</v>
      </c>
      <c r="BJ493" s="268">
        <f>IF(BG493,_xll.qDateYears(BG492,BG493,$BJ$13),0)</f>
        <v>0</v>
      </c>
      <c r="BK493" s="268">
        <f t="shared" si="114"/>
        <v>2183.1745733532407</v>
      </c>
      <c r="BQ493" s="526">
        <v>0</v>
      </c>
      <c r="BR493" s="151" t="str">
        <f t="shared" si="109"/>
        <v/>
      </c>
      <c r="BS493" s="386">
        <v>0</v>
      </c>
      <c r="BT493" s="268">
        <f>IF(BQ493,_xll.qDateYears(BQ492,BQ493,BT$13),0)</f>
        <v>0</v>
      </c>
      <c r="BU493" s="268">
        <f t="shared" si="115"/>
        <v>1738.6030924697341</v>
      </c>
      <c r="CC493" s="526">
        <v>0</v>
      </c>
      <c r="CD493" s="151" t="str">
        <f t="shared" si="110"/>
        <v/>
      </c>
      <c r="CE493" s="386">
        <v>0</v>
      </c>
      <c r="CF493" s="268">
        <f>IF(CC493,_xll.qDateYears(CC492,CC493,CF$13),0)</f>
        <v>0</v>
      </c>
      <c r="CG493" s="268">
        <f t="shared" si="116"/>
        <v>2312.0085517586949</v>
      </c>
      <c r="CO493" s="526">
        <v>0</v>
      </c>
      <c r="CP493" s="151" t="str">
        <f t="shared" si="111"/>
        <v/>
      </c>
      <c r="CQ493" s="386">
        <v>0</v>
      </c>
      <c r="CR493" s="268">
        <f>IF(CO493,_xll.qDateYears(CO492,CO493,CR$13),0)</f>
        <v>0</v>
      </c>
      <c r="CS493" s="268">
        <f t="shared" si="117"/>
        <v>2185.174943791465</v>
      </c>
      <c r="DA493" s="526">
        <v>0</v>
      </c>
      <c r="DB493" s="151" t="str">
        <f t="shared" si="112"/>
        <v/>
      </c>
      <c r="DC493" s="386">
        <v>0</v>
      </c>
      <c r="DD493" s="268">
        <f>IF(DA493,_xll.qDateYears(DA492,DA493,DD$13),0)</f>
        <v>0</v>
      </c>
      <c r="DE493" s="268">
        <f t="shared" si="118"/>
        <v>1616.1787110556011</v>
      </c>
      <c r="DM493" s="526">
        <v>0</v>
      </c>
      <c r="DN493" s="151" t="str">
        <f t="shared" si="113"/>
        <v/>
      </c>
      <c r="DO493" s="386">
        <v>0</v>
      </c>
      <c r="DP493" s="268">
        <f>IF(DM493,_xll.qDateYears(DM492,DM493,DP$13),0)</f>
        <v>0</v>
      </c>
      <c r="DQ493" s="268">
        <f t="shared" si="119"/>
        <v>2183.1745733532407</v>
      </c>
    </row>
    <row r="494" spans="59:121">
      <c r="BG494" s="526">
        <v>0</v>
      </c>
      <c r="BH494" s="150" t="str">
        <f t="shared" si="108"/>
        <v/>
      </c>
      <c r="BI494" s="386">
        <v>0</v>
      </c>
      <c r="BJ494" s="268">
        <f>IF(BG494,_xll.qDateYears(BG493,BG494,$BJ$13),0)</f>
        <v>0</v>
      </c>
      <c r="BK494" s="268">
        <f t="shared" si="114"/>
        <v>2183.1745733532407</v>
      </c>
      <c r="BQ494" s="526">
        <v>0</v>
      </c>
      <c r="BR494" s="151" t="str">
        <f t="shared" si="109"/>
        <v/>
      </c>
      <c r="BS494" s="386">
        <v>0</v>
      </c>
      <c r="BT494" s="268">
        <f>IF(BQ494,_xll.qDateYears(BQ493,BQ494,BT$13),0)</f>
        <v>0</v>
      </c>
      <c r="BU494" s="268">
        <f t="shared" si="115"/>
        <v>1738.6030924697341</v>
      </c>
      <c r="CC494" s="526">
        <v>0</v>
      </c>
      <c r="CD494" s="151" t="str">
        <f t="shared" si="110"/>
        <v/>
      </c>
      <c r="CE494" s="386">
        <v>0</v>
      </c>
      <c r="CF494" s="268">
        <f>IF(CC494,_xll.qDateYears(CC493,CC494,CF$13),0)</f>
        <v>0</v>
      </c>
      <c r="CG494" s="268">
        <f t="shared" si="116"/>
        <v>2312.0085517586949</v>
      </c>
      <c r="CO494" s="526">
        <v>0</v>
      </c>
      <c r="CP494" s="151" t="str">
        <f t="shared" si="111"/>
        <v/>
      </c>
      <c r="CQ494" s="386">
        <v>0</v>
      </c>
      <c r="CR494" s="268">
        <f>IF(CO494,_xll.qDateYears(CO493,CO494,CR$13),0)</f>
        <v>0</v>
      </c>
      <c r="CS494" s="268">
        <f t="shared" si="117"/>
        <v>2185.174943791465</v>
      </c>
      <c r="DA494" s="526">
        <v>0</v>
      </c>
      <c r="DB494" s="151" t="str">
        <f t="shared" si="112"/>
        <v/>
      </c>
      <c r="DC494" s="386">
        <v>0</v>
      </c>
      <c r="DD494" s="268">
        <f>IF(DA494,_xll.qDateYears(DA493,DA494,DD$13),0)</f>
        <v>0</v>
      </c>
      <c r="DE494" s="268">
        <f t="shared" si="118"/>
        <v>1616.1787110556011</v>
      </c>
      <c r="DM494" s="526">
        <v>0</v>
      </c>
      <c r="DN494" s="151" t="str">
        <f t="shared" si="113"/>
        <v/>
      </c>
      <c r="DO494" s="386">
        <v>0</v>
      </c>
      <c r="DP494" s="268">
        <f>IF(DM494,_xll.qDateYears(DM493,DM494,DP$13),0)</f>
        <v>0</v>
      </c>
      <c r="DQ494" s="268">
        <f t="shared" si="119"/>
        <v>2183.1745733532407</v>
      </c>
    </row>
    <row r="495" spans="59:121">
      <c r="BG495" s="526">
        <v>0</v>
      </c>
      <c r="BH495" s="150" t="str">
        <f t="shared" si="108"/>
        <v/>
      </c>
      <c r="BI495" s="386">
        <v>0</v>
      </c>
      <c r="BJ495" s="268">
        <f>IF(BG495,_xll.qDateYears(BG494,BG495,$BJ$13),0)</f>
        <v>0</v>
      </c>
      <c r="BK495" s="268">
        <f t="shared" si="114"/>
        <v>2183.1745733532407</v>
      </c>
      <c r="BQ495" s="526">
        <v>0</v>
      </c>
      <c r="BR495" s="151" t="str">
        <f t="shared" si="109"/>
        <v/>
      </c>
      <c r="BS495" s="386">
        <v>0</v>
      </c>
      <c r="BT495" s="268">
        <f>IF(BQ495,_xll.qDateYears(BQ494,BQ495,BT$13),0)</f>
        <v>0</v>
      </c>
      <c r="BU495" s="268">
        <f t="shared" si="115"/>
        <v>1738.6030924697341</v>
      </c>
      <c r="CC495" s="526">
        <v>0</v>
      </c>
      <c r="CD495" s="151" t="str">
        <f t="shared" si="110"/>
        <v/>
      </c>
      <c r="CE495" s="386">
        <v>0</v>
      </c>
      <c r="CF495" s="268">
        <f>IF(CC495,_xll.qDateYears(CC494,CC495,CF$13),0)</f>
        <v>0</v>
      </c>
      <c r="CG495" s="268">
        <f t="shared" si="116"/>
        <v>2312.0085517586949</v>
      </c>
      <c r="CO495" s="526">
        <v>0</v>
      </c>
      <c r="CP495" s="151" t="str">
        <f t="shared" si="111"/>
        <v/>
      </c>
      <c r="CQ495" s="386">
        <v>0</v>
      </c>
      <c r="CR495" s="268">
        <f>IF(CO495,_xll.qDateYears(CO494,CO495,CR$13),0)</f>
        <v>0</v>
      </c>
      <c r="CS495" s="268">
        <f t="shared" si="117"/>
        <v>2185.174943791465</v>
      </c>
      <c r="DA495" s="526">
        <v>0</v>
      </c>
      <c r="DB495" s="151" t="str">
        <f t="shared" si="112"/>
        <v/>
      </c>
      <c r="DC495" s="386">
        <v>0</v>
      </c>
      <c r="DD495" s="268">
        <f>IF(DA495,_xll.qDateYears(DA494,DA495,DD$13),0)</f>
        <v>0</v>
      </c>
      <c r="DE495" s="268">
        <f t="shared" si="118"/>
        <v>1616.1787110556011</v>
      </c>
      <c r="DM495" s="526">
        <v>0</v>
      </c>
      <c r="DN495" s="151" t="str">
        <f t="shared" si="113"/>
        <v/>
      </c>
      <c r="DO495" s="386">
        <v>0</v>
      </c>
      <c r="DP495" s="268">
        <f>IF(DM495,_xll.qDateYears(DM494,DM495,DP$13),0)</f>
        <v>0</v>
      </c>
      <c r="DQ495" s="268">
        <f t="shared" si="119"/>
        <v>2183.1745733532407</v>
      </c>
    </row>
    <row r="496" spans="59:121">
      <c r="BG496" s="526">
        <v>0</v>
      </c>
      <c r="BH496" s="150" t="str">
        <f t="shared" si="108"/>
        <v/>
      </c>
      <c r="BI496" s="386">
        <v>0</v>
      </c>
      <c r="BJ496" s="268">
        <f>IF(BG496,_xll.qDateYears(BG495,BG496,$BJ$13),0)</f>
        <v>0</v>
      </c>
      <c r="BK496" s="268">
        <f t="shared" si="114"/>
        <v>2183.1745733532407</v>
      </c>
      <c r="BQ496" s="526">
        <v>0</v>
      </c>
      <c r="BR496" s="151" t="str">
        <f t="shared" si="109"/>
        <v/>
      </c>
      <c r="BS496" s="386">
        <v>0</v>
      </c>
      <c r="BT496" s="268">
        <f>IF(BQ496,_xll.qDateYears(BQ495,BQ496,BT$13),0)</f>
        <v>0</v>
      </c>
      <c r="BU496" s="268">
        <f t="shared" si="115"/>
        <v>1738.6030924697341</v>
      </c>
      <c r="CC496" s="526">
        <v>0</v>
      </c>
      <c r="CD496" s="151" t="str">
        <f t="shared" si="110"/>
        <v/>
      </c>
      <c r="CE496" s="386">
        <v>0</v>
      </c>
      <c r="CF496" s="268">
        <f>IF(CC496,_xll.qDateYears(CC495,CC496,CF$13),0)</f>
        <v>0</v>
      </c>
      <c r="CG496" s="268">
        <f t="shared" si="116"/>
        <v>2312.0085517586949</v>
      </c>
      <c r="CO496" s="526">
        <v>0</v>
      </c>
      <c r="CP496" s="151" t="str">
        <f t="shared" si="111"/>
        <v/>
      </c>
      <c r="CQ496" s="386">
        <v>0</v>
      </c>
      <c r="CR496" s="268">
        <f>IF(CO496,_xll.qDateYears(CO495,CO496,CR$13),0)</f>
        <v>0</v>
      </c>
      <c r="CS496" s="268">
        <f t="shared" si="117"/>
        <v>2185.174943791465</v>
      </c>
      <c r="DA496" s="526">
        <v>0</v>
      </c>
      <c r="DB496" s="151" t="str">
        <f t="shared" si="112"/>
        <v/>
      </c>
      <c r="DC496" s="386">
        <v>0</v>
      </c>
      <c r="DD496" s="268">
        <f>IF(DA496,_xll.qDateYears(DA495,DA496,DD$13),0)</f>
        <v>0</v>
      </c>
      <c r="DE496" s="268">
        <f t="shared" si="118"/>
        <v>1616.1787110556011</v>
      </c>
      <c r="DM496" s="526">
        <v>0</v>
      </c>
      <c r="DN496" s="151" t="str">
        <f t="shared" si="113"/>
        <v/>
      </c>
      <c r="DO496" s="386">
        <v>0</v>
      </c>
      <c r="DP496" s="268">
        <f>IF(DM496,_xll.qDateYears(DM495,DM496,DP$13),0)</f>
        <v>0</v>
      </c>
      <c r="DQ496" s="268">
        <f t="shared" si="119"/>
        <v>2183.1745733532407</v>
      </c>
    </row>
    <row r="497" spans="59:121">
      <c r="BG497" s="526">
        <v>0</v>
      </c>
      <c r="BH497" s="150" t="str">
        <f t="shared" si="108"/>
        <v/>
      </c>
      <c r="BI497" s="386">
        <v>0</v>
      </c>
      <c r="BJ497" s="268">
        <f>IF(BG497,_xll.qDateYears(BG496,BG497,$BJ$13),0)</f>
        <v>0</v>
      </c>
      <c r="BK497" s="268">
        <f t="shared" si="114"/>
        <v>2183.1745733532407</v>
      </c>
      <c r="BQ497" s="526">
        <v>0</v>
      </c>
      <c r="BR497" s="151" t="str">
        <f t="shared" si="109"/>
        <v/>
      </c>
      <c r="BS497" s="386">
        <v>0</v>
      </c>
      <c r="BT497" s="268">
        <f>IF(BQ497,_xll.qDateYears(BQ496,BQ497,BT$13),0)</f>
        <v>0</v>
      </c>
      <c r="BU497" s="268">
        <f t="shared" si="115"/>
        <v>1738.6030924697341</v>
      </c>
      <c r="CC497" s="526">
        <v>0</v>
      </c>
      <c r="CD497" s="151" t="str">
        <f t="shared" si="110"/>
        <v/>
      </c>
      <c r="CE497" s="386">
        <v>0</v>
      </c>
      <c r="CF497" s="268">
        <f>IF(CC497,_xll.qDateYears(CC496,CC497,CF$13),0)</f>
        <v>0</v>
      </c>
      <c r="CG497" s="268">
        <f t="shared" si="116"/>
        <v>2312.0085517586949</v>
      </c>
      <c r="CO497" s="526">
        <v>0</v>
      </c>
      <c r="CP497" s="151" t="str">
        <f t="shared" si="111"/>
        <v/>
      </c>
      <c r="CQ497" s="386">
        <v>0</v>
      </c>
      <c r="CR497" s="268">
        <f>IF(CO497,_xll.qDateYears(CO496,CO497,CR$13),0)</f>
        <v>0</v>
      </c>
      <c r="CS497" s="268">
        <f t="shared" si="117"/>
        <v>2185.174943791465</v>
      </c>
      <c r="DA497" s="526">
        <v>0</v>
      </c>
      <c r="DB497" s="151" t="str">
        <f t="shared" si="112"/>
        <v/>
      </c>
      <c r="DC497" s="386">
        <v>0</v>
      </c>
      <c r="DD497" s="268">
        <f>IF(DA497,_xll.qDateYears(DA496,DA497,DD$13),0)</f>
        <v>0</v>
      </c>
      <c r="DE497" s="268">
        <f t="shared" si="118"/>
        <v>1616.1787110556011</v>
      </c>
      <c r="DM497" s="526">
        <v>0</v>
      </c>
      <c r="DN497" s="151" t="str">
        <f t="shared" si="113"/>
        <v/>
      </c>
      <c r="DO497" s="386">
        <v>0</v>
      </c>
      <c r="DP497" s="268">
        <f>IF(DM497,_xll.qDateYears(DM496,DM497,DP$13),0)</f>
        <v>0</v>
      </c>
      <c r="DQ497" s="268">
        <f t="shared" si="119"/>
        <v>2183.1745733532407</v>
      </c>
    </row>
    <row r="498" spans="59:121">
      <c r="BG498" s="526">
        <v>0</v>
      </c>
      <c r="BH498" s="150" t="str">
        <f t="shared" si="108"/>
        <v/>
      </c>
      <c r="BI498" s="386">
        <v>0</v>
      </c>
      <c r="BJ498" s="268">
        <f>IF(BG498,_xll.qDateYears(BG497,BG498,$BJ$13),0)</f>
        <v>0</v>
      </c>
      <c r="BK498" s="268">
        <f t="shared" si="114"/>
        <v>2183.1745733532407</v>
      </c>
      <c r="BQ498" s="526">
        <v>0</v>
      </c>
      <c r="BR498" s="151" t="str">
        <f t="shared" si="109"/>
        <v/>
      </c>
      <c r="BS498" s="386">
        <v>0</v>
      </c>
      <c r="BT498" s="268">
        <f>IF(BQ498,_xll.qDateYears(BQ497,BQ498,BT$13),0)</f>
        <v>0</v>
      </c>
      <c r="BU498" s="268">
        <f t="shared" si="115"/>
        <v>1738.6030924697341</v>
      </c>
      <c r="CC498" s="526">
        <v>0</v>
      </c>
      <c r="CD498" s="151" t="str">
        <f t="shared" si="110"/>
        <v/>
      </c>
      <c r="CE498" s="386">
        <v>0</v>
      </c>
      <c r="CF498" s="268">
        <f>IF(CC498,_xll.qDateYears(CC497,CC498,CF$13),0)</f>
        <v>0</v>
      </c>
      <c r="CG498" s="268">
        <f t="shared" si="116"/>
        <v>2312.0085517586949</v>
      </c>
      <c r="CO498" s="526">
        <v>0</v>
      </c>
      <c r="CP498" s="151" t="str">
        <f t="shared" si="111"/>
        <v/>
      </c>
      <c r="CQ498" s="386">
        <v>0</v>
      </c>
      <c r="CR498" s="268">
        <f>IF(CO498,_xll.qDateYears(CO497,CO498,CR$13),0)</f>
        <v>0</v>
      </c>
      <c r="CS498" s="268">
        <f t="shared" si="117"/>
        <v>2185.174943791465</v>
      </c>
      <c r="DA498" s="526">
        <v>0</v>
      </c>
      <c r="DB498" s="151" t="str">
        <f t="shared" si="112"/>
        <v/>
      </c>
      <c r="DC498" s="386">
        <v>0</v>
      </c>
      <c r="DD498" s="268">
        <f>IF(DA498,_xll.qDateYears(DA497,DA498,DD$13),0)</f>
        <v>0</v>
      </c>
      <c r="DE498" s="268">
        <f t="shared" si="118"/>
        <v>1616.1787110556011</v>
      </c>
      <c r="DM498" s="526">
        <v>0</v>
      </c>
      <c r="DN498" s="151" t="str">
        <f t="shared" si="113"/>
        <v/>
      </c>
      <c r="DO498" s="386">
        <v>0</v>
      </c>
      <c r="DP498" s="268">
        <f>IF(DM498,_xll.qDateYears(DM497,DM498,DP$13),0)</f>
        <v>0</v>
      </c>
      <c r="DQ498" s="268">
        <f t="shared" si="119"/>
        <v>2183.1745733532407</v>
      </c>
    </row>
    <row r="499" spans="59:121">
      <c r="BG499" s="526">
        <v>0</v>
      </c>
      <c r="BH499" s="150" t="str">
        <f t="shared" si="108"/>
        <v/>
      </c>
      <c r="BI499" s="386">
        <v>0</v>
      </c>
      <c r="BJ499" s="268">
        <f>IF(BG499,_xll.qDateYears(BG498,BG499,$BJ$13),0)</f>
        <v>0</v>
      </c>
      <c r="BK499" s="268">
        <f t="shared" si="114"/>
        <v>2183.1745733532407</v>
      </c>
      <c r="BQ499" s="526">
        <v>0</v>
      </c>
      <c r="BR499" s="151" t="str">
        <f t="shared" si="109"/>
        <v/>
      </c>
      <c r="BS499" s="386">
        <v>0</v>
      </c>
      <c r="BT499" s="268">
        <f>IF(BQ499,_xll.qDateYears(BQ498,BQ499,BT$13),0)</f>
        <v>0</v>
      </c>
      <c r="BU499" s="268">
        <f t="shared" si="115"/>
        <v>1738.6030924697341</v>
      </c>
      <c r="CC499" s="526">
        <v>0</v>
      </c>
      <c r="CD499" s="151" t="str">
        <f t="shared" si="110"/>
        <v/>
      </c>
      <c r="CE499" s="386">
        <v>0</v>
      </c>
      <c r="CF499" s="268">
        <f>IF(CC499,_xll.qDateYears(CC498,CC499,CF$13),0)</f>
        <v>0</v>
      </c>
      <c r="CG499" s="268">
        <f t="shared" si="116"/>
        <v>2312.0085517586949</v>
      </c>
      <c r="CO499" s="526">
        <v>0</v>
      </c>
      <c r="CP499" s="151" t="str">
        <f t="shared" si="111"/>
        <v/>
      </c>
      <c r="CQ499" s="386">
        <v>0</v>
      </c>
      <c r="CR499" s="268">
        <f>IF(CO499,_xll.qDateYears(CO498,CO499,CR$13),0)</f>
        <v>0</v>
      </c>
      <c r="CS499" s="268">
        <f t="shared" si="117"/>
        <v>2185.174943791465</v>
      </c>
      <c r="DA499" s="526">
        <v>0</v>
      </c>
      <c r="DB499" s="151" t="str">
        <f t="shared" si="112"/>
        <v/>
      </c>
      <c r="DC499" s="386">
        <v>0</v>
      </c>
      <c r="DD499" s="268">
        <f>IF(DA499,_xll.qDateYears(DA498,DA499,DD$13),0)</f>
        <v>0</v>
      </c>
      <c r="DE499" s="268">
        <f t="shared" si="118"/>
        <v>1616.1787110556011</v>
      </c>
      <c r="DM499" s="526">
        <v>0</v>
      </c>
      <c r="DN499" s="151" t="str">
        <f t="shared" si="113"/>
        <v/>
      </c>
      <c r="DO499" s="386">
        <v>0</v>
      </c>
      <c r="DP499" s="268">
        <f>IF(DM499,_xll.qDateYears(DM498,DM499,DP$13),0)</f>
        <v>0</v>
      </c>
      <c r="DQ499" s="268">
        <f t="shared" si="119"/>
        <v>2183.1745733532407</v>
      </c>
    </row>
    <row r="500" spans="59:121">
      <c r="BG500" s="526">
        <v>0</v>
      </c>
      <c r="BH500" s="150" t="str">
        <f t="shared" si="108"/>
        <v/>
      </c>
      <c r="BI500" s="386">
        <v>0</v>
      </c>
      <c r="BJ500" s="268">
        <f>IF(BG500,_xll.qDateYears(BG499,BG500,$BJ$13),0)</f>
        <v>0</v>
      </c>
      <c r="BK500" s="268">
        <f t="shared" si="114"/>
        <v>2183.1745733532407</v>
      </c>
      <c r="BQ500" s="526">
        <v>0</v>
      </c>
      <c r="BR500" s="151" t="str">
        <f t="shared" si="109"/>
        <v/>
      </c>
      <c r="BS500" s="386">
        <v>0</v>
      </c>
      <c r="BT500" s="268">
        <f>IF(BQ500,_xll.qDateYears(BQ499,BQ500,BT$13),0)</f>
        <v>0</v>
      </c>
      <c r="BU500" s="268">
        <f t="shared" si="115"/>
        <v>1738.6030924697341</v>
      </c>
      <c r="CC500" s="526">
        <v>0</v>
      </c>
      <c r="CD500" s="151" t="str">
        <f t="shared" si="110"/>
        <v/>
      </c>
      <c r="CE500" s="386">
        <v>0</v>
      </c>
      <c r="CF500" s="268">
        <f>IF(CC500,_xll.qDateYears(CC499,CC500,CF$13),0)</f>
        <v>0</v>
      </c>
      <c r="CG500" s="268">
        <f t="shared" si="116"/>
        <v>2312.0085517586949</v>
      </c>
      <c r="CO500" s="526">
        <v>0</v>
      </c>
      <c r="CP500" s="151" t="str">
        <f t="shared" si="111"/>
        <v/>
      </c>
      <c r="CQ500" s="386">
        <v>0</v>
      </c>
      <c r="CR500" s="268">
        <f>IF(CO500,_xll.qDateYears(CO499,CO500,CR$13),0)</f>
        <v>0</v>
      </c>
      <c r="CS500" s="268">
        <f t="shared" si="117"/>
        <v>2185.174943791465</v>
      </c>
      <c r="DA500" s="526">
        <v>0</v>
      </c>
      <c r="DB500" s="151" t="str">
        <f t="shared" si="112"/>
        <v/>
      </c>
      <c r="DC500" s="386">
        <v>0</v>
      </c>
      <c r="DD500" s="268">
        <f>IF(DA500,_xll.qDateYears(DA499,DA500,DD$13),0)</f>
        <v>0</v>
      </c>
      <c r="DE500" s="268">
        <f t="shared" si="118"/>
        <v>1616.1787110556011</v>
      </c>
      <c r="DM500" s="526">
        <v>0</v>
      </c>
      <c r="DN500" s="151" t="str">
        <f t="shared" si="113"/>
        <v/>
      </c>
      <c r="DO500" s="386">
        <v>0</v>
      </c>
      <c r="DP500" s="268">
        <f>IF(DM500,_xll.qDateYears(DM499,DM500,DP$13),0)</f>
        <v>0</v>
      </c>
      <c r="DQ500" s="268">
        <f t="shared" si="119"/>
        <v>2183.1745733532407</v>
      </c>
    </row>
    <row r="501" spans="59:121">
      <c r="BG501" s="526">
        <v>0</v>
      </c>
      <c r="BH501" s="150" t="str">
        <f t="shared" si="108"/>
        <v/>
      </c>
      <c r="BI501" s="386">
        <v>0</v>
      </c>
      <c r="BJ501" s="268">
        <f>IF(BG501,_xll.qDateYears(BG500,BG501,$BJ$13),0)</f>
        <v>0</v>
      </c>
      <c r="BK501" s="268">
        <f t="shared" si="114"/>
        <v>2183.1745733532407</v>
      </c>
      <c r="BQ501" s="526">
        <v>0</v>
      </c>
      <c r="BR501" s="151" t="str">
        <f t="shared" si="109"/>
        <v/>
      </c>
      <c r="BS501" s="386">
        <v>0</v>
      </c>
      <c r="BT501" s="268">
        <f>IF(BQ501,_xll.qDateYears(BQ500,BQ501,BT$13),0)</f>
        <v>0</v>
      </c>
      <c r="BU501" s="268">
        <f t="shared" si="115"/>
        <v>1738.6030924697341</v>
      </c>
      <c r="CC501" s="526">
        <v>0</v>
      </c>
      <c r="CD501" s="151" t="str">
        <f t="shared" si="110"/>
        <v/>
      </c>
      <c r="CE501" s="386">
        <v>0</v>
      </c>
      <c r="CF501" s="268">
        <f>IF(CC501,_xll.qDateYears(CC500,CC501,CF$13),0)</f>
        <v>0</v>
      </c>
      <c r="CG501" s="268">
        <f t="shared" si="116"/>
        <v>2312.0085517586949</v>
      </c>
      <c r="CO501" s="526">
        <v>0</v>
      </c>
      <c r="CP501" s="151" t="str">
        <f t="shared" si="111"/>
        <v/>
      </c>
      <c r="CQ501" s="386">
        <v>0</v>
      </c>
      <c r="CR501" s="268">
        <f>IF(CO501,_xll.qDateYears(CO500,CO501,CR$13),0)</f>
        <v>0</v>
      </c>
      <c r="CS501" s="268">
        <f t="shared" si="117"/>
        <v>2185.174943791465</v>
      </c>
      <c r="DA501" s="526">
        <v>0</v>
      </c>
      <c r="DB501" s="151" t="str">
        <f t="shared" si="112"/>
        <v/>
      </c>
      <c r="DC501" s="386">
        <v>0</v>
      </c>
      <c r="DD501" s="268">
        <f>IF(DA501,_xll.qDateYears(DA500,DA501,DD$13),0)</f>
        <v>0</v>
      </c>
      <c r="DE501" s="268">
        <f t="shared" si="118"/>
        <v>1616.1787110556011</v>
      </c>
      <c r="DM501" s="526">
        <v>0</v>
      </c>
      <c r="DN501" s="151" t="str">
        <f t="shared" si="113"/>
        <v/>
      </c>
      <c r="DO501" s="386">
        <v>0</v>
      </c>
      <c r="DP501" s="268">
        <f>IF(DM501,_xll.qDateYears(DM500,DM501,DP$13),0)</f>
        <v>0</v>
      </c>
      <c r="DQ501" s="268">
        <f t="shared" si="119"/>
        <v>2183.1745733532407</v>
      </c>
    </row>
    <row r="502" spans="59:121">
      <c r="BG502" s="526">
        <v>0</v>
      </c>
      <c r="BH502" s="150" t="str">
        <f t="shared" si="108"/>
        <v/>
      </c>
      <c r="BI502" s="386">
        <v>0</v>
      </c>
      <c r="BJ502" s="268">
        <f>IF(BG502,_xll.qDateYears(BG501,BG502,$BJ$13),0)</f>
        <v>0</v>
      </c>
      <c r="BK502" s="268">
        <f t="shared" si="114"/>
        <v>2183.1745733532407</v>
      </c>
      <c r="BQ502" s="526">
        <v>0</v>
      </c>
      <c r="BR502" s="151" t="str">
        <f t="shared" si="109"/>
        <v/>
      </c>
      <c r="BS502" s="386">
        <v>0</v>
      </c>
      <c r="BT502" s="268">
        <f>IF(BQ502,_xll.qDateYears(BQ501,BQ502,BT$13),0)</f>
        <v>0</v>
      </c>
      <c r="BU502" s="268">
        <f t="shared" si="115"/>
        <v>1738.6030924697341</v>
      </c>
      <c r="CC502" s="526">
        <v>0</v>
      </c>
      <c r="CD502" s="151" t="str">
        <f t="shared" si="110"/>
        <v/>
      </c>
      <c r="CE502" s="386">
        <v>0</v>
      </c>
      <c r="CF502" s="268">
        <f>IF(CC502,_xll.qDateYears(CC501,CC502,CF$13),0)</f>
        <v>0</v>
      </c>
      <c r="CG502" s="268">
        <f t="shared" si="116"/>
        <v>2312.0085517586949</v>
      </c>
      <c r="CO502" s="526">
        <v>0</v>
      </c>
      <c r="CP502" s="151" t="str">
        <f t="shared" si="111"/>
        <v/>
      </c>
      <c r="CQ502" s="386">
        <v>0</v>
      </c>
      <c r="CR502" s="268">
        <f>IF(CO502,_xll.qDateYears(CO501,CO502,CR$13),0)</f>
        <v>0</v>
      </c>
      <c r="CS502" s="268">
        <f t="shared" si="117"/>
        <v>2185.174943791465</v>
      </c>
      <c r="DA502" s="526">
        <v>0</v>
      </c>
      <c r="DB502" s="151" t="str">
        <f t="shared" si="112"/>
        <v/>
      </c>
      <c r="DC502" s="386">
        <v>0</v>
      </c>
      <c r="DD502" s="268">
        <f>IF(DA502,_xll.qDateYears(DA501,DA502,DD$13),0)</f>
        <v>0</v>
      </c>
      <c r="DE502" s="268">
        <f t="shared" si="118"/>
        <v>1616.1787110556011</v>
      </c>
      <c r="DM502" s="526">
        <v>0</v>
      </c>
      <c r="DN502" s="151" t="str">
        <f t="shared" si="113"/>
        <v/>
      </c>
      <c r="DO502" s="386">
        <v>0</v>
      </c>
      <c r="DP502" s="268">
        <f>IF(DM502,_xll.qDateYears(DM501,DM502,DP$13),0)</f>
        <v>0</v>
      </c>
      <c r="DQ502" s="268">
        <f t="shared" si="119"/>
        <v>2183.1745733532407</v>
      </c>
    </row>
    <row r="503" spans="59:121">
      <c r="BG503" s="526">
        <v>0</v>
      </c>
      <c r="BH503" s="150" t="str">
        <f t="shared" si="108"/>
        <v/>
      </c>
      <c r="BI503" s="386">
        <v>0</v>
      </c>
      <c r="BJ503" s="268">
        <f>IF(BG503,_xll.qDateYears(BG502,BG503,$BJ$13),0)</f>
        <v>0</v>
      </c>
      <c r="BK503" s="268">
        <f t="shared" si="114"/>
        <v>2183.1745733532407</v>
      </c>
      <c r="BQ503" s="526">
        <v>0</v>
      </c>
      <c r="BR503" s="151" t="str">
        <f t="shared" si="109"/>
        <v/>
      </c>
      <c r="BS503" s="386">
        <v>0</v>
      </c>
      <c r="BT503" s="268">
        <f>IF(BQ503,_xll.qDateYears(BQ502,BQ503,BT$13),0)</f>
        <v>0</v>
      </c>
      <c r="BU503" s="268">
        <f t="shared" si="115"/>
        <v>1738.6030924697341</v>
      </c>
      <c r="CC503" s="526">
        <v>0</v>
      </c>
      <c r="CD503" s="151" t="str">
        <f t="shared" si="110"/>
        <v/>
      </c>
      <c r="CE503" s="386">
        <v>0</v>
      </c>
      <c r="CF503" s="268">
        <f>IF(CC503,_xll.qDateYears(CC502,CC503,CF$13),0)</f>
        <v>0</v>
      </c>
      <c r="CG503" s="268">
        <f t="shared" si="116"/>
        <v>2312.0085517586949</v>
      </c>
      <c r="CO503" s="526">
        <v>0</v>
      </c>
      <c r="CP503" s="151" t="str">
        <f t="shared" si="111"/>
        <v/>
      </c>
      <c r="CQ503" s="386">
        <v>0</v>
      </c>
      <c r="CR503" s="268">
        <f>IF(CO503,_xll.qDateYears(CO502,CO503,CR$13),0)</f>
        <v>0</v>
      </c>
      <c r="CS503" s="268">
        <f t="shared" si="117"/>
        <v>2185.174943791465</v>
      </c>
      <c r="DA503" s="526">
        <v>0</v>
      </c>
      <c r="DB503" s="151" t="str">
        <f t="shared" si="112"/>
        <v/>
      </c>
      <c r="DC503" s="386">
        <v>0</v>
      </c>
      <c r="DD503" s="268">
        <f>IF(DA503,_xll.qDateYears(DA502,DA503,DD$13),0)</f>
        <v>0</v>
      </c>
      <c r="DE503" s="268">
        <f t="shared" si="118"/>
        <v>1616.1787110556011</v>
      </c>
      <c r="DM503" s="526">
        <v>0</v>
      </c>
      <c r="DN503" s="151" t="str">
        <f t="shared" si="113"/>
        <v/>
      </c>
      <c r="DO503" s="386">
        <v>0</v>
      </c>
      <c r="DP503" s="268">
        <f>IF(DM503,_xll.qDateYears(DM502,DM503,DP$13),0)</f>
        <v>0</v>
      </c>
      <c r="DQ503" s="268">
        <f t="shared" si="119"/>
        <v>2183.1745733532407</v>
      </c>
    </row>
    <row r="504" spans="59:121">
      <c r="BG504" s="526">
        <v>0</v>
      </c>
      <c r="BH504" s="150" t="str">
        <f t="shared" si="108"/>
        <v/>
      </c>
      <c r="BI504" s="386">
        <v>0</v>
      </c>
      <c r="BJ504" s="268">
        <f>IF(BG504,_xll.qDateYears(BG503,BG504,$BJ$13),0)</f>
        <v>0</v>
      </c>
      <c r="BK504" s="268">
        <f t="shared" si="114"/>
        <v>2183.1745733532407</v>
      </c>
      <c r="BQ504" s="526">
        <v>0</v>
      </c>
      <c r="BR504" s="151" t="str">
        <f t="shared" si="109"/>
        <v/>
      </c>
      <c r="BS504" s="386">
        <v>0</v>
      </c>
      <c r="BT504" s="268">
        <f>IF(BQ504,_xll.qDateYears(BQ503,BQ504,BT$13),0)</f>
        <v>0</v>
      </c>
      <c r="BU504" s="268">
        <f t="shared" si="115"/>
        <v>1738.6030924697341</v>
      </c>
      <c r="CC504" s="526">
        <v>0</v>
      </c>
      <c r="CD504" s="151" t="str">
        <f t="shared" si="110"/>
        <v/>
      </c>
      <c r="CE504" s="386">
        <v>0</v>
      </c>
      <c r="CF504" s="268">
        <f>IF(CC504,_xll.qDateYears(CC503,CC504,CF$13),0)</f>
        <v>0</v>
      </c>
      <c r="CG504" s="268">
        <f t="shared" si="116"/>
        <v>2312.0085517586949</v>
      </c>
      <c r="CO504" s="526">
        <v>0</v>
      </c>
      <c r="CP504" s="151" t="str">
        <f t="shared" si="111"/>
        <v/>
      </c>
      <c r="CQ504" s="386">
        <v>0</v>
      </c>
      <c r="CR504" s="268">
        <f>IF(CO504,_xll.qDateYears(CO503,CO504,CR$13),0)</f>
        <v>0</v>
      </c>
      <c r="CS504" s="268">
        <f t="shared" si="117"/>
        <v>2185.174943791465</v>
      </c>
      <c r="DA504" s="526">
        <v>0</v>
      </c>
      <c r="DB504" s="151" t="str">
        <f t="shared" si="112"/>
        <v/>
      </c>
      <c r="DC504" s="386">
        <v>0</v>
      </c>
      <c r="DD504" s="268">
        <f>IF(DA504,_xll.qDateYears(DA503,DA504,DD$13),0)</f>
        <v>0</v>
      </c>
      <c r="DE504" s="268">
        <f t="shared" si="118"/>
        <v>1616.1787110556011</v>
      </c>
      <c r="DM504" s="526">
        <v>0</v>
      </c>
      <c r="DN504" s="151" t="str">
        <f t="shared" si="113"/>
        <v/>
      </c>
      <c r="DO504" s="386">
        <v>0</v>
      </c>
      <c r="DP504" s="268">
        <f>IF(DM504,_xll.qDateYears(DM503,DM504,DP$13),0)</f>
        <v>0</v>
      </c>
      <c r="DQ504" s="268">
        <f t="shared" si="119"/>
        <v>2183.1745733532407</v>
      </c>
    </row>
    <row r="505" spans="59:121">
      <c r="BG505" s="526">
        <v>0</v>
      </c>
      <c r="BH505" s="150" t="str">
        <f t="shared" si="108"/>
        <v/>
      </c>
      <c r="BI505" s="386">
        <v>0</v>
      </c>
      <c r="BJ505" s="268">
        <f>IF(BG505,_xll.qDateYears(BG504,BG505,$BJ$13),0)</f>
        <v>0</v>
      </c>
      <c r="BK505" s="268">
        <f t="shared" si="114"/>
        <v>2183.1745733532407</v>
      </c>
      <c r="BQ505" s="526">
        <v>0</v>
      </c>
      <c r="BR505" s="151" t="str">
        <f t="shared" si="109"/>
        <v/>
      </c>
      <c r="BS505" s="386">
        <v>0</v>
      </c>
      <c r="BT505" s="268">
        <f>IF(BQ505,_xll.qDateYears(BQ504,BQ505,BT$13),0)</f>
        <v>0</v>
      </c>
      <c r="BU505" s="268">
        <f t="shared" si="115"/>
        <v>1738.6030924697341</v>
      </c>
      <c r="CC505" s="526">
        <v>0</v>
      </c>
      <c r="CD505" s="151" t="str">
        <f t="shared" si="110"/>
        <v/>
      </c>
      <c r="CE505" s="386">
        <v>0</v>
      </c>
      <c r="CF505" s="268">
        <f>IF(CC505,_xll.qDateYears(CC504,CC505,CF$13),0)</f>
        <v>0</v>
      </c>
      <c r="CG505" s="268">
        <f t="shared" si="116"/>
        <v>2312.0085517586949</v>
      </c>
      <c r="CO505" s="526">
        <v>0</v>
      </c>
      <c r="CP505" s="151" t="str">
        <f t="shared" si="111"/>
        <v/>
      </c>
      <c r="CQ505" s="386">
        <v>0</v>
      </c>
      <c r="CR505" s="268">
        <f>IF(CO505,_xll.qDateYears(CO504,CO505,CR$13),0)</f>
        <v>0</v>
      </c>
      <c r="CS505" s="268">
        <f t="shared" si="117"/>
        <v>2185.174943791465</v>
      </c>
      <c r="DA505" s="526">
        <v>0</v>
      </c>
      <c r="DB505" s="151" t="str">
        <f t="shared" si="112"/>
        <v/>
      </c>
      <c r="DC505" s="386">
        <v>0</v>
      </c>
      <c r="DD505" s="268">
        <f>IF(DA505,_xll.qDateYears(DA504,DA505,DD$13),0)</f>
        <v>0</v>
      </c>
      <c r="DE505" s="268">
        <f t="shared" si="118"/>
        <v>1616.1787110556011</v>
      </c>
      <c r="DM505" s="526">
        <v>0</v>
      </c>
      <c r="DN505" s="151" t="str">
        <f t="shared" si="113"/>
        <v/>
      </c>
      <c r="DO505" s="386">
        <v>0</v>
      </c>
      <c r="DP505" s="268">
        <f>IF(DM505,_xll.qDateYears(DM504,DM505,DP$13),0)</f>
        <v>0</v>
      </c>
      <c r="DQ505" s="268">
        <f t="shared" si="119"/>
        <v>2183.1745733532407</v>
      </c>
    </row>
    <row r="506" spans="59:121">
      <c r="BG506" s="526">
        <v>0</v>
      </c>
      <c r="BH506" s="150" t="str">
        <f t="shared" si="108"/>
        <v/>
      </c>
      <c r="BI506" s="386">
        <v>0</v>
      </c>
      <c r="BJ506" s="268">
        <f>IF(BG506,_xll.qDateYears(BG505,BG506,$BJ$13),0)</f>
        <v>0</v>
      </c>
      <c r="BK506" s="268">
        <f t="shared" si="114"/>
        <v>2183.1745733532407</v>
      </c>
      <c r="BQ506" s="526">
        <v>0</v>
      </c>
      <c r="BR506" s="151" t="str">
        <f t="shared" si="109"/>
        <v/>
      </c>
      <c r="BS506" s="386">
        <v>0</v>
      </c>
      <c r="BT506" s="268">
        <f>IF(BQ506,_xll.qDateYears(BQ505,BQ506,BT$13),0)</f>
        <v>0</v>
      </c>
      <c r="BU506" s="268">
        <f t="shared" si="115"/>
        <v>1738.6030924697341</v>
      </c>
      <c r="CC506" s="526">
        <v>0</v>
      </c>
      <c r="CD506" s="151" t="str">
        <f t="shared" si="110"/>
        <v/>
      </c>
      <c r="CE506" s="386">
        <v>0</v>
      </c>
      <c r="CF506" s="268">
        <f>IF(CC506,_xll.qDateYears(CC505,CC506,CF$13),0)</f>
        <v>0</v>
      </c>
      <c r="CG506" s="268">
        <f t="shared" si="116"/>
        <v>2312.0085517586949</v>
      </c>
      <c r="CO506" s="526">
        <v>0</v>
      </c>
      <c r="CP506" s="151" t="str">
        <f t="shared" si="111"/>
        <v/>
      </c>
      <c r="CQ506" s="386">
        <v>0</v>
      </c>
      <c r="CR506" s="268">
        <f>IF(CO506,_xll.qDateYears(CO505,CO506,CR$13),0)</f>
        <v>0</v>
      </c>
      <c r="CS506" s="268">
        <f t="shared" si="117"/>
        <v>2185.174943791465</v>
      </c>
      <c r="DA506" s="526">
        <v>0</v>
      </c>
      <c r="DB506" s="151" t="str">
        <f t="shared" si="112"/>
        <v/>
      </c>
      <c r="DC506" s="386">
        <v>0</v>
      </c>
      <c r="DD506" s="268">
        <f>IF(DA506,_xll.qDateYears(DA505,DA506,DD$13),0)</f>
        <v>0</v>
      </c>
      <c r="DE506" s="268">
        <f t="shared" si="118"/>
        <v>1616.1787110556011</v>
      </c>
      <c r="DM506" s="526">
        <v>0</v>
      </c>
      <c r="DN506" s="151" t="str">
        <f t="shared" si="113"/>
        <v/>
      </c>
      <c r="DO506" s="386">
        <v>0</v>
      </c>
      <c r="DP506" s="268">
        <f>IF(DM506,_xll.qDateYears(DM505,DM506,DP$13),0)</f>
        <v>0</v>
      </c>
      <c r="DQ506" s="268">
        <f t="shared" si="119"/>
        <v>2183.1745733532407</v>
      </c>
    </row>
    <row r="507" spans="59:121">
      <c r="BG507" s="526">
        <v>0</v>
      </c>
      <c r="BH507" s="150" t="str">
        <f t="shared" si="108"/>
        <v/>
      </c>
      <c r="BI507" s="386">
        <v>0</v>
      </c>
      <c r="BJ507" s="268">
        <f>IF(BG507,_xll.qDateYears(BG506,BG507,$BJ$13),0)</f>
        <v>0</v>
      </c>
      <c r="BK507" s="268">
        <f t="shared" si="114"/>
        <v>2183.1745733532407</v>
      </c>
      <c r="BQ507" s="526">
        <v>0</v>
      </c>
      <c r="BR507" s="151" t="str">
        <f t="shared" si="109"/>
        <v/>
      </c>
      <c r="BS507" s="386">
        <v>0</v>
      </c>
      <c r="BT507" s="268">
        <f>IF(BQ507,_xll.qDateYears(BQ506,BQ507,BT$13),0)</f>
        <v>0</v>
      </c>
      <c r="BU507" s="268">
        <f t="shared" si="115"/>
        <v>1738.6030924697341</v>
      </c>
      <c r="CC507" s="526">
        <v>0</v>
      </c>
      <c r="CD507" s="151" t="str">
        <f t="shared" si="110"/>
        <v/>
      </c>
      <c r="CE507" s="386">
        <v>0</v>
      </c>
      <c r="CF507" s="268">
        <f>IF(CC507,_xll.qDateYears(CC506,CC507,CF$13),0)</f>
        <v>0</v>
      </c>
      <c r="CG507" s="268">
        <f t="shared" si="116"/>
        <v>2312.0085517586949</v>
      </c>
      <c r="CO507" s="526">
        <v>0</v>
      </c>
      <c r="CP507" s="151" t="str">
        <f t="shared" si="111"/>
        <v/>
      </c>
      <c r="CQ507" s="386">
        <v>0</v>
      </c>
      <c r="CR507" s="268">
        <f>IF(CO507,_xll.qDateYears(CO506,CO507,CR$13),0)</f>
        <v>0</v>
      </c>
      <c r="CS507" s="268">
        <f t="shared" si="117"/>
        <v>2185.174943791465</v>
      </c>
      <c r="DA507" s="526">
        <v>0</v>
      </c>
      <c r="DB507" s="151" t="str">
        <f t="shared" si="112"/>
        <v/>
      </c>
      <c r="DC507" s="386">
        <v>0</v>
      </c>
      <c r="DD507" s="268">
        <f>IF(DA507,_xll.qDateYears(DA506,DA507,DD$13),0)</f>
        <v>0</v>
      </c>
      <c r="DE507" s="268">
        <f t="shared" si="118"/>
        <v>1616.1787110556011</v>
      </c>
      <c r="DM507" s="526">
        <v>0</v>
      </c>
      <c r="DN507" s="151" t="str">
        <f t="shared" si="113"/>
        <v/>
      </c>
      <c r="DO507" s="386">
        <v>0</v>
      </c>
      <c r="DP507" s="268">
        <f>IF(DM507,_xll.qDateYears(DM506,DM507,DP$13),0)</f>
        <v>0</v>
      </c>
      <c r="DQ507" s="268">
        <f t="shared" si="119"/>
        <v>2183.1745733532407</v>
      </c>
    </row>
    <row r="508" spans="59:121">
      <c r="BG508" s="526">
        <v>0</v>
      </c>
      <c r="BH508" s="150" t="str">
        <f t="shared" si="108"/>
        <v/>
      </c>
      <c r="BI508" s="386">
        <v>0</v>
      </c>
      <c r="BJ508" s="268">
        <f>IF(BG508,_xll.qDateYears(BG507,BG508,$BJ$13),0)</f>
        <v>0</v>
      </c>
      <c r="BK508" s="268">
        <f t="shared" si="114"/>
        <v>2183.1745733532407</v>
      </c>
      <c r="BQ508" s="526">
        <v>0</v>
      </c>
      <c r="BR508" s="151" t="str">
        <f t="shared" si="109"/>
        <v/>
      </c>
      <c r="BS508" s="386">
        <v>0</v>
      </c>
      <c r="BT508" s="268">
        <f>IF(BQ508,_xll.qDateYears(BQ507,BQ508,BT$13),0)</f>
        <v>0</v>
      </c>
      <c r="BU508" s="268">
        <f t="shared" si="115"/>
        <v>1738.6030924697341</v>
      </c>
      <c r="CC508" s="526">
        <v>0</v>
      </c>
      <c r="CD508" s="151" t="str">
        <f t="shared" si="110"/>
        <v/>
      </c>
      <c r="CE508" s="386">
        <v>0</v>
      </c>
      <c r="CF508" s="268">
        <f>IF(CC508,_xll.qDateYears(CC507,CC508,CF$13),0)</f>
        <v>0</v>
      </c>
      <c r="CG508" s="268">
        <f t="shared" si="116"/>
        <v>2312.0085517586949</v>
      </c>
      <c r="CO508" s="526">
        <v>0</v>
      </c>
      <c r="CP508" s="151" t="str">
        <f t="shared" si="111"/>
        <v/>
      </c>
      <c r="CQ508" s="386">
        <v>0</v>
      </c>
      <c r="CR508" s="268">
        <f>IF(CO508,_xll.qDateYears(CO507,CO508,CR$13),0)</f>
        <v>0</v>
      </c>
      <c r="CS508" s="268">
        <f t="shared" si="117"/>
        <v>2185.174943791465</v>
      </c>
      <c r="DA508" s="526">
        <v>0</v>
      </c>
      <c r="DB508" s="151" t="str">
        <f t="shared" si="112"/>
        <v/>
      </c>
      <c r="DC508" s="386">
        <v>0</v>
      </c>
      <c r="DD508" s="268">
        <f>IF(DA508,_xll.qDateYears(DA507,DA508,DD$13),0)</f>
        <v>0</v>
      </c>
      <c r="DE508" s="268">
        <f t="shared" si="118"/>
        <v>1616.1787110556011</v>
      </c>
      <c r="DM508" s="526">
        <v>0</v>
      </c>
      <c r="DN508" s="151" t="str">
        <f t="shared" si="113"/>
        <v/>
      </c>
      <c r="DO508" s="386">
        <v>0</v>
      </c>
      <c r="DP508" s="268">
        <f>IF(DM508,_xll.qDateYears(DM507,DM508,DP$13),0)</f>
        <v>0</v>
      </c>
      <c r="DQ508" s="268">
        <f t="shared" si="119"/>
        <v>2183.1745733532407</v>
      </c>
    </row>
    <row r="509" spans="59:121">
      <c r="BG509" s="526">
        <v>0</v>
      </c>
      <c r="BH509" s="150" t="str">
        <f t="shared" si="108"/>
        <v/>
      </c>
      <c r="BI509" s="386">
        <v>0</v>
      </c>
      <c r="BJ509" s="268">
        <f>IF(BG509,_xll.qDateYears(BG508,BG509,$BJ$13),0)</f>
        <v>0</v>
      </c>
      <c r="BK509" s="268">
        <f t="shared" si="114"/>
        <v>2183.1745733532407</v>
      </c>
      <c r="BQ509" s="526">
        <v>0</v>
      </c>
      <c r="BR509" s="151" t="str">
        <f t="shared" si="109"/>
        <v/>
      </c>
      <c r="BS509" s="386">
        <v>0</v>
      </c>
      <c r="BT509" s="268">
        <f>IF(BQ509,_xll.qDateYears(BQ508,BQ509,BT$13),0)</f>
        <v>0</v>
      </c>
      <c r="BU509" s="268">
        <f t="shared" si="115"/>
        <v>1738.6030924697341</v>
      </c>
      <c r="CC509" s="526">
        <v>0</v>
      </c>
      <c r="CD509" s="151" t="str">
        <f t="shared" si="110"/>
        <v/>
      </c>
      <c r="CE509" s="386">
        <v>0</v>
      </c>
      <c r="CF509" s="268">
        <f>IF(CC509,_xll.qDateYears(CC508,CC509,CF$13),0)</f>
        <v>0</v>
      </c>
      <c r="CG509" s="268">
        <f t="shared" si="116"/>
        <v>2312.0085517586949</v>
      </c>
      <c r="CO509" s="526">
        <v>0</v>
      </c>
      <c r="CP509" s="151" t="str">
        <f t="shared" si="111"/>
        <v/>
      </c>
      <c r="CQ509" s="386">
        <v>0</v>
      </c>
      <c r="CR509" s="268">
        <f>IF(CO509,_xll.qDateYears(CO508,CO509,CR$13),0)</f>
        <v>0</v>
      </c>
      <c r="CS509" s="268">
        <f t="shared" si="117"/>
        <v>2185.174943791465</v>
      </c>
      <c r="DA509" s="526">
        <v>0</v>
      </c>
      <c r="DB509" s="151" t="str">
        <f t="shared" si="112"/>
        <v/>
      </c>
      <c r="DC509" s="386">
        <v>0</v>
      </c>
      <c r="DD509" s="268">
        <f>IF(DA509,_xll.qDateYears(DA508,DA509,DD$13),0)</f>
        <v>0</v>
      </c>
      <c r="DE509" s="268">
        <f t="shared" si="118"/>
        <v>1616.1787110556011</v>
      </c>
      <c r="DM509" s="526">
        <v>0</v>
      </c>
      <c r="DN509" s="151" t="str">
        <f t="shared" si="113"/>
        <v/>
      </c>
      <c r="DO509" s="386">
        <v>0</v>
      </c>
      <c r="DP509" s="268">
        <f>IF(DM509,_xll.qDateYears(DM508,DM509,DP$13),0)</f>
        <v>0</v>
      </c>
      <c r="DQ509" s="268">
        <f t="shared" si="119"/>
        <v>2183.1745733532407</v>
      </c>
    </row>
    <row r="510" spans="59:121">
      <c r="BG510" s="526">
        <v>0</v>
      </c>
      <c r="BH510" s="150" t="str">
        <f t="shared" si="108"/>
        <v/>
      </c>
      <c r="BI510" s="386">
        <v>0</v>
      </c>
      <c r="BJ510" s="268">
        <f>IF(BG510,_xll.qDateYears(BG509,BG510,$BJ$13),0)</f>
        <v>0</v>
      </c>
      <c r="BK510" s="268">
        <f t="shared" si="114"/>
        <v>2183.1745733532407</v>
      </c>
      <c r="BQ510" s="526">
        <v>0</v>
      </c>
      <c r="BR510" s="151" t="str">
        <f t="shared" si="109"/>
        <v/>
      </c>
      <c r="BS510" s="386">
        <v>0</v>
      </c>
      <c r="BT510" s="268">
        <f>IF(BQ510,_xll.qDateYears(BQ509,BQ510,BT$13),0)</f>
        <v>0</v>
      </c>
      <c r="BU510" s="268">
        <f t="shared" si="115"/>
        <v>1738.6030924697341</v>
      </c>
      <c r="CC510" s="526">
        <v>0</v>
      </c>
      <c r="CD510" s="151" t="str">
        <f t="shared" si="110"/>
        <v/>
      </c>
      <c r="CE510" s="386">
        <v>0</v>
      </c>
      <c r="CF510" s="268">
        <f>IF(CC510,_xll.qDateYears(CC509,CC510,CF$13),0)</f>
        <v>0</v>
      </c>
      <c r="CG510" s="268">
        <f t="shared" si="116"/>
        <v>2312.0085517586949</v>
      </c>
      <c r="CO510" s="526">
        <v>0</v>
      </c>
      <c r="CP510" s="151" t="str">
        <f t="shared" si="111"/>
        <v/>
      </c>
      <c r="CQ510" s="386">
        <v>0</v>
      </c>
      <c r="CR510" s="268">
        <f>IF(CO510,_xll.qDateYears(CO509,CO510,CR$13),0)</f>
        <v>0</v>
      </c>
      <c r="CS510" s="268">
        <f t="shared" si="117"/>
        <v>2185.174943791465</v>
      </c>
      <c r="DA510" s="526">
        <v>0</v>
      </c>
      <c r="DB510" s="151" t="str">
        <f t="shared" si="112"/>
        <v/>
      </c>
      <c r="DC510" s="386">
        <v>0</v>
      </c>
      <c r="DD510" s="268">
        <f>IF(DA510,_xll.qDateYears(DA509,DA510,DD$13),0)</f>
        <v>0</v>
      </c>
      <c r="DE510" s="268">
        <f t="shared" si="118"/>
        <v>1616.1787110556011</v>
      </c>
      <c r="DM510" s="526">
        <v>0</v>
      </c>
      <c r="DN510" s="151" t="str">
        <f t="shared" si="113"/>
        <v/>
      </c>
      <c r="DO510" s="386">
        <v>0</v>
      </c>
      <c r="DP510" s="268">
        <f>IF(DM510,_xll.qDateYears(DM509,DM510,DP$13),0)</f>
        <v>0</v>
      </c>
      <c r="DQ510" s="268">
        <f t="shared" si="119"/>
        <v>2183.1745733532407</v>
      </c>
    </row>
    <row r="511" spans="59:121">
      <c r="BG511" s="526">
        <v>0</v>
      </c>
      <c r="BH511" s="150" t="str">
        <f t="shared" si="108"/>
        <v/>
      </c>
      <c r="BI511" s="386">
        <v>0</v>
      </c>
      <c r="BJ511" s="268">
        <f>IF(BG511,_xll.qDateYears(BG510,BG511,$BJ$13),0)</f>
        <v>0</v>
      </c>
      <c r="BK511" s="268">
        <f t="shared" si="114"/>
        <v>2183.1745733532407</v>
      </c>
      <c r="BQ511" s="526">
        <v>0</v>
      </c>
      <c r="BR511" s="151" t="str">
        <f t="shared" si="109"/>
        <v/>
      </c>
      <c r="BS511" s="386">
        <v>0</v>
      </c>
      <c r="BT511" s="268">
        <f>IF(BQ511,_xll.qDateYears(BQ510,BQ511,BT$13),0)</f>
        <v>0</v>
      </c>
      <c r="BU511" s="268">
        <f t="shared" si="115"/>
        <v>1738.6030924697341</v>
      </c>
      <c r="CC511" s="526">
        <v>0</v>
      </c>
      <c r="CD511" s="151" t="str">
        <f t="shared" si="110"/>
        <v/>
      </c>
      <c r="CE511" s="386">
        <v>0</v>
      </c>
      <c r="CF511" s="268">
        <f>IF(CC511,_xll.qDateYears(CC510,CC511,CF$13),0)</f>
        <v>0</v>
      </c>
      <c r="CG511" s="268">
        <f t="shared" si="116"/>
        <v>2312.0085517586949</v>
      </c>
      <c r="CO511" s="526">
        <v>0</v>
      </c>
      <c r="CP511" s="151" t="str">
        <f t="shared" si="111"/>
        <v/>
      </c>
      <c r="CQ511" s="386">
        <v>0</v>
      </c>
      <c r="CR511" s="268">
        <f>IF(CO511,_xll.qDateYears(CO510,CO511,CR$13),0)</f>
        <v>0</v>
      </c>
      <c r="CS511" s="268">
        <f t="shared" si="117"/>
        <v>2185.174943791465</v>
      </c>
      <c r="DA511" s="526">
        <v>0</v>
      </c>
      <c r="DB511" s="151" t="str">
        <f t="shared" si="112"/>
        <v/>
      </c>
      <c r="DC511" s="386">
        <v>0</v>
      </c>
      <c r="DD511" s="268">
        <f>IF(DA511,_xll.qDateYears(DA510,DA511,DD$13),0)</f>
        <v>0</v>
      </c>
      <c r="DE511" s="268">
        <f t="shared" si="118"/>
        <v>1616.1787110556011</v>
      </c>
      <c r="DM511" s="526">
        <v>0</v>
      </c>
      <c r="DN511" s="151" t="str">
        <f t="shared" si="113"/>
        <v/>
      </c>
      <c r="DO511" s="386">
        <v>0</v>
      </c>
      <c r="DP511" s="268">
        <f>IF(DM511,_xll.qDateYears(DM510,DM511,DP$13),0)</f>
        <v>0</v>
      </c>
      <c r="DQ511" s="268">
        <f t="shared" si="119"/>
        <v>2183.1745733532407</v>
      </c>
    </row>
    <row r="512" spans="59:121">
      <c r="BG512" s="526">
        <v>0</v>
      </c>
      <c r="BH512" s="150" t="str">
        <f t="shared" si="108"/>
        <v/>
      </c>
      <c r="BI512" s="386">
        <v>0</v>
      </c>
      <c r="BJ512" s="268">
        <f>IF(BG512,_xll.qDateYears(BG511,BG512,$BJ$13),0)</f>
        <v>0</v>
      </c>
      <c r="BK512" s="268">
        <f t="shared" si="114"/>
        <v>2183.1745733532407</v>
      </c>
      <c r="BQ512" s="526">
        <v>0</v>
      </c>
      <c r="BR512" s="151" t="str">
        <f t="shared" si="109"/>
        <v/>
      </c>
      <c r="BS512" s="386">
        <v>0</v>
      </c>
      <c r="BT512" s="268">
        <f>IF(BQ512,_xll.qDateYears(BQ511,BQ512,BT$13),0)</f>
        <v>0</v>
      </c>
      <c r="BU512" s="268">
        <f t="shared" si="115"/>
        <v>1738.6030924697341</v>
      </c>
      <c r="CC512" s="526">
        <v>0</v>
      </c>
      <c r="CD512" s="151" t="str">
        <f t="shared" si="110"/>
        <v/>
      </c>
      <c r="CE512" s="386">
        <v>0</v>
      </c>
      <c r="CF512" s="268">
        <f>IF(CC512,_xll.qDateYears(CC511,CC512,CF$13),0)</f>
        <v>0</v>
      </c>
      <c r="CG512" s="268">
        <f t="shared" si="116"/>
        <v>2312.0085517586949</v>
      </c>
      <c r="CO512" s="526">
        <v>0</v>
      </c>
      <c r="CP512" s="151" t="str">
        <f t="shared" si="111"/>
        <v/>
      </c>
      <c r="CQ512" s="386">
        <v>0</v>
      </c>
      <c r="CR512" s="268">
        <f>IF(CO512,_xll.qDateYears(CO511,CO512,CR$13),0)</f>
        <v>0</v>
      </c>
      <c r="CS512" s="268">
        <f t="shared" si="117"/>
        <v>2185.174943791465</v>
      </c>
      <c r="DA512" s="526">
        <v>0</v>
      </c>
      <c r="DB512" s="151" t="str">
        <f t="shared" si="112"/>
        <v/>
      </c>
      <c r="DC512" s="386">
        <v>0</v>
      </c>
      <c r="DD512" s="268">
        <f>IF(DA512,_xll.qDateYears(DA511,DA512,DD$13),0)</f>
        <v>0</v>
      </c>
      <c r="DE512" s="268">
        <f t="shared" si="118"/>
        <v>1616.1787110556011</v>
      </c>
      <c r="DM512" s="526">
        <v>0</v>
      </c>
      <c r="DN512" s="151" t="str">
        <f t="shared" si="113"/>
        <v/>
      </c>
      <c r="DO512" s="386">
        <v>0</v>
      </c>
      <c r="DP512" s="268">
        <f>IF(DM512,_xll.qDateYears(DM511,DM512,DP$13),0)</f>
        <v>0</v>
      </c>
      <c r="DQ512" s="268">
        <f t="shared" si="119"/>
        <v>2183.1745733532407</v>
      </c>
    </row>
    <row r="513" spans="59:121">
      <c r="BG513" s="526">
        <v>0</v>
      </c>
      <c r="BH513" s="150" t="str">
        <f t="shared" si="108"/>
        <v/>
      </c>
      <c r="BI513" s="386">
        <v>0</v>
      </c>
      <c r="BJ513" s="268">
        <f>IF(BG513,_xll.qDateYears(BG512,BG513,$BJ$13),0)</f>
        <v>0</v>
      </c>
      <c r="BK513" s="268">
        <f t="shared" si="114"/>
        <v>2183.1745733532407</v>
      </c>
      <c r="BQ513" s="526">
        <v>0</v>
      </c>
      <c r="BR513" s="151" t="str">
        <f t="shared" si="109"/>
        <v/>
      </c>
      <c r="BS513" s="386">
        <v>0</v>
      </c>
      <c r="BT513" s="268">
        <f>IF(BQ513,_xll.qDateYears(BQ512,BQ513,BT$13),0)</f>
        <v>0</v>
      </c>
      <c r="BU513" s="268">
        <f t="shared" si="115"/>
        <v>1738.6030924697341</v>
      </c>
      <c r="CC513" s="526">
        <v>0</v>
      </c>
      <c r="CD513" s="151" t="str">
        <f t="shared" si="110"/>
        <v/>
      </c>
      <c r="CE513" s="386">
        <v>0</v>
      </c>
      <c r="CF513" s="268">
        <f>IF(CC513,_xll.qDateYears(CC512,CC513,CF$13),0)</f>
        <v>0</v>
      </c>
      <c r="CG513" s="268">
        <f t="shared" si="116"/>
        <v>2312.0085517586949</v>
      </c>
      <c r="CO513" s="526">
        <v>0</v>
      </c>
      <c r="CP513" s="151" t="str">
        <f t="shared" si="111"/>
        <v/>
      </c>
      <c r="CQ513" s="386">
        <v>0</v>
      </c>
      <c r="CR513" s="268">
        <f>IF(CO513,_xll.qDateYears(CO512,CO513,CR$13),0)</f>
        <v>0</v>
      </c>
      <c r="CS513" s="268">
        <f t="shared" si="117"/>
        <v>2185.174943791465</v>
      </c>
      <c r="DA513" s="526">
        <v>0</v>
      </c>
      <c r="DB513" s="151" t="str">
        <f t="shared" si="112"/>
        <v/>
      </c>
      <c r="DC513" s="386">
        <v>0</v>
      </c>
      <c r="DD513" s="268">
        <f>IF(DA513,_xll.qDateYears(DA512,DA513,DD$13),0)</f>
        <v>0</v>
      </c>
      <c r="DE513" s="268">
        <f t="shared" si="118"/>
        <v>1616.1787110556011</v>
      </c>
      <c r="DM513" s="526">
        <v>0</v>
      </c>
      <c r="DN513" s="151" t="str">
        <f t="shared" si="113"/>
        <v/>
      </c>
      <c r="DO513" s="386">
        <v>0</v>
      </c>
      <c r="DP513" s="268">
        <f>IF(DM513,_xll.qDateYears(DM512,DM513,DP$13),0)</f>
        <v>0</v>
      </c>
      <c r="DQ513" s="268">
        <f t="shared" si="119"/>
        <v>2183.1745733532407</v>
      </c>
    </row>
    <row r="514" spans="59:121">
      <c r="BG514" s="526">
        <v>0</v>
      </c>
      <c r="BH514" s="150" t="str">
        <f t="shared" si="108"/>
        <v/>
      </c>
      <c r="BI514" s="386">
        <v>0</v>
      </c>
      <c r="BJ514" s="268">
        <f>IF(BG514,_xll.qDateYears(BG513,BG514,$BJ$13),0)</f>
        <v>0</v>
      </c>
      <c r="BK514" s="268">
        <f t="shared" si="114"/>
        <v>2183.1745733532407</v>
      </c>
      <c r="BQ514" s="526">
        <v>0</v>
      </c>
      <c r="BR514" s="151" t="str">
        <f t="shared" si="109"/>
        <v/>
      </c>
      <c r="BS514" s="386">
        <v>0</v>
      </c>
      <c r="BT514" s="268">
        <f>IF(BQ514,_xll.qDateYears(BQ513,BQ514,BT$13),0)</f>
        <v>0</v>
      </c>
      <c r="BU514" s="268">
        <f t="shared" si="115"/>
        <v>1738.6030924697341</v>
      </c>
      <c r="CC514" s="526">
        <v>0</v>
      </c>
      <c r="CD514" s="151" t="str">
        <f t="shared" si="110"/>
        <v/>
      </c>
      <c r="CE514" s="386">
        <v>0</v>
      </c>
      <c r="CF514" s="268">
        <f>IF(CC514,_xll.qDateYears(CC513,CC514,CF$13),0)</f>
        <v>0</v>
      </c>
      <c r="CG514" s="268">
        <f t="shared" si="116"/>
        <v>2312.0085517586949</v>
      </c>
      <c r="CO514" s="526">
        <v>0</v>
      </c>
      <c r="CP514" s="151" t="str">
        <f t="shared" si="111"/>
        <v/>
      </c>
      <c r="CQ514" s="386">
        <v>0</v>
      </c>
      <c r="CR514" s="268">
        <f>IF(CO514,_xll.qDateYears(CO513,CO514,CR$13),0)</f>
        <v>0</v>
      </c>
      <c r="CS514" s="268">
        <f t="shared" si="117"/>
        <v>2185.174943791465</v>
      </c>
      <c r="DA514" s="526">
        <v>0</v>
      </c>
      <c r="DB514" s="151" t="str">
        <f t="shared" si="112"/>
        <v/>
      </c>
      <c r="DC514" s="386">
        <v>0</v>
      </c>
      <c r="DD514" s="268">
        <f>IF(DA514,_xll.qDateYears(DA513,DA514,DD$13),0)</f>
        <v>0</v>
      </c>
      <c r="DE514" s="268">
        <f t="shared" si="118"/>
        <v>1616.1787110556011</v>
      </c>
      <c r="DM514" s="526">
        <v>0</v>
      </c>
      <c r="DN514" s="151" t="str">
        <f t="shared" si="113"/>
        <v/>
      </c>
      <c r="DO514" s="386">
        <v>0</v>
      </c>
      <c r="DP514" s="268">
        <f>IF(DM514,_xll.qDateYears(DM513,DM514,DP$13),0)</f>
        <v>0</v>
      </c>
      <c r="DQ514" s="268">
        <f t="shared" si="119"/>
        <v>2183.1745733532407</v>
      </c>
    </row>
  </sheetData>
  <sheetProtection sheet="1" objects="1" scenarios="1" autoFilter="0" pivotTables="0"/>
  <mergeCells count="7">
    <mergeCell ref="EH11:EI11"/>
    <mergeCell ref="EK11:EL11"/>
    <mergeCell ref="FQ5:FR5"/>
    <mergeCell ref="EO7:EQ7"/>
    <mergeCell ref="EO8:EQ8"/>
    <mergeCell ref="ES7:ET7"/>
    <mergeCell ref="ES8:ET8"/>
  </mergeCells>
  <conditionalFormatting sqref="FS6:GG18">
    <cfRule type="colorScale" priority="2">
      <colorScale>
        <cfvo type="min" val="0"/>
        <cfvo type="percentile" val="50"/>
        <cfvo type="max" val="0"/>
        <color rgb="FF488FE4"/>
        <color rgb="FFF9E583"/>
        <color rgb="FFF99783"/>
      </colorScale>
    </cfRule>
  </conditionalFormatting>
  <conditionalFormatting sqref="AI8:AT22">
    <cfRule type="colorScale" priority="1">
      <colorScale>
        <cfvo type="min" val="0"/>
        <cfvo type="percentile" val="50"/>
        <cfvo type="max" val="0"/>
        <color rgb="FF488FE4"/>
        <color rgb="FFF9E583"/>
        <color rgb="FFF99783"/>
      </colorScale>
    </cfRule>
  </conditionalFormatting>
  <dataValidations disablePrompts="1" count="5">
    <dataValidation type="list" allowBlank="1" showInputMessage="1" showErrorMessage="1" sqref="DG10 BM10 BW10 CI10 CU10 DS10">
      <formula1>"Floating,Act/365,Act/360,30/360"</formula1>
    </dataValidation>
    <dataValidation type="list" allowBlank="1" showInputMessage="1" showErrorMessage="1" sqref="DG11 BM11 BW11 CI11 CU11 DS11">
      <formula1>"1M,3M,6M"</formula1>
    </dataValidation>
    <dataValidation type="list" allowBlank="1" showInputMessage="1" showErrorMessage="1" sqref="F9">
      <formula1>"Zero Bank"</formula1>
    </dataValidation>
    <dataValidation type="list" allowBlank="1" showInputMessage="1" showErrorMessage="1" sqref="F14">
      <formula1>"Market,Act/365,Act/360,30/360"</formula1>
    </dataValidation>
    <dataValidation type="list" allowBlank="1" showInputMessage="1" showErrorMessage="1" sqref="F12 H12">
      <formula1>"Market,Monthly,Quarterly,Semi,Annual"</formula1>
    </dataValidation>
  </dataValidations>
  <pageMargins left="0.7" right="0.7" top="0.75" bottom="0.75" header="0.3" footer="0.3"/>
  <pageSetup paperSize="9" orientation="portrait" horizontalDpi="300" verticalDpi="300" r:id="rId1"/>
  <drawing r:id="rId2"/>
  <legacyDrawing r:id="rId3"/>
</worksheet>
</file>

<file path=xl/worksheets/sheet12.xml><?xml version="1.0" encoding="utf-8"?>
<worksheet xmlns="http://schemas.openxmlformats.org/spreadsheetml/2006/main" xmlns:r="http://schemas.openxmlformats.org/officeDocument/2006/relationships">
  <sheetPr codeName="shtHOL">
    <tabColor theme="1"/>
    <outlinePr showOutlineSymbols="0"/>
  </sheetPr>
  <dimension ref="A1:O47"/>
  <sheetViews>
    <sheetView showGridLines="0" showRowColHeaders="0" showOutlineSymbols="0" topLeftCell="E1" workbookViewId="0">
      <selection activeCell="E1" sqref="E1"/>
    </sheetView>
  </sheetViews>
  <sheetFormatPr defaultRowHeight="12.75" outlineLevelCol="2"/>
  <cols>
    <col min="1" max="1" width="1.7109375" style="207" hidden="1" customWidth="1" outlineLevel="2"/>
    <col min="2" max="3" width="9.140625" style="207" hidden="1" customWidth="1" outlineLevel="2"/>
    <col min="4" max="4" width="1.7109375" style="207" hidden="1" customWidth="1" outlineLevel="2"/>
    <col min="5" max="5" width="3.7109375" customWidth="1" collapsed="1"/>
    <col min="6" max="6" width="18" customWidth="1"/>
    <col min="7" max="8" width="6.28515625" customWidth="1"/>
  </cols>
  <sheetData>
    <row r="1" spans="2:15" ht="0.95" customHeight="1"/>
    <row r="2" spans="2:15" ht="24.95" customHeight="1">
      <c r="F2" s="46" t="s">
        <v>380</v>
      </c>
      <c r="G2" s="46"/>
      <c r="H2" s="46"/>
      <c r="I2" s="46"/>
      <c r="J2" s="46"/>
      <c r="K2" s="46"/>
      <c r="L2" s="46"/>
      <c r="M2" s="46"/>
      <c r="N2" s="46"/>
      <c r="O2" s="46"/>
    </row>
    <row r="4" spans="2:15">
      <c r="B4" s="207" t="s">
        <v>843</v>
      </c>
      <c r="C4" s="207" t="b">
        <v>1</v>
      </c>
      <c r="F4" t="s">
        <v>472</v>
      </c>
    </row>
    <row r="5" spans="2:15">
      <c r="F5" t="s">
        <v>470</v>
      </c>
    </row>
    <row r="6" spans="2:15">
      <c r="F6" t="s">
        <v>471</v>
      </c>
    </row>
    <row r="8" spans="2:15">
      <c r="F8" s="518"/>
      <c r="G8" s="518" t="s">
        <v>460</v>
      </c>
      <c r="H8" s="518" t="s">
        <v>292</v>
      </c>
    </row>
    <row r="9" spans="2:15">
      <c r="F9" t="s">
        <v>381</v>
      </c>
      <c r="G9" t="s">
        <v>382</v>
      </c>
    </row>
    <row r="10" spans="2:15">
      <c r="F10" t="s">
        <v>383</v>
      </c>
      <c r="G10" t="s">
        <v>384</v>
      </c>
      <c r="H10" t="s">
        <v>465</v>
      </c>
    </row>
    <row r="11" spans="2:15">
      <c r="F11" t="s">
        <v>385</v>
      </c>
      <c r="G11" t="s">
        <v>386</v>
      </c>
      <c r="H11" t="s">
        <v>466</v>
      </c>
    </row>
    <row r="12" spans="2:15">
      <c r="F12" t="s">
        <v>387</v>
      </c>
      <c r="G12" t="s">
        <v>388</v>
      </c>
    </row>
    <row r="13" spans="2:15">
      <c r="F13" t="s">
        <v>389</v>
      </c>
      <c r="G13" t="s">
        <v>390</v>
      </c>
    </row>
    <row r="14" spans="2:15">
      <c r="F14" t="s">
        <v>391</v>
      </c>
      <c r="G14" t="s">
        <v>392</v>
      </c>
    </row>
    <row r="15" spans="2:15">
      <c r="F15" t="s">
        <v>393</v>
      </c>
      <c r="G15" t="s">
        <v>394</v>
      </c>
    </row>
    <row r="16" spans="2:15">
      <c r="F16" t="s">
        <v>395</v>
      </c>
      <c r="G16" t="s">
        <v>396</v>
      </c>
    </row>
    <row r="17" spans="6:8">
      <c r="F17" t="s">
        <v>397</v>
      </c>
      <c r="G17" t="s">
        <v>398</v>
      </c>
    </row>
    <row r="18" spans="6:8">
      <c r="F18" t="s">
        <v>399</v>
      </c>
      <c r="G18" t="s">
        <v>400</v>
      </c>
      <c r="H18" t="s">
        <v>459</v>
      </c>
    </row>
    <row r="19" spans="6:8">
      <c r="F19" t="s">
        <v>401</v>
      </c>
      <c r="G19" t="s">
        <v>402</v>
      </c>
    </row>
    <row r="20" spans="6:8">
      <c r="F20" t="s">
        <v>403</v>
      </c>
      <c r="G20" t="s">
        <v>404</v>
      </c>
      <c r="H20" t="s">
        <v>467</v>
      </c>
    </row>
    <row r="21" spans="6:8">
      <c r="F21" t="s">
        <v>405</v>
      </c>
      <c r="G21" t="s">
        <v>406</v>
      </c>
      <c r="H21" t="s">
        <v>468</v>
      </c>
    </row>
    <row r="22" spans="6:8">
      <c r="F22" t="s">
        <v>407</v>
      </c>
      <c r="G22" t="s">
        <v>408</v>
      </c>
      <c r="H22" t="s">
        <v>469</v>
      </c>
    </row>
    <row r="23" spans="6:8">
      <c r="F23" t="s">
        <v>409</v>
      </c>
      <c r="G23" t="s">
        <v>410</v>
      </c>
    </row>
    <row r="24" spans="6:8">
      <c r="F24" t="s">
        <v>411</v>
      </c>
      <c r="G24" t="s">
        <v>412</v>
      </c>
      <c r="H24" t="s">
        <v>674</v>
      </c>
    </row>
    <row r="25" spans="6:8">
      <c r="F25" t="s">
        <v>413</v>
      </c>
      <c r="G25" t="s">
        <v>414</v>
      </c>
    </row>
    <row r="26" spans="6:8">
      <c r="F26" t="s">
        <v>415</v>
      </c>
      <c r="G26" t="s">
        <v>416</v>
      </c>
      <c r="H26" t="s">
        <v>239</v>
      </c>
    </row>
    <row r="27" spans="6:8">
      <c r="F27" t="s">
        <v>417</v>
      </c>
      <c r="G27" t="s">
        <v>418</v>
      </c>
    </row>
    <row r="28" spans="6:8">
      <c r="F28" t="s">
        <v>419</v>
      </c>
      <c r="G28" t="s">
        <v>420</v>
      </c>
    </row>
    <row r="29" spans="6:8">
      <c r="F29" t="s">
        <v>421</v>
      </c>
      <c r="G29" t="s">
        <v>422</v>
      </c>
    </row>
    <row r="30" spans="6:8">
      <c r="F30" t="s">
        <v>423</v>
      </c>
      <c r="G30" t="s">
        <v>424</v>
      </c>
    </row>
    <row r="31" spans="6:8">
      <c r="F31" t="s">
        <v>425</v>
      </c>
      <c r="G31" t="s">
        <v>426</v>
      </c>
    </row>
    <row r="32" spans="6:8">
      <c r="F32" t="s">
        <v>427</v>
      </c>
      <c r="G32" t="s">
        <v>428</v>
      </c>
      <c r="H32" t="s">
        <v>242</v>
      </c>
    </row>
    <row r="33" spans="6:8">
      <c r="F33" t="s">
        <v>429</v>
      </c>
      <c r="G33" t="s">
        <v>430</v>
      </c>
      <c r="H33" t="s">
        <v>457</v>
      </c>
    </row>
    <row r="34" spans="6:8">
      <c r="F34" t="s">
        <v>431</v>
      </c>
      <c r="G34" t="s">
        <v>378</v>
      </c>
    </row>
    <row r="35" spans="6:8">
      <c r="F35" t="s">
        <v>432</v>
      </c>
      <c r="G35" t="s">
        <v>433</v>
      </c>
    </row>
    <row r="36" spans="6:8">
      <c r="F36" t="s">
        <v>434</v>
      </c>
      <c r="G36" t="s">
        <v>435</v>
      </c>
    </row>
    <row r="37" spans="6:8">
      <c r="F37" t="s">
        <v>436</v>
      </c>
      <c r="G37" t="s">
        <v>437</v>
      </c>
    </row>
    <row r="38" spans="6:8">
      <c r="F38" t="s">
        <v>438</v>
      </c>
      <c r="G38" t="s">
        <v>439</v>
      </c>
      <c r="H38" t="s">
        <v>464</v>
      </c>
    </row>
    <row r="39" spans="6:8">
      <c r="F39" t="s">
        <v>440</v>
      </c>
      <c r="G39" t="s">
        <v>441</v>
      </c>
      <c r="H39" t="s">
        <v>458</v>
      </c>
    </row>
    <row r="40" spans="6:8">
      <c r="F40" t="s">
        <v>442</v>
      </c>
      <c r="G40" t="s">
        <v>379</v>
      </c>
      <c r="H40" t="s">
        <v>128</v>
      </c>
    </row>
    <row r="41" spans="6:8">
      <c r="F41" t="s">
        <v>443</v>
      </c>
      <c r="G41" t="s">
        <v>444</v>
      </c>
      <c r="H41" t="s">
        <v>461</v>
      </c>
    </row>
    <row r="42" spans="6:8">
      <c r="F42" t="s">
        <v>445</v>
      </c>
      <c r="G42" t="s">
        <v>456</v>
      </c>
      <c r="H42" t="s">
        <v>241</v>
      </c>
    </row>
    <row r="43" spans="6:8">
      <c r="F43" t="s">
        <v>446</v>
      </c>
      <c r="G43" t="s">
        <v>447</v>
      </c>
      <c r="H43" t="s">
        <v>326</v>
      </c>
    </row>
    <row r="44" spans="6:8">
      <c r="F44" t="s">
        <v>448</v>
      </c>
      <c r="G44" t="s">
        <v>449</v>
      </c>
      <c r="H44" t="s">
        <v>463</v>
      </c>
    </row>
    <row r="45" spans="6:8">
      <c r="F45" t="s">
        <v>450</v>
      </c>
      <c r="G45" t="s">
        <v>451</v>
      </c>
    </row>
    <row r="46" spans="6:8">
      <c r="F46" t="s">
        <v>452</v>
      </c>
      <c r="G46" t="s">
        <v>453</v>
      </c>
      <c r="H46" t="s">
        <v>240</v>
      </c>
    </row>
    <row r="47" spans="6:8">
      <c r="F47" t="s">
        <v>454</v>
      </c>
      <c r="G47" t="s">
        <v>455</v>
      </c>
      <c r="H47" t="s">
        <v>462</v>
      </c>
    </row>
  </sheetData>
  <sheetProtection sheet="1" objects="1" scenarios="1" autoFilter="0" pivotTables="0"/>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tVER">
    <tabColor theme="1"/>
    <outlinePr showOutlineSymbols="0"/>
  </sheetPr>
  <dimension ref="A1:I62"/>
  <sheetViews>
    <sheetView showGridLines="0" showRowColHeaders="0" showOutlineSymbols="0" topLeftCell="E1" workbookViewId="0">
      <selection activeCell="E1" sqref="E1"/>
    </sheetView>
  </sheetViews>
  <sheetFormatPr defaultRowHeight="12.75" outlineLevelCol="2"/>
  <cols>
    <col min="1" max="1" width="1.7109375" style="147" hidden="1" customWidth="1" outlineLevel="2"/>
    <col min="2" max="2" width="13.140625" style="147" hidden="1" customWidth="1" outlineLevel="2"/>
    <col min="3" max="3" width="9.140625" style="147" hidden="1" customWidth="1" outlineLevel="2"/>
    <col min="4" max="4" width="1.7109375" style="147" hidden="1" customWidth="1" outlineLevel="2"/>
    <col min="5" max="5" width="2.7109375" style="120" customWidth="1" collapsed="1"/>
    <col min="6" max="6" width="7.7109375" style="120" customWidth="1"/>
    <col min="7" max="7" width="11.85546875" style="121" customWidth="1"/>
    <col min="8" max="8" width="12" style="121" customWidth="1"/>
    <col min="9" max="9" width="117.5703125" style="120" customWidth="1"/>
    <col min="10" max="16384" width="9.140625" style="120"/>
  </cols>
  <sheetData>
    <row r="1" spans="1:9" ht="0.95" customHeight="1"/>
    <row r="2" spans="1:9" ht="24.95" customHeight="1">
      <c r="F2" s="771" t="s">
        <v>163</v>
      </c>
      <c r="G2" s="133"/>
      <c r="H2" s="133"/>
      <c r="I2" s="771"/>
    </row>
    <row r="4" spans="1:9">
      <c r="F4" s="120" t="s">
        <v>752</v>
      </c>
      <c r="H4" s="120" t="str">
        <f ca="1">OFFSET(F6,2,0,1,1)</f>
        <v>1w</v>
      </c>
    </row>
    <row r="5" spans="1:9">
      <c r="B5" s="147" t="s">
        <v>843</v>
      </c>
      <c r="C5" s="835" t="b">
        <v>1</v>
      </c>
    </row>
    <row r="6" spans="1:9" s="452" customFormat="1">
      <c r="A6" s="837"/>
      <c r="B6" s="837"/>
      <c r="C6" s="837"/>
      <c r="D6" s="837"/>
      <c r="F6" s="452" t="s">
        <v>746</v>
      </c>
      <c r="G6" s="318" t="s">
        <v>747</v>
      </c>
      <c r="H6" s="318" t="s">
        <v>868</v>
      </c>
      <c r="I6" s="452" t="s">
        <v>840</v>
      </c>
    </row>
    <row r="8" spans="1:9">
      <c r="F8" s="120" t="s">
        <v>933</v>
      </c>
      <c r="G8" s="121">
        <v>40729</v>
      </c>
      <c r="H8" s="822" t="s">
        <v>934</v>
      </c>
      <c r="I8" s="120" t="s">
        <v>935</v>
      </c>
    </row>
    <row r="11" spans="1:9">
      <c r="F11" s="120" t="s">
        <v>895</v>
      </c>
      <c r="G11" s="121">
        <v>40723</v>
      </c>
      <c r="H11" s="822" t="s">
        <v>896</v>
      </c>
      <c r="I11" s="120" t="s">
        <v>897</v>
      </c>
    </row>
    <row r="12" spans="1:9">
      <c r="I12" s="120" t="s">
        <v>899</v>
      </c>
    </row>
    <row r="13" spans="1:9">
      <c r="I13" s="120" t="s">
        <v>900</v>
      </c>
    </row>
    <row r="14" spans="1:9">
      <c r="F14" s="147" t="s">
        <v>883</v>
      </c>
      <c r="G14" s="539">
        <v>40711</v>
      </c>
      <c r="H14" s="823" t="s">
        <v>884</v>
      </c>
      <c r="I14" s="147" t="s">
        <v>885</v>
      </c>
    </row>
    <row r="15" spans="1:9">
      <c r="F15" s="147"/>
      <c r="G15" s="539"/>
      <c r="H15" s="539"/>
      <c r="I15" s="147" t="s">
        <v>886</v>
      </c>
    </row>
    <row r="16" spans="1:9">
      <c r="F16" s="147"/>
      <c r="G16" s="539"/>
      <c r="H16" s="539"/>
      <c r="I16" s="147" t="s">
        <v>887</v>
      </c>
    </row>
    <row r="17" spans="6:9">
      <c r="F17" s="120" t="s">
        <v>875</v>
      </c>
      <c r="G17" s="121">
        <v>40708</v>
      </c>
      <c r="H17" s="822" t="s">
        <v>876</v>
      </c>
      <c r="I17" s="120" t="s">
        <v>877</v>
      </c>
    </row>
    <row r="18" spans="6:9">
      <c r="I18" s="120" t="s">
        <v>879</v>
      </c>
    </row>
    <row r="19" spans="6:9">
      <c r="I19" s="120" t="s">
        <v>878</v>
      </c>
    </row>
    <row r="20" spans="6:9">
      <c r="F20" s="147" t="s">
        <v>855</v>
      </c>
      <c r="G20" s="539">
        <v>40704</v>
      </c>
      <c r="H20" s="823" t="s">
        <v>858</v>
      </c>
      <c r="I20" s="147" t="s">
        <v>856</v>
      </c>
    </row>
    <row r="21" spans="6:9">
      <c r="F21" s="147"/>
      <c r="G21" s="539"/>
      <c r="H21" s="539"/>
      <c r="I21" s="147" t="s">
        <v>857</v>
      </c>
    </row>
    <row r="22" spans="6:9">
      <c r="F22" s="120" t="s">
        <v>841</v>
      </c>
      <c r="G22" s="121">
        <v>40703</v>
      </c>
      <c r="H22" s="822" t="s">
        <v>859</v>
      </c>
      <c r="I22" s="120" t="s">
        <v>845</v>
      </c>
    </row>
    <row r="23" spans="6:9">
      <c r="I23" s="120" t="s">
        <v>844</v>
      </c>
    </row>
    <row r="24" spans="6:9">
      <c r="I24" s="120" t="s">
        <v>854</v>
      </c>
    </row>
    <row r="25" spans="6:9">
      <c r="F25" s="147" t="s">
        <v>810</v>
      </c>
      <c r="G25" s="539">
        <v>40702</v>
      </c>
      <c r="H25" s="823" t="s">
        <v>860</v>
      </c>
      <c r="I25" s="147" t="s">
        <v>811</v>
      </c>
    </row>
    <row r="26" spans="6:9">
      <c r="F26" s="147"/>
      <c r="G26" s="539"/>
      <c r="H26" s="539"/>
      <c r="I26" s="147" t="s">
        <v>833</v>
      </c>
    </row>
    <row r="27" spans="6:9">
      <c r="F27" s="147"/>
      <c r="G27" s="539"/>
      <c r="H27" s="539"/>
      <c r="I27" s="147" t="s">
        <v>832</v>
      </c>
    </row>
    <row r="28" spans="6:9">
      <c r="F28" s="120" t="s">
        <v>804</v>
      </c>
      <c r="G28" s="121">
        <v>40700</v>
      </c>
      <c r="H28" s="822" t="s">
        <v>861</v>
      </c>
      <c r="I28" s="120" t="s">
        <v>805</v>
      </c>
    </row>
    <row r="29" spans="6:9">
      <c r="I29" s="120" t="s">
        <v>807</v>
      </c>
    </row>
    <row r="30" spans="6:9">
      <c r="I30" s="120" t="s">
        <v>808</v>
      </c>
    </row>
    <row r="31" spans="6:9">
      <c r="I31" s="120" t="s">
        <v>839</v>
      </c>
    </row>
    <row r="32" spans="6:9">
      <c r="I32" s="120" t="s">
        <v>835</v>
      </c>
    </row>
    <row r="33" spans="6:9">
      <c r="I33" s="120" t="s">
        <v>809</v>
      </c>
    </row>
    <row r="34" spans="6:9">
      <c r="F34" s="147" t="s">
        <v>783</v>
      </c>
      <c r="G34" s="539">
        <v>40689</v>
      </c>
      <c r="H34" s="823" t="s">
        <v>862</v>
      </c>
      <c r="I34" s="147" t="s">
        <v>784</v>
      </c>
    </row>
    <row r="35" spans="6:9">
      <c r="F35" s="147"/>
      <c r="G35" s="539"/>
      <c r="H35" s="539"/>
      <c r="I35" s="147" t="s">
        <v>836</v>
      </c>
    </row>
    <row r="36" spans="6:9">
      <c r="F36" s="147"/>
      <c r="G36" s="539"/>
      <c r="H36" s="539"/>
      <c r="I36" s="147" t="s">
        <v>837</v>
      </c>
    </row>
    <row r="37" spans="6:9">
      <c r="F37" s="147"/>
      <c r="G37" s="539"/>
      <c r="H37" s="539"/>
      <c r="I37" s="147" t="s">
        <v>802</v>
      </c>
    </row>
    <row r="38" spans="6:9">
      <c r="F38" s="120" t="s">
        <v>778</v>
      </c>
      <c r="G38" s="121">
        <v>40688</v>
      </c>
      <c r="H38" s="822" t="s">
        <v>863</v>
      </c>
      <c r="I38" s="120" t="s">
        <v>838</v>
      </c>
    </row>
    <row r="39" spans="6:9">
      <c r="I39" s="120" t="s">
        <v>779</v>
      </c>
    </row>
    <row r="40" spans="6:9">
      <c r="F40" s="147" t="s">
        <v>268</v>
      </c>
      <c r="G40" s="539">
        <v>40688</v>
      </c>
      <c r="H40" s="823" t="s">
        <v>864</v>
      </c>
      <c r="I40" s="147" t="s">
        <v>772</v>
      </c>
    </row>
    <row r="41" spans="6:9">
      <c r="F41" s="147"/>
      <c r="G41" s="539"/>
      <c r="H41" s="539"/>
      <c r="I41" s="147" t="s">
        <v>773</v>
      </c>
    </row>
    <row r="42" spans="6:9">
      <c r="F42" s="139" t="s">
        <v>748</v>
      </c>
      <c r="G42" s="142">
        <v>40687</v>
      </c>
      <c r="H42" s="824" t="s">
        <v>865</v>
      </c>
      <c r="I42" s="139" t="s">
        <v>750</v>
      </c>
    </row>
    <row r="43" spans="6:9">
      <c r="F43" s="139"/>
      <c r="G43" s="142"/>
      <c r="H43" s="142"/>
      <c r="I43" s="139" t="s">
        <v>749</v>
      </c>
    </row>
    <row r="44" spans="6:9">
      <c r="F44" s="139"/>
      <c r="G44" s="142"/>
      <c r="H44" s="142"/>
      <c r="I44" s="139" t="s">
        <v>751</v>
      </c>
    </row>
    <row r="45" spans="6:9">
      <c r="F45" s="772" t="s">
        <v>740</v>
      </c>
      <c r="G45" s="773">
        <v>40686</v>
      </c>
      <c r="H45" s="825" t="s">
        <v>866</v>
      </c>
      <c r="I45" s="772" t="s">
        <v>742</v>
      </c>
    </row>
    <row r="46" spans="6:9">
      <c r="F46" s="772"/>
      <c r="G46" s="773"/>
      <c r="H46" s="773"/>
      <c r="I46" s="772" t="s">
        <v>741</v>
      </c>
    </row>
    <row r="47" spans="6:9">
      <c r="F47" s="139" t="s">
        <v>738</v>
      </c>
      <c r="G47" s="142"/>
      <c r="H47" s="142"/>
      <c r="I47" s="139" t="s">
        <v>739</v>
      </c>
    </row>
    <row r="48" spans="6:9">
      <c r="F48" s="772" t="s">
        <v>727</v>
      </c>
      <c r="G48" s="773">
        <v>40686</v>
      </c>
      <c r="H48" s="825" t="s">
        <v>867</v>
      </c>
      <c r="I48" s="772" t="s">
        <v>728</v>
      </c>
    </row>
    <row r="49" spans="6:9">
      <c r="F49" s="772"/>
      <c r="G49" s="773"/>
      <c r="H49" s="773"/>
      <c r="I49" s="772" t="s">
        <v>735</v>
      </c>
    </row>
    <row r="50" spans="6:9">
      <c r="F50" s="772"/>
      <c r="G50" s="773"/>
      <c r="H50" s="773"/>
      <c r="I50" s="772" t="s">
        <v>736</v>
      </c>
    </row>
    <row r="51" spans="6:9">
      <c r="F51" s="772"/>
      <c r="G51" s="773"/>
      <c r="H51" s="773"/>
      <c r="I51" s="772" t="s">
        <v>737</v>
      </c>
    </row>
    <row r="52" spans="6:9">
      <c r="F52" s="139" t="s">
        <v>257</v>
      </c>
      <c r="G52" s="142">
        <v>40683</v>
      </c>
      <c r="H52" s="142"/>
      <c r="I52" s="139" t="s">
        <v>684</v>
      </c>
    </row>
    <row r="53" spans="6:9">
      <c r="F53" s="772" t="s">
        <v>682</v>
      </c>
      <c r="G53" s="773"/>
      <c r="H53" s="773"/>
      <c r="I53" s="772" t="s">
        <v>683</v>
      </c>
    </row>
    <row r="54" spans="6:9">
      <c r="F54" s="139" t="s">
        <v>666</v>
      </c>
      <c r="G54" s="142"/>
      <c r="H54" s="142"/>
      <c r="I54" s="139" t="s">
        <v>667</v>
      </c>
    </row>
    <row r="55" spans="6:9">
      <c r="F55" s="772" t="s">
        <v>627</v>
      </c>
      <c r="G55" s="773"/>
      <c r="H55" s="773"/>
      <c r="I55" s="772" t="s">
        <v>628</v>
      </c>
    </row>
    <row r="56" spans="6:9">
      <c r="F56" s="139" t="s">
        <v>487</v>
      </c>
      <c r="G56" s="142"/>
      <c r="H56" s="142"/>
      <c r="I56" s="139" t="s">
        <v>488</v>
      </c>
    </row>
    <row r="57" spans="6:9">
      <c r="F57" s="772" t="s">
        <v>483</v>
      </c>
      <c r="G57" s="773"/>
      <c r="H57" s="773"/>
      <c r="I57" s="772" t="s">
        <v>484</v>
      </c>
    </row>
    <row r="58" spans="6:9">
      <c r="F58" s="139" t="s">
        <v>127</v>
      </c>
      <c r="G58" s="142"/>
      <c r="H58" s="142"/>
      <c r="I58" s="139" t="s">
        <v>480</v>
      </c>
    </row>
    <row r="59" spans="6:9">
      <c r="F59" s="772" t="s">
        <v>745</v>
      </c>
      <c r="G59" s="773"/>
      <c r="H59" s="773"/>
      <c r="I59" s="772" t="s">
        <v>477</v>
      </c>
    </row>
    <row r="60" spans="6:9">
      <c r="F60" s="139"/>
      <c r="G60" s="142"/>
      <c r="H60" s="142"/>
      <c r="I60" s="139"/>
    </row>
    <row r="61" spans="6:9">
      <c r="F61" s="139"/>
      <c r="G61" s="142"/>
      <c r="H61" s="142"/>
      <c r="I61" s="139"/>
    </row>
    <row r="62" spans="6:9">
      <c r="F62" s="139"/>
      <c r="G62" s="142"/>
      <c r="H62" s="142"/>
      <c r="I62" s="139"/>
    </row>
  </sheetData>
  <sheetProtection sheet="1" objects="1" scenarios="1" autoFilter="0" pivotTables="0"/>
  <sortState ref="F6:H13">
    <sortCondition descending="1" ref="F6:F13"/>
  </sortState>
  <hyperlinks>
    <hyperlink ref="H28" r:id="rId1" display="New Swap Pricer version 1p.msg"/>
    <hyperlink ref="H34" r:id="rId2" display="Release Notes\New Swap Pricer version 1o.msg"/>
    <hyperlink ref="H38" r:id="rId3" display="Release Notes\New Swap Pricer version 1n.msg"/>
    <hyperlink ref="H40" r:id="rId4" display="Release Notes\New Swap Pricer version 1m.msg"/>
    <hyperlink ref="H42" r:id="rId5" display="Release Notes\New Swap Pricer version 1L.msg"/>
    <hyperlink ref="H45" r:id="rId6" display="New Swap Pricer version 1k.msg"/>
    <hyperlink ref="H48" r:id="rId7" display="Release Notes\New Swap Pricer version 1i.msg"/>
    <hyperlink ref="H25" r:id="rId8" display="New Swap Pricer version 1q.msg"/>
    <hyperlink ref="H22" r:id="rId9" display="Release Notes\New Swap Pricer version 1r.msg"/>
    <hyperlink ref="H20" r:id="rId10" display="Version 1s.msg"/>
    <hyperlink ref="H17" r:id="rId11"/>
    <hyperlink ref="H14" r:id="rId12"/>
    <hyperlink ref="H11" r:id="rId13"/>
    <hyperlink ref="H8" r:id="rId14"/>
  </hyperlinks>
  <pageMargins left="0.7" right="0.7" top="0.75" bottom="0.75" header="0.3" footer="0.3"/>
  <legacyDrawing r:id="rId1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258</vt:i4>
      </vt:variant>
    </vt:vector>
  </HeadingPairs>
  <TitlesOfParts>
    <vt:vector size="271" baseType="lpstr">
      <vt:lpstr>CON</vt:lpstr>
      <vt:lpstr>FX</vt:lpstr>
      <vt:lpstr>AU</vt:lpstr>
      <vt:lpstr>US</vt:lpstr>
      <vt:lpstr>EU</vt:lpstr>
      <vt:lpstr>GB</vt:lpstr>
      <vt:lpstr>NZ</vt:lpstr>
      <vt:lpstr>HS</vt:lpstr>
      <vt:lpstr>IRS</vt:lpstr>
      <vt:lpstr>STR</vt:lpstr>
      <vt:lpstr>TBL</vt:lpstr>
      <vt:lpstr>HOL</vt:lpstr>
      <vt:lpstr>VER</vt:lpstr>
      <vt:lpstr>STR!Anniv</vt:lpstr>
      <vt:lpstr>AUD.ZB</vt:lpstr>
      <vt:lpstr>AUD.ZB.1M</vt:lpstr>
      <vt:lpstr>AUD.ZB.1Y</vt:lpstr>
      <vt:lpstr>AUD.ZB.3M</vt:lpstr>
      <vt:lpstr>AUD.ZB.6M</vt:lpstr>
      <vt:lpstr>AUD.ZB.DISC</vt:lpstr>
      <vt:lpstr>AUD.ZB.ON</vt:lpstr>
      <vt:lpstr>AUD.ZBX</vt:lpstr>
      <vt:lpstr>AUD.ZBX.1M</vt:lpstr>
      <vt:lpstr>AUD.ZBX.1Y</vt:lpstr>
      <vt:lpstr>AUD.ZBX.3M</vt:lpstr>
      <vt:lpstr>AUD.ZBX.6M</vt:lpstr>
      <vt:lpstr>AUD.ZBX.DISC</vt:lpstr>
      <vt:lpstr>AUD.ZBX.ON</vt:lpstr>
      <vt:lpstr>HS!AUD_CPI</vt:lpstr>
      <vt:lpstr>HS!AUD_RateSets</vt:lpstr>
      <vt:lpstr>AU!BonnetMgt</vt:lpstr>
      <vt:lpstr>CON!BonnetMgt</vt:lpstr>
      <vt:lpstr>EU!BonnetMgt</vt:lpstr>
      <vt:lpstr>FX!BonnetMgt</vt:lpstr>
      <vt:lpstr>GB!BonnetMgt</vt:lpstr>
      <vt:lpstr>HOL!BonnetMgt</vt:lpstr>
      <vt:lpstr>HS!BonnetMgt</vt:lpstr>
      <vt:lpstr>IRS!BonnetMgt</vt:lpstr>
      <vt:lpstr>NZ!BonnetMgt</vt:lpstr>
      <vt:lpstr>STR!BonnetMgt</vt:lpstr>
      <vt:lpstr>TBL!BonnetMgt</vt:lpstr>
      <vt:lpstr>US!BonnetMgt</vt:lpstr>
      <vt:lpstr>VER!BonnetMgt</vt:lpstr>
      <vt:lpstr>IRS!BusDayAdj</vt:lpstr>
      <vt:lpstr>STR!BusDayAdj1</vt:lpstr>
      <vt:lpstr>STR!BusDayAdj2</vt:lpstr>
      <vt:lpstr>STR!Calculation</vt:lpstr>
      <vt:lpstr>STR!Cashflows1a</vt:lpstr>
      <vt:lpstr>STR!Cashflows1b</vt:lpstr>
      <vt:lpstr>STR!Cashflows2a</vt:lpstr>
      <vt:lpstr>STR!Cashflows2b</vt:lpstr>
      <vt:lpstr>IRS!CCY</vt:lpstr>
      <vt:lpstr>AU!CPI0_DATE</vt:lpstr>
      <vt:lpstr>AU!CPI0_VALUE</vt:lpstr>
      <vt:lpstr>STR!Currency1</vt:lpstr>
      <vt:lpstr>STR!Currency2</vt:lpstr>
      <vt:lpstr>STR!Dates1</vt:lpstr>
      <vt:lpstr>STR!Dates2</vt:lpstr>
      <vt:lpstr>STR!DCC_Leg1_Fixed</vt:lpstr>
      <vt:lpstr>STR!DCC_Leg1_Float</vt:lpstr>
      <vt:lpstr>STR!DCC_Leg2_Fixed</vt:lpstr>
      <vt:lpstr>STR!DCC_Leg2_Float</vt:lpstr>
      <vt:lpstr>IRS!DCCfixed</vt:lpstr>
      <vt:lpstr>IRS!DCCfloat</vt:lpstr>
      <vt:lpstr>IRS!DesiredFixedRate</vt:lpstr>
      <vt:lpstr>IRS!DesiredNPV</vt:lpstr>
      <vt:lpstr>IRS!Discounting</vt:lpstr>
      <vt:lpstr>STR!End</vt:lpstr>
      <vt:lpstr>IRS!EndInput</vt:lpstr>
      <vt:lpstr>IRS!EOM</vt:lpstr>
      <vt:lpstr>STR!EOM_1</vt:lpstr>
      <vt:lpstr>STR!EOM_2</vt:lpstr>
      <vt:lpstr>EUR.ZB</vt:lpstr>
      <vt:lpstr>EUR.ZB.1M</vt:lpstr>
      <vt:lpstr>EUR.ZB.1Y</vt:lpstr>
      <vt:lpstr>EUR.ZB.3M</vt:lpstr>
      <vt:lpstr>EUR.ZB.6M</vt:lpstr>
      <vt:lpstr>EUR.ZB.DISC</vt:lpstr>
      <vt:lpstr>EUR.ZB.ON</vt:lpstr>
      <vt:lpstr>EUR.ZBX</vt:lpstr>
      <vt:lpstr>EUR.ZBX.1M</vt:lpstr>
      <vt:lpstr>EUR.ZBX.1Y</vt:lpstr>
      <vt:lpstr>EUR.ZBX.3M</vt:lpstr>
      <vt:lpstr>EUR.ZBX.6M</vt:lpstr>
      <vt:lpstr>EUR.ZBX.DISC</vt:lpstr>
      <vt:lpstr>EUR.ZBX.ON</vt:lpstr>
      <vt:lpstr>HS!EUR_RateSets</vt:lpstr>
      <vt:lpstr>IRS!Face</vt:lpstr>
      <vt:lpstr>STR!FACE1</vt:lpstr>
      <vt:lpstr>STR!FACE2</vt:lpstr>
      <vt:lpstr>STR!FaceFX</vt:lpstr>
      <vt:lpstr>STR!FaceFX_Input</vt:lpstr>
      <vt:lpstr>IRS!FaceInput</vt:lpstr>
      <vt:lpstr>IRS!Fees</vt:lpstr>
      <vt:lpstr>STR!FixedYrs1</vt:lpstr>
      <vt:lpstr>STR!FixedYrs2</vt:lpstr>
      <vt:lpstr>STR!FloatYrs1</vt:lpstr>
      <vt:lpstr>STR!FloatYrs2</vt:lpstr>
      <vt:lpstr>STR!Forwards1</vt:lpstr>
      <vt:lpstr>STR!Forwards2</vt:lpstr>
      <vt:lpstr>STR!Freq1</vt:lpstr>
      <vt:lpstr>STR!Freq2</vt:lpstr>
      <vt:lpstr>IRS!FreqFixed</vt:lpstr>
      <vt:lpstr>IRS!FreqFloat</vt:lpstr>
      <vt:lpstr>IRS!FRM</vt:lpstr>
      <vt:lpstr>STR!FRM</vt:lpstr>
      <vt:lpstr>STR!FX</vt:lpstr>
      <vt:lpstr>FXccys</vt:lpstr>
      <vt:lpstr>FxcurveAUD</vt:lpstr>
      <vt:lpstr>FxcurveEUR</vt:lpstr>
      <vt:lpstr>FxcurveGBP</vt:lpstr>
      <vt:lpstr>FxcurveNZD</vt:lpstr>
      <vt:lpstr>FXcurves</vt:lpstr>
      <vt:lpstr>FXspots</vt:lpstr>
      <vt:lpstr>GBP.ZB</vt:lpstr>
      <vt:lpstr>GBP.ZB.1M</vt:lpstr>
      <vt:lpstr>GBP.ZB.1Y</vt:lpstr>
      <vt:lpstr>GBP.ZB.3M</vt:lpstr>
      <vt:lpstr>GBP.ZB.6M</vt:lpstr>
      <vt:lpstr>GBP.ZB.DISC</vt:lpstr>
      <vt:lpstr>GBP.ZB.ON</vt:lpstr>
      <vt:lpstr>GBP.ZBX</vt:lpstr>
      <vt:lpstr>GBP.ZBX.1M</vt:lpstr>
      <vt:lpstr>GBP.ZBX.1Y</vt:lpstr>
      <vt:lpstr>GBP.ZBX.3M</vt:lpstr>
      <vt:lpstr>GBP.ZBX.6M</vt:lpstr>
      <vt:lpstr>GBP.ZBX.DISC</vt:lpstr>
      <vt:lpstr>GBP.ZBX.ON</vt:lpstr>
      <vt:lpstr>HS!GBP_RATESETS</vt:lpstr>
      <vt:lpstr>STR!GenRate_1a</vt:lpstr>
      <vt:lpstr>STR!GenRate_1b</vt:lpstr>
      <vt:lpstr>STR!GenRate_2a</vt:lpstr>
      <vt:lpstr>STR!GenRate_2b</vt:lpstr>
      <vt:lpstr>STR!GenType_1a</vt:lpstr>
      <vt:lpstr>STR!GenType_1b</vt:lpstr>
      <vt:lpstr>STR!GenType_2a</vt:lpstr>
      <vt:lpstr>STR!GenType_2b</vt:lpstr>
      <vt:lpstr>CON!HelpPopUps</vt:lpstr>
      <vt:lpstr>IRS!HolidayOverride</vt:lpstr>
      <vt:lpstr>STR!Holidays</vt:lpstr>
      <vt:lpstr>IRS!IncludePrincipals</vt:lpstr>
      <vt:lpstr>IRS!InterpTrigger</vt:lpstr>
      <vt:lpstr>STR!InterpTrigger</vt:lpstr>
      <vt:lpstr>STR!IRS?</vt:lpstr>
      <vt:lpstr>AU!IsBillFuturesExpiry?</vt:lpstr>
      <vt:lpstr>AU!IsBondFuturesExpiry?</vt:lpstr>
      <vt:lpstr>IRS!Margin</vt:lpstr>
      <vt:lpstr>NZD.ZB</vt:lpstr>
      <vt:lpstr>NZD.ZB.1M</vt:lpstr>
      <vt:lpstr>NZD.ZB.1Y</vt:lpstr>
      <vt:lpstr>NZD.ZB.3M</vt:lpstr>
      <vt:lpstr>NZD.ZB.6M</vt:lpstr>
      <vt:lpstr>NZ!NZD.ZB.DISC</vt:lpstr>
      <vt:lpstr>NZD.ZB.ON</vt:lpstr>
      <vt:lpstr>NZD.ZBX</vt:lpstr>
      <vt:lpstr>NZD.ZBX.1M</vt:lpstr>
      <vt:lpstr>NZD.ZBX.1Y</vt:lpstr>
      <vt:lpstr>NZD.ZBX.3M</vt:lpstr>
      <vt:lpstr>NZD.ZBX.6M</vt:lpstr>
      <vt:lpstr>NZD.ZBX.DISC</vt:lpstr>
      <vt:lpstr>NZD.ZBX.ON</vt:lpstr>
      <vt:lpstr>HS!NZD_RATESETS</vt:lpstr>
      <vt:lpstr>AU!OutlineLevel</vt:lpstr>
      <vt:lpstr>EU!OutlineLevel</vt:lpstr>
      <vt:lpstr>FX!OutlineLevel</vt:lpstr>
      <vt:lpstr>GB!OutlineLevel</vt:lpstr>
      <vt:lpstr>IRS!OutlineLevel</vt:lpstr>
      <vt:lpstr>NZ!OutlineLevel</vt:lpstr>
      <vt:lpstr>STR!OutlineLevel</vt:lpstr>
      <vt:lpstr>US!OutlineLevel</vt:lpstr>
      <vt:lpstr>AU!Override</vt:lpstr>
      <vt:lpstr>EU!Override</vt:lpstr>
      <vt:lpstr>FX!Override</vt:lpstr>
      <vt:lpstr>GB!Override</vt:lpstr>
      <vt:lpstr>NZ!Override</vt:lpstr>
      <vt:lpstr>US!Override</vt:lpstr>
      <vt:lpstr>STR!Page_1</vt:lpstr>
      <vt:lpstr>STR!Page_2</vt:lpstr>
      <vt:lpstr>TBL!Page_CBFS</vt:lpstr>
      <vt:lpstr>TBL!Page_ConversionFactors</vt:lpstr>
      <vt:lpstr>AU!Page_CPI</vt:lpstr>
      <vt:lpstr>EU!Page_CPI</vt:lpstr>
      <vt:lpstr>GB!Page_CPI</vt:lpstr>
      <vt:lpstr>NZ!Page_CPI</vt:lpstr>
      <vt:lpstr>US!Page_CPI</vt:lpstr>
      <vt:lpstr>TBL!Page_ForwardFX</vt:lpstr>
      <vt:lpstr>TBL!Page_ForwardSwaps</vt:lpstr>
      <vt:lpstr>AU!Page_Rates</vt:lpstr>
      <vt:lpstr>EU!Page_Rates</vt:lpstr>
      <vt:lpstr>GB!Page_Rates</vt:lpstr>
      <vt:lpstr>NZ!Page_Rates</vt:lpstr>
      <vt:lpstr>US!Page_Rates</vt:lpstr>
      <vt:lpstr>AU!Page_Vols</vt:lpstr>
      <vt:lpstr>EU!Page_Vols</vt:lpstr>
      <vt:lpstr>GB!Page_Vols</vt:lpstr>
      <vt:lpstr>NZ!Page_Vols</vt:lpstr>
      <vt:lpstr>US!Page_Vols</vt:lpstr>
      <vt:lpstr>IRS!PerformFRM?</vt:lpstr>
      <vt:lpstr>PPP_Global</vt:lpstr>
      <vt:lpstr>STR!Principal1?</vt:lpstr>
      <vt:lpstr>STR!Principal2?</vt:lpstr>
      <vt:lpstr>STR!Principals?</vt:lpstr>
      <vt:lpstr>IRS!ProjCurve_1M</vt:lpstr>
      <vt:lpstr>IRS!ProjCurve_1Y</vt:lpstr>
      <vt:lpstr>IRS!ProjCurve_3M</vt:lpstr>
      <vt:lpstr>IRS!ProjCurve_6M</vt:lpstr>
      <vt:lpstr>IRS!ProjCurve_ON</vt:lpstr>
      <vt:lpstr>STR!PV_Leg1</vt:lpstr>
      <vt:lpstr>STR!PV_Leg2</vt:lpstr>
      <vt:lpstr>STR!PV_Total</vt:lpstr>
      <vt:lpstr>AU!ReutersPARSED</vt:lpstr>
      <vt:lpstr>EU!ReutersPARSED</vt:lpstr>
      <vt:lpstr>GB!ReutersPARSED</vt:lpstr>
      <vt:lpstr>NZ!ReutersPARSED</vt:lpstr>
      <vt:lpstr>US!ReutersPARSED</vt:lpstr>
      <vt:lpstr>AU!ReutersRAW</vt:lpstr>
      <vt:lpstr>EU!ReutersRAW</vt:lpstr>
      <vt:lpstr>GB!ReutersRAW</vt:lpstr>
      <vt:lpstr>NZ!ReutersRAW</vt:lpstr>
      <vt:lpstr>US!ReutersRAW</vt:lpstr>
      <vt:lpstr>IRS!RollAnniv</vt:lpstr>
      <vt:lpstr>FX!RTMODE_FX</vt:lpstr>
      <vt:lpstr>AU!RTMODE_RATES</vt:lpstr>
      <vt:lpstr>EU!RTMODE_RATES</vt:lpstr>
      <vt:lpstr>GB!RTMODE_RATES</vt:lpstr>
      <vt:lpstr>NZ!RTMODE_RATES</vt:lpstr>
      <vt:lpstr>US!RTMODE_RATES</vt:lpstr>
      <vt:lpstr>AU!RTMODE_VOLS</vt:lpstr>
      <vt:lpstr>EU!RTMODE_VOLS</vt:lpstr>
      <vt:lpstr>GB!RTMODE_VOLS</vt:lpstr>
      <vt:lpstr>NZ!RTMODE_VOLS</vt:lpstr>
      <vt:lpstr>US!RTMODE_VOLS</vt:lpstr>
      <vt:lpstr>CON!ServiceMode</vt:lpstr>
      <vt:lpstr>STR!SolverCalcScope</vt:lpstr>
      <vt:lpstr>STR!SolveTarget_Leg1</vt:lpstr>
      <vt:lpstr>STR!SolveTarget_Leg1_Input</vt:lpstr>
      <vt:lpstr>STR!SolveTarget_Leg2</vt:lpstr>
      <vt:lpstr>STR!SolveTarget_Leg2_Input</vt:lpstr>
      <vt:lpstr>STR!SolveTarget_Total</vt:lpstr>
      <vt:lpstr>STR!SolveTarget_Total_Input</vt:lpstr>
      <vt:lpstr>Spot_AUD</vt:lpstr>
      <vt:lpstr>Spot_EUR</vt:lpstr>
      <vt:lpstr>Spot_GBP</vt:lpstr>
      <vt:lpstr>Spot_NZD</vt:lpstr>
      <vt:lpstr>Spot_USD</vt:lpstr>
      <vt:lpstr>STR!Start</vt:lpstr>
      <vt:lpstr>IRS!StartInput</vt:lpstr>
      <vt:lpstr>STR!Stubs1</vt:lpstr>
      <vt:lpstr>STR!Stubs2</vt:lpstr>
      <vt:lpstr>IRS!StubsFixed</vt:lpstr>
      <vt:lpstr>IRS!StubsFloat</vt:lpstr>
      <vt:lpstr>Today</vt:lpstr>
      <vt:lpstr>USD.ZB</vt:lpstr>
      <vt:lpstr>USD.ZB.1M</vt:lpstr>
      <vt:lpstr>USD.ZB.1Y</vt:lpstr>
      <vt:lpstr>USD.ZB.3M</vt:lpstr>
      <vt:lpstr>USD.ZB.6M</vt:lpstr>
      <vt:lpstr>USD.ZB.DISC</vt:lpstr>
      <vt:lpstr>USD.ZB.ON</vt:lpstr>
      <vt:lpstr>USD.ZBX</vt:lpstr>
      <vt:lpstr>USD.ZBX.1M</vt:lpstr>
      <vt:lpstr>USD.ZBX.1Y</vt:lpstr>
      <vt:lpstr>USD.ZBX.3M</vt:lpstr>
      <vt:lpstr>USD.ZBX.6M</vt:lpstr>
      <vt:lpstr>USD.ZBX.DISC</vt:lpstr>
      <vt:lpstr>USD.ZBX.ON</vt:lpstr>
      <vt:lpstr>HS!USD_RateSets</vt:lpstr>
      <vt:lpstr>STR!XCS?</vt:lpstr>
      <vt:lpstr>IRS!Yrs</vt:lpstr>
      <vt:lpstr>YTC</vt:lpstr>
      <vt:lpstr>YTT</vt:lpstr>
    </vt:vector>
  </TitlesOfParts>
  <Company>nabCapital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Leong</dc:creator>
  <cp:lastModifiedBy>Stephen Leong</cp:lastModifiedBy>
  <dcterms:created xsi:type="dcterms:W3CDTF">2011-03-28T05:51:47Z</dcterms:created>
  <dcterms:modified xsi:type="dcterms:W3CDTF">2011-07-05T00:30:31Z</dcterms:modified>
</cp:coreProperties>
</file>